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5.xml" ContentType="application/vnd.openxmlformats-officedocument.spreadsheetml.comments+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3.xml" ContentType="application/vnd.openxmlformats-officedocument.drawingml.chart+xml"/>
  <Override PartName="/xl/drawings/drawing9.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10.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9.xml" ContentType="application/vnd.openxmlformats-officedocument.spreadsheetml.comments+xml"/>
  <Override PartName="/xl/charts/chart4.xml" ContentType="application/vnd.openxmlformats-officedocument.drawingml.chart+xml"/>
  <Override PartName="/xl/comments10.xml" ContentType="application/vnd.openxmlformats-officedocument.spreadsheetml.comments+xml"/>
  <Override PartName="/xl/comments11.xml" ContentType="application/vnd.openxmlformats-officedocument.spreadsheetml.comments+xml"/>
  <Override PartName="/xl/drawings/drawing11.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2.xml" ContentType="application/vnd.openxmlformats-officedocument.spreadsheetml.comments+xml"/>
  <Override PartName="/xl/drawings/drawing12.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3.xml" ContentType="application/vnd.openxmlformats-officedocument.drawing+xml"/>
  <Override PartName="/xl/comments15.xml" ContentType="application/vnd.openxmlformats-officedocument.spreadsheetml.comments+xml"/>
  <Override PartName="/xl/charts/chart5.xml" ContentType="application/vnd.openxmlformats-officedocument.drawingml.chart+xml"/>
  <Override PartName="/xl/drawings/drawing1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omments17.xml" ContentType="application/vnd.openxmlformats-officedocument.spreadsheetml.comments+xml"/>
  <Override PartName="/xl/drawings/drawing15.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8.xml" ContentType="application/vnd.openxmlformats-officedocument.spreadsheetml.comments+xml"/>
  <Override PartName="/xl/charts/chart10.xml" ContentType="application/vnd.openxmlformats-officedocument.drawingml.chart+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saikp\Documents\GitHub\Covid_modelling\archive\"/>
    </mc:Choice>
  </mc:AlternateContent>
  <xr:revisionPtr revIDLastSave="0" documentId="8_{AAB14E0F-4804-4C2E-ADDF-CDBD1FFE3AD5}" xr6:coauthVersionLast="47" xr6:coauthVersionMax="47" xr10:uidLastSave="{00000000-0000-0000-0000-000000000000}"/>
  <bookViews>
    <workbookView xWindow="-120" yWindow="-120" windowWidth="29040" windowHeight="15840" tabRatio="794" xr2:uid="{00000000-000D-0000-FFFF-FFFF00000000}"/>
  </bookViews>
  <sheets>
    <sheet name="Version control" sheetId="1"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Demand adjustments for Covid" sheetId="40" r:id="rId8"/>
    <sheet name="SPC Chart" sheetId="7" r:id="rId9"/>
    <sheet name="SPC background (hide)" sheetId="12" state="hidden" r:id="rId10"/>
    <sheet name="Planned" sheetId="14" state="hidden" r:id="rId11"/>
    <sheet name="Planned background (hide)" sheetId="15" state="hidden" r:id="rId12"/>
    <sheet name="Planned SPC" sheetId="21" state="hidden" r:id="rId13"/>
    <sheet name="Capacity" sheetId="20" r:id="rId14"/>
    <sheet name="Critical resources" sheetId="22" state="hidden" r:id="rId15"/>
    <sheet name="Capacity setup" sheetId="32" state="hidden" r:id="rId16"/>
    <sheet name="Capacity summary" sheetId="24" r:id="rId17"/>
    <sheet name="Critical resources (hide)" sheetId="30" state="hidden" r:id="rId18"/>
    <sheet name="Capacity calculation (hide)" sheetId="31" state="hidden" r:id="rId19"/>
    <sheet name="Parameters" sheetId="11" r:id="rId20"/>
    <sheet name="Parameters calculator" sheetId="25" state="hidden" r:id="rId21"/>
    <sheet name="Parameters calculator (hide)" sheetId="26" state="hidden" r:id="rId22"/>
    <sheet name="Capacity Scenario (H)" sheetId="42" state="hidden" r:id="rId23"/>
    <sheet name="Pathway" sheetId="28" r:id="rId24"/>
    <sheet name="Summary" sheetId="18" r:id="rId25"/>
    <sheet name="Lock (hide)" sheetId="27" state="hidden" r:id="rId26"/>
    <sheet name="Summary Calculations (hide)" sheetId="17" state="hidden" r:id="rId27"/>
    <sheet name="WL PI Backing (hide)" sheetId="39" state="hidden" r:id="rId28"/>
    <sheet name="Planning" sheetId="35" r:id="rId29"/>
    <sheet name="Planning Scenarios" sheetId="41" state="hidden" r:id="rId30"/>
    <sheet name="Planning (hide)" sheetId="36" state="hidden" r:id="rId31"/>
    <sheet name="Export (hide)" sheetId="37" state="hidden" r:id="rId32"/>
  </sheets>
  <functionGroups builtInGroupCount="19"/>
  <definedNames>
    <definedName name="Cap_Chart_Adhoc_Range" localSheetId="28">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8">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D_Adj_Backlog" comment="Backlog from known and unknown pts post-Covid">OFFSET('Demand background (hide)'!$DX$4,0,0,'Demand background (hide)'!$EA$5,1)</definedName>
    <definedName name="D_Adj_Lower" comment="Demand (Lower bound), adjusted for reduced elective demand due to Covid + transition + 8 wks">OFFSET('Demand background (hide)'!$DS$4,0,0,'Demand background (hide)'!$EA$5,1)</definedName>
    <definedName name="D_Adj_Missing" comment="Historic baseline, over transition period. Will be used to illustrate 'missing' patients who may not be visible as demand, but we assume will still need to be seen.">OFFSET('Demand background (hide)'!$DO$4,0,0,'Demand background (hide)'!$EE$5,1)</definedName>
    <definedName name="D_Adj_Upper" comment="Demand (upper bound), adjusted for reduced elective care due to Covid + transition and an additional 8 wks">OFFSET('Demand background (hide)'!$DT$4,0,0,'Demand background (hide)'!$EA$5,1)</definedName>
    <definedName name="D_Adj_Xaxis" comment="X-axis range for adjusted demand chart">OFFSET('Demand background (hide)'!$DN$4,0,0,'Demand background (hide)'!$EA$5,1)</definedName>
    <definedName name="demand_scenario">INDEX('Planning Scenarios'!#REF!,1,1):INDEX('Planning Scenarios'!$A$4:$A$96,COUNTA('Planning Scenarios'!$A$4:$A$96),1)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 name="Summary_Blank">IF(Summary!$B$15=0,'Summary Calculations (hide)'!$T$15:$T$66,'Planning (hide)'!$C$4:$C$55)</definedName>
    <definedName name="Summary_Req">IF(Summary!$B$15=0,'Summary Calculations (hide)'!$U$15:$U$66,'Planning (hide)'!$D$4:$D$55)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 i="18" l="1"/>
  <c r="I1" i="31"/>
  <c r="P4" i="18" l="1"/>
  <c r="N4" i="18"/>
  <c r="L4" i="18"/>
  <c r="J4" i="18"/>
  <c r="H4" i="18"/>
  <c r="G4" i="18"/>
  <c r="A2" i="17" l="1"/>
  <c r="B6" i="31" l="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0" i="31"/>
  <c r="B51" i="31"/>
  <c r="B52" i="31"/>
  <c r="B53" i="31"/>
  <c r="B54" i="31"/>
  <c r="B55" i="31"/>
  <c r="B56" i="31"/>
  <c r="B57" i="31"/>
  <c r="B58" i="31"/>
  <c r="B59" i="31"/>
  <c r="B60" i="31"/>
  <c r="B61" i="31"/>
  <c r="B62" i="31"/>
  <c r="B63" i="31"/>
  <c r="B64" i="31"/>
  <c r="B65" i="31"/>
  <c r="B66" i="31"/>
  <c r="B67" i="31"/>
  <c r="B68" i="31"/>
  <c r="B69" i="31"/>
  <c r="B70" i="31"/>
  <c r="B71" i="31"/>
  <c r="B72" i="31"/>
  <c r="B73" i="31"/>
  <c r="B74" i="31"/>
  <c r="B75" i="31"/>
  <c r="B76" i="31"/>
  <c r="B77" i="31"/>
  <c r="B78" i="31"/>
  <c r="B79" i="31"/>
  <c r="B80" i="31"/>
  <c r="B81" i="31"/>
  <c r="B82" i="31"/>
  <c r="B83" i="31"/>
  <c r="B84" i="31"/>
  <c r="B85" i="31"/>
  <c r="B86" i="31"/>
  <c r="B87" i="31"/>
  <c r="B88" i="31"/>
  <c r="B89" i="31"/>
  <c r="B90" i="31"/>
  <c r="B91" i="31"/>
  <c r="B92" i="31"/>
  <c r="B93" i="31"/>
  <c r="B94" i="31"/>
  <c r="B95" i="31"/>
  <c r="B96" i="31"/>
  <c r="B97" i="31"/>
  <c r="B98" i="31"/>
  <c r="B99" i="31"/>
  <c r="B100" i="31"/>
  <c r="B101" i="31"/>
  <c r="B102" i="31"/>
  <c r="B103" i="31"/>
  <c r="B104" i="31"/>
  <c r="B5" i="31"/>
  <c r="A6" i="31"/>
  <c r="A7" i="31"/>
  <c r="A8" i="31"/>
  <c r="A9" i="31"/>
  <c r="A10" i="31"/>
  <c r="A11" i="31"/>
  <c r="A12" i="31"/>
  <c r="A13" i="31"/>
  <c r="A14" i="31"/>
  <c r="A15" i="31"/>
  <c r="A16" i="31"/>
  <c r="A17" i="31"/>
  <c r="A18" i="31"/>
  <c r="A19" i="31"/>
  <c r="A20" i="31"/>
  <c r="A21" i="31"/>
  <c r="A22" i="31"/>
  <c r="A23" i="31"/>
  <c r="A24" i="31"/>
  <c r="A25" i="31"/>
  <c r="A26" i="31"/>
  <c r="A27" i="31"/>
  <c r="A28" i="31"/>
  <c r="A29" i="31"/>
  <c r="A30" i="31"/>
  <c r="A31" i="31"/>
  <c r="A32" i="31"/>
  <c r="A33" i="31"/>
  <c r="A34" i="31"/>
  <c r="A35" i="31"/>
  <c r="A36" i="31"/>
  <c r="A37" i="31"/>
  <c r="A38" i="31"/>
  <c r="A39" i="31"/>
  <c r="A40" i="31"/>
  <c r="A41" i="31"/>
  <c r="A42" i="31"/>
  <c r="A43" i="31"/>
  <c r="A44" i="31"/>
  <c r="A45" i="31"/>
  <c r="A46" i="31"/>
  <c r="A47" i="31"/>
  <c r="A48" i="31"/>
  <c r="A49" i="31"/>
  <c r="A50" i="31"/>
  <c r="A51" i="31"/>
  <c r="A52" i="31"/>
  <c r="A53" i="31"/>
  <c r="A54" i="31"/>
  <c r="A55" i="31"/>
  <c r="A56" i="31"/>
  <c r="A57" i="31"/>
  <c r="A58" i="31"/>
  <c r="A59" i="31"/>
  <c r="A60" i="31"/>
  <c r="A61" i="31"/>
  <c r="A62" i="31"/>
  <c r="A63" i="31"/>
  <c r="A64" i="31"/>
  <c r="A65" i="31"/>
  <c r="A66" i="31"/>
  <c r="A67" i="31"/>
  <c r="A68" i="31"/>
  <c r="A69" i="31"/>
  <c r="A70" i="31"/>
  <c r="A71" i="31"/>
  <c r="A72" i="31"/>
  <c r="A73" i="31"/>
  <c r="A74" i="31"/>
  <c r="A75" i="31"/>
  <c r="A76" i="31"/>
  <c r="A77" i="31"/>
  <c r="A78" i="31"/>
  <c r="A79" i="31"/>
  <c r="A80" i="31"/>
  <c r="A81" i="31"/>
  <c r="A82" i="31"/>
  <c r="A83" i="31"/>
  <c r="A84" i="31"/>
  <c r="A85" i="31"/>
  <c r="A86" i="31"/>
  <c r="A87" i="31"/>
  <c r="A88" i="31"/>
  <c r="A89" i="31"/>
  <c r="A90" i="31"/>
  <c r="A91" i="31"/>
  <c r="A92" i="31"/>
  <c r="A93" i="31"/>
  <c r="A94" i="31"/>
  <c r="A95" i="31"/>
  <c r="A96" i="31"/>
  <c r="A97" i="31"/>
  <c r="A98" i="31"/>
  <c r="A99" i="31"/>
  <c r="A100" i="31"/>
  <c r="A101" i="31"/>
  <c r="A102" i="31"/>
  <c r="A103" i="31"/>
  <c r="A104" i="31"/>
  <c r="A5" i="31"/>
  <c r="B4" i="31" l="1"/>
  <c r="A4" i="31"/>
  <c r="A10" i="40" l="1"/>
  <c r="C13" i="3"/>
  <c r="C13" i="35" l="1"/>
  <c r="B41" i="18" l="1"/>
  <c r="B9" i="3" l="1"/>
  <c r="G33" i="40"/>
  <c r="D33" i="40"/>
  <c r="F33" i="40"/>
  <c r="A11" i="11"/>
  <c r="A13" i="40" l="1"/>
  <c r="D13" i="3" l="1"/>
  <c r="DN4" i="6" l="1"/>
  <c r="K3" i="2"/>
  <c r="K4" i="2" s="1"/>
  <c r="K5" i="2" s="1"/>
  <c r="K6" i="2" s="1"/>
  <c r="K7" i="2" s="1"/>
  <c r="K8" i="2" s="1"/>
  <c r="K9" i="2" s="1"/>
  <c r="K10" i="2" s="1"/>
  <c r="K11" i="2" s="1"/>
  <c r="K12" i="2" s="1"/>
  <c r="K13" i="2" s="1"/>
  <c r="K14" i="2" s="1"/>
  <c r="K15" i="2" s="1"/>
  <c r="K16" i="2" s="1"/>
  <c r="K17" i="2" s="1"/>
  <c r="K18" i="2" s="1"/>
  <c r="K19" i="2" s="1"/>
  <c r="K20" i="2" s="1"/>
  <c r="K21" i="2" s="1"/>
  <c r="K22" i="2" s="1"/>
  <c r="K23" i="2" s="1"/>
  <c r="K24" i="2" s="1"/>
  <c r="K25" i="2" s="1"/>
  <c r="K26" i="2" s="1"/>
  <c r="K27" i="2" s="1"/>
  <c r="K28" i="2" s="1"/>
  <c r="K29" i="2" s="1"/>
  <c r="K30" i="2" s="1"/>
  <c r="K31" i="2" s="1"/>
  <c r="K32" i="2" s="1"/>
  <c r="K33" i="2" s="1"/>
  <c r="K34" i="2" s="1"/>
  <c r="K35" i="2" s="1"/>
  <c r="K36" i="2" s="1"/>
  <c r="K37" i="2" s="1"/>
  <c r="K38" i="2" s="1"/>
  <c r="K39" i="2" s="1"/>
  <c r="K40" i="2" s="1"/>
  <c r="K41" i="2" s="1"/>
  <c r="K42" i="2" s="1"/>
  <c r="K43" i="2" s="1"/>
  <c r="K44" i="2" s="1"/>
  <c r="K45" i="2" s="1"/>
  <c r="K46" i="2" s="1"/>
  <c r="K47" i="2" s="1"/>
  <c r="K48" i="2" s="1"/>
  <c r="K49" i="2" s="1"/>
  <c r="K50" i="2" s="1"/>
  <c r="K51" i="2" s="1"/>
  <c r="K52" i="2" s="1"/>
  <c r="K53" i="2" s="1"/>
  <c r="K54" i="2" s="1"/>
  <c r="DN5" i="6" l="1"/>
  <c r="DM4" i="6"/>
  <c r="D5" i="12"/>
  <c r="DN6" i="6" l="1"/>
  <c r="DM5" i="6"/>
  <c r="H16" i="20"/>
  <c r="DN7" i="6" l="1"/>
  <c r="DM6" i="6"/>
  <c r="D3" i="22"/>
  <c r="DN8" i="6" l="1"/>
  <c r="DM7" i="6"/>
  <c r="C4" i="20"/>
  <c r="D4" i="22" s="1"/>
  <c r="DN9" i="6" l="1"/>
  <c r="DM8" i="6"/>
  <c r="B223" i="24"/>
  <c r="D223" i="24" s="1"/>
  <c r="B222" i="24"/>
  <c r="C222" i="24" s="1"/>
  <c r="B221" i="24"/>
  <c r="D221" i="24" s="1"/>
  <c r="B220" i="24"/>
  <c r="B219" i="24"/>
  <c r="B218" i="24"/>
  <c r="D218" i="24" s="1"/>
  <c r="B217" i="24"/>
  <c r="B216" i="24"/>
  <c r="B215" i="24"/>
  <c r="D215" i="24" s="1"/>
  <c r="B214" i="24"/>
  <c r="C214" i="24" s="1"/>
  <c r="B213" i="24"/>
  <c r="C213" i="24" s="1"/>
  <c r="B212" i="24"/>
  <c r="B211" i="24"/>
  <c r="B210" i="24"/>
  <c r="B209" i="24"/>
  <c r="D209" i="24" s="1"/>
  <c r="B208" i="24"/>
  <c r="B207" i="24"/>
  <c r="D207" i="24" s="1"/>
  <c r="B206" i="24"/>
  <c r="C206" i="24" s="1"/>
  <c r="B205" i="24"/>
  <c r="C205" i="24" s="1"/>
  <c r="B204" i="24"/>
  <c r="B203" i="24"/>
  <c r="B202" i="24"/>
  <c r="B201" i="24"/>
  <c r="B200" i="24"/>
  <c r="B199" i="24"/>
  <c r="D199" i="24" s="1"/>
  <c r="B198" i="24"/>
  <c r="C198" i="24" s="1"/>
  <c r="B197" i="24"/>
  <c r="C197" i="24" s="1"/>
  <c r="B196" i="24"/>
  <c r="B195" i="24"/>
  <c r="B194" i="24"/>
  <c r="B193" i="24"/>
  <c r="B192" i="24"/>
  <c r="B191" i="24"/>
  <c r="D191" i="24" s="1"/>
  <c r="B190" i="24"/>
  <c r="C190" i="24" s="1"/>
  <c r="B189" i="24"/>
  <c r="C189" i="24" s="1"/>
  <c r="B188" i="24"/>
  <c r="B187" i="24"/>
  <c r="B186" i="24"/>
  <c r="B185" i="24"/>
  <c r="C185" i="24" s="1"/>
  <c r="B184" i="24"/>
  <c r="B183" i="24"/>
  <c r="D183" i="24" s="1"/>
  <c r="B182" i="24"/>
  <c r="C182" i="24" s="1"/>
  <c r="B181" i="24"/>
  <c r="C181" i="24" s="1"/>
  <c r="B180" i="24"/>
  <c r="B179" i="24"/>
  <c r="B178" i="24"/>
  <c r="B177" i="24"/>
  <c r="D177" i="24" s="1"/>
  <c r="B176" i="24"/>
  <c r="B175" i="24"/>
  <c r="D175" i="24" s="1"/>
  <c r="B174" i="24"/>
  <c r="C174" i="24" s="1"/>
  <c r="B173" i="24"/>
  <c r="C173" i="24" s="1"/>
  <c r="B172" i="24"/>
  <c r="B171" i="24"/>
  <c r="B170" i="24"/>
  <c r="B169" i="24"/>
  <c r="D169" i="24" s="1"/>
  <c r="B168" i="24"/>
  <c r="B167" i="24"/>
  <c r="D167" i="24" s="1"/>
  <c r="B166" i="24"/>
  <c r="C166" i="24" s="1"/>
  <c r="B165" i="24"/>
  <c r="C165" i="24" s="1"/>
  <c r="B164" i="24"/>
  <c r="B163" i="24"/>
  <c r="B162" i="24"/>
  <c r="B161" i="24"/>
  <c r="B160" i="24"/>
  <c r="B159" i="24"/>
  <c r="D159" i="24" s="1"/>
  <c r="B158" i="24"/>
  <c r="C158" i="24" s="1"/>
  <c r="B157" i="24"/>
  <c r="C157" i="24" s="1"/>
  <c r="B156" i="24"/>
  <c r="B155" i="24"/>
  <c r="B154" i="24"/>
  <c r="B153" i="24"/>
  <c r="D153" i="24" s="1"/>
  <c r="B152" i="24"/>
  <c r="B151" i="24"/>
  <c r="D151" i="24" s="1"/>
  <c r="B150" i="24"/>
  <c r="C150" i="24" s="1"/>
  <c r="B149" i="24"/>
  <c r="C149" i="24" s="1"/>
  <c r="B148" i="24"/>
  <c r="B147" i="24"/>
  <c r="B146" i="24"/>
  <c r="B145" i="24"/>
  <c r="B144" i="24"/>
  <c r="B143" i="24"/>
  <c r="D143" i="24" s="1"/>
  <c r="B142" i="24"/>
  <c r="C142" i="24" s="1"/>
  <c r="B141" i="24"/>
  <c r="C141" i="24" s="1"/>
  <c r="B140" i="24"/>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N10" i="6" l="1"/>
  <c r="DM9" i="6"/>
  <c r="C147" i="24"/>
  <c r="C187" i="24"/>
  <c r="D202" i="24"/>
  <c r="C163" i="24"/>
  <c r="C153" i="24"/>
  <c r="C179" i="24"/>
  <c r="D141" i="24"/>
  <c r="C186" i="24"/>
  <c r="C199" i="24"/>
  <c r="C201" i="24"/>
  <c r="D145" i="24"/>
  <c r="D146" i="24"/>
  <c r="C169" i="24"/>
  <c r="D170" i="24"/>
  <c r="C183" i="24"/>
  <c r="D185" i="24"/>
  <c r="D186" i="24"/>
  <c r="D188" i="24"/>
  <c r="C191" i="24"/>
  <c r="C194" i="24"/>
  <c r="D197" i="24"/>
  <c r="C203" i="24"/>
  <c r="C209" i="24"/>
  <c r="C215" i="24"/>
  <c r="D219" i="24"/>
  <c r="C143" i="24"/>
  <c r="C145" i="24"/>
  <c r="C146" i="24"/>
  <c r="D205" i="24"/>
  <c r="D149" i="24"/>
  <c r="D165" i="24"/>
  <c r="C202" i="24"/>
  <c r="C218" i="24"/>
  <c r="D125" i="24"/>
  <c r="D124" i="24"/>
  <c r="D156" i="24"/>
  <c r="C167" i="24"/>
  <c r="C170" i="24"/>
  <c r="D181" i="24"/>
  <c r="D194" i="24"/>
  <c r="D212" i="24"/>
  <c r="C223" i="24"/>
  <c r="D157" i="24"/>
  <c r="C175" i="24"/>
  <c r="C178" i="24"/>
  <c r="C195" i="24"/>
  <c r="D213" i="24"/>
  <c r="C217" i="24"/>
  <c r="C161" i="24"/>
  <c r="C151" i="24"/>
  <c r="C154" i="24"/>
  <c r="D161" i="24"/>
  <c r="C171" i="24"/>
  <c r="D178" i="24"/>
  <c r="D189" i="24"/>
  <c r="C193" i="24"/>
  <c r="C207" i="24"/>
  <c r="C210" i="24"/>
  <c r="D217" i="24"/>
  <c r="D220" i="24"/>
  <c r="C127" i="24"/>
  <c r="D154" i="24"/>
  <c r="D193" i="24"/>
  <c r="D210" i="24"/>
  <c r="C155" i="24"/>
  <c r="C159" i="24"/>
  <c r="C162" i="24"/>
  <c r="D173" i="24"/>
  <c r="C177" i="24"/>
  <c r="D201" i="24"/>
  <c r="C211" i="24"/>
  <c r="D162" i="24"/>
  <c r="D138"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C144" i="24"/>
  <c r="D147" i="24"/>
  <c r="C152" i="24"/>
  <c r="D155" i="24"/>
  <c r="C160" i="24"/>
  <c r="D163" i="24"/>
  <c r="C168" i="24"/>
  <c r="D171" i="24"/>
  <c r="C176" i="24"/>
  <c r="D179" i="24"/>
  <c r="C184" i="24"/>
  <c r="D187" i="24"/>
  <c r="C192" i="24"/>
  <c r="D195" i="24"/>
  <c r="C200" i="24"/>
  <c r="D203" i="24"/>
  <c r="C208" i="24"/>
  <c r="D211" i="24"/>
  <c r="C216"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DN11" i="6" l="1"/>
  <c r="DM10" i="6"/>
  <c r="B2" i="12"/>
  <c r="DN12" i="6" l="1"/>
  <c r="DM11" i="6"/>
  <c r="L4" i="12"/>
  <c r="DN13" i="6" l="1"/>
  <c r="DM12" i="6"/>
  <c r="D275" i="12"/>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DN14" i="6" l="1"/>
  <c r="DM13" i="6"/>
  <c r="B4" i="39"/>
  <c r="B3" i="39"/>
  <c r="DN15" i="6" l="1"/>
  <c r="DM14" i="6"/>
  <c r="H12" i="39"/>
  <c r="I12" i="39"/>
  <c r="J12" i="39"/>
  <c r="K12" i="39"/>
  <c r="DN16" i="6" l="1"/>
  <c r="DM15" i="6"/>
  <c r="C13" i="14"/>
  <c r="DN17" i="6" l="1"/>
  <c r="DM16" i="6"/>
  <c r="A16" i="12"/>
  <c r="DN18" i="6" l="1"/>
  <c r="DM17" i="6"/>
  <c r="B2" i="33"/>
  <c r="DN19" i="6" l="1"/>
  <c r="DM18" i="6"/>
  <c r="C61" i="18"/>
  <c r="D57" i="26"/>
  <c r="N57" i="26" s="1"/>
  <c r="D56" i="26"/>
  <c r="N56" i="26" s="1"/>
  <c r="D55" i="26"/>
  <c r="N55" i="26" s="1"/>
  <c r="DN20" i="6" l="1"/>
  <c r="DM19" i="6"/>
  <c r="B6" i="30"/>
  <c r="DN21" i="6" l="1"/>
  <c r="DM20" i="6"/>
  <c r="A6" i="30"/>
  <c r="E11" i="17"/>
  <c r="A15" i="17" s="1"/>
  <c r="F6" i="30"/>
  <c r="A13" i="14"/>
  <c r="DN22" i="6" l="1"/>
  <c r="DM21" i="6"/>
  <c r="I6" i="28"/>
  <c r="DN23" i="6" l="1"/>
  <c r="DM22" i="6"/>
  <c r="B3" i="15"/>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DN24" i="6" l="1"/>
  <c r="DM23" i="6"/>
  <c r="B69" i="26"/>
  <c r="B70" i="26"/>
  <c r="B71" i="26"/>
  <c r="B72" i="26"/>
  <c r="B73" i="26"/>
  <c r="B74" i="26"/>
  <c r="B75" i="26"/>
  <c r="B76" i="26"/>
  <c r="B77" i="26"/>
  <c r="B68" i="26"/>
  <c r="DN25" i="6" l="1"/>
  <c r="DM24" i="6"/>
  <c r="B79" i="26"/>
  <c r="B4" i="24"/>
  <c r="DN26" i="6" l="1"/>
  <c r="DM25" i="6"/>
  <c r="T16" i="20"/>
  <c r="R16" i="20"/>
  <c r="F16" i="20"/>
  <c r="C26" i="35"/>
  <c r="C27" i="35"/>
  <c r="C28" i="35"/>
  <c r="C29" i="35"/>
  <c r="C30" i="35"/>
  <c r="C31" i="35"/>
  <c r="C32" i="35"/>
  <c r="C33" i="35"/>
  <c r="C34" i="35"/>
  <c r="C35" i="35"/>
  <c r="C36" i="35"/>
  <c r="C37" i="35"/>
  <c r="C38" i="35"/>
  <c r="C39" i="35"/>
  <c r="C40" i="35"/>
  <c r="C41" i="35"/>
  <c r="C42" i="35"/>
  <c r="C43" i="35"/>
  <c r="C44" i="35"/>
  <c r="C45" i="35"/>
  <c r="C25" i="35"/>
  <c r="DN27" i="6" l="1"/>
  <c r="DM26" i="6"/>
  <c r="C17" i="37"/>
  <c r="A4" i="36"/>
  <c r="B4" i="36" s="1"/>
  <c r="DN28" i="6" l="1"/>
  <c r="DM27" i="6"/>
  <c r="A10" i="38"/>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DN29" i="6" l="1"/>
  <c r="DM28" i="6"/>
  <c r="J3" i="36"/>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A6" i="36" l="1"/>
  <c r="B5" i="36"/>
  <c r="DN30" i="6"/>
  <c r="DM29" i="6"/>
  <c r="A7" i="36" l="1"/>
  <c r="B6" i="36"/>
  <c r="DN31" i="6"/>
  <c r="DM30" i="6"/>
  <c r="B38" i="18"/>
  <c r="A8" i="36" l="1"/>
  <c r="B7" i="36"/>
  <c r="DN32" i="6"/>
  <c r="DM31" i="6"/>
  <c r="A9" i="36" l="1"/>
  <c r="B8" i="36"/>
  <c r="DN33" i="6"/>
  <c r="DM32" i="6"/>
  <c r="K3" i="36"/>
  <c r="B25" i="24"/>
  <c r="B26" i="24"/>
  <c r="B27" i="24"/>
  <c r="B28" i="24"/>
  <c r="B29" i="24"/>
  <c r="B30" i="24"/>
  <c r="B31" i="24"/>
  <c r="B32" i="24"/>
  <c r="C32" i="24" s="1"/>
  <c r="B33" i="24"/>
  <c r="B34" i="24"/>
  <c r="B35" i="24"/>
  <c r="B36" i="24"/>
  <c r="C36" i="24" s="1"/>
  <c r="B37" i="24"/>
  <c r="B38" i="24"/>
  <c r="B39" i="24"/>
  <c r="B40" i="24"/>
  <c r="C40" i="24" s="1"/>
  <c r="B41" i="24"/>
  <c r="B42" i="24"/>
  <c r="B43" i="24"/>
  <c r="B44" i="24"/>
  <c r="B45" i="24"/>
  <c r="B46" i="24"/>
  <c r="B47" i="24"/>
  <c r="B48" i="24"/>
  <c r="C48" i="24" s="1"/>
  <c r="B49" i="24"/>
  <c r="B50" i="24"/>
  <c r="B51" i="24"/>
  <c r="B52" i="24"/>
  <c r="B53" i="24"/>
  <c r="B54" i="24"/>
  <c r="B55" i="24"/>
  <c r="B56" i="24"/>
  <c r="B57" i="24"/>
  <c r="B58" i="24"/>
  <c r="B59" i="24"/>
  <c r="B60" i="24"/>
  <c r="C60" i="24" s="1"/>
  <c r="B61" i="24"/>
  <c r="B62" i="24"/>
  <c r="B63" i="24"/>
  <c r="B64" i="24"/>
  <c r="B65" i="24"/>
  <c r="B66" i="24"/>
  <c r="B67" i="24"/>
  <c r="B68" i="24"/>
  <c r="C68" i="24" s="1"/>
  <c r="B69" i="24"/>
  <c r="B70" i="24"/>
  <c r="B71" i="24"/>
  <c r="B72" i="24"/>
  <c r="B73" i="24"/>
  <c r="B74" i="24"/>
  <c r="B75" i="24"/>
  <c r="B76" i="24"/>
  <c r="C76" i="24" s="1"/>
  <c r="B77" i="24"/>
  <c r="B78" i="24"/>
  <c r="B79" i="24"/>
  <c r="B80" i="24"/>
  <c r="C80" i="24" s="1"/>
  <c r="B81" i="24"/>
  <c r="B82" i="24"/>
  <c r="B83" i="24"/>
  <c r="B84" i="24"/>
  <c r="B85" i="24"/>
  <c r="B86" i="24"/>
  <c r="B87" i="24"/>
  <c r="B88" i="24"/>
  <c r="C88" i="24" s="1"/>
  <c r="B89" i="24"/>
  <c r="B90" i="24"/>
  <c r="B91" i="24"/>
  <c r="B92" i="24"/>
  <c r="B93" i="24"/>
  <c r="B94" i="24"/>
  <c r="B95" i="24"/>
  <c r="B96" i="24"/>
  <c r="B97" i="24"/>
  <c r="B98" i="24"/>
  <c r="B99" i="24"/>
  <c r="B100" i="24"/>
  <c r="C100" i="24" s="1"/>
  <c r="B101" i="24"/>
  <c r="B102" i="24"/>
  <c r="B103" i="24"/>
  <c r="B104" i="24"/>
  <c r="C104" i="24" s="1"/>
  <c r="B105" i="24"/>
  <c r="B106" i="24"/>
  <c r="B107" i="24"/>
  <c r="B108" i="24"/>
  <c r="B109" i="24"/>
  <c r="B110" i="24"/>
  <c r="B111" i="24"/>
  <c r="B112" i="24"/>
  <c r="C112" i="24" s="1"/>
  <c r="B113" i="24"/>
  <c r="B114" i="24"/>
  <c r="B115" i="24"/>
  <c r="B116" i="24"/>
  <c r="B117" i="24"/>
  <c r="B118" i="24"/>
  <c r="B119" i="24"/>
  <c r="B120" i="24"/>
  <c r="B121" i="24"/>
  <c r="B122" i="24"/>
  <c r="B123" i="24"/>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A10" i="36" l="1"/>
  <c r="B9" i="36"/>
  <c r="DN34" i="6"/>
  <c r="DM33" i="6"/>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11" i="36" l="1"/>
  <c r="B10" i="36"/>
  <c r="DN35" i="6"/>
  <c r="DM34" i="6"/>
  <c r="AE4" i="2"/>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A12" i="36" l="1"/>
  <c r="B11" i="36"/>
  <c r="DN36" i="6"/>
  <c r="DM35" i="6"/>
  <c r="B111" i="32"/>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A13" i="36" l="1"/>
  <c r="B12" i="36"/>
  <c r="DN37" i="6"/>
  <c r="DM36" i="6"/>
  <c r="T103" i="30"/>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A14" i="36" l="1"/>
  <c r="B13" i="36"/>
  <c r="DN38" i="6"/>
  <c r="DM37" i="6"/>
  <c r="BK3" i="31"/>
  <c r="E6" i="30"/>
  <c r="D6" i="30"/>
  <c r="B7" i="30"/>
  <c r="A7" i="30" s="1"/>
  <c r="BK1" i="31" l="1"/>
  <c r="A15" i="36"/>
  <c r="B14" i="36"/>
  <c r="DN39" i="6"/>
  <c r="DM38" i="6"/>
  <c r="F7" i="30"/>
  <c r="BL3" i="31" s="1"/>
  <c r="BL1"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BL110" i="31" l="1"/>
  <c r="A16" i="36"/>
  <c r="B15" i="36"/>
  <c r="DN40" i="6"/>
  <c r="DM39" i="6"/>
  <c r="F8" i="30"/>
  <c r="BM3" i="31" s="1"/>
  <c r="BM1" i="31" s="1"/>
  <c r="A8" i="30"/>
  <c r="D8" i="30"/>
  <c r="E8" i="30"/>
  <c r="B9" i="30"/>
  <c r="A9" i="30" s="1"/>
  <c r="A11" i="22"/>
  <c r="G65" i="26"/>
  <c r="R12" i="17"/>
  <c r="H13" i="39"/>
  <c r="BM110" i="31" l="1"/>
  <c r="A17" i="36"/>
  <c r="B16" i="36"/>
  <c r="BE211" i="31"/>
  <c r="BA211" i="31"/>
  <c r="AW211" i="31"/>
  <c r="AS211" i="31"/>
  <c r="AO211" i="31"/>
  <c r="AK211" i="31"/>
  <c r="AG211" i="31"/>
  <c r="AC211" i="31"/>
  <c r="Y211" i="31"/>
  <c r="U211" i="31"/>
  <c r="Q211" i="31"/>
  <c r="M211" i="31"/>
  <c r="I211" i="31"/>
  <c r="BE210" i="31"/>
  <c r="BA210" i="31"/>
  <c r="AW210" i="31"/>
  <c r="AS210" i="31"/>
  <c r="AO210" i="31"/>
  <c r="AK210" i="31"/>
  <c r="AG210" i="31"/>
  <c r="AC210" i="31"/>
  <c r="Y210" i="31"/>
  <c r="U210" i="31"/>
  <c r="Q210" i="31"/>
  <c r="M210" i="31"/>
  <c r="I210" i="31"/>
  <c r="BE209" i="31"/>
  <c r="BA209" i="31"/>
  <c r="AW209" i="31"/>
  <c r="AS209" i="31"/>
  <c r="AO209" i="31"/>
  <c r="AK209" i="31"/>
  <c r="AG209" i="31"/>
  <c r="AC209" i="31"/>
  <c r="Y209" i="31"/>
  <c r="U209" i="31"/>
  <c r="Q209" i="31"/>
  <c r="M209" i="31"/>
  <c r="I209" i="31"/>
  <c r="BE208" i="31"/>
  <c r="BA208" i="31"/>
  <c r="AW208" i="31"/>
  <c r="AS208" i="31"/>
  <c r="AO208" i="31"/>
  <c r="AK208" i="31"/>
  <c r="AG208" i="31"/>
  <c r="AC208" i="31"/>
  <c r="Y208" i="31"/>
  <c r="U208" i="31"/>
  <c r="Q208" i="31"/>
  <c r="M208" i="31"/>
  <c r="I208" i="31"/>
  <c r="BE207" i="31"/>
  <c r="BA207" i="31"/>
  <c r="AW207" i="31"/>
  <c r="AS207" i="31"/>
  <c r="AO207" i="31"/>
  <c r="AK207" i="31"/>
  <c r="AG207" i="31"/>
  <c r="AC207" i="31"/>
  <c r="Y207" i="31"/>
  <c r="U207" i="31"/>
  <c r="Q207" i="31"/>
  <c r="M207" i="31"/>
  <c r="I207" i="31"/>
  <c r="BE206" i="31"/>
  <c r="BA206" i="31"/>
  <c r="AW206" i="31"/>
  <c r="AS206" i="31"/>
  <c r="AO206" i="31"/>
  <c r="AK206" i="31"/>
  <c r="AG206" i="31"/>
  <c r="AC206" i="31"/>
  <c r="Y206" i="31"/>
  <c r="U206" i="31"/>
  <c r="Q206" i="31"/>
  <c r="M206" i="31"/>
  <c r="I206" i="31"/>
  <c r="BE205" i="31"/>
  <c r="BA205" i="31"/>
  <c r="AW205" i="31"/>
  <c r="AS205" i="31"/>
  <c r="AO205" i="31"/>
  <c r="AK205" i="31"/>
  <c r="AG205" i="31"/>
  <c r="BD211" i="31"/>
  <c r="AZ211" i="31"/>
  <c r="AV211" i="31"/>
  <c r="AR211" i="31"/>
  <c r="AN211" i="31"/>
  <c r="AJ211" i="31"/>
  <c r="AF211" i="31"/>
  <c r="AB211" i="31"/>
  <c r="X211" i="31"/>
  <c r="T211" i="31"/>
  <c r="P211" i="31"/>
  <c r="L211" i="31"/>
  <c r="H211" i="31"/>
  <c r="BD210" i="31"/>
  <c r="AZ210" i="31"/>
  <c r="AV210" i="31"/>
  <c r="AR210" i="31"/>
  <c r="AN210" i="31"/>
  <c r="AJ210" i="31"/>
  <c r="AF210" i="31"/>
  <c r="AB210" i="31"/>
  <c r="X210" i="31"/>
  <c r="T210" i="31"/>
  <c r="P210" i="31"/>
  <c r="L210" i="31"/>
  <c r="H210" i="31"/>
  <c r="BD209" i="31"/>
  <c r="AZ209" i="31"/>
  <c r="AV209" i="31"/>
  <c r="AR209" i="31"/>
  <c r="AN209" i="31"/>
  <c r="AJ209" i="31"/>
  <c r="AF209" i="31"/>
  <c r="AB209" i="31"/>
  <c r="X209" i="31"/>
  <c r="T209" i="31"/>
  <c r="P209" i="31"/>
  <c r="L209" i="31"/>
  <c r="H209" i="31"/>
  <c r="BD208" i="31"/>
  <c r="AZ208" i="31"/>
  <c r="AV208" i="31"/>
  <c r="AR208" i="31"/>
  <c r="AN208" i="31"/>
  <c r="AJ208" i="31"/>
  <c r="AF208" i="31"/>
  <c r="AB208" i="31"/>
  <c r="X208" i="31"/>
  <c r="T208" i="31"/>
  <c r="P208" i="31"/>
  <c r="L208" i="31"/>
  <c r="H208" i="31"/>
  <c r="BD207" i="31"/>
  <c r="AZ207" i="31"/>
  <c r="AV207" i="31"/>
  <c r="AR207" i="31"/>
  <c r="AN207" i="31"/>
  <c r="AJ207" i="31"/>
  <c r="AF207" i="31"/>
  <c r="AB207" i="31"/>
  <c r="X207" i="31"/>
  <c r="T207" i="31"/>
  <c r="P207" i="31"/>
  <c r="L207" i="31"/>
  <c r="H207" i="31"/>
  <c r="BD206" i="31"/>
  <c r="AZ206" i="31"/>
  <c r="AV206" i="31"/>
  <c r="AR206" i="31"/>
  <c r="AN206" i="31"/>
  <c r="AJ206" i="31"/>
  <c r="AF206" i="31"/>
  <c r="AB206" i="31"/>
  <c r="X206" i="31"/>
  <c r="T206" i="31"/>
  <c r="P206" i="31"/>
  <c r="L206" i="31"/>
  <c r="H206" i="31"/>
  <c r="BD205" i="31"/>
  <c r="AZ205" i="31"/>
  <c r="AV205" i="31"/>
  <c r="AR205" i="31"/>
  <c r="AN205" i="31"/>
  <c r="BC211" i="31"/>
  <c r="AU211" i="31"/>
  <c r="AM211" i="31"/>
  <c r="AE211" i="31"/>
  <c r="W211" i="31"/>
  <c r="O211" i="31"/>
  <c r="BG210" i="31"/>
  <c r="AY210" i="31"/>
  <c r="AQ210" i="31"/>
  <c r="AI210" i="31"/>
  <c r="AA210" i="31"/>
  <c r="S210" i="31"/>
  <c r="K210" i="31"/>
  <c r="BC209" i="31"/>
  <c r="AU209" i="31"/>
  <c r="AM209" i="31"/>
  <c r="AE209" i="31"/>
  <c r="W209" i="31"/>
  <c r="O209" i="31"/>
  <c r="BG208" i="31"/>
  <c r="AY208" i="31"/>
  <c r="AQ208" i="31"/>
  <c r="AI208" i="31"/>
  <c r="AA208" i="31"/>
  <c r="S208" i="31"/>
  <c r="K208" i="31"/>
  <c r="BC207" i="31"/>
  <c r="AU207" i="31"/>
  <c r="AM207" i="31"/>
  <c r="AE207" i="31"/>
  <c r="W207" i="31"/>
  <c r="O207" i="31"/>
  <c r="BG206" i="31"/>
  <c r="AY206" i="31"/>
  <c r="AQ206" i="31"/>
  <c r="AI206" i="31"/>
  <c r="AA206" i="31"/>
  <c r="S206" i="31"/>
  <c r="K206" i="31"/>
  <c r="BC205" i="31"/>
  <c r="AU205" i="31"/>
  <c r="AM205" i="31"/>
  <c r="AH205" i="31"/>
  <c r="AC205" i="31"/>
  <c r="Y205" i="31"/>
  <c r="U205" i="31"/>
  <c r="Q205" i="31"/>
  <c r="M205" i="31"/>
  <c r="I205" i="31"/>
  <c r="BE204" i="31"/>
  <c r="BA204" i="31"/>
  <c r="AW204" i="31"/>
  <c r="AS204" i="31"/>
  <c r="AO204" i="31"/>
  <c r="AK204" i="31"/>
  <c r="AG204" i="31"/>
  <c r="AC204" i="31"/>
  <c r="Y204" i="31"/>
  <c r="U204" i="31"/>
  <c r="Q204" i="31"/>
  <c r="M204" i="31"/>
  <c r="I204" i="31"/>
  <c r="BE203" i="31"/>
  <c r="BA203" i="31"/>
  <c r="AW203" i="31"/>
  <c r="AS203" i="31"/>
  <c r="AO203" i="31"/>
  <c r="AK203" i="31"/>
  <c r="AG203" i="31"/>
  <c r="AC203" i="31"/>
  <c r="Y203" i="31"/>
  <c r="U203" i="31"/>
  <c r="Q203" i="31"/>
  <c r="M203" i="31"/>
  <c r="I203" i="31"/>
  <c r="BE202" i="31"/>
  <c r="BA202" i="31"/>
  <c r="AW202" i="31"/>
  <c r="AS202" i="31"/>
  <c r="AO202" i="31"/>
  <c r="AK202" i="31"/>
  <c r="AG202" i="31"/>
  <c r="AC202" i="31"/>
  <c r="Y202" i="31"/>
  <c r="U202" i="31"/>
  <c r="Q202" i="31"/>
  <c r="M202" i="31"/>
  <c r="I202" i="31"/>
  <c r="BE201" i="31"/>
  <c r="BA201" i="31"/>
  <c r="AW201" i="31"/>
  <c r="AS201" i="31"/>
  <c r="AO201" i="31"/>
  <c r="AK201" i="31"/>
  <c r="AG201" i="31"/>
  <c r="BB211" i="31"/>
  <c r="AT211" i="31"/>
  <c r="AL211" i="31"/>
  <c r="AD211" i="31"/>
  <c r="V211" i="31"/>
  <c r="N211" i="31"/>
  <c r="BF210" i="31"/>
  <c r="AX210" i="31"/>
  <c r="AP210" i="31"/>
  <c r="AH210" i="31"/>
  <c r="Z210" i="31"/>
  <c r="R210" i="31"/>
  <c r="J210" i="31"/>
  <c r="BB209" i="31"/>
  <c r="AT209" i="31"/>
  <c r="AL209" i="31"/>
  <c r="AD209" i="31"/>
  <c r="V209" i="31"/>
  <c r="N209" i="31"/>
  <c r="BF208" i="31"/>
  <c r="AX208" i="31"/>
  <c r="AP208" i="31"/>
  <c r="AH208" i="31"/>
  <c r="Z208" i="31"/>
  <c r="R208" i="31"/>
  <c r="J208" i="31"/>
  <c r="BB207" i="31"/>
  <c r="AT207" i="31"/>
  <c r="AL207" i="31"/>
  <c r="AD207" i="31"/>
  <c r="V207" i="31"/>
  <c r="N207" i="31"/>
  <c r="BF206" i="31"/>
  <c r="AX206" i="31"/>
  <c r="AP206" i="31"/>
  <c r="AH206" i="31"/>
  <c r="Z206" i="31"/>
  <c r="R206" i="31"/>
  <c r="J206" i="31"/>
  <c r="BB205" i="31"/>
  <c r="AT205" i="31"/>
  <c r="AL205" i="31"/>
  <c r="AF205" i="31"/>
  <c r="AB205" i="31"/>
  <c r="X205" i="31"/>
  <c r="T205" i="31"/>
  <c r="P205" i="31"/>
  <c r="L205" i="31"/>
  <c r="H205" i="31"/>
  <c r="BD204" i="31"/>
  <c r="AZ204" i="31"/>
  <c r="AV204" i="31"/>
  <c r="AR204" i="31"/>
  <c r="AN204" i="31"/>
  <c r="AJ204" i="31"/>
  <c r="AF204" i="31"/>
  <c r="AB204" i="31"/>
  <c r="X204" i="31"/>
  <c r="T204" i="31"/>
  <c r="P204" i="31"/>
  <c r="L204" i="31"/>
  <c r="H204" i="31"/>
  <c r="BD203" i="31"/>
  <c r="AZ203" i="31"/>
  <c r="AV203" i="31"/>
  <c r="AR203" i="31"/>
  <c r="AN203" i="31"/>
  <c r="AJ203" i="31"/>
  <c r="AF203" i="31"/>
  <c r="AB203" i="31"/>
  <c r="X203" i="31"/>
  <c r="T203" i="31"/>
  <c r="P203" i="31"/>
  <c r="L203" i="31"/>
  <c r="H203" i="31"/>
  <c r="BD202" i="31"/>
  <c r="AZ202" i="31"/>
  <c r="AV202" i="31"/>
  <c r="AR202" i="31"/>
  <c r="AN202" i="31"/>
  <c r="AJ202" i="31"/>
  <c r="AF202" i="31"/>
  <c r="AB202" i="31"/>
  <c r="X202" i="31"/>
  <c r="T202" i="31"/>
  <c r="BG211" i="31"/>
  <c r="AY211" i="31"/>
  <c r="AQ211" i="31"/>
  <c r="AI211" i="31"/>
  <c r="AA211" i="31"/>
  <c r="S211" i="31"/>
  <c r="K211" i="31"/>
  <c r="BC210" i="31"/>
  <c r="AU210" i="31"/>
  <c r="AM210" i="31"/>
  <c r="AE210" i="31"/>
  <c r="W210" i="31"/>
  <c r="O210" i="31"/>
  <c r="BG209" i="31"/>
  <c r="AY209" i="31"/>
  <c r="AQ209" i="31"/>
  <c r="AI209" i="31"/>
  <c r="AA209" i="31"/>
  <c r="S209" i="31"/>
  <c r="K209" i="31"/>
  <c r="BC208" i="31"/>
  <c r="AU208" i="31"/>
  <c r="AM208" i="31"/>
  <c r="AE208" i="31"/>
  <c r="W208" i="31"/>
  <c r="O208" i="31"/>
  <c r="BG207" i="31"/>
  <c r="AY207" i="31"/>
  <c r="AQ207" i="31"/>
  <c r="AI207" i="31"/>
  <c r="AA207" i="31"/>
  <c r="S207" i="31"/>
  <c r="K207" i="31"/>
  <c r="BC206" i="31"/>
  <c r="AU206" i="31"/>
  <c r="AM206" i="31"/>
  <c r="AE206" i="31"/>
  <c r="W206" i="31"/>
  <c r="O206" i="31"/>
  <c r="BG205" i="31"/>
  <c r="AY205" i="31"/>
  <c r="AQ205" i="31"/>
  <c r="AJ205" i="31"/>
  <c r="AE205" i="31"/>
  <c r="AA205" i="31"/>
  <c r="W205" i="31"/>
  <c r="S205" i="31"/>
  <c r="O205" i="31"/>
  <c r="K205" i="31"/>
  <c r="BG204" i="31"/>
  <c r="BC204" i="31"/>
  <c r="AY204" i="31"/>
  <c r="AU204" i="31"/>
  <c r="AQ204" i="31"/>
  <c r="AM204" i="31"/>
  <c r="AI204" i="31"/>
  <c r="AE204" i="31"/>
  <c r="AA204" i="31"/>
  <c r="W204" i="31"/>
  <c r="S204" i="31"/>
  <c r="O204" i="31"/>
  <c r="K204" i="31"/>
  <c r="BG203" i="31"/>
  <c r="BC203" i="31"/>
  <c r="AY203" i="31"/>
  <c r="AU203" i="31"/>
  <c r="AQ203" i="31"/>
  <c r="AM203" i="31"/>
  <c r="AI203" i="31"/>
  <c r="AE203" i="31"/>
  <c r="AA203" i="31"/>
  <c r="W203" i="31"/>
  <c r="S203" i="31"/>
  <c r="O203" i="31"/>
  <c r="K203" i="31"/>
  <c r="BG202" i="31"/>
  <c r="AP211" i="31"/>
  <c r="J211" i="31"/>
  <c r="AD210" i="31"/>
  <c r="AX209" i="31"/>
  <c r="R209" i="31"/>
  <c r="AL208" i="31"/>
  <c r="BF207" i="31"/>
  <c r="Z207" i="31"/>
  <c r="AT206" i="31"/>
  <c r="N206" i="31"/>
  <c r="AI205" i="31"/>
  <c r="R205" i="31"/>
  <c r="BB204" i="31"/>
  <c r="AL204" i="31"/>
  <c r="V204" i="31"/>
  <c r="BF203" i="31"/>
  <c r="AP203" i="31"/>
  <c r="Z203" i="31"/>
  <c r="J203" i="31"/>
  <c r="AY202" i="31"/>
  <c r="AQ202" i="31"/>
  <c r="AI202" i="31"/>
  <c r="AA202" i="31"/>
  <c r="S202" i="31"/>
  <c r="N202" i="31"/>
  <c r="H202" i="31"/>
  <c r="BC201" i="31"/>
  <c r="AX201" i="31"/>
  <c r="AR201" i="31"/>
  <c r="AM201" i="31"/>
  <c r="AH201" i="31"/>
  <c r="AC201" i="31"/>
  <c r="Y201" i="31"/>
  <c r="U201" i="31"/>
  <c r="Q201" i="31"/>
  <c r="M201" i="31"/>
  <c r="I201" i="31"/>
  <c r="BE200" i="31"/>
  <c r="BA200" i="31"/>
  <c r="AW200" i="31"/>
  <c r="AS200" i="31"/>
  <c r="AO200" i="31"/>
  <c r="AK200" i="31"/>
  <c r="AG200" i="31"/>
  <c r="AC200" i="31"/>
  <c r="Y200" i="31"/>
  <c r="U200" i="31"/>
  <c r="Q200" i="31"/>
  <c r="M200" i="31"/>
  <c r="I200" i="31"/>
  <c r="BE199" i="31"/>
  <c r="BA199" i="31"/>
  <c r="AW199" i="31"/>
  <c r="AS199" i="31"/>
  <c r="AO199" i="31"/>
  <c r="AK199" i="31"/>
  <c r="AG199" i="31"/>
  <c r="AC199" i="31"/>
  <c r="Y199" i="31"/>
  <c r="U199" i="31"/>
  <c r="Q199" i="31"/>
  <c r="M199" i="31"/>
  <c r="I199" i="31"/>
  <c r="BE198" i="31"/>
  <c r="BA198" i="31"/>
  <c r="AW198" i="31"/>
  <c r="AS198" i="31"/>
  <c r="AO198" i="31"/>
  <c r="AK198" i="31"/>
  <c r="AG198" i="31"/>
  <c r="AC198" i="31"/>
  <c r="Y198" i="31"/>
  <c r="U198" i="31"/>
  <c r="Q198" i="31"/>
  <c r="M198" i="31"/>
  <c r="I198" i="31"/>
  <c r="BE197" i="31"/>
  <c r="BA197" i="31"/>
  <c r="AW197" i="31"/>
  <c r="AS197" i="31"/>
  <c r="AO197" i="31"/>
  <c r="AK197" i="31"/>
  <c r="AG197" i="31"/>
  <c r="AC197" i="31"/>
  <c r="Y197" i="31"/>
  <c r="U197" i="31"/>
  <c r="Q197" i="31"/>
  <c r="M197" i="31"/>
  <c r="I197" i="31"/>
  <c r="BE196" i="31"/>
  <c r="BA196" i="31"/>
  <c r="AW196" i="31"/>
  <c r="AH211" i="31"/>
  <c r="BB210" i="31"/>
  <c r="V210" i="31"/>
  <c r="AP209" i="31"/>
  <c r="J209" i="31"/>
  <c r="AD208" i="31"/>
  <c r="AX207" i="31"/>
  <c r="R207" i="31"/>
  <c r="AL206" i="31"/>
  <c r="BF205" i="31"/>
  <c r="AD205" i="31"/>
  <c r="N205" i="31"/>
  <c r="AX204" i="31"/>
  <c r="AH204" i="31"/>
  <c r="R204" i="31"/>
  <c r="BB203" i="31"/>
  <c r="AL203" i="31"/>
  <c r="V203" i="31"/>
  <c r="BF202" i="31"/>
  <c r="AX202" i="31"/>
  <c r="AP202" i="31"/>
  <c r="AH202" i="31"/>
  <c r="Z202" i="31"/>
  <c r="R202" i="31"/>
  <c r="L202" i="31"/>
  <c r="BG201" i="31"/>
  <c r="BB201" i="31"/>
  <c r="AV201" i="31"/>
  <c r="AQ201" i="31"/>
  <c r="AL201" i="31"/>
  <c r="AF201" i="31"/>
  <c r="AB201" i="31"/>
  <c r="X201" i="31"/>
  <c r="T201" i="31"/>
  <c r="P201" i="31"/>
  <c r="L201" i="31"/>
  <c r="H201" i="31"/>
  <c r="BD200" i="31"/>
  <c r="AZ200" i="31"/>
  <c r="AV200" i="31"/>
  <c r="AR200" i="31"/>
  <c r="AN200" i="31"/>
  <c r="AJ200" i="31"/>
  <c r="AF200" i="31"/>
  <c r="AB200" i="31"/>
  <c r="X200" i="31"/>
  <c r="T200" i="31"/>
  <c r="P200" i="31"/>
  <c r="L200" i="31"/>
  <c r="H200" i="31"/>
  <c r="BD199" i="31"/>
  <c r="AZ199" i="31"/>
  <c r="AV199" i="31"/>
  <c r="AR199" i="31"/>
  <c r="AN199" i="31"/>
  <c r="AJ199" i="31"/>
  <c r="AF199" i="31"/>
  <c r="AB199" i="31"/>
  <c r="X199" i="31"/>
  <c r="T199" i="31"/>
  <c r="P199" i="31"/>
  <c r="L199" i="31"/>
  <c r="H199" i="31"/>
  <c r="BD198" i="31"/>
  <c r="AZ198" i="31"/>
  <c r="AV198" i="31"/>
  <c r="AR198" i="31"/>
  <c r="AN198" i="31"/>
  <c r="AJ198" i="31"/>
  <c r="AF198" i="31"/>
  <c r="AB198" i="31"/>
  <c r="BF211" i="31"/>
  <c r="Z211" i="31"/>
  <c r="AT210" i="31"/>
  <c r="N210" i="31"/>
  <c r="AH209" i="31"/>
  <c r="BB208" i="31"/>
  <c r="V208" i="31"/>
  <c r="AP207" i="31"/>
  <c r="J207" i="31"/>
  <c r="AD206" i="31"/>
  <c r="AX205" i="31"/>
  <c r="Z205" i="31"/>
  <c r="J205" i="31"/>
  <c r="AT204" i="31"/>
  <c r="AD204" i="31"/>
  <c r="N204" i="31"/>
  <c r="AX203" i="31"/>
  <c r="AH203" i="31"/>
  <c r="R203" i="31"/>
  <c r="BC202" i="31"/>
  <c r="AU202" i="31"/>
  <c r="AM202" i="31"/>
  <c r="AE202" i="31"/>
  <c r="W202" i="31"/>
  <c r="P202" i="31"/>
  <c r="K202" i="31"/>
  <c r="BF201" i="31"/>
  <c r="AZ201" i="31"/>
  <c r="AU201" i="31"/>
  <c r="AP201" i="31"/>
  <c r="AJ201" i="31"/>
  <c r="AE201" i="31"/>
  <c r="AA201" i="31"/>
  <c r="W201" i="31"/>
  <c r="S201" i="31"/>
  <c r="O201" i="31"/>
  <c r="K201" i="31"/>
  <c r="BG200" i="31"/>
  <c r="BC200" i="31"/>
  <c r="AY200" i="31"/>
  <c r="AU200" i="31"/>
  <c r="AQ200" i="31"/>
  <c r="AM200" i="31"/>
  <c r="AI200" i="31"/>
  <c r="AE200" i="31"/>
  <c r="AA200" i="31"/>
  <c r="W200" i="31"/>
  <c r="S200" i="31"/>
  <c r="O200" i="31"/>
  <c r="K200" i="31"/>
  <c r="BG199" i="31"/>
  <c r="BC199" i="31"/>
  <c r="AY199" i="31"/>
  <c r="AU199" i="31"/>
  <c r="AQ199" i="31"/>
  <c r="AM199" i="31"/>
  <c r="AI199" i="31"/>
  <c r="AE199" i="31"/>
  <c r="AA199" i="31"/>
  <c r="W199" i="31"/>
  <c r="S199" i="31"/>
  <c r="O199" i="31"/>
  <c r="K199" i="31"/>
  <c r="BG198" i="31"/>
  <c r="BC198" i="31"/>
  <c r="AY198" i="31"/>
  <c r="AU198" i="31"/>
  <c r="AQ198" i="31"/>
  <c r="AM198" i="31"/>
  <c r="AI198" i="31"/>
  <c r="AE198" i="31"/>
  <c r="AA198" i="31"/>
  <c r="W198" i="31"/>
  <c r="S198" i="31"/>
  <c r="O198" i="31"/>
  <c r="K198" i="31"/>
  <c r="BG197" i="31"/>
  <c r="BC197" i="31"/>
  <c r="AY197" i="31"/>
  <c r="AU197" i="31"/>
  <c r="AQ197" i="31"/>
  <c r="AM197" i="31"/>
  <c r="AI197" i="31"/>
  <c r="AE197" i="31"/>
  <c r="AA197" i="31"/>
  <c r="AL210" i="31"/>
  <c r="BF209" i="31"/>
  <c r="AH207" i="31"/>
  <c r="V205" i="31"/>
  <c r="J204" i="31"/>
  <c r="BB202" i="31"/>
  <c r="V202" i="31"/>
  <c r="AY201" i="31"/>
  <c r="AD201" i="31"/>
  <c r="N201" i="31"/>
  <c r="AX200" i="31"/>
  <c r="AH200" i="31"/>
  <c r="R200" i="31"/>
  <c r="BB199" i="31"/>
  <c r="AL199" i="31"/>
  <c r="V199" i="31"/>
  <c r="BF198" i="31"/>
  <c r="AP198" i="31"/>
  <c r="Z198" i="31"/>
  <c r="R198" i="31"/>
  <c r="J198" i="31"/>
  <c r="BB197" i="31"/>
  <c r="AT197" i="31"/>
  <c r="AL197" i="31"/>
  <c r="AD197" i="31"/>
  <c r="W197" i="31"/>
  <c r="R197" i="31"/>
  <c r="L197" i="31"/>
  <c r="BG196" i="31"/>
  <c r="BB196" i="31"/>
  <c r="AV196" i="31"/>
  <c r="AR196" i="31"/>
  <c r="AN196" i="31"/>
  <c r="AJ196" i="31"/>
  <c r="AF196" i="31"/>
  <c r="AB196" i="31"/>
  <c r="X196" i="31"/>
  <c r="T196" i="31"/>
  <c r="P196" i="31"/>
  <c r="L196" i="31"/>
  <c r="H196" i="31"/>
  <c r="BD195" i="31"/>
  <c r="AZ195" i="31"/>
  <c r="AV195" i="31"/>
  <c r="AR195" i="31"/>
  <c r="AN195" i="31"/>
  <c r="AJ195" i="31"/>
  <c r="AF195" i="31"/>
  <c r="AB195" i="31"/>
  <c r="X195" i="31"/>
  <c r="T195" i="31"/>
  <c r="P195" i="31"/>
  <c r="L195" i="31"/>
  <c r="H195" i="31"/>
  <c r="BD194" i="31"/>
  <c r="AZ194" i="31"/>
  <c r="AV194" i="31"/>
  <c r="AR194" i="31"/>
  <c r="AN194" i="31"/>
  <c r="AJ194" i="31"/>
  <c r="AF194" i="31"/>
  <c r="AB194" i="31"/>
  <c r="X194" i="31"/>
  <c r="T194" i="31"/>
  <c r="P194" i="31"/>
  <c r="L194" i="31"/>
  <c r="H194" i="31"/>
  <c r="BD193" i="31"/>
  <c r="AZ193" i="31"/>
  <c r="AV193" i="31"/>
  <c r="AR193" i="31"/>
  <c r="AN193" i="31"/>
  <c r="AJ193" i="31"/>
  <c r="AF193" i="31"/>
  <c r="AB193" i="31"/>
  <c r="X193" i="31"/>
  <c r="T193" i="31"/>
  <c r="P193" i="31"/>
  <c r="L193" i="31"/>
  <c r="H193" i="31"/>
  <c r="BD192" i="31"/>
  <c r="AZ192" i="31"/>
  <c r="AV192" i="31"/>
  <c r="AR192" i="31"/>
  <c r="AN192" i="31"/>
  <c r="AJ192" i="31"/>
  <c r="AF192" i="31"/>
  <c r="AB192" i="31"/>
  <c r="X192" i="31"/>
  <c r="T192" i="31"/>
  <c r="P192" i="31"/>
  <c r="L192" i="31"/>
  <c r="H192" i="31"/>
  <c r="BD191" i="31"/>
  <c r="AZ191" i="31"/>
  <c r="AV191" i="31"/>
  <c r="AR191" i="31"/>
  <c r="AN191" i="31"/>
  <c r="AJ191" i="31"/>
  <c r="AF191" i="31"/>
  <c r="AB191" i="31"/>
  <c r="X191" i="31"/>
  <c r="T191" i="31"/>
  <c r="P191" i="31"/>
  <c r="L191" i="31"/>
  <c r="H191" i="31"/>
  <c r="BD190" i="31"/>
  <c r="AZ190" i="31"/>
  <c r="AV190" i="31"/>
  <c r="AR190" i="31"/>
  <c r="AN190" i="31"/>
  <c r="AJ190" i="31"/>
  <c r="AF190" i="31"/>
  <c r="AB190" i="31"/>
  <c r="X190" i="31"/>
  <c r="T190" i="31"/>
  <c r="P190" i="31"/>
  <c r="L190" i="31"/>
  <c r="H190" i="31"/>
  <c r="BD189" i="31"/>
  <c r="AZ189" i="31"/>
  <c r="AV189" i="31"/>
  <c r="AR189" i="31"/>
  <c r="AN189" i="31"/>
  <c r="AJ189" i="31"/>
  <c r="AF189" i="31"/>
  <c r="AB189" i="31"/>
  <c r="X189" i="31"/>
  <c r="T189" i="31"/>
  <c r="P189" i="31"/>
  <c r="L189" i="31"/>
  <c r="H189" i="31"/>
  <c r="BD188" i="31"/>
  <c r="AZ188" i="31"/>
  <c r="AV188" i="31"/>
  <c r="AR188" i="31"/>
  <c r="AN188" i="31"/>
  <c r="AJ188" i="31"/>
  <c r="AF188" i="31"/>
  <c r="AB188" i="31"/>
  <c r="X188" i="31"/>
  <c r="T188" i="31"/>
  <c r="P188" i="31"/>
  <c r="L188" i="31"/>
  <c r="H188" i="31"/>
  <c r="BD187" i="31"/>
  <c r="AZ187" i="31"/>
  <c r="AV187" i="31"/>
  <c r="AR187" i="31"/>
  <c r="AN187" i="31"/>
  <c r="AJ187" i="31"/>
  <c r="AF187" i="31"/>
  <c r="AB187" i="31"/>
  <c r="X187" i="31"/>
  <c r="T187" i="31"/>
  <c r="P187" i="31"/>
  <c r="L187" i="31"/>
  <c r="H187" i="31"/>
  <c r="BD186" i="31"/>
  <c r="AZ186" i="31"/>
  <c r="AV186" i="31"/>
  <c r="AR186" i="31"/>
  <c r="AN186" i="31"/>
  <c r="AJ186" i="31"/>
  <c r="AF186" i="31"/>
  <c r="AB186" i="31"/>
  <c r="X186" i="31"/>
  <c r="T186" i="31"/>
  <c r="P186" i="31"/>
  <c r="L186" i="31"/>
  <c r="H186" i="31"/>
  <c r="AX211" i="31"/>
  <c r="Z209" i="31"/>
  <c r="BB206" i="31"/>
  <c r="BF204" i="31"/>
  <c r="AT203" i="31"/>
  <c r="AT202" i="31"/>
  <c r="O202" i="31"/>
  <c r="AT201" i="31"/>
  <c r="Z201" i="31"/>
  <c r="J201" i="31"/>
  <c r="AT200" i="31"/>
  <c r="AD200" i="31"/>
  <c r="N200" i="31"/>
  <c r="AX199" i="31"/>
  <c r="AH199" i="31"/>
  <c r="R199" i="31"/>
  <c r="BB198" i="31"/>
  <c r="AL198" i="31"/>
  <c r="X198" i="31"/>
  <c r="P198" i="31"/>
  <c r="H198" i="31"/>
  <c r="AZ197" i="31"/>
  <c r="AR197" i="31"/>
  <c r="AJ197" i="31"/>
  <c r="AB197" i="31"/>
  <c r="V197" i="31"/>
  <c r="P197" i="31"/>
  <c r="K197" i="31"/>
  <c r="BF196" i="31"/>
  <c r="AZ196" i="31"/>
  <c r="AU196" i="31"/>
  <c r="AQ196" i="31"/>
  <c r="AM196" i="31"/>
  <c r="AI196" i="31"/>
  <c r="AE196" i="31"/>
  <c r="AA196" i="31"/>
  <c r="W196" i="31"/>
  <c r="S196" i="31"/>
  <c r="O196" i="31"/>
  <c r="K196" i="31"/>
  <c r="BG195" i="31"/>
  <c r="BC195" i="31"/>
  <c r="AY195" i="31"/>
  <c r="AU195" i="31"/>
  <c r="AQ195" i="31"/>
  <c r="AM195" i="31"/>
  <c r="AI195" i="31"/>
  <c r="AE195" i="31"/>
  <c r="AA195" i="31"/>
  <c r="W195" i="31"/>
  <c r="S195" i="31"/>
  <c r="O195" i="31"/>
  <c r="K195" i="31"/>
  <c r="BG194" i="31"/>
  <c r="BC194" i="31"/>
  <c r="AY194" i="31"/>
  <c r="AU194" i="31"/>
  <c r="AQ194" i="31"/>
  <c r="AM194" i="31"/>
  <c r="AI194" i="31"/>
  <c r="AE194" i="31"/>
  <c r="AA194" i="31"/>
  <c r="W194" i="31"/>
  <c r="S194" i="31"/>
  <c r="O194" i="31"/>
  <c r="K194" i="31"/>
  <c r="BG193" i="31"/>
  <c r="BC193" i="31"/>
  <c r="AY193" i="31"/>
  <c r="AU193" i="31"/>
  <c r="AQ193" i="31"/>
  <c r="AM193" i="31"/>
  <c r="AI193" i="31"/>
  <c r="AE193" i="31"/>
  <c r="AA193" i="31"/>
  <c r="W193" i="31"/>
  <c r="S193" i="31"/>
  <c r="O193" i="31"/>
  <c r="K193" i="31"/>
  <c r="BG192" i="31"/>
  <c r="BC192" i="31"/>
  <c r="AY192" i="31"/>
  <c r="AU192" i="31"/>
  <c r="AQ192" i="31"/>
  <c r="AM192" i="31"/>
  <c r="AI192" i="31"/>
  <c r="AE192" i="31"/>
  <c r="AA192" i="31"/>
  <c r="W192" i="31"/>
  <c r="S192" i="31"/>
  <c r="O192" i="31"/>
  <c r="K192" i="31"/>
  <c r="BG191" i="31"/>
  <c r="BC191" i="31"/>
  <c r="AY191" i="31"/>
  <c r="AU191" i="31"/>
  <c r="AQ191" i="31"/>
  <c r="AM191" i="31"/>
  <c r="AI191" i="31"/>
  <c r="AE191" i="31"/>
  <c r="AA191" i="31"/>
  <c r="W191" i="31"/>
  <c r="S191" i="31"/>
  <c r="O191" i="31"/>
  <c r="K191" i="31"/>
  <c r="BG190" i="31"/>
  <c r="BC190" i="31"/>
  <c r="AY190" i="31"/>
  <c r="AU190" i="31"/>
  <c r="AQ190" i="31"/>
  <c r="AM190" i="31"/>
  <c r="AI190" i="31"/>
  <c r="AE190" i="31"/>
  <c r="AA190" i="31"/>
  <c r="W190" i="31"/>
  <c r="S190" i="31"/>
  <c r="O190" i="31"/>
  <c r="K190" i="31"/>
  <c r="BG189" i="31"/>
  <c r="BC189" i="31"/>
  <c r="AY189" i="31"/>
  <c r="AU189" i="31"/>
  <c r="AQ189" i="31"/>
  <c r="AM189" i="31"/>
  <c r="AI189" i="31"/>
  <c r="AE189" i="31"/>
  <c r="AA189" i="31"/>
  <c r="W189" i="31"/>
  <c r="S189" i="31"/>
  <c r="O189" i="31"/>
  <c r="K189" i="31"/>
  <c r="BG188" i="31"/>
  <c r="BC188" i="31"/>
  <c r="AY188" i="31"/>
  <c r="AU188" i="31"/>
  <c r="AQ188" i="31"/>
  <c r="AM188" i="31"/>
  <c r="AI188" i="31"/>
  <c r="AE188" i="31"/>
  <c r="AA188" i="31"/>
  <c r="W188" i="31"/>
  <c r="S188" i="31"/>
  <c r="O188" i="31"/>
  <c r="K188" i="31"/>
  <c r="BG187" i="31"/>
  <c r="BC187" i="31"/>
  <c r="AY187" i="31"/>
  <c r="AU187" i="31"/>
  <c r="AQ187" i="31"/>
  <c r="AM187" i="31"/>
  <c r="AI187" i="31"/>
  <c r="AE187" i="31"/>
  <c r="AA187" i="31"/>
  <c r="W187" i="31"/>
  <c r="S187" i="31"/>
  <c r="O187" i="31"/>
  <c r="K187" i="31"/>
  <c r="BG186" i="31"/>
  <c r="BC186" i="31"/>
  <c r="AY186" i="31"/>
  <c r="AU186" i="31"/>
  <c r="AQ186" i="31"/>
  <c r="AM186" i="31"/>
  <c r="AI186" i="31"/>
  <c r="N208" i="31"/>
  <c r="Z204" i="31"/>
  <c r="AD202" i="31"/>
  <c r="AI201" i="31"/>
  <c r="BB200" i="31"/>
  <c r="V200" i="31"/>
  <c r="AP199" i="31"/>
  <c r="J199" i="31"/>
  <c r="AD198" i="31"/>
  <c r="L198" i="31"/>
  <c r="AV197" i="31"/>
  <c r="AF197" i="31"/>
  <c r="S197" i="31"/>
  <c r="H197" i="31"/>
  <c r="AX196" i="31"/>
  <c r="AO196" i="31"/>
  <c r="AG196" i="31"/>
  <c r="Y196" i="31"/>
  <c r="Q196" i="31"/>
  <c r="I196" i="31"/>
  <c r="BA195" i="31"/>
  <c r="AS195" i="31"/>
  <c r="AK195" i="31"/>
  <c r="AC195" i="31"/>
  <c r="U195" i="31"/>
  <c r="M195" i="31"/>
  <c r="BE194" i="31"/>
  <c r="AW194" i="31"/>
  <c r="AO194" i="31"/>
  <c r="AG194" i="31"/>
  <c r="Y194" i="31"/>
  <c r="Q194" i="31"/>
  <c r="I194" i="31"/>
  <c r="BA193" i="31"/>
  <c r="AS193" i="31"/>
  <c r="AK193" i="31"/>
  <c r="AC193" i="31"/>
  <c r="U193" i="31"/>
  <c r="M193" i="31"/>
  <c r="BE192" i="31"/>
  <c r="AW192" i="31"/>
  <c r="AO192" i="31"/>
  <c r="AG192" i="31"/>
  <c r="Y192" i="31"/>
  <c r="Q192" i="31"/>
  <c r="I192" i="31"/>
  <c r="BA191" i="31"/>
  <c r="AS191" i="31"/>
  <c r="AK191" i="31"/>
  <c r="AC191" i="31"/>
  <c r="U191" i="31"/>
  <c r="M191" i="31"/>
  <c r="BE190" i="31"/>
  <c r="AW190" i="31"/>
  <c r="AO190" i="31"/>
  <c r="AG190" i="31"/>
  <c r="Y190" i="31"/>
  <c r="Q190" i="31"/>
  <c r="I190" i="31"/>
  <c r="BA189" i="31"/>
  <c r="AS189" i="31"/>
  <c r="AK189" i="31"/>
  <c r="AC189" i="31"/>
  <c r="U189" i="31"/>
  <c r="M189" i="31"/>
  <c r="BE188" i="31"/>
  <c r="AW188" i="31"/>
  <c r="AO188" i="31"/>
  <c r="AG188" i="31"/>
  <c r="Y188" i="31"/>
  <c r="Q188" i="31"/>
  <c r="I188" i="31"/>
  <c r="BA187" i="31"/>
  <c r="AS187" i="31"/>
  <c r="AK187" i="31"/>
  <c r="AC187" i="31"/>
  <c r="U187" i="31"/>
  <c r="M187" i="31"/>
  <c r="BE186" i="31"/>
  <c r="AW186" i="31"/>
  <c r="AO186" i="31"/>
  <c r="AG186" i="31"/>
  <c r="AA186" i="31"/>
  <c r="V186" i="31"/>
  <c r="Q186" i="31"/>
  <c r="K186" i="31"/>
  <c r="BF185" i="31"/>
  <c r="BB185" i="31"/>
  <c r="AX185" i="31"/>
  <c r="AT185" i="31"/>
  <c r="AP185" i="31"/>
  <c r="AL185" i="31"/>
  <c r="AH185" i="31"/>
  <c r="AD185" i="31"/>
  <c r="Z185" i="31"/>
  <c r="V185" i="31"/>
  <c r="R185" i="31"/>
  <c r="N185" i="31"/>
  <c r="J185" i="31"/>
  <c r="BF184" i="31"/>
  <c r="BB184" i="31"/>
  <c r="AX184" i="31"/>
  <c r="AT184" i="31"/>
  <c r="AP184" i="31"/>
  <c r="AL184" i="31"/>
  <c r="AH184" i="31"/>
  <c r="AD184" i="31"/>
  <c r="Z184" i="31"/>
  <c r="V184" i="31"/>
  <c r="R184" i="31"/>
  <c r="N184" i="31"/>
  <c r="J184" i="31"/>
  <c r="BF183" i="31"/>
  <c r="BB183" i="31"/>
  <c r="AX183" i="31"/>
  <c r="AT183" i="31"/>
  <c r="AP183" i="31"/>
  <c r="AL183" i="31"/>
  <c r="AH183" i="31"/>
  <c r="AD183" i="31"/>
  <c r="Z183" i="31"/>
  <c r="V183" i="31"/>
  <c r="R183" i="31"/>
  <c r="N183" i="31"/>
  <c r="J183" i="31"/>
  <c r="BF182" i="31"/>
  <c r="BB182" i="31"/>
  <c r="AX182" i="31"/>
  <c r="AT182" i="31"/>
  <c r="AP182" i="31"/>
  <c r="AL182" i="31"/>
  <c r="AH182" i="31"/>
  <c r="AD182" i="31"/>
  <c r="Z182" i="31"/>
  <c r="V182" i="31"/>
  <c r="R182" i="31"/>
  <c r="N182" i="31"/>
  <c r="J182" i="31"/>
  <c r="BF181" i="31"/>
  <c r="BB181" i="31"/>
  <c r="AX181" i="31"/>
  <c r="AT181" i="31"/>
  <c r="AP181" i="31"/>
  <c r="AL181" i="31"/>
  <c r="AH181" i="31"/>
  <c r="AD181" i="31"/>
  <c r="Z181" i="31"/>
  <c r="V181" i="31"/>
  <c r="R181" i="31"/>
  <c r="N181" i="31"/>
  <c r="J181" i="31"/>
  <c r="BF180" i="31"/>
  <c r="BB180" i="31"/>
  <c r="AX180" i="31"/>
  <c r="AT180" i="31"/>
  <c r="AP180" i="31"/>
  <c r="AL180" i="31"/>
  <c r="AH180" i="31"/>
  <c r="AD180" i="31"/>
  <c r="Z180" i="31"/>
  <c r="V180" i="31"/>
  <c r="R180" i="31"/>
  <c r="N180" i="31"/>
  <c r="J180" i="31"/>
  <c r="BF179" i="31"/>
  <c r="BB179" i="31"/>
  <c r="AX179" i="31"/>
  <c r="AT179" i="31"/>
  <c r="AP179" i="31"/>
  <c r="AL179" i="31"/>
  <c r="V206" i="31"/>
  <c r="AD203" i="31"/>
  <c r="J202" i="31"/>
  <c r="V201" i="31"/>
  <c r="AP200" i="31"/>
  <c r="J200" i="31"/>
  <c r="AD199" i="31"/>
  <c r="AX198" i="31"/>
  <c r="V198" i="31"/>
  <c r="BF197" i="31"/>
  <c r="AP197" i="31"/>
  <c r="Z197" i="31"/>
  <c r="O197" i="31"/>
  <c r="BD196" i="31"/>
  <c r="AT196" i="31"/>
  <c r="AL196" i="31"/>
  <c r="AD196" i="31"/>
  <c r="V196" i="31"/>
  <c r="N196" i="31"/>
  <c r="BF195" i="31"/>
  <c r="AX195" i="31"/>
  <c r="AP195" i="31"/>
  <c r="AH195" i="31"/>
  <c r="Z195" i="31"/>
  <c r="R195" i="31"/>
  <c r="J195" i="31"/>
  <c r="BB194" i="31"/>
  <c r="AT194" i="31"/>
  <c r="AL194" i="31"/>
  <c r="AD194" i="31"/>
  <c r="V194" i="31"/>
  <c r="N194" i="31"/>
  <c r="BF193" i="31"/>
  <c r="AX193" i="31"/>
  <c r="AP193" i="31"/>
  <c r="AH193" i="31"/>
  <c r="Z193" i="31"/>
  <c r="R193" i="31"/>
  <c r="J193" i="31"/>
  <c r="BB192" i="31"/>
  <c r="AT192" i="31"/>
  <c r="AL192" i="31"/>
  <c r="AD192" i="31"/>
  <c r="V192" i="31"/>
  <c r="N192" i="31"/>
  <c r="BF191" i="31"/>
  <c r="AX191" i="31"/>
  <c r="AP191" i="31"/>
  <c r="AH191" i="31"/>
  <c r="Z191" i="31"/>
  <c r="R191" i="31"/>
  <c r="J191" i="31"/>
  <c r="BB190" i="31"/>
  <c r="AT190" i="31"/>
  <c r="AL190" i="31"/>
  <c r="AD190" i="31"/>
  <c r="V190" i="31"/>
  <c r="N190" i="31"/>
  <c r="BF189" i="31"/>
  <c r="AX189" i="31"/>
  <c r="AP189" i="31"/>
  <c r="AH189" i="31"/>
  <c r="Z189" i="31"/>
  <c r="R189" i="31"/>
  <c r="J189" i="31"/>
  <c r="BB188" i="31"/>
  <c r="AT188" i="31"/>
  <c r="AL188" i="31"/>
  <c r="AD188" i="31"/>
  <c r="V188" i="31"/>
  <c r="N188" i="31"/>
  <c r="BF187" i="31"/>
  <c r="AX187" i="31"/>
  <c r="AP187" i="31"/>
  <c r="AH187" i="31"/>
  <c r="Z187" i="31"/>
  <c r="R187" i="31"/>
  <c r="J187" i="31"/>
  <c r="BB186" i="31"/>
  <c r="AT186" i="31"/>
  <c r="AL186" i="31"/>
  <c r="AE186" i="31"/>
  <c r="Z186" i="31"/>
  <c r="U186" i="31"/>
  <c r="O186" i="31"/>
  <c r="J186" i="31"/>
  <c r="BE185" i="31"/>
  <c r="BA185" i="31"/>
  <c r="AW185" i="31"/>
  <c r="AS185" i="31"/>
  <c r="AO185" i="31"/>
  <c r="AK185" i="31"/>
  <c r="AG185" i="31"/>
  <c r="AC185" i="31"/>
  <c r="Y185" i="31"/>
  <c r="U185" i="31"/>
  <c r="Q185" i="31"/>
  <c r="M185" i="31"/>
  <c r="I185" i="31"/>
  <c r="BE184" i="31"/>
  <c r="BA184" i="31"/>
  <c r="AW184" i="31"/>
  <c r="AS184" i="31"/>
  <c r="AO184" i="31"/>
  <c r="AK184" i="31"/>
  <c r="AG184" i="31"/>
  <c r="AC184" i="31"/>
  <c r="Y184" i="31"/>
  <c r="U184" i="31"/>
  <c r="Q184" i="31"/>
  <c r="M184" i="31"/>
  <c r="I184" i="31"/>
  <c r="BE183" i="31"/>
  <c r="BA183" i="31"/>
  <c r="AW183" i="31"/>
  <c r="AS183" i="31"/>
  <c r="AO183" i="31"/>
  <c r="AK183" i="31"/>
  <c r="AG183" i="31"/>
  <c r="AC183" i="31"/>
  <c r="Y183" i="31"/>
  <c r="U183" i="31"/>
  <c r="Q183" i="31"/>
  <c r="M183" i="31"/>
  <c r="I183" i="31"/>
  <c r="BE182" i="31"/>
  <c r="BA182" i="31"/>
  <c r="AW182" i="31"/>
  <c r="AS182" i="31"/>
  <c r="AO182" i="31"/>
  <c r="AK182" i="31"/>
  <c r="AG182" i="31"/>
  <c r="AC182" i="31"/>
  <c r="Y182" i="31"/>
  <c r="U182" i="31"/>
  <c r="Q182" i="31"/>
  <c r="M182" i="31"/>
  <c r="I182" i="31"/>
  <c r="BE181" i="31"/>
  <c r="BA181" i="31"/>
  <c r="R211" i="31"/>
  <c r="AP205" i="31"/>
  <c r="N203" i="31"/>
  <c r="BD201" i="31"/>
  <c r="R201" i="31"/>
  <c r="AL200" i="31"/>
  <c r="BF199" i="31"/>
  <c r="Z199" i="31"/>
  <c r="AT198" i="31"/>
  <c r="T198" i="31"/>
  <c r="BD197" i="31"/>
  <c r="AN197" i="31"/>
  <c r="X197" i="31"/>
  <c r="N197" i="31"/>
  <c r="BC196" i="31"/>
  <c r="AS196" i="31"/>
  <c r="AK196" i="31"/>
  <c r="AC196" i="31"/>
  <c r="U196" i="31"/>
  <c r="M196" i="31"/>
  <c r="BE195" i="31"/>
  <c r="AW195" i="31"/>
  <c r="AO195" i="31"/>
  <c r="AG195" i="31"/>
  <c r="Y195" i="31"/>
  <c r="Q195" i="31"/>
  <c r="I195" i="31"/>
  <c r="BA194" i="31"/>
  <c r="AS194" i="31"/>
  <c r="AK194" i="31"/>
  <c r="AC194" i="31"/>
  <c r="U194" i="31"/>
  <c r="M194" i="31"/>
  <c r="BE193" i="31"/>
  <c r="AW193" i="31"/>
  <c r="AO193" i="31"/>
  <c r="AG193" i="31"/>
  <c r="Y193" i="31"/>
  <c r="Q193" i="31"/>
  <c r="I193" i="31"/>
  <c r="BA192" i="31"/>
  <c r="AS192" i="31"/>
  <c r="AK192" i="31"/>
  <c r="AC192" i="31"/>
  <c r="U192" i="31"/>
  <c r="M192" i="31"/>
  <c r="BE191" i="31"/>
  <c r="AW191" i="31"/>
  <c r="AO191" i="31"/>
  <c r="AG191" i="31"/>
  <c r="Y191" i="31"/>
  <c r="Q191" i="31"/>
  <c r="I191" i="31"/>
  <c r="BA190" i="31"/>
  <c r="AS190" i="31"/>
  <c r="AK190" i="31"/>
  <c r="AC190" i="31"/>
  <c r="U190" i="31"/>
  <c r="M190" i="31"/>
  <c r="BE189" i="31"/>
  <c r="AW189" i="31"/>
  <c r="AO189" i="31"/>
  <c r="AG189" i="31"/>
  <c r="Y189" i="31"/>
  <c r="Q189" i="31"/>
  <c r="I189" i="31"/>
  <c r="BA188" i="31"/>
  <c r="AS188" i="31"/>
  <c r="AK188" i="31"/>
  <c r="AC188" i="31"/>
  <c r="U188" i="31"/>
  <c r="M188" i="31"/>
  <c r="BE187" i="31"/>
  <c r="AW187" i="31"/>
  <c r="AO187" i="31"/>
  <c r="AG187" i="31"/>
  <c r="Y187" i="31"/>
  <c r="Q187" i="31"/>
  <c r="I187" i="31"/>
  <c r="BA186" i="31"/>
  <c r="AS186" i="31"/>
  <c r="AK186" i="31"/>
  <c r="AD186" i="31"/>
  <c r="Y186" i="31"/>
  <c r="S186" i="31"/>
  <c r="N186" i="31"/>
  <c r="I186" i="31"/>
  <c r="BD185" i="31"/>
  <c r="AZ185" i="31"/>
  <c r="AV185" i="31"/>
  <c r="AR185" i="31"/>
  <c r="AN185" i="31"/>
  <c r="AJ185" i="31"/>
  <c r="AF185" i="31"/>
  <c r="AB185" i="31"/>
  <c r="X185" i="31"/>
  <c r="T185" i="31"/>
  <c r="P185" i="31"/>
  <c r="L185" i="31"/>
  <c r="H185" i="31"/>
  <c r="BD184" i="31"/>
  <c r="AZ184" i="31"/>
  <c r="AV184" i="31"/>
  <c r="AR184" i="31"/>
  <c r="AN184" i="31"/>
  <c r="AJ184" i="31"/>
  <c r="AF184" i="31"/>
  <c r="AB184" i="31"/>
  <c r="X184" i="31"/>
  <c r="T184" i="31"/>
  <c r="P184" i="31"/>
  <c r="L184" i="31"/>
  <c r="H184" i="31"/>
  <c r="BD183" i="31"/>
  <c r="AZ183" i="31"/>
  <c r="AV183" i="31"/>
  <c r="AR183" i="31"/>
  <c r="AN183" i="31"/>
  <c r="AJ183" i="31"/>
  <c r="AF183" i="31"/>
  <c r="AB183" i="31"/>
  <c r="X183" i="31"/>
  <c r="T183" i="31"/>
  <c r="P183" i="31"/>
  <c r="L183" i="31"/>
  <c r="H183" i="31"/>
  <c r="BD182" i="31"/>
  <c r="AZ182" i="31"/>
  <c r="AV182" i="31"/>
  <c r="AR182" i="31"/>
  <c r="AN182" i="31"/>
  <c r="AJ182" i="31"/>
  <c r="AF182" i="31"/>
  <c r="AB182" i="31"/>
  <c r="X182" i="31"/>
  <c r="T182" i="31"/>
  <c r="P182" i="31"/>
  <c r="L182" i="31"/>
  <c r="H182" i="31"/>
  <c r="BD181" i="31"/>
  <c r="AZ181" i="31"/>
  <c r="AV181" i="31"/>
  <c r="AR181" i="31"/>
  <c r="AN181" i="31"/>
  <c r="AJ181" i="31"/>
  <c r="AF181" i="31"/>
  <c r="AB181" i="31"/>
  <c r="X181" i="31"/>
  <c r="T181" i="31"/>
  <c r="P181" i="31"/>
  <c r="L181" i="31"/>
  <c r="H181" i="31"/>
  <c r="BD180" i="31"/>
  <c r="AZ180" i="31"/>
  <c r="AV180" i="31"/>
  <c r="AR180" i="31"/>
  <c r="AN180" i="31"/>
  <c r="AJ180" i="31"/>
  <c r="AF180" i="31"/>
  <c r="AB180" i="31"/>
  <c r="X180" i="31"/>
  <c r="T180" i="31"/>
  <c r="P180" i="31"/>
  <c r="L180" i="31"/>
  <c r="H180" i="31"/>
  <c r="BD179" i="31"/>
  <c r="AL202" i="31"/>
  <c r="AT199" i="31"/>
  <c r="AX197" i="31"/>
  <c r="AY196" i="31"/>
  <c r="R196" i="31"/>
  <c r="AL195" i="31"/>
  <c r="BF194" i="31"/>
  <c r="Z194" i="31"/>
  <c r="AT193" i="31"/>
  <c r="N193" i="31"/>
  <c r="AH192" i="31"/>
  <c r="BB191" i="31"/>
  <c r="V191" i="31"/>
  <c r="AP190" i="31"/>
  <c r="J190" i="31"/>
  <c r="AD189" i="31"/>
  <c r="AX188" i="31"/>
  <c r="R188" i="31"/>
  <c r="AL187" i="31"/>
  <c r="BF186" i="31"/>
  <c r="AC186" i="31"/>
  <c r="BG185" i="31"/>
  <c r="AQ185" i="31"/>
  <c r="AA185" i="31"/>
  <c r="K185" i="31"/>
  <c r="AU184" i="31"/>
  <c r="AE184" i="31"/>
  <c r="O184" i="31"/>
  <c r="AY183" i="31"/>
  <c r="AI183" i="31"/>
  <c r="S183" i="31"/>
  <c r="BC182" i="31"/>
  <c r="AM182" i="31"/>
  <c r="W182" i="31"/>
  <c r="BG181" i="31"/>
  <c r="AU181" i="31"/>
  <c r="AM181" i="31"/>
  <c r="AE181" i="31"/>
  <c r="W181" i="31"/>
  <c r="O181" i="31"/>
  <c r="BG180" i="31"/>
  <c r="AY180" i="31"/>
  <c r="AQ180" i="31"/>
  <c r="AI180" i="31"/>
  <c r="AA180" i="31"/>
  <c r="S180" i="31"/>
  <c r="K180" i="31"/>
  <c r="BC179" i="31"/>
  <c r="AW179" i="31"/>
  <c r="AR179" i="31"/>
  <c r="AM179" i="31"/>
  <c r="AH179" i="31"/>
  <c r="AD179" i="31"/>
  <c r="Z179" i="31"/>
  <c r="V179" i="31"/>
  <c r="R179" i="31"/>
  <c r="N179" i="31"/>
  <c r="J179" i="31"/>
  <c r="BF178" i="31"/>
  <c r="BB178" i="31"/>
  <c r="AX178" i="31"/>
  <c r="AT178" i="31"/>
  <c r="AP178" i="31"/>
  <c r="AL178" i="31"/>
  <c r="AH178" i="31"/>
  <c r="AD178" i="31"/>
  <c r="Z178" i="31"/>
  <c r="V178" i="31"/>
  <c r="R178" i="31"/>
  <c r="N178" i="31"/>
  <c r="J178" i="31"/>
  <c r="BF177" i="31"/>
  <c r="BB177" i="31"/>
  <c r="AX177" i="31"/>
  <c r="AT177" i="31"/>
  <c r="AP177" i="31"/>
  <c r="AL177" i="31"/>
  <c r="AH177" i="31"/>
  <c r="AD177" i="31"/>
  <c r="Z177" i="31"/>
  <c r="V177" i="31"/>
  <c r="R177" i="31"/>
  <c r="N177" i="31"/>
  <c r="J177" i="31"/>
  <c r="BF176" i="31"/>
  <c r="BB176" i="31"/>
  <c r="AX176" i="31"/>
  <c r="AT176" i="31"/>
  <c r="AP176" i="31"/>
  <c r="AL176" i="31"/>
  <c r="AH176" i="31"/>
  <c r="AD176" i="31"/>
  <c r="Z176" i="31"/>
  <c r="V176" i="31"/>
  <c r="R176" i="31"/>
  <c r="N176" i="31"/>
  <c r="J176" i="31"/>
  <c r="BF175" i="31"/>
  <c r="BB175" i="31"/>
  <c r="AX175" i="31"/>
  <c r="AT175" i="31"/>
  <c r="AP175" i="31"/>
  <c r="AL175" i="31"/>
  <c r="AH175" i="31"/>
  <c r="AD175" i="31"/>
  <c r="Z175" i="31"/>
  <c r="V175" i="31"/>
  <c r="R175" i="31"/>
  <c r="N175" i="31"/>
  <c r="J175" i="31"/>
  <c r="BF174" i="31"/>
  <c r="BB174" i="31"/>
  <c r="AX174" i="31"/>
  <c r="AT174" i="31"/>
  <c r="AP174" i="31"/>
  <c r="AL174" i="31"/>
  <c r="AH174" i="31"/>
  <c r="AD174" i="31"/>
  <c r="Z174" i="31"/>
  <c r="V174" i="31"/>
  <c r="R174" i="31"/>
  <c r="N174" i="31"/>
  <c r="J174" i="31"/>
  <c r="BF173" i="31"/>
  <c r="BB173" i="31"/>
  <c r="AX173" i="31"/>
  <c r="AT173" i="31"/>
  <c r="AP173" i="31"/>
  <c r="AL173" i="31"/>
  <c r="AH173" i="31"/>
  <c r="AD173" i="31"/>
  <c r="AN201" i="31"/>
  <c r="N199" i="31"/>
  <c r="AH197" i="31"/>
  <c r="AP196" i="31"/>
  <c r="J196" i="31"/>
  <c r="AD195" i="31"/>
  <c r="AX194" i="31"/>
  <c r="R194" i="31"/>
  <c r="AL193" i="31"/>
  <c r="BF192" i="31"/>
  <c r="Z192" i="31"/>
  <c r="AT191" i="31"/>
  <c r="N191" i="31"/>
  <c r="AH190" i="31"/>
  <c r="BB189" i="31"/>
  <c r="V189" i="31"/>
  <c r="AP188" i="31"/>
  <c r="J188" i="31"/>
  <c r="AD187" i="31"/>
  <c r="AX186" i="31"/>
  <c r="W186" i="31"/>
  <c r="BC185" i="31"/>
  <c r="AM185" i="31"/>
  <c r="W185" i="31"/>
  <c r="BG184" i="31"/>
  <c r="AQ184" i="31"/>
  <c r="AA184" i="31"/>
  <c r="K184" i="31"/>
  <c r="AU183" i="31"/>
  <c r="AE183" i="31"/>
  <c r="O183" i="31"/>
  <c r="AY182" i="31"/>
  <c r="AI182" i="31"/>
  <c r="S182" i="31"/>
  <c r="BC181" i="31"/>
  <c r="AS181" i="31"/>
  <c r="AK181" i="31"/>
  <c r="AC181" i="31"/>
  <c r="U181" i="31"/>
  <c r="M181" i="31"/>
  <c r="BE180" i="31"/>
  <c r="AW180" i="31"/>
  <c r="AO180" i="31"/>
  <c r="AG180" i="31"/>
  <c r="Y180" i="31"/>
  <c r="Q180" i="31"/>
  <c r="I180" i="31"/>
  <c r="BA179" i="31"/>
  <c r="AV179" i="31"/>
  <c r="AQ179" i="31"/>
  <c r="AK179" i="31"/>
  <c r="AG179" i="31"/>
  <c r="AC179" i="31"/>
  <c r="Y179" i="31"/>
  <c r="U179" i="31"/>
  <c r="Q179" i="31"/>
  <c r="M179" i="31"/>
  <c r="I179" i="31"/>
  <c r="BE178" i="31"/>
  <c r="BA178" i="31"/>
  <c r="AW178" i="31"/>
  <c r="AS178" i="31"/>
  <c r="AO178" i="31"/>
  <c r="AK178" i="31"/>
  <c r="AG178" i="31"/>
  <c r="AC178" i="31"/>
  <c r="Y178" i="31"/>
  <c r="U178" i="31"/>
  <c r="Q178" i="31"/>
  <c r="M178" i="31"/>
  <c r="I178" i="31"/>
  <c r="BE177" i="31"/>
  <c r="BA177" i="31"/>
  <c r="AW177" i="31"/>
  <c r="AS177" i="31"/>
  <c r="AO177" i="31"/>
  <c r="AK177" i="31"/>
  <c r="AG177" i="31"/>
  <c r="AC177" i="31"/>
  <c r="Y177" i="31"/>
  <c r="U177" i="31"/>
  <c r="Q177" i="31"/>
  <c r="M177" i="31"/>
  <c r="I177" i="31"/>
  <c r="BE176" i="31"/>
  <c r="BA176" i="31"/>
  <c r="AW176" i="31"/>
  <c r="AS176" i="31"/>
  <c r="AO176" i="31"/>
  <c r="AK176" i="31"/>
  <c r="AG176" i="31"/>
  <c r="AC176" i="31"/>
  <c r="Y176" i="31"/>
  <c r="U176" i="31"/>
  <c r="Q176" i="31"/>
  <c r="M176" i="31"/>
  <c r="I176" i="31"/>
  <c r="BE175" i="31"/>
  <c r="BA175" i="31"/>
  <c r="AW175" i="31"/>
  <c r="AS175" i="31"/>
  <c r="AO175" i="31"/>
  <c r="AK175" i="31"/>
  <c r="AG175" i="31"/>
  <c r="AC175" i="31"/>
  <c r="Y175" i="31"/>
  <c r="U175" i="31"/>
  <c r="Q175" i="31"/>
  <c r="M175" i="31"/>
  <c r="I175" i="31"/>
  <c r="BE174" i="31"/>
  <c r="BA174" i="31"/>
  <c r="AW174" i="31"/>
  <c r="AS174" i="31"/>
  <c r="AO174" i="31"/>
  <c r="AK174" i="31"/>
  <c r="AG174" i="31"/>
  <c r="AC174" i="31"/>
  <c r="Y174" i="31"/>
  <c r="U174" i="31"/>
  <c r="Q174" i="31"/>
  <c r="M174" i="31"/>
  <c r="I174" i="31"/>
  <c r="BE173" i="31"/>
  <c r="BA173" i="31"/>
  <c r="AW173" i="31"/>
  <c r="AS173" i="31"/>
  <c r="AO173" i="31"/>
  <c r="AK173" i="31"/>
  <c r="AG173" i="31"/>
  <c r="AC173" i="31"/>
  <c r="Y173" i="31"/>
  <c r="U173" i="31"/>
  <c r="Q173" i="31"/>
  <c r="M173" i="31"/>
  <c r="I173" i="31"/>
  <c r="BE172" i="31"/>
  <c r="BA172" i="31"/>
  <c r="AW172" i="31"/>
  <c r="AS172" i="31"/>
  <c r="AO172" i="31"/>
  <c r="AK172" i="31"/>
  <c r="AG172" i="31"/>
  <c r="AC172" i="31"/>
  <c r="Y172" i="31"/>
  <c r="U172" i="31"/>
  <c r="Q172" i="31"/>
  <c r="M172" i="31"/>
  <c r="I172" i="31"/>
  <c r="BE171" i="31"/>
  <c r="BA171" i="31"/>
  <c r="AW171" i="31"/>
  <c r="AS171" i="31"/>
  <c r="AO171" i="31"/>
  <c r="AK171" i="31"/>
  <c r="AG171" i="31"/>
  <c r="AC171" i="31"/>
  <c r="Y171" i="31"/>
  <c r="U171" i="31"/>
  <c r="Q171" i="31"/>
  <c r="M171" i="31"/>
  <c r="I171" i="31"/>
  <c r="BE170" i="31"/>
  <c r="BA170" i="31"/>
  <c r="AW170" i="31"/>
  <c r="AS170" i="31"/>
  <c r="AO170" i="31"/>
  <c r="AK170" i="31"/>
  <c r="AG170" i="31"/>
  <c r="AC170" i="31"/>
  <c r="Y170" i="31"/>
  <c r="U170" i="31"/>
  <c r="Q170" i="31"/>
  <c r="M170" i="31"/>
  <c r="I170" i="31"/>
  <c r="BE169" i="31"/>
  <c r="BA169" i="31"/>
  <c r="AW169" i="31"/>
  <c r="AS169" i="31"/>
  <c r="AO169" i="31"/>
  <c r="AK169" i="31"/>
  <c r="AG169" i="31"/>
  <c r="AC169" i="31"/>
  <c r="Y169" i="31"/>
  <c r="U169" i="31"/>
  <c r="Q169" i="31"/>
  <c r="AT208" i="31"/>
  <c r="BF200" i="31"/>
  <c r="AH198" i="31"/>
  <c r="T197" i="31"/>
  <c r="AH196" i="31"/>
  <c r="BB195" i="31"/>
  <c r="V195" i="31"/>
  <c r="AP194" i="31"/>
  <c r="J194" i="31"/>
  <c r="AD193" i="31"/>
  <c r="AX192" i="31"/>
  <c r="R192" i="31"/>
  <c r="AL191" i="31"/>
  <c r="BF190" i="31"/>
  <c r="Z190" i="31"/>
  <c r="AT189" i="31"/>
  <c r="N189" i="31"/>
  <c r="AH188" i="31"/>
  <c r="BB187" i="31"/>
  <c r="V187" i="31"/>
  <c r="AP186" i="31"/>
  <c r="R186" i="31"/>
  <c r="AY185" i="31"/>
  <c r="AI185" i="31"/>
  <c r="S185" i="31"/>
  <c r="BC184" i="31"/>
  <c r="AM184" i="31"/>
  <c r="W184" i="31"/>
  <c r="BG183" i="31"/>
  <c r="AQ183" i="31"/>
  <c r="AA183" i="31"/>
  <c r="K183" i="31"/>
  <c r="AU182" i="31"/>
  <c r="AE182" i="31"/>
  <c r="O182" i="31"/>
  <c r="AY181" i="31"/>
  <c r="AQ181" i="31"/>
  <c r="AI181" i="31"/>
  <c r="AA181" i="31"/>
  <c r="S181" i="31"/>
  <c r="K181" i="31"/>
  <c r="BC180" i="31"/>
  <c r="AU180" i="31"/>
  <c r="AM180" i="31"/>
  <c r="AE180" i="31"/>
  <c r="W180" i="31"/>
  <c r="O180" i="31"/>
  <c r="BG179" i="31"/>
  <c r="AZ179" i="31"/>
  <c r="AU179" i="31"/>
  <c r="AO179" i="31"/>
  <c r="AJ179" i="31"/>
  <c r="AF179" i="31"/>
  <c r="AB179" i="31"/>
  <c r="X179" i="31"/>
  <c r="T179" i="31"/>
  <c r="P179" i="31"/>
  <c r="L179" i="31"/>
  <c r="H179" i="31"/>
  <c r="BD178" i="31"/>
  <c r="AZ178" i="31"/>
  <c r="AV178" i="31"/>
  <c r="AR178" i="31"/>
  <c r="AN178" i="31"/>
  <c r="AJ178" i="31"/>
  <c r="AF178" i="31"/>
  <c r="AB178" i="31"/>
  <c r="X178" i="31"/>
  <c r="T178" i="31"/>
  <c r="P178" i="31"/>
  <c r="L178" i="31"/>
  <c r="H178" i="31"/>
  <c r="BD177" i="31"/>
  <c r="AZ177" i="31"/>
  <c r="AV177" i="31"/>
  <c r="AR177" i="31"/>
  <c r="AN177" i="31"/>
  <c r="AJ177" i="31"/>
  <c r="AF177" i="31"/>
  <c r="AB177" i="31"/>
  <c r="X177" i="31"/>
  <c r="T177" i="31"/>
  <c r="P177" i="31"/>
  <c r="L177" i="31"/>
  <c r="H177" i="31"/>
  <c r="BD176" i="31"/>
  <c r="AZ176" i="31"/>
  <c r="AV176" i="31"/>
  <c r="AR176" i="31"/>
  <c r="AN176" i="31"/>
  <c r="AJ176" i="31"/>
  <c r="AF176" i="31"/>
  <c r="AB176" i="31"/>
  <c r="X176" i="31"/>
  <c r="T176" i="31"/>
  <c r="P176" i="31"/>
  <c r="L176" i="31"/>
  <c r="H176" i="31"/>
  <c r="BD175" i="31"/>
  <c r="AZ175" i="31"/>
  <c r="AV175" i="31"/>
  <c r="AR175" i="31"/>
  <c r="AN175" i="31"/>
  <c r="AJ175" i="31"/>
  <c r="AF175" i="31"/>
  <c r="AB175" i="31"/>
  <c r="X175" i="31"/>
  <c r="T175" i="31"/>
  <c r="P175" i="31"/>
  <c r="L175" i="31"/>
  <c r="H175" i="31"/>
  <c r="BD174" i="31"/>
  <c r="AZ174" i="31"/>
  <c r="AV174" i="31"/>
  <c r="AR174" i="31"/>
  <c r="AN174" i="31"/>
  <c r="AJ174" i="31"/>
  <c r="AF174" i="31"/>
  <c r="AB174" i="31"/>
  <c r="X174" i="31"/>
  <c r="T174" i="31"/>
  <c r="P174" i="31"/>
  <c r="L174" i="31"/>
  <c r="H174" i="31"/>
  <c r="BD173" i="31"/>
  <c r="AZ173" i="31"/>
  <c r="AV173" i="31"/>
  <c r="AR173" i="31"/>
  <c r="AN173" i="31"/>
  <c r="AJ173" i="31"/>
  <c r="AF173" i="31"/>
  <c r="AB173" i="31"/>
  <c r="X173" i="31"/>
  <c r="T173" i="31"/>
  <c r="P173" i="31"/>
  <c r="L173" i="31"/>
  <c r="H173" i="31"/>
  <c r="BD172" i="31"/>
  <c r="AZ172" i="31"/>
  <c r="AV172" i="31"/>
  <c r="AR172" i="31"/>
  <c r="AN172" i="31"/>
  <c r="AJ172" i="31"/>
  <c r="AF172" i="31"/>
  <c r="AB172" i="31"/>
  <c r="X172" i="31"/>
  <c r="T172" i="31"/>
  <c r="P172" i="31"/>
  <c r="L172" i="31"/>
  <c r="H172" i="31"/>
  <c r="BD171" i="31"/>
  <c r="AZ171" i="31"/>
  <c r="AV171" i="31"/>
  <c r="AR171" i="31"/>
  <c r="AN171" i="31"/>
  <c r="AJ171" i="31"/>
  <c r="AF171" i="31"/>
  <c r="AB171" i="31"/>
  <c r="X171" i="31"/>
  <c r="T171" i="31"/>
  <c r="P171" i="31"/>
  <c r="L171" i="31"/>
  <c r="H171" i="31"/>
  <c r="BD170" i="31"/>
  <c r="AZ170" i="31"/>
  <c r="AV170" i="31"/>
  <c r="AR170" i="31"/>
  <c r="AN170" i="31"/>
  <c r="AJ170" i="31"/>
  <c r="AF170" i="31"/>
  <c r="N198" i="31"/>
  <c r="N195" i="31"/>
  <c r="AP192" i="31"/>
  <c r="R190" i="31"/>
  <c r="AT187" i="31"/>
  <c r="AU185" i="31"/>
  <c r="AI184" i="31"/>
  <c r="W183" i="31"/>
  <c r="K182" i="31"/>
  <c r="Y181" i="31"/>
  <c r="AS180" i="31"/>
  <c r="M180" i="31"/>
  <c r="AN179" i="31"/>
  <c r="W179" i="31"/>
  <c r="BG178" i="31"/>
  <c r="AQ178" i="31"/>
  <c r="AA178" i="31"/>
  <c r="K178" i="31"/>
  <c r="AU177" i="31"/>
  <c r="AE177" i="31"/>
  <c r="O177" i="31"/>
  <c r="AY176" i="31"/>
  <c r="AI176" i="31"/>
  <c r="S176" i="31"/>
  <c r="BC175" i="31"/>
  <c r="AM175" i="31"/>
  <c r="W175" i="31"/>
  <c r="BG174" i="31"/>
  <c r="AQ174" i="31"/>
  <c r="AA174" i="31"/>
  <c r="K174" i="31"/>
  <c r="AU173" i="31"/>
  <c r="AE173" i="31"/>
  <c r="V173" i="31"/>
  <c r="N173" i="31"/>
  <c r="BF172" i="31"/>
  <c r="AX172" i="31"/>
  <c r="AP172" i="31"/>
  <c r="AH172" i="31"/>
  <c r="Z172" i="31"/>
  <c r="R172" i="31"/>
  <c r="J172" i="31"/>
  <c r="BB171" i="31"/>
  <c r="AT171" i="31"/>
  <c r="AL171" i="31"/>
  <c r="AD171" i="31"/>
  <c r="V171" i="31"/>
  <c r="N171" i="31"/>
  <c r="BF170" i="31"/>
  <c r="AX170" i="31"/>
  <c r="AP170" i="31"/>
  <c r="AH170" i="31"/>
  <c r="AA170" i="31"/>
  <c r="V170" i="31"/>
  <c r="P170" i="31"/>
  <c r="K170" i="31"/>
  <c r="BF169" i="31"/>
  <c r="AZ169" i="31"/>
  <c r="AU169" i="31"/>
  <c r="AP169" i="31"/>
  <c r="AJ169" i="31"/>
  <c r="AE169" i="31"/>
  <c r="Z169" i="31"/>
  <c r="T169" i="31"/>
  <c r="O169" i="31"/>
  <c r="K169" i="31"/>
  <c r="BG168" i="31"/>
  <c r="BC168" i="31"/>
  <c r="AY168" i="31"/>
  <c r="AU168" i="31"/>
  <c r="AQ168" i="31"/>
  <c r="AM168" i="31"/>
  <c r="AI168" i="31"/>
  <c r="AE168" i="31"/>
  <c r="AA168" i="31"/>
  <c r="W168" i="31"/>
  <c r="S168" i="31"/>
  <c r="O168" i="31"/>
  <c r="K168" i="31"/>
  <c r="BG167" i="31"/>
  <c r="BC167" i="31"/>
  <c r="AY167" i="31"/>
  <c r="AU167" i="31"/>
  <c r="AQ167" i="31"/>
  <c r="AM167" i="31"/>
  <c r="AI167" i="31"/>
  <c r="AE167" i="31"/>
  <c r="AA167" i="31"/>
  <c r="W167" i="31"/>
  <c r="S167" i="31"/>
  <c r="O167" i="31"/>
  <c r="K167" i="31"/>
  <c r="BG166" i="31"/>
  <c r="BC166" i="31"/>
  <c r="AY166" i="31"/>
  <c r="AU166" i="31"/>
  <c r="AQ166" i="31"/>
  <c r="AM166" i="31"/>
  <c r="AI166" i="31"/>
  <c r="AE166" i="31"/>
  <c r="AA166" i="31"/>
  <c r="W166" i="31"/>
  <c r="S166" i="31"/>
  <c r="O166" i="31"/>
  <c r="K166" i="31"/>
  <c r="BG165" i="31"/>
  <c r="BC165" i="31"/>
  <c r="AY165" i="31"/>
  <c r="AU165" i="31"/>
  <c r="AQ165" i="31"/>
  <c r="AM165" i="31"/>
  <c r="AI165" i="31"/>
  <c r="AE165" i="31"/>
  <c r="AA165" i="31"/>
  <c r="W165" i="31"/>
  <c r="S165" i="31"/>
  <c r="O165" i="31"/>
  <c r="K165" i="31"/>
  <c r="BG164" i="31"/>
  <c r="BC164" i="31"/>
  <c r="AY164" i="31"/>
  <c r="AU164" i="31"/>
  <c r="AQ164" i="31"/>
  <c r="AM164" i="31"/>
  <c r="AI164" i="31"/>
  <c r="AE164" i="31"/>
  <c r="AA164" i="31"/>
  <c r="W164" i="31"/>
  <c r="S164" i="31"/>
  <c r="O164" i="31"/>
  <c r="K164" i="31"/>
  <c r="BG163" i="31"/>
  <c r="BC163" i="31"/>
  <c r="AY163" i="31"/>
  <c r="AU163" i="31"/>
  <c r="AQ163" i="31"/>
  <c r="AM163" i="31"/>
  <c r="AI163" i="31"/>
  <c r="AE163" i="31"/>
  <c r="AA163" i="31"/>
  <c r="W163" i="31"/>
  <c r="S163" i="31"/>
  <c r="O163" i="31"/>
  <c r="K163" i="31"/>
  <c r="BG162" i="31"/>
  <c r="BC162" i="31"/>
  <c r="AY162" i="31"/>
  <c r="AU162" i="31"/>
  <c r="AQ162" i="31"/>
  <c r="AM162" i="31"/>
  <c r="AI162" i="31"/>
  <c r="AE162" i="31"/>
  <c r="AA162" i="31"/>
  <c r="W162" i="31"/>
  <c r="S162" i="31"/>
  <c r="O162" i="31"/>
  <c r="K162" i="31"/>
  <c r="BG161" i="31"/>
  <c r="BC161" i="31"/>
  <c r="AY161" i="31"/>
  <c r="AU161" i="31"/>
  <c r="AQ161" i="31"/>
  <c r="AM161" i="31"/>
  <c r="AI161" i="31"/>
  <c r="AE161" i="31"/>
  <c r="AA161" i="31"/>
  <c r="W161" i="31"/>
  <c r="S161" i="31"/>
  <c r="O161" i="31"/>
  <c r="K161" i="31"/>
  <c r="BG160" i="31"/>
  <c r="BC160" i="31"/>
  <c r="AY160" i="31"/>
  <c r="AU160" i="31"/>
  <c r="AQ160" i="31"/>
  <c r="AM160" i="31"/>
  <c r="AI160" i="31"/>
  <c r="AE160" i="31"/>
  <c r="AA160" i="31"/>
  <c r="W160" i="31"/>
  <c r="S160" i="31"/>
  <c r="O160" i="31"/>
  <c r="K160" i="31"/>
  <c r="BG159" i="31"/>
  <c r="BC159" i="31"/>
  <c r="AY159" i="31"/>
  <c r="AU159" i="31"/>
  <c r="AQ159" i="31"/>
  <c r="AM159" i="31"/>
  <c r="AI159" i="31"/>
  <c r="AE159" i="31"/>
  <c r="AA159" i="31"/>
  <c r="W159" i="31"/>
  <c r="S159" i="31"/>
  <c r="O159" i="31"/>
  <c r="K159" i="31"/>
  <c r="BG158" i="31"/>
  <c r="BC158" i="31"/>
  <c r="AY158" i="31"/>
  <c r="AU158" i="31"/>
  <c r="AQ158" i="31"/>
  <c r="AM158" i="31"/>
  <c r="AI158" i="31"/>
  <c r="AE158" i="31"/>
  <c r="AA158" i="31"/>
  <c r="W158" i="31"/>
  <c r="S158" i="31"/>
  <c r="O158" i="31"/>
  <c r="K158" i="31"/>
  <c r="BG157" i="31"/>
  <c r="BC157" i="31"/>
  <c r="AY157" i="31"/>
  <c r="AU157" i="31"/>
  <c r="AQ157" i="31"/>
  <c r="AM157" i="31"/>
  <c r="AI157" i="31"/>
  <c r="AE157" i="31"/>
  <c r="AA157" i="31"/>
  <c r="W157" i="31"/>
  <c r="S157" i="31"/>
  <c r="O157" i="31"/>
  <c r="K157" i="31"/>
  <c r="BG156" i="31"/>
  <c r="BC156" i="31"/>
  <c r="AY156" i="31"/>
  <c r="AU156" i="31"/>
  <c r="AQ156" i="31"/>
  <c r="AM156" i="31"/>
  <c r="AI156" i="31"/>
  <c r="AE156" i="31"/>
  <c r="AA156" i="31"/>
  <c r="W156" i="31"/>
  <c r="S156" i="31"/>
  <c r="O156" i="31"/>
  <c r="K156" i="31"/>
  <c r="BG155" i="31"/>
  <c r="BC155" i="31"/>
  <c r="AY155" i="31"/>
  <c r="AU155" i="31"/>
  <c r="AQ155" i="31"/>
  <c r="AM155" i="31"/>
  <c r="AI155" i="31"/>
  <c r="AE155" i="31"/>
  <c r="AA155" i="31"/>
  <c r="W155" i="31"/>
  <c r="S155" i="31"/>
  <c r="O155" i="31"/>
  <c r="K155" i="31"/>
  <c r="BG154" i="31"/>
  <c r="BC154" i="31"/>
  <c r="AY154" i="31"/>
  <c r="AU154" i="31"/>
  <c r="AQ154" i="31"/>
  <c r="AM154" i="31"/>
  <c r="AI154" i="31"/>
  <c r="AE154" i="31"/>
  <c r="AA154" i="31"/>
  <c r="W154" i="31"/>
  <c r="S154" i="31"/>
  <c r="O154" i="31"/>
  <c r="K154" i="31"/>
  <c r="BG153" i="31"/>
  <c r="BC153" i="31"/>
  <c r="AY153" i="31"/>
  <c r="AU153" i="31"/>
  <c r="AQ153" i="31"/>
  <c r="AM153" i="31"/>
  <c r="AI153" i="31"/>
  <c r="AE153" i="31"/>
  <c r="AA153" i="31"/>
  <c r="W153" i="31"/>
  <c r="S153" i="31"/>
  <c r="O153" i="31"/>
  <c r="K153" i="31"/>
  <c r="BG152" i="31"/>
  <c r="BC152" i="31"/>
  <c r="AY152" i="31"/>
  <c r="AU152" i="31"/>
  <c r="AQ152" i="31"/>
  <c r="AM152" i="31"/>
  <c r="AI152" i="31"/>
  <c r="AE152" i="31"/>
  <c r="AA152" i="31"/>
  <c r="W152" i="31"/>
  <c r="S152" i="31"/>
  <c r="O152" i="31"/>
  <c r="K152" i="31"/>
  <c r="BG151" i="31"/>
  <c r="BC151" i="31"/>
  <c r="AY151" i="31"/>
  <c r="AU151" i="31"/>
  <c r="AQ151" i="31"/>
  <c r="AM151" i="31"/>
  <c r="AI151" i="31"/>
  <c r="AE151" i="31"/>
  <c r="AA151" i="31"/>
  <c r="W151" i="31"/>
  <c r="S151" i="31"/>
  <c r="O151" i="31"/>
  <c r="K151" i="31"/>
  <c r="BG150" i="31"/>
  <c r="BC150" i="31"/>
  <c r="AY150" i="31"/>
  <c r="AU150" i="31"/>
  <c r="AQ150" i="31"/>
  <c r="AM150" i="31"/>
  <c r="AI150" i="31"/>
  <c r="AE150" i="31"/>
  <c r="AA150" i="31"/>
  <c r="W150" i="31"/>
  <c r="S150" i="31"/>
  <c r="O150" i="31"/>
  <c r="K150" i="31"/>
  <c r="BG149" i="31"/>
  <c r="BC149" i="31"/>
  <c r="AY149" i="31"/>
  <c r="AU149" i="31"/>
  <c r="AQ149" i="31"/>
  <c r="AM149" i="31"/>
  <c r="AI149" i="31"/>
  <c r="AE149" i="31"/>
  <c r="AA149" i="31"/>
  <c r="W149" i="31"/>
  <c r="S149" i="31"/>
  <c r="O149" i="31"/>
  <c r="K149" i="31"/>
  <c r="BG148" i="31"/>
  <c r="BC148" i="31"/>
  <c r="AY148" i="31"/>
  <c r="AU148" i="31"/>
  <c r="AQ148" i="31"/>
  <c r="AM148" i="31"/>
  <c r="AI148" i="31"/>
  <c r="AE148" i="31"/>
  <c r="AA148" i="31"/>
  <c r="W148" i="31"/>
  <c r="S148" i="31"/>
  <c r="O148" i="31"/>
  <c r="K148" i="31"/>
  <c r="BG147" i="31"/>
  <c r="BC147" i="31"/>
  <c r="J197" i="31"/>
  <c r="AH194" i="31"/>
  <c r="J192" i="31"/>
  <c r="AL189" i="31"/>
  <c r="N187" i="31"/>
  <c r="AE185" i="31"/>
  <c r="S184" i="31"/>
  <c r="BG182" i="31"/>
  <c r="AW181" i="31"/>
  <c r="Q181" i="31"/>
  <c r="AK180" i="31"/>
  <c r="BE179" i="31"/>
  <c r="AI179" i="31"/>
  <c r="S179" i="31"/>
  <c r="BC178" i="31"/>
  <c r="AM178" i="31"/>
  <c r="W178" i="31"/>
  <c r="BG177" i="31"/>
  <c r="AQ177" i="31"/>
  <c r="AA177" i="31"/>
  <c r="K177" i="31"/>
  <c r="AU176" i="31"/>
  <c r="AE176" i="31"/>
  <c r="O176" i="31"/>
  <c r="AY175" i="31"/>
  <c r="AI175" i="31"/>
  <c r="S175" i="31"/>
  <c r="BC174" i="31"/>
  <c r="AM174" i="31"/>
  <c r="W174" i="31"/>
  <c r="BG173" i="31"/>
  <c r="AQ173" i="31"/>
  <c r="AA173" i="31"/>
  <c r="S173" i="31"/>
  <c r="K173" i="31"/>
  <c r="BC172" i="31"/>
  <c r="AU172" i="31"/>
  <c r="AM172" i="31"/>
  <c r="AE172" i="31"/>
  <c r="W172" i="31"/>
  <c r="O172" i="31"/>
  <c r="BG171" i="31"/>
  <c r="AY171" i="31"/>
  <c r="AQ171" i="31"/>
  <c r="AI171" i="31"/>
  <c r="AA171" i="31"/>
  <c r="S171" i="31"/>
  <c r="K171" i="31"/>
  <c r="BC170" i="31"/>
  <c r="AU170" i="31"/>
  <c r="AM170" i="31"/>
  <c r="AE170" i="31"/>
  <c r="Z170" i="31"/>
  <c r="T170" i="31"/>
  <c r="O170" i="31"/>
  <c r="J170" i="31"/>
  <c r="BD169" i="31"/>
  <c r="AY169" i="31"/>
  <c r="AT169" i="31"/>
  <c r="AN169" i="31"/>
  <c r="AI169" i="31"/>
  <c r="AD169" i="31"/>
  <c r="X169" i="31"/>
  <c r="S169" i="31"/>
  <c r="N169" i="31"/>
  <c r="J169" i="31"/>
  <c r="BF168" i="31"/>
  <c r="BB168" i="31"/>
  <c r="AX168" i="31"/>
  <c r="AT168" i="31"/>
  <c r="AP168" i="31"/>
  <c r="AL168" i="31"/>
  <c r="AH168" i="31"/>
  <c r="AD168" i="31"/>
  <c r="Z168" i="31"/>
  <c r="V168" i="31"/>
  <c r="R168" i="31"/>
  <c r="N168" i="31"/>
  <c r="J168" i="31"/>
  <c r="BF167" i="31"/>
  <c r="BB167" i="31"/>
  <c r="AX167" i="31"/>
  <c r="AT167" i="31"/>
  <c r="AP167" i="31"/>
  <c r="AL167" i="31"/>
  <c r="AH167" i="31"/>
  <c r="AD167" i="31"/>
  <c r="Z167" i="31"/>
  <c r="V167" i="31"/>
  <c r="R167" i="31"/>
  <c r="N167" i="31"/>
  <c r="J167" i="31"/>
  <c r="BF166" i="31"/>
  <c r="BB166" i="31"/>
  <c r="AX166" i="31"/>
  <c r="AT166" i="31"/>
  <c r="AP166" i="31"/>
  <c r="AL166" i="31"/>
  <c r="AH166" i="31"/>
  <c r="AD166" i="31"/>
  <c r="Z166" i="31"/>
  <c r="V166" i="31"/>
  <c r="R166" i="31"/>
  <c r="N166" i="31"/>
  <c r="J166" i="31"/>
  <c r="BF165" i="31"/>
  <c r="BB165" i="31"/>
  <c r="AX165" i="31"/>
  <c r="AT165" i="31"/>
  <c r="AP204" i="31"/>
  <c r="Z196" i="31"/>
  <c r="BB193" i="31"/>
  <c r="AD191" i="31"/>
  <c r="BF188" i="31"/>
  <c r="AH186" i="31"/>
  <c r="O185" i="31"/>
  <c r="BC183" i="31"/>
  <c r="AQ182" i="31"/>
  <c r="AO181" i="31"/>
  <c r="I181" i="31"/>
  <c r="AC180" i="31"/>
  <c r="AY179" i="31"/>
  <c r="AE179" i="31"/>
  <c r="O179" i="31"/>
  <c r="AY178" i="31"/>
  <c r="AI178" i="31"/>
  <c r="S178" i="31"/>
  <c r="BC177" i="31"/>
  <c r="AM177" i="31"/>
  <c r="W177" i="31"/>
  <c r="BG176" i="31"/>
  <c r="AQ176" i="31"/>
  <c r="AA176" i="31"/>
  <c r="K176" i="31"/>
  <c r="AU175" i="31"/>
  <c r="AE175" i="31"/>
  <c r="O175" i="31"/>
  <c r="AY174" i="31"/>
  <c r="AI174" i="31"/>
  <c r="S174" i="31"/>
  <c r="BC173" i="31"/>
  <c r="AM173" i="31"/>
  <c r="Z173" i="31"/>
  <c r="R173" i="31"/>
  <c r="J173" i="31"/>
  <c r="BB172" i="31"/>
  <c r="AT172" i="31"/>
  <c r="AL172" i="31"/>
  <c r="AD172" i="31"/>
  <c r="V172" i="31"/>
  <c r="N172" i="31"/>
  <c r="V193" i="31"/>
  <c r="AY184" i="31"/>
  <c r="BA180" i="31"/>
  <c r="K179" i="31"/>
  <c r="AY177" i="31"/>
  <c r="AM176" i="31"/>
  <c r="AA175" i="31"/>
  <c r="O174" i="31"/>
  <c r="O173" i="31"/>
  <c r="AI172" i="31"/>
  <c r="BF171" i="31"/>
  <c r="AP171" i="31"/>
  <c r="Z171" i="31"/>
  <c r="J171" i="31"/>
  <c r="AT170" i="31"/>
  <c r="AD170" i="31"/>
  <c r="S170" i="31"/>
  <c r="H170" i="31"/>
  <c r="AX169" i="31"/>
  <c r="AM169" i="31"/>
  <c r="AB169" i="31"/>
  <c r="R169" i="31"/>
  <c r="I169" i="31"/>
  <c r="BA168" i="31"/>
  <c r="AS168" i="31"/>
  <c r="AK168" i="31"/>
  <c r="AC168" i="31"/>
  <c r="U168" i="31"/>
  <c r="M168" i="31"/>
  <c r="BE167" i="31"/>
  <c r="AW167" i="31"/>
  <c r="AO167" i="31"/>
  <c r="AG167" i="31"/>
  <c r="Y167" i="31"/>
  <c r="Q167" i="31"/>
  <c r="I167" i="31"/>
  <c r="BA166" i="31"/>
  <c r="AS166" i="31"/>
  <c r="AK166" i="31"/>
  <c r="AC166" i="31"/>
  <c r="U166" i="31"/>
  <c r="M166" i="31"/>
  <c r="BE165" i="31"/>
  <c r="AW165" i="31"/>
  <c r="AP165" i="31"/>
  <c r="AK165" i="31"/>
  <c r="AF165" i="31"/>
  <c r="Z165" i="31"/>
  <c r="U165" i="31"/>
  <c r="P165" i="31"/>
  <c r="J165" i="31"/>
  <c r="BE164" i="31"/>
  <c r="AZ164" i="31"/>
  <c r="AT164" i="31"/>
  <c r="AO164" i="31"/>
  <c r="AJ164" i="31"/>
  <c r="AD164" i="31"/>
  <c r="Y164" i="31"/>
  <c r="T164" i="31"/>
  <c r="N164" i="31"/>
  <c r="I164" i="31"/>
  <c r="BD163" i="31"/>
  <c r="AX163" i="31"/>
  <c r="AS163" i="31"/>
  <c r="AN163" i="31"/>
  <c r="AH163" i="31"/>
  <c r="AC163" i="31"/>
  <c r="X163" i="31"/>
  <c r="R163" i="31"/>
  <c r="M163" i="31"/>
  <c r="H163" i="31"/>
  <c r="BB162" i="31"/>
  <c r="AW162" i="31"/>
  <c r="AR162" i="31"/>
  <c r="AL162" i="31"/>
  <c r="AG162" i="31"/>
  <c r="AB162" i="31"/>
  <c r="V162" i="31"/>
  <c r="Q162" i="31"/>
  <c r="L162" i="31"/>
  <c r="BF161" i="31"/>
  <c r="BA161" i="31"/>
  <c r="AV161" i="31"/>
  <c r="AP161" i="31"/>
  <c r="AK161" i="31"/>
  <c r="AF161" i="31"/>
  <c r="Z161" i="31"/>
  <c r="U161" i="31"/>
  <c r="P161" i="31"/>
  <c r="J161" i="31"/>
  <c r="BE160" i="31"/>
  <c r="AZ160" i="31"/>
  <c r="AT160" i="31"/>
  <c r="AO160" i="31"/>
  <c r="AJ160" i="31"/>
  <c r="AD160" i="31"/>
  <c r="Y160" i="31"/>
  <c r="T160" i="31"/>
  <c r="N160" i="31"/>
  <c r="I160" i="31"/>
  <c r="BD159" i="31"/>
  <c r="AX159" i="31"/>
  <c r="AS159" i="31"/>
  <c r="AN159" i="31"/>
  <c r="AH159" i="31"/>
  <c r="AC159" i="31"/>
  <c r="X159" i="31"/>
  <c r="R159" i="31"/>
  <c r="M159" i="31"/>
  <c r="H159" i="31"/>
  <c r="BB158" i="31"/>
  <c r="AW158" i="31"/>
  <c r="AR158" i="31"/>
  <c r="AL158" i="31"/>
  <c r="AG158" i="31"/>
  <c r="AB158" i="31"/>
  <c r="V158" i="31"/>
  <c r="Q158" i="31"/>
  <c r="L158" i="31"/>
  <c r="BF157" i="31"/>
  <c r="BA157" i="31"/>
  <c r="AV157" i="31"/>
  <c r="AP157" i="31"/>
  <c r="AK157" i="31"/>
  <c r="AF157" i="31"/>
  <c r="Z157" i="31"/>
  <c r="U157" i="31"/>
  <c r="P157" i="31"/>
  <c r="J157" i="31"/>
  <c r="BE156" i="31"/>
  <c r="AZ156" i="31"/>
  <c r="AT156" i="31"/>
  <c r="AO156" i="31"/>
  <c r="AJ156" i="31"/>
  <c r="AD156" i="31"/>
  <c r="Y156" i="31"/>
  <c r="T156" i="31"/>
  <c r="N156" i="31"/>
  <c r="I156" i="31"/>
  <c r="BD155" i="31"/>
  <c r="AX155" i="31"/>
  <c r="AS155" i="31"/>
  <c r="AN155" i="31"/>
  <c r="AH155" i="31"/>
  <c r="AC155" i="31"/>
  <c r="X155" i="31"/>
  <c r="R155" i="31"/>
  <c r="M155" i="31"/>
  <c r="H155" i="31"/>
  <c r="BB154" i="31"/>
  <c r="AW154" i="31"/>
  <c r="AR154" i="31"/>
  <c r="AL154" i="31"/>
  <c r="AG154" i="31"/>
  <c r="AB154" i="31"/>
  <c r="V154" i="31"/>
  <c r="Q154" i="31"/>
  <c r="L154" i="31"/>
  <c r="BF153" i="31"/>
  <c r="BA153" i="31"/>
  <c r="AV153" i="31"/>
  <c r="AP153" i="31"/>
  <c r="AK153" i="31"/>
  <c r="AF153" i="31"/>
  <c r="Z153" i="31"/>
  <c r="AX190" i="31"/>
  <c r="AM183" i="31"/>
  <c r="U180" i="31"/>
  <c r="AU178" i="31"/>
  <c r="AI177" i="31"/>
  <c r="W176" i="31"/>
  <c r="K175" i="31"/>
  <c r="AY173" i="31"/>
  <c r="BG172" i="31"/>
  <c r="AA172" i="31"/>
  <c r="BC171" i="31"/>
  <c r="AM171" i="31"/>
  <c r="W171" i="31"/>
  <c r="BG170" i="31"/>
  <c r="AQ170" i="31"/>
  <c r="AB170" i="31"/>
  <c r="R170" i="31"/>
  <c r="BG169" i="31"/>
  <c r="AV169" i="31"/>
  <c r="AL169" i="31"/>
  <c r="AA169" i="31"/>
  <c r="P169" i="31"/>
  <c r="H169" i="31"/>
  <c r="AZ168" i="31"/>
  <c r="AR168" i="31"/>
  <c r="AJ168" i="31"/>
  <c r="AB168" i="31"/>
  <c r="T168" i="31"/>
  <c r="L168" i="31"/>
  <c r="BD167" i="31"/>
  <c r="AV167" i="31"/>
  <c r="AN167" i="31"/>
  <c r="AF167" i="31"/>
  <c r="X167" i="31"/>
  <c r="P167" i="31"/>
  <c r="H167" i="31"/>
  <c r="AZ166" i="31"/>
  <c r="AR166" i="31"/>
  <c r="AJ166" i="31"/>
  <c r="AB166" i="31"/>
  <c r="T166" i="31"/>
  <c r="L166" i="31"/>
  <c r="BD165" i="31"/>
  <c r="AV165" i="31"/>
  <c r="AO165" i="31"/>
  <c r="AJ165" i="31"/>
  <c r="AD165" i="31"/>
  <c r="Y165" i="31"/>
  <c r="T165" i="31"/>
  <c r="N165" i="31"/>
  <c r="I165" i="31"/>
  <c r="BD164" i="31"/>
  <c r="AX164" i="31"/>
  <c r="AS164" i="31"/>
  <c r="AN164" i="31"/>
  <c r="AH164" i="31"/>
  <c r="AC164" i="31"/>
  <c r="X164" i="31"/>
  <c r="R164" i="31"/>
  <c r="M164" i="31"/>
  <c r="H164" i="31"/>
  <c r="BB163" i="31"/>
  <c r="AW163" i="31"/>
  <c r="AR163" i="31"/>
  <c r="AL163" i="31"/>
  <c r="AG163" i="31"/>
  <c r="AB163" i="31"/>
  <c r="V163" i="31"/>
  <c r="Q163" i="31"/>
  <c r="L163" i="31"/>
  <c r="BF162" i="31"/>
  <c r="BA162" i="31"/>
  <c r="AV162" i="31"/>
  <c r="AP162" i="31"/>
  <c r="AK162" i="31"/>
  <c r="AF162" i="31"/>
  <c r="Z162" i="31"/>
  <c r="U162" i="31"/>
  <c r="P162" i="31"/>
  <c r="J162" i="31"/>
  <c r="BE161" i="31"/>
  <c r="AZ161" i="31"/>
  <c r="AT161" i="31"/>
  <c r="AO161" i="31"/>
  <c r="AJ161" i="31"/>
  <c r="AD161" i="31"/>
  <c r="Y161" i="31"/>
  <c r="T161" i="31"/>
  <c r="N161" i="31"/>
  <c r="I161" i="31"/>
  <c r="BD160" i="31"/>
  <c r="AX160" i="31"/>
  <c r="AS160" i="31"/>
  <c r="AN160" i="31"/>
  <c r="AH160" i="31"/>
  <c r="AC160" i="31"/>
  <c r="X160" i="31"/>
  <c r="R160" i="31"/>
  <c r="M160" i="31"/>
  <c r="H160" i="31"/>
  <c r="BB159" i="31"/>
  <c r="AW159" i="31"/>
  <c r="AR159" i="31"/>
  <c r="AL159" i="31"/>
  <c r="AG159" i="31"/>
  <c r="AB159" i="31"/>
  <c r="V159" i="31"/>
  <c r="Q159" i="31"/>
  <c r="L159" i="31"/>
  <c r="BF158" i="31"/>
  <c r="BA158" i="31"/>
  <c r="AV158" i="31"/>
  <c r="AP158" i="31"/>
  <c r="AK158" i="31"/>
  <c r="AF158" i="31"/>
  <c r="Z158" i="31"/>
  <c r="U158" i="31"/>
  <c r="P158" i="31"/>
  <c r="J158" i="31"/>
  <c r="BE157" i="31"/>
  <c r="AZ157" i="31"/>
  <c r="AT157" i="31"/>
  <c r="AO157" i="31"/>
  <c r="AJ157" i="31"/>
  <c r="AD157" i="31"/>
  <c r="Y157" i="31"/>
  <c r="T157" i="31"/>
  <c r="N157" i="31"/>
  <c r="I157" i="31"/>
  <c r="BD156" i="31"/>
  <c r="AX156" i="31"/>
  <c r="AS156" i="31"/>
  <c r="AN156" i="31"/>
  <c r="AH156" i="31"/>
  <c r="AC156" i="31"/>
  <c r="X156" i="31"/>
  <c r="R156" i="31"/>
  <c r="M156" i="31"/>
  <c r="H156" i="31"/>
  <c r="BB155" i="31"/>
  <c r="AW155" i="31"/>
  <c r="AR155" i="31"/>
  <c r="AL155" i="31"/>
  <c r="AG155" i="31"/>
  <c r="AB155" i="31"/>
  <c r="V155" i="31"/>
  <c r="Q155" i="31"/>
  <c r="L155" i="31"/>
  <c r="BF154" i="31"/>
  <c r="BA154" i="31"/>
  <c r="AV154" i="31"/>
  <c r="AP154" i="31"/>
  <c r="AK154" i="31"/>
  <c r="AF154" i="31"/>
  <c r="Z154" i="31"/>
  <c r="U154" i="31"/>
  <c r="P154" i="31"/>
  <c r="J154" i="31"/>
  <c r="BE153" i="31"/>
  <c r="AZ153" i="31"/>
  <c r="AT153" i="31"/>
  <c r="AO153" i="31"/>
  <c r="AJ153" i="31"/>
  <c r="AD153" i="31"/>
  <c r="Y153" i="31"/>
  <c r="T153" i="31"/>
  <c r="N153" i="31"/>
  <c r="I153" i="31"/>
  <c r="BD152" i="31"/>
  <c r="AX152" i="31"/>
  <c r="AS152" i="31"/>
  <c r="AN152" i="31"/>
  <c r="AH152" i="31"/>
  <c r="AC152" i="31"/>
  <c r="X152" i="31"/>
  <c r="R152" i="31"/>
  <c r="M152" i="31"/>
  <c r="H152" i="31"/>
  <c r="BB151" i="31"/>
  <c r="AW151" i="31"/>
  <c r="AR151" i="31"/>
  <c r="AL151" i="31"/>
  <c r="AG151" i="31"/>
  <c r="AB151" i="31"/>
  <c r="V151" i="31"/>
  <c r="Q151" i="31"/>
  <c r="L151" i="31"/>
  <c r="BF150" i="31"/>
  <c r="BA150" i="31"/>
  <c r="AV150" i="31"/>
  <c r="AP150" i="31"/>
  <c r="AK150" i="31"/>
  <c r="AF150" i="31"/>
  <c r="Z150" i="31"/>
  <c r="U150" i="31"/>
  <c r="P150" i="31"/>
  <c r="J150" i="31"/>
  <c r="BE149" i="31"/>
  <c r="AZ149" i="31"/>
  <c r="AT149" i="31"/>
  <c r="AO149" i="31"/>
  <c r="AJ149" i="31"/>
  <c r="AD149" i="31"/>
  <c r="Y149" i="31"/>
  <c r="T149" i="31"/>
  <c r="N149" i="31"/>
  <c r="I149" i="31"/>
  <c r="BD148" i="31"/>
  <c r="AX148" i="31"/>
  <c r="AS148" i="31"/>
  <c r="AN148" i="31"/>
  <c r="AH148" i="31"/>
  <c r="AC148" i="31"/>
  <c r="X148" i="31"/>
  <c r="R148" i="31"/>
  <c r="M148" i="31"/>
  <c r="H148" i="31"/>
  <c r="BB147" i="31"/>
  <c r="AX147" i="31"/>
  <c r="AT147" i="31"/>
  <c r="AP147" i="31"/>
  <c r="AL147" i="31"/>
  <c r="AH147" i="31"/>
  <c r="AD147" i="31"/>
  <c r="Z147" i="31"/>
  <c r="V147" i="31"/>
  <c r="R147" i="31"/>
  <c r="N147" i="31"/>
  <c r="J147" i="31"/>
  <c r="BF146" i="31"/>
  <c r="BB146" i="31"/>
  <c r="AX146" i="31"/>
  <c r="AT146" i="31"/>
  <c r="AP146" i="31"/>
  <c r="AL146" i="31"/>
  <c r="AH146" i="31"/>
  <c r="AD146" i="31"/>
  <c r="Z146" i="31"/>
  <c r="V146" i="31"/>
  <c r="R146" i="31"/>
  <c r="N146" i="31"/>
  <c r="J146" i="31"/>
  <c r="BF145" i="31"/>
  <c r="BB145" i="31"/>
  <c r="AX145" i="31"/>
  <c r="AT145" i="31"/>
  <c r="AP145" i="31"/>
  <c r="AL145" i="31"/>
  <c r="AH145" i="31"/>
  <c r="AD145" i="31"/>
  <c r="Z145" i="31"/>
  <c r="V145" i="31"/>
  <c r="R145" i="31"/>
  <c r="N145" i="31"/>
  <c r="J145" i="31"/>
  <c r="BF144" i="31"/>
  <c r="BB144" i="31"/>
  <c r="AX144" i="31"/>
  <c r="AT144" i="31"/>
  <c r="AP144" i="31"/>
  <c r="AL144" i="31"/>
  <c r="AH144" i="31"/>
  <c r="AD144" i="31"/>
  <c r="Z144" i="31"/>
  <c r="V144" i="31"/>
  <c r="R144" i="31"/>
  <c r="N144" i="31"/>
  <c r="J144" i="31"/>
  <c r="BF143" i="31"/>
  <c r="BB143" i="31"/>
  <c r="AX143" i="31"/>
  <c r="AT143" i="31"/>
  <c r="AP143" i="31"/>
  <c r="AL143" i="31"/>
  <c r="AH143" i="31"/>
  <c r="AD143" i="31"/>
  <c r="Z143" i="31"/>
  <c r="V143" i="31"/>
  <c r="R143" i="31"/>
  <c r="N143" i="31"/>
  <c r="J143" i="31"/>
  <c r="BF142" i="31"/>
  <c r="BB142" i="31"/>
  <c r="AX142" i="31"/>
  <c r="AT142" i="31"/>
  <c r="AP142" i="31"/>
  <c r="AL142" i="31"/>
  <c r="AH142" i="31"/>
  <c r="AD142" i="31"/>
  <c r="Z142" i="31"/>
  <c r="V142" i="31"/>
  <c r="R142" i="31"/>
  <c r="N142" i="31"/>
  <c r="J142" i="31"/>
  <c r="BF141" i="31"/>
  <c r="BB141" i="31"/>
  <c r="AX141" i="31"/>
  <c r="AT141" i="31"/>
  <c r="AP141" i="31"/>
  <c r="AL141" i="31"/>
  <c r="AH141" i="31"/>
  <c r="AD141" i="31"/>
  <c r="Z141" i="31"/>
  <c r="V141" i="31"/>
  <c r="R141" i="31"/>
  <c r="N141" i="31"/>
  <c r="J141" i="31"/>
  <c r="BF140" i="31"/>
  <c r="BB140" i="31"/>
  <c r="AX140" i="31"/>
  <c r="AT140" i="31"/>
  <c r="AP140" i="31"/>
  <c r="AL140" i="31"/>
  <c r="AH140" i="31"/>
  <c r="AD140" i="31"/>
  <c r="Z140" i="31"/>
  <c r="V140" i="31"/>
  <c r="R140" i="31"/>
  <c r="N140" i="31"/>
  <c r="J140" i="31"/>
  <c r="BF139" i="31"/>
  <c r="BB139" i="31"/>
  <c r="AX139" i="31"/>
  <c r="AT139" i="31"/>
  <c r="AP139" i="31"/>
  <c r="AL139" i="31"/>
  <c r="AH139" i="31"/>
  <c r="AD139" i="31"/>
  <c r="Z139" i="31"/>
  <c r="V139" i="31"/>
  <c r="R139" i="31"/>
  <c r="N139" i="31"/>
  <c r="J139" i="31"/>
  <c r="BF138" i="31"/>
  <c r="BB138" i="31"/>
  <c r="AX138" i="31"/>
  <c r="AT138" i="31"/>
  <c r="AP138" i="31"/>
  <c r="AL138" i="31"/>
  <c r="AH138" i="31"/>
  <c r="AD138" i="31"/>
  <c r="Z200" i="31"/>
  <c r="Z188" i="31"/>
  <c r="AA182" i="31"/>
  <c r="AS179" i="31"/>
  <c r="AE178" i="31"/>
  <c r="S177" i="31"/>
  <c r="BG175" i="31"/>
  <c r="AU174" i="31"/>
  <c r="AI173" i="31"/>
  <c r="AY172" i="31"/>
  <c r="S172" i="31"/>
  <c r="AX171" i="31"/>
  <c r="AH171" i="31"/>
  <c r="R171" i="31"/>
  <c r="BB170" i="31"/>
  <c r="AL170" i="31"/>
  <c r="X170" i="31"/>
  <c r="N170" i="31"/>
  <c r="BC169" i="31"/>
  <c r="AR169" i="31"/>
  <c r="AH169" i="31"/>
  <c r="W169" i="31"/>
  <c r="M169" i="31"/>
  <c r="BE168" i="31"/>
  <c r="AW168" i="31"/>
  <c r="AO168" i="31"/>
  <c r="AG168" i="31"/>
  <c r="Y168" i="31"/>
  <c r="Q168" i="31"/>
  <c r="I168" i="31"/>
  <c r="BA167" i="31"/>
  <c r="AS167" i="31"/>
  <c r="AK167" i="31"/>
  <c r="AC167" i="31"/>
  <c r="U167" i="31"/>
  <c r="M167" i="31"/>
  <c r="BE166" i="31"/>
  <c r="AW166" i="31"/>
  <c r="AO166" i="31"/>
  <c r="AG166" i="31"/>
  <c r="Y166" i="31"/>
  <c r="Q166" i="31"/>
  <c r="I166" i="31"/>
  <c r="BA165" i="31"/>
  <c r="AS165" i="31"/>
  <c r="AN165" i="31"/>
  <c r="AH165" i="31"/>
  <c r="AC165" i="31"/>
  <c r="X165" i="31"/>
  <c r="R165" i="31"/>
  <c r="M165" i="31"/>
  <c r="H165" i="31"/>
  <c r="BB164" i="31"/>
  <c r="AW164" i="31"/>
  <c r="AR164" i="31"/>
  <c r="AL164" i="31"/>
  <c r="AG164" i="31"/>
  <c r="AB164" i="31"/>
  <c r="V164" i="31"/>
  <c r="Q164" i="31"/>
  <c r="L164" i="31"/>
  <c r="BF163" i="31"/>
  <c r="BA163" i="31"/>
  <c r="AV163" i="31"/>
  <c r="AP163" i="31"/>
  <c r="AK163" i="31"/>
  <c r="AF163" i="31"/>
  <c r="Z163" i="31"/>
  <c r="U163" i="31"/>
  <c r="P163" i="31"/>
  <c r="J163" i="31"/>
  <c r="BE162" i="31"/>
  <c r="AZ162" i="31"/>
  <c r="AT162" i="31"/>
  <c r="AO162" i="31"/>
  <c r="AJ162" i="31"/>
  <c r="AD162" i="31"/>
  <c r="Y162" i="31"/>
  <c r="T162" i="31"/>
  <c r="N162" i="31"/>
  <c r="I162" i="31"/>
  <c r="BD161" i="31"/>
  <c r="AX161" i="31"/>
  <c r="AS161" i="31"/>
  <c r="AN161" i="31"/>
  <c r="AH161" i="31"/>
  <c r="AC161" i="31"/>
  <c r="X161" i="31"/>
  <c r="R161" i="31"/>
  <c r="M161" i="31"/>
  <c r="H161" i="31"/>
  <c r="BB160" i="31"/>
  <c r="AW160" i="31"/>
  <c r="AR160" i="31"/>
  <c r="AL160" i="31"/>
  <c r="AG160" i="31"/>
  <c r="AB160" i="31"/>
  <c r="V160" i="31"/>
  <c r="Q160" i="31"/>
  <c r="L160" i="31"/>
  <c r="BF159" i="31"/>
  <c r="BA159" i="31"/>
  <c r="AV159" i="31"/>
  <c r="AP159" i="31"/>
  <c r="AK159" i="31"/>
  <c r="AF159" i="31"/>
  <c r="Z159" i="31"/>
  <c r="U159" i="31"/>
  <c r="P159" i="31"/>
  <c r="J159" i="31"/>
  <c r="BE158" i="31"/>
  <c r="AZ158" i="31"/>
  <c r="AT158" i="31"/>
  <c r="AO158" i="31"/>
  <c r="AJ158" i="31"/>
  <c r="AD158" i="31"/>
  <c r="Y158" i="31"/>
  <c r="T158" i="31"/>
  <c r="N158" i="31"/>
  <c r="I158" i="31"/>
  <c r="BD157" i="31"/>
  <c r="AX157" i="31"/>
  <c r="AS157" i="31"/>
  <c r="AN157" i="31"/>
  <c r="AH157" i="31"/>
  <c r="AC157" i="31"/>
  <c r="X157" i="31"/>
  <c r="R157" i="31"/>
  <c r="M157" i="31"/>
  <c r="H157" i="31"/>
  <c r="BB156" i="31"/>
  <c r="AW156" i="31"/>
  <c r="AR156" i="31"/>
  <c r="AL156" i="31"/>
  <c r="AG156" i="31"/>
  <c r="AB156" i="31"/>
  <c r="V156" i="31"/>
  <c r="Q156" i="31"/>
  <c r="L156" i="31"/>
  <c r="BF155" i="31"/>
  <c r="BA155" i="31"/>
  <c r="AV155" i="31"/>
  <c r="AP155" i="31"/>
  <c r="AK155" i="31"/>
  <c r="AF155" i="31"/>
  <c r="Z155" i="31"/>
  <c r="U155" i="31"/>
  <c r="P155" i="31"/>
  <c r="J155" i="31"/>
  <c r="BE154" i="31"/>
  <c r="AZ154" i="31"/>
  <c r="AT154" i="31"/>
  <c r="AO154" i="31"/>
  <c r="AJ154" i="31"/>
  <c r="AD154" i="31"/>
  <c r="Y154" i="31"/>
  <c r="T154" i="31"/>
  <c r="N154" i="31"/>
  <c r="I154" i="31"/>
  <c r="BD153" i="31"/>
  <c r="AX153" i="31"/>
  <c r="AS153" i="31"/>
  <c r="AN153" i="31"/>
  <c r="AH153" i="31"/>
  <c r="AC153" i="31"/>
  <c r="X153" i="31"/>
  <c r="R153" i="31"/>
  <c r="M153" i="31"/>
  <c r="H153" i="31"/>
  <c r="BB152" i="31"/>
  <c r="AW152" i="31"/>
  <c r="AR152" i="31"/>
  <c r="AL152" i="31"/>
  <c r="AG152" i="31"/>
  <c r="AB152" i="31"/>
  <c r="V152" i="31"/>
  <c r="Q152" i="31"/>
  <c r="L152" i="31"/>
  <c r="BF151" i="31"/>
  <c r="BA151" i="31"/>
  <c r="AV151" i="31"/>
  <c r="AP151" i="31"/>
  <c r="AK151" i="31"/>
  <c r="AF151" i="31"/>
  <c r="Z151" i="31"/>
  <c r="U151" i="31"/>
  <c r="P151" i="31"/>
  <c r="J151" i="31"/>
  <c r="BE150" i="31"/>
  <c r="AZ150" i="31"/>
  <c r="AT150" i="31"/>
  <c r="AO150" i="31"/>
  <c r="AJ150" i="31"/>
  <c r="AD150" i="31"/>
  <c r="Y150" i="31"/>
  <c r="T150" i="31"/>
  <c r="N150" i="31"/>
  <c r="I150" i="31"/>
  <c r="BD149" i="31"/>
  <c r="AX149" i="31"/>
  <c r="AS149" i="31"/>
  <c r="AN149" i="31"/>
  <c r="AH149" i="31"/>
  <c r="AC149" i="31"/>
  <c r="X149" i="31"/>
  <c r="R149" i="31"/>
  <c r="M149" i="31"/>
  <c r="H149" i="31"/>
  <c r="BB148" i="31"/>
  <c r="AW148" i="31"/>
  <c r="AR148" i="31"/>
  <c r="AL148" i="31"/>
  <c r="AG148" i="31"/>
  <c r="AB148" i="31"/>
  <c r="V148" i="31"/>
  <c r="Q148" i="31"/>
  <c r="L148" i="31"/>
  <c r="BF147" i="31"/>
  <c r="BA147" i="31"/>
  <c r="AW147" i="31"/>
  <c r="AS147" i="31"/>
  <c r="AO147" i="31"/>
  <c r="AK147" i="31"/>
  <c r="AG147" i="31"/>
  <c r="AC147" i="31"/>
  <c r="Y147" i="31"/>
  <c r="U147" i="31"/>
  <c r="Q147" i="31"/>
  <c r="M147" i="31"/>
  <c r="I147" i="31"/>
  <c r="BE146" i="31"/>
  <c r="BA146" i="31"/>
  <c r="AW146" i="31"/>
  <c r="AS146" i="31"/>
  <c r="AO146" i="31"/>
  <c r="AK146" i="31"/>
  <c r="AG146" i="31"/>
  <c r="AC146" i="31"/>
  <c r="Y146" i="31"/>
  <c r="U146" i="31"/>
  <c r="Q146" i="31"/>
  <c r="M146" i="31"/>
  <c r="I146" i="31"/>
  <c r="BE145" i="31"/>
  <c r="BA145" i="31"/>
  <c r="AW145" i="31"/>
  <c r="AS145" i="31"/>
  <c r="AO145" i="31"/>
  <c r="AK145" i="31"/>
  <c r="AG145" i="31"/>
  <c r="AC145" i="31"/>
  <c r="Y145" i="31"/>
  <c r="U145" i="31"/>
  <c r="Q145" i="31"/>
  <c r="M145" i="31"/>
  <c r="I145" i="31"/>
  <c r="BE144" i="31"/>
  <c r="BA144" i="31"/>
  <c r="AW144" i="31"/>
  <c r="AS144" i="31"/>
  <c r="AO144" i="31"/>
  <c r="AK144" i="31"/>
  <c r="AG144" i="31"/>
  <c r="AC144" i="31"/>
  <c r="Y144" i="31"/>
  <c r="U144" i="31"/>
  <c r="Q144" i="31"/>
  <c r="M144" i="31"/>
  <c r="I144" i="31"/>
  <c r="BE143" i="31"/>
  <c r="BA143" i="31"/>
  <c r="AW143" i="31"/>
  <c r="AS143" i="31"/>
  <c r="AO143" i="31"/>
  <c r="AK143" i="31"/>
  <c r="AG143" i="31"/>
  <c r="AC143" i="31"/>
  <c r="Y143" i="31"/>
  <c r="U143" i="31"/>
  <c r="Q143" i="31"/>
  <c r="M143" i="31"/>
  <c r="I143" i="31"/>
  <c r="BE142" i="31"/>
  <c r="BA142" i="31"/>
  <c r="AW142" i="31"/>
  <c r="AS142" i="31"/>
  <c r="AO142" i="31"/>
  <c r="AK142" i="31"/>
  <c r="AG142" i="31"/>
  <c r="AC142" i="31"/>
  <c r="Y142" i="31"/>
  <c r="U142" i="31"/>
  <c r="Q142" i="31"/>
  <c r="M142" i="31"/>
  <c r="I142" i="31"/>
  <c r="BE141" i="31"/>
  <c r="BA141" i="31"/>
  <c r="AW141" i="31"/>
  <c r="AS141" i="31"/>
  <c r="AO141" i="31"/>
  <c r="AK141" i="31"/>
  <c r="AG141" i="31"/>
  <c r="AC141" i="31"/>
  <c r="Y141" i="31"/>
  <c r="U141" i="31"/>
  <c r="Q141" i="31"/>
  <c r="M141" i="31"/>
  <c r="I141" i="31"/>
  <c r="BE140" i="31"/>
  <c r="BA140" i="31"/>
  <c r="AW140" i="31"/>
  <c r="AS140" i="31"/>
  <c r="AO140" i="31"/>
  <c r="AK140" i="31"/>
  <c r="AG140" i="31"/>
  <c r="AC140" i="31"/>
  <c r="Y140" i="31"/>
  <c r="U140" i="31"/>
  <c r="Q140" i="31"/>
  <c r="M140" i="31"/>
  <c r="I140" i="31"/>
  <c r="BE139" i="31"/>
  <c r="BA139" i="31"/>
  <c r="AW139" i="31"/>
  <c r="AS139" i="31"/>
  <c r="AO139" i="31"/>
  <c r="AK139" i="31"/>
  <c r="AG139" i="31"/>
  <c r="AC139" i="31"/>
  <c r="Y139" i="31"/>
  <c r="U139" i="31"/>
  <c r="Q139" i="31"/>
  <c r="M139" i="31"/>
  <c r="I139" i="31"/>
  <c r="BE138" i="31"/>
  <c r="BA138" i="31"/>
  <c r="AW138" i="31"/>
  <c r="AS138" i="31"/>
  <c r="AO138" i="31"/>
  <c r="AK138" i="31"/>
  <c r="AG138" i="31"/>
  <c r="AT195" i="31"/>
  <c r="M186" i="31"/>
  <c r="AG181" i="31"/>
  <c r="AA179" i="31"/>
  <c r="AQ175" i="31"/>
  <c r="K172" i="31"/>
  <c r="AY170" i="31"/>
  <c r="BB169" i="31"/>
  <c r="L169" i="31"/>
  <c r="AF168" i="31"/>
  <c r="AZ167" i="31"/>
  <c r="T167" i="31"/>
  <c r="AN166" i="31"/>
  <c r="H166" i="31"/>
  <c r="AG165" i="31"/>
  <c r="L165" i="31"/>
  <c r="AP164" i="31"/>
  <c r="U164" i="31"/>
  <c r="AZ163" i="31"/>
  <c r="AD163" i="31"/>
  <c r="I163" i="31"/>
  <c r="AN162" i="31"/>
  <c r="R162" i="31"/>
  <c r="AW161" i="31"/>
  <c r="AB161" i="31"/>
  <c r="BF160" i="31"/>
  <c r="AK160" i="31"/>
  <c r="P160" i="31"/>
  <c r="AT159" i="31"/>
  <c r="Y159" i="31"/>
  <c r="BD158" i="31"/>
  <c r="AH158" i="31"/>
  <c r="M158" i="31"/>
  <c r="AR157" i="31"/>
  <c r="V157" i="31"/>
  <c r="BA156" i="31"/>
  <c r="AF156" i="31"/>
  <c r="J156" i="31"/>
  <c r="AO155" i="31"/>
  <c r="T155" i="31"/>
  <c r="AX154" i="31"/>
  <c r="AC154" i="31"/>
  <c r="H154" i="31"/>
  <c r="AL153" i="31"/>
  <c r="U153" i="31"/>
  <c r="J153" i="31"/>
  <c r="AZ152" i="31"/>
  <c r="AO152" i="31"/>
  <c r="AD152" i="31"/>
  <c r="T152" i="31"/>
  <c r="I152" i="31"/>
  <c r="AX151" i="31"/>
  <c r="AN151" i="31"/>
  <c r="AC151" i="31"/>
  <c r="R151" i="31"/>
  <c r="H151" i="31"/>
  <c r="AW150" i="31"/>
  <c r="AL150" i="31"/>
  <c r="AB150" i="31"/>
  <c r="Q150" i="31"/>
  <c r="BF149" i="31"/>
  <c r="AV149" i="31"/>
  <c r="AK149" i="31"/>
  <c r="Z149" i="31"/>
  <c r="P149" i="31"/>
  <c r="BE148" i="31"/>
  <c r="AT148" i="31"/>
  <c r="AJ148" i="31"/>
  <c r="Y148" i="31"/>
  <c r="N148" i="31"/>
  <c r="BD147" i="31"/>
  <c r="AU147" i="31"/>
  <c r="AM147" i="31"/>
  <c r="AE147" i="31"/>
  <c r="W147" i="31"/>
  <c r="O147" i="31"/>
  <c r="BG146" i="31"/>
  <c r="AY146" i="31"/>
  <c r="AQ146" i="31"/>
  <c r="AI146" i="31"/>
  <c r="AA146" i="31"/>
  <c r="S146" i="31"/>
  <c r="K146" i="31"/>
  <c r="BC145" i="31"/>
  <c r="AU145" i="31"/>
  <c r="AM145" i="31"/>
  <c r="AE145" i="31"/>
  <c r="W145" i="31"/>
  <c r="O145" i="31"/>
  <c r="BG144" i="31"/>
  <c r="AY144" i="31"/>
  <c r="AQ144" i="31"/>
  <c r="AI144" i="31"/>
  <c r="AA144" i="31"/>
  <c r="S144" i="31"/>
  <c r="K144" i="31"/>
  <c r="BC143" i="31"/>
  <c r="AU143" i="31"/>
  <c r="AM143" i="31"/>
  <c r="AE143" i="31"/>
  <c r="W143" i="31"/>
  <c r="O143" i="31"/>
  <c r="BG142" i="31"/>
  <c r="AY142" i="31"/>
  <c r="AQ142" i="31"/>
  <c r="AI142" i="31"/>
  <c r="AA142" i="31"/>
  <c r="S142" i="31"/>
  <c r="K142" i="31"/>
  <c r="BC141" i="31"/>
  <c r="AU141" i="31"/>
  <c r="AM141" i="31"/>
  <c r="AE141" i="31"/>
  <c r="W141" i="31"/>
  <c r="O141" i="31"/>
  <c r="BG140" i="31"/>
  <c r="AY140" i="31"/>
  <c r="AQ140" i="31"/>
  <c r="AI140" i="31"/>
  <c r="AA140" i="31"/>
  <c r="S140" i="31"/>
  <c r="K140" i="31"/>
  <c r="BC139" i="31"/>
  <c r="AU139" i="31"/>
  <c r="AM139" i="31"/>
  <c r="AE139" i="31"/>
  <c r="W139" i="31"/>
  <c r="O139" i="31"/>
  <c r="BG138" i="31"/>
  <c r="AY138" i="31"/>
  <c r="AQ138" i="31"/>
  <c r="AI138" i="31"/>
  <c r="AB138" i="31"/>
  <c r="X138" i="31"/>
  <c r="T138" i="31"/>
  <c r="P138" i="31"/>
  <c r="L138" i="31"/>
  <c r="H138" i="31"/>
  <c r="BD137" i="31"/>
  <c r="AZ137" i="31"/>
  <c r="AV137" i="31"/>
  <c r="AR137" i="31"/>
  <c r="AN137" i="31"/>
  <c r="AJ137" i="31"/>
  <c r="AF137" i="31"/>
  <c r="AB137" i="31"/>
  <c r="X137" i="31"/>
  <c r="T137" i="31"/>
  <c r="P137" i="31"/>
  <c r="L137" i="31"/>
  <c r="H137" i="31"/>
  <c r="BD136" i="31"/>
  <c r="AZ136" i="31"/>
  <c r="AV136" i="31"/>
  <c r="AR136" i="31"/>
  <c r="AN136" i="31"/>
  <c r="AJ136" i="31"/>
  <c r="AF136" i="31"/>
  <c r="AB136" i="31"/>
  <c r="X136" i="31"/>
  <c r="T136" i="31"/>
  <c r="P136" i="31"/>
  <c r="L136" i="31"/>
  <c r="H136" i="31"/>
  <c r="BD135" i="31"/>
  <c r="AZ135" i="31"/>
  <c r="AV135" i="31"/>
  <c r="AR135" i="31"/>
  <c r="AN135" i="31"/>
  <c r="AJ135" i="31"/>
  <c r="AF135" i="31"/>
  <c r="AB135" i="31"/>
  <c r="X135" i="31"/>
  <c r="T135" i="31"/>
  <c r="P135" i="31"/>
  <c r="L135" i="31"/>
  <c r="H135" i="31"/>
  <c r="BD134" i="31"/>
  <c r="AZ134" i="31"/>
  <c r="AV134" i="31"/>
  <c r="AR134" i="31"/>
  <c r="AN134" i="31"/>
  <c r="AJ134" i="31"/>
  <c r="AF134" i="31"/>
  <c r="AB134" i="31"/>
  <c r="X134" i="31"/>
  <c r="T134" i="31"/>
  <c r="P134" i="31"/>
  <c r="L134" i="31"/>
  <c r="H134" i="31"/>
  <c r="BD133" i="31"/>
  <c r="AZ133" i="31"/>
  <c r="AV133" i="31"/>
  <c r="AR133" i="31"/>
  <c r="AN133" i="31"/>
  <c r="AJ133" i="31"/>
  <c r="AF133" i="31"/>
  <c r="AB133" i="31"/>
  <c r="X133" i="31"/>
  <c r="T133" i="31"/>
  <c r="P133" i="31"/>
  <c r="L133" i="31"/>
  <c r="H133" i="31"/>
  <c r="BD132" i="31"/>
  <c r="AZ132" i="31"/>
  <c r="AV132" i="31"/>
  <c r="AR132" i="31"/>
  <c r="AN132" i="31"/>
  <c r="AJ132" i="31"/>
  <c r="AF132" i="31"/>
  <c r="AB132" i="31"/>
  <c r="X132" i="31"/>
  <c r="T132" i="31"/>
  <c r="P132" i="31"/>
  <c r="L132" i="31"/>
  <c r="H132" i="31"/>
  <c r="BD131" i="31"/>
  <c r="AZ131" i="31"/>
  <c r="AV131" i="31"/>
  <c r="AR131" i="31"/>
  <c r="AN131" i="31"/>
  <c r="AJ131" i="31"/>
  <c r="AF131" i="31"/>
  <c r="AB131" i="31"/>
  <c r="X131" i="31"/>
  <c r="T131" i="31"/>
  <c r="P131" i="31"/>
  <c r="L131" i="31"/>
  <c r="H131" i="31"/>
  <c r="BD130" i="31"/>
  <c r="AZ130" i="31"/>
  <c r="AV130" i="31"/>
  <c r="AR130" i="31"/>
  <c r="AN130" i="31"/>
  <c r="AJ130" i="31"/>
  <c r="AF130" i="31"/>
  <c r="AB130" i="31"/>
  <c r="X130" i="31"/>
  <c r="T130" i="31"/>
  <c r="P130" i="31"/>
  <c r="L130" i="31"/>
  <c r="H130" i="31"/>
  <c r="BD129" i="31"/>
  <c r="AZ129" i="31"/>
  <c r="AV129" i="31"/>
  <c r="AR129" i="31"/>
  <c r="AN129" i="31"/>
  <c r="AJ129" i="31"/>
  <c r="AF129" i="31"/>
  <c r="AB129" i="31"/>
  <c r="X129" i="31"/>
  <c r="T129" i="31"/>
  <c r="P129" i="31"/>
  <c r="L129" i="31"/>
  <c r="H129" i="31"/>
  <c r="BD128" i="31"/>
  <c r="AZ128" i="31"/>
  <c r="AV128" i="31"/>
  <c r="AR128" i="31"/>
  <c r="AN128" i="31"/>
  <c r="AJ128" i="31"/>
  <c r="AF128" i="31"/>
  <c r="AB128" i="31"/>
  <c r="X128" i="31"/>
  <c r="T128" i="31"/>
  <c r="P128" i="31"/>
  <c r="L128" i="31"/>
  <c r="H128" i="31"/>
  <c r="BD127" i="31"/>
  <c r="AZ127" i="31"/>
  <c r="AV127" i="31"/>
  <c r="AR127" i="31"/>
  <c r="AN127" i="31"/>
  <c r="AJ127" i="31"/>
  <c r="AF127" i="31"/>
  <c r="AB127" i="31"/>
  <c r="X127" i="31"/>
  <c r="T127" i="31"/>
  <c r="P127" i="31"/>
  <c r="L127" i="31"/>
  <c r="H127" i="31"/>
  <c r="BD126" i="31"/>
  <c r="AZ126" i="31"/>
  <c r="AV126" i="31"/>
  <c r="AR126" i="31"/>
  <c r="AN126" i="31"/>
  <c r="AJ126" i="31"/>
  <c r="AF126" i="31"/>
  <c r="AB126" i="31"/>
  <c r="X126" i="31"/>
  <c r="T126" i="31"/>
  <c r="P126" i="31"/>
  <c r="L126" i="31"/>
  <c r="H126" i="31"/>
  <c r="BD125" i="31"/>
  <c r="AZ125" i="31"/>
  <c r="AV125" i="31"/>
  <c r="AR125" i="31"/>
  <c r="AE174" i="31"/>
  <c r="AU171" i="31"/>
  <c r="AI170" i="31"/>
  <c r="AQ169" i="31"/>
  <c r="BD168" i="31"/>
  <c r="X168" i="31"/>
  <c r="AR167" i="31"/>
  <c r="L167" i="31"/>
  <c r="AF166" i="31"/>
  <c r="AZ165" i="31"/>
  <c r="AB165" i="31"/>
  <c r="BF164" i="31"/>
  <c r="AK164" i="31"/>
  <c r="P164" i="31"/>
  <c r="AT163" i="31"/>
  <c r="Y163" i="31"/>
  <c r="BD162" i="31"/>
  <c r="AH162" i="31"/>
  <c r="M162" i="31"/>
  <c r="AR161" i="31"/>
  <c r="V161" i="31"/>
  <c r="BA160" i="31"/>
  <c r="AF160" i="31"/>
  <c r="J160" i="31"/>
  <c r="AO159" i="31"/>
  <c r="T159" i="31"/>
  <c r="AX158" i="31"/>
  <c r="AC158" i="31"/>
  <c r="H158" i="31"/>
  <c r="AL157" i="31"/>
  <c r="Q157" i="31"/>
  <c r="AV156" i="31"/>
  <c r="Z156" i="31"/>
  <c r="BE155" i="31"/>
  <c r="AJ155" i="31"/>
  <c r="N155" i="31"/>
  <c r="AS154" i="31"/>
  <c r="X154" i="31"/>
  <c r="BB153" i="31"/>
  <c r="AG153" i="31"/>
  <c r="Q153" i="31"/>
  <c r="BF152" i="31"/>
  <c r="AV152" i="31"/>
  <c r="AK152" i="31"/>
  <c r="Z152" i="31"/>
  <c r="P152" i="31"/>
  <c r="BE151" i="31"/>
  <c r="AT151" i="31"/>
  <c r="AJ151" i="31"/>
  <c r="Y151" i="31"/>
  <c r="N151" i="31"/>
  <c r="BD150" i="31"/>
  <c r="AS150" i="31"/>
  <c r="AH150" i="31"/>
  <c r="X150" i="31"/>
  <c r="M150" i="31"/>
  <c r="BB149" i="31"/>
  <c r="AR149" i="31"/>
  <c r="AG149" i="31"/>
  <c r="V149" i="31"/>
  <c r="L149" i="31"/>
  <c r="BA148" i="31"/>
  <c r="AP148" i="31"/>
  <c r="AF148" i="31"/>
  <c r="U148" i="31"/>
  <c r="J148" i="31"/>
  <c r="AZ147" i="31"/>
  <c r="AR147" i="31"/>
  <c r="AJ147" i="31"/>
  <c r="AB147" i="31"/>
  <c r="T147" i="31"/>
  <c r="L147" i="31"/>
  <c r="BD146" i="31"/>
  <c r="AV146" i="31"/>
  <c r="AN146" i="31"/>
  <c r="AF146" i="31"/>
  <c r="X146" i="31"/>
  <c r="P146" i="31"/>
  <c r="H146" i="31"/>
  <c r="AZ145" i="31"/>
  <c r="AR145" i="31"/>
  <c r="AJ145" i="31"/>
  <c r="AB145" i="31"/>
  <c r="T145" i="31"/>
  <c r="L145" i="31"/>
  <c r="BD144" i="31"/>
  <c r="AV144" i="31"/>
  <c r="AN144" i="31"/>
  <c r="AF144" i="31"/>
  <c r="X144" i="31"/>
  <c r="P144" i="31"/>
  <c r="H144" i="31"/>
  <c r="AZ143" i="31"/>
  <c r="AR143" i="31"/>
  <c r="AJ143" i="31"/>
  <c r="AB143" i="31"/>
  <c r="T143" i="31"/>
  <c r="L143" i="31"/>
  <c r="BD142" i="31"/>
  <c r="AV142" i="31"/>
  <c r="AN142" i="31"/>
  <c r="AF142" i="31"/>
  <c r="X142" i="31"/>
  <c r="P142" i="31"/>
  <c r="H142" i="31"/>
  <c r="AZ141" i="31"/>
  <c r="AR141" i="31"/>
  <c r="AJ141" i="31"/>
  <c r="AB141" i="31"/>
  <c r="T141" i="31"/>
  <c r="L141" i="31"/>
  <c r="BD140" i="31"/>
  <c r="AV140" i="31"/>
  <c r="AN140" i="31"/>
  <c r="AF140" i="31"/>
  <c r="X140" i="31"/>
  <c r="P140" i="31"/>
  <c r="H140" i="31"/>
  <c r="AZ139" i="31"/>
  <c r="AR139" i="31"/>
  <c r="AJ139" i="31"/>
  <c r="AB139" i="31"/>
  <c r="T139" i="31"/>
  <c r="L139" i="31"/>
  <c r="BD138" i="31"/>
  <c r="AV138" i="31"/>
  <c r="AN138" i="31"/>
  <c r="AF138" i="31"/>
  <c r="AA138" i="31"/>
  <c r="W138" i="31"/>
  <c r="S138" i="31"/>
  <c r="O138" i="31"/>
  <c r="K138" i="31"/>
  <c r="BG137" i="31"/>
  <c r="BC137" i="31"/>
  <c r="AY137" i="31"/>
  <c r="AU137" i="31"/>
  <c r="AQ137" i="31"/>
  <c r="AM137" i="31"/>
  <c r="AI137" i="31"/>
  <c r="AE137" i="31"/>
  <c r="AA137" i="31"/>
  <c r="W137" i="31"/>
  <c r="S137" i="31"/>
  <c r="O137" i="31"/>
  <c r="K137" i="31"/>
  <c r="BG136" i="31"/>
  <c r="BC136" i="31"/>
  <c r="AY136" i="31"/>
  <c r="AU136" i="31"/>
  <c r="AQ136" i="31"/>
  <c r="AM136" i="31"/>
  <c r="AI136" i="31"/>
  <c r="AE136" i="31"/>
  <c r="AA136" i="31"/>
  <c r="W136" i="31"/>
  <c r="S136" i="31"/>
  <c r="O136" i="31"/>
  <c r="K136" i="31"/>
  <c r="BG135" i="31"/>
  <c r="BC135" i="31"/>
  <c r="AY135" i="31"/>
  <c r="AU135" i="31"/>
  <c r="AQ135" i="31"/>
  <c r="AM135" i="31"/>
  <c r="AI135" i="31"/>
  <c r="AE135" i="31"/>
  <c r="AA135" i="31"/>
  <c r="W135" i="31"/>
  <c r="S135" i="31"/>
  <c r="O135" i="31"/>
  <c r="K135" i="31"/>
  <c r="BG134" i="31"/>
  <c r="BC134" i="31"/>
  <c r="AY134" i="31"/>
  <c r="AU134" i="31"/>
  <c r="AQ134" i="31"/>
  <c r="AM134" i="31"/>
  <c r="AI134" i="31"/>
  <c r="AE134" i="31"/>
  <c r="AA134" i="31"/>
  <c r="W134" i="31"/>
  <c r="S134" i="31"/>
  <c r="O134" i="31"/>
  <c r="K134" i="31"/>
  <c r="BG133" i="31"/>
  <c r="BC133" i="31"/>
  <c r="AY133" i="31"/>
  <c r="AU133" i="31"/>
  <c r="AQ133" i="31"/>
  <c r="AM133" i="31"/>
  <c r="AI133" i="31"/>
  <c r="AE133" i="31"/>
  <c r="AA133" i="31"/>
  <c r="W133" i="31"/>
  <c r="S133" i="31"/>
  <c r="O133" i="31"/>
  <c r="K133" i="31"/>
  <c r="BG132" i="31"/>
  <c r="BC132" i="31"/>
  <c r="AY132" i="31"/>
  <c r="AU132" i="31"/>
  <c r="AQ132" i="31"/>
  <c r="AM132" i="31"/>
  <c r="AI132" i="31"/>
  <c r="AE132" i="31"/>
  <c r="AA132" i="31"/>
  <c r="W132" i="31"/>
  <c r="S132" i="31"/>
  <c r="O132" i="31"/>
  <c r="K132" i="31"/>
  <c r="BG131" i="31"/>
  <c r="BC131" i="31"/>
  <c r="AY131" i="31"/>
  <c r="AU131" i="31"/>
  <c r="AQ131" i="31"/>
  <c r="AM131" i="31"/>
  <c r="AI131" i="31"/>
  <c r="AE131" i="31"/>
  <c r="AA131" i="31"/>
  <c r="W131" i="31"/>
  <c r="S131" i="31"/>
  <c r="O131" i="31"/>
  <c r="K131" i="31"/>
  <c r="BG130" i="31"/>
  <c r="BC130" i="31"/>
  <c r="AY130" i="31"/>
  <c r="AU130" i="31"/>
  <c r="AQ130" i="31"/>
  <c r="AM130" i="31"/>
  <c r="AI130" i="31"/>
  <c r="AE130" i="31"/>
  <c r="AA130" i="31"/>
  <c r="W130" i="31"/>
  <c r="S130" i="31"/>
  <c r="O130" i="31"/>
  <c r="K130" i="31"/>
  <c r="BG129" i="31"/>
  <c r="BC129" i="31"/>
  <c r="AY129" i="31"/>
  <c r="AU129" i="31"/>
  <c r="AQ129" i="31"/>
  <c r="AM129" i="31"/>
  <c r="AI129" i="31"/>
  <c r="AE129" i="31"/>
  <c r="AA129" i="31"/>
  <c r="W129" i="31"/>
  <c r="S129" i="31"/>
  <c r="O129" i="31"/>
  <c r="K129" i="31"/>
  <c r="BG128" i="31"/>
  <c r="BC128" i="31"/>
  <c r="AY128" i="31"/>
  <c r="AU128" i="31"/>
  <c r="AQ128" i="31"/>
  <c r="AM128" i="31"/>
  <c r="AI128" i="31"/>
  <c r="AE128" i="31"/>
  <c r="AA128" i="31"/>
  <c r="W128" i="31"/>
  <c r="S128" i="31"/>
  <c r="O128" i="31"/>
  <c r="K128" i="31"/>
  <c r="BG127" i="31"/>
  <c r="BC127" i="31"/>
  <c r="AY127" i="31"/>
  <c r="AU127" i="31"/>
  <c r="AQ127" i="31"/>
  <c r="O178" i="31"/>
  <c r="W173" i="31"/>
  <c r="AE171" i="31"/>
  <c r="W170" i="31"/>
  <c r="AF169" i="31"/>
  <c r="AV168" i="31"/>
  <c r="P168" i="31"/>
  <c r="AJ167" i="31"/>
  <c r="BD166" i="31"/>
  <c r="X166" i="31"/>
  <c r="AR165" i="31"/>
  <c r="V165" i="31"/>
  <c r="BA164" i="31"/>
  <c r="AF164" i="31"/>
  <c r="J164" i="31"/>
  <c r="AO163" i="31"/>
  <c r="T163" i="31"/>
  <c r="AX162" i="31"/>
  <c r="AC162" i="31"/>
  <c r="H162" i="31"/>
  <c r="AL161" i="31"/>
  <c r="Q161" i="31"/>
  <c r="AV160" i="31"/>
  <c r="Z160" i="31"/>
  <c r="BE159" i="31"/>
  <c r="AJ159" i="31"/>
  <c r="N159" i="31"/>
  <c r="AS158" i="31"/>
  <c r="X158" i="31"/>
  <c r="BB157" i="31"/>
  <c r="AG157" i="31"/>
  <c r="L157" i="31"/>
  <c r="AP156" i="31"/>
  <c r="U156" i="31"/>
  <c r="AZ155" i="31"/>
  <c r="AD155" i="31"/>
  <c r="I155" i="31"/>
  <c r="AN154" i="31"/>
  <c r="R154" i="31"/>
  <c r="AW153" i="31"/>
  <c r="AB153" i="31"/>
  <c r="P153" i="31"/>
  <c r="BE152" i="31"/>
  <c r="AT152" i="31"/>
  <c r="AJ152" i="31"/>
  <c r="Y152" i="31"/>
  <c r="N152" i="31"/>
  <c r="BD151" i="31"/>
  <c r="AS151" i="31"/>
  <c r="AH151" i="31"/>
  <c r="X151" i="31"/>
  <c r="M151" i="31"/>
  <c r="BB150" i="31"/>
  <c r="AR150" i="31"/>
  <c r="AG150" i="31"/>
  <c r="V150" i="31"/>
  <c r="L150" i="31"/>
  <c r="BA149" i="31"/>
  <c r="AP149" i="31"/>
  <c r="AF149" i="31"/>
  <c r="U149" i="31"/>
  <c r="J149" i="31"/>
  <c r="AZ148" i="31"/>
  <c r="AO148" i="31"/>
  <c r="AD148" i="31"/>
  <c r="T148" i="31"/>
  <c r="I148" i="31"/>
  <c r="AY147" i="31"/>
  <c r="AQ147" i="31"/>
  <c r="AI147" i="31"/>
  <c r="AA147" i="31"/>
  <c r="S147" i="31"/>
  <c r="K147" i="31"/>
  <c r="BC146" i="31"/>
  <c r="AU146" i="31"/>
  <c r="AM146" i="31"/>
  <c r="AE146" i="31"/>
  <c r="W146" i="31"/>
  <c r="O146" i="31"/>
  <c r="BG145" i="31"/>
  <c r="AY145" i="31"/>
  <c r="AQ145" i="31"/>
  <c r="AI145" i="31"/>
  <c r="AA145" i="31"/>
  <c r="S145" i="31"/>
  <c r="K145" i="31"/>
  <c r="BC144" i="31"/>
  <c r="AU144" i="31"/>
  <c r="AM144" i="31"/>
  <c r="AE144" i="31"/>
  <c r="W144" i="31"/>
  <c r="O144" i="31"/>
  <c r="BG143" i="31"/>
  <c r="AY143" i="31"/>
  <c r="AQ143" i="31"/>
  <c r="AI143" i="31"/>
  <c r="AA143" i="31"/>
  <c r="S143" i="31"/>
  <c r="K143" i="31"/>
  <c r="BC142" i="31"/>
  <c r="AU142" i="31"/>
  <c r="AM142" i="31"/>
  <c r="AE142" i="31"/>
  <c r="W142" i="31"/>
  <c r="O142" i="31"/>
  <c r="BG141" i="31"/>
  <c r="AY141" i="31"/>
  <c r="AQ141" i="31"/>
  <c r="AI141" i="31"/>
  <c r="AA141" i="31"/>
  <c r="S141" i="31"/>
  <c r="K141" i="31"/>
  <c r="BC140" i="31"/>
  <c r="AU140" i="31"/>
  <c r="AM140" i="31"/>
  <c r="AE140" i="31"/>
  <c r="W140" i="31"/>
  <c r="O140" i="31"/>
  <c r="BG139" i="31"/>
  <c r="AY139" i="31"/>
  <c r="AQ139" i="31"/>
  <c r="AI139" i="31"/>
  <c r="AA139" i="31"/>
  <c r="S139" i="31"/>
  <c r="K139" i="31"/>
  <c r="BC138" i="31"/>
  <c r="AU138" i="31"/>
  <c r="AM138" i="31"/>
  <c r="AE138" i="31"/>
  <c r="Z138" i="31"/>
  <c r="V138" i="31"/>
  <c r="R138" i="31"/>
  <c r="N138" i="31"/>
  <c r="J138" i="31"/>
  <c r="BF137" i="31"/>
  <c r="BB137" i="31"/>
  <c r="AX137" i="31"/>
  <c r="AT137" i="31"/>
  <c r="AP137" i="31"/>
  <c r="AL137" i="31"/>
  <c r="AH137" i="31"/>
  <c r="AD137" i="31"/>
  <c r="Z137" i="31"/>
  <c r="V137" i="31"/>
  <c r="R137" i="31"/>
  <c r="N137" i="31"/>
  <c r="J137" i="31"/>
  <c r="BF136" i="31"/>
  <c r="BB136" i="31"/>
  <c r="AX136" i="31"/>
  <c r="AT136" i="31"/>
  <c r="AP136" i="31"/>
  <c r="AL136" i="31"/>
  <c r="AH136" i="31"/>
  <c r="AD136" i="31"/>
  <c r="Z136" i="31"/>
  <c r="V136" i="31"/>
  <c r="R136" i="31"/>
  <c r="N136" i="31"/>
  <c r="J136" i="31"/>
  <c r="BF135" i="31"/>
  <c r="BB135" i="31"/>
  <c r="AX135" i="31"/>
  <c r="AT135" i="31"/>
  <c r="AP135" i="31"/>
  <c r="AL135" i="31"/>
  <c r="AH135" i="31"/>
  <c r="AD135" i="31"/>
  <c r="Z135" i="31"/>
  <c r="V135" i="31"/>
  <c r="R135" i="31"/>
  <c r="N135" i="31"/>
  <c r="J135" i="31"/>
  <c r="BF134" i="31"/>
  <c r="BB134" i="31"/>
  <c r="AX134" i="31"/>
  <c r="AT134" i="31"/>
  <c r="AP134" i="31"/>
  <c r="AL134" i="31"/>
  <c r="AH134" i="31"/>
  <c r="AD134" i="31"/>
  <c r="Z134" i="31"/>
  <c r="V134" i="31"/>
  <c r="R134" i="31"/>
  <c r="N134" i="31"/>
  <c r="J134" i="31"/>
  <c r="BF133" i="31"/>
  <c r="BB133" i="31"/>
  <c r="AX133" i="31"/>
  <c r="AT133" i="31"/>
  <c r="AP133" i="31"/>
  <c r="AL133" i="31"/>
  <c r="AH133" i="31"/>
  <c r="AD133" i="31"/>
  <c r="Z133" i="31"/>
  <c r="V133" i="31"/>
  <c r="R133" i="31"/>
  <c r="N133" i="31"/>
  <c r="J133" i="31"/>
  <c r="BF132" i="31"/>
  <c r="BB132" i="31"/>
  <c r="AX132" i="31"/>
  <c r="AT132" i="31"/>
  <c r="AP132" i="31"/>
  <c r="AL132" i="31"/>
  <c r="AH132" i="31"/>
  <c r="AD132" i="31"/>
  <c r="Z132" i="31"/>
  <c r="V132" i="31"/>
  <c r="R132" i="31"/>
  <c r="N132" i="31"/>
  <c r="J132" i="31"/>
  <c r="BF131" i="31"/>
  <c r="BB131" i="31"/>
  <c r="AX131" i="31"/>
  <c r="AT131" i="31"/>
  <c r="AP131" i="31"/>
  <c r="AL131" i="31"/>
  <c r="AH131" i="31"/>
  <c r="AD131" i="31"/>
  <c r="Z131" i="31"/>
  <c r="V131" i="31"/>
  <c r="R131" i="31"/>
  <c r="N131" i="31"/>
  <c r="J131" i="31"/>
  <c r="BF130" i="31"/>
  <c r="BB130" i="31"/>
  <c r="AX130" i="31"/>
  <c r="AT130" i="31"/>
  <c r="AP130" i="31"/>
  <c r="AL130" i="31"/>
  <c r="AH130" i="31"/>
  <c r="AD130" i="31"/>
  <c r="Z130" i="31"/>
  <c r="V130" i="31"/>
  <c r="R130" i="31"/>
  <c r="N130" i="31"/>
  <c r="J130" i="31"/>
  <c r="BF129" i="31"/>
  <c r="BB129" i="31"/>
  <c r="AX129" i="31"/>
  <c r="AT129" i="31"/>
  <c r="AP129" i="31"/>
  <c r="AL129" i="31"/>
  <c r="AH129" i="31"/>
  <c r="AD129" i="31"/>
  <c r="Z129" i="31"/>
  <c r="V129" i="31"/>
  <c r="R129" i="31"/>
  <c r="N129" i="31"/>
  <c r="J129" i="31"/>
  <c r="BF128" i="31"/>
  <c r="BB128" i="31"/>
  <c r="AX128" i="31"/>
  <c r="AT128" i="31"/>
  <c r="AP128" i="31"/>
  <c r="AL128" i="31"/>
  <c r="AH128" i="31"/>
  <c r="BC176" i="31"/>
  <c r="AQ172" i="31"/>
  <c r="O171" i="31"/>
  <c r="L170" i="31"/>
  <c r="V169" i="31"/>
  <c r="AN168" i="31"/>
  <c r="H168" i="31"/>
  <c r="AB167" i="31"/>
  <c r="AV166" i="31"/>
  <c r="P166" i="31"/>
  <c r="AL165" i="31"/>
  <c r="Q165" i="31"/>
  <c r="AV164" i="31"/>
  <c r="Z164" i="31"/>
  <c r="BE163" i="31"/>
  <c r="AJ163" i="31"/>
  <c r="N163" i="31"/>
  <c r="AS162" i="31"/>
  <c r="X162" i="31"/>
  <c r="BB161" i="31"/>
  <c r="AG161" i="31"/>
  <c r="L161" i="31"/>
  <c r="AP160" i="31"/>
  <c r="U160" i="31"/>
  <c r="AZ159" i="31"/>
  <c r="AD159" i="31"/>
  <c r="I159" i="31"/>
  <c r="AN158" i="31"/>
  <c r="R158" i="31"/>
  <c r="AW157" i="31"/>
  <c r="AB157" i="31"/>
  <c r="BF156" i="31"/>
  <c r="AK156" i="31"/>
  <c r="P156" i="31"/>
  <c r="AT155" i="31"/>
  <c r="Y155" i="31"/>
  <c r="BD154" i="31"/>
  <c r="AH154" i="31"/>
  <c r="M154" i="31"/>
  <c r="AR153" i="31"/>
  <c r="V153" i="31"/>
  <c r="L153" i="31"/>
  <c r="BA152" i="31"/>
  <c r="AP152" i="31"/>
  <c r="AF152" i="31"/>
  <c r="U152" i="31"/>
  <c r="J152" i="31"/>
  <c r="AZ151" i="31"/>
  <c r="AO151" i="31"/>
  <c r="AD151" i="31"/>
  <c r="T151" i="31"/>
  <c r="I151" i="31"/>
  <c r="AX150" i="31"/>
  <c r="AN150" i="31"/>
  <c r="AC150" i="31"/>
  <c r="R150" i="31"/>
  <c r="H150" i="31"/>
  <c r="AW149" i="31"/>
  <c r="AL149" i="31"/>
  <c r="AB149" i="31"/>
  <c r="Q149" i="31"/>
  <c r="BF148" i="31"/>
  <c r="AV148" i="31"/>
  <c r="AK148" i="31"/>
  <c r="Z148" i="31"/>
  <c r="P148" i="31"/>
  <c r="BE147" i="31"/>
  <c r="AV147" i="31"/>
  <c r="AN147" i="31"/>
  <c r="AF147" i="31"/>
  <c r="X147" i="31"/>
  <c r="P147" i="31"/>
  <c r="H147" i="31"/>
  <c r="AZ146" i="31"/>
  <c r="AR146" i="31"/>
  <c r="AJ146" i="31"/>
  <c r="AB146" i="31"/>
  <c r="T146" i="31"/>
  <c r="L146" i="31"/>
  <c r="BD145" i="31"/>
  <c r="AV145" i="31"/>
  <c r="AN145" i="31"/>
  <c r="AF145" i="31"/>
  <c r="X145" i="31"/>
  <c r="P145" i="31"/>
  <c r="AR144" i="31"/>
  <c r="L144" i="31"/>
  <c r="AF143" i="31"/>
  <c r="AZ142" i="31"/>
  <c r="T142" i="31"/>
  <c r="AN141" i="31"/>
  <c r="H141" i="31"/>
  <c r="AB140" i="31"/>
  <c r="AV139" i="31"/>
  <c r="P139" i="31"/>
  <c r="AJ138" i="31"/>
  <c r="Q138" i="31"/>
  <c r="BA137" i="31"/>
  <c r="AK137" i="31"/>
  <c r="U137" i="31"/>
  <c r="BE136" i="31"/>
  <c r="AO136" i="31"/>
  <c r="Y136" i="31"/>
  <c r="I136" i="31"/>
  <c r="AS135" i="31"/>
  <c r="AC135" i="31"/>
  <c r="M135" i="31"/>
  <c r="AW134" i="31"/>
  <c r="AG134" i="31"/>
  <c r="Q134" i="31"/>
  <c r="BA133" i="31"/>
  <c r="AK133" i="31"/>
  <c r="U133" i="31"/>
  <c r="BE132" i="31"/>
  <c r="AO132" i="31"/>
  <c r="Y132" i="31"/>
  <c r="I132" i="31"/>
  <c r="AS131" i="31"/>
  <c r="AC131" i="31"/>
  <c r="M131" i="31"/>
  <c r="AW130" i="31"/>
  <c r="AG130" i="31"/>
  <c r="Q130" i="31"/>
  <c r="BA129" i="31"/>
  <c r="AK129" i="31"/>
  <c r="U129" i="31"/>
  <c r="BE128" i="31"/>
  <c r="AO128" i="31"/>
  <c r="AC128" i="31"/>
  <c r="U128" i="31"/>
  <c r="M128" i="31"/>
  <c r="BE127" i="31"/>
  <c r="AW127" i="31"/>
  <c r="AO127" i="31"/>
  <c r="AI127" i="31"/>
  <c r="AD127" i="31"/>
  <c r="Y127" i="31"/>
  <c r="S127" i="31"/>
  <c r="N127" i="31"/>
  <c r="I127" i="31"/>
  <c r="BC126" i="31"/>
  <c r="AX126" i="31"/>
  <c r="AS126" i="31"/>
  <c r="AM126" i="31"/>
  <c r="AH126" i="31"/>
  <c r="AC126" i="31"/>
  <c r="W126" i="31"/>
  <c r="R126" i="31"/>
  <c r="M126" i="31"/>
  <c r="BG125" i="31"/>
  <c r="BB125" i="31"/>
  <c r="AW125" i="31"/>
  <c r="AQ125" i="31"/>
  <c r="AM125" i="31"/>
  <c r="AI125" i="31"/>
  <c r="AE125" i="31"/>
  <c r="AA125" i="31"/>
  <c r="W125" i="31"/>
  <c r="S125" i="31"/>
  <c r="O125" i="31"/>
  <c r="K125" i="31"/>
  <c r="BG124" i="31"/>
  <c r="BC124" i="31"/>
  <c r="AY124" i="31"/>
  <c r="AU124" i="31"/>
  <c r="AQ124" i="31"/>
  <c r="AM124" i="31"/>
  <c r="AI124" i="31"/>
  <c r="AE124" i="31"/>
  <c r="AA124" i="31"/>
  <c r="W124" i="31"/>
  <c r="S124" i="31"/>
  <c r="O124" i="31"/>
  <c r="K124" i="31"/>
  <c r="BG123" i="31"/>
  <c r="BC123" i="31"/>
  <c r="AY123" i="31"/>
  <c r="AU123" i="31"/>
  <c r="AQ123" i="31"/>
  <c r="AM123" i="31"/>
  <c r="AI123" i="31"/>
  <c r="AE123" i="31"/>
  <c r="AA123" i="31"/>
  <c r="W123" i="31"/>
  <c r="S123" i="31"/>
  <c r="O123" i="31"/>
  <c r="K123" i="31"/>
  <c r="BG122" i="31"/>
  <c r="BC122" i="31"/>
  <c r="AY122" i="31"/>
  <c r="AU122" i="31"/>
  <c r="AQ122" i="31"/>
  <c r="AM122" i="31"/>
  <c r="AI122" i="31"/>
  <c r="AE122" i="31"/>
  <c r="AA122" i="31"/>
  <c r="W122" i="31"/>
  <c r="S122" i="31"/>
  <c r="O122" i="31"/>
  <c r="K122" i="31"/>
  <c r="BG121" i="31"/>
  <c r="BC121" i="31"/>
  <c r="AY121" i="31"/>
  <c r="AU121" i="31"/>
  <c r="AQ121" i="31"/>
  <c r="AM121" i="31"/>
  <c r="AI121" i="31"/>
  <c r="AE121" i="31"/>
  <c r="AA121" i="31"/>
  <c r="W121" i="31"/>
  <c r="S121" i="31"/>
  <c r="O121" i="31"/>
  <c r="K121" i="31"/>
  <c r="BG120" i="31"/>
  <c r="BC120" i="31"/>
  <c r="AY120" i="31"/>
  <c r="AU120" i="31"/>
  <c r="AQ120" i="31"/>
  <c r="AM120" i="31"/>
  <c r="AI120" i="31"/>
  <c r="AE120" i="31"/>
  <c r="AA120" i="31"/>
  <c r="W120" i="31"/>
  <c r="S120" i="31"/>
  <c r="O120" i="31"/>
  <c r="K120" i="31"/>
  <c r="BG119" i="31"/>
  <c r="BC119" i="31"/>
  <c r="AY119" i="31"/>
  <c r="AU119" i="31"/>
  <c r="AQ119" i="31"/>
  <c r="AM119" i="31"/>
  <c r="AI119" i="31"/>
  <c r="AE119" i="31"/>
  <c r="AA119" i="31"/>
  <c r="W119" i="31"/>
  <c r="S119" i="31"/>
  <c r="O119" i="31"/>
  <c r="K119" i="31"/>
  <c r="BG118" i="31"/>
  <c r="BC118" i="31"/>
  <c r="AY118" i="31"/>
  <c r="AU118" i="31"/>
  <c r="AQ118" i="31"/>
  <c r="AM118" i="31"/>
  <c r="AI118" i="31"/>
  <c r="AE118" i="31"/>
  <c r="AA118" i="31"/>
  <c r="W118" i="31"/>
  <c r="S118" i="31"/>
  <c r="O118" i="31"/>
  <c r="K118" i="31"/>
  <c r="BG117" i="31"/>
  <c r="BC117" i="31"/>
  <c r="AY117" i="31"/>
  <c r="AJ144" i="31"/>
  <c r="BD143" i="31"/>
  <c r="X143" i="31"/>
  <c r="AR142" i="31"/>
  <c r="L142" i="31"/>
  <c r="AF141" i="31"/>
  <c r="AZ140" i="31"/>
  <c r="T140" i="31"/>
  <c r="AN139" i="31"/>
  <c r="H139" i="31"/>
  <c r="AC138" i="31"/>
  <c r="M138" i="31"/>
  <c r="AW137" i="31"/>
  <c r="AG137" i="31"/>
  <c r="Q137" i="31"/>
  <c r="BA136" i="31"/>
  <c r="AK136" i="31"/>
  <c r="U136" i="31"/>
  <c r="BE135" i="31"/>
  <c r="AO135" i="31"/>
  <c r="Y135" i="31"/>
  <c r="I135" i="31"/>
  <c r="AS134" i="31"/>
  <c r="AC134" i="31"/>
  <c r="M134" i="31"/>
  <c r="AW133" i="31"/>
  <c r="AG133" i="31"/>
  <c r="Q133" i="31"/>
  <c r="BA132" i="31"/>
  <c r="AK132" i="31"/>
  <c r="U132" i="31"/>
  <c r="BE131" i="31"/>
  <c r="AO131" i="31"/>
  <c r="Y131" i="31"/>
  <c r="I131" i="31"/>
  <c r="AS130" i="31"/>
  <c r="AC130" i="31"/>
  <c r="M130" i="31"/>
  <c r="AW129" i="31"/>
  <c r="AG129" i="31"/>
  <c r="Q129" i="31"/>
  <c r="BA128" i="31"/>
  <c r="AK128" i="31"/>
  <c r="Z128" i="31"/>
  <c r="R128" i="31"/>
  <c r="J128" i="31"/>
  <c r="BB127" i="31"/>
  <c r="AT127" i="31"/>
  <c r="AM127" i="31"/>
  <c r="AH127" i="31"/>
  <c r="AC127" i="31"/>
  <c r="W127" i="31"/>
  <c r="R127" i="31"/>
  <c r="M127" i="31"/>
  <c r="BG126" i="31"/>
  <c r="BB126" i="31"/>
  <c r="AW126" i="31"/>
  <c r="AQ126" i="31"/>
  <c r="AL126" i="31"/>
  <c r="AG126" i="31"/>
  <c r="AA126" i="31"/>
  <c r="V126" i="31"/>
  <c r="Q126" i="31"/>
  <c r="K126" i="31"/>
  <c r="BF125" i="31"/>
  <c r="BA125" i="31"/>
  <c r="AU125" i="31"/>
  <c r="AP125" i="31"/>
  <c r="AL125" i="31"/>
  <c r="AH125" i="31"/>
  <c r="AD125" i="31"/>
  <c r="Z125" i="31"/>
  <c r="V125" i="31"/>
  <c r="R125" i="31"/>
  <c r="N125" i="31"/>
  <c r="J125" i="31"/>
  <c r="BF124" i="31"/>
  <c r="BB124" i="31"/>
  <c r="AX124" i="31"/>
  <c r="AT124" i="31"/>
  <c r="AP124" i="31"/>
  <c r="AL124" i="31"/>
  <c r="AH124" i="31"/>
  <c r="AD124" i="31"/>
  <c r="Z124" i="31"/>
  <c r="V124" i="31"/>
  <c r="R124" i="31"/>
  <c r="N124" i="31"/>
  <c r="J124" i="31"/>
  <c r="BF123" i="31"/>
  <c r="BB123" i="31"/>
  <c r="AX123" i="31"/>
  <c r="AT123" i="31"/>
  <c r="AP123" i="31"/>
  <c r="AL123" i="31"/>
  <c r="AH123" i="31"/>
  <c r="AD123" i="31"/>
  <c r="Z123" i="31"/>
  <c r="V123" i="31"/>
  <c r="R123" i="31"/>
  <c r="N123" i="31"/>
  <c r="J123" i="31"/>
  <c r="BF122" i="31"/>
  <c r="BB122" i="31"/>
  <c r="AX122" i="31"/>
  <c r="AT122" i="31"/>
  <c r="AP122" i="31"/>
  <c r="AL122" i="31"/>
  <c r="AH122" i="31"/>
  <c r="AD122" i="31"/>
  <c r="Z122" i="31"/>
  <c r="V122" i="31"/>
  <c r="R122" i="31"/>
  <c r="N122" i="31"/>
  <c r="J122" i="31"/>
  <c r="BF121" i="31"/>
  <c r="BB121" i="31"/>
  <c r="AX121" i="31"/>
  <c r="AT121" i="31"/>
  <c r="AP121" i="31"/>
  <c r="AL121" i="31"/>
  <c r="AH121" i="31"/>
  <c r="AD121" i="31"/>
  <c r="Z121" i="31"/>
  <c r="V121" i="31"/>
  <c r="R121" i="31"/>
  <c r="N121" i="31"/>
  <c r="J121" i="31"/>
  <c r="BF120" i="31"/>
  <c r="BB120" i="31"/>
  <c r="AX120" i="31"/>
  <c r="AT120" i="31"/>
  <c r="AP120" i="31"/>
  <c r="H145" i="31"/>
  <c r="AB144" i="31"/>
  <c r="AV143" i="31"/>
  <c r="P143" i="31"/>
  <c r="AJ142" i="31"/>
  <c r="BD141" i="31"/>
  <c r="X141" i="31"/>
  <c r="AR140" i="31"/>
  <c r="L140" i="31"/>
  <c r="AF139" i="31"/>
  <c r="AZ138" i="31"/>
  <c r="Y138" i="31"/>
  <c r="I138" i="31"/>
  <c r="AS137" i="31"/>
  <c r="AC137" i="31"/>
  <c r="M137" i="31"/>
  <c r="AW136" i="31"/>
  <c r="AG136" i="31"/>
  <c r="Q136" i="31"/>
  <c r="BA135" i="31"/>
  <c r="AK135" i="31"/>
  <c r="U135" i="31"/>
  <c r="BE134" i="31"/>
  <c r="AO134" i="31"/>
  <c r="Y134" i="31"/>
  <c r="I134" i="31"/>
  <c r="AS133" i="31"/>
  <c r="AC133" i="31"/>
  <c r="M133" i="31"/>
  <c r="AW132" i="31"/>
  <c r="AG132" i="31"/>
  <c r="Q132" i="31"/>
  <c r="BA131" i="31"/>
  <c r="AK131" i="31"/>
  <c r="U131" i="31"/>
  <c r="BE130" i="31"/>
  <c r="AO130" i="31"/>
  <c r="Y130" i="31"/>
  <c r="I130" i="31"/>
  <c r="AS129" i="31"/>
  <c r="AC129" i="31"/>
  <c r="M129" i="31"/>
  <c r="AW128" i="31"/>
  <c r="AG128" i="31"/>
  <c r="Y128" i="31"/>
  <c r="Q128" i="31"/>
  <c r="I128" i="31"/>
  <c r="BA127" i="31"/>
  <c r="AS127" i="31"/>
  <c r="AL127" i="31"/>
  <c r="AG127" i="31"/>
  <c r="AA127" i="31"/>
  <c r="V127" i="31"/>
  <c r="Q127" i="31"/>
  <c r="K127" i="31"/>
  <c r="BF126" i="31"/>
  <c r="BA126" i="31"/>
  <c r="AU126" i="31"/>
  <c r="AP126" i="31"/>
  <c r="AK126" i="31"/>
  <c r="AE126" i="31"/>
  <c r="Z126" i="31"/>
  <c r="U126" i="31"/>
  <c r="O126" i="31"/>
  <c r="J126" i="31"/>
  <c r="BE125" i="31"/>
  <c r="AY125" i="31"/>
  <c r="AT125" i="31"/>
  <c r="AO125" i="31"/>
  <c r="AK125" i="31"/>
  <c r="AG125" i="31"/>
  <c r="AC125" i="31"/>
  <c r="Y125" i="31"/>
  <c r="U125" i="31"/>
  <c r="Q125" i="31"/>
  <c r="M125" i="31"/>
  <c r="I125" i="31"/>
  <c r="BE124" i="31"/>
  <c r="BA124" i="31"/>
  <c r="AW124" i="31"/>
  <c r="AS124" i="31"/>
  <c r="AO124" i="31"/>
  <c r="AK124" i="31"/>
  <c r="AG124" i="31"/>
  <c r="AC124" i="31"/>
  <c r="Y124" i="31"/>
  <c r="U124" i="31"/>
  <c r="Q124" i="31"/>
  <c r="M124" i="31"/>
  <c r="I124" i="31"/>
  <c r="BE123" i="31"/>
  <c r="BA123" i="31"/>
  <c r="AW123" i="31"/>
  <c r="AS123" i="31"/>
  <c r="AO123" i="31"/>
  <c r="AK123" i="31"/>
  <c r="AG123" i="31"/>
  <c r="AC123" i="31"/>
  <c r="Y123" i="31"/>
  <c r="U123" i="31"/>
  <c r="Q123" i="31"/>
  <c r="M123" i="31"/>
  <c r="I123" i="31"/>
  <c r="BE122" i="31"/>
  <c r="BA122" i="31"/>
  <c r="AW122" i="31"/>
  <c r="AS122" i="31"/>
  <c r="AO122" i="31"/>
  <c r="AK122" i="31"/>
  <c r="AG122" i="31"/>
  <c r="AC122" i="31"/>
  <c r="Y122" i="31"/>
  <c r="U122" i="31"/>
  <c r="Q122" i="31"/>
  <c r="M122" i="31"/>
  <c r="I122" i="31"/>
  <c r="BE121" i="31"/>
  <c r="BA121" i="31"/>
  <c r="AW121" i="31"/>
  <c r="AS121" i="31"/>
  <c r="AO121" i="31"/>
  <c r="AK121" i="31"/>
  <c r="AG121" i="31"/>
  <c r="AC121" i="31"/>
  <c r="Y121" i="31"/>
  <c r="U121" i="31"/>
  <c r="Q121" i="31"/>
  <c r="M121" i="31"/>
  <c r="I121" i="31"/>
  <c r="BE120" i="31"/>
  <c r="BA120" i="31"/>
  <c r="AW120" i="31"/>
  <c r="AS120" i="31"/>
  <c r="AO120" i="31"/>
  <c r="AZ144" i="31"/>
  <c r="T144" i="31"/>
  <c r="AN143" i="31"/>
  <c r="H143" i="31"/>
  <c r="AB142" i="31"/>
  <c r="AV141" i="31"/>
  <c r="P141" i="31"/>
  <c r="AJ140" i="31"/>
  <c r="BD139" i="31"/>
  <c r="X139" i="31"/>
  <c r="AR138" i="31"/>
  <c r="U138" i="31"/>
  <c r="BE137" i="31"/>
  <c r="AO137" i="31"/>
  <c r="Y137" i="31"/>
  <c r="I137" i="31"/>
  <c r="AS136" i="31"/>
  <c r="AC136" i="31"/>
  <c r="M136" i="31"/>
  <c r="AW135" i="31"/>
  <c r="AG135" i="31"/>
  <c r="Q135" i="31"/>
  <c r="BA134" i="31"/>
  <c r="AK134" i="31"/>
  <c r="U134" i="31"/>
  <c r="BE133" i="31"/>
  <c r="AO133" i="31"/>
  <c r="Y133" i="31"/>
  <c r="I133" i="31"/>
  <c r="AS132" i="31"/>
  <c r="AC132" i="31"/>
  <c r="M132" i="31"/>
  <c r="AW131" i="31"/>
  <c r="AG131" i="31"/>
  <c r="Q131" i="31"/>
  <c r="BA130" i="31"/>
  <c r="AK130" i="31"/>
  <c r="U130" i="31"/>
  <c r="BE129" i="31"/>
  <c r="AO129" i="31"/>
  <c r="Y129" i="31"/>
  <c r="I129" i="31"/>
  <c r="AS128" i="31"/>
  <c r="AD128" i="31"/>
  <c r="V128" i="31"/>
  <c r="N128" i="31"/>
  <c r="BF127" i="31"/>
  <c r="AX127" i="31"/>
  <c r="AP127" i="31"/>
  <c r="AK127" i="31"/>
  <c r="AE127" i="31"/>
  <c r="Z127" i="31"/>
  <c r="U127" i="31"/>
  <c r="O127" i="31"/>
  <c r="J127" i="31"/>
  <c r="BE126" i="31"/>
  <c r="AY126" i="31"/>
  <c r="AT126" i="31"/>
  <c r="AO126" i="31"/>
  <c r="AI126" i="31"/>
  <c r="AD126" i="31"/>
  <c r="Y126" i="31"/>
  <c r="S126" i="31"/>
  <c r="N126" i="31"/>
  <c r="I126" i="31"/>
  <c r="BC125" i="31"/>
  <c r="AX125" i="31"/>
  <c r="AS125" i="31"/>
  <c r="AN125" i="31"/>
  <c r="AJ125" i="31"/>
  <c r="AF125" i="31"/>
  <c r="AB125" i="31"/>
  <c r="X125" i="31"/>
  <c r="T125" i="31"/>
  <c r="P125" i="31"/>
  <c r="L125" i="31"/>
  <c r="H125" i="31"/>
  <c r="BD124" i="31"/>
  <c r="AZ124" i="31"/>
  <c r="AV124" i="31"/>
  <c r="AR124" i="31"/>
  <c r="AN124" i="31"/>
  <c r="AJ124" i="31"/>
  <c r="AF124" i="31"/>
  <c r="AB124" i="31"/>
  <c r="X124" i="31"/>
  <c r="T124" i="31"/>
  <c r="P124" i="31"/>
  <c r="L124" i="31"/>
  <c r="H124" i="31"/>
  <c r="BD123" i="31"/>
  <c r="AZ123" i="31"/>
  <c r="AV123" i="31"/>
  <c r="AR123" i="31"/>
  <c r="AN123" i="31"/>
  <c r="AJ123" i="31"/>
  <c r="AF123" i="31"/>
  <c r="AB123" i="31"/>
  <c r="X123" i="31"/>
  <c r="T123" i="31"/>
  <c r="P123" i="31"/>
  <c r="L123" i="31"/>
  <c r="H123" i="31"/>
  <c r="BD122" i="31"/>
  <c r="AZ122" i="31"/>
  <c r="AV122" i="31"/>
  <c r="AR122" i="31"/>
  <c r="AN122" i="31"/>
  <c r="AJ122" i="31"/>
  <c r="AF122" i="31"/>
  <c r="AB122" i="31"/>
  <c r="X122" i="31"/>
  <c r="T122" i="31"/>
  <c r="P122" i="31"/>
  <c r="L122" i="31"/>
  <c r="H122" i="31"/>
  <c r="BD121" i="31"/>
  <c r="AZ121" i="31"/>
  <c r="AV121" i="31"/>
  <c r="AR121" i="31"/>
  <c r="AN121" i="31"/>
  <c r="AJ121" i="31"/>
  <c r="AF121" i="31"/>
  <c r="AB121" i="31"/>
  <c r="X121" i="31"/>
  <c r="T121" i="31"/>
  <c r="P121" i="31"/>
  <c r="L121" i="31"/>
  <c r="H121" i="31"/>
  <c r="BD120" i="31"/>
  <c r="AZ120" i="31"/>
  <c r="AV120" i="31"/>
  <c r="AR120" i="31"/>
  <c r="AN120" i="31"/>
  <c r="AJ120" i="31"/>
  <c r="AF120" i="31"/>
  <c r="AB120" i="31"/>
  <c r="X120" i="31"/>
  <c r="T120" i="31"/>
  <c r="P120" i="31"/>
  <c r="L120" i="31"/>
  <c r="H120" i="31"/>
  <c r="BD119" i="31"/>
  <c r="AZ119" i="31"/>
  <c r="AV119" i="31"/>
  <c r="AR119" i="31"/>
  <c r="AN119" i="31"/>
  <c r="AJ119" i="31"/>
  <c r="AF119" i="31"/>
  <c r="AB119" i="31"/>
  <c r="X119" i="31"/>
  <c r="T119" i="31"/>
  <c r="P119" i="31"/>
  <c r="L119" i="31"/>
  <c r="H119" i="31"/>
  <c r="BD118" i="31"/>
  <c r="AZ118" i="31"/>
  <c r="AV118" i="31"/>
  <c r="AR118" i="31"/>
  <c r="AN118" i="31"/>
  <c r="AJ118" i="31"/>
  <c r="AF118" i="31"/>
  <c r="AB118" i="31"/>
  <c r="X118" i="31"/>
  <c r="T118" i="31"/>
  <c r="P118" i="31"/>
  <c r="L118" i="31"/>
  <c r="H118" i="31"/>
  <c r="BD117" i="31"/>
  <c r="AZ117" i="31"/>
  <c r="AH120" i="31"/>
  <c r="Z120" i="31"/>
  <c r="R120" i="31"/>
  <c r="J120" i="31"/>
  <c r="BB119" i="31"/>
  <c r="AT119" i="31"/>
  <c r="AL119" i="31"/>
  <c r="AD119" i="31"/>
  <c r="V119" i="31"/>
  <c r="N119" i="31"/>
  <c r="BF118" i="31"/>
  <c r="AX118" i="31"/>
  <c r="AP118" i="31"/>
  <c r="AH118" i="31"/>
  <c r="Z118" i="31"/>
  <c r="R118" i="31"/>
  <c r="J118" i="31"/>
  <c r="BB117" i="31"/>
  <c r="AV117" i="31"/>
  <c r="AR117" i="31"/>
  <c r="AN117" i="31"/>
  <c r="AJ117" i="31"/>
  <c r="AF117" i="31"/>
  <c r="AB117" i="31"/>
  <c r="X117" i="31"/>
  <c r="T117" i="31"/>
  <c r="P117" i="31"/>
  <c r="L117" i="31"/>
  <c r="H117" i="31"/>
  <c r="BD116" i="31"/>
  <c r="AZ116" i="31"/>
  <c r="AV116" i="31"/>
  <c r="AR116" i="31"/>
  <c r="AN116" i="31"/>
  <c r="AJ116" i="31"/>
  <c r="AF116" i="31"/>
  <c r="AB116" i="31"/>
  <c r="X116" i="31"/>
  <c r="T116" i="31"/>
  <c r="P116" i="31"/>
  <c r="L116" i="31"/>
  <c r="H116" i="31"/>
  <c r="BD115" i="31"/>
  <c r="AZ115" i="31"/>
  <c r="AV115" i="31"/>
  <c r="AR115" i="31"/>
  <c r="AN115" i="31"/>
  <c r="AJ115" i="31"/>
  <c r="AF115" i="31"/>
  <c r="AB115" i="31"/>
  <c r="X115" i="31"/>
  <c r="T115" i="31"/>
  <c r="P115" i="31"/>
  <c r="L115" i="31"/>
  <c r="H115" i="31"/>
  <c r="BD114" i="31"/>
  <c r="AZ114" i="31"/>
  <c r="AV114" i="31"/>
  <c r="AR114" i="31"/>
  <c r="AN114" i="31"/>
  <c r="AJ114" i="31"/>
  <c r="AF114" i="31"/>
  <c r="AB114" i="31"/>
  <c r="X114" i="31"/>
  <c r="T114" i="31"/>
  <c r="P114" i="31"/>
  <c r="L114" i="31"/>
  <c r="H114" i="31"/>
  <c r="BD104" i="31"/>
  <c r="AZ104" i="31"/>
  <c r="AV104" i="31"/>
  <c r="AR104" i="31"/>
  <c r="AN104" i="31"/>
  <c r="AJ104" i="31"/>
  <c r="AF104" i="31"/>
  <c r="AB104" i="31"/>
  <c r="X104" i="31"/>
  <c r="T104" i="31"/>
  <c r="P104" i="31"/>
  <c r="L104" i="31"/>
  <c r="H104" i="31"/>
  <c r="BD103" i="31"/>
  <c r="AZ103" i="31"/>
  <c r="AV103" i="31"/>
  <c r="AR103" i="31"/>
  <c r="AN103" i="31"/>
  <c r="AJ103" i="31"/>
  <c r="AF103" i="31"/>
  <c r="AB103" i="31"/>
  <c r="X103" i="31"/>
  <c r="T103" i="31"/>
  <c r="P103" i="31"/>
  <c r="L103" i="31"/>
  <c r="H103" i="31"/>
  <c r="BD102" i="31"/>
  <c r="AZ102" i="31"/>
  <c r="AV102" i="31"/>
  <c r="AR102" i="31"/>
  <c r="AN102" i="31"/>
  <c r="AJ102" i="31"/>
  <c r="AF102" i="31"/>
  <c r="AB102" i="31"/>
  <c r="X102" i="31"/>
  <c r="T102" i="31"/>
  <c r="P102" i="31"/>
  <c r="L102" i="31"/>
  <c r="H102" i="31"/>
  <c r="BD101" i="31"/>
  <c r="AZ101" i="31"/>
  <c r="AV101" i="31"/>
  <c r="AR101" i="31"/>
  <c r="AN101" i="31"/>
  <c r="AJ101" i="31"/>
  <c r="AF101" i="31"/>
  <c r="AB101" i="31"/>
  <c r="X101" i="31"/>
  <c r="T101" i="31"/>
  <c r="P101" i="31"/>
  <c r="L101" i="31"/>
  <c r="H101" i="31"/>
  <c r="BD100" i="31"/>
  <c r="AZ100" i="31"/>
  <c r="AV100" i="31"/>
  <c r="AR100" i="31"/>
  <c r="AN100" i="31"/>
  <c r="AJ100" i="31"/>
  <c r="AF100" i="31"/>
  <c r="AB100" i="31"/>
  <c r="X100" i="31"/>
  <c r="T100" i="31"/>
  <c r="P100" i="31"/>
  <c r="L100" i="31"/>
  <c r="H100" i="31"/>
  <c r="BD99" i="31"/>
  <c r="AZ99" i="31"/>
  <c r="AV99" i="31"/>
  <c r="AR99" i="31"/>
  <c r="AN99" i="31"/>
  <c r="AJ99" i="31"/>
  <c r="AF99" i="31"/>
  <c r="AB99" i="31"/>
  <c r="X99" i="31"/>
  <c r="T99" i="31"/>
  <c r="P99" i="31"/>
  <c r="L99" i="31"/>
  <c r="H99" i="31"/>
  <c r="BD98" i="31"/>
  <c r="AZ98" i="31"/>
  <c r="AV98" i="31"/>
  <c r="AR98" i="31"/>
  <c r="AN98" i="31"/>
  <c r="AJ98" i="31"/>
  <c r="AF98" i="31"/>
  <c r="AB98" i="31"/>
  <c r="X98" i="31"/>
  <c r="T98" i="31"/>
  <c r="P98" i="31"/>
  <c r="L98" i="31"/>
  <c r="H98" i="31"/>
  <c r="BD97" i="31"/>
  <c r="AZ97" i="31"/>
  <c r="AV97" i="31"/>
  <c r="AR97" i="31"/>
  <c r="AN97" i="31"/>
  <c r="AJ97" i="31"/>
  <c r="AF97" i="31"/>
  <c r="AB97" i="31"/>
  <c r="X97" i="31"/>
  <c r="T97" i="31"/>
  <c r="P97" i="31"/>
  <c r="L97" i="31"/>
  <c r="H97" i="31"/>
  <c r="BD96" i="31"/>
  <c r="AZ96" i="31"/>
  <c r="AV96" i="31"/>
  <c r="AR96" i="31"/>
  <c r="AN96" i="31"/>
  <c r="AJ96" i="31"/>
  <c r="AF96" i="31"/>
  <c r="AB96" i="31"/>
  <c r="X96" i="31"/>
  <c r="T96" i="31"/>
  <c r="P96" i="31"/>
  <c r="L96" i="31"/>
  <c r="H96" i="31"/>
  <c r="BD95" i="31"/>
  <c r="AZ95" i="31"/>
  <c r="AV95" i="31"/>
  <c r="AR95" i="31"/>
  <c r="AN95" i="31"/>
  <c r="AJ95" i="31"/>
  <c r="AF95" i="31"/>
  <c r="AB95" i="31"/>
  <c r="X95" i="31"/>
  <c r="T95" i="31"/>
  <c r="P95" i="31"/>
  <c r="L95" i="31"/>
  <c r="H95" i="31"/>
  <c r="BD94" i="31"/>
  <c r="AZ94" i="31"/>
  <c r="AV94" i="31"/>
  <c r="AR94" i="31"/>
  <c r="AN94" i="31"/>
  <c r="AJ94" i="31"/>
  <c r="AF94" i="31"/>
  <c r="AB94" i="31"/>
  <c r="X94" i="31"/>
  <c r="T94" i="31"/>
  <c r="P94" i="31"/>
  <c r="L94" i="31"/>
  <c r="H94" i="31"/>
  <c r="BD93" i="31"/>
  <c r="AZ93" i="31"/>
  <c r="AV93" i="31"/>
  <c r="AR93" i="31"/>
  <c r="AN93" i="31"/>
  <c r="AJ93" i="31"/>
  <c r="AF93" i="31"/>
  <c r="AB93" i="31"/>
  <c r="X93" i="31"/>
  <c r="T93" i="31"/>
  <c r="P93" i="31"/>
  <c r="L93" i="31"/>
  <c r="H93" i="31"/>
  <c r="BD92" i="31"/>
  <c r="AZ92" i="31"/>
  <c r="AV92" i="31"/>
  <c r="AR92" i="31"/>
  <c r="AN92" i="31"/>
  <c r="AJ92" i="31"/>
  <c r="AF92" i="31"/>
  <c r="AB92" i="31"/>
  <c r="X92" i="31"/>
  <c r="T92" i="31"/>
  <c r="P92" i="31"/>
  <c r="L92" i="31"/>
  <c r="H92" i="31"/>
  <c r="BD91" i="31"/>
  <c r="AZ91" i="31"/>
  <c r="AV91" i="31"/>
  <c r="AR91" i="31"/>
  <c r="AN91" i="31"/>
  <c r="AJ91" i="31"/>
  <c r="AF91" i="31"/>
  <c r="AB91" i="31"/>
  <c r="X91" i="31"/>
  <c r="T91" i="31"/>
  <c r="P91" i="31"/>
  <c r="L91" i="31"/>
  <c r="H91" i="31"/>
  <c r="BD90" i="31"/>
  <c r="AZ90" i="31"/>
  <c r="AV90" i="31"/>
  <c r="AR90" i="31"/>
  <c r="AN90" i="31"/>
  <c r="AJ90" i="31"/>
  <c r="AF90" i="31"/>
  <c r="AB90" i="31"/>
  <c r="X90" i="31"/>
  <c r="T90" i="31"/>
  <c r="P90" i="31"/>
  <c r="L90" i="31"/>
  <c r="H90" i="31"/>
  <c r="BD89" i="31"/>
  <c r="AZ89" i="31"/>
  <c r="AV89" i="31"/>
  <c r="AR89" i="31"/>
  <c r="AN89" i="31"/>
  <c r="AJ89" i="31"/>
  <c r="AF89" i="31"/>
  <c r="AB89" i="31"/>
  <c r="X89" i="31"/>
  <c r="T89" i="31"/>
  <c r="P89" i="31"/>
  <c r="L89" i="31"/>
  <c r="H89" i="31"/>
  <c r="BD88" i="31"/>
  <c r="AZ88" i="31"/>
  <c r="AV88" i="31"/>
  <c r="AR88" i="31"/>
  <c r="AN88" i="31"/>
  <c r="AJ88" i="31"/>
  <c r="AF88" i="31"/>
  <c r="AB88" i="31"/>
  <c r="X88" i="31"/>
  <c r="T88" i="31"/>
  <c r="P88" i="31"/>
  <c r="L88" i="31"/>
  <c r="H88" i="31"/>
  <c r="BD87" i="31"/>
  <c r="AZ87" i="31"/>
  <c r="AV87" i="31"/>
  <c r="AR87" i="31"/>
  <c r="AN87" i="31"/>
  <c r="AJ87" i="31"/>
  <c r="AF87" i="31"/>
  <c r="AB87" i="31"/>
  <c r="X87" i="31"/>
  <c r="T87" i="31"/>
  <c r="P87" i="31"/>
  <c r="L87" i="31"/>
  <c r="H87" i="31"/>
  <c r="BD86" i="31"/>
  <c r="AZ86" i="31"/>
  <c r="AV86" i="31"/>
  <c r="AR86" i="31"/>
  <c r="AN86" i="31"/>
  <c r="AJ86" i="31"/>
  <c r="AF86" i="31"/>
  <c r="AB86" i="31"/>
  <c r="X86" i="31"/>
  <c r="T86" i="31"/>
  <c r="P86" i="31"/>
  <c r="L86" i="31"/>
  <c r="H86" i="31"/>
  <c r="BD85" i="31"/>
  <c r="AZ85" i="31"/>
  <c r="AV85" i="31"/>
  <c r="AG120" i="31"/>
  <c r="Y120" i="31"/>
  <c r="Q120" i="31"/>
  <c r="I120" i="31"/>
  <c r="BA119" i="31"/>
  <c r="AS119" i="31"/>
  <c r="AK119" i="31"/>
  <c r="AC119" i="31"/>
  <c r="U119" i="31"/>
  <c r="M119" i="31"/>
  <c r="BE118" i="31"/>
  <c r="AW118" i="31"/>
  <c r="AO118" i="31"/>
  <c r="AG118" i="31"/>
  <c r="Y118" i="31"/>
  <c r="Q118" i="31"/>
  <c r="I118" i="31"/>
  <c r="BA117" i="31"/>
  <c r="AU117" i="31"/>
  <c r="AQ117" i="31"/>
  <c r="AM117" i="31"/>
  <c r="AI117" i="31"/>
  <c r="AE117" i="31"/>
  <c r="AA117" i="31"/>
  <c r="W117" i="31"/>
  <c r="S117" i="31"/>
  <c r="O117" i="31"/>
  <c r="K117" i="31"/>
  <c r="BG116" i="31"/>
  <c r="BC116" i="31"/>
  <c r="AY116" i="31"/>
  <c r="AU116" i="31"/>
  <c r="AQ116" i="31"/>
  <c r="AM116" i="31"/>
  <c r="AI116" i="31"/>
  <c r="AE116" i="31"/>
  <c r="AA116" i="31"/>
  <c r="W116" i="31"/>
  <c r="S116" i="31"/>
  <c r="O116" i="31"/>
  <c r="K116" i="31"/>
  <c r="BG115" i="31"/>
  <c r="BC115" i="31"/>
  <c r="AY115" i="31"/>
  <c r="AU115" i="31"/>
  <c r="AQ115" i="31"/>
  <c r="AM115" i="31"/>
  <c r="AI115" i="31"/>
  <c r="AE115" i="31"/>
  <c r="AA115" i="31"/>
  <c r="W115" i="31"/>
  <c r="S115" i="31"/>
  <c r="O115" i="31"/>
  <c r="K115" i="31"/>
  <c r="BG114" i="31"/>
  <c r="BC114" i="31"/>
  <c r="AY114" i="31"/>
  <c r="AU114" i="31"/>
  <c r="AQ114" i="31"/>
  <c r="AM114" i="31"/>
  <c r="AI114" i="31"/>
  <c r="AE114" i="31"/>
  <c r="AA114" i="31"/>
  <c r="W114" i="31"/>
  <c r="S114" i="31"/>
  <c r="O114" i="31"/>
  <c r="K114" i="31"/>
  <c r="BG104" i="31"/>
  <c r="BC104" i="31"/>
  <c r="AY104" i="31"/>
  <c r="AU104" i="31"/>
  <c r="AQ104" i="31"/>
  <c r="AM104" i="31"/>
  <c r="AI104" i="31"/>
  <c r="AE104" i="31"/>
  <c r="AA104" i="31"/>
  <c r="W104" i="31"/>
  <c r="S104" i="31"/>
  <c r="O104" i="31"/>
  <c r="K104" i="31"/>
  <c r="BG103" i="31"/>
  <c r="BC103" i="31"/>
  <c r="AY103" i="31"/>
  <c r="AU103" i="31"/>
  <c r="AQ103" i="31"/>
  <c r="AM103" i="31"/>
  <c r="AI103" i="31"/>
  <c r="AE103" i="31"/>
  <c r="AA103" i="31"/>
  <c r="W103" i="31"/>
  <c r="S103" i="31"/>
  <c r="O103" i="31"/>
  <c r="K103" i="31"/>
  <c r="BG102" i="31"/>
  <c r="BC102" i="31"/>
  <c r="AY102" i="31"/>
  <c r="AU102" i="31"/>
  <c r="AQ102" i="31"/>
  <c r="AM102" i="31"/>
  <c r="AI102" i="31"/>
  <c r="AE102" i="31"/>
  <c r="AA102" i="31"/>
  <c r="W102" i="31"/>
  <c r="S102" i="31"/>
  <c r="O102" i="31"/>
  <c r="K102" i="31"/>
  <c r="BG101" i="31"/>
  <c r="BC101" i="31"/>
  <c r="AY101" i="31"/>
  <c r="AU101" i="31"/>
  <c r="AQ101" i="31"/>
  <c r="AM101" i="31"/>
  <c r="AI101" i="31"/>
  <c r="AE101" i="31"/>
  <c r="AA101" i="31"/>
  <c r="W101" i="31"/>
  <c r="S101" i="31"/>
  <c r="O101" i="31"/>
  <c r="K101" i="31"/>
  <c r="BG100" i="31"/>
  <c r="BC100" i="31"/>
  <c r="AY100" i="31"/>
  <c r="AU100" i="31"/>
  <c r="AQ100" i="31"/>
  <c r="AM100" i="31"/>
  <c r="AI100" i="31"/>
  <c r="AE100" i="31"/>
  <c r="AA100" i="31"/>
  <c r="W100" i="31"/>
  <c r="S100" i="31"/>
  <c r="O100" i="31"/>
  <c r="K100" i="31"/>
  <c r="BG99" i="31"/>
  <c r="BC99" i="31"/>
  <c r="AY99" i="31"/>
  <c r="AU99" i="31"/>
  <c r="AQ99" i="31"/>
  <c r="AM99" i="31"/>
  <c r="AI99" i="31"/>
  <c r="AE99" i="31"/>
  <c r="AA99" i="31"/>
  <c r="W99" i="31"/>
  <c r="S99" i="31"/>
  <c r="O99" i="31"/>
  <c r="K99" i="31"/>
  <c r="BG98" i="31"/>
  <c r="BC98" i="31"/>
  <c r="AY98" i="31"/>
  <c r="AU98" i="31"/>
  <c r="AQ98" i="31"/>
  <c r="AM98" i="31"/>
  <c r="AI98" i="31"/>
  <c r="AE98" i="31"/>
  <c r="AA98" i="31"/>
  <c r="W98" i="31"/>
  <c r="S98" i="31"/>
  <c r="O98" i="31"/>
  <c r="K98" i="31"/>
  <c r="BG97" i="31"/>
  <c r="BC97" i="31"/>
  <c r="AY97" i="31"/>
  <c r="AU97" i="31"/>
  <c r="AQ97" i="31"/>
  <c r="AM97" i="31"/>
  <c r="AI97" i="31"/>
  <c r="AE97" i="31"/>
  <c r="AA97" i="31"/>
  <c r="W97" i="31"/>
  <c r="S97" i="31"/>
  <c r="O97" i="31"/>
  <c r="K97" i="31"/>
  <c r="BG96" i="31"/>
  <c r="BC96" i="31"/>
  <c r="AY96" i="31"/>
  <c r="AU96" i="31"/>
  <c r="AQ96" i="31"/>
  <c r="AM96" i="31"/>
  <c r="AI96" i="31"/>
  <c r="AE96" i="31"/>
  <c r="AA96" i="31"/>
  <c r="W96" i="31"/>
  <c r="S96" i="31"/>
  <c r="O96" i="31"/>
  <c r="K96" i="31"/>
  <c r="BG95" i="31"/>
  <c r="BC95" i="31"/>
  <c r="AY95" i="31"/>
  <c r="AU95" i="31"/>
  <c r="AQ95" i="31"/>
  <c r="AM95" i="31"/>
  <c r="AI95" i="31"/>
  <c r="AE95" i="31"/>
  <c r="AA95" i="31"/>
  <c r="W95" i="31"/>
  <c r="S95" i="31"/>
  <c r="O95" i="31"/>
  <c r="K95" i="31"/>
  <c r="BG94" i="31"/>
  <c r="BC94" i="31"/>
  <c r="AY94" i="31"/>
  <c r="AU94" i="31"/>
  <c r="AQ94" i="31"/>
  <c r="AM94" i="31"/>
  <c r="AI94" i="31"/>
  <c r="AE94" i="31"/>
  <c r="AA94" i="31"/>
  <c r="W94" i="31"/>
  <c r="S94" i="31"/>
  <c r="O94" i="31"/>
  <c r="K94" i="31"/>
  <c r="BG93" i="31"/>
  <c r="BC93" i="31"/>
  <c r="AY93" i="31"/>
  <c r="AU93" i="31"/>
  <c r="AQ93" i="31"/>
  <c r="AM93" i="31"/>
  <c r="AI93" i="31"/>
  <c r="AE93" i="31"/>
  <c r="AA93" i="31"/>
  <c r="W93" i="31"/>
  <c r="S93" i="31"/>
  <c r="O93" i="31"/>
  <c r="K93" i="31"/>
  <c r="BG92" i="31"/>
  <c r="BC92" i="31"/>
  <c r="AY92" i="31"/>
  <c r="AU92" i="31"/>
  <c r="AQ92" i="31"/>
  <c r="AM92" i="31"/>
  <c r="AI92" i="31"/>
  <c r="AE92" i="31"/>
  <c r="AA92" i="31"/>
  <c r="W92" i="31"/>
  <c r="S92" i="31"/>
  <c r="O92" i="31"/>
  <c r="K92" i="31"/>
  <c r="BG91" i="31"/>
  <c r="BC91" i="31"/>
  <c r="AY91" i="31"/>
  <c r="AU91" i="31"/>
  <c r="AQ91" i="31"/>
  <c r="AM91" i="31"/>
  <c r="AI91" i="31"/>
  <c r="AE91" i="31"/>
  <c r="AA91" i="31"/>
  <c r="W91" i="31"/>
  <c r="S91" i="31"/>
  <c r="O91" i="31"/>
  <c r="K91" i="31"/>
  <c r="BG90" i="31"/>
  <c r="BC90" i="31"/>
  <c r="AY90" i="31"/>
  <c r="AU90" i="31"/>
  <c r="AQ90" i="31"/>
  <c r="AM90" i="31"/>
  <c r="AI90" i="31"/>
  <c r="AE90" i="31"/>
  <c r="AA90" i="31"/>
  <c r="W90" i="31"/>
  <c r="S90" i="31"/>
  <c r="O90" i="31"/>
  <c r="K90" i="31"/>
  <c r="BG89" i="31"/>
  <c r="BC89" i="31"/>
  <c r="AY89" i="31"/>
  <c r="AU89" i="31"/>
  <c r="AQ89" i="31"/>
  <c r="AM89" i="31"/>
  <c r="AI89" i="31"/>
  <c r="AE89" i="31"/>
  <c r="AA89" i="31"/>
  <c r="W89" i="31"/>
  <c r="S89" i="31"/>
  <c r="O89" i="31"/>
  <c r="K89" i="31"/>
  <c r="BG88" i="31"/>
  <c r="BC88" i="31"/>
  <c r="AY88" i="31"/>
  <c r="AU88" i="31"/>
  <c r="AQ88" i="31"/>
  <c r="AM88" i="31"/>
  <c r="AI88" i="31"/>
  <c r="AE88" i="31"/>
  <c r="AA88" i="31"/>
  <c r="W88" i="31"/>
  <c r="S88" i="31"/>
  <c r="O88" i="31"/>
  <c r="K88" i="31"/>
  <c r="BG87" i="31"/>
  <c r="BC87" i="31"/>
  <c r="AY87" i="31"/>
  <c r="AU87" i="31"/>
  <c r="AQ87" i="31"/>
  <c r="AM87" i="31"/>
  <c r="AI87" i="31"/>
  <c r="AE87" i="31"/>
  <c r="AA87" i="31"/>
  <c r="W87" i="31"/>
  <c r="S87" i="31"/>
  <c r="O87" i="31"/>
  <c r="K87" i="31"/>
  <c r="BG86" i="31"/>
  <c r="BC86" i="31"/>
  <c r="AY86" i="31"/>
  <c r="AU86" i="31"/>
  <c r="AQ86" i="31"/>
  <c r="AM86" i="31"/>
  <c r="AI86" i="31"/>
  <c r="AE86" i="31"/>
  <c r="AA86" i="31"/>
  <c r="W86" i="31"/>
  <c r="S86" i="31"/>
  <c r="O86" i="31"/>
  <c r="K86" i="31"/>
  <c r="BG85" i="31"/>
  <c r="AL120" i="31"/>
  <c r="AD120" i="31"/>
  <c r="V120" i="31"/>
  <c r="N120" i="31"/>
  <c r="BF119" i="31"/>
  <c r="AX119" i="31"/>
  <c r="AP119" i="31"/>
  <c r="AH119" i="31"/>
  <c r="Z119" i="31"/>
  <c r="R119" i="31"/>
  <c r="J119" i="31"/>
  <c r="BB118" i="31"/>
  <c r="AT118" i="31"/>
  <c r="AL118" i="31"/>
  <c r="AD118" i="31"/>
  <c r="V118" i="31"/>
  <c r="N118" i="31"/>
  <c r="BF117" i="31"/>
  <c r="AX117" i="31"/>
  <c r="AT117" i="31"/>
  <c r="AP117" i="31"/>
  <c r="AL117" i="31"/>
  <c r="AH117" i="31"/>
  <c r="AD117" i="31"/>
  <c r="Z117" i="31"/>
  <c r="V117" i="31"/>
  <c r="R117" i="31"/>
  <c r="N117" i="31"/>
  <c r="J117" i="31"/>
  <c r="BF116" i="31"/>
  <c r="BB116" i="31"/>
  <c r="AX116" i="31"/>
  <c r="AT116" i="31"/>
  <c r="AP116" i="31"/>
  <c r="AL116" i="31"/>
  <c r="AH116" i="31"/>
  <c r="AD116" i="31"/>
  <c r="Z116" i="31"/>
  <c r="V116" i="31"/>
  <c r="R116" i="31"/>
  <c r="N116" i="31"/>
  <c r="J116" i="31"/>
  <c r="BF115" i="31"/>
  <c r="BB115" i="31"/>
  <c r="AX115" i="31"/>
  <c r="AT115" i="31"/>
  <c r="AP115" i="31"/>
  <c r="AL115" i="31"/>
  <c r="AH115" i="31"/>
  <c r="AD115" i="31"/>
  <c r="Z115" i="31"/>
  <c r="V115" i="31"/>
  <c r="R115" i="31"/>
  <c r="N115" i="31"/>
  <c r="J115" i="31"/>
  <c r="BF114" i="31"/>
  <c r="BB114" i="31"/>
  <c r="AX114" i="31"/>
  <c r="AT114" i="31"/>
  <c r="AP114" i="31"/>
  <c r="AL114" i="31"/>
  <c r="AH114" i="31"/>
  <c r="AD114" i="31"/>
  <c r="Z114" i="31"/>
  <c r="V114" i="31"/>
  <c r="R114" i="31"/>
  <c r="N114" i="31"/>
  <c r="J114" i="31"/>
  <c r="BF104" i="31"/>
  <c r="BB104" i="31"/>
  <c r="AX104" i="31"/>
  <c r="AT104" i="31"/>
  <c r="AP104" i="31"/>
  <c r="AL104" i="31"/>
  <c r="AH104" i="31"/>
  <c r="AD104" i="31"/>
  <c r="Z104" i="31"/>
  <c r="V104" i="31"/>
  <c r="R104" i="31"/>
  <c r="N104" i="31"/>
  <c r="J104" i="31"/>
  <c r="BF103" i="31"/>
  <c r="BB103" i="31"/>
  <c r="AX103" i="31"/>
  <c r="AT103" i="31"/>
  <c r="AP103" i="31"/>
  <c r="AL103" i="31"/>
  <c r="AH103" i="31"/>
  <c r="AD103" i="31"/>
  <c r="Z103" i="31"/>
  <c r="V103" i="31"/>
  <c r="R103" i="31"/>
  <c r="N103" i="31"/>
  <c r="J103" i="31"/>
  <c r="BF102" i="31"/>
  <c r="BB102" i="31"/>
  <c r="AX102" i="31"/>
  <c r="AT102" i="31"/>
  <c r="AP102" i="31"/>
  <c r="AL102" i="31"/>
  <c r="AH102" i="31"/>
  <c r="AD102" i="31"/>
  <c r="Z102" i="31"/>
  <c r="V102" i="31"/>
  <c r="R102" i="31"/>
  <c r="N102" i="31"/>
  <c r="J102" i="31"/>
  <c r="BF101" i="31"/>
  <c r="BB101" i="31"/>
  <c r="AX101" i="31"/>
  <c r="AT101" i="31"/>
  <c r="AP101" i="31"/>
  <c r="AL101" i="31"/>
  <c r="AH101" i="31"/>
  <c r="AD101" i="31"/>
  <c r="Z101" i="31"/>
  <c r="V101" i="31"/>
  <c r="R101" i="31"/>
  <c r="N101" i="31"/>
  <c r="J101" i="31"/>
  <c r="BF100" i="31"/>
  <c r="BB100" i="31"/>
  <c r="AX100" i="31"/>
  <c r="AT100" i="31"/>
  <c r="AP100" i="31"/>
  <c r="AL100" i="31"/>
  <c r="AH100" i="31"/>
  <c r="AD100" i="31"/>
  <c r="Z100" i="31"/>
  <c r="V100" i="31"/>
  <c r="R100" i="31"/>
  <c r="N100" i="31"/>
  <c r="J100" i="31"/>
  <c r="BF99" i="31"/>
  <c r="BB99" i="31"/>
  <c r="AX99" i="31"/>
  <c r="AT99" i="31"/>
  <c r="AP99" i="31"/>
  <c r="AL99" i="31"/>
  <c r="AH99" i="31"/>
  <c r="AD99" i="31"/>
  <c r="Z99" i="31"/>
  <c r="V99" i="31"/>
  <c r="R99" i="31"/>
  <c r="N99" i="31"/>
  <c r="J99" i="31"/>
  <c r="BF98" i="31"/>
  <c r="BB98" i="31"/>
  <c r="AX98" i="31"/>
  <c r="AT98" i="31"/>
  <c r="AP98" i="31"/>
  <c r="AL98" i="31"/>
  <c r="AH98" i="31"/>
  <c r="AD98" i="31"/>
  <c r="Z98" i="31"/>
  <c r="V98" i="31"/>
  <c r="R98" i="31"/>
  <c r="N98" i="31"/>
  <c r="J98" i="31"/>
  <c r="BF97" i="31"/>
  <c r="BB97" i="31"/>
  <c r="AX97" i="31"/>
  <c r="AT97" i="31"/>
  <c r="AP97" i="31"/>
  <c r="AL97" i="31"/>
  <c r="AH97" i="31"/>
  <c r="AD97" i="31"/>
  <c r="Z97" i="31"/>
  <c r="V97" i="31"/>
  <c r="R97" i="31"/>
  <c r="N97" i="31"/>
  <c r="J97" i="31"/>
  <c r="BF96" i="31"/>
  <c r="BB96" i="31"/>
  <c r="AX96" i="31"/>
  <c r="AT96" i="31"/>
  <c r="AP96" i="31"/>
  <c r="AL96" i="31"/>
  <c r="AH96" i="31"/>
  <c r="AD96" i="31"/>
  <c r="Z96" i="31"/>
  <c r="V96" i="31"/>
  <c r="R96" i="31"/>
  <c r="N96" i="31"/>
  <c r="J96" i="31"/>
  <c r="BF95" i="31"/>
  <c r="BB95" i="31"/>
  <c r="AX95" i="31"/>
  <c r="AT95" i="31"/>
  <c r="AP95" i="31"/>
  <c r="AL95" i="31"/>
  <c r="AH95" i="31"/>
  <c r="AD95" i="31"/>
  <c r="Z95" i="31"/>
  <c r="V95" i="31"/>
  <c r="R95" i="31"/>
  <c r="N95" i="31"/>
  <c r="J95" i="31"/>
  <c r="BF94" i="31"/>
  <c r="BB94" i="31"/>
  <c r="AX94" i="31"/>
  <c r="AT94" i="31"/>
  <c r="AP94" i="31"/>
  <c r="AL94" i="31"/>
  <c r="AH94" i="31"/>
  <c r="AD94" i="31"/>
  <c r="Z94" i="31"/>
  <c r="V94" i="31"/>
  <c r="R94" i="31"/>
  <c r="AK120" i="31"/>
  <c r="AC120" i="31"/>
  <c r="U120" i="31"/>
  <c r="M120" i="31"/>
  <c r="BE119" i="31"/>
  <c r="AW119" i="31"/>
  <c r="AO119" i="31"/>
  <c r="AG119" i="31"/>
  <c r="Y119" i="31"/>
  <c r="Q119" i="31"/>
  <c r="I119" i="31"/>
  <c r="BA118" i="31"/>
  <c r="AS118" i="31"/>
  <c r="AK118" i="31"/>
  <c r="AC118" i="31"/>
  <c r="U118" i="31"/>
  <c r="M118" i="31"/>
  <c r="BE117" i="31"/>
  <c r="AW117" i="31"/>
  <c r="AS117" i="31"/>
  <c r="AO117" i="31"/>
  <c r="AK117" i="31"/>
  <c r="AG117" i="31"/>
  <c r="AC117" i="31"/>
  <c r="Y117" i="31"/>
  <c r="U117" i="31"/>
  <c r="Q117" i="31"/>
  <c r="M117" i="31"/>
  <c r="I117" i="31"/>
  <c r="BE116" i="31"/>
  <c r="BA116" i="31"/>
  <c r="AW116" i="31"/>
  <c r="AS116" i="31"/>
  <c r="AO116" i="31"/>
  <c r="AK116" i="31"/>
  <c r="AG116" i="31"/>
  <c r="AC116" i="31"/>
  <c r="Y116" i="31"/>
  <c r="U116" i="31"/>
  <c r="Q116" i="31"/>
  <c r="M116" i="31"/>
  <c r="I116" i="31"/>
  <c r="BE115" i="31"/>
  <c r="BA115" i="31"/>
  <c r="AW115" i="31"/>
  <c r="AS115" i="31"/>
  <c r="AO115" i="31"/>
  <c r="AK115" i="31"/>
  <c r="AG115" i="31"/>
  <c r="AC115" i="31"/>
  <c r="Y115" i="31"/>
  <c r="U115" i="31"/>
  <c r="Q115" i="31"/>
  <c r="M115" i="31"/>
  <c r="I115" i="31"/>
  <c r="BE114" i="31"/>
  <c r="BA114" i="31"/>
  <c r="AW114" i="31"/>
  <c r="AS114" i="31"/>
  <c r="AO114" i="31"/>
  <c r="AK114" i="31"/>
  <c r="AG114" i="31"/>
  <c r="AC114" i="31"/>
  <c r="Y114" i="31"/>
  <c r="U114" i="31"/>
  <c r="Q114" i="31"/>
  <c r="M114" i="31"/>
  <c r="I114" i="31"/>
  <c r="BE104" i="31"/>
  <c r="BA104" i="31"/>
  <c r="AW104" i="31"/>
  <c r="AS104" i="31"/>
  <c r="AO104" i="31"/>
  <c r="AK104" i="31"/>
  <c r="AG104" i="31"/>
  <c r="AC104" i="31"/>
  <c r="Y104" i="31"/>
  <c r="U104" i="31"/>
  <c r="Q104" i="31"/>
  <c r="M104" i="31"/>
  <c r="I104" i="31"/>
  <c r="BE103" i="31"/>
  <c r="BA103" i="31"/>
  <c r="AW103" i="31"/>
  <c r="AS103" i="31"/>
  <c r="AO103" i="31"/>
  <c r="AK103" i="31"/>
  <c r="AG103" i="31"/>
  <c r="AC103" i="31"/>
  <c r="Y103" i="31"/>
  <c r="U103" i="31"/>
  <c r="Q103" i="31"/>
  <c r="M103" i="31"/>
  <c r="I103" i="31"/>
  <c r="BE102" i="31"/>
  <c r="BA102" i="31"/>
  <c r="AW102" i="31"/>
  <c r="AS102" i="31"/>
  <c r="AO102" i="31"/>
  <c r="AK102" i="31"/>
  <c r="AG102" i="31"/>
  <c r="AC102" i="31"/>
  <c r="Y102" i="31"/>
  <c r="U102" i="31"/>
  <c r="I102" i="31"/>
  <c r="AS101" i="31"/>
  <c r="AC101" i="31"/>
  <c r="M101" i="31"/>
  <c r="AW100" i="31"/>
  <c r="AG100" i="31"/>
  <c r="Q100" i="31"/>
  <c r="BA99" i="31"/>
  <c r="AK99" i="31"/>
  <c r="U99" i="31"/>
  <c r="BE98" i="31"/>
  <c r="AO98" i="31"/>
  <c r="Y98" i="31"/>
  <c r="I98" i="31"/>
  <c r="AS97" i="31"/>
  <c r="AC97" i="31"/>
  <c r="M97" i="31"/>
  <c r="AW96" i="31"/>
  <c r="AG96" i="31"/>
  <c r="Q96" i="31"/>
  <c r="BA95" i="31"/>
  <c r="AK95" i="31"/>
  <c r="U95" i="31"/>
  <c r="BE94" i="31"/>
  <c r="AO94" i="31"/>
  <c r="Y94" i="31"/>
  <c r="M94" i="31"/>
  <c r="BE93" i="31"/>
  <c r="AW93" i="31"/>
  <c r="AO93" i="31"/>
  <c r="AG93" i="31"/>
  <c r="Y93" i="31"/>
  <c r="Q93" i="31"/>
  <c r="I93" i="31"/>
  <c r="BA92" i="31"/>
  <c r="AS92" i="31"/>
  <c r="AK92" i="31"/>
  <c r="AC92" i="31"/>
  <c r="U92" i="31"/>
  <c r="M92" i="31"/>
  <c r="BE91" i="31"/>
  <c r="AW91" i="31"/>
  <c r="AO91" i="31"/>
  <c r="AG91" i="31"/>
  <c r="Y91" i="31"/>
  <c r="Q91" i="31"/>
  <c r="I91" i="31"/>
  <c r="BA90" i="31"/>
  <c r="AS90" i="31"/>
  <c r="AK90" i="31"/>
  <c r="AC90" i="31"/>
  <c r="U90" i="31"/>
  <c r="M90" i="31"/>
  <c r="BE89" i="31"/>
  <c r="AW89" i="31"/>
  <c r="AO89" i="31"/>
  <c r="AG89" i="31"/>
  <c r="Y89" i="31"/>
  <c r="Q89" i="31"/>
  <c r="I89" i="31"/>
  <c r="BA88" i="31"/>
  <c r="AS88" i="31"/>
  <c r="AK88" i="31"/>
  <c r="AC88" i="31"/>
  <c r="U88" i="31"/>
  <c r="M88" i="31"/>
  <c r="BE87" i="31"/>
  <c r="AW87" i="31"/>
  <c r="AO87" i="31"/>
  <c r="AG87" i="31"/>
  <c r="Y87" i="31"/>
  <c r="Q87" i="31"/>
  <c r="I87" i="31"/>
  <c r="BA86" i="31"/>
  <c r="AS86" i="31"/>
  <c r="AK86" i="31"/>
  <c r="AC86" i="31"/>
  <c r="U86" i="31"/>
  <c r="M86" i="31"/>
  <c r="BE85" i="31"/>
  <c r="AY85" i="31"/>
  <c r="AT85" i="31"/>
  <c r="AP85" i="31"/>
  <c r="AL85" i="31"/>
  <c r="AH85" i="31"/>
  <c r="AD85" i="31"/>
  <c r="Z85" i="31"/>
  <c r="V85" i="31"/>
  <c r="R85" i="31"/>
  <c r="N85" i="31"/>
  <c r="J85" i="31"/>
  <c r="BF84" i="31"/>
  <c r="BB84" i="31"/>
  <c r="AX84" i="31"/>
  <c r="AT84" i="31"/>
  <c r="AP84" i="31"/>
  <c r="AL84" i="31"/>
  <c r="AH84" i="31"/>
  <c r="AD84" i="31"/>
  <c r="Z84" i="31"/>
  <c r="V84" i="31"/>
  <c r="R84" i="31"/>
  <c r="N84" i="31"/>
  <c r="J84" i="31"/>
  <c r="BF83" i="31"/>
  <c r="BB83" i="31"/>
  <c r="AX83" i="31"/>
  <c r="AT83" i="31"/>
  <c r="AP83" i="31"/>
  <c r="AL83" i="31"/>
  <c r="AH83" i="31"/>
  <c r="AD83" i="31"/>
  <c r="Z83" i="31"/>
  <c r="V83" i="31"/>
  <c r="R83" i="31"/>
  <c r="N83" i="31"/>
  <c r="J83" i="31"/>
  <c r="BF82" i="31"/>
  <c r="BB82" i="31"/>
  <c r="AX82" i="31"/>
  <c r="AT82" i="31"/>
  <c r="AP82" i="31"/>
  <c r="AL82" i="31"/>
  <c r="AH82" i="31"/>
  <c r="AD82" i="31"/>
  <c r="Z82" i="31"/>
  <c r="V82" i="31"/>
  <c r="R82" i="31"/>
  <c r="N82" i="31"/>
  <c r="J82" i="31"/>
  <c r="BF81" i="31"/>
  <c r="BB81" i="31"/>
  <c r="AX81" i="31"/>
  <c r="AT81" i="31"/>
  <c r="BE101" i="31"/>
  <c r="AO101" i="31"/>
  <c r="Y101" i="31"/>
  <c r="I101" i="31"/>
  <c r="AS100" i="31"/>
  <c r="AC100" i="31"/>
  <c r="M100" i="31"/>
  <c r="AW99" i="31"/>
  <c r="AG99" i="31"/>
  <c r="Q99" i="31"/>
  <c r="BA98" i="31"/>
  <c r="AK98" i="31"/>
  <c r="U98" i="31"/>
  <c r="BE97" i="31"/>
  <c r="AO97" i="31"/>
  <c r="Y97" i="31"/>
  <c r="I97" i="31"/>
  <c r="AS96" i="31"/>
  <c r="AC96" i="31"/>
  <c r="M96" i="31"/>
  <c r="AW95" i="31"/>
  <c r="AG95" i="31"/>
  <c r="Q95" i="31"/>
  <c r="BA94" i="31"/>
  <c r="AK94" i="31"/>
  <c r="U94" i="31"/>
  <c r="J94" i="31"/>
  <c r="BB93" i="31"/>
  <c r="AT93" i="31"/>
  <c r="AL93" i="31"/>
  <c r="AD93" i="31"/>
  <c r="V93" i="31"/>
  <c r="N93" i="31"/>
  <c r="BF92" i="31"/>
  <c r="AX92" i="31"/>
  <c r="AP92" i="31"/>
  <c r="AH92" i="31"/>
  <c r="Z92" i="31"/>
  <c r="R92" i="31"/>
  <c r="J92" i="31"/>
  <c r="BB91" i="31"/>
  <c r="AT91" i="31"/>
  <c r="AL91" i="31"/>
  <c r="AD91" i="31"/>
  <c r="V91" i="31"/>
  <c r="N91" i="31"/>
  <c r="BF90" i="31"/>
  <c r="AX90" i="31"/>
  <c r="AP90" i="31"/>
  <c r="AH90" i="31"/>
  <c r="Z90" i="31"/>
  <c r="R90" i="31"/>
  <c r="J90" i="31"/>
  <c r="BB89" i="31"/>
  <c r="AT89" i="31"/>
  <c r="AL89" i="31"/>
  <c r="AD89" i="31"/>
  <c r="V89" i="31"/>
  <c r="N89" i="31"/>
  <c r="BF88" i="31"/>
  <c r="AX88" i="31"/>
  <c r="AP88" i="31"/>
  <c r="AH88" i="31"/>
  <c r="Z88" i="31"/>
  <c r="R88" i="31"/>
  <c r="J88" i="31"/>
  <c r="BB87" i="31"/>
  <c r="AT87" i="31"/>
  <c r="AL87" i="31"/>
  <c r="AD87" i="31"/>
  <c r="V87" i="31"/>
  <c r="N87" i="31"/>
  <c r="BF86" i="31"/>
  <c r="AX86" i="31"/>
  <c r="AP86" i="31"/>
  <c r="AH86" i="31"/>
  <c r="Z86" i="31"/>
  <c r="R86" i="31"/>
  <c r="J86" i="31"/>
  <c r="BC85" i="31"/>
  <c r="AX85" i="31"/>
  <c r="AS85" i="31"/>
  <c r="AO85" i="31"/>
  <c r="AK85" i="31"/>
  <c r="AG85" i="31"/>
  <c r="AC85" i="31"/>
  <c r="Y85" i="31"/>
  <c r="U85" i="31"/>
  <c r="Q85" i="31"/>
  <c r="M85" i="31"/>
  <c r="I85" i="31"/>
  <c r="BE84" i="31"/>
  <c r="BA84" i="31"/>
  <c r="AW84" i="31"/>
  <c r="AS84" i="31"/>
  <c r="AO84" i="31"/>
  <c r="AK84" i="31"/>
  <c r="AG84" i="31"/>
  <c r="AC84" i="31"/>
  <c r="Y84" i="31"/>
  <c r="U84" i="31"/>
  <c r="Q84" i="31"/>
  <c r="M84" i="31"/>
  <c r="I84" i="31"/>
  <c r="BE83" i="31"/>
  <c r="BA83" i="31"/>
  <c r="AW83" i="31"/>
  <c r="AS83" i="31"/>
  <c r="AO83" i="31"/>
  <c r="AK83" i="31"/>
  <c r="AG83" i="31"/>
  <c r="AC83" i="31"/>
  <c r="Y83" i="31"/>
  <c r="U83" i="31"/>
  <c r="Q83" i="31"/>
  <c r="M83" i="31"/>
  <c r="I83" i="31"/>
  <c r="BE82" i="31"/>
  <c r="BA82" i="31"/>
  <c r="AW82" i="31"/>
  <c r="AS82" i="31"/>
  <c r="AO82" i="31"/>
  <c r="AK82" i="31"/>
  <c r="AG82" i="31"/>
  <c r="AC82" i="31"/>
  <c r="Y82" i="31"/>
  <c r="U82" i="31"/>
  <c r="Q82" i="31"/>
  <c r="M82" i="31"/>
  <c r="I82" i="31"/>
  <c r="BE81" i="31"/>
  <c r="BA81" i="31"/>
  <c r="AW81" i="31"/>
  <c r="AS81" i="31"/>
  <c r="AO81" i="31"/>
  <c r="AK81" i="31"/>
  <c r="AG81" i="31"/>
  <c r="AC81" i="31"/>
  <c r="Y81" i="31"/>
  <c r="U81" i="31"/>
  <c r="Q81" i="31"/>
  <c r="M81" i="31"/>
  <c r="I81" i="31"/>
  <c r="BE80" i="31"/>
  <c r="BA80" i="31"/>
  <c r="AW80" i="31"/>
  <c r="AS80" i="31"/>
  <c r="AO80" i="31"/>
  <c r="AK80" i="31"/>
  <c r="AG80" i="31"/>
  <c r="AC80" i="31"/>
  <c r="Y80" i="31"/>
  <c r="U80" i="31"/>
  <c r="Q80" i="31"/>
  <c r="M80" i="31"/>
  <c r="I80" i="31"/>
  <c r="BE79" i="31"/>
  <c r="BA79" i="31"/>
  <c r="AW79" i="31"/>
  <c r="AS79" i="31"/>
  <c r="AO79" i="31"/>
  <c r="AK79" i="31"/>
  <c r="AG79" i="31"/>
  <c r="AC79" i="31"/>
  <c r="Y79" i="31"/>
  <c r="U79" i="31"/>
  <c r="Q79" i="31"/>
  <c r="M79" i="31"/>
  <c r="I79" i="31"/>
  <c r="BE78" i="31"/>
  <c r="BA78" i="31"/>
  <c r="AW78" i="31"/>
  <c r="AS78" i="31"/>
  <c r="AO78" i="31"/>
  <c r="AK78" i="31"/>
  <c r="AG78" i="31"/>
  <c r="AC78" i="31"/>
  <c r="Y78" i="31"/>
  <c r="U78" i="31"/>
  <c r="Q78" i="31"/>
  <c r="M78" i="31"/>
  <c r="I78" i="31"/>
  <c r="BE77" i="31"/>
  <c r="BA77" i="31"/>
  <c r="AW77" i="31"/>
  <c r="AS77" i="31"/>
  <c r="AO77" i="31"/>
  <c r="AK77" i="31"/>
  <c r="AG77" i="31"/>
  <c r="AC77" i="31"/>
  <c r="Y77" i="31"/>
  <c r="Q102" i="31"/>
  <c r="BA101" i="31"/>
  <c r="AK101" i="31"/>
  <c r="U101" i="31"/>
  <c r="BE100" i="31"/>
  <c r="AO100" i="31"/>
  <c r="Y100" i="31"/>
  <c r="I100" i="31"/>
  <c r="AS99" i="31"/>
  <c r="AC99" i="31"/>
  <c r="M99" i="31"/>
  <c r="AW98" i="31"/>
  <c r="AG98" i="31"/>
  <c r="Q98" i="31"/>
  <c r="BA97" i="31"/>
  <c r="AK97" i="31"/>
  <c r="U97" i="31"/>
  <c r="BE96" i="31"/>
  <c r="AO96" i="31"/>
  <c r="Y96" i="31"/>
  <c r="I96" i="31"/>
  <c r="AS95" i="31"/>
  <c r="AC95" i="31"/>
  <c r="M95" i="31"/>
  <c r="AW94" i="31"/>
  <c r="AG94" i="31"/>
  <c r="Q94" i="31"/>
  <c r="I94" i="31"/>
  <c r="BA93" i="31"/>
  <c r="AS93" i="31"/>
  <c r="AK93" i="31"/>
  <c r="AC93" i="31"/>
  <c r="U93" i="31"/>
  <c r="M93" i="31"/>
  <c r="BE92" i="31"/>
  <c r="AW92" i="31"/>
  <c r="AO92" i="31"/>
  <c r="AG92" i="31"/>
  <c r="Y92" i="31"/>
  <c r="Q92" i="31"/>
  <c r="I92" i="31"/>
  <c r="BA91" i="31"/>
  <c r="AS91" i="31"/>
  <c r="AK91" i="31"/>
  <c r="AC91" i="31"/>
  <c r="U91" i="31"/>
  <c r="M91" i="31"/>
  <c r="BE90" i="31"/>
  <c r="AW90" i="31"/>
  <c r="AO90" i="31"/>
  <c r="AG90" i="31"/>
  <c r="Y90" i="31"/>
  <c r="Q90" i="31"/>
  <c r="I90" i="31"/>
  <c r="BA89" i="31"/>
  <c r="AS89" i="31"/>
  <c r="AK89" i="31"/>
  <c r="AC89" i="31"/>
  <c r="U89" i="31"/>
  <c r="M89" i="31"/>
  <c r="BE88" i="31"/>
  <c r="AW88" i="31"/>
  <c r="AO88" i="31"/>
  <c r="AG88" i="31"/>
  <c r="Y88" i="31"/>
  <c r="Q88" i="31"/>
  <c r="I88" i="31"/>
  <c r="BA87" i="31"/>
  <c r="AS87" i="31"/>
  <c r="AK87" i="31"/>
  <c r="AC87" i="31"/>
  <c r="U87" i="31"/>
  <c r="M87" i="31"/>
  <c r="BE86" i="31"/>
  <c r="AW86" i="31"/>
  <c r="AO86" i="31"/>
  <c r="AG86" i="31"/>
  <c r="Y86" i="31"/>
  <c r="Q86" i="31"/>
  <c r="I86" i="31"/>
  <c r="BB85" i="31"/>
  <c r="AW85" i="31"/>
  <c r="AR85" i="31"/>
  <c r="AN85" i="31"/>
  <c r="AJ85" i="31"/>
  <c r="AF85" i="31"/>
  <c r="AB85" i="31"/>
  <c r="X85" i="31"/>
  <c r="T85" i="31"/>
  <c r="P85" i="31"/>
  <c r="L85" i="31"/>
  <c r="H85" i="31"/>
  <c r="BD84" i="31"/>
  <c r="AZ84" i="31"/>
  <c r="AV84" i="31"/>
  <c r="AR84" i="31"/>
  <c r="AN84" i="31"/>
  <c r="AJ84" i="31"/>
  <c r="AF84" i="31"/>
  <c r="AB84" i="31"/>
  <c r="X84" i="31"/>
  <c r="T84" i="31"/>
  <c r="P84" i="31"/>
  <c r="L84" i="31"/>
  <c r="H84" i="31"/>
  <c r="BD83" i="31"/>
  <c r="AZ83" i="31"/>
  <c r="AV83" i="31"/>
  <c r="AR83" i="31"/>
  <c r="AN83" i="31"/>
  <c r="AJ83" i="31"/>
  <c r="AF83" i="31"/>
  <c r="AB83" i="31"/>
  <c r="X83" i="31"/>
  <c r="T83" i="31"/>
  <c r="P83" i="31"/>
  <c r="L83" i="31"/>
  <c r="H83" i="31"/>
  <c r="BD82" i="31"/>
  <c r="AZ82" i="31"/>
  <c r="AV82" i="31"/>
  <c r="AR82" i="31"/>
  <c r="AN82" i="31"/>
  <c r="AJ82" i="31"/>
  <c r="AF82" i="31"/>
  <c r="AB82" i="31"/>
  <c r="X82" i="31"/>
  <c r="T82" i="31"/>
  <c r="P82" i="31"/>
  <c r="L82" i="31"/>
  <c r="H82" i="31"/>
  <c r="BD81" i="31"/>
  <c r="AZ81" i="31"/>
  <c r="AV81" i="31"/>
  <c r="AR81" i="31"/>
  <c r="AN81" i="31"/>
  <c r="AJ81" i="31"/>
  <c r="AF81" i="31"/>
  <c r="AB81" i="31"/>
  <c r="X81" i="31"/>
  <c r="T81" i="31"/>
  <c r="P81" i="31"/>
  <c r="L81" i="31"/>
  <c r="H81" i="31"/>
  <c r="BD80" i="31"/>
  <c r="AZ80" i="31"/>
  <c r="AV80" i="31"/>
  <c r="AR80" i="31"/>
  <c r="AN80" i="31"/>
  <c r="AJ80" i="31"/>
  <c r="AF80" i="31"/>
  <c r="AB80" i="31"/>
  <c r="X80" i="31"/>
  <c r="T80" i="31"/>
  <c r="P80" i="31"/>
  <c r="L80" i="31"/>
  <c r="H80" i="31"/>
  <c r="BD79" i="31"/>
  <c r="AZ79" i="31"/>
  <c r="AV79" i="31"/>
  <c r="AR79" i="31"/>
  <c r="AN79" i="31"/>
  <c r="AJ79" i="31"/>
  <c r="AF79" i="31"/>
  <c r="AB79" i="31"/>
  <c r="X79" i="31"/>
  <c r="T79" i="31"/>
  <c r="P79" i="31"/>
  <c r="L79" i="31"/>
  <c r="H79" i="31"/>
  <c r="BD78" i="31"/>
  <c r="AZ78" i="31"/>
  <c r="AV78" i="31"/>
  <c r="AR78" i="31"/>
  <c r="AN78" i="31"/>
  <c r="AJ78" i="31"/>
  <c r="AF78" i="31"/>
  <c r="AB78" i="31"/>
  <c r="X78" i="31"/>
  <c r="T78" i="31"/>
  <c r="P78" i="31"/>
  <c r="L78" i="31"/>
  <c r="H78" i="31"/>
  <c r="BD77" i="31"/>
  <c r="AZ77" i="31"/>
  <c r="AV77" i="31"/>
  <c r="AR77" i="31"/>
  <c r="AN77" i="31"/>
  <c r="AJ77" i="31"/>
  <c r="AF77" i="31"/>
  <c r="AB77" i="31"/>
  <c r="X77" i="31"/>
  <c r="T77" i="31"/>
  <c r="P77" i="31"/>
  <c r="L77" i="31"/>
  <c r="H77" i="31"/>
  <c r="BD76" i="31"/>
  <c r="AZ76" i="31"/>
  <c r="AV76" i="31"/>
  <c r="AR76" i="31"/>
  <c r="AN76" i="31"/>
  <c r="AJ76" i="31"/>
  <c r="AF76" i="31"/>
  <c r="AB76" i="31"/>
  <c r="X76" i="31"/>
  <c r="T76" i="31"/>
  <c r="P76" i="31"/>
  <c r="L76" i="31"/>
  <c r="H76" i="31"/>
  <c r="BD75" i="31"/>
  <c r="AZ75" i="31"/>
  <c r="AV75" i="31"/>
  <c r="AR75" i="31"/>
  <c r="AN75" i="31"/>
  <c r="AJ75" i="31"/>
  <c r="AF75" i="31"/>
  <c r="AB75" i="31"/>
  <c r="X75" i="31"/>
  <c r="T75" i="31"/>
  <c r="P75" i="31"/>
  <c r="L75" i="31"/>
  <c r="H75" i="31"/>
  <c r="BD74" i="31"/>
  <c r="AZ74" i="31"/>
  <c r="AV74" i="31"/>
  <c r="AR74" i="31"/>
  <c r="AN74" i="31"/>
  <c r="AJ74" i="31"/>
  <c r="AF74" i="31"/>
  <c r="AB74" i="31"/>
  <c r="X74" i="31"/>
  <c r="T74" i="31"/>
  <c r="P74" i="31"/>
  <c r="L74" i="31"/>
  <c r="H74" i="31"/>
  <c r="BD73" i="31"/>
  <c r="AZ73" i="31"/>
  <c r="AV73" i="31"/>
  <c r="AR73" i="31"/>
  <c r="AN73" i="31"/>
  <c r="AJ73" i="31"/>
  <c r="AF73" i="31"/>
  <c r="AB73" i="31"/>
  <c r="X73" i="31"/>
  <c r="T73" i="31"/>
  <c r="P73" i="31"/>
  <c r="L73" i="31"/>
  <c r="H73" i="31"/>
  <c r="BD72" i="31"/>
  <c r="AZ72" i="31"/>
  <c r="AV72" i="31"/>
  <c r="AR72" i="31"/>
  <c r="AN72" i="31"/>
  <c r="AJ72" i="31"/>
  <c r="AF72" i="31"/>
  <c r="AB72" i="31"/>
  <c r="X72" i="31"/>
  <c r="T72" i="31"/>
  <c r="P72" i="31"/>
  <c r="L72" i="31"/>
  <c r="H72" i="31"/>
  <c r="BD71" i="31"/>
  <c r="AZ71" i="31"/>
  <c r="AV71" i="31"/>
  <c r="AR71" i="31"/>
  <c r="AN71" i="31"/>
  <c r="AJ71" i="31"/>
  <c r="AF71" i="31"/>
  <c r="AB71" i="31"/>
  <c r="X71" i="31"/>
  <c r="T71" i="31"/>
  <c r="P71" i="31"/>
  <c r="L71" i="31"/>
  <c r="H71" i="31"/>
  <c r="BD70" i="31"/>
  <c r="AZ70" i="31"/>
  <c r="AV70" i="31"/>
  <c r="AR70" i="31"/>
  <c r="AN70" i="31"/>
  <c r="AJ70" i="31"/>
  <c r="AF70" i="31"/>
  <c r="AB70" i="31"/>
  <c r="X70" i="31"/>
  <c r="T70" i="31"/>
  <c r="P70" i="31"/>
  <c r="L70" i="31"/>
  <c r="H70" i="31"/>
  <c r="BD69" i="31"/>
  <c r="AZ69" i="31"/>
  <c r="AV69" i="31"/>
  <c r="AR69" i="31"/>
  <c r="AN69" i="31"/>
  <c r="AJ69" i="31"/>
  <c r="AF69" i="31"/>
  <c r="AB69" i="31"/>
  <c r="X69" i="31"/>
  <c r="T69" i="31"/>
  <c r="P69" i="31"/>
  <c r="L69" i="31"/>
  <c r="H69" i="31"/>
  <c r="BD68" i="31"/>
  <c r="AZ68" i="31"/>
  <c r="AV68" i="31"/>
  <c r="AR68" i="31"/>
  <c r="AN68" i="31"/>
  <c r="AJ68" i="31"/>
  <c r="AF68" i="31"/>
  <c r="AB68" i="31"/>
  <c r="X68" i="31"/>
  <c r="T68" i="31"/>
  <c r="P68" i="31"/>
  <c r="L68" i="31"/>
  <c r="H68" i="31"/>
  <c r="BD67" i="31"/>
  <c r="AZ67" i="31"/>
  <c r="AV67" i="31"/>
  <c r="AR67" i="31"/>
  <c r="AN67" i="31"/>
  <c r="AJ67" i="31"/>
  <c r="AF67" i="31"/>
  <c r="AB67" i="31"/>
  <c r="X67" i="31"/>
  <c r="T67" i="31"/>
  <c r="P67" i="31"/>
  <c r="L67" i="31"/>
  <c r="H67" i="31"/>
  <c r="BD66" i="31"/>
  <c r="AZ66" i="31"/>
  <c r="AV66" i="31"/>
  <c r="AR66" i="31"/>
  <c r="AN66" i="31"/>
  <c r="AJ66" i="31"/>
  <c r="AF66" i="31"/>
  <c r="AB66" i="31"/>
  <c r="X66" i="31"/>
  <c r="T66" i="31"/>
  <c r="P66" i="31"/>
  <c r="L66" i="31"/>
  <c r="H66" i="31"/>
  <c r="BD65" i="31"/>
  <c r="AZ65" i="31"/>
  <c r="AV65" i="31"/>
  <c r="M102" i="31"/>
  <c r="AW101" i="31"/>
  <c r="AG101" i="31"/>
  <c r="Q101" i="31"/>
  <c r="BA100" i="31"/>
  <c r="AK100" i="31"/>
  <c r="U100" i="31"/>
  <c r="BE99" i="31"/>
  <c r="AO99" i="31"/>
  <c r="Y99" i="31"/>
  <c r="I99" i="31"/>
  <c r="AS98" i="31"/>
  <c r="AC98" i="31"/>
  <c r="M98" i="31"/>
  <c r="AW97" i="31"/>
  <c r="AG97" i="31"/>
  <c r="Q97" i="31"/>
  <c r="BA96" i="31"/>
  <c r="AK96" i="31"/>
  <c r="U96" i="31"/>
  <c r="BE95" i="31"/>
  <c r="AO95" i="31"/>
  <c r="Y95" i="31"/>
  <c r="I95" i="31"/>
  <c r="AS94" i="31"/>
  <c r="AC94" i="31"/>
  <c r="N94" i="31"/>
  <c r="BF93" i="31"/>
  <c r="AX93" i="31"/>
  <c r="AP93" i="31"/>
  <c r="AH93" i="31"/>
  <c r="Z93" i="31"/>
  <c r="R93" i="31"/>
  <c r="J93" i="31"/>
  <c r="BB92" i="31"/>
  <c r="AT92" i="31"/>
  <c r="AL92" i="31"/>
  <c r="AD92" i="31"/>
  <c r="V92" i="31"/>
  <c r="N92" i="31"/>
  <c r="BF91" i="31"/>
  <c r="AX91" i="31"/>
  <c r="AP91" i="31"/>
  <c r="AH91" i="31"/>
  <c r="Z91" i="31"/>
  <c r="R91" i="31"/>
  <c r="J91" i="31"/>
  <c r="BB90" i="31"/>
  <c r="AT90" i="31"/>
  <c r="AL90" i="31"/>
  <c r="AD90" i="31"/>
  <c r="V90" i="31"/>
  <c r="N90" i="31"/>
  <c r="BF89" i="31"/>
  <c r="AX89" i="31"/>
  <c r="AP89" i="31"/>
  <c r="AH89" i="31"/>
  <c r="Z89" i="31"/>
  <c r="R89" i="31"/>
  <c r="J89" i="31"/>
  <c r="BB88" i="31"/>
  <c r="AT88" i="31"/>
  <c r="AL88" i="31"/>
  <c r="AD88" i="31"/>
  <c r="V88" i="31"/>
  <c r="N88" i="31"/>
  <c r="BF87" i="31"/>
  <c r="AX87" i="31"/>
  <c r="AP87" i="31"/>
  <c r="AH87" i="31"/>
  <c r="Z87" i="31"/>
  <c r="R87" i="31"/>
  <c r="J87" i="31"/>
  <c r="BB86" i="31"/>
  <c r="AT86" i="31"/>
  <c r="AL86" i="31"/>
  <c r="AD86" i="31"/>
  <c r="V86" i="31"/>
  <c r="N86" i="31"/>
  <c r="BF85" i="31"/>
  <c r="BA85" i="31"/>
  <c r="AU85" i="31"/>
  <c r="AQ85" i="31"/>
  <c r="AM85" i="31"/>
  <c r="AI85" i="31"/>
  <c r="AE85" i="31"/>
  <c r="AA85" i="31"/>
  <c r="W85" i="31"/>
  <c r="S85" i="31"/>
  <c r="O85" i="31"/>
  <c r="K85" i="31"/>
  <c r="BG84" i="31"/>
  <c r="BC84" i="31"/>
  <c r="AY84" i="31"/>
  <c r="AU84" i="31"/>
  <c r="AQ84" i="31"/>
  <c r="AM84" i="31"/>
  <c r="AI84" i="31"/>
  <c r="AE84" i="31"/>
  <c r="AA84" i="31"/>
  <c r="W84" i="31"/>
  <c r="S84" i="31"/>
  <c r="O84" i="31"/>
  <c r="K84" i="31"/>
  <c r="BG83" i="31"/>
  <c r="BC83" i="31"/>
  <c r="AY83" i="31"/>
  <c r="AU83" i="31"/>
  <c r="AQ83" i="31"/>
  <c r="AM83" i="31"/>
  <c r="AI83" i="31"/>
  <c r="AE83" i="31"/>
  <c r="AA83" i="31"/>
  <c r="W83" i="31"/>
  <c r="S83" i="31"/>
  <c r="O83" i="31"/>
  <c r="K83" i="31"/>
  <c r="BG82" i="31"/>
  <c r="BC82" i="31"/>
  <c r="AY82" i="31"/>
  <c r="AU82" i="31"/>
  <c r="AQ82" i="31"/>
  <c r="AM82" i="31"/>
  <c r="AI82" i="31"/>
  <c r="AE82" i="31"/>
  <c r="AA82" i="31"/>
  <c r="W82" i="31"/>
  <c r="S82" i="31"/>
  <c r="O82" i="31"/>
  <c r="K82" i="31"/>
  <c r="BG81" i="31"/>
  <c r="BC81" i="31"/>
  <c r="AY81" i="31"/>
  <c r="AU81" i="31"/>
  <c r="AQ81" i="31"/>
  <c r="AM81" i="31"/>
  <c r="AI81" i="31"/>
  <c r="AE81" i="31"/>
  <c r="AA81" i="31"/>
  <c r="W81" i="31"/>
  <c r="S81" i="31"/>
  <c r="O81" i="31"/>
  <c r="K81" i="31"/>
  <c r="BG80" i="31"/>
  <c r="BC80" i="31"/>
  <c r="AY80" i="31"/>
  <c r="AU80" i="31"/>
  <c r="AQ80" i="31"/>
  <c r="AM80" i="31"/>
  <c r="AI80" i="31"/>
  <c r="AE80" i="31"/>
  <c r="AA80" i="31"/>
  <c r="W80" i="31"/>
  <c r="S80" i="31"/>
  <c r="O80" i="31"/>
  <c r="K80" i="31"/>
  <c r="BG79" i="31"/>
  <c r="BC79" i="31"/>
  <c r="AY79" i="31"/>
  <c r="AU79" i="31"/>
  <c r="AQ79" i="31"/>
  <c r="AM79" i="31"/>
  <c r="AI79" i="31"/>
  <c r="AE79" i="31"/>
  <c r="AA79" i="31"/>
  <c r="W79" i="31"/>
  <c r="S79" i="31"/>
  <c r="O79" i="31"/>
  <c r="K79" i="31"/>
  <c r="BG78" i="31"/>
  <c r="BC78" i="31"/>
  <c r="AY78" i="31"/>
  <c r="AU78" i="31"/>
  <c r="AQ78" i="31"/>
  <c r="AM78" i="31"/>
  <c r="AI78" i="31"/>
  <c r="AE78" i="31"/>
  <c r="AA78" i="31"/>
  <c r="W78" i="31"/>
  <c r="S78" i="31"/>
  <c r="O78" i="31"/>
  <c r="K78" i="31"/>
  <c r="BG77" i="31"/>
  <c r="BC77" i="31"/>
  <c r="AY77" i="31"/>
  <c r="AU77" i="31"/>
  <c r="AQ77" i="31"/>
  <c r="AM77" i="31"/>
  <c r="AI77" i="31"/>
  <c r="AE77" i="31"/>
  <c r="AA77" i="31"/>
  <c r="W77" i="31"/>
  <c r="S77" i="31"/>
  <c r="O77" i="31"/>
  <c r="K77" i="31"/>
  <c r="BG76" i="31"/>
  <c r="BC76" i="31"/>
  <c r="AY76" i="31"/>
  <c r="AU76" i="31"/>
  <c r="AQ76" i="31"/>
  <c r="AM76" i="31"/>
  <c r="AI76" i="31"/>
  <c r="AE76" i="31"/>
  <c r="AA76" i="31"/>
  <c r="W76" i="31"/>
  <c r="S76" i="31"/>
  <c r="O76" i="31"/>
  <c r="K76" i="31"/>
  <c r="BG75" i="31"/>
  <c r="BC75" i="31"/>
  <c r="AY75" i="31"/>
  <c r="AU75" i="31"/>
  <c r="AQ75" i="31"/>
  <c r="AM75" i="31"/>
  <c r="AI75" i="31"/>
  <c r="AE75" i="31"/>
  <c r="AA75" i="31"/>
  <c r="W75" i="31"/>
  <c r="S75" i="31"/>
  <c r="O75" i="31"/>
  <c r="K75" i="31"/>
  <c r="BG74" i="31"/>
  <c r="BC74" i="31"/>
  <c r="AY74" i="31"/>
  <c r="AU74" i="31"/>
  <c r="AQ74" i="31"/>
  <c r="AM74" i="31"/>
  <c r="AI74" i="31"/>
  <c r="AE74" i="31"/>
  <c r="AA74" i="31"/>
  <c r="W74" i="31"/>
  <c r="S74" i="31"/>
  <c r="O74" i="31"/>
  <c r="K74" i="31"/>
  <c r="BG73" i="31"/>
  <c r="BC73" i="31"/>
  <c r="AY73" i="31"/>
  <c r="AU73" i="31"/>
  <c r="AQ73" i="31"/>
  <c r="AM73" i="31"/>
  <c r="AI73" i="31"/>
  <c r="AE73" i="31"/>
  <c r="AA73" i="31"/>
  <c r="W73" i="31"/>
  <c r="S73" i="31"/>
  <c r="O73" i="31"/>
  <c r="K73" i="31"/>
  <c r="BG72" i="31"/>
  <c r="BC72" i="31"/>
  <c r="AY72" i="31"/>
  <c r="AU72" i="31"/>
  <c r="AQ72" i="31"/>
  <c r="AM72" i="31"/>
  <c r="AI72" i="31"/>
  <c r="AE72" i="31"/>
  <c r="AA72" i="31"/>
  <c r="W72" i="31"/>
  <c r="S72" i="31"/>
  <c r="O72" i="31"/>
  <c r="K72" i="31"/>
  <c r="BG71" i="31"/>
  <c r="BC71" i="31"/>
  <c r="AY71" i="31"/>
  <c r="AU71" i="31"/>
  <c r="AQ71" i="31"/>
  <c r="AM71" i="31"/>
  <c r="AI71" i="31"/>
  <c r="AE71" i="31"/>
  <c r="AA71" i="31"/>
  <c r="W71" i="31"/>
  <c r="S71" i="31"/>
  <c r="O71" i="31"/>
  <c r="K71" i="31"/>
  <c r="BG70" i="31"/>
  <c r="BC70" i="31"/>
  <c r="AY70" i="31"/>
  <c r="AU70" i="31"/>
  <c r="AQ70" i="31"/>
  <c r="AM70" i="31"/>
  <c r="AI70" i="31"/>
  <c r="AE70" i="31"/>
  <c r="AA70" i="31"/>
  <c r="W70" i="31"/>
  <c r="S70" i="31"/>
  <c r="O70" i="31"/>
  <c r="K70" i="31"/>
  <c r="BG69" i="31"/>
  <c r="BC69" i="31"/>
  <c r="AY69" i="31"/>
  <c r="AU69" i="31"/>
  <c r="AQ69" i="31"/>
  <c r="AM69" i="31"/>
  <c r="AI69" i="31"/>
  <c r="AE69" i="31"/>
  <c r="AA69" i="31"/>
  <c r="W69" i="31"/>
  <c r="S69" i="31"/>
  <c r="O69" i="31"/>
  <c r="K69" i="31"/>
  <c r="BG68" i="31"/>
  <c r="BC68" i="31"/>
  <c r="AY68" i="31"/>
  <c r="AU68" i="31"/>
  <c r="AQ68" i="31"/>
  <c r="AM68" i="31"/>
  <c r="AI68" i="31"/>
  <c r="AE68" i="31"/>
  <c r="AA68" i="31"/>
  <c r="W68" i="31"/>
  <c r="S68" i="31"/>
  <c r="O68" i="31"/>
  <c r="K68" i="31"/>
  <c r="BG67" i="31"/>
  <c r="BC67" i="31"/>
  <c r="AY67" i="31"/>
  <c r="AU67" i="31"/>
  <c r="AQ67" i="31"/>
  <c r="AM67" i="31"/>
  <c r="AI67" i="31"/>
  <c r="AE67" i="31"/>
  <c r="AA67" i="31"/>
  <c r="W67" i="31"/>
  <c r="S67" i="31"/>
  <c r="O67" i="31"/>
  <c r="K67" i="31"/>
  <c r="BG66" i="31"/>
  <c r="BC66" i="31"/>
  <c r="AY66" i="31"/>
  <c r="AU66" i="31"/>
  <c r="AQ66" i="31"/>
  <c r="AM66" i="31"/>
  <c r="AI66" i="31"/>
  <c r="AE66" i="31"/>
  <c r="AA66" i="31"/>
  <c r="W66" i="31"/>
  <c r="S66" i="31"/>
  <c r="O66" i="31"/>
  <c r="K66" i="31"/>
  <c r="BG65" i="31"/>
  <c r="BC65" i="31"/>
  <c r="AY65" i="31"/>
  <c r="AH81" i="31"/>
  <c r="R81" i="31"/>
  <c r="BB80" i="31"/>
  <c r="AL80" i="31"/>
  <c r="V80" i="31"/>
  <c r="BF79" i="31"/>
  <c r="AP79" i="31"/>
  <c r="Z79" i="31"/>
  <c r="J79" i="31"/>
  <c r="AT78" i="31"/>
  <c r="AD78" i="31"/>
  <c r="N78" i="31"/>
  <c r="AX77" i="31"/>
  <c r="AH77" i="31"/>
  <c r="U77" i="31"/>
  <c r="M77" i="31"/>
  <c r="BE76" i="31"/>
  <c r="AW76" i="31"/>
  <c r="AO76" i="31"/>
  <c r="AG76" i="31"/>
  <c r="Y76" i="31"/>
  <c r="Q76" i="31"/>
  <c r="I76" i="31"/>
  <c r="BA75" i="31"/>
  <c r="AS75" i="31"/>
  <c r="AK75" i="31"/>
  <c r="AC75" i="31"/>
  <c r="U75" i="31"/>
  <c r="M75" i="31"/>
  <c r="BE74" i="31"/>
  <c r="AW74" i="31"/>
  <c r="AO74" i="31"/>
  <c r="AG74" i="31"/>
  <c r="Y74" i="31"/>
  <c r="Q74" i="31"/>
  <c r="I74" i="31"/>
  <c r="BA73" i="31"/>
  <c r="AS73" i="31"/>
  <c r="AK73" i="31"/>
  <c r="AC73" i="31"/>
  <c r="U73" i="31"/>
  <c r="M73" i="31"/>
  <c r="BE72" i="31"/>
  <c r="AW72" i="31"/>
  <c r="AO72" i="31"/>
  <c r="AG72" i="31"/>
  <c r="Y72" i="31"/>
  <c r="Q72" i="31"/>
  <c r="I72" i="31"/>
  <c r="BA71" i="31"/>
  <c r="AS71" i="31"/>
  <c r="AK71" i="31"/>
  <c r="AC71" i="31"/>
  <c r="U71" i="31"/>
  <c r="M71" i="31"/>
  <c r="BE70" i="31"/>
  <c r="AW70" i="31"/>
  <c r="AO70" i="31"/>
  <c r="AG70" i="31"/>
  <c r="Y70" i="31"/>
  <c r="Q70" i="31"/>
  <c r="I70" i="31"/>
  <c r="BA69" i="31"/>
  <c r="AS69" i="31"/>
  <c r="AK69" i="31"/>
  <c r="AC69" i="31"/>
  <c r="U69" i="31"/>
  <c r="M69" i="31"/>
  <c r="BE68" i="31"/>
  <c r="AW68" i="31"/>
  <c r="AO68" i="31"/>
  <c r="AG68" i="31"/>
  <c r="Y68" i="31"/>
  <c r="Q68" i="31"/>
  <c r="I68" i="31"/>
  <c r="BA67" i="31"/>
  <c r="AS67" i="31"/>
  <c r="AK67" i="31"/>
  <c r="AC67" i="31"/>
  <c r="U67" i="31"/>
  <c r="M67" i="31"/>
  <c r="BE66" i="31"/>
  <c r="AW66" i="31"/>
  <c r="AO66" i="31"/>
  <c r="AG66" i="31"/>
  <c r="Y66" i="31"/>
  <c r="Q66" i="31"/>
  <c r="I66" i="31"/>
  <c r="BA65" i="31"/>
  <c r="AT65" i="31"/>
  <c r="AP65" i="31"/>
  <c r="AL65" i="31"/>
  <c r="AH65" i="31"/>
  <c r="AD65" i="31"/>
  <c r="Z65" i="31"/>
  <c r="V65" i="31"/>
  <c r="R65" i="31"/>
  <c r="N65" i="31"/>
  <c r="J65" i="31"/>
  <c r="BF64" i="31"/>
  <c r="BB64" i="31"/>
  <c r="AX64" i="31"/>
  <c r="AT64" i="31"/>
  <c r="AP64" i="31"/>
  <c r="AL64" i="31"/>
  <c r="AH64" i="31"/>
  <c r="AD64" i="31"/>
  <c r="Z64" i="31"/>
  <c r="V64" i="31"/>
  <c r="R64" i="31"/>
  <c r="N64" i="31"/>
  <c r="J64" i="31"/>
  <c r="BF63" i="31"/>
  <c r="BB63" i="31"/>
  <c r="AX63" i="31"/>
  <c r="AT63" i="31"/>
  <c r="AP63" i="31"/>
  <c r="AL63" i="31"/>
  <c r="AH63" i="31"/>
  <c r="AD63" i="31"/>
  <c r="Z63" i="31"/>
  <c r="V63" i="31"/>
  <c r="R63" i="31"/>
  <c r="N63" i="31"/>
  <c r="J63" i="31"/>
  <c r="BF62" i="31"/>
  <c r="BB62" i="31"/>
  <c r="AX62" i="31"/>
  <c r="AT62" i="31"/>
  <c r="AP62" i="31"/>
  <c r="AL62" i="31"/>
  <c r="AH62" i="31"/>
  <c r="AD62" i="31"/>
  <c r="Z62" i="31"/>
  <c r="V62" i="31"/>
  <c r="R62" i="31"/>
  <c r="N62" i="31"/>
  <c r="J62" i="31"/>
  <c r="BF61" i="31"/>
  <c r="BB61" i="31"/>
  <c r="AX61" i="31"/>
  <c r="AT61" i="31"/>
  <c r="AP61" i="31"/>
  <c r="AL61" i="31"/>
  <c r="AH61" i="31"/>
  <c r="AD61" i="31"/>
  <c r="Z61" i="31"/>
  <c r="V61" i="31"/>
  <c r="R61" i="31"/>
  <c r="N61" i="31"/>
  <c r="J61" i="31"/>
  <c r="BF60" i="31"/>
  <c r="BB60" i="31"/>
  <c r="AX60" i="31"/>
  <c r="AT60" i="31"/>
  <c r="AP60" i="31"/>
  <c r="AL60" i="31"/>
  <c r="AH60" i="31"/>
  <c r="AD60" i="31"/>
  <c r="Z60" i="31"/>
  <c r="V60" i="31"/>
  <c r="R60" i="31"/>
  <c r="N60" i="31"/>
  <c r="J60" i="31"/>
  <c r="BF59" i="31"/>
  <c r="BB59" i="31"/>
  <c r="AX59" i="31"/>
  <c r="AT59" i="31"/>
  <c r="AP59" i="31"/>
  <c r="AL59" i="31"/>
  <c r="AH59" i="31"/>
  <c r="AD59" i="31"/>
  <c r="Z59" i="31"/>
  <c r="V59" i="31"/>
  <c r="R59" i="31"/>
  <c r="N59" i="31"/>
  <c r="J59" i="31"/>
  <c r="BF58" i="31"/>
  <c r="BB58" i="31"/>
  <c r="AX58" i="31"/>
  <c r="AT58" i="31"/>
  <c r="AP58" i="31"/>
  <c r="AL58" i="31"/>
  <c r="AH58" i="31"/>
  <c r="AD58" i="31"/>
  <c r="Z58" i="31"/>
  <c r="V58" i="31"/>
  <c r="R58" i="31"/>
  <c r="N58" i="31"/>
  <c r="J58" i="31"/>
  <c r="BF57" i="31"/>
  <c r="BB57" i="31"/>
  <c r="AX57" i="31"/>
  <c r="AT57" i="31"/>
  <c r="AP57" i="31"/>
  <c r="AL57" i="31"/>
  <c r="AH57" i="31"/>
  <c r="AD57" i="31"/>
  <c r="Z57" i="31"/>
  <c r="V57" i="31"/>
  <c r="R57" i="31"/>
  <c r="N57" i="31"/>
  <c r="J57" i="31"/>
  <c r="BF56" i="31"/>
  <c r="BB56" i="31"/>
  <c r="AX56" i="31"/>
  <c r="AT56" i="31"/>
  <c r="AP56" i="31"/>
  <c r="AL56" i="31"/>
  <c r="AH56" i="31"/>
  <c r="AD56" i="31"/>
  <c r="Z56" i="31"/>
  <c r="V56" i="31"/>
  <c r="R56" i="31"/>
  <c r="N56" i="31"/>
  <c r="J56" i="31"/>
  <c r="BF55" i="31"/>
  <c r="BB55" i="31"/>
  <c r="AX55" i="31"/>
  <c r="AT55" i="31"/>
  <c r="AP55" i="31"/>
  <c r="AL55" i="31"/>
  <c r="AH55" i="31"/>
  <c r="AD55" i="31"/>
  <c r="Z55" i="31"/>
  <c r="V55" i="31"/>
  <c r="R55" i="31"/>
  <c r="N55" i="31"/>
  <c r="J55" i="31"/>
  <c r="BF54" i="31"/>
  <c r="BB54" i="31"/>
  <c r="AX54" i="31"/>
  <c r="AT54" i="31"/>
  <c r="AP54" i="31"/>
  <c r="AL54" i="31"/>
  <c r="AH54" i="31"/>
  <c r="AD54" i="31"/>
  <c r="Z54" i="31"/>
  <c r="V54" i="31"/>
  <c r="R54" i="31"/>
  <c r="N54" i="31"/>
  <c r="J54" i="31"/>
  <c r="BF53" i="31"/>
  <c r="BB53" i="31"/>
  <c r="AX53" i="31"/>
  <c r="AT53" i="31"/>
  <c r="AP53" i="31"/>
  <c r="AL53" i="31"/>
  <c r="AH53" i="31"/>
  <c r="AD53" i="31"/>
  <c r="Z53" i="31"/>
  <c r="V53" i="31"/>
  <c r="R53" i="31"/>
  <c r="N53" i="31"/>
  <c r="J53" i="31"/>
  <c r="BF52" i="31"/>
  <c r="BB52" i="31"/>
  <c r="AX52" i="31"/>
  <c r="AT52" i="31"/>
  <c r="AP52" i="31"/>
  <c r="AL52" i="31"/>
  <c r="AH52" i="31"/>
  <c r="AD52" i="31"/>
  <c r="Z52" i="31"/>
  <c r="V52" i="31"/>
  <c r="R52" i="31"/>
  <c r="N52" i="31"/>
  <c r="J52" i="31"/>
  <c r="BF51" i="31"/>
  <c r="BB51" i="31"/>
  <c r="AX51" i="31"/>
  <c r="AT51" i="31"/>
  <c r="AP51" i="31"/>
  <c r="AL51" i="31"/>
  <c r="AH51" i="31"/>
  <c r="AD51" i="31"/>
  <c r="Z51" i="31"/>
  <c r="V51" i="31"/>
  <c r="R51" i="31"/>
  <c r="N51" i="31"/>
  <c r="J51" i="31"/>
  <c r="BF50" i="31"/>
  <c r="BB50" i="31"/>
  <c r="AX50" i="31"/>
  <c r="AT50" i="31"/>
  <c r="AP50" i="31"/>
  <c r="AL50" i="31"/>
  <c r="AH50" i="31"/>
  <c r="AD50" i="31"/>
  <c r="Z50" i="31"/>
  <c r="V50" i="31"/>
  <c r="R50" i="31"/>
  <c r="N50" i="31"/>
  <c r="J50" i="31"/>
  <c r="BF49" i="31"/>
  <c r="BB49" i="31"/>
  <c r="AX49" i="31"/>
  <c r="AT49" i="31"/>
  <c r="AP49" i="31"/>
  <c r="AL49" i="31"/>
  <c r="AH49" i="31"/>
  <c r="AD49" i="31"/>
  <c r="Z49" i="31"/>
  <c r="V49" i="31"/>
  <c r="R49" i="31"/>
  <c r="N49" i="31"/>
  <c r="J49" i="31"/>
  <c r="BF48" i="31"/>
  <c r="BB48" i="31"/>
  <c r="AX48" i="31"/>
  <c r="AT48" i="31"/>
  <c r="AP48" i="31"/>
  <c r="AL48" i="31"/>
  <c r="AH48" i="31"/>
  <c r="AD48" i="31"/>
  <c r="Z48" i="31"/>
  <c r="V48" i="31"/>
  <c r="R48" i="31"/>
  <c r="N48" i="31"/>
  <c r="J48" i="31"/>
  <c r="BF47" i="31"/>
  <c r="BB47" i="31"/>
  <c r="AX47" i="31"/>
  <c r="AT47" i="31"/>
  <c r="AP47" i="31"/>
  <c r="AL47" i="31"/>
  <c r="AH47" i="31"/>
  <c r="AD47" i="31"/>
  <c r="Z47" i="31"/>
  <c r="V47" i="31"/>
  <c r="R47" i="31"/>
  <c r="N47" i="31"/>
  <c r="J47" i="31"/>
  <c r="BF46" i="31"/>
  <c r="BB46" i="31"/>
  <c r="AX46" i="31"/>
  <c r="AT46" i="31"/>
  <c r="AP46" i="31"/>
  <c r="AL46" i="31"/>
  <c r="AH46" i="31"/>
  <c r="AD46" i="31"/>
  <c r="Z46" i="31"/>
  <c r="V46" i="31"/>
  <c r="R46" i="31"/>
  <c r="N46" i="31"/>
  <c r="J46" i="31"/>
  <c r="BF45" i="31"/>
  <c r="BB45" i="31"/>
  <c r="AX45" i="31"/>
  <c r="AT45" i="31"/>
  <c r="AP45" i="31"/>
  <c r="AL45" i="31"/>
  <c r="AH45" i="31"/>
  <c r="AD45" i="31"/>
  <c r="Z45" i="31"/>
  <c r="V45" i="31"/>
  <c r="R45" i="31"/>
  <c r="N45" i="31"/>
  <c r="J45" i="31"/>
  <c r="BF44" i="31"/>
  <c r="BB44" i="31"/>
  <c r="AX44" i="31"/>
  <c r="AT44" i="31"/>
  <c r="AP44" i="31"/>
  <c r="AL44" i="31"/>
  <c r="AH44" i="31"/>
  <c r="AD44" i="31"/>
  <c r="Z44" i="31"/>
  <c r="V44" i="31"/>
  <c r="R44" i="31"/>
  <c r="N44" i="31"/>
  <c r="J44" i="31"/>
  <c r="BF43" i="31"/>
  <c r="BB43" i="31"/>
  <c r="AX43" i="31"/>
  <c r="AT43" i="31"/>
  <c r="AP43" i="31"/>
  <c r="AL43" i="31"/>
  <c r="AH43" i="31"/>
  <c r="AD43" i="31"/>
  <c r="Z43" i="31"/>
  <c r="V43" i="31"/>
  <c r="R43" i="31"/>
  <c r="N43" i="31"/>
  <c r="J43" i="31"/>
  <c r="BF42" i="31"/>
  <c r="BB42" i="31"/>
  <c r="AX42" i="31"/>
  <c r="AT42" i="31"/>
  <c r="AP42" i="31"/>
  <c r="AL42" i="31"/>
  <c r="AH42" i="31"/>
  <c r="AD42" i="31"/>
  <c r="Z42" i="31"/>
  <c r="V42" i="31"/>
  <c r="R42" i="31"/>
  <c r="N42" i="31"/>
  <c r="J42" i="31"/>
  <c r="BF41" i="31"/>
  <c r="BB41" i="31"/>
  <c r="AX41" i="31"/>
  <c r="AT41" i="31"/>
  <c r="AP41" i="31"/>
  <c r="AL41" i="31"/>
  <c r="AH41" i="31"/>
  <c r="AD41" i="31"/>
  <c r="Z41" i="31"/>
  <c r="V41" i="31"/>
  <c r="R41" i="31"/>
  <c r="N41" i="31"/>
  <c r="J41" i="31"/>
  <c r="BF40" i="31"/>
  <c r="BB40" i="31"/>
  <c r="AX40" i="31"/>
  <c r="AT40" i="31"/>
  <c r="AP40" i="31"/>
  <c r="AL40" i="31"/>
  <c r="AH40" i="31"/>
  <c r="AD40" i="31"/>
  <c r="Z40" i="31"/>
  <c r="V40" i="31"/>
  <c r="R40" i="31"/>
  <c r="N40" i="31"/>
  <c r="J40" i="31"/>
  <c r="BF39" i="31"/>
  <c r="BB39" i="31"/>
  <c r="AX39" i="31"/>
  <c r="AT39" i="31"/>
  <c r="AP39" i="31"/>
  <c r="AL39" i="31"/>
  <c r="AH39" i="31"/>
  <c r="AD39" i="31"/>
  <c r="Z39" i="31"/>
  <c r="V39" i="31"/>
  <c r="R39" i="31"/>
  <c r="N39" i="31"/>
  <c r="J39" i="31"/>
  <c r="BF38" i="31"/>
  <c r="BB38" i="31"/>
  <c r="AX38" i="31"/>
  <c r="AT38" i="31"/>
  <c r="AP38" i="31"/>
  <c r="AL38" i="31"/>
  <c r="AH38" i="31"/>
  <c r="AD38" i="31"/>
  <c r="Z38" i="31"/>
  <c r="V38" i="31"/>
  <c r="R38" i="31"/>
  <c r="N38" i="31"/>
  <c r="J38" i="31"/>
  <c r="BF37" i="31"/>
  <c r="BB37" i="31"/>
  <c r="AX37" i="31"/>
  <c r="AT37" i="31"/>
  <c r="AP37" i="31"/>
  <c r="AL37" i="31"/>
  <c r="AH37" i="31"/>
  <c r="AD37" i="31"/>
  <c r="Z37" i="31"/>
  <c r="V37" i="31"/>
  <c r="R37" i="31"/>
  <c r="N37" i="31"/>
  <c r="J37" i="31"/>
  <c r="BF36" i="31"/>
  <c r="BB36" i="31"/>
  <c r="AX36" i="31"/>
  <c r="AT36" i="31"/>
  <c r="AP36" i="31"/>
  <c r="AL36" i="31"/>
  <c r="AH36" i="31"/>
  <c r="AD36" i="31"/>
  <c r="Z36" i="31"/>
  <c r="V36" i="31"/>
  <c r="R36" i="31"/>
  <c r="N36" i="31"/>
  <c r="J36" i="31"/>
  <c r="BF35" i="31"/>
  <c r="BB35" i="31"/>
  <c r="AX35" i="31"/>
  <c r="AT35" i="31"/>
  <c r="AP35" i="31"/>
  <c r="AL35" i="31"/>
  <c r="AH35" i="31"/>
  <c r="AD35" i="31"/>
  <c r="Z35" i="31"/>
  <c r="V35" i="31"/>
  <c r="R35" i="31"/>
  <c r="N35" i="31"/>
  <c r="J35" i="31"/>
  <c r="BF34" i="31"/>
  <c r="BB34" i="31"/>
  <c r="AX34" i="31"/>
  <c r="AT34" i="31"/>
  <c r="AP34" i="31"/>
  <c r="AL34" i="31"/>
  <c r="AH34" i="31"/>
  <c r="AD34" i="31"/>
  <c r="Z34" i="31"/>
  <c r="V34" i="31"/>
  <c r="R34" i="31"/>
  <c r="N34" i="31"/>
  <c r="J34" i="31"/>
  <c r="BF33" i="31"/>
  <c r="BB33" i="31"/>
  <c r="AX33" i="31"/>
  <c r="AT33" i="31"/>
  <c r="AP33" i="31"/>
  <c r="AL33" i="31"/>
  <c r="AH33" i="31"/>
  <c r="AD33" i="31"/>
  <c r="Z33" i="31"/>
  <c r="V33" i="31"/>
  <c r="R33" i="31"/>
  <c r="N33" i="31"/>
  <c r="J33" i="31"/>
  <c r="BF32" i="31"/>
  <c r="BB32" i="31"/>
  <c r="AX32" i="31"/>
  <c r="AT32" i="31"/>
  <c r="AP32" i="31"/>
  <c r="AL32" i="31"/>
  <c r="AH32" i="31"/>
  <c r="AD32" i="31"/>
  <c r="Z32" i="31"/>
  <c r="V32" i="31"/>
  <c r="R32" i="31"/>
  <c r="N32" i="31"/>
  <c r="J32" i="31"/>
  <c r="BF31" i="31"/>
  <c r="BB31" i="31"/>
  <c r="AX31" i="31"/>
  <c r="AT31" i="31"/>
  <c r="AP31" i="31"/>
  <c r="AL31" i="31"/>
  <c r="AH31" i="31"/>
  <c r="AD31" i="31"/>
  <c r="Z31" i="31"/>
  <c r="V31" i="31"/>
  <c r="R31" i="31"/>
  <c r="N31" i="31"/>
  <c r="J31" i="31"/>
  <c r="BF30" i="31"/>
  <c r="BB30" i="31"/>
  <c r="AX30" i="31"/>
  <c r="AT30" i="31"/>
  <c r="AP30" i="31"/>
  <c r="AL30" i="31"/>
  <c r="AH30" i="31"/>
  <c r="AD30" i="31"/>
  <c r="Z30" i="31"/>
  <c r="V30" i="31"/>
  <c r="R30" i="31"/>
  <c r="N30" i="31"/>
  <c r="J30" i="31"/>
  <c r="BF29" i="31"/>
  <c r="BB29" i="31"/>
  <c r="AX29" i="31"/>
  <c r="AT29" i="31"/>
  <c r="AP29" i="31"/>
  <c r="AL29" i="31"/>
  <c r="AH29" i="31"/>
  <c r="AD29" i="31"/>
  <c r="Z29" i="31"/>
  <c r="V29" i="31"/>
  <c r="R29" i="31"/>
  <c r="N29" i="31"/>
  <c r="J29" i="31"/>
  <c r="BF28" i="31"/>
  <c r="BB28" i="31"/>
  <c r="AX28" i="31"/>
  <c r="AT28" i="31"/>
  <c r="AP28" i="31"/>
  <c r="AL28" i="31"/>
  <c r="AH28" i="31"/>
  <c r="AD28" i="31"/>
  <c r="Z28" i="31"/>
  <c r="V28" i="31"/>
  <c r="R28" i="31"/>
  <c r="N28" i="31"/>
  <c r="J28" i="31"/>
  <c r="BF27" i="31"/>
  <c r="BB27" i="31"/>
  <c r="AX27" i="31"/>
  <c r="AT27" i="31"/>
  <c r="AP27" i="31"/>
  <c r="AL27" i="31"/>
  <c r="AH27" i="31"/>
  <c r="AD27" i="31"/>
  <c r="Z27" i="31"/>
  <c r="V27" i="31"/>
  <c r="R27" i="31"/>
  <c r="N27" i="31"/>
  <c r="J27" i="31"/>
  <c r="BF26" i="31"/>
  <c r="BB26" i="31"/>
  <c r="AX26" i="31"/>
  <c r="AT26" i="31"/>
  <c r="AP26" i="31"/>
  <c r="AL26" i="31"/>
  <c r="AH26" i="31"/>
  <c r="AD26" i="31"/>
  <c r="Z26" i="31"/>
  <c r="V26" i="31"/>
  <c r="R26" i="31"/>
  <c r="N26" i="31"/>
  <c r="J26" i="31"/>
  <c r="BF25" i="31"/>
  <c r="BB25" i="31"/>
  <c r="AX25" i="31"/>
  <c r="AT25" i="31"/>
  <c r="AP25" i="31"/>
  <c r="AL25" i="31"/>
  <c r="AH25" i="31"/>
  <c r="AD25" i="31"/>
  <c r="Z25" i="31"/>
  <c r="V25" i="31"/>
  <c r="R25" i="31"/>
  <c r="N25" i="31"/>
  <c r="J25" i="31"/>
  <c r="BF24" i="31"/>
  <c r="BB24" i="31"/>
  <c r="AX24" i="31"/>
  <c r="AT24" i="31"/>
  <c r="AP24" i="31"/>
  <c r="AL24" i="31"/>
  <c r="AH24" i="31"/>
  <c r="AD24" i="31"/>
  <c r="Z24" i="31"/>
  <c r="V24" i="31"/>
  <c r="R24" i="31"/>
  <c r="N24" i="31"/>
  <c r="J24" i="31"/>
  <c r="BF23" i="31"/>
  <c r="BB23" i="31"/>
  <c r="AX23" i="31"/>
  <c r="AT23" i="31"/>
  <c r="AP23" i="31"/>
  <c r="AL23" i="31"/>
  <c r="AH23" i="31"/>
  <c r="AD23" i="31"/>
  <c r="Z23" i="31"/>
  <c r="V23" i="31"/>
  <c r="R23" i="31"/>
  <c r="N23" i="31"/>
  <c r="J23" i="31"/>
  <c r="BF22" i="31"/>
  <c r="BB22" i="31"/>
  <c r="AX22" i="31"/>
  <c r="AT22" i="31"/>
  <c r="AP22" i="31"/>
  <c r="AL22" i="31"/>
  <c r="AH22" i="31"/>
  <c r="AD22" i="31"/>
  <c r="Z22" i="31"/>
  <c r="V22" i="31"/>
  <c r="R22" i="31"/>
  <c r="N22" i="31"/>
  <c r="J22" i="31"/>
  <c r="BF21" i="31"/>
  <c r="BB21" i="31"/>
  <c r="AX21" i="31"/>
  <c r="AT21" i="31"/>
  <c r="AP21" i="31"/>
  <c r="AL21" i="31"/>
  <c r="AH21" i="31"/>
  <c r="AD21" i="31"/>
  <c r="Z21" i="31"/>
  <c r="V21" i="31"/>
  <c r="R21" i="31"/>
  <c r="N21" i="31"/>
  <c r="J21" i="31"/>
  <c r="BF20" i="31"/>
  <c r="BB20" i="31"/>
  <c r="AX20" i="31"/>
  <c r="AT20" i="31"/>
  <c r="AP20" i="31"/>
  <c r="AL20" i="31"/>
  <c r="AH20" i="31"/>
  <c r="AD20" i="31"/>
  <c r="Z20" i="31"/>
  <c r="V20" i="31"/>
  <c r="R20" i="31"/>
  <c r="AD81" i="31"/>
  <c r="N81" i="31"/>
  <c r="AX80" i="31"/>
  <c r="AH80" i="31"/>
  <c r="R80" i="31"/>
  <c r="BB79" i="31"/>
  <c r="AL79" i="31"/>
  <c r="V79" i="31"/>
  <c r="BF78" i="31"/>
  <c r="AP78" i="31"/>
  <c r="Z78" i="31"/>
  <c r="J78" i="31"/>
  <c r="AT77" i="31"/>
  <c r="AD77" i="31"/>
  <c r="R77" i="31"/>
  <c r="J77" i="31"/>
  <c r="BB76" i="31"/>
  <c r="AT76" i="31"/>
  <c r="AL76" i="31"/>
  <c r="AD76" i="31"/>
  <c r="V76" i="31"/>
  <c r="N76" i="31"/>
  <c r="BF75" i="31"/>
  <c r="AX75" i="31"/>
  <c r="AP75" i="31"/>
  <c r="AH75" i="31"/>
  <c r="Z75" i="31"/>
  <c r="R75" i="31"/>
  <c r="J75" i="31"/>
  <c r="BB74" i="31"/>
  <c r="AT74" i="31"/>
  <c r="AL74" i="31"/>
  <c r="AD74" i="31"/>
  <c r="V74" i="31"/>
  <c r="N74" i="31"/>
  <c r="BF73" i="31"/>
  <c r="AX73" i="31"/>
  <c r="AP73" i="31"/>
  <c r="AH73" i="31"/>
  <c r="Z73" i="31"/>
  <c r="R73" i="31"/>
  <c r="J73" i="31"/>
  <c r="BB72" i="31"/>
  <c r="AT72" i="31"/>
  <c r="AL72" i="31"/>
  <c r="AD72" i="31"/>
  <c r="V72" i="31"/>
  <c r="N72" i="31"/>
  <c r="BF71" i="31"/>
  <c r="AX71" i="31"/>
  <c r="AP71" i="31"/>
  <c r="AH71" i="31"/>
  <c r="Z71" i="31"/>
  <c r="R71" i="31"/>
  <c r="J71" i="31"/>
  <c r="BB70" i="31"/>
  <c r="AT70" i="31"/>
  <c r="AL70" i="31"/>
  <c r="AD70" i="31"/>
  <c r="V70" i="31"/>
  <c r="N70" i="31"/>
  <c r="BF69" i="31"/>
  <c r="AX69" i="31"/>
  <c r="AP69" i="31"/>
  <c r="AH69" i="31"/>
  <c r="Z69" i="31"/>
  <c r="R69" i="31"/>
  <c r="J69" i="31"/>
  <c r="BB68" i="31"/>
  <c r="AT68" i="31"/>
  <c r="AL68" i="31"/>
  <c r="AD68" i="31"/>
  <c r="V68" i="31"/>
  <c r="N68" i="31"/>
  <c r="BF67" i="31"/>
  <c r="AX67" i="31"/>
  <c r="AP67" i="31"/>
  <c r="AH67" i="31"/>
  <c r="Z67" i="31"/>
  <c r="R67" i="31"/>
  <c r="J67" i="31"/>
  <c r="BB66" i="31"/>
  <c r="AT66" i="31"/>
  <c r="AL66" i="31"/>
  <c r="AD66" i="31"/>
  <c r="V66" i="31"/>
  <c r="N66" i="31"/>
  <c r="BF65" i="31"/>
  <c r="AX65" i="31"/>
  <c r="AS65" i="31"/>
  <c r="AO65" i="31"/>
  <c r="AK65" i="31"/>
  <c r="AG65" i="31"/>
  <c r="AC65" i="31"/>
  <c r="Y65" i="31"/>
  <c r="U65" i="31"/>
  <c r="Q65" i="31"/>
  <c r="M65" i="31"/>
  <c r="I65" i="31"/>
  <c r="BE64" i="31"/>
  <c r="BA64" i="31"/>
  <c r="AW64" i="31"/>
  <c r="AS64" i="31"/>
  <c r="AO64" i="31"/>
  <c r="AK64" i="31"/>
  <c r="AG64" i="31"/>
  <c r="AC64" i="31"/>
  <c r="Y64" i="31"/>
  <c r="U64" i="31"/>
  <c r="Q64" i="31"/>
  <c r="M64" i="31"/>
  <c r="I64" i="31"/>
  <c r="BE63" i="31"/>
  <c r="BA63" i="31"/>
  <c r="AW63" i="31"/>
  <c r="AS63" i="31"/>
  <c r="AO63" i="31"/>
  <c r="AK63" i="31"/>
  <c r="AG63" i="31"/>
  <c r="AC63" i="31"/>
  <c r="Y63" i="31"/>
  <c r="U63" i="31"/>
  <c r="Q63" i="31"/>
  <c r="M63" i="31"/>
  <c r="I63" i="31"/>
  <c r="BE62" i="31"/>
  <c r="BA62" i="31"/>
  <c r="AW62" i="31"/>
  <c r="AS62" i="31"/>
  <c r="AO62" i="31"/>
  <c r="AK62" i="31"/>
  <c r="AG62" i="31"/>
  <c r="AC62" i="31"/>
  <c r="Y62" i="31"/>
  <c r="U62" i="31"/>
  <c r="Q62" i="31"/>
  <c r="M62" i="31"/>
  <c r="I62" i="31"/>
  <c r="BE61" i="31"/>
  <c r="BA61" i="31"/>
  <c r="AW61" i="31"/>
  <c r="AS61" i="31"/>
  <c r="AO61" i="31"/>
  <c r="AK61" i="31"/>
  <c r="AG61" i="31"/>
  <c r="AC61" i="31"/>
  <c r="Y61" i="31"/>
  <c r="U61" i="31"/>
  <c r="Q61" i="31"/>
  <c r="M61" i="31"/>
  <c r="I61" i="31"/>
  <c r="BE60" i="31"/>
  <c r="BA60" i="31"/>
  <c r="AW60" i="31"/>
  <c r="AS60" i="31"/>
  <c r="AO60" i="31"/>
  <c r="AK60" i="31"/>
  <c r="AG60" i="31"/>
  <c r="AC60" i="31"/>
  <c r="Y60" i="31"/>
  <c r="U60" i="31"/>
  <c r="Q60" i="31"/>
  <c r="M60" i="31"/>
  <c r="I60" i="31"/>
  <c r="BE59" i="31"/>
  <c r="BA59" i="31"/>
  <c r="AW59" i="31"/>
  <c r="AS59" i="31"/>
  <c r="AO59" i="31"/>
  <c r="AK59" i="31"/>
  <c r="AG59" i="31"/>
  <c r="AC59" i="31"/>
  <c r="Y59" i="31"/>
  <c r="U59" i="31"/>
  <c r="Q59" i="31"/>
  <c r="M59" i="31"/>
  <c r="I59" i="31"/>
  <c r="BE58" i="31"/>
  <c r="BA58" i="31"/>
  <c r="AW58" i="31"/>
  <c r="AS58" i="31"/>
  <c r="AO58" i="31"/>
  <c r="AK58" i="31"/>
  <c r="AG58" i="31"/>
  <c r="AC58" i="31"/>
  <c r="Y58" i="31"/>
  <c r="U58" i="31"/>
  <c r="Q58" i="31"/>
  <c r="M58" i="31"/>
  <c r="I58" i="31"/>
  <c r="BE57" i="31"/>
  <c r="BA57" i="31"/>
  <c r="AW57" i="31"/>
  <c r="AS57" i="31"/>
  <c r="AO57" i="31"/>
  <c r="AK57" i="31"/>
  <c r="AG57" i="31"/>
  <c r="AC57" i="31"/>
  <c r="Y57" i="31"/>
  <c r="U57" i="31"/>
  <c r="Q57" i="31"/>
  <c r="M57" i="31"/>
  <c r="I57" i="31"/>
  <c r="BE56" i="31"/>
  <c r="BA56" i="31"/>
  <c r="AW56" i="31"/>
  <c r="AS56" i="31"/>
  <c r="AO56" i="31"/>
  <c r="AK56" i="31"/>
  <c r="AG56" i="31"/>
  <c r="AC56" i="31"/>
  <c r="Y56" i="31"/>
  <c r="U56" i="31"/>
  <c r="Q56" i="31"/>
  <c r="M56" i="31"/>
  <c r="I56" i="31"/>
  <c r="BE55" i="31"/>
  <c r="BA55" i="31"/>
  <c r="AW55" i="31"/>
  <c r="AS55" i="31"/>
  <c r="AO55" i="31"/>
  <c r="AK55" i="31"/>
  <c r="AG55" i="31"/>
  <c r="AC55" i="31"/>
  <c r="Y55" i="31"/>
  <c r="U55" i="31"/>
  <c r="Q55" i="31"/>
  <c r="M55" i="31"/>
  <c r="I55" i="31"/>
  <c r="BE54" i="31"/>
  <c r="BA54" i="31"/>
  <c r="AW54" i="31"/>
  <c r="AS54" i="31"/>
  <c r="AO54" i="31"/>
  <c r="AK54" i="31"/>
  <c r="AG54" i="31"/>
  <c r="AC54" i="31"/>
  <c r="Y54" i="31"/>
  <c r="U54" i="31"/>
  <c r="Q54" i="31"/>
  <c r="M54" i="31"/>
  <c r="I54" i="31"/>
  <c r="BE53" i="31"/>
  <c r="BA53" i="31"/>
  <c r="AW53" i="31"/>
  <c r="AS53" i="31"/>
  <c r="AO53" i="31"/>
  <c r="AK53" i="31"/>
  <c r="AG53" i="31"/>
  <c r="AC53" i="31"/>
  <c r="Y53" i="31"/>
  <c r="U53" i="31"/>
  <c r="Q53" i="31"/>
  <c r="M53" i="31"/>
  <c r="I53" i="31"/>
  <c r="BE52" i="31"/>
  <c r="BA52" i="31"/>
  <c r="AW52" i="31"/>
  <c r="AS52" i="31"/>
  <c r="AO52" i="31"/>
  <c r="AK52" i="31"/>
  <c r="AG52" i="31"/>
  <c r="AC52" i="31"/>
  <c r="Y52" i="31"/>
  <c r="U52" i="31"/>
  <c r="Q52" i="31"/>
  <c r="M52" i="31"/>
  <c r="I52" i="31"/>
  <c r="BE51" i="31"/>
  <c r="BA51" i="31"/>
  <c r="AW51" i="31"/>
  <c r="AS51" i="31"/>
  <c r="AO51" i="31"/>
  <c r="AK51" i="31"/>
  <c r="AG51" i="31"/>
  <c r="AC51" i="31"/>
  <c r="Y51" i="31"/>
  <c r="U51" i="31"/>
  <c r="Q51" i="31"/>
  <c r="M51" i="31"/>
  <c r="I51" i="31"/>
  <c r="BE50" i="31"/>
  <c r="BA50" i="31"/>
  <c r="AW50" i="31"/>
  <c r="AS50" i="31"/>
  <c r="AO50" i="31"/>
  <c r="AK50" i="31"/>
  <c r="AG50" i="31"/>
  <c r="AC50" i="31"/>
  <c r="Y50" i="31"/>
  <c r="U50" i="31"/>
  <c r="Q50" i="31"/>
  <c r="M50" i="31"/>
  <c r="I50" i="31"/>
  <c r="BE49" i="31"/>
  <c r="BA49" i="31"/>
  <c r="AW49" i="31"/>
  <c r="AS49" i="31"/>
  <c r="AO49" i="31"/>
  <c r="AK49" i="31"/>
  <c r="AG49" i="31"/>
  <c r="AC49" i="31"/>
  <c r="Y49" i="31"/>
  <c r="U49" i="31"/>
  <c r="Q49" i="31"/>
  <c r="M49" i="31"/>
  <c r="I49" i="31"/>
  <c r="BE48" i="31"/>
  <c r="BA48" i="31"/>
  <c r="AW48" i="31"/>
  <c r="AS48" i="31"/>
  <c r="AO48" i="31"/>
  <c r="AK48" i="31"/>
  <c r="AG48" i="31"/>
  <c r="AC48" i="31"/>
  <c r="Y48" i="31"/>
  <c r="U48" i="31"/>
  <c r="Q48" i="31"/>
  <c r="M48" i="31"/>
  <c r="I48" i="31"/>
  <c r="BE47" i="31"/>
  <c r="BA47" i="31"/>
  <c r="AW47" i="31"/>
  <c r="AS47" i="31"/>
  <c r="AO47" i="31"/>
  <c r="AK47" i="31"/>
  <c r="AG47" i="31"/>
  <c r="AC47" i="31"/>
  <c r="Y47" i="31"/>
  <c r="U47" i="31"/>
  <c r="Q47" i="31"/>
  <c r="M47" i="31"/>
  <c r="I47" i="31"/>
  <c r="BE46" i="31"/>
  <c r="BA46" i="31"/>
  <c r="AW46" i="31"/>
  <c r="AS46" i="31"/>
  <c r="AO46" i="31"/>
  <c r="AK46" i="31"/>
  <c r="AG46" i="31"/>
  <c r="AC46" i="31"/>
  <c r="Y46" i="31"/>
  <c r="U46" i="31"/>
  <c r="Q46" i="31"/>
  <c r="M46" i="31"/>
  <c r="I46" i="31"/>
  <c r="BE45" i="31"/>
  <c r="BA45" i="31"/>
  <c r="AW45" i="31"/>
  <c r="AS45" i="31"/>
  <c r="AO45" i="31"/>
  <c r="AK45" i="31"/>
  <c r="AG45" i="31"/>
  <c r="AC45" i="31"/>
  <c r="Y45" i="31"/>
  <c r="U45" i="31"/>
  <c r="Q45" i="31"/>
  <c r="M45" i="31"/>
  <c r="I45" i="31"/>
  <c r="BE44" i="31"/>
  <c r="BA44" i="31"/>
  <c r="AW44" i="31"/>
  <c r="AS44" i="31"/>
  <c r="AO44" i="31"/>
  <c r="AK44" i="31"/>
  <c r="AG44" i="31"/>
  <c r="AC44" i="31"/>
  <c r="Y44" i="31"/>
  <c r="U44" i="31"/>
  <c r="Q44" i="31"/>
  <c r="M44" i="31"/>
  <c r="I44" i="31"/>
  <c r="BE43" i="31"/>
  <c r="BA43" i="31"/>
  <c r="AW43" i="31"/>
  <c r="AS43" i="31"/>
  <c r="AO43" i="31"/>
  <c r="AK43" i="31"/>
  <c r="AG43" i="31"/>
  <c r="AC43" i="31"/>
  <c r="Y43" i="31"/>
  <c r="U43" i="31"/>
  <c r="Q43" i="31"/>
  <c r="M43" i="31"/>
  <c r="I43" i="31"/>
  <c r="BE42" i="31"/>
  <c r="BA42" i="31"/>
  <c r="AW42" i="31"/>
  <c r="AS42" i="31"/>
  <c r="AO42" i="31"/>
  <c r="AK42" i="31"/>
  <c r="AG42" i="31"/>
  <c r="AC42" i="31"/>
  <c r="Y42" i="31"/>
  <c r="U42" i="31"/>
  <c r="Q42" i="31"/>
  <c r="M42" i="31"/>
  <c r="I42" i="31"/>
  <c r="BE41" i="31"/>
  <c r="BA41" i="31"/>
  <c r="AW41" i="31"/>
  <c r="AS41" i="31"/>
  <c r="AO41" i="31"/>
  <c r="AK41" i="31"/>
  <c r="AG41" i="31"/>
  <c r="AC41" i="31"/>
  <c r="Y41" i="31"/>
  <c r="U41" i="31"/>
  <c r="Q41" i="31"/>
  <c r="M41" i="31"/>
  <c r="I41" i="31"/>
  <c r="BE40" i="31"/>
  <c r="BA40" i="31"/>
  <c r="AW40" i="31"/>
  <c r="AS40" i="31"/>
  <c r="AO40" i="31"/>
  <c r="AK40" i="31"/>
  <c r="AG40" i="31"/>
  <c r="AC40" i="31"/>
  <c r="Y40" i="31"/>
  <c r="U40" i="31"/>
  <c r="Q40" i="31"/>
  <c r="M40" i="31"/>
  <c r="I40" i="31"/>
  <c r="BE39" i="31"/>
  <c r="BA39" i="31"/>
  <c r="AW39" i="31"/>
  <c r="AS39" i="31"/>
  <c r="AO39" i="31"/>
  <c r="AK39" i="31"/>
  <c r="AG39" i="31"/>
  <c r="AC39" i="31"/>
  <c r="Y39" i="31"/>
  <c r="U39" i="31"/>
  <c r="Q39" i="31"/>
  <c r="M39" i="31"/>
  <c r="I39" i="31"/>
  <c r="BE38" i="31"/>
  <c r="BA38" i="31"/>
  <c r="AW38" i="31"/>
  <c r="AS38" i="31"/>
  <c r="AO38" i="31"/>
  <c r="AK38" i="31"/>
  <c r="AG38" i="31"/>
  <c r="AC38" i="31"/>
  <c r="Y38" i="31"/>
  <c r="U38" i="31"/>
  <c r="Q38" i="31"/>
  <c r="M38" i="31"/>
  <c r="I38" i="31"/>
  <c r="BE37" i="31"/>
  <c r="BA37" i="31"/>
  <c r="AW37" i="31"/>
  <c r="AS37" i="31"/>
  <c r="AO37" i="31"/>
  <c r="AK37" i="31"/>
  <c r="AG37" i="31"/>
  <c r="AC37" i="31"/>
  <c r="Y37" i="31"/>
  <c r="U37" i="31"/>
  <c r="Q37" i="31"/>
  <c r="M37" i="31"/>
  <c r="I37" i="31"/>
  <c r="BE36" i="31"/>
  <c r="BA36" i="31"/>
  <c r="AW36" i="31"/>
  <c r="AS36" i="31"/>
  <c r="AO36" i="31"/>
  <c r="AK36" i="31"/>
  <c r="AG36" i="31"/>
  <c r="AC36" i="31"/>
  <c r="Y36" i="31"/>
  <c r="U36" i="31"/>
  <c r="Q36" i="31"/>
  <c r="M36" i="31"/>
  <c r="I36" i="31"/>
  <c r="BE35" i="31"/>
  <c r="BA35" i="31"/>
  <c r="AW35" i="31"/>
  <c r="AS35" i="31"/>
  <c r="AO35" i="31"/>
  <c r="AK35" i="31"/>
  <c r="AG35" i="31"/>
  <c r="AC35" i="31"/>
  <c r="Y35" i="31"/>
  <c r="U35" i="31"/>
  <c r="Q35" i="31"/>
  <c r="M35" i="31"/>
  <c r="I35" i="31"/>
  <c r="BE34" i="31"/>
  <c r="BA34" i="31"/>
  <c r="AW34" i="31"/>
  <c r="AS34" i="31"/>
  <c r="AO34" i="31"/>
  <c r="AK34" i="31"/>
  <c r="AG34" i="31"/>
  <c r="AC34" i="31"/>
  <c r="Y34" i="31"/>
  <c r="AP81" i="31"/>
  <c r="Z81" i="31"/>
  <c r="J81" i="31"/>
  <c r="AT80" i="31"/>
  <c r="AD80" i="31"/>
  <c r="N80" i="31"/>
  <c r="AX79" i="31"/>
  <c r="AH79" i="31"/>
  <c r="R79" i="31"/>
  <c r="BB78" i="31"/>
  <c r="AL78" i="31"/>
  <c r="V78" i="31"/>
  <c r="BF77" i="31"/>
  <c r="AP77" i="31"/>
  <c r="Z77" i="31"/>
  <c r="Q77" i="31"/>
  <c r="I77" i="31"/>
  <c r="BA76" i="31"/>
  <c r="AS76" i="31"/>
  <c r="AK76" i="31"/>
  <c r="AC76" i="31"/>
  <c r="U76" i="31"/>
  <c r="M76" i="31"/>
  <c r="BE75" i="31"/>
  <c r="AW75" i="31"/>
  <c r="AO75" i="31"/>
  <c r="AG75" i="31"/>
  <c r="Y75" i="31"/>
  <c r="Q75" i="31"/>
  <c r="I75" i="31"/>
  <c r="BA74" i="31"/>
  <c r="AS74" i="31"/>
  <c r="AK74" i="31"/>
  <c r="AC74" i="31"/>
  <c r="U74" i="31"/>
  <c r="M74" i="31"/>
  <c r="BE73" i="31"/>
  <c r="AW73" i="31"/>
  <c r="AO73" i="31"/>
  <c r="AG73" i="31"/>
  <c r="Y73" i="31"/>
  <c r="Q73" i="31"/>
  <c r="I73" i="31"/>
  <c r="BA72" i="31"/>
  <c r="AS72" i="31"/>
  <c r="AK72" i="31"/>
  <c r="AC72" i="31"/>
  <c r="U72" i="31"/>
  <c r="M72" i="31"/>
  <c r="BE71" i="31"/>
  <c r="AW71" i="31"/>
  <c r="AO71" i="31"/>
  <c r="AG71" i="31"/>
  <c r="Y71" i="31"/>
  <c r="Q71" i="31"/>
  <c r="I71" i="31"/>
  <c r="BA70" i="31"/>
  <c r="AS70" i="31"/>
  <c r="AK70" i="31"/>
  <c r="AC70" i="31"/>
  <c r="U70" i="31"/>
  <c r="M70" i="31"/>
  <c r="BE69" i="31"/>
  <c r="AW69" i="31"/>
  <c r="AO69" i="31"/>
  <c r="AG69" i="31"/>
  <c r="Y69" i="31"/>
  <c r="Q69" i="31"/>
  <c r="I69" i="31"/>
  <c r="BA68" i="31"/>
  <c r="AS68" i="31"/>
  <c r="AK68" i="31"/>
  <c r="AC68" i="31"/>
  <c r="U68" i="31"/>
  <c r="M68" i="31"/>
  <c r="BE67" i="31"/>
  <c r="AW67" i="31"/>
  <c r="AO67" i="31"/>
  <c r="AG67" i="31"/>
  <c r="Y67" i="31"/>
  <c r="Q67" i="31"/>
  <c r="I67" i="31"/>
  <c r="BA66" i="31"/>
  <c r="AS66" i="31"/>
  <c r="AK66" i="31"/>
  <c r="AC66" i="31"/>
  <c r="U66" i="31"/>
  <c r="M66" i="31"/>
  <c r="BE65" i="31"/>
  <c r="AW65" i="31"/>
  <c r="AR65" i="31"/>
  <c r="AN65" i="31"/>
  <c r="AJ65" i="31"/>
  <c r="AF65" i="31"/>
  <c r="AB65" i="31"/>
  <c r="X65" i="31"/>
  <c r="T65" i="31"/>
  <c r="P65" i="31"/>
  <c r="L65" i="31"/>
  <c r="H65" i="31"/>
  <c r="BD64" i="31"/>
  <c r="AZ64" i="31"/>
  <c r="AV64" i="31"/>
  <c r="AR64" i="31"/>
  <c r="AN64" i="31"/>
  <c r="AJ64" i="31"/>
  <c r="AF64" i="31"/>
  <c r="AB64" i="31"/>
  <c r="X64" i="31"/>
  <c r="T64" i="31"/>
  <c r="P64" i="31"/>
  <c r="L64" i="31"/>
  <c r="H64" i="31"/>
  <c r="BD63" i="31"/>
  <c r="AZ63" i="31"/>
  <c r="AV63" i="31"/>
  <c r="AR63" i="31"/>
  <c r="AN63" i="31"/>
  <c r="AJ63" i="31"/>
  <c r="AF63" i="31"/>
  <c r="AB63" i="31"/>
  <c r="X63" i="31"/>
  <c r="T63" i="31"/>
  <c r="P63" i="31"/>
  <c r="L63" i="31"/>
  <c r="H63" i="31"/>
  <c r="BD62" i="31"/>
  <c r="AZ62" i="31"/>
  <c r="AV62" i="31"/>
  <c r="AR62" i="31"/>
  <c r="AN62" i="31"/>
  <c r="AJ62" i="31"/>
  <c r="AF62" i="31"/>
  <c r="AB62" i="31"/>
  <c r="X62" i="31"/>
  <c r="T62" i="31"/>
  <c r="P62" i="31"/>
  <c r="L62" i="31"/>
  <c r="H62" i="31"/>
  <c r="BD61" i="31"/>
  <c r="AZ61" i="31"/>
  <c r="AV61" i="31"/>
  <c r="AR61" i="31"/>
  <c r="AN61" i="31"/>
  <c r="AJ61" i="31"/>
  <c r="AF61" i="31"/>
  <c r="AB61" i="31"/>
  <c r="X61" i="31"/>
  <c r="T61" i="31"/>
  <c r="P61" i="31"/>
  <c r="L61" i="31"/>
  <c r="H61" i="31"/>
  <c r="BD60" i="31"/>
  <c r="AZ60" i="31"/>
  <c r="AV60" i="31"/>
  <c r="AR60" i="31"/>
  <c r="AN60" i="31"/>
  <c r="AJ60" i="31"/>
  <c r="AF60" i="31"/>
  <c r="AB60" i="31"/>
  <c r="X60" i="31"/>
  <c r="T60" i="31"/>
  <c r="P60" i="31"/>
  <c r="L60" i="31"/>
  <c r="H60" i="31"/>
  <c r="BD59" i="31"/>
  <c r="AZ59" i="31"/>
  <c r="AV59" i="31"/>
  <c r="AR59" i="31"/>
  <c r="AN59" i="31"/>
  <c r="AJ59" i="31"/>
  <c r="AF59" i="31"/>
  <c r="AB59" i="31"/>
  <c r="X59" i="31"/>
  <c r="T59" i="31"/>
  <c r="P59" i="31"/>
  <c r="L59" i="31"/>
  <c r="H59" i="31"/>
  <c r="BD58" i="31"/>
  <c r="AZ58" i="31"/>
  <c r="AV58" i="31"/>
  <c r="AR58" i="31"/>
  <c r="AN58" i="31"/>
  <c r="AJ58" i="31"/>
  <c r="AF58" i="31"/>
  <c r="AB58" i="31"/>
  <c r="X58" i="31"/>
  <c r="T58" i="31"/>
  <c r="P58" i="31"/>
  <c r="L58" i="31"/>
  <c r="H58" i="31"/>
  <c r="BD57" i="31"/>
  <c r="AZ57" i="31"/>
  <c r="AV57" i="31"/>
  <c r="AR57" i="31"/>
  <c r="AN57" i="31"/>
  <c r="AJ57" i="31"/>
  <c r="AF57" i="31"/>
  <c r="AB57" i="31"/>
  <c r="X57" i="31"/>
  <c r="T57" i="31"/>
  <c r="P57" i="31"/>
  <c r="L57" i="31"/>
  <c r="H57" i="31"/>
  <c r="BD56" i="31"/>
  <c r="AZ56" i="31"/>
  <c r="AV56" i="31"/>
  <c r="AR56" i="31"/>
  <c r="AN56" i="31"/>
  <c r="AJ56" i="31"/>
  <c r="AF56" i="31"/>
  <c r="AB56" i="31"/>
  <c r="X56" i="31"/>
  <c r="T56" i="31"/>
  <c r="P56" i="31"/>
  <c r="L56" i="31"/>
  <c r="H56" i="31"/>
  <c r="BD55" i="31"/>
  <c r="AZ55" i="31"/>
  <c r="AV55" i="31"/>
  <c r="AR55" i="31"/>
  <c r="AN55" i="31"/>
  <c r="AJ55" i="31"/>
  <c r="AF55" i="31"/>
  <c r="AB55" i="31"/>
  <c r="X55" i="31"/>
  <c r="T55" i="31"/>
  <c r="P55" i="31"/>
  <c r="L55" i="31"/>
  <c r="H55" i="31"/>
  <c r="BD54" i="31"/>
  <c r="AZ54" i="31"/>
  <c r="AV54" i="31"/>
  <c r="AR54" i="31"/>
  <c r="AN54" i="31"/>
  <c r="AJ54" i="31"/>
  <c r="AF54" i="31"/>
  <c r="AB54" i="31"/>
  <c r="X54" i="31"/>
  <c r="T54" i="31"/>
  <c r="P54" i="31"/>
  <c r="L54" i="31"/>
  <c r="H54" i="31"/>
  <c r="BD53" i="31"/>
  <c r="AZ53" i="31"/>
  <c r="AV53" i="31"/>
  <c r="AR53" i="31"/>
  <c r="AN53" i="31"/>
  <c r="AJ53" i="31"/>
  <c r="AF53" i="31"/>
  <c r="AB53" i="31"/>
  <c r="X53" i="31"/>
  <c r="T53" i="31"/>
  <c r="P53" i="31"/>
  <c r="L53" i="31"/>
  <c r="H53" i="31"/>
  <c r="BD52" i="31"/>
  <c r="AZ52" i="31"/>
  <c r="AV52" i="31"/>
  <c r="AR52" i="31"/>
  <c r="AN52" i="31"/>
  <c r="AJ52" i="31"/>
  <c r="AF52" i="31"/>
  <c r="AB52" i="31"/>
  <c r="X52" i="31"/>
  <c r="T52" i="31"/>
  <c r="P52" i="31"/>
  <c r="L52" i="31"/>
  <c r="H52" i="31"/>
  <c r="BD51" i="31"/>
  <c r="AZ51" i="31"/>
  <c r="AV51" i="31"/>
  <c r="AR51" i="31"/>
  <c r="AN51" i="31"/>
  <c r="AJ51" i="31"/>
  <c r="AF51" i="31"/>
  <c r="AB51" i="31"/>
  <c r="X51" i="31"/>
  <c r="T51" i="31"/>
  <c r="P51" i="31"/>
  <c r="L51" i="31"/>
  <c r="H51" i="31"/>
  <c r="BD50" i="31"/>
  <c r="AZ50" i="31"/>
  <c r="AV50" i="31"/>
  <c r="AR50" i="31"/>
  <c r="AN50" i="31"/>
  <c r="AJ50" i="31"/>
  <c r="AF50" i="31"/>
  <c r="AB50" i="31"/>
  <c r="X50" i="31"/>
  <c r="T50" i="31"/>
  <c r="P50" i="31"/>
  <c r="L50" i="31"/>
  <c r="H50" i="31"/>
  <c r="BD49" i="31"/>
  <c r="AZ49" i="31"/>
  <c r="AV49" i="31"/>
  <c r="AR49" i="31"/>
  <c r="AN49" i="31"/>
  <c r="AJ49" i="31"/>
  <c r="AF49" i="31"/>
  <c r="AB49" i="31"/>
  <c r="X49" i="31"/>
  <c r="T49" i="31"/>
  <c r="P49" i="31"/>
  <c r="L49" i="31"/>
  <c r="H49" i="31"/>
  <c r="BD48" i="31"/>
  <c r="AZ48" i="31"/>
  <c r="AV48" i="31"/>
  <c r="AR48" i="31"/>
  <c r="AN48" i="31"/>
  <c r="AJ48" i="31"/>
  <c r="AF48" i="31"/>
  <c r="AB48" i="31"/>
  <c r="X48" i="31"/>
  <c r="T48" i="31"/>
  <c r="P48" i="31"/>
  <c r="L48" i="31"/>
  <c r="H48" i="31"/>
  <c r="BD47" i="31"/>
  <c r="AZ47" i="31"/>
  <c r="AV47" i="31"/>
  <c r="AR47" i="31"/>
  <c r="AN47" i="31"/>
  <c r="AJ47" i="31"/>
  <c r="AF47" i="31"/>
  <c r="AB47" i="31"/>
  <c r="X47" i="31"/>
  <c r="T47" i="31"/>
  <c r="P47" i="31"/>
  <c r="L47" i="31"/>
  <c r="H47" i="31"/>
  <c r="BD46" i="31"/>
  <c r="AZ46" i="31"/>
  <c r="AV46" i="31"/>
  <c r="AR46" i="31"/>
  <c r="AN46" i="31"/>
  <c r="AJ46" i="31"/>
  <c r="AF46" i="31"/>
  <c r="AB46" i="31"/>
  <c r="X46" i="31"/>
  <c r="T46" i="31"/>
  <c r="P46" i="31"/>
  <c r="L46" i="31"/>
  <c r="H46" i="31"/>
  <c r="BD45" i="31"/>
  <c r="AZ45" i="31"/>
  <c r="AV45" i="31"/>
  <c r="AR45" i="31"/>
  <c r="AN45" i="31"/>
  <c r="AJ45" i="31"/>
  <c r="AF45" i="31"/>
  <c r="AB45" i="31"/>
  <c r="X45" i="31"/>
  <c r="T45" i="31"/>
  <c r="P45" i="31"/>
  <c r="L45" i="31"/>
  <c r="H45" i="31"/>
  <c r="BD44" i="31"/>
  <c r="AZ44" i="31"/>
  <c r="AV44" i="31"/>
  <c r="AR44" i="31"/>
  <c r="AN44" i="31"/>
  <c r="AJ44" i="31"/>
  <c r="AF44" i="31"/>
  <c r="AB44" i="31"/>
  <c r="X44" i="31"/>
  <c r="T44" i="31"/>
  <c r="P44" i="31"/>
  <c r="L44" i="31"/>
  <c r="H44" i="31"/>
  <c r="BD43" i="31"/>
  <c r="AZ43" i="31"/>
  <c r="AV43" i="31"/>
  <c r="AR43" i="31"/>
  <c r="AN43" i="31"/>
  <c r="AJ43" i="31"/>
  <c r="AF43" i="31"/>
  <c r="AB43" i="31"/>
  <c r="X43" i="31"/>
  <c r="T43" i="31"/>
  <c r="P43" i="31"/>
  <c r="L43" i="31"/>
  <c r="H43" i="31"/>
  <c r="BD42" i="31"/>
  <c r="AZ42" i="31"/>
  <c r="AV42" i="31"/>
  <c r="AR42" i="31"/>
  <c r="AN42" i="31"/>
  <c r="AJ42" i="31"/>
  <c r="AF42" i="31"/>
  <c r="AB42" i="31"/>
  <c r="X42" i="31"/>
  <c r="T42" i="31"/>
  <c r="P42" i="31"/>
  <c r="L42" i="31"/>
  <c r="H42" i="31"/>
  <c r="BD41" i="31"/>
  <c r="AZ41" i="31"/>
  <c r="AV41" i="31"/>
  <c r="AR41" i="31"/>
  <c r="AN41" i="31"/>
  <c r="AJ41" i="31"/>
  <c r="AF41" i="31"/>
  <c r="AB41" i="31"/>
  <c r="X41" i="31"/>
  <c r="T41" i="31"/>
  <c r="P41" i="31"/>
  <c r="L41" i="31"/>
  <c r="H41" i="31"/>
  <c r="BD40" i="31"/>
  <c r="AZ40" i="31"/>
  <c r="AV40" i="31"/>
  <c r="AR40" i="31"/>
  <c r="AN40" i="31"/>
  <c r="AJ40" i="31"/>
  <c r="AF40" i="31"/>
  <c r="AB40" i="31"/>
  <c r="X40" i="31"/>
  <c r="T40" i="31"/>
  <c r="P40" i="31"/>
  <c r="L40" i="31"/>
  <c r="H40" i="31"/>
  <c r="BD39" i="31"/>
  <c r="AZ39" i="31"/>
  <c r="AV39" i="31"/>
  <c r="AR39" i="31"/>
  <c r="AN39" i="31"/>
  <c r="AJ39" i="31"/>
  <c r="AF39" i="31"/>
  <c r="AB39" i="31"/>
  <c r="X39" i="31"/>
  <c r="T39" i="31"/>
  <c r="P39" i="31"/>
  <c r="L39" i="31"/>
  <c r="H39" i="31"/>
  <c r="BD38" i="31"/>
  <c r="AZ38" i="31"/>
  <c r="AV38" i="31"/>
  <c r="AR38" i="31"/>
  <c r="AN38" i="31"/>
  <c r="AJ38" i="31"/>
  <c r="AF38" i="31"/>
  <c r="AB38" i="31"/>
  <c r="X38" i="31"/>
  <c r="T38" i="31"/>
  <c r="P38" i="31"/>
  <c r="L38" i="31"/>
  <c r="H38" i="31"/>
  <c r="BD37" i="31"/>
  <c r="AZ37" i="31"/>
  <c r="AV37" i="31"/>
  <c r="AR37" i="31"/>
  <c r="AN37" i="31"/>
  <c r="AJ37" i="31"/>
  <c r="AF37" i="31"/>
  <c r="AB37" i="31"/>
  <c r="X37" i="31"/>
  <c r="T37" i="31"/>
  <c r="P37" i="31"/>
  <c r="L37" i="31"/>
  <c r="H37" i="31"/>
  <c r="BD36" i="31"/>
  <c r="AZ36" i="31"/>
  <c r="AV36" i="31"/>
  <c r="AR36" i="31"/>
  <c r="AN36" i="31"/>
  <c r="AJ36" i="31"/>
  <c r="AF36" i="31"/>
  <c r="AB36" i="31"/>
  <c r="X36" i="31"/>
  <c r="T36" i="31"/>
  <c r="P36" i="31"/>
  <c r="L36" i="31"/>
  <c r="H36" i="31"/>
  <c r="BD35" i="31"/>
  <c r="AZ35" i="31"/>
  <c r="AV35" i="31"/>
  <c r="AR35" i="31"/>
  <c r="AN35" i="31"/>
  <c r="AJ35" i="31"/>
  <c r="AF35" i="31"/>
  <c r="AB35" i="31"/>
  <c r="X35" i="31"/>
  <c r="T35" i="31"/>
  <c r="P35" i="31"/>
  <c r="L35" i="31"/>
  <c r="H35" i="31"/>
  <c r="BD34" i="31"/>
  <c r="AZ34" i="31"/>
  <c r="AV34" i="31"/>
  <c r="AR34" i="31"/>
  <c r="AN34" i="31"/>
  <c r="AJ34" i="31"/>
  <c r="AF34" i="31"/>
  <c r="AB34" i="31"/>
  <c r="X34" i="31"/>
  <c r="T34" i="31"/>
  <c r="P34" i="31"/>
  <c r="L34" i="31"/>
  <c r="H34" i="31"/>
  <c r="BD33" i="31"/>
  <c r="AZ33" i="31"/>
  <c r="AV33" i="31"/>
  <c r="AR33" i="31"/>
  <c r="AN33" i="31"/>
  <c r="AJ33" i="31"/>
  <c r="AF33" i="31"/>
  <c r="AB33" i="31"/>
  <c r="X33" i="31"/>
  <c r="T33" i="31"/>
  <c r="P33" i="31"/>
  <c r="L33" i="31"/>
  <c r="H33" i="31"/>
  <c r="BD32" i="31"/>
  <c r="AZ32" i="31"/>
  <c r="AV32" i="31"/>
  <c r="AR32" i="31"/>
  <c r="AN32" i="31"/>
  <c r="AJ32" i="31"/>
  <c r="AF32" i="31"/>
  <c r="AB32" i="31"/>
  <c r="X32" i="31"/>
  <c r="T32" i="31"/>
  <c r="P32" i="31"/>
  <c r="L32" i="31"/>
  <c r="H32" i="31"/>
  <c r="BD31" i="31"/>
  <c r="AZ31" i="31"/>
  <c r="AV31" i="31"/>
  <c r="AR31" i="31"/>
  <c r="AN31" i="31"/>
  <c r="AJ31" i="31"/>
  <c r="AF31" i="31"/>
  <c r="AB31" i="31"/>
  <c r="X31" i="31"/>
  <c r="T31" i="31"/>
  <c r="P31" i="31"/>
  <c r="L31" i="31"/>
  <c r="H31" i="31"/>
  <c r="BD30" i="31"/>
  <c r="AZ30" i="31"/>
  <c r="AV30" i="31"/>
  <c r="AR30" i="31"/>
  <c r="AN30" i="31"/>
  <c r="AJ30" i="31"/>
  <c r="AF30" i="31"/>
  <c r="AB30" i="31"/>
  <c r="X30" i="31"/>
  <c r="T30" i="31"/>
  <c r="P30" i="31"/>
  <c r="L30" i="31"/>
  <c r="H30" i="31"/>
  <c r="BD29" i="31"/>
  <c r="AZ29" i="31"/>
  <c r="AV29" i="31"/>
  <c r="AR29" i="31"/>
  <c r="AN29" i="31"/>
  <c r="AJ29" i="31"/>
  <c r="AF29" i="31"/>
  <c r="AB29" i="31"/>
  <c r="X29" i="31"/>
  <c r="T29" i="31"/>
  <c r="P29" i="31"/>
  <c r="L29" i="31"/>
  <c r="H29" i="31"/>
  <c r="BD28" i="31"/>
  <c r="AZ28" i="31"/>
  <c r="AV28" i="31"/>
  <c r="AR28" i="31"/>
  <c r="AN28" i="31"/>
  <c r="AJ28" i="31"/>
  <c r="AF28" i="31"/>
  <c r="AB28" i="31"/>
  <c r="X28" i="31"/>
  <c r="T28" i="31"/>
  <c r="P28" i="31"/>
  <c r="L28" i="31"/>
  <c r="H28" i="31"/>
  <c r="BD27" i="31"/>
  <c r="AZ27" i="31"/>
  <c r="AV27" i="31"/>
  <c r="AR27" i="31"/>
  <c r="AN27" i="31"/>
  <c r="AJ27" i="31"/>
  <c r="AF27" i="31"/>
  <c r="AB27" i="31"/>
  <c r="X27" i="31"/>
  <c r="T27" i="31"/>
  <c r="P27" i="31"/>
  <c r="L27" i="31"/>
  <c r="H27" i="31"/>
  <c r="BD26" i="31"/>
  <c r="AZ26" i="31"/>
  <c r="AV26" i="31"/>
  <c r="AR26" i="31"/>
  <c r="AN26" i="31"/>
  <c r="AJ26" i="31"/>
  <c r="AF26" i="31"/>
  <c r="AB26" i="31"/>
  <c r="X26" i="31"/>
  <c r="T26" i="31"/>
  <c r="P26" i="31"/>
  <c r="L26" i="31"/>
  <c r="H26" i="31"/>
  <c r="BD25" i="31"/>
  <c r="AZ25" i="31"/>
  <c r="AV25" i="31"/>
  <c r="AR25" i="31"/>
  <c r="AN25" i="31"/>
  <c r="AJ25" i="31"/>
  <c r="AF25" i="31"/>
  <c r="AB25" i="31"/>
  <c r="X25" i="31"/>
  <c r="T25" i="31"/>
  <c r="P25" i="31"/>
  <c r="L25" i="31"/>
  <c r="H25" i="31"/>
  <c r="BD24" i="31"/>
  <c r="AZ24" i="31"/>
  <c r="AV24" i="31"/>
  <c r="AR24" i="31"/>
  <c r="AN24" i="31"/>
  <c r="AJ24" i="31"/>
  <c r="AF24" i="31"/>
  <c r="AB24" i="31"/>
  <c r="X24" i="31"/>
  <c r="T24" i="31"/>
  <c r="P24" i="31"/>
  <c r="L24" i="31"/>
  <c r="H24" i="31"/>
  <c r="BD23" i="31"/>
  <c r="AZ23" i="31"/>
  <c r="AV23" i="31"/>
  <c r="AR23" i="31"/>
  <c r="AN23" i="31"/>
  <c r="AJ23" i="31"/>
  <c r="AF23" i="31"/>
  <c r="AB23" i="31"/>
  <c r="X23" i="31"/>
  <c r="T23" i="31"/>
  <c r="P23" i="31"/>
  <c r="L23" i="31"/>
  <c r="H23" i="31"/>
  <c r="BD22" i="31"/>
  <c r="AZ22" i="31"/>
  <c r="AV22" i="31"/>
  <c r="AR22" i="31"/>
  <c r="AN22" i="31"/>
  <c r="AJ22" i="31"/>
  <c r="AF22" i="31"/>
  <c r="AB22" i="31"/>
  <c r="X22" i="31"/>
  <c r="T22" i="31"/>
  <c r="P22" i="31"/>
  <c r="L22" i="31"/>
  <c r="H22" i="31"/>
  <c r="BD21" i="31"/>
  <c r="AZ21" i="31"/>
  <c r="AV21" i="31"/>
  <c r="AR21" i="31"/>
  <c r="AN21" i="31"/>
  <c r="AJ21" i="31"/>
  <c r="AF21" i="31"/>
  <c r="AB21" i="31"/>
  <c r="X21" i="31"/>
  <c r="T21" i="31"/>
  <c r="P21" i="31"/>
  <c r="L21" i="31"/>
  <c r="H21" i="31"/>
  <c r="BD20" i="31"/>
  <c r="AZ20" i="31"/>
  <c r="AV20" i="31"/>
  <c r="AR20" i="31"/>
  <c r="AN20" i="31"/>
  <c r="AJ20" i="31"/>
  <c r="AF20" i="31"/>
  <c r="AL81" i="31"/>
  <c r="V81" i="31"/>
  <c r="BF80" i="31"/>
  <c r="AP80" i="31"/>
  <c r="Z80" i="31"/>
  <c r="J80" i="31"/>
  <c r="AT79" i="31"/>
  <c r="AD79" i="31"/>
  <c r="N79" i="31"/>
  <c r="AX78" i="31"/>
  <c r="AH78" i="31"/>
  <c r="R78" i="31"/>
  <c r="BB77" i="31"/>
  <c r="AL77" i="31"/>
  <c r="V77" i="31"/>
  <c r="N77" i="31"/>
  <c r="BF76" i="31"/>
  <c r="AX76" i="31"/>
  <c r="AP76" i="31"/>
  <c r="AH76" i="31"/>
  <c r="Z76" i="31"/>
  <c r="R76" i="31"/>
  <c r="J76" i="31"/>
  <c r="BB75" i="31"/>
  <c r="AT75" i="31"/>
  <c r="AL75" i="31"/>
  <c r="AD75" i="31"/>
  <c r="V75" i="31"/>
  <c r="N75" i="31"/>
  <c r="BF74" i="31"/>
  <c r="AX74" i="31"/>
  <c r="AP74" i="31"/>
  <c r="AH74" i="31"/>
  <c r="Z74" i="31"/>
  <c r="R74" i="31"/>
  <c r="J74" i="31"/>
  <c r="BB73" i="31"/>
  <c r="AT73" i="31"/>
  <c r="AL73" i="31"/>
  <c r="AD73" i="31"/>
  <c r="V73" i="31"/>
  <c r="N73" i="31"/>
  <c r="BF72" i="31"/>
  <c r="AX72" i="31"/>
  <c r="AP72" i="31"/>
  <c r="AH72" i="31"/>
  <c r="Z72" i="31"/>
  <c r="R72" i="31"/>
  <c r="J72" i="31"/>
  <c r="BB71" i="31"/>
  <c r="AT71" i="31"/>
  <c r="AL71" i="31"/>
  <c r="AD71" i="31"/>
  <c r="V71" i="31"/>
  <c r="N71" i="31"/>
  <c r="BF70" i="31"/>
  <c r="AX70" i="31"/>
  <c r="AP70" i="31"/>
  <c r="AH70" i="31"/>
  <c r="Z70" i="31"/>
  <c r="R70" i="31"/>
  <c r="J70" i="31"/>
  <c r="BB69" i="31"/>
  <c r="AT69" i="31"/>
  <c r="AL69" i="31"/>
  <c r="AD69" i="31"/>
  <c r="V69" i="31"/>
  <c r="N69" i="31"/>
  <c r="BF68" i="31"/>
  <c r="AX68" i="31"/>
  <c r="AP68" i="31"/>
  <c r="AH68" i="31"/>
  <c r="Z68" i="31"/>
  <c r="R68" i="31"/>
  <c r="J68" i="31"/>
  <c r="BB67" i="31"/>
  <c r="AT67" i="31"/>
  <c r="AL67" i="31"/>
  <c r="AD67" i="31"/>
  <c r="V67" i="31"/>
  <c r="N67" i="31"/>
  <c r="BF66" i="31"/>
  <c r="AX66" i="31"/>
  <c r="AP66" i="31"/>
  <c r="AH66" i="31"/>
  <c r="Z66" i="31"/>
  <c r="R66" i="31"/>
  <c r="J66" i="31"/>
  <c r="BB65" i="31"/>
  <c r="AU65" i="31"/>
  <c r="AQ65" i="31"/>
  <c r="AM65" i="31"/>
  <c r="AI65" i="31"/>
  <c r="AE65" i="31"/>
  <c r="AA65" i="31"/>
  <c r="W65" i="31"/>
  <c r="S65" i="31"/>
  <c r="O65" i="31"/>
  <c r="K65" i="31"/>
  <c r="BG64" i="31"/>
  <c r="BC64" i="31"/>
  <c r="AY64" i="31"/>
  <c r="AU64" i="31"/>
  <c r="AQ64" i="31"/>
  <c r="AM64" i="31"/>
  <c r="AI64" i="31"/>
  <c r="AE64" i="31"/>
  <c r="AA64" i="31"/>
  <c r="W64" i="31"/>
  <c r="S64" i="31"/>
  <c r="O64" i="31"/>
  <c r="K64" i="31"/>
  <c r="BG63" i="31"/>
  <c r="BC63" i="31"/>
  <c r="AY63" i="31"/>
  <c r="AU63" i="31"/>
  <c r="AQ63" i="31"/>
  <c r="AM63" i="31"/>
  <c r="AI63" i="31"/>
  <c r="AE63" i="31"/>
  <c r="AA63" i="31"/>
  <c r="W63" i="31"/>
  <c r="S63" i="31"/>
  <c r="O63" i="31"/>
  <c r="K63" i="31"/>
  <c r="BG62" i="31"/>
  <c r="BC62" i="31"/>
  <c r="AY62" i="31"/>
  <c r="AU62" i="31"/>
  <c r="AQ62" i="31"/>
  <c r="AM62" i="31"/>
  <c r="AI62" i="31"/>
  <c r="AE62" i="31"/>
  <c r="AA62" i="31"/>
  <c r="W62" i="31"/>
  <c r="S62" i="31"/>
  <c r="O62" i="31"/>
  <c r="K62" i="31"/>
  <c r="BG61" i="31"/>
  <c r="BC61" i="31"/>
  <c r="AY61" i="31"/>
  <c r="AU61" i="31"/>
  <c r="AQ61" i="31"/>
  <c r="AM61" i="31"/>
  <c r="AI61" i="31"/>
  <c r="AE61" i="31"/>
  <c r="AA61" i="31"/>
  <c r="W61" i="31"/>
  <c r="S61" i="31"/>
  <c r="O61" i="31"/>
  <c r="K61" i="31"/>
  <c r="BG60" i="31"/>
  <c r="BC60" i="31"/>
  <c r="AY60" i="31"/>
  <c r="AU60" i="31"/>
  <c r="AQ60" i="31"/>
  <c r="AM60" i="31"/>
  <c r="AA60" i="31"/>
  <c r="K60" i="31"/>
  <c r="AU59" i="31"/>
  <c r="AE59" i="31"/>
  <c r="O59" i="31"/>
  <c r="AY58" i="31"/>
  <c r="AI58" i="31"/>
  <c r="S58" i="31"/>
  <c r="BC57" i="31"/>
  <c r="AM57" i="31"/>
  <c r="W57" i="31"/>
  <c r="BG56" i="31"/>
  <c r="AQ56" i="31"/>
  <c r="AA56" i="31"/>
  <c r="K56" i="31"/>
  <c r="AU55" i="31"/>
  <c r="AE55" i="31"/>
  <c r="O55" i="31"/>
  <c r="AY54" i="31"/>
  <c r="AI54" i="31"/>
  <c r="S54" i="31"/>
  <c r="BC53" i="31"/>
  <c r="AM53" i="31"/>
  <c r="W53" i="31"/>
  <c r="BG52" i="31"/>
  <c r="AQ52" i="31"/>
  <c r="AA52" i="31"/>
  <c r="K52" i="31"/>
  <c r="AU51" i="31"/>
  <c r="AE51" i="31"/>
  <c r="O51" i="31"/>
  <c r="AY50" i="31"/>
  <c r="AI50" i="31"/>
  <c r="S50" i="31"/>
  <c r="BC49" i="31"/>
  <c r="AM49" i="31"/>
  <c r="W49" i="31"/>
  <c r="BG48" i="31"/>
  <c r="AQ48" i="31"/>
  <c r="AA48" i="31"/>
  <c r="K48" i="31"/>
  <c r="AU47" i="31"/>
  <c r="AE47" i="31"/>
  <c r="O47" i="31"/>
  <c r="AY46" i="31"/>
  <c r="AI46" i="31"/>
  <c r="S46" i="31"/>
  <c r="BC45" i="31"/>
  <c r="AM45" i="31"/>
  <c r="W45" i="31"/>
  <c r="BG44" i="31"/>
  <c r="AQ44" i="31"/>
  <c r="AA44" i="31"/>
  <c r="K44" i="31"/>
  <c r="AU43" i="31"/>
  <c r="AE43" i="31"/>
  <c r="O43" i="31"/>
  <c r="AY42" i="31"/>
  <c r="AI42" i="31"/>
  <c r="S42" i="31"/>
  <c r="BC41" i="31"/>
  <c r="AM41" i="31"/>
  <c r="W41" i="31"/>
  <c r="BG40" i="31"/>
  <c r="AQ40" i="31"/>
  <c r="AA40" i="31"/>
  <c r="K40" i="31"/>
  <c r="AU39" i="31"/>
  <c r="AE39" i="31"/>
  <c r="O39" i="31"/>
  <c r="AY38" i="31"/>
  <c r="AI38" i="31"/>
  <c r="S38" i="31"/>
  <c r="BC37" i="31"/>
  <c r="AM37" i="31"/>
  <c r="W37" i="31"/>
  <c r="BG36" i="31"/>
  <c r="AQ36" i="31"/>
  <c r="AA36" i="31"/>
  <c r="K36" i="31"/>
  <c r="AU35" i="31"/>
  <c r="AE35" i="31"/>
  <c r="O35" i="31"/>
  <c r="AY34" i="31"/>
  <c r="AI34" i="31"/>
  <c r="U34" i="31"/>
  <c r="M34" i="31"/>
  <c r="BE33" i="31"/>
  <c r="AW33" i="31"/>
  <c r="AO33" i="31"/>
  <c r="AG33" i="31"/>
  <c r="Y33" i="31"/>
  <c r="Q33" i="31"/>
  <c r="I33" i="31"/>
  <c r="BA32" i="31"/>
  <c r="AS32" i="31"/>
  <c r="AK32" i="31"/>
  <c r="AC32" i="31"/>
  <c r="U32" i="31"/>
  <c r="M32" i="31"/>
  <c r="BE31" i="31"/>
  <c r="AW31" i="31"/>
  <c r="AO31" i="31"/>
  <c r="AG31" i="31"/>
  <c r="Y31" i="31"/>
  <c r="Q31" i="31"/>
  <c r="I31" i="31"/>
  <c r="BA30" i="31"/>
  <c r="AS30" i="31"/>
  <c r="AK30" i="31"/>
  <c r="AC30" i="31"/>
  <c r="U30" i="31"/>
  <c r="M30" i="31"/>
  <c r="BE29" i="31"/>
  <c r="AW29" i="31"/>
  <c r="AO29" i="31"/>
  <c r="AG29" i="31"/>
  <c r="Y29" i="31"/>
  <c r="Q29" i="31"/>
  <c r="I29" i="31"/>
  <c r="BA28" i="31"/>
  <c r="AS28" i="31"/>
  <c r="Z19" i="31"/>
  <c r="AP18" i="31"/>
  <c r="AD18" i="31"/>
  <c r="R18" i="31"/>
  <c r="BF17" i="31"/>
  <c r="AT17" i="31"/>
  <c r="AD17" i="31"/>
  <c r="R17" i="31"/>
  <c r="BF16" i="31"/>
  <c r="AT16" i="31"/>
  <c r="AH16" i="31"/>
  <c r="N16" i="31"/>
  <c r="BB15" i="31"/>
  <c r="AP15" i="31"/>
  <c r="AD15" i="31"/>
  <c r="R15" i="31"/>
  <c r="BF14" i="31"/>
  <c r="AT14" i="31"/>
  <c r="AH14" i="31"/>
  <c r="R14" i="31"/>
  <c r="BF13" i="31"/>
  <c r="AT13" i="31"/>
  <c r="AH13" i="31"/>
  <c r="V13" i="31"/>
  <c r="J13" i="31"/>
  <c r="AX12" i="31"/>
  <c r="AL12" i="31"/>
  <c r="V12" i="31"/>
  <c r="J12" i="31"/>
  <c r="AX11" i="31"/>
  <c r="AL11" i="31"/>
  <c r="Z11" i="31"/>
  <c r="N11" i="31"/>
  <c r="BB10" i="31"/>
  <c r="AT10" i="31"/>
  <c r="AH10" i="31"/>
  <c r="V10" i="31"/>
  <c r="J10" i="31"/>
  <c r="AT9" i="31"/>
  <c r="AH9" i="31"/>
  <c r="V9" i="31"/>
  <c r="J9" i="31"/>
  <c r="W60" i="31"/>
  <c r="BG59" i="31"/>
  <c r="AQ59" i="31"/>
  <c r="AA59" i="31"/>
  <c r="K59" i="31"/>
  <c r="AU58" i="31"/>
  <c r="AE58" i="31"/>
  <c r="O58" i="31"/>
  <c r="AY57" i="31"/>
  <c r="AI57" i="31"/>
  <c r="S57" i="31"/>
  <c r="BC56" i="31"/>
  <c r="AM56" i="31"/>
  <c r="W56" i="31"/>
  <c r="BG55" i="31"/>
  <c r="AQ55" i="31"/>
  <c r="AA55" i="31"/>
  <c r="K55" i="31"/>
  <c r="AU54" i="31"/>
  <c r="AE54" i="31"/>
  <c r="O54" i="31"/>
  <c r="AY53" i="31"/>
  <c r="AI53" i="31"/>
  <c r="S53" i="31"/>
  <c r="BC52" i="31"/>
  <c r="AM52" i="31"/>
  <c r="W52" i="31"/>
  <c r="BG51" i="31"/>
  <c r="AQ51" i="31"/>
  <c r="AA51" i="31"/>
  <c r="K51" i="31"/>
  <c r="AU50" i="31"/>
  <c r="AE50" i="31"/>
  <c r="O50" i="31"/>
  <c r="AY49" i="31"/>
  <c r="AI49" i="31"/>
  <c r="S49" i="31"/>
  <c r="BC48" i="31"/>
  <c r="AM48" i="31"/>
  <c r="W48" i="31"/>
  <c r="BG47" i="31"/>
  <c r="AQ47" i="31"/>
  <c r="AA47" i="31"/>
  <c r="K47" i="31"/>
  <c r="AU46" i="31"/>
  <c r="AE46" i="31"/>
  <c r="O46" i="31"/>
  <c r="AY45" i="31"/>
  <c r="AI45" i="31"/>
  <c r="S45" i="31"/>
  <c r="BC44" i="31"/>
  <c r="AM44" i="31"/>
  <c r="W44" i="31"/>
  <c r="BG43" i="31"/>
  <c r="AQ43" i="31"/>
  <c r="AA43" i="31"/>
  <c r="K43" i="31"/>
  <c r="AU42" i="31"/>
  <c r="AE42" i="31"/>
  <c r="O42" i="31"/>
  <c r="AY41" i="31"/>
  <c r="AI41" i="31"/>
  <c r="S41" i="31"/>
  <c r="BC40" i="31"/>
  <c r="AM40" i="31"/>
  <c r="W40" i="31"/>
  <c r="BG39" i="31"/>
  <c r="AQ39" i="31"/>
  <c r="AA39" i="31"/>
  <c r="K39" i="31"/>
  <c r="AU38" i="31"/>
  <c r="AE38" i="31"/>
  <c r="O38" i="31"/>
  <c r="AY37" i="31"/>
  <c r="AI37" i="31"/>
  <c r="S37" i="31"/>
  <c r="BC36" i="31"/>
  <c r="AM36" i="31"/>
  <c r="W36" i="31"/>
  <c r="BG35" i="31"/>
  <c r="AQ35" i="31"/>
  <c r="AA35" i="31"/>
  <c r="K35" i="31"/>
  <c r="AU34" i="31"/>
  <c r="AE34" i="31"/>
  <c r="S34" i="31"/>
  <c r="K34" i="31"/>
  <c r="BC33" i="31"/>
  <c r="AU33" i="31"/>
  <c r="AM33" i="31"/>
  <c r="AE33" i="31"/>
  <c r="W33" i="31"/>
  <c r="O33" i="31"/>
  <c r="BG32" i="31"/>
  <c r="AY32" i="31"/>
  <c r="AQ32" i="31"/>
  <c r="AI32" i="31"/>
  <c r="AA32" i="31"/>
  <c r="S32" i="31"/>
  <c r="K32" i="31"/>
  <c r="BC31" i="31"/>
  <c r="AU31" i="31"/>
  <c r="AM31" i="31"/>
  <c r="AE31" i="31"/>
  <c r="W31" i="31"/>
  <c r="O31" i="31"/>
  <c r="BG30" i="31"/>
  <c r="AY30" i="31"/>
  <c r="AQ30" i="31"/>
  <c r="AI30" i="31"/>
  <c r="AA30" i="31"/>
  <c r="S30" i="31"/>
  <c r="K30" i="31"/>
  <c r="BC29" i="31"/>
  <c r="AU29" i="31"/>
  <c r="AM29" i="31"/>
  <c r="AE29" i="31"/>
  <c r="W29" i="31"/>
  <c r="O29" i="31"/>
  <c r="BG28" i="31"/>
  <c r="AY28" i="31"/>
  <c r="AQ28" i="31"/>
  <c r="AI28" i="31"/>
  <c r="AA28" i="31"/>
  <c r="S28" i="31"/>
  <c r="K28" i="31"/>
  <c r="BC27" i="31"/>
  <c r="AU27" i="31"/>
  <c r="AM27" i="31"/>
  <c r="AE27" i="31"/>
  <c r="W27" i="31"/>
  <c r="O27" i="31"/>
  <c r="BG26" i="31"/>
  <c r="AY26" i="31"/>
  <c r="AQ26" i="31"/>
  <c r="AI26" i="31"/>
  <c r="AA26" i="31"/>
  <c r="S26" i="31"/>
  <c r="K26" i="31"/>
  <c r="BC25" i="31"/>
  <c r="AU25" i="31"/>
  <c r="AM25" i="31"/>
  <c r="AE25" i="31"/>
  <c r="W25" i="31"/>
  <c r="O25" i="31"/>
  <c r="BG24" i="31"/>
  <c r="AY24" i="31"/>
  <c r="AQ24" i="31"/>
  <c r="AI24" i="31"/>
  <c r="AA24" i="31"/>
  <c r="S24" i="31"/>
  <c r="K24" i="31"/>
  <c r="BC23" i="31"/>
  <c r="AU23" i="31"/>
  <c r="AM23" i="31"/>
  <c r="AE23" i="31"/>
  <c r="W23" i="31"/>
  <c r="O23" i="31"/>
  <c r="BG22" i="31"/>
  <c r="AY22" i="31"/>
  <c r="AQ22" i="31"/>
  <c r="AI22" i="31"/>
  <c r="AA22" i="31"/>
  <c r="S22" i="31"/>
  <c r="K22" i="31"/>
  <c r="BC21" i="31"/>
  <c r="AU21" i="31"/>
  <c r="AM21" i="31"/>
  <c r="AE21" i="31"/>
  <c r="W21" i="31"/>
  <c r="O21" i="31"/>
  <c r="BG20" i="31"/>
  <c r="AY20" i="31"/>
  <c r="AQ20" i="31"/>
  <c r="AI20" i="31"/>
  <c r="AB20" i="31"/>
  <c r="W20" i="31"/>
  <c r="Q20" i="31"/>
  <c r="M20" i="31"/>
  <c r="I20" i="31"/>
  <c r="BE19" i="31"/>
  <c r="BA19" i="31"/>
  <c r="AW19" i="31"/>
  <c r="AS19" i="31"/>
  <c r="AO19" i="31"/>
  <c r="AK19" i="31"/>
  <c r="AG19" i="31"/>
  <c r="AC19" i="31"/>
  <c r="Y19" i="31"/>
  <c r="U19" i="31"/>
  <c r="Q19" i="31"/>
  <c r="M19" i="31"/>
  <c r="I19" i="31"/>
  <c r="BE18" i="31"/>
  <c r="BA18" i="31"/>
  <c r="AW18" i="31"/>
  <c r="AS18" i="31"/>
  <c r="AO18" i="31"/>
  <c r="AK18" i="31"/>
  <c r="AG18" i="31"/>
  <c r="AC18" i="31"/>
  <c r="Y18" i="31"/>
  <c r="U18" i="31"/>
  <c r="Q18" i="31"/>
  <c r="M18" i="31"/>
  <c r="I18" i="31"/>
  <c r="BE17" i="31"/>
  <c r="BA17" i="31"/>
  <c r="AW17" i="31"/>
  <c r="AS17" i="31"/>
  <c r="AO17" i="31"/>
  <c r="AK17" i="31"/>
  <c r="AG17" i="31"/>
  <c r="AC17" i="31"/>
  <c r="Y17" i="31"/>
  <c r="U17" i="31"/>
  <c r="Q17" i="31"/>
  <c r="M17" i="31"/>
  <c r="I17" i="31"/>
  <c r="BE16" i="31"/>
  <c r="BA16" i="31"/>
  <c r="AW16" i="31"/>
  <c r="AS16" i="31"/>
  <c r="AO16" i="31"/>
  <c r="AK16" i="31"/>
  <c r="AG16" i="31"/>
  <c r="AC16" i="31"/>
  <c r="Y16" i="31"/>
  <c r="U16" i="31"/>
  <c r="Q16" i="31"/>
  <c r="M16" i="31"/>
  <c r="I16" i="31"/>
  <c r="BE15" i="31"/>
  <c r="BA15" i="31"/>
  <c r="AW15" i="31"/>
  <c r="AS15" i="31"/>
  <c r="AO15" i="31"/>
  <c r="AK15" i="31"/>
  <c r="AG15" i="31"/>
  <c r="AC15" i="31"/>
  <c r="Y15" i="31"/>
  <c r="U15" i="31"/>
  <c r="Q15" i="31"/>
  <c r="M15" i="31"/>
  <c r="I15" i="31"/>
  <c r="BE14" i="31"/>
  <c r="BA14" i="31"/>
  <c r="AW14" i="31"/>
  <c r="AS14" i="31"/>
  <c r="AO14" i="31"/>
  <c r="AK14" i="31"/>
  <c r="AG14" i="31"/>
  <c r="AC14" i="31"/>
  <c r="Y14" i="31"/>
  <c r="U14" i="31"/>
  <c r="Q14" i="31"/>
  <c r="M14" i="31"/>
  <c r="I14" i="31"/>
  <c r="BE13" i="31"/>
  <c r="BA13" i="31"/>
  <c r="AW13" i="31"/>
  <c r="AS13" i="31"/>
  <c r="AO13" i="31"/>
  <c r="AK13" i="31"/>
  <c r="AG13" i="31"/>
  <c r="AC13" i="31"/>
  <c r="Y13" i="31"/>
  <c r="U13" i="31"/>
  <c r="Q13" i="31"/>
  <c r="M13" i="31"/>
  <c r="I13" i="31"/>
  <c r="BE12" i="31"/>
  <c r="BA12" i="31"/>
  <c r="AW12" i="31"/>
  <c r="AS12" i="31"/>
  <c r="AO12" i="31"/>
  <c r="AK12" i="31"/>
  <c r="AG12" i="31"/>
  <c r="AC12" i="31"/>
  <c r="Y12" i="31"/>
  <c r="U12" i="31"/>
  <c r="Q12" i="31"/>
  <c r="M12" i="31"/>
  <c r="I12" i="31"/>
  <c r="BE11" i="31"/>
  <c r="BA11" i="31"/>
  <c r="AW11" i="31"/>
  <c r="AS11" i="31"/>
  <c r="AO11" i="31"/>
  <c r="AK11" i="31"/>
  <c r="AG11" i="31"/>
  <c r="AC11" i="31"/>
  <c r="Y11" i="31"/>
  <c r="U11" i="31"/>
  <c r="Q11" i="31"/>
  <c r="M11" i="31"/>
  <c r="I11" i="31"/>
  <c r="BE10" i="31"/>
  <c r="BA10" i="31"/>
  <c r="AW10" i="31"/>
  <c r="AS10" i="31"/>
  <c r="AO10" i="31"/>
  <c r="AK10" i="31"/>
  <c r="AG10" i="31"/>
  <c r="AC10" i="31"/>
  <c r="Y10" i="31"/>
  <c r="U10" i="31"/>
  <c r="Q10" i="31"/>
  <c r="M10" i="31"/>
  <c r="I10" i="31"/>
  <c r="BE9" i="31"/>
  <c r="BA9" i="31"/>
  <c r="AW9" i="31"/>
  <c r="AS9" i="31"/>
  <c r="AO9" i="31"/>
  <c r="AK9" i="31"/>
  <c r="AG9" i="31"/>
  <c r="AC9" i="31"/>
  <c r="Y9" i="31"/>
  <c r="U9" i="31"/>
  <c r="Q9" i="31"/>
  <c r="M9" i="31"/>
  <c r="I9" i="31"/>
  <c r="AI60" i="31"/>
  <c r="S60" i="31"/>
  <c r="BC59" i="31"/>
  <c r="AM59" i="31"/>
  <c r="W59" i="31"/>
  <c r="BG58" i="31"/>
  <c r="AQ58" i="31"/>
  <c r="AA58" i="31"/>
  <c r="K58" i="31"/>
  <c r="AU57" i="31"/>
  <c r="AE57" i="31"/>
  <c r="O57" i="31"/>
  <c r="AY56" i="31"/>
  <c r="AI56" i="31"/>
  <c r="S56" i="31"/>
  <c r="BC55" i="31"/>
  <c r="AM55" i="31"/>
  <c r="W55" i="31"/>
  <c r="BG54" i="31"/>
  <c r="AQ54" i="31"/>
  <c r="AA54" i="31"/>
  <c r="K54" i="31"/>
  <c r="AU53" i="31"/>
  <c r="AE53" i="31"/>
  <c r="O53" i="31"/>
  <c r="AY52" i="31"/>
  <c r="AI52" i="31"/>
  <c r="S52" i="31"/>
  <c r="BC51" i="31"/>
  <c r="AM51" i="31"/>
  <c r="W51" i="31"/>
  <c r="BG50" i="31"/>
  <c r="AQ50" i="31"/>
  <c r="AA50" i="31"/>
  <c r="K50" i="31"/>
  <c r="AU49" i="31"/>
  <c r="AE49" i="31"/>
  <c r="O49" i="31"/>
  <c r="AY48" i="31"/>
  <c r="AI48" i="31"/>
  <c r="S48" i="31"/>
  <c r="BC47" i="31"/>
  <c r="AM47" i="31"/>
  <c r="W47" i="31"/>
  <c r="BG46" i="31"/>
  <c r="AQ46" i="31"/>
  <c r="AA46" i="31"/>
  <c r="K46" i="31"/>
  <c r="AU45" i="31"/>
  <c r="AE45" i="31"/>
  <c r="O45" i="31"/>
  <c r="AY44" i="31"/>
  <c r="AI44" i="31"/>
  <c r="S44" i="31"/>
  <c r="BC43" i="31"/>
  <c r="AM43" i="31"/>
  <c r="W43" i="31"/>
  <c r="BG42" i="31"/>
  <c r="AQ42" i="31"/>
  <c r="AA42" i="31"/>
  <c r="K42" i="31"/>
  <c r="AU41" i="31"/>
  <c r="AE41" i="31"/>
  <c r="O41" i="31"/>
  <c r="AY40" i="31"/>
  <c r="AI40" i="31"/>
  <c r="S40" i="31"/>
  <c r="BC39" i="31"/>
  <c r="AM39" i="31"/>
  <c r="W39" i="31"/>
  <c r="BG38" i="31"/>
  <c r="AQ38" i="31"/>
  <c r="AA38" i="31"/>
  <c r="K38" i="31"/>
  <c r="AU37" i="31"/>
  <c r="AE37" i="31"/>
  <c r="O37" i="31"/>
  <c r="AY36" i="31"/>
  <c r="AI36" i="31"/>
  <c r="S36" i="31"/>
  <c r="BC35" i="31"/>
  <c r="AM35" i="31"/>
  <c r="W35" i="31"/>
  <c r="BG34" i="31"/>
  <c r="AQ34" i="31"/>
  <c r="AA34" i="31"/>
  <c r="Q34" i="31"/>
  <c r="I34" i="31"/>
  <c r="BA33" i="31"/>
  <c r="AS33" i="31"/>
  <c r="AK33" i="31"/>
  <c r="AC33" i="31"/>
  <c r="U33" i="31"/>
  <c r="M33" i="31"/>
  <c r="BE32" i="31"/>
  <c r="AW32" i="31"/>
  <c r="AO32" i="31"/>
  <c r="AG32" i="31"/>
  <c r="Y32" i="31"/>
  <c r="Q32" i="31"/>
  <c r="I32" i="31"/>
  <c r="BA31" i="31"/>
  <c r="AS31" i="31"/>
  <c r="AK31" i="31"/>
  <c r="AC31" i="31"/>
  <c r="U31" i="31"/>
  <c r="M31" i="31"/>
  <c r="BE30" i="31"/>
  <c r="AW30" i="31"/>
  <c r="AO30" i="31"/>
  <c r="AG30" i="31"/>
  <c r="Y30" i="31"/>
  <c r="Q30" i="31"/>
  <c r="I30" i="31"/>
  <c r="BA29" i="31"/>
  <c r="AS29" i="31"/>
  <c r="AK29" i="31"/>
  <c r="AC29" i="31"/>
  <c r="U29" i="31"/>
  <c r="M29" i="31"/>
  <c r="BE28" i="31"/>
  <c r="AW28" i="31"/>
  <c r="AO28" i="31"/>
  <c r="AG28" i="31"/>
  <c r="Y28" i="31"/>
  <c r="Q28" i="31"/>
  <c r="I28" i="31"/>
  <c r="BA27" i="31"/>
  <c r="AS27" i="31"/>
  <c r="AK27" i="31"/>
  <c r="AC27" i="31"/>
  <c r="U27" i="31"/>
  <c r="M27" i="31"/>
  <c r="BE26" i="31"/>
  <c r="AW26" i="31"/>
  <c r="AO26" i="31"/>
  <c r="AG26" i="31"/>
  <c r="Y26" i="31"/>
  <c r="Q26" i="31"/>
  <c r="I26" i="31"/>
  <c r="BA25" i="31"/>
  <c r="AS25" i="31"/>
  <c r="AK25" i="31"/>
  <c r="AC25" i="31"/>
  <c r="U25" i="31"/>
  <c r="M25" i="31"/>
  <c r="BE24" i="31"/>
  <c r="AW24" i="31"/>
  <c r="AO24" i="31"/>
  <c r="AG24" i="31"/>
  <c r="Y24" i="31"/>
  <c r="Q24" i="31"/>
  <c r="I24" i="31"/>
  <c r="BA23" i="31"/>
  <c r="AS23" i="31"/>
  <c r="AK23" i="31"/>
  <c r="AC23" i="31"/>
  <c r="U23" i="31"/>
  <c r="M23" i="31"/>
  <c r="BE22" i="31"/>
  <c r="AW22" i="31"/>
  <c r="AO22" i="31"/>
  <c r="AG22" i="31"/>
  <c r="Y22" i="31"/>
  <c r="Q22" i="31"/>
  <c r="I22" i="31"/>
  <c r="BA21" i="31"/>
  <c r="AS21" i="31"/>
  <c r="AK21" i="31"/>
  <c r="AC21" i="31"/>
  <c r="U21" i="31"/>
  <c r="M21" i="31"/>
  <c r="BE20" i="31"/>
  <c r="AW20" i="31"/>
  <c r="AO20" i="31"/>
  <c r="AG20" i="31"/>
  <c r="AA20" i="31"/>
  <c r="U20" i="31"/>
  <c r="P20" i="31"/>
  <c r="L20" i="31"/>
  <c r="H20" i="31"/>
  <c r="BD19" i="31"/>
  <c r="AZ19" i="31"/>
  <c r="AV19" i="31"/>
  <c r="AR19" i="31"/>
  <c r="AN19" i="31"/>
  <c r="AJ19" i="31"/>
  <c r="AF19" i="31"/>
  <c r="AB19" i="31"/>
  <c r="X19" i="31"/>
  <c r="T19" i="31"/>
  <c r="P19" i="31"/>
  <c r="L19" i="31"/>
  <c r="H19" i="31"/>
  <c r="BD18" i="31"/>
  <c r="AZ18" i="31"/>
  <c r="AV18" i="31"/>
  <c r="AR18" i="31"/>
  <c r="AN18" i="31"/>
  <c r="AJ18" i="31"/>
  <c r="AF18" i="31"/>
  <c r="AB18" i="31"/>
  <c r="X18" i="31"/>
  <c r="T18" i="31"/>
  <c r="P18" i="31"/>
  <c r="L18" i="31"/>
  <c r="H18" i="31"/>
  <c r="BD17" i="31"/>
  <c r="AZ17" i="31"/>
  <c r="AV17" i="31"/>
  <c r="AR17" i="31"/>
  <c r="AN17" i="31"/>
  <c r="AJ17" i="31"/>
  <c r="AF17" i="31"/>
  <c r="AB17" i="31"/>
  <c r="X17" i="31"/>
  <c r="T17" i="31"/>
  <c r="P17" i="31"/>
  <c r="L17" i="31"/>
  <c r="H17" i="31"/>
  <c r="BD16" i="31"/>
  <c r="AZ16" i="31"/>
  <c r="AV16" i="31"/>
  <c r="AR16" i="31"/>
  <c r="AN16" i="31"/>
  <c r="AJ16" i="31"/>
  <c r="AF16" i="31"/>
  <c r="AB16" i="31"/>
  <c r="X16" i="31"/>
  <c r="T16" i="31"/>
  <c r="P16" i="31"/>
  <c r="L16" i="31"/>
  <c r="H16" i="31"/>
  <c r="BD15" i="31"/>
  <c r="AZ15" i="31"/>
  <c r="AV15" i="31"/>
  <c r="AR15" i="31"/>
  <c r="AN15" i="31"/>
  <c r="AJ15" i="31"/>
  <c r="AF15" i="31"/>
  <c r="AB15" i="31"/>
  <c r="X15" i="31"/>
  <c r="T15" i="31"/>
  <c r="P15" i="31"/>
  <c r="L15" i="31"/>
  <c r="H15" i="31"/>
  <c r="BD14" i="31"/>
  <c r="AZ14" i="31"/>
  <c r="AV14" i="31"/>
  <c r="AR14" i="31"/>
  <c r="AN14" i="31"/>
  <c r="AJ14" i="31"/>
  <c r="AF14" i="31"/>
  <c r="AB14" i="31"/>
  <c r="X14" i="31"/>
  <c r="T14" i="31"/>
  <c r="P14" i="31"/>
  <c r="L14" i="31"/>
  <c r="H14" i="31"/>
  <c r="BD13" i="31"/>
  <c r="AZ13" i="31"/>
  <c r="AV13" i="31"/>
  <c r="AR13" i="31"/>
  <c r="AN13" i="31"/>
  <c r="AJ13" i="31"/>
  <c r="AF13" i="31"/>
  <c r="AB13" i="31"/>
  <c r="X13" i="31"/>
  <c r="T13" i="31"/>
  <c r="P13" i="31"/>
  <c r="L13" i="31"/>
  <c r="H13" i="31"/>
  <c r="BD12" i="31"/>
  <c r="AZ12" i="31"/>
  <c r="AV12" i="31"/>
  <c r="AR12" i="31"/>
  <c r="AN12" i="31"/>
  <c r="AJ12" i="31"/>
  <c r="AF12" i="31"/>
  <c r="AB12" i="31"/>
  <c r="X12" i="31"/>
  <c r="T12" i="31"/>
  <c r="P12" i="31"/>
  <c r="L12" i="31"/>
  <c r="H12" i="31"/>
  <c r="BD11" i="31"/>
  <c r="AZ11" i="31"/>
  <c r="AV11" i="31"/>
  <c r="AR11" i="31"/>
  <c r="AN11" i="31"/>
  <c r="AJ11" i="31"/>
  <c r="AF11" i="31"/>
  <c r="AB11" i="31"/>
  <c r="X11" i="31"/>
  <c r="T11" i="31"/>
  <c r="P11" i="31"/>
  <c r="L11" i="31"/>
  <c r="H11" i="31"/>
  <c r="BD10" i="31"/>
  <c r="AZ10" i="31"/>
  <c r="AV10" i="31"/>
  <c r="AR10" i="31"/>
  <c r="AN10" i="31"/>
  <c r="AJ10" i="31"/>
  <c r="AF10" i="31"/>
  <c r="AB10" i="31"/>
  <c r="X10" i="31"/>
  <c r="T10" i="31"/>
  <c r="P10" i="31"/>
  <c r="L10" i="31"/>
  <c r="H10" i="31"/>
  <c r="BD9" i="31"/>
  <c r="AZ9" i="31"/>
  <c r="AV9" i="31"/>
  <c r="AR9" i="31"/>
  <c r="AN9" i="31"/>
  <c r="AJ9" i="31"/>
  <c r="AF9" i="31"/>
  <c r="AB9" i="31"/>
  <c r="X9" i="31"/>
  <c r="T9" i="31"/>
  <c r="P9" i="31"/>
  <c r="L9" i="31"/>
  <c r="H9" i="31"/>
  <c r="AC28" i="31"/>
  <c r="U28" i="31"/>
  <c r="AW27" i="31"/>
  <c r="AG27" i="31"/>
  <c r="Y27" i="31"/>
  <c r="I27" i="31"/>
  <c r="AS26" i="31"/>
  <c r="AC26" i="31"/>
  <c r="M26" i="31"/>
  <c r="AW25" i="31"/>
  <c r="AG25" i="31"/>
  <c r="Q25" i="31"/>
  <c r="BA24" i="31"/>
  <c r="AK24" i="31"/>
  <c r="U24" i="31"/>
  <c r="BE23" i="31"/>
  <c r="AO23" i="31"/>
  <c r="Y23" i="31"/>
  <c r="I23" i="31"/>
  <c r="AS22" i="31"/>
  <c r="U22" i="31"/>
  <c r="BE21" i="31"/>
  <c r="AO21" i="31"/>
  <c r="Y21" i="31"/>
  <c r="I21" i="31"/>
  <c r="AS20" i="31"/>
  <c r="AC20" i="31"/>
  <c r="S20" i="31"/>
  <c r="J20" i="31"/>
  <c r="BB19" i="31"/>
  <c r="AT19" i="31"/>
  <c r="AL19" i="31"/>
  <c r="V19" i="31"/>
  <c r="N19" i="31"/>
  <c r="BF18" i="31"/>
  <c r="AX18" i="31"/>
  <c r="AL18" i="31"/>
  <c r="Z18" i="31"/>
  <c r="J18" i="31"/>
  <c r="AX17" i="31"/>
  <c r="AL17" i="31"/>
  <c r="Z17" i="31"/>
  <c r="N17" i="31"/>
  <c r="AX16" i="31"/>
  <c r="AL16" i="31"/>
  <c r="Z16" i="31"/>
  <c r="R16" i="31"/>
  <c r="BF15" i="31"/>
  <c r="AT15" i="31"/>
  <c r="AH15" i="31"/>
  <c r="V15" i="31"/>
  <c r="J15" i="31"/>
  <c r="AX14" i="31"/>
  <c r="AL14" i="31"/>
  <c r="Z14" i="31"/>
  <c r="N14" i="31"/>
  <c r="AX13" i="31"/>
  <c r="AL13" i="31"/>
  <c r="Z13" i="31"/>
  <c r="N13" i="31"/>
  <c r="BB12" i="31"/>
  <c r="AP12" i="31"/>
  <c r="AD12" i="31"/>
  <c r="N12" i="31"/>
  <c r="BB11" i="31"/>
  <c r="AP11" i="31"/>
  <c r="AD11" i="31"/>
  <c r="R11" i="31"/>
  <c r="BF10" i="31"/>
  <c r="AP10" i="31"/>
  <c r="Z10" i="31"/>
  <c r="N10" i="31"/>
  <c r="BB9" i="31"/>
  <c r="AP9" i="31"/>
  <c r="AD9" i="31"/>
  <c r="R9" i="31"/>
  <c r="AE60" i="31"/>
  <c r="O60" i="31"/>
  <c r="AY59" i="31"/>
  <c r="AI59" i="31"/>
  <c r="S59" i="31"/>
  <c r="BC58" i="31"/>
  <c r="AM58" i="31"/>
  <c r="W58" i="31"/>
  <c r="BG57" i="31"/>
  <c r="AQ57" i="31"/>
  <c r="AA57" i="31"/>
  <c r="K57" i="31"/>
  <c r="AU56" i="31"/>
  <c r="AE56" i="31"/>
  <c r="O56" i="31"/>
  <c r="AY55" i="31"/>
  <c r="AI55" i="31"/>
  <c r="S55" i="31"/>
  <c r="BC54" i="31"/>
  <c r="AM54" i="31"/>
  <c r="W54" i="31"/>
  <c r="BG53" i="31"/>
  <c r="AQ53" i="31"/>
  <c r="AA53" i="31"/>
  <c r="K53" i="31"/>
  <c r="AU52" i="31"/>
  <c r="AE52" i="31"/>
  <c r="O52" i="31"/>
  <c r="AY51" i="31"/>
  <c r="AI51" i="31"/>
  <c r="S51" i="31"/>
  <c r="BC50" i="31"/>
  <c r="AM50" i="31"/>
  <c r="W50" i="31"/>
  <c r="BG49" i="31"/>
  <c r="AQ49" i="31"/>
  <c r="AA49" i="31"/>
  <c r="K49" i="31"/>
  <c r="AU48" i="31"/>
  <c r="AE48" i="31"/>
  <c r="O48" i="31"/>
  <c r="AY47" i="31"/>
  <c r="AI47" i="31"/>
  <c r="S47" i="31"/>
  <c r="BC46" i="31"/>
  <c r="AM46" i="31"/>
  <c r="W46" i="31"/>
  <c r="BG45" i="31"/>
  <c r="AQ45" i="31"/>
  <c r="AA45" i="31"/>
  <c r="K45" i="31"/>
  <c r="AU44" i="31"/>
  <c r="AE44" i="31"/>
  <c r="O44" i="31"/>
  <c r="AY43" i="31"/>
  <c r="AI43" i="31"/>
  <c r="S43" i="31"/>
  <c r="BC42" i="31"/>
  <c r="AM42" i="31"/>
  <c r="W42" i="31"/>
  <c r="BG41" i="31"/>
  <c r="AQ41" i="31"/>
  <c r="AA41" i="31"/>
  <c r="K41" i="31"/>
  <c r="AU40" i="31"/>
  <c r="AE40" i="31"/>
  <c r="O40" i="31"/>
  <c r="AY39" i="31"/>
  <c r="AI39" i="31"/>
  <c r="S39" i="31"/>
  <c r="BC38" i="31"/>
  <c r="AM38" i="31"/>
  <c r="W38" i="31"/>
  <c r="BG37" i="31"/>
  <c r="AQ37" i="31"/>
  <c r="AA37" i="31"/>
  <c r="K37" i="31"/>
  <c r="AU36" i="31"/>
  <c r="AE36" i="31"/>
  <c r="O36" i="31"/>
  <c r="AY35" i="31"/>
  <c r="AI35" i="31"/>
  <c r="S35" i="31"/>
  <c r="BC34" i="31"/>
  <c r="AM34" i="31"/>
  <c r="W34" i="31"/>
  <c r="O34" i="31"/>
  <c r="BG33" i="31"/>
  <c r="AY33" i="31"/>
  <c r="AQ33" i="31"/>
  <c r="AI33" i="31"/>
  <c r="AA33" i="31"/>
  <c r="S33" i="31"/>
  <c r="K33" i="31"/>
  <c r="BC32" i="31"/>
  <c r="AU32" i="31"/>
  <c r="AM32" i="31"/>
  <c r="AE32" i="31"/>
  <c r="W32" i="31"/>
  <c r="O32" i="31"/>
  <c r="BG31" i="31"/>
  <c r="AY31" i="31"/>
  <c r="AQ31" i="31"/>
  <c r="AI31" i="31"/>
  <c r="AA31" i="31"/>
  <c r="S31" i="31"/>
  <c r="K31" i="31"/>
  <c r="BC30" i="31"/>
  <c r="AU30" i="31"/>
  <c r="AM30" i="31"/>
  <c r="AE30" i="31"/>
  <c r="W30" i="31"/>
  <c r="O30" i="31"/>
  <c r="BG29" i="31"/>
  <c r="AY29" i="31"/>
  <c r="AQ29" i="31"/>
  <c r="AI29" i="31"/>
  <c r="AA29" i="31"/>
  <c r="S29" i="31"/>
  <c r="K29" i="31"/>
  <c r="BC28" i="31"/>
  <c r="AU28" i="31"/>
  <c r="AM28" i="31"/>
  <c r="AE28" i="31"/>
  <c r="W28" i="31"/>
  <c r="O28" i="31"/>
  <c r="BG27" i="31"/>
  <c r="AY27" i="31"/>
  <c r="AQ27" i="31"/>
  <c r="AI27" i="31"/>
  <c r="AA27" i="31"/>
  <c r="S27" i="31"/>
  <c r="K27" i="31"/>
  <c r="BC26" i="31"/>
  <c r="AU26" i="31"/>
  <c r="AM26" i="31"/>
  <c r="AE26" i="31"/>
  <c r="W26" i="31"/>
  <c r="O26" i="31"/>
  <c r="BG25" i="31"/>
  <c r="AY25" i="31"/>
  <c r="AQ25" i="31"/>
  <c r="AI25" i="31"/>
  <c r="AA25" i="31"/>
  <c r="S25" i="31"/>
  <c r="K25" i="31"/>
  <c r="BC24" i="31"/>
  <c r="AU24" i="31"/>
  <c r="AM24" i="31"/>
  <c r="AE24" i="31"/>
  <c r="W24" i="31"/>
  <c r="O24" i="31"/>
  <c r="BG23" i="31"/>
  <c r="AY23" i="31"/>
  <c r="AQ23" i="31"/>
  <c r="AI23" i="31"/>
  <c r="AA23" i="31"/>
  <c r="S23" i="31"/>
  <c r="K23" i="31"/>
  <c r="BC22" i="31"/>
  <c r="AU22" i="31"/>
  <c r="AM22" i="31"/>
  <c r="AE22" i="31"/>
  <c r="W22" i="31"/>
  <c r="O22" i="31"/>
  <c r="BG21" i="31"/>
  <c r="AY21" i="31"/>
  <c r="AQ21" i="31"/>
  <c r="AI21" i="31"/>
  <c r="AA21" i="31"/>
  <c r="S21" i="31"/>
  <c r="K21" i="31"/>
  <c r="BC20" i="31"/>
  <c r="AU20" i="31"/>
  <c r="AM20" i="31"/>
  <c r="AE20" i="31"/>
  <c r="Y20" i="31"/>
  <c r="T20" i="31"/>
  <c r="O20" i="31"/>
  <c r="K20" i="31"/>
  <c r="BG19" i="31"/>
  <c r="BC19" i="31"/>
  <c r="AY19" i="31"/>
  <c r="AU19" i="31"/>
  <c r="AQ19" i="31"/>
  <c r="AM19" i="31"/>
  <c r="AI19" i="31"/>
  <c r="AE19" i="31"/>
  <c r="AA19" i="31"/>
  <c r="W19" i="31"/>
  <c r="S19" i="31"/>
  <c r="O19" i="31"/>
  <c r="K19" i="31"/>
  <c r="BG18" i="31"/>
  <c r="BC18" i="31"/>
  <c r="AY18" i="31"/>
  <c r="AU18" i="31"/>
  <c r="AQ18" i="31"/>
  <c r="AM18" i="31"/>
  <c r="AI18" i="31"/>
  <c r="AE18" i="31"/>
  <c r="AA18" i="31"/>
  <c r="W18" i="31"/>
  <c r="S18" i="31"/>
  <c r="O18" i="31"/>
  <c r="K18" i="31"/>
  <c r="BG17" i="31"/>
  <c r="BC17" i="31"/>
  <c r="AY17" i="31"/>
  <c r="AU17" i="31"/>
  <c r="AQ17" i="31"/>
  <c r="AM17" i="31"/>
  <c r="AI17" i="31"/>
  <c r="AE17" i="31"/>
  <c r="AA17" i="31"/>
  <c r="W17" i="31"/>
  <c r="S17" i="31"/>
  <c r="O17" i="31"/>
  <c r="K17" i="31"/>
  <c r="BG16" i="31"/>
  <c r="BC16" i="31"/>
  <c r="AY16" i="31"/>
  <c r="AU16" i="31"/>
  <c r="AQ16" i="31"/>
  <c r="AM16" i="31"/>
  <c r="AI16" i="31"/>
  <c r="AE16" i="31"/>
  <c r="AA16" i="31"/>
  <c r="W16" i="31"/>
  <c r="S16" i="31"/>
  <c r="O16" i="31"/>
  <c r="K16" i="31"/>
  <c r="BG15" i="31"/>
  <c r="BC15" i="31"/>
  <c r="AY15" i="31"/>
  <c r="AU15" i="31"/>
  <c r="AQ15" i="31"/>
  <c r="AM15" i="31"/>
  <c r="AI15" i="31"/>
  <c r="AE15" i="31"/>
  <c r="AA15" i="31"/>
  <c r="W15" i="31"/>
  <c r="S15" i="31"/>
  <c r="O15" i="31"/>
  <c r="K15" i="31"/>
  <c r="BG14" i="31"/>
  <c r="BC14" i="31"/>
  <c r="AY14" i="31"/>
  <c r="AU14" i="31"/>
  <c r="AQ14" i="31"/>
  <c r="AM14" i="31"/>
  <c r="AI14" i="31"/>
  <c r="AE14" i="31"/>
  <c r="AA14" i="31"/>
  <c r="W14" i="31"/>
  <c r="S14" i="31"/>
  <c r="O14" i="31"/>
  <c r="K14" i="31"/>
  <c r="BG13" i="31"/>
  <c r="BC13" i="31"/>
  <c r="AY13" i="31"/>
  <c r="AU13" i="31"/>
  <c r="AQ13" i="31"/>
  <c r="AM13" i="31"/>
  <c r="AI13" i="31"/>
  <c r="AE13" i="31"/>
  <c r="AA13" i="31"/>
  <c r="W13" i="31"/>
  <c r="S13" i="31"/>
  <c r="O13" i="31"/>
  <c r="K13" i="31"/>
  <c r="BG12" i="31"/>
  <c r="BC12" i="31"/>
  <c r="AY12" i="31"/>
  <c r="AU12" i="31"/>
  <c r="AQ12" i="31"/>
  <c r="AM12" i="31"/>
  <c r="AI12" i="31"/>
  <c r="AE12" i="31"/>
  <c r="AA12" i="31"/>
  <c r="W12" i="31"/>
  <c r="S12" i="31"/>
  <c r="O12" i="31"/>
  <c r="K12" i="31"/>
  <c r="BG11" i="31"/>
  <c r="BC11" i="31"/>
  <c r="AY11" i="31"/>
  <c r="AU11" i="31"/>
  <c r="AQ11" i="31"/>
  <c r="AM11" i="31"/>
  <c r="AI11" i="31"/>
  <c r="AE11" i="31"/>
  <c r="AA11" i="31"/>
  <c r="W11" i="31"/>
  <c r="S11" i="31"/>
  <c r="O11" i="31"/>
  <c r="K11" i="31"/>
  <c r="BG10" i="31"/>
  <c r="BC10" i="31"/>
  <c r="AY10" i="31"/>
  <c r="AU10" i="31"/>
  <c r="AQ10" i="31"/>
  <c r="AM10" i="31"/>
  <c r="AI10" i="31"/>
  <c r="AE10" i="31"/>
  <c r="AA10" i="31"/>
  <c r="W10" i="31"/>
  <c r="S10" i="31"/>
  <c r="O10" i="31"/>
  <c r="K10" i="31"/>
  <c r="BG9" i="31"/>
  <c r="BC9" i="31"/>
  <c r="AY9" i="31"/>
  <c r="AU9" i="31"/>
  <c r="AQ9" i="31"/>
  <c r="AM9" i="31"/>
  <c r="AI9" i="31"/>
  <c r="AE9" i="31"/>
  <c r="AA9" i="31"/>
  <c r="W9" i="31"/>
  <c r="S9" i="31"/>
  <c r="O9" i="31"/>
  <c r="K9" i="31"/>
  <c r="AK28" i="31"/>
  <c r="M28" i="31"/>
  <c r="BE27" i="31"/>
  <c r="AO27" i="31"/>
  <c r="Q27" i="31"/>
  <c r="BA26" i="31"/>
  <c r="AK26" i="31"/>
  <c r="U26" i="31"/>
  <c r="BE25" i="31"/>
  <c r="AO25" i="31"/>
  <c r="Y25" i="31"/>
  <c r="I25" i="31"/>
  <c r="AS24" i="31"/>
  <c r="AC24" i="31"/>
  <c r="M24" i="31"/>
  <c r="AW23" i="31"/>
  <c r="AG23" i="31"/>
  <c r="Q23" i="31"/>
  <c r="BA22" i="31"/>
  <c r="AK22" i="31"/>
  <c r="AC22" i="31"/>
  <c r="M22" i="31"/>
  <c r="AW21" i="31"/>
  <c r="AG21" i="31"/>
  <c r="Q21" i="31"/>
  <c r="BA20" i="31"/>
  <c r="AK20" i="31"/>
  <c r="X20" i="31"/>
  <c r="N20" i="31"/>
  <c r="BF19" i="31"/>
  <c r="AX19" i="31"/>
  <c r="AP19" i="31"/>
  <c r="AH19" i="31"/>
  <c r="AD19" i="31"/>
  <c r="R19" i="31"/>
  <c r="J19" i="31"/>
  <c r="BB18" i="31"/>
  <c r="AT18" i="31"/>
  <c r="AH18" i="31"/>
  <c r="V18" i="31"/>
  <c r="N18" i="31"/>
  <c r="BB17" i="31"/>
  <c r="AP17" i="31"/>
  <c r="AH17" i="31"/>
  <c r="V17" i="31"/>
  <c r="J17" i="31"/>
  <c r="BB16" i="31"/>
  <c r="AP16" i="31"/>
  <c r="AD16" i="31"/>
  <c r="V16" i="31"/>
  <c r="J16" i="31"/>
  <c r="AX15" i="31"/>
  <c r="AL15" i="31"/>
  <c r="Z15" i="31"/>
  <c r="N15" i="31"/>
  <c r="BB14" i="31"/>
  <c r="AP14" i="31"/>
  <c r="AD14" i="31"/>
  <c r="V14" i="31"/>
  <c r="J14" i="31"/>
  <c r="BB13" i="31"/>
  <c r="AP13" i="31"/>
  <c r="AD13" i="31"/>
  <c r="R13" i="31"/>
  <c r="BF12" i="31"/>
  <c r="AT12" i="31"/>
  <c r="AH12" i="31"/>
  <c r="Z12" i="31"/>
  <c r="R12" i="31"/>
  <c r="BF11" i="31"/>
  <c r="AT11" i="31"/>
  <c r="AH11" i="31"/>
  <c r="V11" i="31"/>
  <c r="J11" i="31"/>
  <c r="AX10" i="31"/>
  <c r="AL10" i="31"/>
  <c r="AD10" i="31"/>
  <c r="R10" i="31"/>
  <c r="BF9" i="31"/>
  <c r="AX9" i="31"/>
  <c r="AL9" i="31"/>
  <c r="Z9" i="31"/>
  <c r="N9" i="31"/>
  <c r="DN41" i="6"/>
  <c r="DM40" i="6"/>
  <c r="F9" i="30"/>
  <c r="BN3" i="31" s="1"/>
  <c r="BN1" i="31" s="1"/>
  <c r="A16" i="17"/>
  <c r="H14" i="39" s="1"/>
  <c r="D15" i="17"/>
  <c r="D9" i="30"/>
  <c r="E9" i="30"/>
  <c r="B10" i="30"/>
  <c r="A10" i="30" s="1"/>
  <c r="C15" i="17"/>
  <c r="J13" i="39" s="1"/>
  <c r="B15" i="17"/>
  <c r="I13" i="39" s="1"/>
  <c r="A56" i="26"/>
  <c r="A55" i="26"/>
  <c r="A57" i="26"/>
  <c r="E4" i="17"/>
  <c r="A69" i="26"/>
  <c r="A70" i="26"/>
  <c r="A71" i="26"/>
  <c r="A72" i="26"/>
  <c r="A73" i="26"/>
  <c r="A74" i="26"/>
  <c r="A75" i="26"/>
  <c r="A76" i="26"/>
  <c r="A77" i="26"/>
  <c r="A68" i="26"/>
  <c r="BN110" i="31" l="1"/>
  <c r="A18" i="36"/>
  <c r="B17" i="36"/>
  <c r="DN42" i="6"/>
  <c r="DM41" i="6"/>
  <c r="E143" i="24"/>
  <c r="E200" i="24"/>
  <c r="E205" i="24"/>
  <c r="E183" i="24"/>
  <c r="E180" i="24"/>
  <c r="E207" i="24"/>
  <c r="E177" i="24"/>
  <c r="E153" i="24"/>
  <c r="E142" i="24"/>
  <c r="E159" i="24"/>
  <c r="E201" i="24"/>
  <c r="E151" i="24"/>
  <c r="E188" i="24"/>
  <c r="E164" i="24"/>
  <c r="E173" i="24"/>
  <c r="E212" i="24"/>
  <c r="E140" i="24"/>
  <c r="E134" i="24"/>
  <c r="E128" i="24"/>
  <c r="E136" i="24"/>
  <c r="E208" i="24"/>
  <c r="E218" i="24"/>
  <c r="E144" i="24"/>
  <c r="E138" i="24"/>
  <c r="E223" i="24"/>
  <c r="E165" i="24"/>
  <c r="E191" i="24"/>
  <c r="E135" i="24"/>
  <c r="E193" i="24"/>
  <c r="E172" i="24"/>
  <c r="E204" i="24"/>
  <c r="E169" i="24"/>
  <c r="E176" i="24"/>
  <c r="E187" i="24"/>
  <c r="E147" i="24"/>
  <c r="E163" i="24"/>
  <c r="E211" i="24"/>
  <c r="E141" i="24"/>
  <c r="E162" i="24"/>
  <c r="E132" i="24"/>
  <c r="E209" i="24"/>
  <c r="E148" i="24"/>
  <c r="E189" i="24"/>
  <c r="E219" i="24"/>
  <c r="E206" i="24"/>
  <c r="E158" i="24"/>
  <c r="E182" i="24"/>
  <c r="E157" i="24"/>
  <c r="E139" i="24"/>
  <c r="E203" i="24"/>
  <c r="E215" i="24"/>
  <c r="E220" i="24"/>
  <c r="E217" i="24"/>
  <c r="E181" i="24"/>
  <c r="E156" i="24"/>
  <c r="E150" i="24"/>
  <c r="E174" i="24"/>
  <c r="E129" i="24"/>
  <c r="E161" i="24"/>
  <c r="E222" i="24"/>
  <c r="E160" i="24"/>
  <c r="E197" i="24"/>
  <c r="E216" i="24"/>
  <c r="E221" i="24"/>
  <c r="E195" i="24"/>
  <c r="E186" i="24"/>
  <c r="E155" i="24"/>
  <c r="E178" i="24"/>
  <c r="E130" i="24"/>
  <c r="E154" i="24"/>
  <c r="E167" i="24"/>
  <c r="E198" i="24"/>
  <c r="E214" i="24"/>
  <c r="E184" i="24"/>
  <c r="E179" i="24"/>
  <c r="E171" i="24"/>
  <c r="E192" i="24"/>
  <c r="E202" i="24"/>
  <c r="E175" i="24"/>
  <c r="E145" i="24"/>
  <c r="E199" i="24"/>
  <c r="E185" i="24"/>
  <c r="E137" i="24"/>
  <c r="E131" i="24"/>
  <c r="E210" i="24"/>
  <c r="E194" i="24"/>
  <c r="E133" i="24"/>
  <c r="E168" i="24"/>
  <c r="E213" i="24"/>
  <c r="E196" i="24"/>
  <c r="E166" i="24"/>
  <c r="E190" i="24"/>
  <c r="E149" i="24"/>
  <c r="E152" i="24"/>
  <c r="E146" i="24"/>
  <c r="E170" i="24"/>
  <c r="E122" i="24"/>
  <c r="E89" i="24"/>
  <c r="E73" i="24"/>
  <c r="E62" i="24"/>
  <c r="E41" i="24"/>
  <c r="E53" i="24"/>
  <c r="E66" i="24"/>
  <c r="E37" i="24"/>
  <c r="E94" i="24"/>
  <c r="E104" i="24"/>
  <c r="E49" i="24"/>
  <c r="E52" i="24"/>
  <c r="E84" i="24"/>
  <c r="E71" i="24"/>
  <c r="E29" i="24"/>
  <c r="E119" i="24"/>
  <c r="E78" i="24"/>
  <c r="E82" i="24"/>
  <c r="E61" i="24"/>
  <c r="E48" i="24"/>
  <c r="E40" i="24"/>
  <c r="E102" i="24"/>
  <c r="E100" i="24"/>
  <c r="E79" i="24"/>
  <c r="E108" i="24"/>
  <c r="E87" i="24"/>
  <c r="E95" i="24"/>
  <c r="E31" i="24"/>
  <c r="E30" i="24"/>
  <c r="E34" i="24"/>
  <c r="E32" i="24"/>
  <c r="E105" i="24"/>
  <c r="E121" i="24"/>
  <c r="E68" i="24"/>
  <c r="E55" i="24"/>
  <c r="E36" i="24"/>
  <c r="E120" i="24"/>
  <c r="E123" i="24"/>
  <c r="E91" i="24"/>
  <c r="E115" i="24"/>
  <c r="E46" i="24"/>
  <c r="E38" i="24"/>
  <c r="E110" i="24"/>
  <c r="E85" i="24"/>
  <c r="E63" i="24"/>
  <c r="E70" i="24"/>
  <c r="E35" i="24"/>
  <c r="E116" i="24"/>
  <c r="E50" i="24"/>
  <c r="E65" i="24"/>
  <c r="E27" i="24"/>
  <c r="E26" i="24"/>
  <c r="E28" i="24"/>
  <c r="E117" i="24"/>
  <c r="E64" i="24"/>
  <c r="E44" i="24"/>
  <c r="E33" i="24"/>
  <c r="E45" i="24"/>
  <c r="E80" i="24"/>
  <c r="E90" i="24"/>
  <c r="E47" i="24"/>
  <c r="E88" i="24"/>
  <c r="E92" i="24"/>
  <c r="E112" i="24"/>
  <c r="E54" i="24"/>
  <c r="E60" i="24"/>
  <c r="E99" i="24"/>
  <c r="E106" i="24"/>
  <c r="E96" i="24"/>
  <c r="E109" i="24"/>
  <c r="E97" i="24"/>
  <c r="E76" i="24"/>
  <c r="E42" i="24"/>
  <c r="E98" i="24"/>
  <c r="E57" i="24"/>
  <c r="E69" i="24"/>
  <c r="E59" i="24"/>
  <c r="E114" i="24"/>
  <c r="E93" i="24"/>
  <c r="E56" i="24"/>
  <c r="E86" i="24"/>
  <c r="E39" i="24"/>
  <c r="E113" i="24"/>
  <c r="E43" i="24"/>
  <c r="E107" i="24"/>
  <c r="E111" i="24"/>
  <c r="E118" i="24"/>
  <c r="E58" i="24"/>
  <c r="E81" i="24"/>
  <c r="E101" i="24"/>
  <c r="E75" i="24"/>
  <c r="E51" i="24"/>
  <c r="E74" i="24"/>
  <c r="E72" i="24"/>
  <c r="E77" i="24"/>
  <c r="E67" i="24"/>
  <c r="E83" i="24"/>
  <c r="E103" i="24"/>
  <c r="B16" i="17"/>
  <c r="I14" i="39" s="1"/>
  <c r="C16" i="17"/>
  <c r="J14" i="39" s="1"/>
  <c r="F10" i="30"/>
  <c r="BO3" i="31" s="1"/>
  <c r="BO1" i="31" s="1"/>
  <c r="K13" i="39"/>
  <c r="A17" i="17"/>
  <c r="H15" i="39" s="1"/>
  <c r="D16" i="17"/>
  <c r="K14" i="39" s="1"/>
  <c r="D10" i="30"/>
  <c r="E10" i="30"/>
  <c r="B11" i="30"/>
  <c r="C55" i="26"/>
  <c r="C56" i="26"/>
  <c r="C57" i="26"/>
  <c r="B55" i="26"/>
  <c r="L55" i="26" s="1"/>
  <c r="B56" i="26"/>
  <c r="L56" i="26" s="1"/>
  <c r="B57" i="26"/>
  <c r="L57" i="26" s="1"/>
  <c r="A8" i="28"/>
  <c r="A7" i="28"/>
  <c r="A6" i="28"/>
  <c r="C20" i="25"/>
  <c r="BO110" i="31" l="1"/>
  <c r="A19" i="36"/>
  <c r="B18" i="36"/>
  <c r="DN43" i="6"/>
  <c r="DM42" i="6"/>
  <c r="F11" i="30"/>
  <c r="BP3" i="31" s="1"/>
  <c r="BP1" i="31" s="1"/>
  <c r="A11" i="30"/>
  <c r="M55" i="26"/>
  <c r="A18" i="17"/>
  <c r="H16" i="39" s="1"/>
  <c r="D17" i="17"/>
  <c r="B17" i="17"/>
  <c r="I15" i="39" s="1"/>
  <c r="C17" i="17"/>
  <c r="J15" i="39" s="1"/>
  <c r="M56" i="26"/>
  <c r="M57" i="26"/>
  <c r="D11" i="30"/>
  <c r="E11" i="30"/>
  <c r="B12" i="30"/>
  <c r="A12" i="30" s="1"/>
  <c r="A27" i="11"/>
  <c r="A10" i="11"/>
  <c r="BP110" i="31" l="1"/>
  <c r="A20" i="36"/>
  <c r="B19" i="36"/>
  <c r="DN44" i="6"/>
  <c r="DM43" i="6"/>
  <c r="F12" i="30"/>
  <c r="BQ3" i="31" s="1"/>
  <c r="BQ1" i="31" s="1"/>
  <c r="K15" i="39"/>
  <c r="A19" i="17"/>
  <c r="H17" i="39" s="1"/>
  <c r="D18" i="17"/>
  <c r="B18" i="17"/>
  <c r="I16" i="39" s="1"/>
  <c r="C18" i="17"/>
  <c r="J16" i="39" s="1"/>
  <c r="D12" i="30"/>
  <c r="E12" i="30"/>
  <c r="B13" i="30"/>
  <c r="B6" i="26"/>
  <c r="B7" i="26"/>
  <c r="B8" i="26"/>
  <c r="B9" i="26"/>
  <c r="B10" i="26"/>
  <c r="B11" i="26"/>
  <c r="B12" i="26"/>
  <c r="B13" i="26"/>
  <c r="B14" i="26"/>
  <c r="B5" i="26"/>
  <c r="BQ110" i="31" l="1"/>
  <c r="A21" i="36"/>
  <c r="B20" i="36"/>
  <c r="DN45" i="6"/>
  <c r="DM44" i="6"/>
  <c r="F13" i="30"/>
  <c r="BR3" i="31" s="1"/>
  <c r="BR1"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BR110" i="31" l="1"/>
  <c r="A22" i="36"/>
  <c r="B21" i="36"/>
  <c r="DN46" i="6"/>
  <c r="DM45" i="6"/>
  <c r="F14" i="30"/>
  <c r="BS3" i="31" s="1"/>
  <c r="BS1" i="31" s="1"/>
  <c r="A14" i="30"/>
  <c r="K17" i="39"/>
  <c r="A21" i="17"/>
  <c r="H19" i="39" s="1"/>
  <c r="D20" i="17"/>
  <c r="B20" i="17"/>
  <c r="I18" i="39" s="1"/>
  <c r="C20" i="17"/>
  <c r="J18" i="39" s="1"/>
  <c r="D14" i="30"/>
  <c r="E14" i="30"/>
  <c r="B15" i="30"/>
  <c r="A15" i="30" s="1"/>
  <c r="BS110" i="31" l="1"/>
  <c r="A23" i="36"/>
  <c r="B22" i="36"/>
  <c r="DN47" i="6"/>
  <c r="DM46" i="6"/>
  <c r="K18" i="39"/>
  <c r="F15" i="30"/>
  <c r="BT3" i="31" s="1"/>
  <c r="BT1" i="31" s="1"/>
  <c r="A22" i="17"/>
  <c r="H20" i="39" s="1"/>
  <c r="D21" i="17"/>
  <c r="K19" i="39" s="1"/>
  <c r="C21" i="17"/>
  <c r="J19" i="39" s="1"/>
  <c r="B21" i="17"/>
  <c r="I19" i="39" s="1"/>
  <c r="D15" i="30"/>
  <c r="E15" i="30"/>
  <c r="B16" i="30"/>
  <c r="A16" i="30" s="1"/>
  <c r="BT110" i="31" l="1"/>
  <c r="A24" i="36"/>
  <c r="B23" i="36"/>
  <c r="DN48" i="6"/>
  <c r="DM47" i="6"/>
  <c r="F16" i="30"/>
  <c r="BU3" i="31" s="1"/>
  <c r="BU1"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BU110" i="31" l="1"/>
  <c r="A25" i="36"/>
  <c r="B24" i="36"/>
  <c r="DN49" i="6"/>
  <c r="DM48" i="6"/>
  <c r="F17" i="30"/>
  <c r="BV3" i="31" s="1"/>
  <c r="BV1" i="31" s="1"/>
  <c r="A24" i="17"/>
  <c r="H22" i="39" s="1"/>
  <c r="D23" i="17"/>
  <c r="C23" i="17"/>
  <c r="J21" i="39" s="1"/>
  <c r="B23" i="17"/>
  <c r="I21" i="39" s="1"/>
  <c r="D17" i="30"/>
  <c r="E17" i="30"/>
  <c r="B18" i="30"/>
  <c r="A18" i="30" s="1"/>
  <c r="BV110" i="31" l="1"/>
  <c r="A26" i="36"/>
  <c r="B25" i="36"/>
  <c r="K21" i="39"/>
  <c r="DN50" i="6"/>
  <c r="DM49" i="6"/>
  <c r="F18" i="30"/>
  <c r="BW3" i="31" s="1"/>
  <c r="BW1" i="31" s="1"/>
  <c r="A25" i="17"/>
  <c r="H23" i="39" s="1"/>
  <c r="D24" i="17"/>
  <c r="C24" i="17"/>
  <c r="J22" i="39" s="1"/>
  <c r="B24" i="17"/>
  <c r="I22" i="39" s="1"/>
  <c r="D18" i="30"/>
  <c r="E18" i="30"/>
  <c r="B19" i="30"/>
  <c r="A19" i="30" s="1"/>
  <c r="BW110" i="31" l="1"/>
  <c r="A27" i="36"/>
  <c r="B26" i="36"/>
  <c r="K22" i="39"/>
  <c r="DN51" i="6"/>
  <c r="DM50" i="6"/>
  <c r="F19" i="30"/>
  <c r="BX3" i="31" s="1"/>
  <c r="BX1" i="31" s="1"/>
  <c r="A26" i="17"/>
  <c r="H24" i="39" s="1"/>
  <c r="D25" i="17"/>
  <c r="C25" i="17"/>
  <c r="J23" i="39" s="1"/>
  <c r="B25" i="17"/>
  <c r="I23" i="39" s="1"/>
  <c r="M16" i="20"/>
  <c r="D19" i="30"/>
  <c r="E19" i="30"/>
  <c r="B20" i="30"/>
  <c r="A20" i="30" s="1"/>
  <c r="BX110" i="31" l="1"/>
  <c r="A28" i="36"/>
  <c r="B27" i="36"/>
  <c r="K23" i="39"/>
  <c r="DN52" i="6"/>
  <c r="DM51" i="6"/>
  <c r="F20" i="30"/>
  <c r="BY3" i="31" s="1"/>
  <c r="BY1" i="31" s="1"/>
  <c r="BH116" i="31"/>
  <c r="BH124" i="31"/>
  <c r="G130" i="32" s="1"/>
  <c r="BH132" i="31"/>
  <c r="BH140" i="31"/>
  <c r="BH148" i="31"/>
  <c r="G154" i="32" s="1"/>
  <c r="BH156" i="31"/>
  <c r="G162" i="32" s="1"/>
  <c r="BH164" i="31"/>
  <c r="G170" i="32" s="1"/>
  <c r="BH172" i="31"/>
  <c r="G178" i="32" s="1"/>
  <c r="BH180" i="31"/>
  <c r="BH188" i="31"/>
  <c r="BH196" i="31"/>
  <c r="BH204" i="31"/>
  <c r="BH149" i="31"/>
  <c r="G155" i="32" s="1"/>
  <c r="BH181" i="31"/>
  <c r="G187" i="32" s="1"/>
  <c r="BH205" i="31"/>
  <c r="G211" i="32" s="1"/>
  <c r="BH131" i="31"/>
  <c r="G137" i="32" s="1"/>
  <c r="BH171" i="31"/>
  <c r="BH195" i="31"/>
  <c r="G201" i="32" s="1"/>
  <c r="BH117" i="31"/>
  <c r="BH125" i="31"/>
  <c r="G131" i="32" s="1"/>
  <c r="BH133" i="31"/>
  <c r="G139" i="32" s="1"/>
  <c r="BH141" i="31"/>
  <c r="G147" i="32" s="1"/>
  <c r="BH157" i="31"/>
  <c r="G163" i="32" s="1"/>
  <c r="BH165" i="31"/>
  <c r="BH173" i="31"/>
  <c r="BH189" i="31"/>
  <c r="BH197" i="31"/>
  <c r="BH120" i="31"/>
  <c r="BH128" i="31"/>
  <c r="G134" i="32" s="1"/>
  <c r="BH136" i="31"/>
  <c r="G142" i="32" s="1"/>
  <c r="BH144" i="31"/>
  <c r="G150" i="32" s="1"/>
  <c r="BH152" i="31"/>
  <c r="BH160" i="31"/>
  <c r="BH168" i="31"/>
  <c r="BH176" i="31"/>
  <c r="BH184" i="31"/>
  <c r="BH192" i="31"/>
  <c r="G198" i="32" s="1"/>
  <c r="BH200" i="31"/>
  <c r="G206" i="32" s="1"/>
  <c r="BH208" i="31"/>
  <c r="G214" i="32" s="1"/>
  <c r="BH118" i="31"/>
  <c r="G124" i="32" s="1"/>
  <c r="BH126" i="31"/>
  <c r="G132" i="32" s="1"/>
  <c r="BH134" i="31"/>
  <c r="BH142" i="31"/>
  <c r="BH150" i="31"/>
  <c r="G156" i="32" s="1"/>
  <c r="BH158" i="31"/>
  <c r="G164" i="32" s="1"/>
  <c r="BH166" i="31"/>
  <c r="G172" i="32" s="1"/>
  <c r="BH174" i="31"/>
  <c r="G180" i="32" s="1"/>
  <c r="BH182" i="31"/>
  <c r="G188" i="32" s="1"/>
  <c r="BH190" i="31"/>
  <c r="G196" i="32" s="1"/>
  <c r="BH198" i="31"/>
  <c r="BH206" i="31"/>
  <c r="BH119" i="31"/>
  <c r="G125" i="32" s="1"/>
  <c r="BH127" i="31"/>
  <c r="G133" i="32" s="1"/>
  <c r="BH135" i="31"/>
  <c r="G141" i="32" s="1"/>
  <c r="BH143" i="31"/>
  <c r="G149" i="32" s="1"/>
  <c r="BH151" i="31"/>
  <c r="G157" i="32" s="1"/>
  <c r="BH159" i="31"/>
  <c r="G165" i="32" s="1"/>
  <c r="BH167" i="31"/>
  <c r="G173" i="32" s="1"/>
  <c r="BH175" i="31"/>
  <c r="BH183" i="31"/>
  <c r="G189" i="32" s="1"/>
  <c r="BH191" i="31"/>
  <c r="G197" i="32" s="1"/>
  <c r="BH199" i="31"/>
  <c r="G205" i="32" s="1"/>
  <c r="BH207" i="31"/>
  <c r="G213" i="32" s="1"/>
  <c r="BH139" i="31"/>
  <c r="BH179" i="31"/>
  <c r="BH203" i="31"/>
  <c r="BH121" i="31"/>
  <c r="G127" i="32" s="1"/>
  <c r="BH129" i="31"/>
  <c r="BH137" i="31"/>
  <c r="G143" i="32" s="1"/>
  <c r="BH145" i="31"/>
  <c r="G151" i="32" s="1"/>
  <c r="BH153" i="31"/>
  <c r="G159" i="32" s="1"/>
  <c r="BH161" i="31"/>
  <c r="G167" i="32" s="1"/>
  <c r="BH169" i="31"/>
  <c r="G175" i="32" s="1"/>
  <c r="BH177" i="31"/>
  <c r="BH185" i="31"/>
  <c r="BH193" i="31"/>
  <c r="BH201" i="31"/>
  <c r="G207" i="32" s="1"/>
  <c r="BH209" i="31"/>
  <c r="G215" i="32" s="1"/>
  <c r="BH162" i="31"/>
  <c r="G168" i="32" s="1"/>
  <c r="BH186" i="31"/>
  <c r="G192" i="32" s="1"/>
  <c r="BH202" i="31"/>
  <c r="BH115" i="31"/>
  <c r="BH123" i="31"/>
  <c r="BH147" i="31"/>
  <c r="G153" i="32" s="1"/>
  <c r="BH155" i="31"/>
  <c r="G161" i="32" s="1"/>
  <c r="BH163" i="31"/>
  <c r="BH187" i="31"/>
  <c r="BH211" i="31"/>
  <c r="G217" i="32" s="1"/>
  <c r="BH114" i="31"/>
  <c r="G120" i="32" s="1"/>
  <c r="BH122" i="31"/>
  <c r="BH130" i="31"/>
  <c r="BH138" i="31"/>
  <c r="BH146" i="31"/>
  <c r="G152" i="32" s="1"/>
  <c r="BH154" i="31"/>
  <c r="G160" i="32" s="1"/>
  <c r="BH170" i="31"/>
  <c r="BH178" i="31"/>
  <c r="G184" i="32" s="1"/>
  <c r="BH194" i="31"/>
  <c r="BH210" i="31"/>
  <c r="G216" i="32" s="1"/>
  <c r="A27" i="17"/>
  <c r="H25" i="39" s="1"/>
  <c r="D26" i="17"/>
  <c r="C26" i="17"/>
  <c r="J24" i="39" s="1"/>
  <c r="B26" i="17"/>
  <c r="I24" i="39" s="1"/>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F121" i="32"/>
  <c r="F127" i="32"/>
  <c r="F132" i="32"/>
  <c r="F137" i="32"/>
  <c r="F143" i="32"/>
  <c r="F148" i="32"/>
  <c r="F153" i="32"/>
  <c r="F159" i="32"/>
  <c r="F164" i="32"/>
  <c r="F169" i="32"/>
  <c r="F131" i="32"/>
  <c r="F145" i="32"/>
  <c r="F160" i="32"/>
  <c r="F173" i="32"/>
  <c r="F184" i="32"/>
  <c r="F195" i="32"/>
  <c r="F205" i="32"/>
  <c r="F216" i="32"/>
  <c r="F120" i="32"/>
  <c r="F128" i="32"/>
  <c r="F135" i="32"/>
  <c r="F141" i="32"/>
  <c r="F149" i="32"/>
  <c r="F156" i="32"/>
  <c r="F163" i="32"/>
  <c r="F171" i="32"/>
  <c r="F176" i="32"/>
  <c r="F181" i="32"/>
  <c r="F187" i="32"/>
  <c r="F192" i="32"/>
  <c r="F197" i="32"/>
  <c r="F203" i="32"/>
  <c r="F208" i="32"/>
  <c r="F213" i="32"/>
  <c r="F123" i="32"/>
  <c r="F129" i="32"/>
  <c r="F136" i="32"/>
  <c r="F144" i="32"/>
  <c r="F151" i="32"/>
  <c r="F157" i="32"/>
  <c r="F165" i="32"/>
  <c r="F172" i="32"/>
  <c r="F177" i="32"/>
  <c r="F183" i="32"/>
  <c r="F188" i="32"/>
  <c r="F193" i="32"/>
  <c r="F199" i="32"/>
  <c r="F204" i="32"/>
  <c r="F209" i="32"/>
  <c r="F215" i="32"/>
  <c r="F124" i="32"/>
  <c r="F139" i="32"/>
  <c r="F152" i="32"/>
  <c r="F167" i="32"/>
  <c r="F179" i="32"/>
  <c r="F189" i="32"/>
  <c r="F200" i="32"/>
  <c r="F211" i="32"/>
  <c r="F140" i="32"/>
  <c r="F168" i="32"/>
  <c r="F191" i="32"/>
  <c r="F212" i="32"/>
  <c r="F180" i="32"/>
  <c r="F161" i="32"/>
  <c r="F207" i="32"/>
  <c r="F119" i="32"/>
  <c r="F147" i="32"/>
  <c r="F175" i="32"/>
  <c r="F196" i="32"/>
  <c r="F217" i="32"/>
  <c r="F125" i="32"/>
  <c r="F155" i="32"/>
  <c r="F201" i="32"/>
  <c r="F133" i="32"/>
  <c r="F185" i="32"/>
  <c r="D20" i="30"/>
  <c r="E20" i="30"/>
  <c r="B21" i="30"/>
  <c r="A21" i="30" s="1"/>
  <c r="H118" i="32" l="1"/>
  <c r="T15" i="20"/>
  <c r="BY110" i="31"/>
  <c r="A29" i="36"/>
  <c r="B28" i="36"/>
  <c r="H205" i="32"/>
  <c r="H172" i="32"/>
  <c r="H211" i="32"/>
  <c r="H170" i="32"/>
  <c r="H158" i="32"/>
  <c r="H207" i="32"/>
  <c r="H142" i="32"/>
  <c r="H203" i="32"/>
  <c r="H138" i="32"/>
  <c r="H147" i="32"/>
  <c r="H204" i="32"/>
  <c r="H143" i="32"/>
  <c r="H157" i="32"/>
  <c r="H176" i="32"/>
  <c r="H139" i="32"/>
  <c r="H206" i="32"/>
  <c r="H202" i="32"/>
  <c r="K24" i="39"/>
  <c r="DN53" i="6"/>
  <c r="DM52" i="6"/>
  <c r="H190" i="32"/>
  <c r="H126" i="32"/>
  <c r="H168" i="32"/>
  <c r="H178" i="32"/>
  <c r="H173" i="32"/>
  <c r="H144" i="32"/>
  <c r="H179" i="32"/>
  <c r="BI138" i="31"/>
  <c r="DC138" i="31" s="1"/>
  <c r="BI193" i="31"/>
  <c r="BX193" i="31" s="1"/>
  <c r="BI129" i="31"/>
  <c r="CR129" i="31" s="1"/>
  <c r="BI184" i="31"/>
  <c r="BW184" i="31" s="1"/>
  <c r="BI120" i="31"/>
  <c r="DE120" i="31" s="1"/>
  <c r="BI204" i="31"/>
  <c r="BZ204" i="31" s="1"/>
  <c r="BI140" i="31"/>
  <c r="CV140" i="31" s="1"/>
  <c r="H177" i="32"/>
  <c r="H174" i="32"/>
  <c r="H161" i="32"/>
  <c r="H140" i="32"/>
  <c r="H175" i="32"/>
  <c r="BI130" i="31"/>
  <c r="BW130" i="31" s="1"/>
  <c r="BI123" i="31"/>
  <c r="DF123" i="31" s="1"/>
  <c r="BI206" i="31"/>
  <c r="BP206" i="31" s="1"/>
  <c r="BI142" i="31"/>
  <c r="CL142" i="31" s="1"/>
  <c r="BI176" i="31"/>
  <c r="CG176" i="31" s="1"/>
  <c r="BI197" i="31"/>
  <c r="BL197" i="31" s="1"/>
  <c r="BI196" i="31"/>
  <c r="CO196" i="31" s="1"/>
  <c r="BI132" i="31"/>
  <c r="DJ132" i="31" s="1"/>
  <c r="DK132" i="31" s="1"/>
  <c r="H165" i="32"/>
  <c r="H208" i="32"/>
  <c r="H136" i="32"/>
  <c r="H171" i="32"/>
  <c r="H210" i="32"/>
  <c r="H146" i="32"/>
  <c r="H200" i="32"/>
  <c r="H197" i="32"/>
  <c r="H145" i="32"/>
  <c r="H194" i="32"/>
  <c r="H162" i="32"/>
  <c r="H130" i="32"/>
  <c r="H149" i="32"/>
  <c r="H196" i="32"/>
  <c r="H164" i="32"/>
  <c r="H132" i="32"/>
  <c r="H169" i="32"/>
  <c r="H199" i="32"/>
  <c r="H167" i="32"/>
  <c r="H135" i="32"/>
  <c r="BI210" i="31"/>
  <c r="BI122" i="31"/>
  <c r="BI115" i="31"/>
  <c r="BI177" i="31"/>
  <c r="BI203" i="31"/>
  <c r="F115" i="24" s="1"/>
  <c r="BI167" i="31"/>
  <c r="BI198" i="31"/>
  <c r="F110" i="24" s="1"/>
  <c r="BI134" i="31"/>
  <c r="BI168" i="31"/>
  <c r="BI189" i="31"/>
  <c r="BI195" i="31"/>
  <c r="BI188" i="31"/>
  <c r="BI124" i="31"/>
  <c r="F36" i="24" s="1"/>
  <c r="G121" i="32"/>
  <c r="J121" i="32" s="1"/>
  <c r="G135" i="32"/>
  <c r="J135" i="32" s="1"/>
  <c r="G209" i="32"/>
  <c r="J209" i="32" s="1"/>
  <c r="BI175" i="31"/>
  <c r="BI117" i="31"/>
  <c r="H133" i="32"/>
  <c r="H137" i="32"/>
  <c r="H192" i="32"/>
  <c r="H160" i="32"/>
  <c r="H128" i="32"/>
  <c r="H153" i="32"/>
  <c r="H195" i="32"/>
  <c r="H163" i="32"/>
  <c r="H131" i="32"/>
  <c r="BI194" i="31"/>
  <c r="BI202" i="31"/>
  <c r="F114" i="24" s="1"/>
  <c r="BI169" i="31"/>
  <c r="F81" i="24" s="1"/>
  <c r="BI179" i="31"/>
  <c r="F91" i="24" s="1"/>
  <c r="BI159" i="31"/>
  <c r="BI190" i="31"/>
  <c r="BI126" i="31"/>
  <c r="BI160" i="31"/>
  <c r="BI173" i="31"/>
  <c r="BI171" i="31"/>
  <c r="F83" i="24" s="1"/>
  <c r="BI180" i="31"/>
  <c r="F92" i="24" s="1"/>
  <c r="BI116" i="31"/>
  <c r="F28" i="24" s="1"/>
  <c r="G126" i="32"/>
  <c r="J126" i="32" s="1"/>
  <c r="G194" i="32"/>
  <c r="J194" i="32" s="1"/>
  <c r="G203" i="32"/>
  <c r="J203" i="32" s="1"/>
  <c r="G177" i="32"/>
  <c r="J177" i="32" s="1"/>
  <c r="H166" i="32"/>
  <c r="H134" i="32"/>
  <c r="BI121" i="31"/>
  <c r="F33" i="24" s="1"/>
  <c r="H213" i="32"/>
  <c r="H125" i="32"/>
  <c r="H186" i="32"/>
  <c r="H154" i="32"/>
  <c r="H122" i="32"/>
  <c r="H121" i="32"/>
  <c r="H188" i="32"/>
  <c r="H156" i="32"/>
  <c r="H124" i="32"/>
  <c r="H141" i="32"/>
  <c r="H191" i="32"/>
  <c r="H159" i="32"/>
  <c r="H127" i="32"/>
  <c r="BI178" i="31"/>
  <c r="BI211" i="31"/>
  <c r="BI186" i="31"/>
  <c r="BI161" i="31"/>
  <c r="BI139" i="31"/>
  <c r="BI151" i="31"/>
  <c r="BI182" i="31"/>
  <c r="BI118" i="31"/>
  <c r="BI152" i="31"/>
  <c r="BI165" i="31"/>
  <c r="BI131" i="31"/>
  <c r="BI172" i="31"/>
  <c r="G182" i="32"/>
  <c r="J182" i="32" s="1"/>
  <c r="G185" i="32"/>
  <c r="J185" i="32" s="1"/>
  <c r="G128" i="32"/>
  <c r="J128" i="32" s="1"/>
  <c r="G195" i="32"/>
  <c r="J195" i="32" s="1"/>
  <c r="G145" i="32"/>
  <c r="J145" i="32" s="1"/>
  <c r="H181" i="32"/>
  <c r="G136" i="32"/>
  <c r="J136" i="32" s="1"/>
  <c r="H201" i="32"/>
  <c r="H214" i="32"/>
  <c r="H182" i="32"/>
  <c r="H150" i="32"/>
  <c r="H209" i="32"/>
  <c r="H216" i="32"/>
  <c r="H184" i="32"/>
  <c r="H152" i="32"/>
  <c r="H120" i="32"/>
  <c r="H129" i="32"/>
  <c r="H187" i="32"/>
  <c r="H155" i="32"/>
  <c r="H123" i="32"/>
  <c r="BI170" i="31"/>
  <c r="BI187" i="31"/>
  <c r="BI162" i="31"/>
  <c r="BI153" i="31"/>
  <c r="F65" i="24" s="1"/>
  <c r="BI207" i="31"/>
  <c r="BI143" i="31"/>
  <c r="BI174" i="31"/>
  <c r="BI208" i="31"/>
  <c r="BI144" i="31"/>
  <c r="BI157" i="31"/>
  <c r="F69" i="24" s="1"/>
  <c r="BI205" i="31"/>
  <c r="BI164" i="31"/>
  <c r="G174" i="32"/>
  <c r="J174" i="32" s="1"/>
  <c r="G138" i="32"/>
  <c r="J138" i="32" s="1"/>
  <c r="G190" i="32"/>
  <c r="J190" i="32" s="1"/>
  <c r="G123" i="32"/>
  <c r="J123" i="32" s="1"/>
  <c r="G208" i="32"/>
  <c r="J208" i="32" s="1"/>
  <c r="H198" i="32"/>
  <c r="BI185" i="31"/>
  <c r="H189" i="32"/>
  <c r="H193" i="32"/>
  <c r="H212" i="32"/>
  <c r="H180" i="32"/>
  <c r="H148" i="32"/>
  <c r="H217" i="32"/>
  <c r="H215" i="32"/>
  <c r="H183" i="32"/>
  <c r="H151" i="32"/>
  <c r="BI154" i="31"/>
  <c r="BI163" i="31"/>
  <c r="BI209" i="31"/>
  <c r="BI145" i="31"/>
  <c r="BI199" i="31"/>
  <c r="BI135" i="31"/>
  <c r="BI166" i="31"/>
  <c r="BI200" i="31"/>
  <c r="BI136" i="31"/>
  <c r="BI141" i="31"/>
  <c r="BI181" i="31"/>
  <c r="BI156" i="31"/>
  <c r="G186" i="32"/>
  <c r="J186" i="32" s="1"/>
  <c r="G166" i="32"/>
  <c r="J166" i="32" s="1"/>
  <c r="G129" i="32"/>
  <c r="J129" i="32" s="1"/>
  <c r="G193" i="32"/>
  <c r="J193" i="32" s="1"/>
  <c r="G199" i="32"/>
  <c r="J199" i="32" s="1"/>
  <c r="G212" i="32"/>
  <c r="J212" i="32" s="1"/>
  <c r="G148" i="32"/>
  <c r="J148" i="32" s="1"/>
  <c r="G179" i="32"/>
  <c r="J179" i="32" s="1"/>
  <c r="G122" i="32"/>
  <c r="J122" i="32" s="1"/>
  <c r="G176" i="32"/>
  <c r="J176" i="32" s="1"/>
  <c r="H185" i="32"/>
  <c r="BI146" i="31"/>
  <c r="BI155" i="31"/>
  <c r="BI201" i="31"/>
  <c r="BI137" i="31"/>
  <c r="BI191" i="31"/>
  <c r="BI127" i="31"/>
  <c r="BI158" i="31"/>
  <c r="BI192" i="31"/>
  <c r="BI128" i="31"/>
  <c r="BI133" i="31"/>
  <c r="BI149" i="31"/>
  <c r="BI148" i="31"/>
  <c r="G146" i="32"/>
  <c r="J146" i="32" s="1"/>
  <c r="G183" i="32"/>
  <c r="J183" i="32" s="1"/>
  <c r="G158" i="32"/>
  <c r="J158" i="32" s="1"/>
  <c r="G200" i="32"/>
  <c r="J200" i="32" s="1"/>
  <c r="G169" i="32"/>
  <c r="J169" i="32" s="1"/>
  <c r="G191" i="32"/>
  <c r="J191" i="32" s="1"/>
  <c r="G204" i="32"/>
  <c r="J204" i="32" s="1"/>
  <c r="G140" i="32"/>
  <c r="J140" i="32" s="1"/>
  <c r="G171" i="32"/>
  <c r="J171" i="32" s="1"/>
  <c r="G202" i="32"/>
  <c r="J202" i="32" s="1"/>
  <c r="G144" i="32"/>
  <c r="J144" i="32" s="1"/>
  <c r="BI147" i="31"/>
  <c r="BI183" i="31"/>
  <c r="BI119" i="31"/>
  <c r="BI150" i="31"/>
  <c r="BI125" i="31"/>
  <c r="G181" i="32"/>
  <c r="J181" i="32" s="1"/>
  <c r="G210" i="32"/>
  <c r="J210" i="32" s="1"/>
  <c r="BI114" i="31"/>
  <c r="F26" i="24" s="1"/>
  <c r="F21" i="30"/>
  <c r="BZ3" i="31" s="1"/>
  <c r="BZ1" i="31" s="1"/>
  <c r="J197" i="32"/>
  <c r="A28" i="17"/>
  <c r="H26" i="39" s="1"/>
  <c r="D27" i="17"/>
  <c r="C27" i="17"/>
  <c r="J25" i="39" s="1"/>
  <c r="B27" i="17"/>
  <c r="I25" i="39" s="1"/>
  <c r="H119" i="32"/>
  <c r="J153" i="32"/>
  <c r="J188" i="32"/>
  <c r="J127" i="32"/>
  <c r="J160" i="32"/>
  <c r="J143" i="32"/>
  <c r="U17" i="20"/>
  <c r="U15" i="20" s="1"/>
  <c r="J132" i="32"/>
  <c r="J124" i="32"/>
  <c r="J180" i="32"/>
  <c r="J151" i="32"/>
  <c r="J192" i="32"/>
  <c r="J164" i="32"/>
  <c r="J167" i="32"/>
  <c r="J216" i="32"/>
  <c r="J173" i="32"/>
  <c r="J152" i="32"/>
  <c r="J170" i="32"/>
  <c r="J161" i="32"/>
  <c r="J178" i="32"/>
  <c r="J162" i="32"/>
  <c r="J130" i="32"/>
  <c r="J172" i="32"/>
  <c r="J156" i="32"/>
  <c r="J198" i="32"/>
  <c r="J134" i="32"/>
  <c r="J155" i="32"/>
  <c r="J175" i="32"/>
  <c r="J201" i="32"/>
  <c r="J213" i="32"/>
  <c r="J217" i="32"/>
  <c r="J211" i="32"/>
  <c r="J189" i="32"/>
  <c r="J168" i="32"/>
  <c r="J147" i="32"/>
  <c r="J125" i="32"/>
  <c r="J154" i="32"/>
  <c r="J165" i="32"/>
  <c r="J137" i="32"/>
  <c r="J207" i="32"/>
  <c r="J149" i="32"/>
  <c r="J196" i="32"/>
  <c r="J205" i="32"/>
  <c r="J184" i="32"/>
  <c r="J163" i="32"/>
  <c r="J141" i="32"/>
  <c r="J214" i="32"/>
  <c r="J150" i="32"/>
  <c r="J131" i="32"/>
  <c r="J133" i="32"/>
  <c r="J215" i="32"/>
  <c r="J187" i="32"/>
  <c r="J159" i="32"/>
  <c r="J139" i="32"/>
  <c r="J157" i="32"/>
  <c r="J206" i="32"/>
  <c r="J142" i="32"/>
  <c r="D21" i="30"/>
  <c r="E21" i="30"/>
  <c r="B22" i="30"/>
  <c r="A22" i="30" s="1"/>
  <c r="BZ110" i="31" l="1"/>
  <c r="A30" i="36"/>
  <c r="B29" i="36"/>
  <c r="CL196" i="31"/>
  <c r="CZ142" i="31"/>
  <c r="BL206" i="31"/>
  <c r="DG193" i="31"/>
  <c r="F50" i="24"/>
  <c r="CM197" i="31"/>
  <c r="BP193" i="31"/>
  <c r="CT196" i="31"/>
  <c r="CY197" i="31"/>
  <c r="F109" i="24"/>
  <c r="CH197" i="31"/>
  <c r="F118" i="24"/>
  <c r="BK197" i="31"/>
  <c r="F52" i="24"/>
  <c r="DC197" i="31"/>
  <c r="CJ197" i="31"/>
  <c r="CI197" i="31"/>
  <c r="CQ197" i="31"/>
  <c r="CR197" i="31"/>
  <c r="CK197" i="31"/>
  <c r="CU197" i="31"/>
  <c r="CZ197" i="31"/>
  <c r="DB197" i="31"/>
  <c r="DD197" i="31"/>
  <c r="BU197" i="31"/>
  <c r="BY197" i="31"/>
  <c r="CM193" i="31"/>
  <c r="CC197" i="31"/>
  <c r="BZ197" i="31"/>
  <c r="CQ193" i="31"/>
  <c r="CA206" i="31"/>
  <c r="CP197" i="31"/>
  <c r="CS206" i="31"/>
  <c r="BQ140" i="31"/>
  <c r="CX140" i="31"/>
  <c r="DG197" i="31"/>
  <c r="BQ197" i="31"/>
  <c r="CD176" i="31"/>
  <c r="DC193" i="31"/>
  <c r="CG140" i="31"/>
  <c r="CE206" i="31"/>
  <c r="BM140" i="31"/>
  <c r="F54" i="24"/>
  <c r="DE206" i="31"/>
  <c r="DA140" i="31"/>
  <c r="CP129" i="31"/>
  <c r="DB206" i="31"/>
  <c r="CR206" i="31"/>
  <c r="CO140" i="31"/>
  <c r="CF140" i="31"/>
  <c r="BO138" i="31"/>
  <c r="DC206" i="31"/>
  <c r="BU206" i="31"/>
  <c r="BZ140" i="31"/>
  <c r="BK129" i="31"/>
  <c r="CF196" i="31"/>
  <c r="CO206" i="31"/>
  <c r="CF206" i="31"/>
  <c r="CI140" i="31"/>
  <c r="BT196" i="31"/>
  <c r="BZ206" i="31"/>
  <c r="CU140" i="31"/>
  <c r="BL140" i="31"/>
  <c r="CB196" i="31"/>
  <c r="DF206" i="31"/>
  <c r="CE140" i="31"/>
  <c r="CR140" i="31"/>
  <c r="CF176" i="31"/>
  <c r="CP142" i="31"/>
  <c r="BZ129" i="31"/>
  <c r="CG206" i="31"/>
  <c r="CX206" i="31"/>
  <c r="BM206" i="31"/>
  <c r="CW140" i="31"/>
  <c r="BR140" i="31"/>
  <c r="CJ140" i="31"/>
  <c r="DD140" i="31"/>
  <c r="BQ206" i="31"/>
  <c r="CI206" i="31"/>
  <c r="DA206" i="31"/>
  <c r="DC140" i="31"/>
  <c r="DF140" i="31"/>
  <c r="BU140" i="31"/>
  <c r="BV206" i="31"/>
  <c r="DG206" i="31"/>
  <c r="BX206" i="31"/>
  <c r="DE140" i="31"/>
  <c r="CA140" i="31"/>
  <c r="CS140" i="31"/>
  <c r="CA196" i="31"/>
  <c r="CW206" i="31"/>
  <c r="BR206" i="31"/>
  <c r="CJ206" i="31"/>
  <c r="DD206" i="31"/>
  <c r="BV140" i="31"/>
  <c r="DG140" i="31"/>
  <c r="BX140" i="31"/>
  <c r="CS142" i="31"/>
  <c r="BY142" i="31"/>
  <c r="CY142" i="31"/>
  <c r="DJ142" i="31"/>
  <c r="DK142" i="31" s="1"/>
  <c r="CK142" i="31"/>
  <c r="CP132" i="31"/>
  <c r="CC196" i="31"/>
  <c r="BM142" i="31"/>
  <c r="CN142" i="31"/>
  <c r="BS142" i="31"/>
  <c r="CT206" i="31"/>
  <c r="BO206" i="31"/>
  <c r="BY206" i="31"/>
  <c r="BK206" i="31"/>
  <c r="BT206" i="31"/>
  <c r="CC206" i="31"/>
  <c r="CN206" i="31"/>
  <c r="DB140" i="31"/>
  <c r="CM140" i="31"/>
  <c r="CH140" i="31"/>
  <c r="CQ140" i="31"/>
  <c r="CZ140" i="31"/>
  <c r="DI140" i="31"/>
  <c r="DI129" i="31"/>
  <c r="CC132" i="31"/>
  <c r="CK196" i="31"/>
  <c r="BO142" i="31"/>
  <c r="BQ142" i="31"/>
  <c r="CQ142" i="31"/>
  <c r="CD206" i="31"/>
  <c r="CL206" i="31"/>
  <c r="CU206" i="31"/>
  <c r="BS206" i="31"/>
  <c r="CB206" i="31"/>
  <c r="CK206" i="31"/>
  <c r="CV206" i="31"/>
  <c r="BN140" i="31"/>
  <c r="DJ140" i="31"/>
  <c r="DK140" i="31" s="1"/>
  <c r="CP140" i="31"/>
  <c r="CY140" i="31"/>
  <c r="DH140" i="31"/>
  <c r="BP140" i="31"/>
  <c r="BX129" i="31"/>
  <c r="CM142" i="31"/>
  <c r="CW142" i="31"/>
  <c r="BV142" i="31"/>
  <c r="CH196" i="31"/>
  <c r="CU196" i="31"/>
  <c r="DI142" i="31"/>
  <c r="DE142" i="31"/>
  <c r="CD142" i="31"/>
  <c r="BW206" i="31"/>
  <c r="CM206" i="31"/>
  <c r="CH206" i="31"/>
  <c r="CQ206" i="31"/>
  <c r="CZ206" i="31"/>
  <c r="DI206" i="31"/>
  <c r="BY140" i="31"/>
  <c r="BO140" i="31"/>
  <c r="BW140" i="31"/>
  <c r="BK140" i="31"/>
  <c r="BT140" i="31"/>
  <c r="CC140" i="31"/>
  <c r="CN140" i="31"/>
  <c r="DD196" i="31"/>
  <c r="DC196" i="31"/>
  <c r="CC142" i="31"/>
  <c r="BW142" i="31"/>
  <c r="CH142" i="31"/>
  <c r="DB142" i="31"/>
  <c r="BN206" i="31"/>
  <c r="DJ206" i="31"/>
  <c r="DK206" i="31" s="1"/>
  <c r="CP206" i="31"/>
  <c r="CY206" i="31"/>
  <c r="DH206" i="31"/>
  <c r="CD140" i="31"/>
  <c r="CL140" i="31"/>
  <c r="CT140" i="31"/>
  <c r="BS140" i="31"/>
  <c r="CB140" i="31"/>
  <c r="CK140" i="31"/>
  <c r="DA142" i="31"/>
  <c r="CF142" i="31"/>
  <c r="BK142" i="31"/>
  <c r="DD204" i="31"/>
  <c r="CD129" i="31"/>
  <c r="CL129" i="31"/>
  <c r="CI123" i="31"/>
  <c r="BT120" i="31"/>
  <c r="CW130" i="31"/>
  <c r="CM130" i="31"/>
  <c r="BP129" i="31"/>
  <c r="CD193" i="31"/>
  <c r="CO176" i="31"/>
  <c r="CU120" i="31"/>
  <c r="CG138" i="31"/>
  <c r="BR176" i="31"/>
  <c r="CU142" i="31"/>
  <c r="DC142" i="31"/>
  <c r="CR142" i="31"/>
  <c r="DD142" i="31"/>
  <c r="BZ142" i="31"/>
  <c r="CI142" i="31"/>
  <c r="CT142" i="31"/>
  <c r="CO130" i="31"/>
  <c r="CZ138" i="31"/>
  <c r="CU176" i="31"/>
  <c r="BL176" i="31"/>
  <c r="BL142" i="31"/>
  <c r="DH142" i="31"/>
  <c r="BP142" i="31"/>
  <c r="CG142" i="31"/>
  <c r="CX142" i="31"/>
  <c r="DG142" i="31"/>
  <c r="CC130" i="31"/>
  <c r="CF120" i="31"/>
  <c r="CF130" i="31"/>
  <c r="CE132" i="31"/>
  <c r="BU176" i="31"/>
  <c r="CE142" i="31"/>
  <c r="BT142" i="31"/>
  <c r="BX142" i="31"/>
  <c r="CO142" i="31"/>
  <c r="DF142" i="31"/>
  <c r="BN142" i="31"/>
  <c r="CE130" i="31"/>
  <c r="BX120" i="31"/>
  <c r="F42" i="24"/>
  <c r="CB142" i="31"/>
  <c r="CJ142" i="31"/>
  <c r="BU142" i="31"/>
  <c r="CV142" i="31"/>
  <c r="BR142" i="31"/>
  <c r="CA142" i="31"/>
  <c r="CJ184" i="31"/>
  <c r="CI138" i="31"/>
  <c r="CK132" i="31"/>
  <c r="F44" i="24"/>
  <c r="F41" i="24"/>
  <c r="DC132" i="31"/>
  <c r="CO132" i="31"/>
  <c r="CJ132" i="31"/>
  <c r="BP196" i="31"/>
  <c r="DF196" i="31"/>
  <c r="CP196" i="31"/>
  <c r="BM196" i="31"/>
  <c r="BV196" i="31"/>
  <c r="CE196" i="31"/>
  <c r="CW196" i="31"/>
  <c r="CT197" i="31"/>
  <c r="BV197" i="31"/>
  <c r="BW197" i="31"/>
  <c r="CN197" i="31"/>
  <c r="DE197" i="31"/>
  <c r="BT197" i="31"/>
  <c r="DG184" i="31"/>
  <c r="CC129" i="31"/>
  <c r="BN129" i="31"/>
  <c r="CM129" i="31"/>
  <c r="CO129" i="31"/>
  <c r="CZ129" i="31"/>
  <c r="CE193" i="31"/>
  <c r="DI193" i="31"/>
  <c r="DF132" i="31"/>
  <c r="BR196" i="31"/>
  <c r="CS196" i="31"/>
  <c r="BQ196" i="31"/>
  <c r="BM129" i="31"/>
  <c r="BY193" i="31"/>
  <c r="F108" i="24"/>
  <c r="F105" i="24"/>
  <c r="CD132" i="31"/>
  <c r="BZ132" i="31"/>
  <c r="BM132" i="31"/>
  <c r="BX196" i="31"/>
  <c r="BK196" i="31"/>
  <c r="BL196" i="31"/>
  <c r="BU196" i="31"/>
  <c r="CD196" i="31"/>
  <c r="CM196" i="31"/>
  <c r="DE196" i="31"/>
  <c r="BS197" i="31"/>
  <c r="CS197" i="31"/>
  <c r="CE197" i="31"/>
  <c r="CV197" i="31"/>
  <c r="BR197" i="31"/>
  <c r="CB197" i="31"/>
  <c r="DI184" i="31"/>
  <c r="CY129" i="31"/>
  <c r="CK129" i="31"/>
  <c r="DC129" i="31"/>
  <c r="CW129" i="31"/>
  <c r="DH129" i="31"/>
  <c r="CX193" i="31"/>
  <c r="BV193" i="31"/>
  <c r="CZ184" i="31"/>
  <c r="CX132" i="31"/>
  <c r="DH184" i="31"/>
  <c r="BU129" i="31"/>
  <c r="CX129" i="31"/>
  <c r="CF193" i="31"/>
  <c r="CM132" i="31"/>
  <c r="DD132" i="31"/>
  <c r="CI132" i="31"/>
  <c r="DB132" i="31"/>
  <c r="CQ196" i="31"/>
  <c r="CN196" i="31"/>
  <c r="CR196" i="31"/>
  <c r="DA196" i="31"/>
  <c r="DJ196" i="31"/>
  <c r="DK196" i="31" s="1"/>
  <c r="BY196" i="31"/>
  <c r="DJ197" i="31"/>
  <c r="DK197" i="31" s="1"/>
  <c r="CA197" i="31"/>
  <c r="CD197" i="31"/>
  <c r="BP197" i="31"/>
  <c r="CG197" i="31"/>
  <c r="CX197" i="31"/>
  <c r="DH197" i="31"/>
  <c r="DC120" i="31"/>
  <c r="BV129" i="31"/>
  <c r="CI129" i="31"/>
  <c r="CQ129" i="31"/>
  <c r="DD129" i="31"/>
  <c r="DF129" i="31"/>
  <c r="CG193" i="31"/>
  <c r="CZ193" i="31"/>
  <c r="CN193" i="31"/>
  <c r="BX132" i="31"/>
  <c r="CS132" i="31"/>
  <c r="CI196" i="31"/>
  <c r="CJ196" i="31"/>
  <c r="DB196" i="31"/>
  <c r="CF129" i="31"/>
  <c r="BL193" i="31"/>
  <c r="CU132" i="31"/>
  <c r="BY132" i="31"/>
  <c r="CY132" i="31"/>
  <c r="CX196" i="31"/>
  <c r="CV196" i="31"/>
  <c r="DG196" i="31"/>
  <c r="CZ196" i="31"/>
  <c r="DI196" i="31"/>
  <c r="BO196" i="31"/>
  <c r="CG196" i="31"/>
  <c r="BM197" i="31"/>
  <c r="DI197" i="31"/>
  <c r="DA197" i="31"/>
  <c r="BX197" i="31"/>
  <c r="CO197" i="31"/>
  <c r="DF197" i="31"/>
  <c r="BR184" i="31"/>
  <c r="CA129" i="31"/>
  <c r="DB129" i="31"/>
  <c r="DJ129" i="31"/>
  <c r="DK129" i="31" s="1"/>
  <c r="BY129" i="31"/>
  <c r="BL129" i="31"/>
  <c r="CH193" i="31"/>
  <c r="BM193" i="31"/>
  <c r="BP132" i="31"/>
  <c r="F96" i="24"/>
  <c r="BV132" i="31"/>
  <c r="CG132" i="31"/>
  <c r="DG132" i="31"/>
  <c r="CY196" i="31"/>
  <c r="BZ196" i="31"/>
  <c r="BS196" i="31"/>
  <c r="DH196" i="31"/>
  <c r="BN196" i="31"/>
  <c r="BW196" i="31"/>
  <c r="BN197" i="31"/>
  <c r="CL197" i="31"/>
  <c r="BO197" i="31"/>
  <c r="CF197" i="31"/>
  <c r="CW197" i="31"/>
  <c r="CV184" i="31"/>
  <c r="CT129" i="31"/>
  <c r="CS129" i="31"/>
  <c r="BO129" i="31"/>
  <c r="CG129" i="31"/>
  <c r="CJ129" i="31"/>
  <c r="BZ193" i="31"/>
  <c r="BU193" i="31"/>
  <c r="CO204" i="31"/>
  <c r="BV123" i="31"/>
  <c r="CZ204" i="31"/>
  <c r="BW132" i="31"/>
  <c r="CF132" i="31"/>
  <c r="CW132" i="31"/>
  <c r="BK132" i="31"/>
  <c r="CR132" i="31"/>
  <c r="DA132" i="31"/>
  <c r="CE123" i="31"/>
  <c r="DF130" i="31"/>
  <c r="DI204" i="31"/>
  <c r="CB120" i="31"/>
  <c r="CG184" i="31"/>
  <c r="BZ184" i="31"/>
  <c r="BO184" i="31"/>
  <c r="CL132" i="31"/>
  <c r="BN132" i="31"/>
  <c r="CN132" i="31"/>
  <c r="DE132" i="31"/>
  <c r="BS132" i="31"/>
  <c r="CZ132" i="31"/>
  <c r="DI132" i="31"/>
  <c r="CV123" i="31"/>
  <c r="BK130" i="31"/>
  <c r="BO204" i="31"/>
  <c r="CC120" i="31"/>
  <c r="BV184" i="31"/>
  <c r="CK184" i="31"/>
  <c r="CE184" i="31"/>
  <c r="DG129" i="31"/>
  <c r="BW129" i="31"/>
  <c r="CN129" i="31"/>
  <c r="DE129" i="31"/>
  <c r="BT129" i="31"/>
  <c r="BM123" i="31"/>
  <c r="BO132" i="31"/>
  <c r="CB132" i="31"/>
  <c r="CV132" i="31"/>
  <c r="BR132" i="31"/>
  <c r="CA132" i="31"/>
  <c r="DH132" i="31"/>
  <c r="CT132" i="31"/>
  <c r="BN130" i="31"/>
  <c r="BL130" i="31"/>
  <c r="CH204" i="31"/>
  <c r="CK120" i="31"/>
  <c r="CC184" i="31"/>
  <c r="CY184" i="31"/>
  <c r="CM184" i="31"/>
  <c r="DA129" i="31"/>
  <c r="BS129" i="31"/>
  <c r="CE129" i="31"/>
  <c r="CV129" i="31"/>
  <c r="BR129" i="31"/>
  <c r="CB129" i="31"/>
  <c r="DD130" i="31"/>
  <c r="BT130" i="31"/>
  <c r="CI120" i="31"/>
  <c r="CL120" i="31"/>
  <c r="DF184" i="31"/>
  <c r="CF184" i="31"/>
  <c r="BT132" i="31"/>
  <c r="BL132" i="31"/>
  <c r="BQ132" i="31"/>
  <c r="CH132" i="31"/>
  <c r="CQ132" i="31"/>
  <c r="BU132" i="31"/>
  <c r="CW123" i="31"/>
  <c r="BV130" i="31"/>
  <c r="BU130" i="31"/>
  <c r="CQ204" i="31"/>
  <c r="DF120" i="31"/>
  <c r="CT120" i="31"/>
  <c r="BX184" i="31"/>
  <c r="CQ184" i="31"/>
  <c r="CU129" i="31"/>
  <c r="BQ129" i="31"/>
  <c r="CH129" i="31"/>
  <c r="F32" i="24"/>
  <c r="CY123" i="31"/>
  <c r="BQ123" i="31"/>
  <c r="CC123" i="31"/>
  <c r="CL123" i="31"/>
  <c r="CU123" i="31"/>
  <c r="BR123" i="31"/>
  <c r="BP130" i="31"/>
  <c r="BX130" i="31"/>
  <c r="DB130" i="31"/>
  <c r="BS130" i="31"/>
  <c r="CB130" i="31"/>
  <c r="CK130" i="31"/>
  <c r="CU130" i="31"/>
  <c r="BX204" i="31"/>
  <c r="CI204" i="31"/>
  <c r="CV204" i="31"/>
  <c r="BM204" i="31"/>
  <c r="BV204" i="31"/>
  <c r="CE204" i="31"/>
  <c r="CX204" i="31"/>
  <c r="CY120" i="31"/>
  <c r="CQ120" i="31"/>
  <c r="CJ120" i="31"/>
  <c r="CS120" i="31"/>
  <c r="DB120" i="31"/>
  <c r="BQ120" i="31"/>
  <c r="CD123" i="31"/>
  <c r="BW204" i="31"/>
  <c r="BK123" i="31"/>
  <c r="CJ123" i="31"/>
  <c r="CK123" i="31"/>
  <c r="CT123" i="31"/>
  <c r="DC123" i="31"/>
  <c r="BZ123" i="31"/>
  <c r="CL130" i="31"/>
  <c r="CT130" i="31"/>
  <c r="BR130" i="31"/>
  <c r="CA130" i="31"/>
  <c r="CJ130" i="31"/>
  <c r="CS130" i="31"/>
  <c r="DC130" i="31"/>
  <c r="CA204" i="31"/>
  <c r="DE204" i="31"/>
  <c r="BL204" i="31"/>
  <c r="BU204" i="31"/>
  <c r="CD204" i="31"/>
  <c r="CM204" i="31"/>
  <c r="DF204" i="31"/>
  <c r="BR120" i="31"/>
  <c r="BZ120" i="31"/>
  <c r="CR120" i="31"/>
  <c r="DA120" i="31"/>
  <c r="DJ120" i="31"/>
  <c r="DK120" i="31" s="1"/>
  <c r="BY120" i="31"/>
  <c r="BU123" i="31"/>
  <c r="DD123" i="31"/>
  <c r="BP204" i="31"/>
  <c r="DH204" i="31"/>
  <c r="BN204" i="31"/>
  <c r="BT123" i="31"/>
  <c r="CG123" i="31"/>
  <c r="DG123" i="31"/>
  <c r="CS123" i="31"/>
  <c r="DB123" i="31"/>
  <c r="BP123" i="31"/>
  <c r="CH123" i="31"/>
  <c r="DE130" i="31"/>
  <c r="CG130" i="31"/>
  <c r="BZ130" i="31"/>
  <c r="CI130" i="31"/>
  <c r="CR130" i="31"/>
  <c r="DA130" i="31"/>
  <c r="CF204" i="31"/>
  <c r="BQ204" i="31"/>
  <c r="BT204" i="31"/>
  <c r="CC204" i="31"/>
  <c r="CL204" i="31"/>
  <c r="CU204" i="31"/>
  <c r="BK120" i="31"/>
  <c r="CN120" i="31"/>
  <c r="CV120" i="31"/>
  <c r="CZ120" i="31"/>
  <c r="DI120" i="31"/>
  <c r="BO120" i="31"/>
  <c r="CG120" i="31"/>
  <c r="F116" i="24"/>
  <c r="CB123" i="31"/>
  <c r="DE123" i="31"/>
  <c r="CM123" i="31"/>
  <c r="CY204" i="31"/>
  <c r="BY204" i="31"/>
  <c r="CP204" i="31"/>
  <c r="BY123" i="31"/>
  <c r="CZ123" i="31"/>
  <c r="BS123" i="31"/>
  <c r="DA123" i="31"/>
  <c r="DJ123" i="31"/>
  <c r="DK123" i="31" s="1"/>
  <c r="BX123" i="31"/>
  <c r="CP123" i="31"/>
  <c r="BQ130" i="31"/>
  <c r="BY130" i="31"/>
  <c r="CH130" i="31"/>
  <c r="CQ130" i="31"/>
  <c r="CZ130" i="31"/>
  <c r="DI130" i="31"/>
  <c r="CW204" i="31"/>
  <c r="CN204" i="31"/>
  <c r="CB204" i="31"/>
  <c r="CK204" i="31"/>
  <c r="CT204" i="31"/>
  <c r="DC204" i="31"/>
  <c r="CH120" i="31"/>
  <c r="DG120" i="31"/>
  <c r="CA120" i="31"/>
  <c r="DH120" i="31"/>
  <c r="BN120" i="31"/>
  <c r="BW120" i="31"/>
  <c r="CO120" i="31"/>
  <c r="F35" i="24"/>
  <c r="CR123" i="31"/>
  <c r="CQ123" i="31"/>
  <c r="CO123" i="31"/>
  <c r="DI123" i="31"/>
  <c r="BO123" i="31"/>
  <c r="CF123" i="31"/>
  <c r="CX123" i="31"/>
  <c r="CN130" i="31"/>
  <c r="CV130" i="31"/>
  <c r="CP130" i="31"/>
  <c r="CY130" i="31"/>
  <c r="DH130" i="31"/>
  <c r="BO130" i="31"/>
  <c r="BK204" i="31"/>
  <c r="DG204" i="31"/>
  <c r="CJ204" i="31"/>
  <c r="CS204" i="31"/>
  <c r="DB204" i="31"/>
  <c r="BR204" i="31"/>
  <c r="DD120" i="31"/>
  <c r="BS120" i="31"/>
  <c r="CX120" i="31"/>
  <c r="BM120" i="31"/>
  <c r="BV120" i="31"/>
  <c r="CE120" i="31"/>
  <c r="CW120" i="31"/>
  <c r="BZ138" i="31"/>
  <c r="CA123" i="31"/>
  <c r="BL123" i="31"/>
  <c r="DH123" i="31"/>
  <c r="BN123" i="31"/>
  <c r="BW123" i="31"/>
  <c r="CN123" i="31"/>
  <c r="DJ130" i="31"/>
  <c r="DK130" i="31" s="1"/>
  <c r="CD130" i="31"/>
  <c r="CX130" i="31"/>
  <c r="DG130" i="31"/>
  <c r="BM130" i="31"/>
  <c r="CG204" i="31"/>
  <c r="BS204" i="31"/>
  <c r="CR204" i="31"/>
  <c r="DA204" i="31"/>
  <c r="DJ204" i="31"/>
  <c r="DK204" i="31" s="1"/>
  <c r="BP120" i="31"/>
  <c r="CP120" i="31"/>
  <c r="BL120" i="31"/>
  <c r="BU120" i="31"/>
  <c r="CD120" i="31"/>
  <c r="CM120" i="31"/>
  <c r="CC138" i="31"/>
  <c r="K25" i="39"/>
  <c r="DN54" i="6"/>
  <c r="DM53" i="6"/>
  <c r="CN176" i="31"/>
  <c r="CH176" i="31"/>
  <c r="BK176" i="31"/>
  <c r="BT176" i="31"/>
  <c r="CC176" i="31"/>
  <c r="CL176" i="31"/>
  <c r="CW176" i="31"/>
  <c r="CS184" i="31"/>
  <c r="CD184" i="31"/>
  <c r="BN184" i="31"/>
  <c r="CX184" i="31"/>
  <c r="DE184" i="31"/>
  <c r="CL184" i="31"/>
  <c r="CU184" i="31"/>
  <c r="BQ193" i="31"/>
  <c r="BO193" i="31"/>
  <c r="BK193" i="31"/>
  <c r="BT193" i="31"/>
  <c r="CC193" i="31"/>
  <c r="CL193" i="31"/>
  <c r="CV193" i="31"/>
  <c r="CS138" i="31"/>
  <c r="CW138" i="31"/>
  <c r="CN138" i="31"/>
  <c r="CP138" i="31"/>
  <c r="DH138" i="31"/>
  <c r="BW138" i="31"/>
  <c r="CV176" i="31"/>
  <c r="BP176" i="31"/>
  <c r="BS176" i="31"/>
  <c r="CB176" i="31"/>
  <c r="CK176" i="31"/>
  <c r="CT176" i="31"/>
  <c r="DE176" i="31"/>
  <c r="CO184" i="31"/>
  <c r="BK184" i="31"/>
  <c r="BY184" i="31"/>
  <c r="BQ184" i="31"/>
  <c r="BL184" i="31"/>
  <c r="CT184" i="31"/>
  <c r="DC184" i="31"/>
  <c r="CO193" i="31"/>
  <c r="CU193" i="31"/>
  <c r="BS193" i="31"/>
  <c r="CB193" i="31"/>
  <c r="CK193" i="31"/>
  <c r="CT193" i="31"/>
  <c r="DD193" i="31"/>
  <c r="DF138" i="31"/>
  <c r="DI138" i="31"/>
  <c r="CY138" i="31"/>
  <c r="DD138" i="31"/>
  <c r="BN138" i="31"/>
  <c r="CE138" i="31"/>
  <c r="BO176" i="31"/>
  <c r="CM176" i="31"/>
  <c r="CA176" i="31"/>
  <c r="CJ176" i="31"/>
  <c r="CS176" i="31"/>
  <c r="DB176" i="31"/>
  <c r="BS184" i="31"/>
  <c r="CP184" i="31"/>
  <c r="CI184" i="31"/>
  <c r="CA184" i="31"/>
  <c r="BT184" i="31"/>
  <c r="DB184" i="31"/>
  <c r="BR193" i="31"/>
  <c r="BW193" i="31"/>
  <c r="CA193" i="31"/>
  <c r="CJ193" i="31"/>
  <c r="CS193" i="31"/>
  <c r="DB193" i="31"/>
  <c r="BR138" i="31"/>
  <c r="BU138" i="31"/>
  <c r="BK138" i="31"/>
  <c r="BP138" i="31"/>
  <c r="BL138" i="31"/>
  <c r="BV138" i="31"/>
  <c r="CM138" i="31"/>
  <c r="CX176" i="31"/>
  <c r="DF176" i="31"/>
  <c r="CI176" i="31"/>
  <c r="CR176" i="31"/>
  <c r="DA176" i="31"/>
  <c r="DJ176" i="31"/>
  <c r="DK176" i="31" s="1"/>
  <c r="DA184" i="31"/>
  <c r="BM184" i="31"/>
  <c r="CW184" i="31"/>
  <c r="CN184" i="31"/>
  <c r="CB184" i="31"/>
  <c r="DJ184" i="31"/>
  <c r="DK184" i="31" s="1"/>
  <c r="DE193" i="31"/>
  <c r="CP193" i="31"/>
  <c r="CI193" i="31"/>
  <c r="CR193" i="31"/>
  <c r="DA193" i="31"/>
  <c r="DJ193" i="31"/>
  <c r="DK193" i="31" s="1"/>
  <c r="CF138" i="31"/>
  <c r="CH138" i="31"/>
  <c r="BY138" i="31"/>
  <c r="CA138" i="31"/>
  <c r="BT138" i="31"/>
  <c r="CD138" i="31"/>
  <c r="CU138" i="31"/>
  <c r="F88" i="24"/>
  <c r="BZ176" i="31"/>
  <c r="BW176" i="31"/>
  <c r="CQ176" i="31"/>
  <c r="CZ176" i="31"/>
  <c r="DI176" i="31"/>
  <c r="BQ176" i="31"/>
  <c r="CQ138" i="31"/>
  <c r="CV138" i="31"/>
  <c r="CK138" i="31"/>
  <c r="CO138" i="31"/>
  <c r="CB138" i="31"/>
  <c r="CL138" i="31"/>
  <c r="DD176" i="31"/>
  <c r="CP176" i="31"/>
  <c r="CY176" i="31"/>
  <c r="DH176" i="31"/>
  <c r="BN176" i="31"/>
  <c r="BY176" i="31"/>
  <c r="DD184" i="31"/>
  <c r="CH184" i="31"/>
  <c r="BP184" i="31"/>
  <c r="BU184" i="31"/>
  <c r="CR184" i="31"/>
  <c r="DF193" i="31"/>
  <c r="CW193" i="31"/>
  <c r="CY193" i="31"/>
  <c r="DH193" i="31"/>
  <c r="BN193" i="31"/>
  <c r="DE138" i="31"/>
  <c r="DG138" i="31"/>
  <c r="CX138" i="31"/>
  <c r="DA138" i="31"/>
  <c r="CJ138" i="31"/>
  <c r="DB138" i="31"/>
  <c r="DC176" i="31"/>
  <c r="CE176" i="31"/>
  <c r="BX176" i="31"/>
  <c r="DG176" i="31"/>
  <c r="BM176" i="31"/>
  <c r="BV176" i="31"/>
  <c r="BS138" i="31"/>
  <c r="BX138" i="31"/>
  <c r="BM138" i="31"/>
  <c r="BQ138" i="31"/>
  <c r="CR138" i="31"/>
  <c r="DJ138" i="31"/>
  <c r="DK138" i="31" s="1"/>
  <c r="CT138" i="31"/>
  <c r="DE143" i="31"/>
  <c r="CW143" i="31"/>
  <c r="CO143" i="31"/>
  <c r="CG143" i="31"/>
  <c r="BY143" i="31"/>
  <c r="BQ143" i="31"/>
  <c r="DJ143" i="31"/>
  <c r="DK143" i="31" s="1"/>
  <c r="DB143" i="31"/>
  <c r="CT143" i="31"/>
  <c r="CL143" i="31"/>
  <c r="CD143" i="31"/>
  <c r="BV143" i="31"/>
  <c r="BN143" i="31"/>
  <c r="DI143" i="31"/>
  <c r="DA143" i="31"/>
  <c r="CS143" i="31"/>
  <c r="CK143" i="31"/>
  <c r="CC143" i="31"/>
  <c r="BU143" i="31"/>
  <c r="BM143" i="31"/>
  <c r="DH143" i="31"/>
  <c r="CZ143" i="31"/>
  <c r="CR143" i="31"/>
  <c r="CJ143" i="31"/>
  <c r="CB143" i="31"/>
  <c r="BT143" i="31"/>
  <c r="BL143" i="31"/>
  <c r="DG143" i="31"/>
  <c r="CY143" i="31"/>
  <c r="CQ143" i="31"/>
  <c r="CI143" i="31"/>
  <c r="CA143" i="31"/>
  <c r="BS143" i="31"/>
  <c r="BK143" i="31"/>
  <c r="DD143" i="31"/>
  <c r="CH143" i="31"/>
  <c r="BO143" i="31"/>
  <c r="DC143" i="31"/>
  <c r="CF143" i="31"/>
  <c r="CX143" i="31"/>
  <c r="CE143" i="31"/>
  <c r="CV143" i="31"/>
  <c r="BZ143" i="31"/>
  <c r="CU143" i="31"/>
  <c r="BX143" i="31"/>
  <c r="CP143" i="31"/>
  <c r="BW143" i="31"/>
  <c r="CN143" i="31"/>
  <c r="BR143" i="31"/>
  <c r="CM143" i="31"/>
  <c r="BP143" i="31"/>
  <c r="DF143" i="31"/>
  <c r="DH168" i="31"/>
  <c r="CZ168" i="31"/>
  <c r="CR168" i="31"/>
  <c r="CJ168" i="31"/>
  <c r="CB168" i="31"/>
  <c r="BT168" i="31"/>
  <c r="BL168" i="31"/>
  <c r="DG168" i="31"/>
  <c r="CY168" i="31"/>
  <c r="CQ168" i="31"/>
  <c r="CI168" i="31"/>
  <c r="CA168" i="31"/>
  <c r="BS168" i="31"/>
  <c r="BK168" i="31"/>
  <c r="DE168" i="31"/>
  <c r="CW168" i="31"/>
  <c r="CO168" i="31"/>
  <c r="CG168" i="31"/>
  <c r="BY168" i="31"/>
  <c r="BQ168" i="31"/>
  <c r="CX168" i="31"/>
  <c r="CL168" i="31"/>
  <c r="BX168" i="31"/>
  <c r="BM168" i="31"/>
  <c r="DJ168" i="31"/>
  <c r="DK168" i="31" s="1"/>
  <c r="CV168" i="31"/>
  <c r="CK168" i="31"/>
  <c r="BW168" i="31"/>
  <c r="DI168" i="31"/>
  <c r="CU168" i="31"/>
  <c r="CH168" i="31"/>
  <c r="BV168" i="31"/>
  <c r="DF168" i="31"/>
  <c r="CT168" i="31"/>
  <c r="CF168" i="31"/>
  <c r="BU168" i="31"/>
  <c r="DC168" i="31"/>
  <c r="CP168" i="31"/>
  <c r="CD168" i="31"/>
  <c r="BP168" i="31"/>
  <c r="CS168" i="31"/>
  <c r="BN168" i="31"/>
  <c r="CN168" i="31"/>
  <c r="CM168" i="31"/>
  <c r="CE168" i="31"/>
  <c r="CC168" i="31"/>
  <c r="DD168" i="31"/>
  <c r="BZ168" i="31"/>
  <c r="DB168" i="31"/>
  <c r="BR168" i="31"/>
  <c r="DA168" i="31"/>
  <c r="BO168" i="31"/>
  <c r="DE133" i="31"/>
  <c r="CW133" i="31"/>
  <c r="CO133" i="31"/>
  <c r="CG133" i="31"/>
  <c r="BY133" i="31"/>
  <c r="BQ133" i="31"/>
  <c r="DD133" i="31"/>
  <c r="CV133" i="31"/>
  <c r="CN133" i="31"/>
  <c r="CF133" i="31"/>
  <c r="BX133" i="31"/>
  <c r="BP133" i="31"/>
  <c r="DC133" i="31"/>
  <c r="CU133" i="31"/>
  <c r="CM133" i="31"/>
  <c r="CE133" i="31"/>
  <c r="BW133" i="31"/>
  <c r="BO133" i="31"/>
  <c r="DJ133" i="31"/>
  <c r="DK133" i="31" s="1"/>
  <c r="DB133" i="31"/>
  <c r="CT133" i="31"/>
  <c r="CL133" i="31"/>
  <c r="CD133" i="31"/>
  <c r="BV133" i="31"/>
  <c r="BN133" i="31"/>
  <c r="DI133" i="31"/>
  <c r="DA133" i="31"/>
  <c r="CS133" i="31"/>
  <c r="CK133" i="31"/>
  <c r="CC133" i="31"/>
  <c r="BU133" i="31"/>
  <c r="BM133" i="31"/>
  <c r="DH133" i="31"/>
  <c r="CZ133" i="31"/>
  <c r="CR133" i="31"/>
  <c r="CJ133" i="31"/>
  <c r="CB133" i="31"/>
  <c r="BT133" i="31"/>
  <c r="BL133" i="31"/>
  <c r="DG133" i="31"/>
  <c r="CY133" i="31"/>
  <c r="CQ133" i="31"/>
  <c r="CI133" i="31"/>
  <c r="CA133" i="31"/>
  <c r="BS133" i="31"/>
  <c r="BK133" i="31"/>
  <c r="CH133" i="31"/>
  <c r="BZ133" i="31"/>
  <c r="BR133" i="31"/>
  <c r="CP133" i="31"/>
  <c r="DF133" i="31"/>
  <c r="CX133" i="31"/>
  <c r="DG149" i="31"/>
  <c r="CY149" i="31"/>
  <c r="CQ149" i="31"/>
  <c r="CI149" i="31"/>
  <c r="CA149" i="31"/>
  <c r="BS149" i="31"/>
  <c r="BK149" i="31"/>
  <c r="DD149" i="31"/>
  <c r="CV149" i="31"/>
  <c r="CN149" i="31"/>
  <c r="CF149" i="31"/>
  <c r="BX149" i="31"/>
  <c r="BP149" i="31"/>
  <c r="DC149" i="31"/>
  <c r="CU149" i="31"/>
  <c r="CM149" i="31"/>
  <c r="CE149" i="31"/>
  <c r="BW149" i="31"/>
  <c r="BO149" i="31"/>
  <c r="DJ149" i="31"/>
  <c r="DK149" i="31" s="1"/>
  <c r="DB149" i="31"/>
  <c r="CT149" i="31"/>
  <c r="CL149" i="31"/>
  <c r="CD149" i="31"/>
  <c r="BV149" i="31"/>
  <c r="BN149" i="31"/>
  <c r="DI149" i="31"/>
  <c r="DA149" i="31"/>
  <c r="CS149" i="31"/>
  <c r="CK149" i="31"/>
  <c r="CC149" i="31"/>
  <c r="BU149" i="31"/>
  <c r="BM149" i="31"/>
  <c r="DF149" i="31"/>
  <c r="CJ149" i="31"/>
  <c r="BQ149" i="31"/>
  <c r="DE149" i="31"/>
  <c r="CH149" i="31"/>
  <c r="BL149" i="31"/>
  <c r="CZ149" i="31"/>
  <c r="CG149" i="31"/>
  <c r="CX149" i="31"/>
  <c r="CB149" i="31"/>
  <c r="CW149" i="31"/>
  <c r="BZ149" i="31"/>
  <c r="CR149" i="31"/>
  <c r="BY149" i="31"/>
  <c r="CP149" i="31"/>
  <c r="BT149" i="31"/>
  <c r="DH149" i="31"/>
  <c r="CO149" i="31"/>
  <c r="BR149" i="31"/>
  <c r="DJ175" i="31"/>
  <c r="DK175" i="31" s="1"/>
  <c r="DB175" i="31"/>
  <c r="CT175" i="31"/>
  <c r="CL175" i="31"/>
  <c r="CD175" i="31"/>
  <c r="BV175" i="31"/>
  <c r="BN175" i="31"/>
  <c r="DG175" i="31"/>
  <c r="CY175" i="31"/>
  <c r="CQ175" i="31"/>
  <c r="CI175" i="31"/>
  <c r="CA175" i="31"/>
  <c r="BS175" i="31"/>
  <c r="BK175" i="31"/>
  <c r="DF175" i="31"/>
  <c r="CX175" i="31"/>
  <c r="CP175" i="31"/>
  <c r="CH175" i="31"/>
  <c r="BZ175" i="31"/>
  <c r="BR175" i="31"/>
  <c r="DE175" i="31"/>
  <c r="CW175" i="31"/>
  <c r="CO175" i="31"/>
  <c r="CG175" i="31"/>
  <c r="BY175" i="31"/>
  <c r="BQ175" i="31"/>
  <c r="DD175" i="31"/>
  <c r="CV175" i="31"/>
  <c r="CN175" i="31"/>
  <c r="CF175" i="31"/>
  <c r="BX175" i="31"/>
  <c r="BP175" i="31"/>
  <c r="DC175" i="31"/>
  <c r="CJ175" i="31"/>
  <c r="BM175" i="31"/>
  <c r="DA175" i="31"/>
  <c r="CE175" i="31"/>
  <c r="BL175" i="31"/>
  <c r="CU175" i="31"/>
  <c r="CB175" i="31"/>
  <c r="DH175" i="31"/>
  <c r="BU175" i="31"/>
  <c r="CZ175" i="31"/>
  <c r="BT175" i="31"/>
  <c r="CS175" i="31"/>
  <c r="BO175" i="31"/>
  <c r="CR175" i="31"/>
  <c r="CK175" i="31"/>
  <c r="DI175" i="31"/>
  <c r="CM175" i="31"/>
  <c r="CC175" i="31"/>
  <c r="BW175" i="31"/>
  <c r="DF159" i="31"/>
  <c r="CX159" i="31"/>
  <c r="CP159" i="31"/>
  <c r="CH159" i="31"/>
  <c r="BZ159" i="31"/>
  <c r="BR159" i="31"/>
  <c r="DE159" i="31"/>
  <c r="CW159" i="31"/>
  <c r="CO159" i="31"/>
  <c r="CG159" i="31"/>
  <c r="BY159" i="31"/>
  <c r="BQ159" i="31"/>
  <c r="DD159" i="31"/>
  <c r="CV159" i="31"/>
  <c r="CN159" i="31"/>
  <c r="CF159" i="31"/>
  <c r="BX159" i="31"/>
  <c r="BP159" i="31"/>
  <c r="DC159" i="31"/>
  <c r="CU159" i="31"/>
  <c r="CM159" i="31"/>
  <c r="CE159" i="31"/>
  <c r="BW159" i="31"/>
  <c r="BO159" i="31"/>
  <c r="DI159" i="31"/>
  <c r="DA159" i="31"/>
  <c r="CS159" i="31"/>
  <c r="CK159" i="31"/>
  <c r="CC159" i="31"/>
  <c r="BU159" i="31"/>
  <c r="BM159" i="31"/>
  <c r="DG159" i="31"/>
  <c r="CJ159" i="31"/>
  <c r="BN159" i="31"/>
  <c r="DB159" i="31"/>
  <c r="CI159" i="31"/>
  <c r="BL159" i="31"/>
  <c r="CZ159" i="31"/>
  <c r="CD159" i="31"/>
  <c r="BK159" i="31"/>
  <c r="CY159" i="31"/>
  <c r="CB159" i="31"/>
  <c r="CT159" i="31"/>
  <c r="CA159" i="31"/>
  <c r="CR159" i="31"/>
  <c r="BV159" i="31"/>
  <c r="DJ159" i="31"/>
  <c r="DK159" i="31" s="1"/>
  <c r="CQ159" i="31"/>
  <c r="BT159" i="31"/>
  <c r="DH159" i="31"/>
  <c r="CL159" i="31"/>
  <c r="BS159" i="31"/>
  <c r="DG134" i="31"/>
  <c r="DD134" i="31"/>
  <c r="DJ134" i="31"/>
  <c r="DK134" i="31" s="1"/>
  <c r="CZ134" i="31"/>
  <c r="CR134" i="31"/>
  <c r="CJ134" i="31"/>
  <c r="CB134" i="31"/>
  <c r="BT134" i="31"/>
  <c r="BL134" i="31"/>
  <c r="DI134" i="31"/>
  <c r="CY134" i="31"/>
  <c r="CQ134" i="31"/>
  <c r="CI134" i="31"/>
  <c r="CA134" i="31"/>
  <c r="BS134" i="31"/>
  <c r="BK134" i="31"/>
  <c r="DH134" i="31"/>
  <c r="CX134" i="31"/>
  <c r="CP134" i="31"/>
  <c r="CH134" i="31"/>
  <c r="BZ134" i="31"/>
  <c r="BR134" i="31"/>
  <c r="DF134" i="31"/>
  <c r="CW134" i="31"/>
  <c r="CO134" i="31"/>
  <c r="CG134" i="31"/>
  <c r="BY134" i="31"/>
  <c r="BQ134" i="31"/>
  <c r="DE134" i="31"/>
  <c r="CV134" i="31"/>
  <c r="CN134" i="31"/>
  <c r="CF134" i="31"/>
  <c r="BX134" i="31"/>
  <c r="BP134" i="31"/>
  <c r="DC134" i="31"/>
  <c r="CU134" i="31"/>
  <c r="CM134" i="31"/>
  <c r="CE134" i="31"/>
  <c r="BW134" i="31"/>
  <c r="BO134" i="31"/>
  <c r="DB134" i="31"/>
  <c r="CT134" i="31"/>
  <c r="CL134" i="31"/>
  <c r="CD134" i="31"/>
  <c r="BV134" i="31"/>
  <c r="BN134" i="31"/>
  <c r="CS134" i="31"/>
  <c r="CK134" i="31"/>
  <c r="CC134" i="31"/>
  <c r="BU134" i="31"/>
  <c r="BM134" i="31"/>
  <c r="DA134" i="31"/>
  <c r="F95" i="24"/>
  <c r="DH183" i="31"/>
  <c r="CZ183" i="31"/>
  <c r="CR183" i="31"/>
  <c r="CJ183" i="31"/>
  <c r="DE183" i="31"/>
  <c r="CW183" i="31"/>
  <c r="CO183" i="31"/>
  <c r="CG183" i="31"/>
  <c r="DA183" i="31"/>
  <c r="CP183" i="31"/>
  <c r="CE183" i="31"/>
  <c r="BW183" i="31"/>
  <c r="BO183" i="31"/>
  <c r="DG183" i="31"/>
  <c r="CV183" i="31"/>
  <c r="CL183" i="31"/>
  <c r="CB183" i="31"/>
  <c r="BT183" i="31"/>
  <c r="BL183" i="31"/>
  <c r="DF183" i="31"/>
  <c r="CU183" i="31"/>
  <c r="CK183" i="31"/>
  <c r="CA183" i="31"/>
  <c r="BS183" i="31"/>
  <c r="BK183" i="31"/>
  <c r="DD183" i="31"/>
  <c r="CT183" i="31"/>
  <c r="CI183" i="31"/>
  <c r="BZ183" i="31"/>
  <c r="BR183" i="31"/>
  <c r="DC183" i="31"/>
  <c r="CS183" i="31"/>
  <c r="CH183" i="31"/>
  <c r="BY183" i="31"/>
  <c r="BQ183" i="31"/>
  <c r="CM183" i="31"/>
  <c r="BN183" i="31"/>
  <c r="DB183" i="31"/>
  <c r="CC183" i="31"/>
  <c r="CY183" i="31"/>
  <c r="BX183" i="31"/>
  <c r="CX183" i="31"/>
  <c r="BV183" i="31"/>
  <c r="CQ183" i="31"/>
  <c r="BU183" i="31"/>
  <c r="CN183" i="31"/>
  <c r="CF183" i="31"/>
  <c r="BP183" i="31"/>
  <c r="DJ183" i="31"/>
  <c r="DK183" i="31" s="1"/>
  <c r="CD183" i="31"/>
  <c r="DI183" i="31"/>
  <c r="BM183" i="31"/>
  <c r="DE128" i="31"/>
  <c r="CW128" i="31"/>
  <c r="CO128" i="31"/>
  <c r="CG128" i="31"/>
  <c r="BY128" i="31"/>
  <c r="BQ128" i="31"/>
  <c r="DC128" i="31"/>
  <c r="CU128" i="31"/>
  <c r="CM128" i="31"/>
  <c r="CE128" i="31"/>
  <c r="BW128" i="31"/>
  <c r="BO128" i="31"/>
  <c r="DJ128" i="31"/>
  <c r="DK128" i="31" s="1"/>
  <c r="DB128" i="31"/>
  <c r="CT128" i="31"/>
  <c r="CL128" i="31"/>
  <c r="CD128" i="31"/>
  <c r="BV128" i="31"/>
  <c r="BN128" i="31"/>
  <c r="DI128" i="31"/>
  <c r="DA128" i="31"/>
  <c r="CS128" i="31"/>
  <c r="CK128" i="31"/>
  <c r="CC128" i="31"/>
  <c r="BU128" i="31"/>
  <c r="BM128" i="31"/>
  <c r="DH128" i="31"/>
  <c r="CZ128" i="31"/>
  <c r="CR128" i="31"/>
  <c r="CJ128" i="31"/>
  <c r="CB128" i="31"/>
  <c r="BT128" i="31"/>
  <c r="BL128" i="31"/>
  <c r="CY128" i="31"/>
  <c r="CF128" i="31"/>
  <c r="CX128" i="31"/>
  <c r="CA128" i="31"/>
  <c r="CV128" i="31"/>
  <c r="BZ128" i="31"/>
  <c r="DD128" i="31"/>
  <c r="BK128" i="31"/>
  <c r="CQ128" i="31"/>
  <c r="BX128" i="31"/>
  <c r="CP128" i="31"/>
  <c r="BS128" i="31"/>
  <c r="DG128" i="31"/>
  <c r="CN128" i="31"/>
  <c r="BR128" i="31"/>
  <c r="DF128" i="31"/>
  <c r="CI128" i="31"/>
  <c r="BP128" i="31"/>
  <c r="CH128" i="31"/>
  <c r="DF146" i="31"/>
  <c r="CX146" i="31"/>
  <c r="CP146" i="31"/>
  <c r="CH146" i="31"/>
  <c r="BZ146" i="31"/>
  <c r="BR146" i="31"/>
  <c r="DC146" i="31"/>
  <c r="CU146" i="31"/>
  <c r="CM146" i="31"/>
  <c r="CE146" i="31"/>
  <c r="BW146" i="31"/>
  <c r="BO146" i="31"/>
  <c r="DJ146" i="31"/>
  <c r="DK146" i="31" s="1"/>
  <c r="DB146" i="31"/>
  <c r="CT146" i="31"/>
  <c r="CL146" i="31"/>
  <c r="CD146" i="31"/>
  <c r="BV146" i="31"/>
  <c r="BN146" i="31"/>
  <c r="DI146" i="31"/>
  <c r="DA146" i="31"/>
  <c r="CS146" i="31"/>
  <c r="CK146" i="31"/>
  <c r="CC146" i="31"/>
  <c r="BU146" i="31"/>
  <c r="BM146" i="31"/>
  <c r="DH146" i="31"/>
  <c r="CZ146" i="31"/>
  <c r="CR146" i="31"/>
  <c r="CJ146" i="31"/>
  <c r="CB146" i="31"/>
  <c r="BT146" i="31"/>
  <c r="BL146" i="31"/>
  <c r="CV146" i="31"/>
  <c r="BY146" i="31"/>
  <c r="CQ146" i="31"/>
  <c r="BX146" i="31"/>
  <c r="CO146" i="31"/>
  <c r="BS146" i="31"/>
  <c r="DG146" i="31"/>
  <c r="CN146" i="31"/>
  <c r="BQ146" i="31"/>
  <c r="DE146" i="31"/>
  <c r="CI146" i="31"/>
  <c r="BP146" i="31"/>
  <c r="DD146" i="31"/>
  <c r="CG146" i="31"/>
  <c r="BK146" i="31"/>
  <c r="CY146" i="31"/>
  <c r="CF146" i="31"/>
  <c r="CW146" i="31"/>
  <c r="CA146" i="31"/>
  <c r="DJ200" i="31"/>
  <c r="DK200" i="31" s="1"/>
  <c r="DB200" i="31"/>
  <c r="CT200" i="31"/>
  <c r="CL200" i="31"/>
  <c r="CD200" i="31"/>
  <c r="BV200" i="31"/>
  <c r="BN200" i="31"/>
  <c r="DG200" i="31"/>
  <c r="CY200" i="31"/>
  <c r="CQ200" i="31"/>
  <c r="CI200" i="31"/>
  <c r="CA200" i="31"/>
  <c r="BS200" i="31"/>
  <c r="BK200" i="31"/>
  <c r="DF200" i="31"/>
  <c r="CX200" i="31"/>
  <c r="CP200" i="31"/>
  <c r="CH200" i="31"/>
  <c r="BZ200" i="31"/>
  <c r="BR200" i="31"/>
  <c r="DE200" i="31"/>
  <c r="CW200" i="31"/>
  <c r="CO200" i="31"/>
  <c r="CG200" i="31"/>
  <c r="BY200" i="31"/>
  <c r="BQ200" i="31"/>
  <c r="DD200" i="31"/>
  <c r="CV200" i="31"/>
  <c r="CN200" i="31"/>
  <c r="CF200" i="31"/>
  <c r="BX200" i="31"/>
  <c r="BP200" i="31"/>
  <c r="CS200" i="31"/>
  <c r="BW200" i="31"/>
  <c r="DI200" i="31"/>
  <c r="CM200" i="31"/>
  <c r="BT200" i="31"/>
  <c r="DH200" i="31"/>
  <c r="CK200" i="31"/>
  <c r="BO200" i="31"/>
  <c r="DC200" i="31"/>
  <c r="CJ200" i="31"/>
  <c r="BM200" i="31"/>
  <c r="DA200" i="31"/>
  <c r="CE200" i="31"/>
  <c r="BL200" i="31"/>
  <c r="CZ200" i="31"/>
  <c r="CU200" i="31"/>
  <c r="CC200" i="31"/>
  <c r="CR200" i="31"/>
  <c r="CB200" i="31"/>
  <c r="BU200" i="31"/>
  <c r="DD164" i="31"/>
  <c r="CV164" i="31"/>
  <c r="CN164" i="31"/>
  <c r="CF164" i="31"/>
  <c r="BX164" i="31"/>
  <c r="BP164" i="31"/>
  <c r="DC164" i="31"/>
  <c r="CU164" i="31"/>
  <c r="CM164" i="31"/>
  <c r="CE164" i="31"/>
  <c r="BW164" i="31"/>
  <c r="BO164" i="31"/>
  <c r="DI164" i="31"/>
  <c r="DA164" i="31"/>
  <c r="CS164" i="31"/>
  <c r="CK164" i="31"/>
  <c r="CC164" i="31"/>
  <c r="BU164" i="31"/>
  <c r="BM164" i="31"/>
  <c r="DF164" i="31"/>
  <c r="CR164" i="31"/>
  <c r="CG164" i="31"/>
  <c r="BS164" i="31"/>
  <c r="DE164" i="31"/>
  <c r="CQ164" i="31"/>
  <c r="CD164" i="31"/>
  <c r="BR164" i="31"/>
  <c r="DB164" i="31"/>
  <c r="CP164" i="31"/>
  <c r="CB164" i="31"/>
  <c r="BQ164" i="31"/>
  <c r="CZ164" i="31"/>
  <c r="CO164" i="31"/>
  <c r="CA164" i="31"/>
  <c r="BN164" i="31"/>
  <c r="DJ164" i="31"/>
  <c r="DK164" i="31" s="1"/>
  <c r="CX164" i="31"/>
  <c r="CJ164" i="31"/>
  <c r="BY164" i="31"/>
  <c r="BK164" i="31"/>
  <c r="CY164" i="31"/>
  <c r="BT164" i="31"/>
  <c r="CW164" i="31"/>
  <c r="BL164" i="31"/>
  <c r="CT164" i="31"/>
  <c r="CL164" i="31"/>
  <c r="CI164" i="31"/>
  <c r="CH164" i="31"/>
  <c r="DH164" i="31"/>
  <c r="BZ164" i="31"/>
  <c r="DG164" i="31"/>
  <c r="BV164" i="31"/>
  <c r="DJ153" i="31"/>
  <c r="DK153" i="31" s="1"/>
  <c r="DB153" i="31"/>
  <c r="CT153" i="31"/>
  <c r="CL153" i="31"/>
  <c r="CD153" i="31"/>
  <c r="BV153" i="31"/>
  <c r="BN153" i="31"/>
  <c r="DI153" i="31"/>
  <c r="DA153" i="31"/>
  <c r="CS153" i="31"/>
  <c r="CK153" i="31"/>
  <c r="CC153" i="31"/>
  <c r="BU153" i="31"/>
  <c r="BM153" i="31"/>
  <c r="DG153" i="31"/>
  <c r="CY153" i="31"/>
  <c r="CQ153" i="31"/>
  <c r="CI153" i="31"/>
  <c r="CA153" i="31"/>
  <c r="BS153" i="31"/>
  <c r="BK153" i="31"/>
  <c r="DC153" i="31"/>
  <c r="CO153" i="31"/>
  <c r="CB153" i="31"/>
  <c r="BP153" i="31"/>
  <c r="CW153" i="31"/>
  <c r="CJ153" i="31"/>
  <c r="BX153" i="31"/>
  <c r="DH153" i="31"/>
  <c r="CV153" i="31"/>
  <c r="CH153" i="31"/>
  <c r="BW153" i="31"/>
  <c r="DF153" i="31"/>
  <c r="CU153" i="31"/>
  <c r="CG153" i="31"/>
  <c r="BT153" i="31"/>
  <c r="DE153" i="31"/>
  <c r="CR153" i="31"/>
  <c r="CF153" i="31"/>
  <c r="BR153" i="31"/>
  <c r="DD153" i="31"/>
  <c r="BY153" i="31"/>
  <c r="CZ153" i="31"/>
  <c r="BQ153" i="31"/>
  <c r="CX153" i="31"/>
  <c r="BO153" i="31"/>
  <c r="CP153" i="31"/>
  <c r="BL153" i="31"/>
  <c r="CN153" i="31"/>
  <c r="CM153" i="31"/>
  <c r="CE153" i="31"/>
  <c r="BZ153" i="31"/>
  <c r="DI172" i="31"/>
  <c r="DA172" i="31"/>
  <c r="CS172" i="31"/>
  <c r="CK172" i="31"/>
  <c r="CC172" i="31"/>
  <c r="BU172" i="31"/>
  <c r="BM172" i="31"/>
  <c r="DF172" i="31"/>
  <c r="CX172" i="31"/>
  <c r="CP172" i="31"/>
  <c r="CH172" i="31"/>
  <c r="BZ172" i="31"/>
  <c r="BR172" i="31"/>
  <c r="DE172" i="31"/>
  <c r="CW172" i="31"/>
  <c r="CO172" i="31"/>
  <c r="CG172" i="31"/>
  <c r="BY172" i="31"/>
  <c r="BQ172" i="31"/>
  <c r="DD172" i="31"/>
  <c r="CV172" i="31"/>
  <c r="CN172" i="31"/>
  <c r="CF172" i="31"/>
  <c r="BX172" i="31"/>
  <c r="BP172" i="31"/>
  <c r="DC172" i="31"/>
  <c r="CU172" i="31"/>
  <c r="CM172" i="31"/>
  <c r="CE172" i="31"/>
  <c r="BW172" i="31"/>
  <c r="BO172" i="31"/>
  <c r="CR172" i="31"/>
  <c r="BV172" i="31"/>
  <c r="DJ172" i="31"/>
  <c r="DK172" i="31" s="1"/>
  <c r="CQ172" i="31"/>
  <c r="BT172" i="31"/>
  <c r="DG172" i="31"/>
  <c r="CJ172" i="31"/>
  <c r="BN172" i="31"/>
  <c r="CT172" i="31"/>
  <c r="BK172" i="31"/>
  <c r="CL172" i="31"/>
  <c r="CI172" i="31"/>
  <c r="CD172" i="31"/>
  <c r="DB172" i="31"/>
  <c r="CA172" i="31"/>
  <c r="DH172" i="31"/>
  <c r="CZ172" i="31"/>
  <c r="CY172" i="31"/>
  <c r="CB172" i="31"/>
  <c r="BS172" i="31"/>
  <c r="BL172" i="31"/>
  <c r="DD161" i="31"/>
  <c r="CV161" i="31"/>
  <c r="CN161" i="31"/>
  <c r="CF161" i="31"/>
  <c r="BX161" i="31"/>
  <c r="BP161" i="31"/>
  <c r="DC161" i="31"/>
  <c r="CU161" i="31"/>
  <c r="CM161" i="31"/>
  <c r="CE161" i="31"/>
  <c r="BW161" i="31"/>
  <c r="BO161" i="31"/>
  <c r="DJ161" i="31"/>
  <c r="DK161" i="31" s="1"/>
  <c r="DB161" i="31"/>
  <c r="CT161" i="31"/>
  <c r="CL161" i="31"/>
  <c r="CD161" i="31"/>
  <c r="BV161" i="31"/>
  <c r="BN161" i="31"/>
  <c r="DI161" i="31"/>
  <c r="DA161" i="31"/>
  <c r="CS161" i="31"/>
  <c r="CK161" i="31"/>
  <c r="CC161" i="31"/>
  <c r="BU161" i="31"/>
  <c r="BM161" i="31"/>
  <c r="DG161" i="31"/>
  <c r="CY161" i="31"/>
  <c r="CQ161" i="31"/>
  <c r="CI161" i="31"/>
  <c r="CA161" i="31"/>
  <c r="BS161" i="31"/>
  <c r="BK161" i="31"/>
  <c r="DF161" i="31"/>
  <c r="CJ161" i="31"/>
  <c r="BQ161" i="31"/>
  <c r="DE161" i="31"/>
  <c r="CH161" i="31"/>
  <c r="BL161" i="31"/>
  <c r="CZ161" i="31"/>
  <c r="CG161" i="31"/>
  <c r="CX161" i="31"/>
  <c r="CB161" i="31"/>
  <c r="CW161" i="31"/>
  <c r="BZ161" i="31"/>
  <c r="CR161" i="31"/>
  <c r="BY161" i="31"/>
  <c r="CP161" i="31"/>
  <c r="BT161" i="31"/>
  <c r="DH161" i="31"/>
  <c r="CO161" i="31"/>
  <c r="BR161" i="31"/>
  <c r="DC116" i="31"/>
  <c r="CU116" i="31"/>
  <c r="CM116" i="31"/>
  <c r="CE116" i="31"/>
  <c r="BW116" i="31"/>
  <c r="BO116" i="31"/>
  <c r="BX116" i="31"/>
  <c r="DJ116" i="31"/>
  <c r="DK116" i="31" s="1"/>
  <c r="DB116" i="31"/>
  <c r="CT116" i="31"/>
  <c r="CL116" i="31"/>
  <c r="CD116" i="31"/>
  <c r="BV116" i="31"/>
  <c r="BN116" i="31"/>
  <c r="CN116" i="31"/>
  <c r="DI116" i="31"/>
  <c r="DA116" i="31"/>
  <c r="CS116" i="31"/>
  <c r="CK116" i="31"/>
  <c r="CC116" i="31"/>
  <c r="BU116" i="31"/>
  <c r="BM116" i="31"/>
  <c r="CF116" i="31"/>
  <c r="DH116" i="31"/>
  <c r="CZ116" i="31"/>
  <c r="CR116" i="31"/>
  <c r="CJ116" i="31"/>
  <c r="CB116" i="31"/>
  <c r="BT116" i="31"/>
  <c r="BL116" i="31"/>
  <c r="DG116" i="31"/>
  <c r="CY116" i="31"/>
  <c r="CQ116" i="31"/>
  <c r="CI116" i="31"/>
  <c r="CA116" i="31"/>
  <c r="BS116" i="31"/>
  <c r="BK116" i="31"/>
  <c r="DD116" i="31"/>
  <c r="DF116" i="31"/>
  <c r="CX116" i="31"/>
  <c r="CP116" i="31"/>
  <c r="CH116" i="31"/>
  <c r="BZ116" i="31"/>
  <c r="BR116" i="31"/>
  <c r="DE116" i="31"/>
  <c r="CW116" i="31"/>
  <c r="CO116" i="31"/>
  <c r="CG116" i="31"/>
  <c r="BY116" i="31"/>
  <c r="BQ116" i="31"/>
  <c r="CV116" i="31"/>
  <c r="BP116" i="31"/>
  <c r="DG179" i="31"/>
  <c r="CY179" i="31"/>
  <c r="CQ179" i="31"/>
  <c r="CI179" i="31"/>
  <c r="CA179" i="31"/>
  <c r="BS179" i="31"/>
  <c r="BK179" i="31"/>
  <c r="DD179" i="31"/>
  <c r="CV179" i="31"/>
  <c r="CN179" i="31"/>
  <c r="CF179" i="31"/>
  <c r="BX179" i="31"/>
  <c r="BP179" i="31"/>
  <c r="DC179" i="31"/>
  <c r="CU179" i="31"/>
  <c r="CM179" i="31"/>
  <c r="CE179" i="31"/>
  <c r="BW179" i="31"/>
  <c r="BO179" i="31"/>
  <c r="DJ179" i="31"/>
  <c r="DK179" i="31" s="1"/>
  <c r="DB179" i="31"/>
  <c r="DI179" i="31"/>
  <c r="DA179" i="31"/>
  <c r="CS179" i="31"/>
  <c r="CK179" i="31"/>
  <c r="DE179" i="31"/>
  <c r="CL179" i="31"/>
  <c r="BY179" i="31"/>
  <c r="BL179" i="31"/>
  <c r="CW179" i="31"/>
  <c r="CG179" i="31"/>
  <c r="BT179" i="31"/>
  <c r="CT179" i="31"/>
  <c r="CD179" i="31"/>
  <c r="BR179" i="31"/>
  <c r="CR179" i="31"/>
  <c r="CC179" i="31"/>
  <c r="BQ179" i="31"/>
  <c r="DH179" i="31"/>
  <c r="CP179" i="31"/>
  <c r="CB179" i="31"/>
  <c r="BN179" i="31"/>
  <c r="CH179" i="31"/>
  <c r="BZ179" i="31"/>
  <c r="DF179" i="31"/>
  <c r="BU179" i="31"/>
  <c r="CJ179" i="31"/>
  <c r="BV179" i="31"/>
  <c r="BM179" i="31"/>
  <c r="CZ179" i="31"/>
  <c r="CX179" i="31"/>
  <c r="CO179" i="31"/>
  <c r="DC198" i="31"/>
  <c r="CU198" i="31"/>
  <c r="CM198" i="31"/>
  <c r="CE198" i="31"/>
  <c r="BW198" i="31"/>
  <c r="BO198" i="31"/>
  <c r="DI198" i="31"/>
  <c r="DA198" i="31"/>
  <c r="CS198" i="31"/>
  <c r="CK198" i="31"/>
  <c r="CC198" i="31"/>
  <c r="BU198" i="31"/>
  <c r="BM198" i="31"/>
  <c r="DH198" i="31"/>
  <c r="CZ198" i="31"/>
  <c r="CR198" i="31"/>
  <c r="CJ198" i="31"/>
  <c r="CB198" i="31"/>
  <c r="BT198" i="31"/>
  <c r="BL198" i="31"/>
  <c r="DG198" i="31"/>
  <c r="CY198" i="31"/>
  <c r="CQ198" i="31"/>
  <c r="CI198" i="31"/>
  <c r="CA198" i="31"/>
  <c r="BS198" i="31"/>
  <c r="BK198" i="31"/>
  <c r="DF198" i="31"/>
  <c r="CX198" i="31"/>
  <c r="CP198" i="31"/>
  <c r="CH198" i="31"/>
  <c r="BZ198" i="31"/>
  <c r="BR198" i="31"/>
  <c r="CO198" i="31"/>
  <c r="BV198" i="31"/>
  <c r="DJ198" i="31"/>
  <c r="DK198" i="31" s="1"/>
  <c r="CN198" i="31"/>
  <c r="BQ198" i="31"/>
  <c r="DD198" i="31"/>
  <c r="CG198" i="31"/>
  <c r="BN198" i="31"/>
  <c r="DB198" i="31"/>
  <c r="BX198" i="31"/>
  <c r="CT198" i="31"/>
  <c r="CL198" i="31"/>
  <c r="CF198" i="31"/>
  <c r="CD198" i="31"/>
  <c r="CW198" i="31"/>
  <c r="BP198" i="31"/>
  <c r="CV198" i="31"/>
  <c r="DE198" i="31"/>
  <c r="BY198" i="31"/>
  <c r="F113" i="24"/>
  <c r="DE201" i="31"/>
  <c r="CW201" i="31"/>
  <c r="CO201" i="31"/>
  <c r="CG201" i="31"/>
  <c r="BY201" i="31"/>
  <c r="BQ201" i="31"/>
  <c r="DJ201" i="31"/>
  <c r="DK201" i="31" s="1"/>
  <c r="DB201" i="31"/>
  <c r="CT201" i="31"/>
  <c r="CL201" i="31"/>
  <c r="CD201" i="31"/>
  <c r="BV201" i="31"/>
  <c r="BN201" i="31"/>
  <c r="DI201" i="31"/>
  <c r="DA201" i="31"/>
  <c r="CS201" i="31"/>
  <c r="CK201" i="31"/>
  <c r="CC201" i="31"/>
  <c r="BU201" i="31"/>
  <c r="BM201" i="31"/>
  <c r="DH201" i="31"/>
  <c r="CZ201" i="31"/>
  <c r="CR201" i="31"/>
  <c r="CJ201" i="31"/>
  <c r="CB201" i="31"/>
  <c r="BT201" i="31"/>
  <c r="BL201" i="31"/>
  <c r="DG201" i="31"/>
  <c r="CY201" i="31"/>
  <c r="CQ201" i="31"/>
  <c r="CI201" i="31"/>
  <c r="CA201" i="31"/>
  <c r="BS201" i="31"/>
  <c r="BK201" i="31"/>
  <c r="DD201" i="31"/>
  <c r="CH201" i="31"/>
  <c r="BO201" i="31"/>
  <c r="CX201" i="31"/>
  <c r="CE201" i="31"/>
  <c r="CV201" i="31"/>
  <c r="BZ201" i="31"/>
  <c r="CU201" i="31"/>
  <c r="BX201" i="31"/>
  <c r="CP201" i="31"/>
  <c r="BW201" i="31"/>
  <c r="DF201" i="31"/>
  <c r="DC201" i="31"/>
  <c r="CM201" i="31"/>
  <c r="CN201" i="31"/>
  <c r="BP201" i="31"/>
  <c r="BR201" i="31"/>
  <c r="CF201" i="31"/>
  <c r="F102" i="24"/>
  <c r="DE190" i="31"/>
  <c r="CW190" i="31"/>
  <c r="CO190" i="31"/>
  <c r="CG190" i="31"/>
  <c r="BY190" i="31"/>
  <c r="BQ190" i="31"/>
  <c r="DD190" i="31"/>
  <c r="CV190" i="31"/>
  <c r="CN190" i="31"/>
  <c r="CF190" i="31"/>
  <c r="BX190" i="31"/>
  <c r="BP190" i="31"/>
  <c r="DJ190" i="31"/>
  <c r="DK190" i="31" s="1"/>
  <c r="DB190" i="31"/>
  <c r="CT190" i="31"/>
  <c r="CL190" i="31"/>
  <c r="CD190" i="31"/>
  <c r="BV190" i="31"/>
  <c r="BN190" i="31"/>
  <c r="DG190" i="31"/>
  <c r="CS190" i="31"/>
  <c r="CH190" i="31"/>
  <c r="BT190" i="31"/>
  <c r="DA190" i="31"/>
  <c r="CP190" i="31"/>
  <c r="CB190" i="31"/>
  <c r="BO190" i="31"/>
  <c r="CZ190" i="31"/>
  <c r="CM190" i="31"/>
  <c r="CA190" i="31"/>
  <c r="BM190" i="31"/>
  <c r="CY190" i="31"/>
  <c r="CK190" i="31"/>
  <c r="BZ190" i="31"/>
  <c r="BL190" i="31"/>
  <c r="DI190" i="31"/>
  <c r="CX190" i="31"/>
  <c r="CJ190" i="31"/>
  <c r="BW190" i="31"/>
  <c r="BK190" i="31"/>
  <c r="CE190" i="31"/>
  <c r="DC190" i="31"/>
  <c r="BS190" i="31"/>
  <c r="CU190" i="31"/>
  <c r="BR190" i="31"/>
  <c r="CR190" i="31"/>
  <c r="CQ190" i="31"/>
  <c r="CC190" i="31"/>
  <c r="BU190" i="31"/>
  <c r="CI190" i="31"/>
  <c r="DH190" i="31"/>
  <c r="DF190" i="31"/>
  <c r="F48" i="24"/>
  <c r="DE136" i="31"/>
  <c r="CW136" i="31"/>
  <c r="CO136" i="31"/>
  <c r="CG136" i="31"/>
  <c r="BY136" i="31"/>
  <c r="BQ136" i="31"/>
  <c r="DJ136" i="31"/>
  <c r="DK136" i="31" s="1"/>
  <c r="DB136" i="31"/>
  <c r="CT136" i="31"/>
  <c r="CL136" i="31"/>
  <c r="CD136" i="31"/>
  <c r="BV136" i="31"/>
  <c r="BN136" i="31"/>
  <c r="CZ136" i="31"/>
  <c r="CP136" i="31"/>
  <c r="CE136" i="31"/>
  <c r="BT136" i="31"/>
  <c r="DI136" i="31"/>
  <c r="CY136" i="31"/>
  <c r="CN136" i="31"/>
  <c r="CC136" i="31"/>
  <c r="BS136" i="31"/>
  <c r="DH136" i="31"/>
  <c r="CX136" i="31"/>
  <c r="CM136" i="31"/>
  <c r="CB136" i="31"/>
  <c r="BR136" i="31"/>
  <c r="DG136" i="31"/>
  <c r="CV136" i="31"/>
  <c r="CK136" i="31"/>
  <c r="CA136" i="31"/>
  <c r="BP136" i="31"/>
  <c r="DF136" i="31"/>
  <c r="CU136" i="31"/>
  <c r="CJ136" i="31"/>
  <c r="BZ136" i="31"/>
  <c r="BO136" i="31"/>
  <c r="DD136" i="31"/>
  <c r="CS136" i="31"/>
  <c r="CI136" i="31"/>
  <c r="BX136" i="31"/>
  <c r="BM136" i="31"/>
  <c r="DC136" i="31"/>
  <c r="CR136" i="31"/>
  <c r="CH136" i="31"/>
  <c r="BW136" i="31"/>
  <c r="BL136" i="31"/>
  <c r="BU136" i="31"/>
  <c r="BK136" i="31"/>
  <c r="CF136" i="31"/>
  <c r="DA136" i="31"/>
  <c r="CQ136" i="31"/>
  <c r="F119" i="24"/>
  <c r="DG207" i="31"/>
  <c r="CY207" i="31"/>
  <c r="CQ207" i="31"/>
  <c r="CI207" i="31"/>
  <c r="CA207" i="31"/>
  <c r="BS207" i="31"/>
  <c r="BK207" i="31"/>
  <c r="DD207" i="31"/>
  <c r="CV207" i="31"/>
  <c r="CN207" i="31"/>
  <c r="CF207" i="31"/>
  <c r="BX207" i="31"/>
  <c r="BP207" i="31"/>
  <c r="DC207" i="31"/>
  <c r="CU207" i="31"/>
  <c r="CM207" i="31"/>
  <c r="CE207" i="31"/>
  <c r="BW207" i="31"/>
  <c r="BO207" i="31"/>
  <c r="DJ207" i="31"/>
  <c r="DK207" i="31" s="1"/>
  <c r="DB207" i="31"/>
  <c r="CT207" i="31"/>
  <c r="CL207" i="31"/>
  <c r="CD207" i="31"/>
  <c r="BV207" i="31"/>
  <c r="BN207" i="31"/>
  <c r="DI207" i="31"/>
  <c r="DA207" i="31"/>
  <c r="CS207" i="31"/>
  <c r="CK207" i="31"/>
  <c r="CC207" i="31"/>
  <c r="BU207" i="31"/>
  <c r="BM207" i="31"/>
  <c r="DF207" i="31"/>
  <c r="CJ207" i="31"/>
  <c r="BQ207" i="31"/>
  <c r="CZ207" i="31"/>
  <c r="CG207" i="31"/>
  <c r="CX207" i="31"/>
  <c r="CB207" i="31"/>
  <c r="CW207" i="31"/>
  <c r="BZ207" i="31"/>
  <c r="CR207" i="31"/>
  <c r="BY207" i="31"/>
  <c r="BT207" i="31"/>
  <c r="BR207" i="31"/>
  <c r="DH207" i="31"/>
  <c r="DE207" i="31"/>
  <c r="CP207" i="31"/>
  <c r="CO207" i="31"/>
  <c r="CH207" i="31"/>
  <c r="BL207" i="31"/>
  <c r="DI147" i="31"/>
  <c r="DA147" i="31"/>
  <c r="CS147" i="31"/>
  <c r="CK147" i="31"/>
  <c r="CC147" i="31"/>
  <c r="BU147" i="31"/>
  <c r="BM147" i="31"/>
  <c r="DF147" i="31"/>
  <c r="CX147" i="31"/>
  <c r="CP147" i="31"/>
  <c r="CH147" i="31"/>
  <c r="BZ147" i="31"/>
  <c r="BR147" i="31"/>
  <c r="DE147" i="31"/>
  <c r="CW147" i="31"/>
  <c r="CO147" i="31"/>
  <c r="CG147" i="31"/>
  <c r="BY147" i="31"/>
  <c r="BQ147" i="31"/>
  <c r="DD147" i="31"/>
  <c r="CV147" i="31"/>
  <c r="CN147" i="31"/>
  <c r="CF147" i="31"/>
  <c r="BX147" i="31"/>
  <c r="BP147" i="31"/>
  <c r="DC147" i="31"/>
  <c r="CU147" i="31"/>
  <c r="CM147" i="31"/>
  <c r="CE147" i="31"/>
  <c r="BW147" i="31"/>
  <c r="BO147" i="31"/>
  <c r="DG147" i="31"/>
  <c r="CJ147" i="31"/>
  <c r="BN147" i="31"/>
  <c r="DB147" i="31"/>
  <c r="CI147" i="31"/>
  <c r="BL147" i="31"/>
  <c r="CZ147" i="31"/>
  <c r="CD147" i="31"/>
  <c r="BK147" i="31"/>
  <c r="CY147" i="31"/>
  <c r="CB147" i="31"/>
  <c r="CT147" i="31"/>
  <c r="CA147" i="31"/>
  <c r="CR147" i="31"/>
  <c r="BV147" i="31"/>
  <c r="DJ147" i="31"/>
  <c r="DK147" i="31" s="1"/>
  <c r="CQ147" i="31"/>
  <c r="BT147" i="31"/>
  <c r="DH147" i="31"/>
  <c r="BS147" i="31"/>
  <c r="CL147" i="31"/>
  <c r="DI192" i="31"/>
  <c r="DA192" i="31"/>
  <c r="CS192" i="31"/>
  <c r="CK192" i="31"/>
  <c r="CC192" i="31"/>
  <c r="BU192" i="31"/>
  <c r="BM192" i="31"/>
  <c r="DG192" i="31"/>
  <c r="CY192" i="31"/>
  <c r="CQ192" i="31"/>
  <c r="CI192" i="31"/>
  <c r="CA192" i="31"/>
  <c r="BS192" i="31"/>
  <c r="BK192" i="31"/>
  <c r="DF192" i="31"/>
  <c r="CX192" i="31"/>
  <c r="CP192" i="31"/>
  <c r="CH192" i="31"/>
  <c r="BZ192" i="31"/>
  <c r="BR192" i="31"/>
  <c r="DE192" i="31"/>
  <c r="CW192" i="31"/>
  <c r="CO192" i="31"/>
  <c r="CG192" i="31"/>
  <c r="BY192" i="31"/>
  <c r="BQ192" i="31"/>
  <c r="DD192" i="31"/>
  <c r="CV192" i="31"/>
  <c r="CN192" i="31"/>
  <c r="CF192" i="31"/>
  <c r="BX192" i="31"/>
  <c r="BP192" i="31"/>
  <c r="DJ192" i="31"/>
  <c r="DK192" i="31" s="1"/>
  <c r="CM192" i="31"/>
  <c r="BT192" i="31"/>
  <c r="DH192" i="31"/>
  <c r="CL192" i="31"/>
  <c r="BO192" i="31"/>
  <c r="DB192" i="31"/>
  <c r="CE192" i="31"/>
  <c r="BL192" i="31"/>
  <c r="CD192" i="31"/>
  <c r="CZ192" i="31"/>
  <c r="BV192" i="31"/>
  <c r="CU192" i="31"/>
  <c r="BN192" i="31"/>
  <c r="CT192" i="31"/>
  <c r="CR192" i="31"/>
  <c r="DC192" i="31"/>
  <c r="CJ192" i="31"/>
  <c r="CB192" i="31"/>
  <c r="BW192" i="31"/>
  <c r="DJ166" i="31"/>
  <c r="DK166" i="31" s="1"/>
  <c r="DB166" i="31"/>
  <c r="CT166" i="31"/>
  <c r="CL166" i="31"/>
  <c r="CD166" i="31"/>
  <c r="BV166" i="31"/>
  <c r="BN166" i="31"/>
  <c r="DI166" i="31"/>
  <c r="DA166" i="31"/>
  <c r="CS166" i="31"/>
  <c r="CK166" i="31"/>
  <c r="CC166" i="31"/>
  <c r="BU166" i="31"/>
  <c r="BM166" i="31"/>
  <c r="DG166" i="31"/>
  <c r="CY166" i="31"/>
  <c r="CQ166" i="31"/>
  <c r="CI166" i="31"/>
  <c r="CA166" i="31"/>
  <c r="BS166" i="31"/>
  <c r="BK166" i="31"/>
  <c r="DC166" i="31"/>
  <c r="CO166" i="31"/>
  <c r="CB166" i="31"/>
  <c r="BP166" i="31"/>
  <c r="CZ166" i="31"/>
  <c r="CN166" i="31"/>
  <c r="BZ166" i="31"/>
  <c r="BO166" i="31"/>
  <c r="CX166" i="31"/>
  <c r="CM166" i="31"/>
  <c r="BY166" i="31"/>
  <c r="BL166" i="31"/>
  <c r="CW166" i="31"/>
  <c r="CJ166" i="31"/>
  <c r="BX166" i="31"/>
  <c r="DF166" i="31"/>
  <c r="CU166" i="31"/>
  <c r="CG166" i="31"/>
  <c r="BT166" i="31"/>
  <c r="CV166" i="31"/>
  <c r="BQ166" i="31"/>
  <c r="CR166" i="31"/>
  <c r="CP166" i="31"/>
  <c r="CH166" i="31"/>
  <c r="CF166" i="31"/>
  <c r="DH166" i="31"/>
  <c r="CE166" i="31"/>
  <c r="DE166" i="31"/>
  <c r="BW166" i="31"/>
  <c r="DD166" i="31"/>
  <c r="BR166" i="31"/>
  <c r="DF185" i="31"/>
  <c r="CX185" i="31"/>
  <c r="CP185" i="31"/>
  <c r="CH185" i="31"/>
  <c r="BZ185" i="31"/>
  <c r="BR185" i="31"/>
  <c r="DE185" i="31"/>
  <c r="CW185" i="31"/>
  <c r="CO185" i="31"/>
  <c r="CG185" i="31"/>
  <c r="BY185" i="31"/>
  <c r="BQ185" i="31"/>
  <c r="DC185" i="31"/>
  <c r="CU185" i="31"/>
  <c r="CM185" i="31"/>
  <c r="CE185" i="31"/>
  <c r="BW185" i="31"/>
  <c r="BO185" i="31"/>
  <c r="DB185" i="31"/>
  <c r="CQ185" i="31"/>
  <c r="CC185" i="31"/>
  <c r="BP185" i="31"/>
  <c r="DJ185" i="31"/>
  <c r="DK185" i="31" s="1"/>
  <c r="CY185" i="31"/>
  <c r="CK185" i="31"/>
  <c r="BX185" i="31"/>
  <c r="BL185" i="31"/>
  <c r="DI185" i="31"/>
  <c r="CV185" i="31"/>
  <c r="CJ185" i="31"/>
  <c r="BV185" i="31"/>
  <c r="BK185" i="31"/>
  <c r="DH185" i="31"/>
  <c r="CT185" i="31"/>
  <c r="CI185" i="31"/>
  <c r="BU185" i="31"/>
  <c r="DG185" i="31"/>
  <c r="CS185" i="31"/>
  <c r="CF185" i="31"/>
  <c r="BT185" i="31"/>
  <c r="DD185" i="31"/>
  <c r="CA185" i="31"/>
  <c r="CR185" i="31"/>
  <c r="BM185" i="31"/>
  <c r="CN185" i="31"/>
  <c r="CL185" i="31"/>
  <c r="CD185" i="31"/>
  <c r="BS185" i="31"/>
  <c r="BN185" i="31"/>
  <c r="DA185" i="31"/>
  <c r="CZ185" i="31"/>
  <c r="CB185" i="31"/>
  <c r="F117" i="24"/>
  <c r="DI205" i="31"/>
  <c r="DA205" i="31"/>
  <c r="CS205" i="31"/>
  <c r="CK205" i="31"/>
  <c r="CC205" i="31"/>
  <c r="BU205" i="31"/>
  <c r="BM205" i="31"/>
  <c r="DF205" i="31"/>
  <c r="CX205" i="31"/>
  <c r="CP205" i="31"/>
  <c r="CH205" i="31"/>
  <c r="BZ205" i="31"/>
  <c r="BR205" i="31"/>
  <c r="DE205" i="31"/>
  <c r="CW205" i="31"/>
  <c r="CO205" i="31"/>
  <c r="CG205" i="31"/>
  <c r="BY205" i="31"/>
  <c r="BQ205" i="31"/>
  <c r="DD205" i="31"/>
  <c r="CV205" i="31"/>
  <c r="CN205" i="31"/>
  <c r="CF205" i="31"/>
  <c r="BX205" i="31"/>
  <c r="BP205" i="31"/>
  <c r="DC205" i="31"/>
  <c r="CU205" i="31"/>
  <c r="CM205" i="31"/>
  <c r="CE205" i="31"/>
  <c r="BW205" i="31"/>
  <c r="BO205" i="31"/>
  <c r="DG205" i="31"/>
  <c r="CJ205" i="31"/>
  <c r="BN205" i="31"/>
  <c r="CZ205" i="31"/>
  <c r="CD205" i="31"/>
  <c r="BK205" i="31"/>
  <c r="CY205" i="31"/>
  <c r="CB205" i="31"/>
  <c r="CT205" i="31"/>
  <c r="CA205" i="31"/>
  <c r="CR205" i="31"/>
  <c r="BV205" i="31"/>
  <c r="BS205" i="31"/>
  <c r="DJ205" i="31"/>
  <c r="DK205" i="31" s="1"/>
  <c r="BL205" i="31"/>
  <c r="DB205" i="31"/>
  <c r="BT205" i="31"/>
  <c r="DH205" i="31"/>
  <c r="CQ205" i="31"/>
  <c r="CL205" i="31"/>
  <c r="CI205" i="31"/>
  <c r="DF162" i="31"/>
  <c r="CX162" i="31"/>
  <c r="CP162" i="31"/>
  <c r="CH162" i="31"/>
  <c r="BZ162" i="31"/>
  <c r="DC162" i="31"/>
  <c r="CU162" i="31"/>
  <c r="CM162" i="31"/>
  <c r="CE162" i="31"/>
  <c r="BW162" i="31"/>
  <c r="DI162" i="31"/>
  <c r="CY162" i="31"/>
  <c r="CN162" i="31"/>
  <c r="CC162" i="31"/>
  <c r="BS162" i="31"/>
  <c r="BK162" i="31"/>
  <c r="DH162" i="31"/>
  <c r="CW162" i="31"/>
  <c r="CL162" i="31"/>
  <c r="CB162" i="31"/>
  <c r="BR162" i="31"/>
  <c r="DG162" i="31"/>
  <c r="CV162" i="31"/>
  <c r="CK162" i="31"/>
  <c r="CA162" i="31"/>
  <c r="BQ162" i="31"/>
  <c r="DE162" i="31"/>
  <c r="CT162" i="31"/>
  <c r="CJ162" i="31"/>
  <c r="BY162" i="31"/>
  <c r="BP162" i="31"/>
  <c r="DB162" i="31"/>
  <c r="CR162" i="31"/>
  <c r="CG162" i="31"/>
  <c r="BV162" i="31"/>
  <c r="BN162" i="31"/>
  <c r="DD162" i="31"/>
  <c r="CD162" i="31"/>
  <c r="DA162" i="31"/>
  <c r="BX162" i="31"/>
  <c r="CZ162" i="31"/>
  <c r="BU162" i="31"/>
  <c r="CS162" i="31"/>
  <c r="BT162" i="31"/>
  <c r="CQ162" i="31"/>
  <c r="BO162" i="31"/>
  <c r="CO162" i="31"/>
  <c r="BM162" i="31"/>
  <c r="CI162" i="31"/>
  <c r="BL162" i="31"/>
  <c r="DJ162" i="31"/>
  <c r="DK162" i="31" s="1"/>
  <c r="CF162" i="31"/>
  <c r="DF131" i="31"/>
  <c r="CX131" i="31"/>
  <c r="CP131" i="31"/>
  <c r="CH131" i="31"/>
  <c r="BZ131" i="31"/>
  <c r="BR131" i="31"/>
  <c r="DD131" i="31"/>
  <c r="CV131" i="31"/>
  <c r="CN131" i="31"/>
  <c r="CF131" i="31"/>
  <c r="BX131" i="31"/>
  <c r="BP131" i="31"/>
  <c r="DC131" i="31"/>
  <c r="CU131" i="31"/>
  <c r="CM131" i="31"/>
  <c r="CE131" i="31"/>
  <c r="BW131" i="31"/>
  <c r="BO131" i="31"/>
  <c r="DJ131" i="31"/>
  <c r="DK131" i="31" s="1"/>
  <c r="DB131" i="31"/>
  <c r="CT131" i="31"/>
  <c r="CL131" i="31"/>
  <c r="CD131" i="31"/>
  <c r="BV131" i="31"/>
  <c r="BN131" i="31"/>
  <c r="DI131" i="31"/>
  <c r="DA131" i="31"/>
  <c r="CS131" i="31"/>
  <c r="CK131" i="31"/>
  <c r="CC131" i="31"/>
  <c r="BU131" i="31"/>
  <c r="BM131" i="31"/>
  <c r="CQ131" i="31"/>
  <c r="BT131" i="31"/>
  <c r="DH131" i="31"/>
  <c r="CO131" i="31"/>
  <c r="BS131" i="31"/>
  <c r="DG131" i="31"/>
  <c r="CJ131" i="31"/>
  <c r="BQ131" i="31"/>
  <c r="DE131" i="31"/>
  <c r="CI131" i="31"/>
  <c r="BL131" i="31"/>
  <c r="CZ131" i="31"/>
  <c r="CG131" i="31"/>
  <c r="BK131" i="31"/>
  <c r="CY131" i="31"/>
  <c r="CB131" i="31"/>
  <c r="CW131" i="31"/>
  <c r="CA131" i="31"/>
  <c r="CR131" i="31"/>
  <c r="BY131" i="31"/>
  <c r="DI186" i="31"/>
  <c r="DA186" i="31"/>
  <c r="CS186" i="31"/>
  <c r="CK186" i="31"/>
  <c r="CC186" i="31"/>
  <c r="BU186" i="31"/>
  <c r="BM186" i="31"/>
  <c r="DH186" i="31"/>
  <c r="CZ186" i="31"/>
  <c r="CR186" i="31"/>
  <c r="CJ186" i="31"/>
  <c r="CB186" i="31"/>
  <c r="BT186" i="31"/>
  <c r="BL186" i="31"/>
  <c r="DF186" i="31"/>
  <c r="CX186" i="31"/>
  <c r="CP186" i="31"/>
  <c r="CH186" i="31"/>
  <c r="BZ186" i="31"/>
  <c r="BR186" i="31"/>
  <c r="DB186" i="31"/>
  <c r="CN186" i="31"/>
  <c r="CA186" i="31"/>
  <c r="BO186" i="31"/>
  <c r="DJ186" i="31"/>
  <c r="DK186" i="31" s="1"/>
  <c r="CV186" i="31"/>
  <c r="CI186" i="31"/>
  <c r="BW186" i="31"/>
  <c r="DG186" i="31"/>
  <c r="CU186" i="31"/>
  <c r="CG186" i="31"/>
  <c r="BV186" i="31"/>
  <c r="DE186" i="31"/>
  <c r="CT186" i="31"/>
  <c r="CF186" i="31"/>
  <c r="BS186" i="31"/>
  <c r="DD186" i="31"/>
  <c r="CQ186" i="31"/>
  <c r="CE186" i="31"/>
  <c r="BQ186" i="31"/>
  <c r="CM186" i="31"/>
  <c r="BY186" i="31"/>
  <c r="DC186" i="31"/>
  <c r="BX186" i="31"/>
  <c r="CY186" i="31"/>
  <c r="BP186" i="31"/>
  <c r="CW186" i="31"/>
  <c r="BN186" i="31"/>
  <c r="CO186" i="31"/>
  <c r="CD186" i="31"/>
  <c r="CL186" i="31"/>
  <c r="BK186" i="31"/>
  <c r="DH121" i="31"/>
  <c r="CZ121" i="31"/>
  <c r="CR121" i="31"/>
  <c r="CJ121" i="31"/>
  <c r="CB121" i="31"/>
  <c r="BT121" i="31"/>
  <c r="BL121" i="31"/>
  <c r="DF121" i="31"/>
  <c r="CX121" i="31"/>
  <c r="CP121" i="31"/>
  <c r="CH121" i="31"/>
  <c r="BZ121" i="31"/>
  <c r="BR121" i="31"/>
  <c r="DE121" i="31"/>
  <c r="CW121" i="31"/>
  <c r="CO121" i="31"/>
  <c r="CG121" i="31"/>
  <c r="BY121" i="31"/>
  <c r="BQ121" i="31"/>
  <c r="DD121" i="31"/>
  <c r="CV121" i="31"/>
  <c r="CN121" i="31"/>
  <c r="CF121" i="31"/>
  <c r="BX121" i="31"/>
  <c r="BP121" i="31"/>
  <c r="DC121" i="31"/>
  <c r="CU121" i="31"/>
  <c r="CM121" i="31"/>
  <c r="CE121" i="31"/>
  <c r="BW121" i="31"/>
  <c r="BO121" i="31"/>
  <c r="DI121" i="31"/>
  <c r="CL121" i="31"/>
  <c r="BS121" i="31"/>
  <c r="DG121" i="31"/>
  <c r="CK121" i="31"/>
  <c r="BN121" i="31"/>
  <c r="DB121" i="31"/>
  <c r="CI121" i="31"/>
  <c r="BM121" i="31"/>
  <c r="DA121" i="31"/>
  <c r="CD121" i="31"/>
  <c r="BK121" i="31"/>
  <c r="DJ121" i="31"/>
  <c r="DK121" i="31" s="1"/>
  <c r="CY121" i="31"/>
  <c r="CC121" i="31"/>
  <c r="CT121" i="31"/>
  <c r="CA121" i="31"/>
  <c r="BU121" i="31"/>
  <c r="CS121" i="31"/>
  <c r="BV121" i="31"/>
  <c r="CQ121" i="31"/>
  <c r="DJ180" i="31"/>
  <c r="DK180" i="31" s="1"/>
  <c r="DB180" i="31"/>
  <c r="CT180" i="31"/>
  <c r="CL180" i="31"/>
  <c r="CD180" i="31"/>
  <c r="BV180" i="31"/>
  <c r="BN180" i="31"/>
  <c r="DG180" i="31"/>
  <c r="CY180" i="31"/>
  <c r="CQ180" i="31"/>
  <c r="CI180" i="31"/>
  <c r="CA180" i="31"/>
  <c r="BS180" i="31"/>
  <c r="BK180" i="31"/>
  <c r="DF180" i="31"/>
  <c r="CX180" i="31"/>
  <c r="CP180" i="31"/>
  <c r="CH180" i="31"/>
  <c r="BZ180" i="31"/>
  <c r="BR180" i="31"/>
  <c r="DE180" i="31"/>
  <c r="CW180" i="31"/>
  <c r="CO180" i="31"/>
  <c r="CG180" i="31"/>
  <c r="BY180" i="31"/>
  <c r="BQ180" i="31"/>
  <c r="DD180" i="31"/>
  <c r="CV180" i="31"/>
  <c r="CN180" i="31"/>
  <c r="CF180" i="31"/>
  <c r="BX180" i="31"/>
  <c r="BP180" i="31"/>
  <c r="CS180" i="31"/>
  <c r="BW180" i="31"/>
  <c r="DH180" i="31"/>
  <c r="CK180" i="31"/>
  <c r="BO180" i="31"/>
  <c r="DC180" i="31"/>
  <c r="CJ180" i="31"/>
  <c r="BM180" i="31"/>
  <c r="DA180" i="31"/>
  <c r="CE180" i="31"/>
  <c r="BL180" i="31"/>
  <c r="CZ180" i="31"/>
  <c r="CC180" i="31"/>
  <c r="CB180" i="31"/>
  <c r="BU180" i="31"/>
  <c r="DI180" i="31"/>
  <c r="CU180" i="31"/>
  <c r="CR180" i="31"/>
  <c r="CM180" i="31"/>
  <c r="BT180" i="31"/>
  <c r="DC169" i="31"/>
  <c r="CU169" i="31"/>
  <c r="CM169" i="31"/>
  <c r="CE169" i="31"/>
  <c r="BW169" i="31"/>
  <c r="BO169" i="31"/>
  <c r="DJ169" i="31"/>
  <c r="DK169" i="31" s="1"/>
  <c r="DB169" i="31"/>
  <c r="CT169" i="31"/>
  <c r="CL169" i="31"/>
  <c r="CD169" i="31"/>
  <c r="BV169" i="31"/>
  <c r="BN169" i="31"/>
  <c r="DH169" i="31"/>
  <c r="CZ169" i="31"/>
  <c r="CR169" i="31"/>
  <c r="CJ169" i="31"/>
  <c r="CB169" i="31"/>
  <c r="BT169" i="31"/>
  <c r="BL169" i="31"/>
  <c r="DI169" i="31"/>
  <c r="CW169" i="31"/>
  <c r="CI169" i="31"/>
  <c r="BX169" i="31"/>
  <c r="DG169" i="31"/>
  <c r="CV169" i="31"/>
  <c r="CH169" i="31"/>
  <c r="BU169" i="31"/>
  <c r="DF169" i="31"/>
  <c r="CS169" i="31"/>
  <c r="CG169" i="31"/>
  <c r="BS169" i="31"/>
  <c r="DE169" i="31"/>
  <c r="CQ169" i="31"/>
  <c r="CF169" i="31"/>
  <c r="BR169" i="31"/>
  <c r="DA169" i="31"/>
  <c r="CO169" i="31"/>
  <c r="CA169" i="31"/>
  <c r="BP169" i="31"/>
  <c r="BZ169" i="31"/>
  <c r="DD169" i="31"/>
  <c r="BY169" i="31"/>
  <c r="CY169" i="31"/>
  <c r="BQ169" i="31"/>
  <c r="CX169" i="31"/>
  <c r="BM169" i="31"/>
  <c r="CP169" i="31"/>
  <c r="BK169" i="31"/>
  <c r="CN169" i="31"/>
  <c r="CK169" i="31"/>
  <c r="CC169" i="31"/>
  <c r="DE167" i="31"/>
  <c r="CW167" i="31"/>
  <c r="CO167" i="31"/>
  <c r="CG167" i="31"/>
  <c r="BY167" i="31"/>
  <c r="BQ167" i="31"/>
  <c r="DD167" i="31"/>
  <c r="CV167" i="31"/>
  <c r="CN167" i="31"/>
  <c r="CF167" i="31"/>
  <c r="BX167" i="31"/>
  <c r="BP167" i="31"/>
  <c r="DJ167" i="31"/>
  <c r="DK167" i="31" s="1"/>
  <c r="DB167" i="31"/>
  <c r="CT167" i="31"/>
  <c r="CL167" i="31"/>
  <c r="CD167" i="31"/>
  <c r="BV167" i="31"/>
  <c r="BN167" i="31"/>
  <c r="CZ167" i="31"/>
  <c r="CM167" i="31"/>
  <c r="CA167" i="31"/>
  <c r="BM167" i="31"/>
  <c r="CY167" i="31"/>
  <c r="CK167" i="31"/>
  <c r="BZ167" i="31"/>
  <c r="BL167" i="31"/>
  <c r="DI167" i="31"/>
  <c r="CX167" i="31"/>
  <c r="CJ167" i="31"/>
  <c r="BW167" i="31"/>
  <c r="BK167" i="31"/>
  <c r="DH167" i="31"/>
  <c r="CU167" i="31"/>
  <c r="CI167" i="31"/>
  <c r="BU167" i="31"/>
  <c r="DF167" i="31"/>
  <c r="CR167" i="31"/>
  <c r="CE167" i="31"/>
  <c r="BS167" i="31"/>
  <c r="CC167" i="31"/>
  <c r="DG167" i="31"/>
  <c r="CB167" i="31"/>
  <c r="DC167" i="31"/>
  <c r="BT167" i="31"/>
  <c r="DA167" i="31"/>
  <c r="BR167" i="31"/>
  <c r="CS167" i="31"/>
  <c r="BO167" i="31"/>
  <c r="CQ167" i="31"/>
  <c r="CP167" i="31"/>
  <c r="CH167" i="31"/>
  <c r="F80" i="24"/>
  <c r="DE114" i="31"/>
  <c r="CW114" i="31"/>
  <c r="CO114" i="31"/>
  <c r="CG114" i="31"/>
  <c r="BY114" i="31"/>
  <c r="BQ114" i="31"/>
  <c r="CI114" i="31"/>
  <c r="BR114" i="31"/>
  <c r="DD114" i="31"/>
  <c r="CV114" i="31"/>
  <c r="CN114" i="31"/>
  <c r="CF114" i="31"/>
  <c r="BX114" i="31"/>
  <c r="BP114" i="31"/>
  <c r="BS114" i="31"/>
  <c r="DC114" i="31"/>
  <c r="CU114" i="31"/>
  <c r="CM114" i="31"/>
  <c r="CE114" i="31"/>
  <c r="BW114" i="31"/>
  <c r="BO114" i="31"/>
  <c r="BZ114" i="31"/>
  <c r="DJ114" i="31"/>
  <c r="DK114" i="31" s="1"/>
  <c r="DB114" i="31"/>
  <c r="CT114" i="31"/>
  <c r="CL114" i="31"/>
  <c r="CD114" i="31"/>
  <c r="BV114" i="31"/>
  <c r="BN114" i="31"/>
  <c r="CY114" i="31"/>
  <c r="CP114" i="31"/>
  <c r="DI114" i="31"/>
  <c r="DA114" i="31"/>
  <c r="CS114" i="31"/>
  <c r="CK114" i="31"/>
  <c r="CC114" i="31"/>
  <c r="BU114" i="31"/>
  <c r="BM114" i="31"/>
  <c r="DG114" i="31"/>
  <c r="BK114" i="31"/>
  <c r="CX114" i="31"/>
  <c r="DH114" i="31"/>
  <c r="CZ114" i="31"/>
  <c r="CR114" i="31"/>
  <c r="CJ114" i="31"/>
  <c r="CB114" i="31"/>
  <c r="BT114" i="31"/>
  <c r="BL114" i="31"/>
  <c r="CQ114" i="31"/>
  <c r="DF114" i="31"/>
  <c r="CA114" i="31"/>
  <c r="CH114" i="31"/>
  <c r="DC158" i="31"/>
  <c r="CU158" i="31"/>
  <c r="CM158" i="31"/>
  <c r="CE158" i="31"/>
  <c r="BW158" i="31"/>
  <c r="BO158" i="31"/>
  <c r="DJ158" i="31"/>
  <c r="DK158" i="31" s="1"/>
  <c r="DB158" i="31"/>
  <c r="CT158" i="31"/>
  <c r="CL158" i="31"/>
  <c r="CD158" i="31"/>
  <c r="BV158" i="31"/>
  <c r="BN158" i="31"/>
  <c r="DI158" i="31"/>
  <c r="DA158" i="31"/>
  <c r="CS158" i="31"/>
  <c r="CK158" i="31"/>
  <c r="CC158" i="31"/>
  <c r="BU158" i="31"/>
  <c r="BM158" i="31"/>
  <c r="DH158" i="31"/>
  <c r="CZ158" i="31"/>
  <c r="CR158" i="31"/>
  <c r="CJ158" i="31"/>
  <c r="CB158" i="31"/>
  <c r="BT158" i="31"/>
  <c r="BL158" i="31"/>
  <c r="DF158" i="31"/>
  <c r="CX158" i="31"/>
  <c r="CP158" i="31"/>
  <c r="CH158" i="31"/>
  <c r="BZ158" i="31"/>
  <c r="BR158" i="31"/>
  <c r="CV158" i="31"/>
  <c r="BY158" i="31"/>
  <c r="CQ158" i="31"/>
  <c r="BX158" i="31"/>
  <c r="CO158" i="31"/>
  <c r="BS158" i="31"/>
  <c r="DG158" i="31"/>
  <c r="CN158" i="31"/>
  <c r="BQ158" i="31"/>
  <c r="DE158" i="31"/>
  <c r="CI158" i="31"/>
  <c r="BP158" i="31"/>
  <c r="DD158" i="31"/>
  <c r="CG158" i="31"/>
  <c r="BK158" i="31"/>
  <c r="CY158" i="31"/>
  <c r="CF158" i="31"/>
  <c r="CW158" i="31"/>
  <c r="CA158" i="31"/>
  <c r="DJ135" i="31"/>
  <c r="DK135" i="31" s="1"/>
  <c r="DB135" i="31"/>
  <c r="CT135" i="31"/>
  <c r="CL135" i="31"/>
  <c r="CD135" i="31"/>
  <c r="BV135" i="31"/>
  <c r="BN135" i="31"/>
  <c r="DG135" i="31"/>
  <c r="CY135" i="31"/>
  <c r="CQ135" i="31"/>
  <c r="CI135" i="31"/>
  <c r="CA135" i="31"/>
  <c r="BS135" i="31"/>
  <c r="BK135" i="31"/>
  <c r="CZ135" i="31"/>
  <c r="CO135" i="31"/>
  <c r="CE135" i="31"/>
  <c r="BT135" i="31"/>
  <c r="DI135" i="31"/>
  <c r="CX135" i="31"/>
  <c r="CN135" i="31"/>
  <c r="CC135" i="31"/>
  <c r="BR135" i="31"/>
  <c r="DH135" i="31"/>
  <c r="CW135" i="31"/>
  <c r="CM135" i="31"/>
  <c r="CB135" i="31"/>
  <c r="BQ135" i="31"/>
  <c r="DF135" i="31"/>
  <c r="CV135" i="31"/>
  <c r="CK135" i="31"/>
  <c r="BZ135" i="31"/>
  <c r="BP135" i="31"/>
  <c r="DE135" i="31"/>
  <c r="CU135" i="31"/>
  <c r="CJ135" i="31"/>
  <c r="BY135" i="31"/>
  <c r="BO135" i="31"/>
  <c r="DD135" i="31"/>
  <c r="CS135" i="31"/>
  <c r="CH135" i="31"/>
  <c r="BX135" i="31"/>
  <c r="BM135" i="31"/>
  <c r="DC135" i="31"/>
  <c r="CR135" i="31"/>
  <c r="CG135" i="31"/>
  <c r="BW135" i="31"/>
  <c r="BL135" i="31"/>
  <c r="DA135" i="31"/>
  <c r="CP135" i="31"/>
  <c r="CF135" i="31"/>
  <c r="BU135" i="31"/>
  <c r="DF157" i="31"/>
  <c r="CX157" i="31"/>
  <c r="CP157" i="31"/>
  <c r="CH157" i="31"/>
  <c r="BZ157" i="31"/>
  <c r="BR157" i="31"/>
  <c r="DE157" i="31"/>
  <c r="CW157" i="31"/>
  <c r="CO157" i="31"/>
  <c r="CG157" i="31"/>
  <c r="BY157" i="31"/>
  <c r="BQ157" i="31"/>
  <c r="DC157" i="31"/>
  <c r="CU157" i="31"/>
  <c r="CM157" i="31"/>
  <c r="CE157" i="31"/>
  <c r="BW157" i="31"/>
  <c r="BO157" i="31"/>
  <c r="DH157" i="31"/>
  <c r="CT157" i="31"/>
  <c r="CI157" i="31"/>
  <c r="BU157" i="31"/>
  <c r="DG157" i="31"/>
  <c r="CS157" i="31"/>
  <c r="CF157" i="31"/>
  <c r="BT157" i="31"/>
  <c r="DD157" i="31"/>
  <c r="CR157" i="31"/>
  <c r="CD157" i="31"/>
  <c r="BS157" i="31"/>
  <c r="DB157" i="31"/>
  <c r="CQ157" i="31"/>
  <c r="CC157" i="31"/>
  <c r="BP157" i="31"/>
  <c r="DA157" i="31"/>
  <c r="CN157" i="31"/>
  <c r="CB157" i="31"/>
  <c r="BN157" i="31"/>
  <c r="CZ157" i="31"/>
  <c r="CL157" i="31"/>
  <c r="CA157" i="31"/>
  <c r="BM157" i="31"/>
  <c r="DJ157" i="31"/>
  <c r="DK157" i="31" s="1"/>
  <c r="CY157" i="31"/>
  <c r="CK157" i="31"/>
  <c r="BX157" i="31"/>
  <c r="BL157" i="31"/>
  <c r="CV157" i="31"/>
  <c r="CJ157" i="31"/>
  <c r="BV157" i="31"/>
  <c r="BK157" i="31"/>
  <c r="DI157" i="31"/>
  <c r="DD187" i="31"/>
  <c r="CV187" i="31"/>
  <c r="CN187" i="31"/>
  <c r="CF187" i="31"/>
  <c r="BX187" i="31"/>
  <c r="BP187" i="31"/>
  <c r="DC187" i="31"/>
  <c r="CU187" i="31"/>
  <c r="CM187" i="31"/>
  <c r="CE187" i="31"/>
  <c r="BW187" i="31"/>
  <c r="BO187" i="31"/>
  <c r="DI187" i="31"/>
  <c r="DA187" i="31"/>
  <c r="CS187" i="31"/>
  <c r="CK187" i="31"/>
  <c r="CC187" i="31"/>
  <c r="BU187" i="31"/>
  <c r="BM187" i="31"/>
  <c r="CY187" i="31"/>
  <c r="CL187" i="31"/>
  <c r="BZ187" i="31"/>
  <c r="BL187" i="31"/>
  <c r="DG187" i="31"/>
  <c r="CT187" i="31"/>
  <c r="CH187" i="31"/>
  <c r="BT187" i="31"/>
  <c r="DF187" i="31"/>
  <c r="CR187" i="31"/>
  <c r="CG187" i="31"/>
  <c r="BS187" i="31"/>
  <c r="DE187" i="31"/>
  <c r="CQ187" i="31"/>
  <c r="CD187" i="31"/>
  <c r="BR187" i="31"/>
  <c r="DB187" i="31"/>
  <c r="CP187" i="31"/>
  <c r="CB187" i="31"/>
  <c r="BQ187" i="31"/>
  <c r="CZ187" i="31"/>
  <c r="BV187" i="31"/>
  <c r="CO187" i="31"/>
  <c r="CJ187" i="31"/>
  <c r="CI187" i="31"/>
  <c r="DJ187" i="31"/>
  <c r="DK187" i="31" s="1"/>
  <c r="CA187" i="31"/>
  <c r="BK187" i="31"/>
  <c r="DH187" i="31"/>
  <c r="CW187" i="31"/>
  <c r="BY187" i="31"/>
  <c r="BN187" i="31"/>
  <c r="CX187" i="31"/>
  <c r="DG165" i="31"/>
  <c r="CY165" i="31"/>
  <c r="CQ165" i="31"/>
  <c r="CI165" i="31"/>
  <c r="CA165" i="31"/>
  <c r="BS165" i="31"/>
  <c r="BK165" i="31"/>
  <c r="DF165" i="31"/>
  <c r="CX165" i="31"/>
  <c r="CP165" i="31"/>
  <c r="CH165" i="31"/>
  <c r="BZ165" i="31"/>
  <c r="BR165" i="31"/>
  <c r="DD165" i="31"/>
  <c r="CV165" i="31"/>
  <c r="CN165" i="31"/>
  <c r="CF165" i="31"/>
  <c r="BX165" i="31"/>
  <c r="BP165" i="31"/>
  <c r="DC165" i="31"/>
  <c r="CR165" i="31"/>
  <c r="CD165" i="31"/>
  <c r="BQ165" i="31"/>
  <c r="DB165" i="31"/>
  <c r="CO165" i="31"/>
  <c r="CC165" i="31"/>
  <c r="BO165" i="31"/>
  <c r="DA165" i="31"/>
  <c r="CM165" i="31"/>
  <c r="CB165" i="31"/>
  <c r="BN165" i="31"/>
  <c r="CZ165" i="31"/>
  <c r="CL165" i="31"/>
  <c r="BY165" i="31"/>
  <c r="BM165" i="31"/>
  <c r="DI165" i="31"/>
  <c r="CU165" i="31"/>
  <c r="CJ165" i="31"/>
  <c r="BV165" i="31"/>
  <c r="CG165" i="31"/>
  <c r="DJ165" i="31"/>
  <c r="DK165" i="31" s="1"/>
  <c r="CE165" i="31"/>
  <c r="DH165" i="31"/>
  <c r="BW165" i="31"/>
  <c r="DE165" i="31"/>
  <c r="BU165" i="31"/>
  <c r="CW165" i="31"/>
  <c r="BT165" i="31"/>
  <c r="CT165" i="31"/>
  <c r="BL165" i="31"/>
  <c r="CS165" i="31"/>
  <c r="CK165" i="31"/>
  <c r="DC211" i="31"/>
  <c r="CU211" i="31"/>
  <c r="CM211" i="31"/>
  <c r="CE211" i="31"/>
  <c r="BW211" i="31"/>
  <c r="BO211" i="31"/>
  <c r="DH211" i="31"/>
  <c r="CZ211" i="31"/>
  <c r="CR211" i="31"/>
  <c r="CJ211" i="31"/>
  <c r="CB211" i="31"/>
  <c r="BT211" i="31"/>
  <c r="BL211" i="31"/>
  <c r="DG211" i="31"/>
  <c r="CY211" i="31"/>
  <c r="CQ211" i="31"/>
  <c r="CI211" i="31"/>
  <c r="CA211" i="31"/>
  <c r="BS211" i="31"/>
  <c r="BK211" i="31"/>
  <c r="DF211" i="31"/>
  <c r="CX211" i="31"/>
  <c r="CP211" i="31"/>
  <c r="CH211" i="31"/>
  <c r="BZ211" i="31"/>
  <c r="BR211" i="31"/>
  <c r="DE211" i="31"/>
  <c r="CW211" i="31"/>
  <c r="CO211" i="31"/>
  <c r="CG211" i="31"/>
  <c r="BY211" i="31"/>
  <c r="BQ211" i="31"/>
  <c r="DI211" i="31"/>
  <c r="CL211" i="31"/>
  <c r="BP211" i="31"/>
  <c r="DB211" i="31"/>
  <c r="CF211" i="31"/>
  <c r="BM211" i="31"/>
  <c r="DA211" i="31"/>
  <c r="CD211" i="31"/>
  <c r="CV211" i="31"/>
  <c r="CC211" i="31"/>
  <c r="CT211" i="31"/>
  <c r="BX211" i="31"/>
  <c r="CN211" i="31"/>
  <c r="CK211" i="31"/>
  <c r="BU211" i="31"/>
  <c r="DJ211" i="31"/>
  <c r="DK211" i="31" s="1"/>
  <c r="BV211" i="31"/>
  <c r="BN211" i="31"/>
  <c r="DD211" i="31"/>
  <c r="CS211" i="31"/>
  <c r="DF171" i="31"/>
  <c r="CX171" i="31"/>
  <c r="CP171" i="31"/>
  <c r="CH171" i="31"/>
  <c r="BZ171" i="31"/>
  <c r="BR171" i="31"/>
  <c r="DC171" i="31"/>
  <c r="CU171" i="31"/>
  <c r="CM171" i="31"/>
  <c r="CE171" i="31"/>
  <c r="BW171" i="31"/>
  <c r="DJ171" i="31"/>
  <c r="DK171" i="31" s="1"/>
  <c r="DB171" i="31"/>
  <c r="CT171" i="31"/>
  <c r="CL171" i="31"/>
  <c r="DI171" i="31"/>
  <c r="DA171" i="31"/>
  <c r="CS171" i="31"/>
  <c r="CK171" i="31"/>
  <c r="CC171" i="31"/>
  <c r="BU171" i="31"/>
  <c r="BM171" i="31"/>
  <c r="DH171" i="31"/>
  <c r="CZ171" i="31"/>
  <c r="CR171" i="31"/>
  <c r="CJ171" i="31"/>
  <c r="CB171" i="31"/>
  <c r="BT171" i="31"/>
  <c r="DD171" i="31"/>
  <c r="CG171" i="31"/>
  <c r="BQ171" i="31"/>
  <c r="CY171" i="31"/>
  <c r="CF171" i="31"/>
  <c r="BP171" i="31"/>
  <c r="CV171" i="31"/>
  <c r="CA171" i="31"/>
  <c r="BN171" i="31"/>
  <c r="CD171" i="31"/>
  <c r="DG171" i="31"/>
  <c r="BY171" i="31"/>
  <c r="DE171" i="31"/>
  <c r="BX171" i="31"/>
  <c r="CW171" i="31"/>
  <c r="BV171" i="31"/>
  <c r="CO171" i="31"/>
  <c r="BO171" i="31"/>
  <c r="CN171" i="31"/>
  <c r="CI171" i="31"/>
  <c r="BS171" i="31"/>
  <c r="BL171" i="31"/>
  <c r="BK171" i="31"/>
  <c r="CQ171" i="31"/>
  <c r="DH202" i="31"/>
  <c r="CZ202" i="31"/>
  <c r="CR202" i="31"/>
  <c r="CJ202" i="31"/>
  <c r="CB202" i="31"/>
  <c r="BT202" i="31"/>
  <c r="BL202" i="31"/>
  <c r="DE202" i="31"/>
  <c r="CW202" i="31"/>
  <c r="CO202" i="31"/>
  <c r="CG202" i="31"/>
  <c r="BY202" i="31"/>
  <c r="BQ202" i="31"/>
  <c r="DD202" i="31"/>
  <c r="CV202" i="31"/>
  <c r="CN202" i="31"/>
  <c r="CF202" i="31"/>
  <c r="BX202" i="31"/>
  <c r="BP202" i="31"/>
  <c r="DC202" i="31"/>
  <c r="CU202" i="31"/>
  <c r="CM202" i="31"/>
  <c r="CE202" i="31"/>
  <c r="BW202" i="31"/>
  <c r="BO202" i="31"/>
  <c r="DJ202" i="31"/>
  <c r="DK202" i="31" s="1"/>
  <c r="DB202" i="31"/>
  <c r="CT202" i="31"/>
  <c r="CL202" i="31"/>
  <c r="CD202" i="31"/>
  <c r="BV202" i="31"/>
  <c r="BN202" i="31"/>
  <c r="CS202" i="31"/>
  <c r="BZ202" i="31"/>
  <c r="DI202" i="31"/>
  <c r="CP202" i="31"/>
  <c r="BS202" i="31"/>
  <c r="DG202" i="31"/>
  <c r="CK202" i="31"/>
  <c r="BR202" i="31"/>
  <c r="DF202" i="31"/>
  <c r="CI202" i="31"/>
  <c r="BM202" i="31"/>
  <c r="DA202" i="31"/>
  <c r="CH202" i="31"/>
  <c r="BK202" i="31"/>
  <c r="CY202" i="31"/>
  <c r="CQ202" i="31"/>
  <c r="CX202" i="31"/>
  <c r="CC202" i="31"/>
  <c r="CA202" i="31"/>
  <c r="BU202" i="31"/>
  <c r="DI124" i="31"/>
  <c r="DA124" i="31"/>
  <c r="CS124" i="31"/>
  <c r="CK124" i="31"/>
  <c r="CC124" i="31"/>
  <c r="BU124" i="31"/>
  <c r="BM124" i="31"/>
  <c r="DG124" i="31"/>
  <c r="CY124" i="31"/>
  <c r="CQ124" i="31"/>
  <c r="CI124" i="31"/>
  <c r="CA124" i="31"/>
  <c r="BS124" i="31"/>
  <c r="BK124" i="31"/>
  <c r="DF124" i="31"/>
  <c r="CX124" i="31"/>
  <c r="CP124" i="31"/>
  <c r="CH124" i="31"/>
  <c r="BZ124" i="31"/>
  <c r="BR124" i="31"/>
  <c r="DE124" i="31"/>
  <c r="CW124" i="31"/>
  <c r="CO124" i="31"/>
  <c r="CG124" i="31"/>
  <c r="BY124" i="31"/>
  <c r="BQ124" i="31"/>
  <c r="DD124" i="31"/>
  <c r="CV124" i="31"/>
  <c r="CN124" i="31"/>
  <c r="CF124" i="31"/>
  <c r="BX124" i="31"/>
  <c r="BP124" i="31"/>
  <c r="CZ124" i="31"/>
  <c r="CD124" i="31"/>
  <c r="CE124" i="31"/>
  <c r="CU124" i="31"/>
  <c r="CB124" i="31"/>
  <c r="CT124" i="31"/>
  <c r="BW124" i="31"/>
  <c r="DB124" i="31"/>
  <c r="CR124" i="31"/>
  <c r="BV124" i="31"/>
  <c r="DJ124" i="31"/>
  <c r="DK124" i="31" s="1"/>
  <c r="CM124" i="31"/>
  <c r="BT124" i="31"/>
  <c r="DH124" i="31"/>
  <c r="CL124" i="31"/>
  <c r="BO124" i="31"/>
  <c r="DC124" i="31"/>
  <c r="CJ124" i="31"/>
  <c r="BN124" i="31"/>
  <c r="BL124" i="31"/>
  <c r="DC203" i="31"/>
  <c r="CU203" i="31"/>
  <c r="CM203" i="31"/>
  <c r="CE203" i="31"/>
  <c r="BW203" i="31"/>
  <c r="BO203" i="31"/>
  <c r="DH203" i="31"/>
  <c r="CZ203" i="31"/>
  <c r="CR203" i="31"/>
  <c r="CJ203" i="31"/>
  <c r="CB203" i="31"/>
  <c r="BT203" i="31"/>
  <c r="BL203" i="31"/>
  <c r="DG203" i="31"/>
  <c r="CY203" i="31"/>
  <c r="CQ203" i="31"/>
  <c r="CI203" i="31"/>
  <c r="CA203" i="31"/>
  <c r="BS203" i="31"/>
  <c r="BK203" i="31"/>
  <c r="DF203" i="31"/>
  <c r="CX203" i="31"/>
  <c r="CP203" i="31"/>
  <c r="CH203" i="31"/>
  <c r="BZ203" i="31"/>
  <c r="BR203" i="31"/>
  <c r="DE203" i="31"/>
  <c r="CW203" i="31"/>
  <c r="CO203" i="31"/>
  <c r="CG203" i="31"/>
  <c r="BY203" i="31"/>
  <c r="BQ203" i="31"/>
  <c r="DD203" i="31"/>
  <c r="CK203" i="31"/>
  <c r="BN203" i="31"/>
  <c r="DA203" i="31"/>
  <c r="CD203" i="31"/>
  <c r="CV203" i="31"/>
  <c r="CC203" i="31"/>
  <c r="CT203" i="31"/>
  <c r="BX203" i="31"/>
  <c r="CS203" i="31"/>
  <c r="BV203" i="31"/>
  <c r="DJ203" i="31"/>
  <c r="DK203" i="31" s="1"/>
  <c r="BM203" i="31"/>
  <c r="DI203" i="31"/>
  <c r="CN203" i="31"/>
  <c r="CF203" i="31"/>
  <c r="DB203" i="31"/>
  <c r="BP203" i="31"/>
  <c r="CL203" i="31"/>
  <c r="BU203" i="31"/>
  <c r="DJ150" i="31"/>
  <c r="DK150" i="31" s="1"/>
  <c r="DB150" i="31"/>
  <c r="CT150" i="31"/>
  <c r="CL150" i="31"/>
  <c r="CD150" i="31"/>
  <c r="BV150" i="31"/>
  <c r="BN150" i="31"/>
  <c r="DG150" i="31"/>
  <c r="CY150" i="31"/>
  <c r="CQ150" i="31"/>
  <c r="CI150" i="31"/>
  <c r="CA150" i="31"/>
  <c r="BS150" i="31"/>
  <c r="BK150" i="31"/>
  <c r="DF150" i="31"/>
  <c r="CX150" i="31"/>
  <c r="CP150" i="31"/>
  <c r="CH150" i="31"/>
  <c r="BZ150" i="31"/>
  <c r="BR150" i="31"/>
  <c r="DE150" i="31"/>
  <c r="CW150" i="31"/>
  <c r="CO150" i="31"/>
  <c r="CG150" i="31"/>
  <c r="BY150" i="31"/>
  <c r="BQ150" i="31"/>
  <c r="DD150" i="31"/>
  <c r="CV150" i="31"/>
  <c r="CN150" i="31"/>
  <c r="CF150" i="31"/>
  <c r="BX150" i="31"/>
  <c r="BP150" i="31"/>
  <c r="CU150" i="31"/>
  <c r="CB150" i="31"/>
  <c r="CS150" i="31"/>
  <c r="BW150" i="31"/>
  <c r="CR150" i="31"/>
  <c r="BU150" i="31"/>
  <c r="DI150" i="31"/>
  <c r="CM150" i="31"/>
  <c r="BT150" i="31"/>
  <c r="DH150" i="31"/>
  <c r="CK150" i="31"/>
  <c r="BO150" i="31"/>
  <c r="DC150" i="31"/>
  <c r="CJ150" i="31"/>
  <c r="BM150" i="31"/>
  <c r="DA150" i="31"/>
  <c r="CE150" i="31"/>
  <c r="BL150" i="31"/>
  <c r="CC150" i="31"/>
  <c r="CZ150" i="31"/>
  <c r="DI163" i="31"/>
  <c r="DA163" i="31"/>
  <c r="CS163" i="31"/>
  <c r="CK163" i="31"/>
  <c r="CC163" i="31"/>
  <c r="BU163" i="31"/>
  <c r="BM163" i="31"/>
  <c r="DH163" i="31"/>
  <c r="CZ163" i="31"/>
  <c r="CR163" i="31"/>
  <c r="CJ163" i="31"/>
  <c r="CB163" i="31"/>
  <c r="BT163" i="31"/>
  <c r="BL163" i="31"/>
  <c r="DF163" i="31"/>
  <c r="CX163" i="31"/>
  <c r="CP163" i="31"/>
  <c r="CH163" i="31"/>
  <c r="BZ163" i="31"/>
  <c r="BR163" i="31"/>
  <c r="DG163" i="31"/>
  <c r="CU163" i="31"/>
  <c r="CG163" i="31"/>
  <c r="BV163" i="31"/>
  <c r="DE163" i="31"/>
  <c r="CT163" i="31"/>
  <c r="CF163" i="31"/>
  <c r="BS163" i="31"/>
  <c r="DD163" i="31"/>
  <c r="CQ163" i="31"/>
  <c r="CE163" i="31"/>
  <c r="BQ163" i="31"/>
  <c r="DC163" i="31"/>
  <c r="CO163" i="31"/>
  <c r="CD163" i="31"/>
  <c r="BP163" i="31"/>
  <c r="CY163" i="31"/>
  <c r="CM163" i="31"/>
  <c r="BY163" i="31"/>
  <c r="BN163" i="31"/>
  <c r="CL163" i="31"/>
  <c r="CI163" i="31"/>
  <c r="CA163" i="31"/>
  <c r="DJ163" i="31"/>
  <c r="DK163" i="31" s="1"/>
  <c r="BX163" i="31"/>
  <c r="DB163" i="31"/>
  <c r="BW163" i="31"/>
  <c r="CW163" i="31"/>
  <c r="BO163" i="31"/>
  <c r="CV163" i="31"/>
  <c r="BK163" i="31"/>
  <c r="CN163" i="31"/>
  <c r="DD151" i="31"/>
  <c r="CV151" i="31"/>
  <c r="DI151" i="31"/>
  <c r="DA151" i="31"/>
  <c r="DH151" i="31"/>
  <c r="CX151" i="31"/>
  <c r="CO151" i="31"/>
  <c r="CG151" i="31"/>
  <c r="BY151" i="31"/>
  <c r="BQ151" i="31"/>
  <c r="DE151" i="31"/>
  <c r="CT151" i="31"/>
  <c r="CL151" i="31"/>
  <c r="CD151" i="31"/>
  <c r="BV151" i="31"/>
  <c r="BN151" i="31"/>
  <c r="DC151" i="31"/>
  <c r="CS151" i="31"/>
  <c r="CK151" i="31"/>
  <c r="CC151" i="31"/>
  <c r="BU151" i="31"/>
  <c r="BM151" i="31"/>
  <c r="DB151" i="31"/>
  <c r="CR151" i="31"/>
  <c r="CJ151" i="31"/>
  <c r="CB151" i="31"/>
  <c r="BT151" i="31"/>
  <c r="BL151" i="31"/>
  <c r="CZ151" i="31"/>
  <c r="CQ151" i="31"/>
  <c r="CI151" i="31"/>
  <c r="CA151" i="31"/>
  <c r="BS151" i="31"/>
  <c r="BK151" i="31"/>
  <c r="DJ151" i="31"/>
  <c r="DK151" i="31" s="1"/>
  <c r="CM151" i="31"/>
  <c r="BP151" i="31"/>
  <c r="DG151" i="31"/>
  <c r="CH151" i="31"/>
  <c r="BO151" i="31"/>
  <c r="DF151" i="31"/>
  <c r="CF151" i="31"/>
  <c r="CY151" i="31"/>
  <c r="CE151" i="31"/>
  <c r="CW151" i="31"/>
  <c r="BZ151" i="31"/>
  <c r="CU151" i="31"/>
  <c r="BX151" i="31"/>
  <c r="CP151" i="31"/>
  <c r="BW151" i="31"/>
  <c r="CN151" i="31"/>
  <c r="BR151" i="31"/>
  <c r="DH210" i="31"/>
  <c r="CZ210" i="31"/>
  <c r="CR210" i="31"/>
  <c r="CJ210" i="31"/>
  <c r="CB210" i="31"/>
  <c r="BT210" i="31"/>
  <c r="BL210" i="31"/>
  <c r="DE210" i="31"/>
  <c r="CW210" i="31"/>
  <c r="CO210" i="31"/>
  <c r="CG210" i="31"/>
  <c r="BY210" i="31"/>
  <c r="BQ210" i="31"/>
  <c r="DD210" i="31"/>
  <c r="CV210" i="31"/>
  <c r="CN210" i="31"/>
  <c r="CF210" i="31"/>
  <c r="BX210" i="31"/>
  <c r="BP210" i="31"/>
  <c r="DC210" i="31"/>
  <c r="CU210" i="31"/>
  <c r="CM210" i="31"/>
  <c r="CE210" i="31"/>
  <c r="BW210" i="31"/>
  <c r="BO210" i="31"/>
  <c r="DJ210" i="31"/>
  <c r="DK210" i="31" s="1"/>
  <c r="DB210" i="31"/>
  <c r="CT210" i="31"/>
  <c r="CL210" i="31"/>
  <c r="CD210" i="31"/>
  <c r="BV210" i="31"/>
  <c r="BN210" i="31"/>
  <c r="CX210" i="31"/>
  <c r="CA210" i="31"/>
  <c r="CQ210" i="31"/>
  <c r="BU210" i="31"/>
  <c r="DI210" i="31"/>
  <c r="CP210" i="31"/>
  <c r="BS210" i="31"/>
  <c r="DG210" i="31"/>
  <c r="CK210" i="31"/>
  <c r="BR210" i="31"/>
  <c r="DF210" i="31"/>
  <c r="CI210" i="31"/>
  <c r="BM210" i="31"/>
  <c r="CH210" i="31"/>
  <c r="CC210" i="31"/>
  <c r="BK210" i="31"/>
  <c r="BZ210" i="31"/>
  <c r="DA210" i="31"/>
  <c r="CY210" i="31"/>
  <c r="CS210" i="31"/>
  <c r="DH155" i="31"/>
  <c r="CZ155" i="31"/>
  <c r="CR155" i="31"/>
  <c r="CJ155" i="31"/>
  <c r="CB155" i="31"/>
  <c r="BT155" i="31"/>
  <c r="BL155" i="31"/>
  <c r="DG155" i="31"/>
  <c r="CY155" i="31"/>
  <c r="CQ155" i="31"/>
  <c r="CI155" i="31"/>
  <c r="CA155" i="31"/>
  <c r="BS155" i="31"/>
  <c r="BK155" i="31"/>
  <c r="DE155" i="31"/>
  <c r="CW155" i="31"/>
  <c r="CO155" i="31"/>
  <c r="CG155" i="31"/>
  <c r="BY155" i="31"/>
  <c r="BQ155" i="31"/>
  <c r="CX155" i="31"/>
  <c r="CL155" i="31"/>
  <c r="BX155" i="31"/>
  <c r="BM155" i="31"/>
  <c r="DF155" i="31"/>
  <c r="CT155" i="31"/>
  <c r="CF155" i="31"/>
  <c r="BU155" i="31"/>
  <c r="DD155" i="31"/>
  <c r="CS155" i="31"/>
  <c r="CE155" i="31"/>
  <c r="BR155" i="31"/>
  <c r="DC155" i="31"/>
  <c r="CP155" i="31"/>
  <c r="CD155" i="31"/>
  <c r="BP155" i="31"/>
  <c r="DB155" i="31"/>
  <c r="CN155" i="31"/>
  <c r="CC155" i="31"/>
  <c r="BO155" i="31"/>
  <c r="DA155" i="31"/>
  <c r="BV155" i="31"/>
  <c r="CV155" i="31"/>
  <c r="BN155" i="31"/>
  <c r="CU155" i="31"/>
  <c r="CM155" i="31"/>
  <c r="CK155" i="31"/>
  <c r="CH155" i="31"/>
  <c r="DJ155" i="31"/>
  <c r="DK155" i="31" s="1"/>
  <c r="BZ155" i="31"/>
  <c r="DI155" i="31"/>
  <c r="BW155" i="31"/>
  <c r="DI139" i="31"/>
  <c r="DA139" i="31"/>
  <c r="CS139" i="31"/>
  <c r="CK139" i="31"/>
  <c r="CC139" i="31"/>
  <c r="BU139" i="31"/>
  <c r="DF139" i="31"/>
  <c r="CX139" i="31"/>
  <c r="CP139" i="31"/>
  <c r="CH139" i="31"/>
  <c r="BZ139" i="31"/>
  <c r="BR139" i="31"/>
  <c r="DE139" i="31"/>
  <c r="CW139" i="31"/>
  <c r="CO139" i="31"/>
  <c r="CG139" i="31"/>
  <c r="BY139" i="31"/>
  <c r="BQ139" i="31"/>
  <c r="DD139" i="31"/>
  <c r="CV139" i="31"/>
  <c r="CN139" i="31"/>
  <c r="CF139" i="31"/>
  <c r="BX139" i="31"/>
  <c r="DC139" i="31"/>
  <c r="CU139" i="31"/>
  <c r="CM139" i="31"/>
  <c r="CE139" i="31"/>
  <c r="BW139" i="31"/>
  <c r="BO139" i="31"/>
  <c r="DB139" i="31"/>
  <c r="CI139" i="31"/>
  <c r="BN139" i="31"/>
  <c r="CZ139" i="31"/>
  <c r="CD139" i="31"/>
  <c r="BM139" i="31"/>
  <c r="CY139" i="31"/>
  <c r="CB139" i="31"/>
  <c r="BL139" i="31"/>
  <c r="CT139" i="31"/>
  <c r="CA139" i="31"/>
  <c r="BK139" i="31"/>
  <c r="CR139" i="31"/>
  <c r="BV139" i="31"/>
  <c r="DJ139" i="31"/>
  <c r="DK139" i="31" s="1"/>
  <c r="CQ139" i="31"/>
  <c r="BT139" i="31"/>
  <c r="DH139" i="31"/>
  <c r="CL139" i="31"/>
  <c r="BS139" i="31"/>
  <c r="DG139" i="31"/>
  <c r="CJ139" i="31"/>
  <c r="BP139" i="31"/>
  <c r="DJ127" i="31"/>
  <c r="DK127" i="31" s="1"/>
  <c r="DB127" i="31"/>
  <c r="CT127" i="31"/>
  <c r="CL127" i="31"/>
  <c r="CD127" i="31"/>
  <c r="BV127" i="31"/>
  <c r="BN127" i="31"/>
  <c r="DH127" i="31"/>
  <c r="CZ127" i="31"/>
  <c r="CR127" i="31"/>
  <c r="CJ127" i="31"/>
  <c r="CB127" i="31"/>
  <c r="BT127" i="31"/>
  <c r="BL127" i="31"/>
  <c r="DG127" i="31"/>
  <c r="CY127" i="31"/>
  <c r="CQ127" i="31"/>
  <c r="CI127" i="31"/>
  <c r="CA127" i="31"/>
  <c r="BS127" i="31"/>
  <c r="BK127" i="31"/>
  <c r="DF127" i="31"/>
  <c r="CX127" i="31"/>
  <c r="CP127" i="31"/>
  <c r="CH127" i="31"/>
  <c r="BZ127" i="31"/>
  <c r="BR127" i="31"/>
  <c r="DE127" i="31"/>
  <c r="CW127" i="31"/>
  <c r="CO127" i="31"/>
  <c r="CG127" i="31"/>
  <c r="BY127" i="31"/>
  <c r="BQ127" i="31"/>
  <c r="CN127" i="31"/>
  <c r="BU127" i="31"/>
  <c r="DI127" i="31"/>
  <c r="CM127" i="31"/>
  <c r="BP127" i="31"/>
  <c r="CS127" i="31"/>
  <c r="DD127" i="31"/>
  <c r="CK127" i="31"/>
  <c r="BO127" i="31"/>
  <c r="DC127" i="31"/>
  <c r="CF127" i="31"/>
  <c r="BM127" i="31"/>
  <c r="DA127" i="31"/>
  <c r="CE127" i="31"/>
  <c r="CV127" i="31"/>
  <c r="CC127" i="31"/>
  <c r="CU127" i="31"/>
  <c r="BX127" i="31"/>
  <c r="BW127" i="31"/>
  <c r="DG199" i="31"/>
  <c r="CY199" i="31"/>
  <c r="CQ199" i="31"/>
  <c r="CI199" i="31"/>
  <c r="CA199" i="31"/>
  <c r="DD199" i="31"/>
  <c r="CV199" i="31"/>
  <c r="CN199" i="31"/>
  <c r="CF199" i="31"/>
  <c r="BX199" i="31"/>
  <c r="DC199" i="31"/>
  <c r="CU199" i="31"/>
  <c r="CM199" i="31"/>
  <c r="CE199" i="31"/>
  <c r="DJ199" i="31"/>
  <c r="DK199" i="31" s="1"/>
  <c r="DB199" i="31"/>
  <c r="CT199" i="31"/>
  <c r="CL199" i="31"/>
  <c r="CD199" i="31"/>
  <c r="BV199" i="31"/>
  <c r="DI199" i="31"/>
  <c r="DA199" i="31"/>
  <c r="CS199" i="31"/>
  <c r="CK199" i="31"/>
  <c r="CC199" i="31"/>
  <c r="BU199" i="31"/>
  <c r="DE199" i="31"/>
  <c r="CH199" i="31"/>
  <c r="BR199" i="31"/>
  <c r="CX199" i="31"/>
  <c r="CB199" i="31"/>
  <c r="BP199" i="31"/>
  <c r="CW199" i="31"/>
  <c r="BZ199" i="31"/>
  <c r="BO199" i="31"/>
  <c r="CR199" i="31"/>
  <c r="BY199" i="31"/>
  <c r="BN199" i="31"/>
  <c r="CP199" i="31"/>
  <c r="BW199" i="31"/>
  <c r="BM199" i="31"/>
  <c r="CZ199" i="31"/>
  <c r="BK199" i="31"/>
  <c r="CO199" i="31"/>
  <c r="CG199" i="31"/>
  <c r="DH199" i="31"/>
  <c r="BT199" i="31"/>
  <c r="BS199" i="31"/>
  <c r="BQ199" i="31"/>
  <c r="BL199" i="31"/>
  <c r="DF199" i="31"/>
  <c r="CJ199" i="31"/>
  <c r="DH144" i="31"/>
  <c r="CZ144" i="31"/>
  <c r="CR144" i="31"/>
  <c r="CJ144" i="31"/>
  <c r="CB144" i="31"/>
  <c r="BT144" i="31"/>
  <c r="BL144" i="31"/>
  <c r="DE144" i="31"/>
  <c r="CW144" i="31"/>
  <c r="CO144" i="31"/>
  <c r="CG144" i="31"/>
  <c r="BY144" i="31"/>
  <c r="BQ144" i="31"/>
  <c r="DD144" i="31"/>
  <c r="CV144" i="31"/>
  <c r="CN144" i="31"/>
  <c r="CF144" i="31"/>
  <c r="BX144" i="31"/>
  <c r="BP144" i="31"/>
  <c r="DC144" i="31"/>
  <c r="CU144" i="31"/>
  <c r="CM144" i="31"/>
  <c r="CE144" i="31"/>
  <c r="BW144" i="31"/>
  <c r="BO144" i="31"/>
  <c r="DJ144" i="31"/>
  <c r="DK144" i="31" s="1"/>
  <c r="DB144" i="31"/>
  <c r="CT144" i="31"/>
  <c r="CL144" i="31"/>
  <c r="CD144" i="31"/>
  <c r="BV144" i="31"/>
  <c r="BN144" i="31"/>
  <c r="CS144" i="31"/>
  <c r="BZ144" i="31"/>
  <c r="CQ144" i="31"/>
  <c r="BU144" i="31"/>
  <c r="DI144" i="31"/>
  <c r="CP144" i="31"/>
  <c r="BS144" i="31"/>
  <c r="DG144" i="31"/>
  <c r="CK144" i="31"/>
  <c r="BR144" i="31"/>
  <c r="DF144" i="31"/>
  <c r="CI144" i="31"/>
  <c r="BM144" i="31"/>
  <c r="DA144" i="31"/>
  <c r="CH144" i="31"/>
  <c r="BK144" i="31"/>
  <c r="CY144" i="31"/>
  <c r="CC144" i="31"/>
  <c r="CX144" i="31"/>
  <c r="CA144" i="31"/>
  <c r="DC170" i="31"/>
  <c r="DF170" i="31"/>
  <c r="DH170" i="31"/>
  <c r="CX170" i="31"/>
  <c r="CP170" i="31"/>
  <c r="CH170" i="31"/>
  <c r="BZ170" i="31"/>
  <c r="BR170" i="31"/>
  <c r="DG170" i="31"/>
  <c r="CW170" i="31"/>
  <c r="CO170" i="31"/>
  <c r="CG170" i="31"/>
  <c r="BY170" i="31"/>
  <c r="BQ170" i="31"/>
  <c r="DD170" i="31"/>
  <c r="CU170" i="31"/>
  <c r="CM170" i="31"/>
  <c r="CE170" i="31"/>
  <c r="BW170" i="31"/>
  <c r="BO170" i="31"/>
  <c r="DJ170" i="31"/>
  <c r="DK170" i="31" s="1"/>
  <c r="CT170" i="31"/>
  <c r="CI170" i="31"/>
  <c r="BU170" i="31"/>
  <c r="DI170" i="31"/>
  <c r="CS170" i="31"/>
  <c r="CF170" i="31"/>
  <c r="BT170" i="31"/>
  <c r="DE170" i="31"/>
  <c r="CR170" i="31"/>
  <c r="CD170" i="31"/>
  <c r="BS170" i="31"/>
  <c r="DB170" i="31"/>
  <c r="CQ170" i="31"/>
  <c r="CC170" i="31"/>
  <c r="BP170" i="31"/>
  <c r="CZ170" i="31"/>
  <c r="CL170" i="31"/>
  <c r="CA170" i="31"/>
  <c r="BM170" i="31"/>
  <c r="CN170" i="31"/>
  <c r="BK170" i="31"/>
  <c r="CK170" i="31"/>
  <c r="CJ170" i="31"/>
  <c r="CB170" i="31"/>
  <c r="BX170" i="31"/>
  <c r="DA170" i="31"/>
  <c r="BV170" i="31"/>
  <c r="CY170" i="31"/>
  <c r="BN170" i="31"/>
  <c r="BL170" i="31"/>
  <c r="CV170" i="31"/>
  <c r="DG152" i="31"/>
  <c r="CY152" i="31"/>
  <c r="CQ152" i="31"/>
  <c r="CI152" i="31"/>
  <c r="CA152" i="31"/>
  <c r="BS152" i="31"/>
  <c r="BK152" i="31"/>
  <c r="DF152" i="31"/>
  <c r="CX152" i="31"/>
  <c r="CP152" i="31"/>
  <c r="CH152" i="31"/>
  <c r="BZ152" i="31"/>
  <c r="DD152" i="31"/>
  <c r="CV152" i="31"/>
  <c r="CN152" i="31"/>
  <c r="CF152" i="31"/>
  <c r="BX152" i="31"/>
  <c r="BP152" i="31"/>
  <c r="DC152" i="31"/>
  <c r="CR152" i="31"/>
  <c r="CD152" i="31"/>
  <c r="BR152" i="31"/>
  <c r="CZ152" i="31"/>
  <c r="CL152" i="31"/>
  <c r="BY152" i="31"/>
  <c r="BN152" i="31"/>
  <c r="DJ152" i="31"/>
  <c r="DK152" i="31" s="1"/>
  <c r="CW152" i="31"/>
  <c r="CK152" i="31"/>
  <c r="BW152" i="31"/>
  <c r="BM152" i="31"/>
  <c r="DI152" i="31"/>
  <c r="CU152" i="31"/>
  <c r="CJ152" i="31"/>
  <c r="BV152" i="31"/>
  <c r="BL152" i="31"/>
  <c r="DH152" i="31"/>
  <c r="CT152" i="31"/>
  <c r="CG152" i="31"/>
  <c r="BU152" i="31"/>
  <c r="CO152" i="31"/>
  <c r="CM152" i="31"/>
  <c r="CE152" i="31"/>
  <c r="CC152" i="31"/>
  <c r="DE152" i="31"/>
  <c r="CB152" i="31"/>
  <c r="DB152" i="31"/>
  <c r="BT152" i="31"/>
  <c r="DA152" i="31"/>
  <c r="BQ152" i="31"/>
  <c r="CS152" i="31"/>
  <c r="BO152" i="31"/>
  <c r="DD178" i="31"/>
  <c r="CV178" i="31"/>
  <c r="CN178" i="31"/>
  <c r="CF178" i="31"/>
  <c r="BX178" i="31"/>
  <c r="DI178" i="31"/>
  <c r="DA178" i="31"/>
  <c r="DH178" i="31"/>
  <c r="CZ178" i="31"/>
  <c r="CY178" i="31"/>
  <c r="CP178" i="31"/>
  <c r="CG178" i="31"/>
  <c r="BW178" i="31"/>
  <c r="BO178" i="31"/>
  <c r="DG178" i="31"/>
  <c r="CU178" i="31"/>
  <c r="CL178" i="31"/>
  <c r="CC178" i="31"/>
  <c r="BT178" i="31"/>
  <c r="BL178" i="31"/>
  <c r="DF178" i="31"/>
  <c r="CT178" i="31"/>
  <c r="CK178" i="31"/>
  <c r="CB178" i="31"/>
  <c r="BS178" i="31"/>
  <c r="BK178" i="31"/>
  <c r="DE178" i="31"/>
  <c r="CS178" i="31"/>
  <c r="CJ178" i="31"/>
  <c r="CA178" i="31"/>
  <c r="BR178" i="31"/>
  <c r="DC178" i="31"/>
  <c r="CR178" i="31"/>
  <c r="CI178" i="31"/>
  <c r="BZ178" i="31"/>
  <c r="BQ178" i="31"/>
  <c r="CX178" i="31"/>
  <c r="BY178" i="31"/>
  <c r="CW178" i="31"/>
  <c r="BV178" i="31"/>
  <c r="CO178" i="31"/>
  <c r="BP178" i="31"/>
  <c r="CH178" i="31"/>
  <c r="CE178" i="31"/>
  <c r="CD178" i="31"/>
  <c r="BU178" i="31"/>
  <c r="DB178" i="31"/>
  <c r="BM178" i="31"/>
  <c r="CM178" i="31"/>
  <c r="BN178" i="31"/>
  <c r="DJ178" i="31"/>
  <c r="DK178" i="31" s="1"/>
  <c r="CQ178" i="31"/>
  <c r="DD173" i="31"/>
  <c r="CV173" i="31"/>
  <c r="CN173" i="31"/>
  <c r="CF173" i="31"/>
  <c r="BX173" i="31"/>
  <c r="BP173" i="31"/>
  <c r="DI173" i="31"/>
  <c r="DA173" i="31"/>
  <c r="CS173" i="31"/>
  <c r="CK173" i="31"/>
  <c r="CC173" i="31"/>
  <c r="BU173" i="31"/>
  <c r="BM173" i="31"/>
  <c r="DH173" i="31"/>
  <c r="CZ173" i="31"/>
  <c r="CR173" i="31"/>
  <c r="CJ173" i="31"/>
  <c r="CB173" i="31"/>
  <c r="BT173" i="31"/>
  <c r="BL173" i="31"/>
  <c r="DG173" i="31"/>
  <c r="CY173" i="31"/>
  <c r="CQ173" i="31"/>
  <c r="CI173" i="31"/>
  <c r="CA173" i="31"/>
  <c r="BS173" i="31"/>
  <c r="BK173" i="31"/>
  <c r="DF173" i="31"/>
  <c r="CX173" i="31"/>
  <c r="CP173" i="31"/>
  <c r="CH173" i="31"/>
  <c r="BZ173" i="31"/>
  <c r="BR173" i="31"/>
  <c r="DC173" i="31"/>
  <c r="CG173" i="31"/>
  <c r="BN173" i="31"/>
  <c r="DB173" i="31"/>
  <c r="CE173" i="31"/>
  <c r="CU173" i="31"/>
  <c r="BY173" i="31"/>
  <c r="DJ173" i="31"/>
  <c r="DK173" i="31" s="1"/>
  <c r="BW173" i="31"/>
  <c r="DE173" i="31"/>
  <c r="BV173" i="31"/>
  <c r="CW173" i="31"/>
  <c r="BQ173" i="31"/>
  <c r="CT173" i="31"/>
  <c r="BO173" i="31"/>
  <c r="CM173" i="31"/>
  <c r="CD173" i="31"/>
  <c r="CO173" i="31"/>
  <c r="CL173" i="31"/>
  <c r="DG194" i="31"/>
  <c r="CY194" i="31"/>
  <c r="CQ194" i="31"/>
  <c r="CI194" i="31"/>
  <c r="CA194" i="31"/>
  <c r="BS194" i="31"/>
  <c r="BK194" i="31"/>
  <c r="DE194" i="31"/>
  <c r="CW194" i="31"/>
  <c r="CO194" i="31"/>
  <c r="CG194" i="31"/>
  <c r="BY194" i="31"/>
  <c r="BQ194" i="31"/>
  <c r="DD194" i="31"/>
  <c r="CV194" i="31"/>
  <c r="CN194" i="31"/>
  <c r="CF194" i="31"/>
  <c r="BX194" i="31"/>
  <c r="BP194" i="31"/>
  <c r="DC194" i="31"/>
  <c r="CU194" i="31"/>
  <c r="CM194" i="31"/>
  <c r="CE194" i="31"/>
  <c r="BW194" i="31"/>
  <c r="BO194" i="31"/>
  <c r="DJ194" i="31"/>
  <c r="DK194" i="31" s="1"/>
  <c r="DB194" i="31"/>
  <c r="CT194" i="31"/>
  <c r="CL194" i="31"/>
  <c r="CD194" i="31"/>
  <c r="BV194" i="31"/>
  <c r="BN194" i="31"/>
  <c r="DI194" i="31"/>
  <c r="CP194" i="31"/>
  <c r="BT194" i="31"/>
  <c r="DH194" i="31"/>
  <c r="CK194" i="31"/>
  <c r="BR194" i="31"/>
  <c r="DA194" i="31"/>
  <c r="CH194" i="31"/>
  <c r="BL194" i="31"/>
  <c r="CB194" i="31"/>
  <c r="CX194" i="31"/>
  <c r="BM194" i="31"/>
  <c r="CS194" i="31"/>
  <c r="CR194" i="31"/>
  <c r="CJ194" i="31"/>
  <c r="CZ194" i="31"/>
  <c r="CC194" i="31"/>
  <c r="BZ194" i="31"/>
  <c r="BU194" i="31"/>
  <c r="DF194" i="31"/>
  <c r="DG188" i="31"/>
  <c r="CY188" i="31"/>
  <c r="CQ188" i="31"/>
  <c r="CI188" i="31"/>
  <c r="CA188" i="31"/>
  <c r="BS188" i="31"/>
  <c r="BK188" i="31"/>
  <c r="DF188" i="31"/>
  <c r="CX188" i="31"/>
  <c r="CP188" i="31"/>
  <c r="CH188" i="31"/>
  <c r="BZ188" i="31"/>
  <c r="BR188" i="31"/>
  <c r="DD188" i="31"/>
  <c r="CV188" i="31"/>
  <c r="CN188" i="31"/>
  <c r="CF188" i="31"/>
  <c r="BX188" i="31"/>
  <c r="BP188" i="31"/>
  <c r="DJ188" i="31"/>
  <c r="DK188" i="31" s="1"/>
  <c r="CW188" i="31"/>
  <c r="CK188" i="31"/>
  <c r="BW188" i="31"/>
  <c r="BL188" i="31"/>
  <c r="DE188" i="31"/>
  <c r="CS188" i="31"/>
  <c r="CE188" i="31"/>
  <c r="BT188" i="31"/>
  <c r="DC188" i="31"/>
  <c r="CR188" i="31"/>
  <c r="CD188" i="31"/>
  <c r="BQ188" i="31"/>
  <c r="DB188" i="31"/>
  <c r="CO188" i="31"/>
  <c r="CC188" i="31"/>
  <c r="BO188" i="31"/>
  <c r="DA188" i="31"/>
  <c r="CM188" i="31"/>
  <c r="CB188" i="31"/>
  <c r="BN188" i="31"/>
  <c r="CJ188" i="31"/>
  <c r="DH188" i="31"/>
  <c r="BV188" i="31"/>
  <c r="CZ188" i="31"/>
  <c r="BU188" i="31"/>
  <c r="CU188" i="31"/>
  <c r="BM188" i="31"/>
  <c r="CT188" i="31"/>
  <c r="CL188" i="31"/>
  <c r="CG188" i="31"/>
  <c r="DI188" i="31"/>
  <c r="BY188" i="31"/>
  <c r="DH177" i="31"/>
  <c r="CZ177" i="31"/>
  <c r="CR177" i="31"/>
  <c r="CJ177" i="31"/>
  <c r="CB177" i="31"/>
  <c r="BT177" i="31"/>
  <c r="BL177" i="31"/>
  <c r="DE177" i="31"/>
  <c r="CW177" i="31"/>
  <c r="CO177" i="31"/>
  <c r="CG177" i="31"/>
  <c r="BY177" i="31"/>
  <c r="BQ177" i="31"/>
  <c r="DD177" i="31"/>
  <c r="CV177" i="31"/>
  <c r="CN177" i="31"/>
  <c r="CF177" i="31"/>
  <c r="BX177" i="31"/>
  <c r="BP177" i="31"/>
  <c r="DC177" i="31"/>
  <c r="CU177" i="31"/>
  <c r="CM177" i="31"/>
  <c r="CE177" i="31"/>
  <c r="BW177" i="31"/>
  <c r="BO177" i="31"/>
  <c r="DJ177" i="31"/>
  <c r="DK177" i="31" s="1"/>
  <c r="DB177" i="31"/>
  <c r="CT177" i="31"/>
  <c r="CL177" i="31"/>
  <c r="CD177" i="31"/>
  <c r="BV177" i="31"/>
  <c r="BN177" i="31"/>
  <c r="DF177" i="31"/>
  <c r="CI177" i="31"/>
  <c r="BM177" i="31"/>
  <c r="DA177" i="31"/>
  <c r="CH177" i="31"/>
  <c r="BK177" i="31"/>
  <c r="CX177" i="31"/>
  <c r="CA177" i="31"/>
  <c r="CY177" i="31"/>
  <c r="BS177" i="31"/>
  <c r="CS177" i="31"/>
  <c r="BR177" i="31"/>
  <c r="CQ177" i="31"/>
  <c r="CP177" i="31"/>
  <c r="CC177" i="31"/>
  <c r="DI177" i="31"/>
  <c r="DG177" i="31"/>
  <c r="CK177" i="31"/>
  <c r="BZ177" i="31"/>
  <c r="BU177" i="31"/>
  <c r="F71" i="24"/>
  <c r="DF191" i="31"/>
  <c r="CX191" i="31"/>
  <c r="CP191" i="31"/>
  <c r="CH191" i="31"/>
  <c r="BZ191" i="31"/>
  <c r="DD191" i="31"/>
  <c r="CV191" i="31"/>
  <c r="CN191" i="31"/>
  <c r="CF191" i="31"/>
  <c r="BX191" i="31"/>
  <c r="DJ191" i="31"/>
  <c r="DK191" i="31" s="1"/>
  <c r="DB191" i="31"/>
  <c r="DI191" i="31"/>
  <c r="DA191" i="31"/>
  <c r="CZ191" i="31"/>
  <c r="CO191" i="31"/>
  <c r="CD191" i="31"/>
  <c r="BT191" i="31"/>
  <c r="BL191" i="31"/>
  <c r="CY191" i="31"/>
  <c r="CM191" i="31"/>
  <c r="CC191" i="31"/>
  <c r="BS191" i="31"/>
  <c r="BK191" i="31"/>
  <c r="CU191" i="31"/>
  <c r="CK191" i="31"/>
  <c r="CA191" i="31"/>
  <c r="BQ191" i="31"/>
  <c r="DC191" i="31"/>
  <c r="CI191" i="31"/>
  <c r="BR191" i="31"/>
  <c r="CS191" i="31"/>
  <c r="CB191" i="31"/>
  <c r="BN191" i="31"/>
  <c r="CR191" i="31"/>
  <c r="BY191" i="31"/>
  <c r="BM191" i="31"/>
  <c r="DH191" i="31"/>
  <c r="CQ191" i="31"/>
  <c r="BW191" i="31"/>
  <c r="DG191" i="31"/>
  <c r="CL191" i="31"/>
  <c r="BV191" i="31"/>
  <c r="DE191" i="31"/>
  <c r="BO191" i="31"/>
  <c r="CJ191" i="31"/>
  <c r="CG191" i="31"/>
  <c r="CE191" i="31"/>
  <c r="BU191" i="31"/>
  <c r="CT191" i="31"/>
  <c r="BP191" i="31"/>
  <c r="CW191" i="31"/>
  <c r="F68" i="24"/>
  <c r="DC156" i="31"/>
  <c r="CU156" i="31"/>
  <c r="CM156" i="31"/>
  <c r="CE156" i="31"/>
  <c r="BW156" i="31"/>
  <c r="BO156" i="31"/>
  <c r="DJ156" i="31"/>
  <c r="DK156" i="31" s="1"/>
  <c r="DB156" i="31"/>
  <c r="CT156" i="31"/>
  <c r="CL156" i="31"/>
  <c r="CD156" i="31"/>
  <c r="BV156" i="31"/>
  <c r="BN156" i="31"/>
  <c r="DH156" i="31"/>
  <c r="CZ156" i="31"/>
  <c r="CR156" i="31"/>
  <c r="CJ156" i="31"/>
  <c r="CB156" i="31"/>
  <c r="BT156" i="31"/>
  <c r="BL156" i="31"/>
  <c r="DI156" i="31"/>
  <c r="CW156" i="31"/>
  <c r="CI156" i="31"/>
  <c r="BX156" i="31"/>
  <c r="DG156" i="31"/>
  <c r="DF156" i="31"/>
  <c r="DE156" i="31"/>
  <c r="CQ156" i="31"/>
  <c r="CF156" i="31"/>
  <c r="BR156" i="31"/>
  <c r="DD156" i="31"/>
  <c r="CP156" i="31"/>
  <c r="CC156" i="31"/>
  <c r="BQ156" i="31"/>
  <c r="DA156" i="31"/>
  <c r="CO156" i="31"/>
  <c r="CA156" i="31"/>
  <c r="BP156" i="31"/>
  <c r="CY156" i="31"/>
  <c r="CN156" i="31"/>
  <c r="BZ156" i="31"/>
  <c r="BM156" i="31"/>
  <c r="CH156" i="31"/>
  <c r="CG156" i="31"/>
  <c r="BY156" i="31"/>
  <c r="BU156" i="31"/>
  <c r="CX156" i="31"/>
  <c r="BS156" i="31"/>
  <c r="CV156" i="31"/>
  <c r="BK156" i="31"/>
  <c r="CS156" i="31"/>
  <c r="CK156" i="31"/>
  <c r="DC145" i="31"/>
  <c r="CU145" i="31"/>
  <c r="CM145" i="31"/>
  <c r="CE145" i="31"/>
  <c r="BW145" i="31"/>
  <c r="BO145" i="31"/>
  <c r="DH145" i="31"/>
  <c r="CZ145" i="31"/>
  <c r="CR145" i="31"/>
  <c r="CJ145" i="31"/>
  <c r="CB145" i="31"/>
  <c r="BT145" i="31"/>
  <c r="BL145" i="31"/>
  <c r="DG145" i="31"/>
  <c r="CY145" i="31"/>
  <c r="CQ145" i="31"/>
  <c r="CI145" i="31"/>
  <c r="CA145" i="31"/>
  <c r="BS145" i="31"/>
  <c r="BK145" i="31"/>
  <c r="DF145" i="31"/>
  <c r="CX145" i="31"/>
  <c r="CP145" i="31"/>
  <c r="CH145" i="31"/>
  <c r="BZ145" i="31"/>
  <c r="BR145" i="31"/>
  <c r="DE145" i="31"/>
  <c r="CW145" i="31"/>
  <c r="CO145" i="31"/>
  <c r="CG145" i="31"/>
  <c r="BY145" i="31"/>
  <c r="BQ145" i="31"/>
  <c r="DD145" i="31"/>
  <c r="CK145" i="31"/>
  <c r="BN145" i="31"/>
  <c r="DB145" i="31"/>
  <c r="CF145" i="31"/>
  <c r="BM145" i="31"/>
  <c r="DA145" i="31"/>
  <c r="CD145" i="31"/>
  <c r="CV145" i="31"/>
  <c r="CC145" i="31"/>
  <c r="CT145" i="31"/>
  <c r="BX145" i="31"/>
  <c r="CS145" i="31"/>
  <c r="BV145" i="31"/>
  <c r="DJ145" i="31"/>
  <c r="DK145" i="31" s="1"/>
  <c r="CN145" i="31"/>
  <c r="BU145" i="31"/>
  <c r="DI145" i="31"/>
  <c r="CL145" i="31"/>
  <c r="BP145" i="31"/>
  <c r="DJ208" i="31"/>
  <c r="DK208" i="31" s="1"/>
  <c r="DB208" i="31"/>
  <c r="CT208" i="31"/>
  <c r="CL208" i="31"/>
  <c r="CD208" i="31"/>
  <c r="BV208" i="31"/>
  <c r="BN208" i="31"/>
  <c r="DG208" i="31"/>
  <c r="CY208" i="31"/>
  <c r="CQ208" i="31"/>
  <c r="CI208" i="31"/>
  <c r="CA208" i="31"/>
  <c r="BS208" i="31"/>
  <c r="BK208" i="31"/>
  <c r="DF208" i="31"/>
  <c r="CX208" i="31"/>
  <c r="CP208" i="31"/>
  <c r="CH208" i="31"/>
  <c r="BZ208" i="31"/>
  <c r="BR208" i="31"/>
  <c r="DE208" i="31"/>
  <c r="CW208" i="31"/>
  <c r="CO208" i="31"/>
  <c r="CG208" i="31"/>
  <c r="BY208" i="31"/>
  <c r="BQ208" i="31"/>
  <c r="DD208" i="31"/>
  <c r="CV208" i="31"/>
  <c r="CN208" i="31"/>
  <c r="CF208" i="31"/>
  <c r="BX208" i="31"/>
  <c r="BP208" i="31"/>
  <c r="CU208" i="31"/>
  <c r="CB208" i="31"/>
  <c r="CR208" i="31"/>
  <c r="BU208" i="31"/>
  <c r="DI208" i="31"/>
  <c r="CM208" i="31"/>
  <c r="BT208" i="31"/>
  <c r="DH208" i="31"/>
  <c r="CK208" i="31"/>
  <c r="BO208" i="31"/>
  <c r="DC208" i="31"/>
  <c r="CJ208" i="31"/>
  <c r="BM208" i="31"/>
  <c r="CC208" i="31"/>
  <c r="BW208" i="31"/>
  <c r="CS208" i="31"/>
  <c r="DA208" i="31"/>
  <c r="CZ208" i="31"/>
  <c r="CE208" i="31"/>
  <c r="BL208" i="31"/>
  <c r="F30" i="24"/>
  <c r="DE118" i="31"/>
  <c r="DD118" i="31"/>
  <c r="DC118" i="31"/>
  <c r="DJ118" i="31"/>
  <c r="DK118" i="31" s="1"/>
  <c r="DA118" i="31"/>
  <c r="CS118" i="31"/>
  <c r="CK118" i="31"/>
  <c r="CC118" i="31"/>
  <c r="BU118" i="31"/>
  <c r="BM118" i="31"/>
  <c r="CZ118" i="31"/>
  <c r="CR118" i="31"/>
  <c r="CJ118" i="31"/>
  <c r="CB118" i="31"/>
  <c r="BT118" i="31"/>
  <c r="BL118" i="31"/>
  <c r="CT118" i="31"/>
  <c r="CY118" i="31"/>
  <c r="CQ118" i="31"/>
  <c r="CI118" i="31"/>
  <c r="CA118" i="31"/>
  <c r="BS118" i="31"/>
  <c r="BK118" i="31"/>
  <c r="BN118" i="31"/>
  <c r="DI118" i="31"/>
  <c r="CX118" i="31"/>
  <c r="CP118" i="31"/>
  <c r="CH118" i="31"/>
  <c r="BZ118" i="31"/>
  <c r="BR118" i="31"/>
  <c r="CL118" i="31"/>
  <c r="DH118" i="31"/>
  <c r="CW118" i="31"/>
  <c r="CO118" i="31"/>
  <c r="CG118" i="31"/>
  <c r="BY118" i="31"/>
  <c r="BQ118" i="31"/>
  <c r="BV118" i="31"/>
  <c r="DG118" i="31"/>
  <c r="CV118" i="31"/>
  <c r="CN118" i="31"/>
  <c r="CF118" i="31"/>
  <c r="BX118" i="31"/>
  <c r="BP118" i="31"/>
  <c r="CD118" i="31"/>
  <c r="DF118" i="31"/>
  <c r="CU118" i="31"/>
  <c r="CM118" i="31"/>
  <c r="CE118" i="31"/>
  <c r="BW118" i="31"/>
  <c r="BO118" i="31"/>
  <c r="DB118" i="31"/>
  <c r="DI160" i="31"/>
  <c r="DA160" i="31"/>
  <c r="CS160" i="31"/>
  <c r="CK160" i="31"/>
  <c r="CC160" i="31"/>
  <c r="BU160" i="31"/>
  <c r="BM160" i="31"/>
  <c r="DH160" i="31"/>
  <c r="CZ160" i="31"/>
  <c r="CR160" i="31"/>
  <c r="CJ160" i="31"/>
  <c r="CB160" i="31"/>
  <c r="BT160" i="31"/>
  <c r="BL160" i="31"/>
  <c r="DG160" i="31"/>
  <c r="CY160" i="31"/>
  <c r="CQ160" i="31"/>
  <c r="CI160" i="31"/>
  <c r="CA160" i="31"/>
  <c r="BS160" i="31"/>
  <c r="BK160" i="31"/>
  <c r="DF160" i="31"/>
  <c r="CX160" i="31"/>
  <c r="CP160" i="31"/>
  <c r="CH160" i="31"/>
  <c r="BZ160" i="31"/>
  <c r="BR160" i="31"/>
  <c r="DD160" i="31"/>
  <c r="CV160" i="31"/>
  <c r="CN160" i="31"/>
  <c r="CF160" i="31"/>
  <c r="BX160" i="31"/>
  <c r="BP160" i="31"/>
  <c r="CU160" i="31"/>
  <c r="BY160" i="31"/>
  <c r="CT160" i="31"/>
  <c r="BW160" i="31"/>
  <c r="CO160" i="31"/>
  <c r="BV160" i="31"/>
  <c r="DJ160" i="31"/>
  <c r="DK160" i="31" s="1"/>
  <c r="CM160" i="31"/>
  <c r="BQ160" i="31"/>
  <c r="DE160" i="31"/>
  <c r="CL160" i="31"/>
  <c r="BO160" i="31"/>
  <c r="DC160" i="31"/>
  <c r="CG160" i="31"/>
  <c r="BN160" i="31"/>
  <c r="DB160" i="31"/>
  <c r="CE160" i="31"/>
  <c r="CW160" i="31"/>
  <c r="CD160" i="31"/>
  <c r="DJ195" i="31"/>
  <c r="DK195" i="31" s="1"/>
  <c r="DB195" i="31"/>
  <c r="CT195" i="31"/>
  <c r="CL195" i="31"/>
  <c r="CD195" i="31"/>
  <c r="BV195" i="31"/>
  <c r="BN195" i="31"/>
  <c r="DH195" i="31"/>
  <c r="CZ195" i="31"/>
  <c r="CR195" i="31"/>
  <c r="CJ195" i="31"/>
  <c r="CB195" i="31"/>
  <c r="BT195" i="31"/>
  <c r="BL195" i="31"/>
  <c r="DG195" i="31"/>
  <c r="CY195" i="31"/>
  <c r="CQ195" i="31"/>
  <c r="CI195" i="31"/>
  <c r="CA195" i="31"/>
  <c r="BS195" i="31"/>
  <c r="BK195" i="31"/>
  <c r="DF195" i="31"/>
  <c r="CX195" i="31"/>
  <c r="CP195" i="31"/>
  <c r="CH195" i="31"/>
  <c r="BZ195" i="31"/>
  <c r="BR195" i="31"/>
  <c r="DE195" i="31"/>
  <c r="CW195" i="31"/>
  <c r="CO195" i="31"/>
  <c r="CG195" i="31"/>
  <c r="BY195" i="31"/>
  <c r="BQ195" i="31"/>
  <c r="DA195" i="31"/>
  <c r="CE195" i="31"/>
  <c r="CV195" i="31"/>
  <c r="CC195" i="31"/>
  <c r="CS195" i="31"/>
  <c r="BW195" i="31"/>
  <c r="CN195" i="31"/>
  <c r="BM195" i="31"/>
  <c r="CF195" i="31"/>
  <c r="DI195" i="31"/>
  <c r="BX195" i="31"/>
  <c r="DD195" i="31"/>
  <c r="BU195" i="31"/>
  <c r="DC195" i="31"/>
  <c r="BP195" i="31"/>
  <c r="CK195" i="31"/>
  <c r="CU195" i="31"/>
  <c r="CM195" i="31"/>
  <c r="BO195" i="31"/>
  <c r="DH115" i="31"/>
  <c r="CZ115" i="31"/>
  <c r="CR115" i="31"/>
  <c r="CJ115" i="31"/>
  <c r="CB115" i="31"/>
  <c r="BT115" i="31"/>
  <c r="BL115" i="31"/>
  <c r="BU115" i="31"/>
  <c r="DG115" i="31"/>
  <c r="CY115" i="31"/>
  <c r="CQ115" i="31"/>
  <c r="CI115" i="31"/>
  <c r="CA115" i="31"/>
  <c r="BS115" i="31"/>
  <c r="BK115" i="31"/>
  <c r="BM115" i="31"/>
  <c r="DF115" i="31"/>
  <c r="CX115" i="31"/>
  <c r="CP115" i="31"/>
  <c r="CH115" i="31"/>
  <c r="BZ115" i="31"/>
  <c r="BR115" i="31"/>
  <c r="BN115" i="31"/>
  <c r="CK115" i="31"/>
  <c r="DE115" i="31"/>
  <c r="CW115" i="31"/>
  <c r="CO115" i="31"/>
  <c r="CG115" i="31"/>
  <c r="BY115" i="31"/>
  <c r="BQ115" i="31"/>
  <c r="DA115" i="31"/>
  <c r="DD115" i="31"/>
  <c r="CV115" i="31"/>
  <c r="CN115" i="31"/>
  <c r="CF115" i="31"/>
  <c r="BX115" i="31"/>
  <c r="BP115" i="31"/>
  <c r="CS115" i="31"/>
  <c r="DC115" i="31"/>
  <c r="CU115" i="31"/>
  <c r="CM115" i="31"/>
  <c r="CE115" i="31"/>
  <c r="BW115" i="31"/>
  <c r="BO115" i="31"/>
  <c r="DI115" i="31"/>
  <c r="DJ115" i="31"/>
  <c r="DK115" i="31" s="1"/>
  <c r="DB115" i="31"/>
  <c r="CT115" i="31"/>
  <c r="CL115" i="31"/>
  <c r="CD115" i="31"/>
  <c r="BV115" i="31"/>
  <c r="CC115" i="31"/>
  <c r="DG141" i="31"/>
  <c r="CY141" i="31"/>
  <c r="CQ141" i="31"/>
  <c r="CI141" i="31"/>
  <c r="CA141" i="31"/>
  <c r="BS141" i="31"/>
  <c r="BK141" i="31"/>
  <c r="DD141" i="31"/>
  <c r="CV141" i="31"/>
  <c r="CN141" i="31"/>
  <c r="CF141" i="31"/>
  <c r="BX141" i="31"/>
  <c r="BP141" i="31"/>
  <c r="DC141" i="31"/>
  <c r="CU141" i="31"/>
  <c r="CM141" i="31"/>
  <c r="CE141" i="31"/>
  <c r="BW141" i="31"/>
  <c r="BO141" i="31"/>
  <c r="DJ141" i="31"/>
  <c r="DK141" i="31" s="1"/>
  <c r="DB141" i="31"/>
  <c r="CT141" i="31"/>
  <c r="CL141" i="31"/>
  <c r="CD141" i="31"/>
  <c r="BV141" i="31"/>
  <c r="BN141" i="31"/>
  <c r="DI141" i="31"/>
  <c r="DA141" i="31"/>
  <c r="CS141" i="31"/>
  <c r="CK141" i="31"/>
  <c r="CC141" i="31"/>
  <c r="BU141" i="31"/>
  <c r="BM141" i="31"/>
  <c r="DE141" i="31"/>
  <c r="CH141" i="31"/>
  <c r="BL141" i="31"/>
  <c r="CZ141" i="31"/>
  <c r="CG141" i="31"/>
  <c r="CX141" i="31"/>
  <c r="CB141" i="31"/>
  <c r="CW141" i="31"/>
  <c r="BZ141" i="31"/>
  <c r="CR141" i="31"/>
  <c r="BY141" i="31"/>
  <c r="CP141" i="31"/>
  <c r="BT141" i="31"/>
  <c r="DH141" i="31"/>
  <c r="CO141" i="31"/>
  <c r="BR141" i="31"/>
  <c r="DF141" i="31"/>
  <c r="CJ141" i="31"/>
  <c r="BQ141" i="31"/>
  <c r="DJ119" i="31"/>
  <c r="DK119" i="31" s="1"/>
  <c r="DB119" i="31"/>
  <c r="CT119" i="31"/>
  <c r="CL119" i="31"/>
  <c r="CD119" i="31"/>
  <c r="BV119" i="31"/>
  <c r="BN119" i="31"/>
  <c r="DH119" i="31"/>
  <c r="CZ119" i="31"/>
  <c r="CR119" i="31"/>
  <c r="CJ119" i="31"/>
  <c r="CB119" i="31"/>
  <c r="BT119" i="31"/>
  <c r="BL119" i="31"/>
  <c r="DG119" i="31"/>
  <c r="CY119" i="31"/>
  <c r="CQ119" i="31"/>
  <c r="CI119" i="31"/>
  <c r="CA119" i="31"/>
  <c r="BS119" i="31"/>
  <c r="BK119" i="31"/>
  <c r="DF119" i="31"/>
  <c r="CX119" i="31"/>
  <c r="CP119" i="31"/>
  <c r="CH119" i="31"/>
  <c r="BZ119" i="31"/>
  <c r="BR119" i="31"/>
  <c r="DE119" i="31"/>
  <c r="CW119" i="31"/>
  <c r="CO119" i="31"/>
  <c r="CG119" i="31"/>
  <c r="BY119" i="31"/>
  <c r="BQ119" i="31"/>
  <c r="DI119" i="31"/>
  <c r="CM119" i="31"/>
  <c r="BP119" i="31"/>
  <c r="CN119" i="31"/>
  <c r="DD119" i="31"/>
  <c r="CK119" i="31"/>
  <c r="BO119" i="31"/>
  <c r="DC119" i="31"/>
  <c r="CF119" i="31"/>
  <c r="BM119" i="31"/>
  <c r="BU119" i="31"/>
  <c r="DA119" i="31"/>
  <c r="CE119" i="31"/>
  <c r="CV119" i="31"/>
  <c r="CC119" i="31"/>
  <c r="CU119" i="31"/>
  <c r="BX119" i="31"/>
  <c r="CS119" i="31"/>
  <c r="BW119" i="31"/>
  <c r="DE154" i="31"/>
  <c r="CW154" i="31"/>
  <c r="CO154" i="31"/>
  <c r="CG154" i="31"/>
  <c r="BY154" i="31"/>
  <c r="BQ154" i="31"/>
  <c r="DD154" i="31"/>
  <c r="CV154" i="31"/>
  <c r="CN154" i="31"/>
  <c r="CF154" i="31"/>
  <c r="BX154" i="31"/>
  <c r="BP154" i="31"/>
  <c r="DJ154" i="31"/>
  <c r="DK154" i="31" s="1"/>
  <c r="DB154" i="31"/>
  <c r="CT154" i="31"/>
  <c r="CL154" i="31"/>
  <c r="CD154" i="31"/>
  <c r="BV154" i="31"/>
  <c r="BN154" i="31"/>
  <c r="CZ154" i="31"/>
  <c r="CM154" i="31"/>
  <c r="CA154" i="31"/>
  <c r="BM154" i="31"/>
  <c r="DH154" i="31"/>
  <c r="CU154" i="31"/>
  <c r="CI154" i="31"/>
  <c r="BU154" i="31"/>
  <c r="DG154" i="31"/>
  <c r="CS154" i="31"/>
  <c r="CH154" i="31"/>
  <c r="BT154" i="31"/>
  <c r="DF154" i="31"/>
  <c r="CR154" i="31"/>
  <c r="CE154" i="31"/>
  <c r="BS154" i="31"/>
  <c r="DC154" i="31"/>
  <c r="CQ154" i="31"/>
  <c r="CC154" i="31"/>
  <c r="BR154" i="31"/>
  <c r="CK154" i="31"/>
  <c r="CJ154" i="31"/>
  <c r="CB154" i="31"/>
  <c r="DI154" i="31"/>
  <c r="BZ154" i="31"/>
  <c r="DA154" i="31"/>
  <c r="BW154" i="31"/>
  <c r="CY154" i="31"/>
  <c r="BO154" i="31"/>
  <c r="CX154" i="31"/>
  <c r="BL154" i="31"/>
  <c r="BK154" i="31"/>
  <c r="CP154" i="31"/>
  <c r="F122" i="24"/>
  <c r="F97" i="24"/>
  <c r="F37" i="24"/>
  <c r="DD125" i="31"/>
  <c r="CV125" i="31"/>
  <c r="CN125" i="31"/>
  <c r="CF125" i="31"/>
  <c r="BX125" i="31"/>
  <c r="BP125" i="31"/>
  <c r="DJ125" i="31"/>
  <c r="DK125" i="31" s="1"/>
  <c r="DB125" i="31"/>
  <c r="CT125" i="31"/>
  <c r="CL125" i="31"/>
  <c r="CD125" i="31"/>
  <c r="BV125" i="31"/>
  <c r="BN125" i="31"/>
  <c r="DI125" i="31"/>
  <c r="DA125" i="31"/>
  <c r="CS125" i="31"/>
  <c r="CK125" i="31"/>
  <c r="CC125" i="31"/>
  <c r="BU125" i="31"/>
  <c r="BM125" i="31"/>
  <c r="DH125" i="31"/>
  <c r="CZ125" i="31"/>
  <c r="CR125" i="31"/>
  <c r="CJ125" i="31"/>
  <c r="CB125" i="31"/>
  <c r="BT125" i="31"/>
  <c r="BL125" i="31"/>
  <c r="DG125" i="31"/>
  <c r="CY125" i="31"/>
  <c r="CQ125" i="31"/>
  <c r="CI125" i="31"/>
  <c r="CA125" i="31"/>
  <c r="BS125" i="31"/>
  <c r="BK125" i="31"/>
  <c r="CO125" i="31"/>
  <c r="BR125" i="31"/>
  <c r="DF125" i="31"/>
  <c r="CM125" i="31"/>
  <c r="BQ125" i="31"/>
  <c r="DE125" i="31"/>
  <c r="CH125" i="31"/>
  <c r="BO125" i="31"/>
  <c r="DC125" i="31"/>
  <c r="CG125" i="31"/>
  <c r="CX125" i="31"/>
  <c r="CE125" i="31"/>
  <c r="CP125" i="31"/>
  <c r="CW125" i="31"/>
  <c r="BZ125" i="31"/>
  <c r="CU125" i="31"/>
  <c r="BY125" i="31"/>
  <c r="BW125" i="31"/>
  <c r="DD148" i="31"/>
  <c r="CV148" i="31"/>
  <c r="CN148" i="31"/>
  <c r="CF148" i="31"/>
  <c r="BX148" i="31"/>
  <c r="BP148" i="31"/>
  <c r="DI148" i="31"/>
  <c r="DA148" i="31"/>
  <c r="CS148" i="31"/>
  <c r="CK148" i="31"/>
  <c r="CC148" i="31"/>
  <c r="BU148" i="31"/>
  <c r="BM148" i="31"/>
  <c r="DH148" i="31"/>
  <c r="CZ148" i="31"/>
  <c r="CR148" i="31"/>
  <c r="CJ148" i="31"/>
  <c r="CB148" i="31"/>
  <c r="BT148" i="31"/>
  <c r="BL148" i="31"/>
  <c r="DG148" i="31"/>
  <c r="CY148" i="31"/>
  <c r="CQ148" i="31"/>
  <c r="CI148" i="31"/>
  <c r="CA148" i="31"/>
  <c r="BS148" i="31"/>
  <c r="BK148" i="31"/>
  <c r="DF148" i="31"/>
  <c r="CX148" i="31"/>
  <c r="CP148" i="31"/>
  <c r="CH148" i="31"/>
  <c r="BZ148" i="31"/>
  <c r="BR148" i="31"/>
  <c r="CU148" i="31"/>
  <c r="BY148" i="31"/>
  <c r="CT148" i="31"/>
  <c r="BW148" i="31"/>
  <c r="CO148" i="31"/>
  <c r="BV148" i="31"/>
  <c r="DJ148" i="31"/>
  <c r="DK148" i="31" s="1"/>
  <c r="CM148" i="31"/>
  <c r="BQ148" i="31"/>
  <c r="DE148" i="31"/>
  <c r="CL148" i="31"/>
  <c r="BO148" i="31"/>
  <c r="DC148" i="31"/>
  <c r="CG148" i="31"/>
  <c r="BN148" i="31"/>
  <c r="DB148" i="31"/>
  <c r="CE148" i="31"/>
  <c r="CW148" i="31"/>
  <c r="CD148" i="31"/>
  <c r="DH137" i="31"/>
  <c r="CZ137" i="31"/>
  <c r="CR137" i="31"/>
  <c r="CJ137" i="31"/>
  <c r="CB137" i="31"/>
  <c r="BT137" i="31"/>
  <c r="BL137" i="31"/>
  <c r="DG137" i="31"/>
  <c r="CY137" i="31"/>
  <c r="CQ137" i="31"/>
  <c r="CI137" i="31"/>
  <c r="DE137" i="31"/>
  <c r="CW137" i="31"/>
  <c r="CO137" i="31"/>
  <c r="CG137" i="31"/>
  <c r="BY137" i="31"/>
  <c r="BQ137" i="31"/>
  <c r="DD137" i="31"/>
  <c r="CS137" i="31"/>
  <c r="CE137" i="31"/>
  <c r="BU137" i="31"/>
  <c r="DC137" i="31"/>
  <c r="CP137" i="31"/>
  <c r="CD137" i="31"/>
  <c r="BS137" i="31"/>
  <c r="DB137" i="31"/>
  <c r="CN137" i="31"/>
  <c r="CC137" i="31"/>
  <c r="BR137" i="31"/>
  <c r="DA137" i="31"/>
  <c r="CM137" i="31"/>
  <c r="CA137" i="31"/>
  <c r="BP137" i="31"/>
  <c r="CX137" i="31"/>
  <c r="CL137" i="31"/>
  <c r="BZ137" i="31"/>
  <c r="BO137" i="31"/>
  <c r="DJ137" i="31"/>
  <c r="DK137" i="31" s="1"/>
  <c r="CV137" i="31"/>
  <c r="CK137" i="31"/>
  <c r="BX137" i="31"/>
  <c r="BN137" i="31"/>
  <c r="DI137" i="31"/>
  <c r="CU137" i="31"/>
  <c r="CH137" i="31"/>
  <c r="BW137" i="31"/>
  <c r="BM137" i="31"/>
  <c r="DF137" i="31"/>
  <c r="CT137" i="31"/>
  <c r="CF137" i="31"/>
  <c r="BV137" i="31"/>
  <c r="BK137" i="31"/>
  <c r="DE181" i="31"/>
  <c r="CW181" i="31"/>
  <c r="CO181" i="31"/>
  <c r="CG181" i="31"/>
  <c r="BY181" i="31"/>
  <c r="BQ181" i="31"/>
  <c r="DJ181" i="31"/>
  <c r="DK181" i="31" s="1"/>
  <c r="DB181" i="31"/>
  <c r="CT181" i="31"/>
  <c r="CL181" i="31"/>
  <c r="CD181" i="31"/>
  <c r="BV181" i="31"/>
  <c r="BN181" i="31"/>
  <c r="DI181" i="31"/>
  <c r="DA181" i="31"/>
  <c r="CS181" i="31"/>
  <c r="CK181" i="31"/>
  <c r="CC181" i="31"/>
  <c r="BU181" i="31"/>
  <c r="BM181" i="31"/>
  <c r="DH181" i="31"/>
  <c r="CZ181" i="31"/>
  <c r="CR181" i="31"/>
  <c r="CJ181" i="31"/>
  <c r="CB181" i="31"/>
  <c r="BT181" i="31"/>
  <c r="BL181" i="31"/>
  <c r="DG181" i="31"/>
  <c r="CY181" i="31"/>
  <c r="CQ181" i="31"/>
  <c r="CI181" i="31"/>
  <c r="CA181" i="31"/>
  <c r="BS181" i="31"/>
  <c r="BK181" i="31"/>
  <c r="DD181" i="31"/>
  <c r="CH181" i="31"/>
  <c r="BO181" i="31"/>
  <c r="CV181" i="31"/>
  <c r="BZ181" i="31"/>
  <c r="CU181" i="31"/>
  <c r="BX181" i="31"/>
  <c r="CP181" i="31"/>
  <c r="BW181" i="31"/>
  <c r="CN181" i="31"/>
  <c r="BR181" i="31"/>
  <c r="CF181" i="31"/>
  <c r="CE181" i="31"/>
  <c r="DF181" i="31"/>
  <c r="CX181" i="31"/>
  <c r="DC181" i="31"/>
  <c r="CM181" i="31"/>
  <c r="BP181" i="31"/>
  <c r="F121" i="24"/>
  <c r="DE209" i="31"/>
  <c r="CW209" i="31"/>
  <c r="CO209" i="31"/>
  <c r="CG209" i="31"/>
  <c r="BY209" i="31"/>
  <c r="BQ209" i="31"/>
  <c r="DJ209" i="31"/>
  <c r="DK209" i="31" s="1"/>
  <c r="DB209" i="31"/>
  <c r="CT209" i="31"/>
  <c r="CL209" i="31"/>
  <c r="CD209" i="31"/>
  <c r="BV209" i="31"/>
  <c r="BN209" i="31"/>
  <c r="DI209" i="31"/>
  <c r="DA209" i="31"/>
  <c r="CS209" i="31"/>
  <c r="CK209" i="31"/>
  <c r="CC209" i="31"/>
  <c r="BU209" i="31"/>
  <c r="BM209" i="31"/>
  <c r="DH209" i="31"/>
  <c r="CZ209" i="31"/>
  <c r="CR209" i="31"/>
  <c r="CJ209" i="31"/>
  <c r="CB209" i="31"/>
  <c r="BT209" i="31"/>
  <c r="BL209" i="31"/>
  <c r="DG209" i="31"/>
  <c r="CY209" i="31"/>
  <c r="CQ209" i="31"/>
  <c r="CI209" i="31"/>
  <c r="CA209" i="31"/>
  <c r="BS209" i="31"/>
  <c r="BK209" i="31"/>
  <c r="DF209" i="31"/>
  <c r="CM209" i="31"/>
  <c r="BP209" i="31"/>
  <c r="DC209" i="31"/>
  <c r="CF209" i="31"/>
  <c r="CX209" i="31"/>
  <c r="CE209" i="31"/>
  <c r="CV209" i="31"/>
  <c r="BZ209" i="31"/>
  <c r="CU209" i="31"/>
  <c r="BX209" i="31"/>
  <c r="CH209" i="31"/>
  <c r="BW209" i="31"/>
  <c r="BO209" i="31"/>
  <c r="CP209" i="31"/>
  <c r="CN209" i="31"/>
  <c r="BR209" i="31"/>
  <c r="DD209" i="31"/>
  <c r="DG174" i="31"/>
  <c r="CY174" i="31"/>
  <c r="CQ174" i="31"/>
  <c r="CI174" i="31"/>
  <c r="CA174" i="31"/>
  <c r="BS174" i="31"/>
  <c r="BK174" i="31"/>
  <c r="DD174" i="31"/>
  <c r="CV174" i="31"/>
  <c r="CN174" i="31"/>
  <c r="CF174" i="31"/>
  <c r="BX174" i="31"/>
  <c r="BP174" i="31"/>
  <c r="DC174" i="31"/>
  <c r="CU174" i="31"/>
  <c r="CM174" i="31"/>
  <c r="CE174" i="31"/>
  <c r="BW174" i="31"/>
  <c r="BO174" i="31"/>
  <c r="DJ174" i="31"/>
  <c r="DK174" i="31" s="1"/>
  <c r="DB174" i="31"/>
  <c r="CT174" i="31"/>
  <c r="CL174" i="31"/>
  <c r="CD174" i="31"/>
  <c r="BV174" i="31"/>
  <c r="BN174" i="31"/>
  <c r="DI174" i="31"/>
  <c r="DA174" i="31"/>
  <c r="CS174" i="31"/>
  <c r="CK174" i="31"/>
  <c r="CC174" i="31"/>
  <c r="BU174" i="31"/>
  <c r="BM174" i="31"/>
  <c r="CR174" i="31"/>
  <c r="BY174" i="31"/>
  <c r="CP174" i="31"/>
  <c r="BT174" i="31"/>
  <c r="DF174" i="31"/>
  <c r="CJ174" i="31"/>
  <c r="BQ174" i="31"/>
  <c r="CO174" i="31"/>
  <c r="CH174" i="31"/>
  <c r="CG174" i="31"/>
  <c r="DH174" i="31"/>
  <c r="CB174" i="31"/>
  <c r="CZ174" i="31"/>
  <c r="BR174" i="31"/>
  <c r="DE174" i="31"/>
  <c r="CX174" i="31"/>
  <c r="CW174" i="31"/>
  <c r="BZ174" i="31"/>
  <c r="BL174" i="31"/>
  <c r="DH182" i="31"/>
  <c r="CZ182" i="31"/>
  <c r="CR182" i="31"/>
  <c r="CJ182" i="31"/>
  <c r="CB182" i="31"/>
  <c r="BT182" i="31"/>
  <c r="BL182" i="31"/>
  <c r="DE182" i="31"/>
  <c r="CW182" i="31"/>
  <c r="CO182" i="31"/>
  <c r="CG182" i="31"/>
  <c r="BY182" i="31"/>
  <c r="BQ182" i="31"/>
  <c r="DD182" i="31"/>
  <c r="CV182" i="31"/>
  <c r="CN182" i="31"/>
  <c r="CF182" i="31"/>
  <c r="BX182" i="31"/>
  <c r="BP182" i="31"/>
  <c r="DC182" i="31"/>
  <c r="CU182" i="31"/>
  <c r="CM182" i="31"/>
  <c r="CE182" i="31"/>
  <c r="BW182" i="31"/>
  <c r="BO182" i="31"/>
  <c r="DJ182" i="31"/>
  <c r="DK182" i="31" s="1"/>
  <c r="DB182" i="31"/>
  <c r="CT182" i="31"/>
  <c r="CL182" i="31"/>
  <c r="CD182" i="31"/>
  <c r="BV182" i="31"/>
  <c r="BN182" i="31"/>
  <c r="CS182" i="31"/>
  <c r="BZ182" i="31"/>
  <c r="DG182" i="31"/>
  <c r="CK182" i="31"/>
  <c r="BR182" i="31"/>
  <c r="DF182" i="31"/>
  <c r="CI182" i="31"/>
  <c r="BM182" i="31"/>
  <c r="DA182" i="31"/>
  <c r="CH182" i="31"/>
  <c r="BK182" i="31"/>
  <c r="CY182" i="31"/>
  <c r="CC182" i="31"/>
  <c r="CP182" i="31"/>
  <c r="CA182" i="31"/>
  <c r="BS182" i="31"/>
  <c r="CX182" i="31"/>
  <c r="CQ182" i="31"/>
  <c r="BU182" i="31"/>
  <c r="DI182" i="31"/>
  <c r="DG126" i="31"/>
  <c r="CY126" i="31"/>
  <c r="CQ126" i="31"/>
  <c r="CI126" i="31"/>
  <c r="CA126" i="31"/>
  <c r="BS126" i="31"/>
  <c r="BK126" i="31"/>
  <c r="DE126" i="31"/>
  <c r="CW126" i="31"/>
  <c r="CO126" i="31"/>
  <c r="CG126" i="31"/>
  <c r="BY126" i="31"/>
  <c r="BQ126" i="31"/>
  <c r="DD126" i="31"/>
  <c r="CV126" i="31"/>
  <c r="CN126" i="31"/>
  <c r="CF126" i="31"/>
  <c r="BX126" i="31"/>
  <c r="BP126" i="31"/>
  <c r="DC126" i="31"/>
  <c r="CU126" i="31"/>
  <c r="CM126" i="31"/>
  <c r="CE126" i="31"/>
  <c r="BW126" i="31"/>
  <c r="BO126" i="31"/>
  <c r="DJ126" i="31"/>
  <c r="DK126" i="31" s="1"/>
  <c r="DB126" i="31"/>
  <c r="CT126" i="31"/>
  <c r="CL126" i="31"/>
  <c r="CD126" i="31"/>
  <c r="BV126" i="31"/>
  <c r="BN126" i="31"/>
  <c r="CZ126" i="31"/>
  <c r="CC126" i="31"/>
  <c r="CX126" i="31"/>
  <c r="CB126" i="31"/>
  <c r="CS126" i="31"/>
  <c r="BZ126" i="31"/>
  <c r="BL126" i="31"/>
  <c r="CR126" i="31"/>
  <c r="BU126" i="31"/>
  <c r="DA126" i="31"/>
  <c r="DI126" i="31"/>
  <c r="CP126" i="31"/>
  <c r="BT126" i="31"/>
  <c r="DH126" i="31"/>
  <c r="CK126" i="31"/>
  <c r="BR126" i="31"/>
  <c r="CH126" i="31"/>
  <c r="DF126" i="31"/>
  <c r="CJ126" i="31"/>
  <c r="BM126" i="31"/>
  <c r="DF117" i="31"/>
  <c r="CX117" i="31"/>
  <c r="CP117" i="31"/>
  <c r="CH117" i="31"/>
  <c r="BZ117" i="31"/>
  <c r="BR117" i="31"/>
  <c r="CQ117" i="31"/>
  <c r="DE117" i="31"/>
  <c r="CW117" i="31"/>
  <c r="CO117" i="31"/>
  <c r="CG117" i="31"/>
  <c r="BY117" i="31"/>
  <c r="BQ117" i="31"/>
  <c r="DD117" i="31"/>
  <c r="CV117" i="31"/>
  <c r="CN117" i="31"/>
  <c r="CF117" i="31"/>
  <c r="BX117" i="31"/>
  <c r="BP117" i="31"/>
  <c r="CY117" i="31"/>
  <c r="BS117" i="31"/>
  <c r="DC117" i="31"/>
  <c r="CU117" i="31"/>
  <c r="CM117" i="31"/>
  <c r="CE117" i="31"/>
  <c r="BW117" i="31"/>
  <c r="BO117" i="31"/>
  <c r="BK117" i="31"/>
  <c r="DJ117" i="31"/>
  <c r="DK117" i="31" s="1"/>
  <c r="DB117" i="31"/>
  <c r="CT117" i="31"/>
  <c r="CL117" i="31"/>
  <c r="CD117" i="31"/>
  <c r="BV117" i="31"/>
  <c r="BN117" i="31"/>
  <c r="DI117" i="31"/>
  <c r="DA117" i="31"/>
  <c r="CS117" i="31"/>
  <c r="CK117" i="31"/>
  <c r="CC117" i="31"/>
  <c r="BU117" i="31"/>
  <c r="BM117" i="31"/>
  <c r="CA117" i="31"/>
  <c r="DH117" i="31"/>
  <c r="CZ117" i="31"/>
  <c r="CR117" i="31"/>
  <c r="CJ117" i="31"/>
  <c r="CB117" i="31"/>
  <c r="BT117" i="31"/>
  <c r="BL117" i="31"/>
  <c r="DG117" i="31"/>
  <c r="CI117" i="31"/>
  <c r="DJ189" i="31"/>
  <c r="DK189" i="31" s="1"/>
  <c r="DB189" i="31"/>
  <c r="CT189" i="31"/>
  <c r="CL189" i="31"/>
  <c r="CD189" i="31"/>
  <c r="BV189" i="31"/>
  <c r="BN189" i="31"/>
  <c r="DI189" i="31"/>
  <c r="DA189" i="31"/>
  <c r="CS189" i="31"/>
  <c r="CK189" i="31"/>
  <c r="CC189" i="31"/>
  <c r="BU189" i="31"/>
  <c r="BM189" i="31"/>
  <c r="DG189" i="31"/>
  <c r="CY189" i="31"/>
  <c r="CQ189" i="31"/>
  <c r="CI189" i="31"/>
  <c r="CA189" i="31"/>
  <c r="BS189" i="31"/>
  <c r="BK189" i="31"/>
  <c r="DH189" i="31"/>
  <c r="CV189" i="31"/>
  <c r="CH189" i="31"/>
  <c r="BW189" i="31"/>
  <c r="DD189" i="31"/>
  <c r="CP189" i="31"/>
  <c r="CE189" i="31"/>
  <c r="BQ189" i="31"/>
  <c r="DC189" i="31"/>
  <c r="CO189" i="31"/>
  <c r="CB189" i="31"/>
  <c r="BP189" i="31"/>
  <c r="CZ189" i="31"/>
  <c r="CN189" i="31"/>
  <c r="BZ189" i="31"/>
  <c r="BO189" i="31"/>
  <c r="CX189" i="31"/>
  <c r="CM189" i="31"/>
  <c r="BY189" i="31"/>
  <c r="BL189" i="31"/>
  <c r="CW189" i="31"/>
  <c r="BR189" i="31"/>
  <c r="CJ189" i="31"/>
  <c r="CG189" i="31"/>
  <c r="CF189" i="31"/>
  <c r="DF189" i="31"/>
  <c r="BX189" i="31"/>
  <c r="CU189" i="31"/>
  <c r="DE189" i="31"/>
  <c r="CR189" i="31"/>
  <c r="BT189" i="31"/>
  <c r="DC122" i="31"/>
  <c r="CU122" i="31"/>
  <c r="CM122" i="31"/>
  <c r="CE122" i="31"/>
  <c r="BW122" i="31"/>
  <c r="BO122" i="31"/>
  <c r="DI122" i="31"/>
  <c r="DA122" i="31"/>
  <c r="CS122" i="31"/>
  <c r="CK122" i="31"/>
  <c r="CC122" i="31"/>
  <c r="BU122" i="31"/>
  <c r="BM122" i="31"/>
  <c r="DH122" i="31"/>
  <c r="CZ122" i="31"/>
  <c r="CR122" i="31"/>
  <c r="CJ122" i="31"/>
  <c r="CB122" i="31"/>
  <c r="BT122" i="31"/>
  <c r="BL122" i="31"/>
  <c r="DG122" i="31"/>
  <c r="CY122" i="31"/>
  <c r="CQ122" i="31"/>
  <c r="CI122" i="31"/>
  <c r="CA122" i="31"/>
  <c r="BS122" i="31"/>
  <c r="BK122" i="31"/>
  <c r="DF122" i="31"/>
  <c r="CX122" i="31"/>
  <c r="CP122" i="31"/>
  <c r="CH122" i="31"/>
  <c r="BZ122" i="31"/>
  <c r="BR122" i="31"/>
  <c r="CW122" i="31"/>
  <c r="CD122" i="31"/>
  <c r="CV122" i="31"/>
  <c r="BY122" i="31"/>
  <c r="DB122" i="31"/>
  <c r="CT122" i="31"/>
  <c r="BX122" i="31"/>
  <c r="CF122" i="31"/>
  <c r="CO122" i="31"/>
  <c r="BV122" i="31"/>
  <c r="DJ122" i="31"/>
  <c r="DK122" i="31" s="1"/>
  <c r="CN122" i="31"/>
  <c r="BQ122" i="31"/>
  <c r="DE122" i="31"/>
  <c r="CL122" i="31"/>
  <c r="BP122" i="31"/>
  <c r="DD122" i="31"/>
  <c r="CG122" i="31"/>
  <c r="BN122" i="31"/>
  <c r="F66" i="24"/>
  <c r="F46" i="24"/>
  <c r="F79" i="24"/>
  <c r="F74" i="24"/>
  <c r="F120" i="24"/>
  <c r="F72" i="24"/>
  <c r="F57" i="24"/>
  <c r="F27" i="24"/>
  <c r="F87" i="24"/>
  <c r="F59" i="24"/>
  <c r="F78" i="24"/>
  <c r="F76" i="24"/>
  <c r="F53" i="24"/>
  <c r="F62" i="24"/>
  <c r="F31" i="24"/>
  <c r="F51" i="24"/>
  <c r="F67" i="24"/>
  <c r="F45" i="24"/>
  <c r="F107" i="24"/>
  <c r="F112" i="24"/>
  <c r="F58" i="24"/>
  <c r="F38" i="24"/>
  <c r="F101" i="24"/>
  <c r="F70" i="24"/>
  <c r="F75" i="24"/>
  <c r="F61" i="24"/>
  <c r="F63" i="24"/>
  <c r="F104" i="24"/>
  <c r="F99" i="24"/>
  <c r="F40" i="24"/>
  <c r="F98" i="24"/>
  <c r="F84" i="24"/>
  <c r="F43" i="24"/>
  <c r="F77" i="24"/>
  <c r="F73" i="24"/>
  <c r="F47" i="24"/>
  <c r="F55" i="24"/>
  <c r="F34" i="24"/>
  <c r="F60" i="24"/>
  <c r="F29" i="24"/>
  <c r="F49" i="24"/>
  <c r="F85" i="24"/>
  <c r="F56" i="24"/>
  <c r="F103" i="24"/>
  <c r="F94" i="24"/>
  <c r="F93" i="24"/>
  <c r="F86" i="24"/>
  <c r="F39" i="24"/>
  <c r="F111" i="24"/>
  <c r="F64" i="24"/>
  <c r="F90" i="24"/>
  <c r="F106" i="24"/>
  <c r="F100" i="24"/>
  <c r="F89" i="24"/>
  <c r="F82" i="24"/>
  <c r="F123" i="24"/>
  <c r="F22" i="30"/>
  <c r="CA3" i="31" s="1"/>
  <c r="CA1" i="31" s="1"/>
  <c r="A29" i="17"/>
  <c r="H27" i="39" s="1"/>
  <c r="D28" i="17"/>
  <c r="C28" i="17"/>
  <c r="J26" i="39" s="1"/>
  <c r="B28" i="17"/>
  <c r="I26" i="39" s="1"/>
  <c r="D22" i="30"/>
  <c r="E22" i="30"/>
  <c r="B23" i="30"/>
  <c r="A23" i="30" s="1"/>
  <c r="CA110" i="31" l="1"/>
  <c r="A31" i="36"/>
  <c r="B30" i="36"/>
  <c r="DL163" i="31"/>
  <c r="DL154" i="31"/>
  <c r="DL137" i="31"/>
  <c r="DL117" i="31"/>
  <c r="DL188" i="31"/>
  <c r="DL152" i="31"/>
  <c r="DL199" i="31"/>
  <c r="DL165" i="31"/>
  <c r="DL167" i="31"/>
  <c r="DL162" i="31"/>
  <c r="DL166" i="31"/>
  <c r="DL116" i="31"/>
  <c r="DL161" i="31"/>
  <c r="DL128" i="31"/>
  <c r="DL168" i="31"/>
  <c r="DL143" i="31"/>
  <c r="DL196" i="31"/>
  <c r="DL126" i="31"/>
  <c r="DL182" i="31"/>
  <c r="DL174" i="31"/>
  <c r="DL115" i="31"/>
  <c r="DL145" i="31"/>
  <c r="DL178" i="31"/>
  <c r="DL170" i="31"/>
  <c r="DL155" i="31"/>
  <c r="DL150" i="31"/>
  <c r="DL124" i="31"/>
  <c r="DL121" i="31"/>
  <c r="DL185" i="31"/>
  <c r="DL193" i="31"/>
  <c r="DL204" i="31"/>
  <c r="DL123" i="31"/>
  <c r="DL209" i="31"/>
  <c r="DL127" i="31"/>
  <c r="DL139" i="31"/>
  <c r="DL180" i="31"/>
  <c r="DL207" i="31"/>
  <c r="DL198" i="31"/>
  <c r="DL179" i="31"/>
  <c r="DL134" i="31"/>
  <c r="DL206" i="31"/>
  <c r="DL129" i="31"/>
  <c r="DL122" i="31"/>
  <c r="DL189" i="31"/>
  <c r="DL125" i="31"/>
  <c r="DL119" i="31"/>
  <c r="DL160" i="31"/>
  <c r="DL208" i="31"/>
  <c r="DL210" i="31"/>
  <c r="DL114" i="31"/>
  <c r="DL169" i="31"/>
  <c r="DL192" i="31"/>
  <c r="DL190" i="31"/>
  <c r="DL200" i="31"/>
  <c r="DL140" i="31"/>
  <c r="DL194" i="31"/>
  <c r="DL173" i="31"/>
  <c r="DL171" i="31"/>
  <c r="DL187" i="31"/>
  <c r="DL157" i="31"/>
  <c r="DL186" i="31"/>
  <c r="DL172" i="31"/>
  <c r="DL153" i="31"/>
  <c r="DL183" i="31"/>
  <c r="DL175" i="31"/>
  <c r="DL133" i="31"/>
  <c r="DL142" i="31"/>
  <c r="DL197" i="31"/>
  <c r="DL141" i="31"/>
  <c r="DL118" i="31"/>
  <c r="DL177" i="31"/>
  <c r="DL151" i="31"/>
  <c r="DL202" i="31"/>
  <c r="DL135" i="31"/>
  <c r="DL147" i="31"/>
  <c r="DL136" i="31"/>
  <c r="DL164" i="31"/>
  <c r="DL146" i="31"/>
  <c r="DL130" i="31"/>
  <c r="DL148" i="31"/>
  <c r="DL191" i="31"/>
  <c r="DL131" i="31"/>
  <c r="DL201" i="31"/>
  <c r="DL159" i="31"/>
  <c r="DL184" i="31"/>
  <c r="DL181" i="31"/>
  <c r="DL195" i="31"/>
  <c r="DL156" i="31"/>
  <c r="DL144" i="31"/>
  <c r="DL203" i="31"/>
  <c r="DL211" i="31"/>
  <c r="DL158" i="31"/>
  <c r="DL205" i="31"/>
  <c r="DL149" i="31"/>
  <c r="DL138" i="31"/>
  <c r="DL176" i="31"/>
  <c r="DL120" i="31"/>
  <c r="DL132" i="31"/>
  <c r="K26" i="39"/>
  <c r="DN55" i="6"/>
  <c r="DM54" i="6"/>
  <c r="F23" i="30"/>
  <c r="CB3" i="31" s="1"/>
  <c r="CB1" i="31" s="1"/>
  <c r="A30" i="17"/>
  <c r="H28" i="39" s="1"/>
  <c r="D29" i="17"/>
  <c r="B29" i="17"/>
  <c r="I27" i="39" s="1"/>
  <c r="C29" i="17"/>
  <c r="J27" i="39" s="1"/>
  <c r="D23" i="30"/>
  <c r="E23" i="30"/>
  <c r="B24" i="30"/>
  <c r="A24" i="30" s="1"/>
  <c r="CB110" i="31" l="1"/>
  <c r="A32" i="36"/>
  <c r="B31" i="36"/>
  <c r="DN56" i="6"/>
  <c r="EA5" i="6"/>
  <c r="EE4" i="6"/>
  <c r="K27" i="39"/>
  <c r="DM55" i="6"/>
  <c r="DM56" i="6" s="1"/>
  <c r="F24" i="30"/>
  <c r="CC3" i="31" s="1"/>
  <c r="CC1" i="31" s="1"/>
  <c r="A31" i="17"/>
  <c r="H29" i="39" s="1"/>
  <c r="D30" i="17"/>
  <c r="B30" i="17"/>
  <c r="I28" i="39" s="1"/>
  <c r="C30" i="17"/>
  <c r="J28" i="39" s="1"/>
  <c r="D24" i="30"/>
  <c r="E24" i="30"/>
  <c r="B25" i="30"/>
  <c r="A25" i="30" s="1"/>
  <c r="CC110" i="31" l="1"/>
  <c r="A33" i="36"/>
  <c r="B32" i="36"/>
  <c r="EE5" i="6"/>
  <c r="DR33" i="6" s="1"/>
  <c r="K28" i="39"/>
  <c r="F25" i="30"/>
  <c r="CD3" i="31" s="1"/>
  <c r="CD1" i="31" s="1"/>
  <c r="A32" i="17"/>
  <c r="H30" i="39" s="1"/>
  <c r="D31" i="17"/>
  <c r="K29" i="39" s="1"/>
  <c r="B31" i="17"/>
  <c r="I29" i="39" s="1"/>
  <c r="C31" i="17"/>
  <c r="J29" i="39" s="1"/>
  <c r="D25" i="30"/>
  <c r="E25" i="30"/>
  <c r="B26" i="30"/>
  <c r="A26" i="30" s="1"/>
  <c r="CD110" i="31" l="1"/>
  <c r="A34" i="36"/>
  <c r="B33" i="36"/>
  <c r="DR6" i="6"/>
  <c r="DR26" i="6"/>
  <c r="DR49" i="6"/>
  <c r="DR43" i="6"/>
  <c r="DR12" i="6"/>
  <c r="DR9" i="6"/>
  <c r="DR19" i="6"/>
  <c r="DR38" i="6"/>
  <c r="DR48" i="6"/>
  <c r="DR7" i="6"/>
  <c r="DR32" i="6"/>
  <c r="DR13" i="6"/>
  <c r="DR35" i="6"/>
  <c r="DR28" i="6"/>
  <c r="DR23" i="6"/>
  <c r="DR21" i="6"/>
  <c r="DR37" i="6"/>
  <c r="DR52" i="6"/>
  <c r="DR31" i="6"/>
  <c r="DR47" i="6"/>
  <c r="DR40" i="6"/>
  <c r="DR42" i="6"/>
  <c r="DR44" i="6"/>
  <c r="DR34" i="6"/>
  <c r="DR8" i="6"/>
  <c r="DW56" i="6"/>
  <c r="DV56" i="6"/>
  <c r="DW12" i="6"/>
  <c r="DW20" i="6"/>
  <c r="DW28" i="6"/>
  <c r="DW36" i="6"/>
  <c r="DW44" i="6"/>
  <c r="DW52" i="6"/>
  <c r="DV8" i="6"/>
  <c r="DV16" i="6"/>
  <c r="DV24" i="6"/>
  <c r="DV32" i="6"/>
  <c r="DV40" i="6"/>
  <c r="DV48" i="6"/>
  <c r="DV4" i="6"/>
  <c r="DW5" i="6"/>
  <c r="DW13" i="6"/>
  <c r="DW21" i="6"/>
  <c r="DW29" i="6"/>
  <c r="DW37" i="6"/>
  <c r="DW45" i="6"/>
  <c r="DW53" i="6"/>
  <c r="DV9" i="6"/>
  <c r="DV17" i="6"/>
  <c r="DV25" i="6"/>
  <c r="DV33" i="6"/>
  <c r="DV41" i="6"/>
  <c r="DV49" i="6"/>
  <c r="DW6" i="6"/>
  <c r="DW14" i="6"/>
  <c r="DW22" i="6"/>
  <c r="DW30" i="6"/>
  <c r="DW38" i="6"/>
  <c r="DW46" i="6"/>
  <c r="DW54" i="6"/>
  <c r="DV10" i="6"/>
  <c r="DV18" i="6"/>
  <c r="DV26" i="6"/>
  <c r="DV34" i="6"/>
  <c r="DV42" i="6"/>
  <c r="DV50" i="6"/>
  <c r="DW31" i="6"/>
  <c r="DW47" i="6"/>
  <c r="DW55" i="6"/>
  <c r="DV19" i="6"/>
  <c r="DV27" i="6"/>
  <c r="DV43" i="6"/>
  <c r="DV51" i="6"/>
  <c r="DW8" i="6"/>
  <c r="DW16" i="6"/>
  <c r="DW32" i="6"/>
  <c r="DW40" i="6"/>
  <c r="DW48" i="6"/>
  <c r="DW4" i="6"/>
  <c r="DV20" i="6"/>
  <c r="DV28" i="6"/>
  <c r="DV44" i="6"/>
  <c r="DW9" i="6"/>
  <c r="DW25" i="6"/>
  <c r="DW41" i="6"/>
  <c r="DV5" i="6"/>
  <c r="DV21" i="6"/>
  <c r="DV37" i="6"/>
  <c r="DV53" i="6"/>
  <c r="DV39" i="6"/>
  <c r="DW7" i="6"/>
  <c r="DW15" i="6"/>
  <c r="DW23" i="6"/>
  <c r="DW39" i="6"/>
  <c r="DV11" i="6"/>
  <c r="DV35" i="6"/>
  <c r="DW24" i="6"/>
  <c r="DV12" i="6"/>
  <c r="DV36" i="6"/>
  <c r="DV52" i="6"/>
  <c r="DW17" i="6"/>
  <c r="DW33" i="6"/>
  <c r="DW49" i="6"/>
  <c r="DV13" i="6"/>
  <c r="DV29" i="6"/>
  <c r="DV45" i="6"/>
  <c r="DV31" i="6"/>
  <c r="DV47" i="6"/>
  <c r="DW10" i="6"/>
  <c r="DW18" i="6"/>
  <c r="DW26" i="6"/>
  <c r="DW34" i="6"/>
  <c r="DW42" i="6"/>
  <c r="DW50" i="6"/>
  <c r="DV6" i="6"/>
  <c r="DV14" i="6"/>
  <c r="DV22" i="6"/>
  <c r="DV30" i="6"/>
  <c r="DV38" i="6"/>
  <c r="DV46" i="6"/>
  <c r="DV54" i="6"/>
  <c r="DW11" i="6"/>
  <c r="DW19" i="6"/>
  <c r="DW27" i="6"/>
  <c r="DW35" i="6"/>
  <c r="DW43" i="6"/>
  <c r="DW51" i="6"/>
  <c r="DV7" i="6"/>
  <c r="DV15" i="6"/>
  <c r="DV23" i="6"/>
  <c r="DV55" i="6"/>
  <c r="DR53" i="6"/>
  <c r="DR27" i="6"/>
  <c r="DR50" i="6"/>
  <c r="DR24" i="6"/>
  <c r="DR20" i="6"/>
  <c r="DR41" i="6"/>
  <c r="DR46" i="6"/>
  <c r="DR15" i="6"/>
  <c r="DR29" i="6"/>
  <c r="DR36" i="6"/>
  <c r="DR14" i="6"/>
  <c r="DR17" i="6"/>
  <c r="DR30" i="6"/>
  <c r="DR10" i="6"/>
  <c r="DR16" i="6"/>
  <c r="DR51" i="6"/>
  <c r="DR18" i="6"/>
  <c r="DR22" i="6"/>
  <c r="DR4" i="6"/>
  <c r="DR55" i="6"/>
  <c r="DR25" i="6"/>
  <c r="DR54" i="6"/>
  <c r="DR11" i="6"/>
  <c r="DR39" i="6"/>
  <c r="DR5" i="6"/>
  <c r="DR45" i="6"/>
  <c r="DR56" i="6"/>
  <c r="F26" i="30"/>
  <c r="CE3" i="31" s="1"/>
  <c r="CE1" i="31" s="1"/>
  <c r="A33" i="17"/>
  <c r="H31" i="39" s="1"/>
  <c r="D32" i="17"/>
  <c r="B32" i="17"/>
  <c r="I30" i="39" s="1"/>
  <c r="C32" i="17"/>
  <c r="J30" i="39" s="1"/>
  <c r="D26" i="30"/>
  <c r="E26" i="30"/>
  <c r="B27" i="30"/>
  <c r="A27" i="30" s="1"/>
  <c r="CE110" i="31" l="1"/>
  <c r="A35" i="36"/>
  <c r="B34" i="36"/>
  <c r="K30" i="39"/>
  <c r="F27" i="30"/>
  <c r="CF3" i="31" s="1"/>
  <c r="CF1" i="31" s="1"/>
  <c r="A34" i="17"/>
  <c r="H32" i="39" s="1"/>
  <c r="D33" i="17"/>
  <c r="B33" i="17"/>
  <c r="I31" i="39" s="1"/>
  <c r="C33" i="17"/>
  <c r="J31" i="39" s="1"/>
  <c r="D27" i="30"/>
  <c r="E27" i="30"/>
  <c r="B28" i="30"/>
  <c r="A28" i="30" s="1"/>
  <c r="CF110" i="31" l="1"/>
  <c r="A36" i="36"/>
  <c r="B35" i="36"/>
  <c r="K31" i="39"/>
  <c r="F28" i="30"/>
  <c r="CG3" i="31" s="1"/>
  <c r="CG1" i="31" s="1"/>
  <c r="A35" i="17"/>
  <c r="H33" i="39" s="1"/>
  <c r="D34" i="17"/>
  <c r="K32" i="39" s="1"/>
  <c r="B34" i="17"/>
  <c r="I32" i="39" s="1"/>
  <c r="C34" i="17"/>
  <c r="J32" i="39" s="1"/>
  <c r="D28" i="30"/>
  <c r="E28" i="30"/>
  <c r="B29" i="30"/>
  <c r="A29" i="30" s="1"/>
  <c r="CG110" i="31" l="1"/>
  <c r="A37" i="36"/>
  <c r="B36" i="36"/>
  <c r="F29" i="30"/>
  <c r="CH3" i="31" s="1"/>
  <c r="CH1" i="31" s="1"/>
  <c r="A36" i="17"/>
  <c r="H34" i="39" s="1"/>
  <c r="D35" i="17"/>
  <c r="B35" i="17"/>
  <c r="I33" i="39" s="1"/>
  <c r="C35" i="17"/>
  <c r="J33" i="39" s="1"/>
  <c r="D29" i="30"/>
  <c r="E29" i="30"/>
  <c r="B30" i="30"/>
  <c r="A30" i="30" s="1"/>
  <c r="CH110" i="31" l="1"/>
  <c r="A38" i="36"/>
  <c r="B37" i="36"/>
  <c r="K33" i="39"/>
  <c r="F30" i="30"/>
  <c r="CI3" i="31" s="1"/>
  <c r="CI1" i="31" s="1"/>
  <c r="A37" i="17"/>
  <c r="H35" i="39" s="1"/>
  <c r="D36" i="17"/>
  <c r="K34" i="39" s="1"/>
  <c r="B36" i="17"/>
  <c r="I34" i="39" s="1"/>
  <c r="C36" i="17"/>
  <c r="J34" i="39" s="1"/>
  <c r="D30" i="30"/>
  <c r="E30" i="30"/>
  <c r="B31" i="30"/>
  <c r="A31" i="30" s="1"/>
  <c r="CI110" i="31" l="1"/>
  <c r="A39" i="36"/>
  <c r="B38" i="36"/>
  <c r="F31" i="30"/>
  <c r="CJ3" i="31" s="1"/>
  <c r="CJ1" i="31" s="1"/>
  <c r="A38" i="17"/>
  <c r="H36" i="39" s="1"/>
  <c r="D37" i="17"/>
  <c r="K35" i="39" s="1"/>
  <c r="B37" i="17"/>
  <c r="I35" i="39" s="1"/>
  <c r="C37" i="17"/>
  <c r="J35" i="39" s="1"/>
  <c r="D31" i="30"/>
  <c r="E31" i="30"/>
  <c r="B32" i="30"/>
  <c r="A32" i="30" s="1"/>
  <c r="CJ110" i="31" l="1"/>
  <c r="A40" i="36"/>
  <c r="B39" i="36"/>
  <c r="F32" i="30"/>
  <c r="CK3" i="31" s="1"/>
  <c r="CK1" i="31" s="1"/>
  <c r="A39" i="17"/>
  <c r="H37" i="39" s="1"/>
  <c r="D38" i="17"/>
  <c r="K36" i="39" s="1"/>
  <c r="C38" i="17"/>
  <c r="J36" i="39" s="1"/>
  <c r="B38" i="17"/>
  <c r="I36" i="39" s="1"/>
  <c r="D32" i="30"/>
  <c r="E32" i="30"/>
  <c r="B33" i="30"/>
  <c r="A33" i="30" s="1"/>
  <c r="CK110" i="31" l="1"/>
  <c r="A41" i="36"/>
  <c r="B40" i="36"/>
  <c r="F33" i="30"/>
  <c r="CL3" i="31" s="1"/>
  <c r="CL1" i="31" s="1"/>
  <c r="A40" i="17"/>
  <c r="H38" i="39" s="1"/>
  <c r="D39" i="17"/>
  <c r="K37" i="39" s="1"/>
  <c r="C39" i="17"/>
  <c r="J37" i="39" s="1"/>
  <c r="B39" i="17"/>
  <c r="I37" i="39" s="1"/>
  <c r="D33" i="30"/>
  <c r="E33" i="30"/>
  <c r="B34" i="30"/>
  <c r="A34" i="30" s="1"/>
  <c r="CL110" i="31" l="1"/>
  <c r="A42" i="36"/>
  <c r="B41" i="36"/>
  <c r="F34" i="30"/>
  <c r="CM3" i="31" s="1"/>
  <c r="CM1" i="31" s="1"/>
  <c r="A41" i="17"/>
  <c r="H39" i="39" s="1"/>
  <c r="D40" i="17"/>
  <c r="K38" i="39" s="1"/>
  <c r="C40" i="17"/>
  <c r="J38" i="39" s="1"/>
  <c r="B40" i="17"/>
  <c r="I38" i="39" s="1"/>
  <c r="D34" i="30"/>
  <c r="E34" i="30"/>
  <c r="B35" i="30"/>
  <c r="A35" i="30" s="1"/>
  <c r="CM110" i="31" l="1"/>
  <c r="A43" i="36"/>
  <c r="B42" i="36"/>
  <c r="F35" i="30"/>
  <c r="CN3" i="31" s="1"/>
  <c r="CN1" i="31" s="1"/>
  <c r="A42" i="17"/>
  <c r="H40" i="39" s="1"/>
  <c r="D41" i="17"/>
  <c r="K39" i="39" s="1"/>
  <c r="B41" i="17"/>
  <c r="I39" i="39" s="1"/>
  <c r="C41" i="17"/>
  <c r="J39" i="39" s="1"/>
  <c r="D35" i="30"/>
  <c r="E35" i="30"/>
  <c r="B36" i="30"/>
  <c r="A36" i="30" s="1"/>
  <c r="CN110" i="31" l="1"/>
  <c r="A44" i="36"/>
  <c r="B43" i="36"/>
  <c r="F36" i="30"/>
  <c r="CO3" i="31" s="1"/>
  <c r="CO1" i="31" s="1"/>
  <c r="A43" i="17"/>
  <c r="H41" i="39" s="1"/>
  <c r="D42" i="17"/>
  <c r="K40" i="39" s="1"/>
  <c r="C42" i="17"/>
  <c r="J40" i="39" s="1"/>
  <c r="B42" i="17"/>
  <c r="I40" i="39" s="1"/>
  <c r="D36" i="30"/>
  <c r="E36" i="30"/>
  <c r="B37" i="30"/>
  <c r="A37" i="30" s="1"/>
  <c r="CO110" i="31" l="1"/>
  <c r="A45" i="36"/>
  <c r="B44" i="36"/>
  <c r="F37" i="30"/>
  <c r="CP3" i="31" s="1"/>
  <c r="CP1" i="31" s="1"/>
  <c r="A44" i="17"/>
  <c r="H42" i="39" s="1"/>
  <c r="D43" i="17"/>
  <c r="K41" i="39" s="1"/>
  <c r="C43" i="17"/>
  <c r="J41" i="39" s="1"/>
  <c r="B43" i="17"/>
  <c r="I41" i="39" s="1"/>
  <c r="D37" i="30"/>
  <c r="E37" i="30"/>
  <c r="B38" i="30"/>
  <c r="A38" i="30" s="1"/>
  <c r="CP110" i="31" l="1"/>
  <c r="A46" i="36"/>
  <c r="B45" i="36"/>
  <c r="F38" i="30"/>
  <c r="CQ3" i="31" s="1"/>
  <c r="CQ1" i="31" s="1"/>
  <c r="A45" i="17"/>
  <c r="H43" i="39" s="1"/>
  <c r="D44" i="17"/>
  <c r="K42" i="39" s="1"/>
  <c r="C44" i="17"/>
  <c r="J42" i="39" s="1"/>
  <c r="B44" i="17"/>
  <c r="I42" i="39" s="1"/>
  <c r="D38" i="30"/>
  <c r="E38" i="30"/>
  <c r="B39" i="30"/>
  <c r="A39" i="30" s="1"/>
  <c r="CQ110" i="31" l="1"/>
  <c r="A47" i="36"/>
  <c r="B46" i="36"/>
  <c r="F39" i="30"/>
  <c r="CR3" i="31" s="1"/>
  <c r="CR1" i="31" s="1"/>
  <c r="A46" i="17"/>
  <c r="H44" i="39" s="1"/>
  <c r="D45" i="17"/>
  <c r="K43" i="39" s="1"/>
  <c r="B45" i="17"/>
  <c r="I43" i="39" s="1"/>
  <c r="C45" i="17"/>
  <c r="J43" i="39" s="1"/>
  <c r="D39" i="30"/>
  <c r="E39" i="30"/>
  <c r="B40" i="30"/>
  <c r="A40" i="30" s="1"/>
  <c r="CR110" i="31" l="1"/>
  <c r="A48" i="36"/>
  <c r="B47" i="36"/>
  <c r="F40" i="30"/>
  <c r="CS3" i="31" s="1"/>
  <c r="CS1" i="31" s="1"/>
  <c r="A47" i="17"/>
  <c r="H45" i="39" s="1"/>
  <c r="D46" i="17"/>
  <c r="K44" i="39" s="1"/>
  <c r="B46" i="17"/>
  <c r="I44" i="39" s="1"/>
  <c r="C46" i="17"/>
  <c r="J44" i="39" s="1"/>
  <c r="D40" i="30"/>
  <c r="E40" i="30"/>
  <c r="B41" i="30"/>
  <c r="A41" i="30" s="1"/>
  <c r="CS110" i="31" l="1"/>
  <c r="A49" i="36"/>
  <c r="B48" i="36"/>
  <c r="F41" i="30"/>
  <c r="CT3" i="31" s="1"/>
  <c r="CT1" i="31" s="1"/>
  <c r="A48" i="17"/>
  <c r="H46" i="39" s="1"/>
  <c r="D47" i="17"/>
  <c r="K45" i="39" s="1"/>
  <c r="C47" i="17"/>
  <c r="J45" i="39" s="1"/>
  <c r="B47" i="17"/>
  <c r="I45" i="39" s="1"/>
  <c r="D41" i="30"/>
  <c r="E41" i="30"/>
  <c r="B42" i="30"/>
  <c r="A42" i="30" s="1"/>
  <c r="CT110" i="31" l="1"/>
  <c r="A50" i="36"/>
  <c r="B49" i="36"/>
  <c r="F42" i="30"/>
  <c r="CU3" i="31" s="1"/>
  <c r="CU1" i="31" s="1"/>
  <c r="A49" i="17"/>
  <c r="D48" i="17"/>
  <c r="K46" i="39" s="1"/>
  <c r="B48" i="17"/>
  <c r="I46" i="39" s="1"/>
  <c r="C48" i="17"/>
  <c r="J46" i="39" s="1"/>
  <c r="D42" i="30"/>
  <c r="E42" i="30"/>
  <c r="B43" i="30"/>
  <c r="A43" i="30" s="1"/>
  <c r="CU110" i="31" l="1"/>
  <c r="A51" i="36"/>
  <c r="B50" i="36"/>
  <c r="F43" i="30"/>
  <c r="CV3" i="31" s="1"/>
  <c r="CV1" i="31" s="1"/>
  <c r="D49" i="17"/>
  <c r="K47" i="39" s="1"/>
  <c r="H47" i="39"/>
  <c r="A50" i="17"/>
  <c r="H48" i="39" s="1"/>
  <c r="B49" i="17"/>
  <c r="I47" i="39" s="1"/>
  <c r="C49" i="17"/>
  <c r="J47" i="39" s="1"/>
  <c r="D43" i="30"/>
  <c r="E43" i="30"/>
  <c r="B44" i="30"/>
  <c r="A44" i="30" s="1"/>
  <c r="CV110" i="31" l="1"/>
  <c r="A52" i="36"/>
  <c r="B51" i="36"/>
  <c r="F44" i="30"/>
  <c r="CW3" i="31" s="1"/>
  <c r="CW1" i="31" s="1"/>
  <c r="A51" i="17"/>
  <c r="H49" i="39" s="1"/>
  <c r="D50" i="17"/>
  <c r="K48" i="39" s="1"/>
  <c r="B50" i="17"/>
  <c r="I48" i="39" s="1"/>
  <c r="C50" i="17"/>
  <c r="J48" i="39" s="1"/>
  <c r="D44" i="30"/>
  <c r="E44" i="30"/>
  <c r="B45" i="30"/>
  <c r="A45" i="30" s="1"/>
  <c r="CW110" i="31" l="1"/>
  <c r="A53" i="36"/>
  <c r="B52" i="36"/>
  <c r="F45" i="30"/>
  <c r="CX3" i="31" s="1"/>
  <c r="CX1" i="31" s="1"/>
  <c r="A52" i="17"/>
  <c r="H50" i="39" s="1"/>
  <c r="D51" i="17"/>
  <c r="K49" i="39" s="1"/>
  <c r="B51" i="17"/>
  <c r="I49" i="39" s="1"/>
  <c r="C51" i="17"/>
  <c r="J49" i="39" s="1"/>
  <c r="D45" i="30"/>
  <c r="E45" i="30"/>
  <c r="B46" i="30"/>
  <c r="A46" i="30" s="1"/>
  <c r="CX110" i="31" l="1"/>
  <c r="A54" i="36"/>
  <c r="B53" i="36"/>
  <c r="F46" i="30"/>
  <c r="CY3" i="31" s="1"/>
  <c r="CY1" i="31" s="1"/>
  <c r="A53" i="17"/>
  <c r="H51" i="39" s="1"/>
  <c r="D52" i="17"/>
  <c r="K50" i="39" s="1"/>
  <c r="B52" i="17"/>
  <c r="I50" i="39" s="1"/>
  <c r="C52" i="17"/>
  <c r="J50" i="39" s="1"/>
  <c r="D46" i="30"/>
  <c r="E46" i="30"/>
  <c r="B47" i="30"/>
  <c r="A47" i="30" s="1"/>
  <c r="CY110" i="31" l="1"/>
  <c r="A55" i="36"/>
  <c r="B55" i="36" s="1"/>
  <c r="B54" i="36"/>
  <c r="F47" i="30"/>
  <c r="CZ3" i="31" s="1"/>
  <c r="CZ1" i="31" s="1"/>
  <c r="A54" i="17"/>
  <c r="H52" i="39" s="1"/>
  <c r="D53" i="17"/>
  <c r="K51" i="39" s="1"/>
  <c r="B53" i="17"/>
  <c r="I51" i="39" s="1"/>
  <c r="C53" i="17"/>
  <c r="J51" i="39" s="1"/>
  <c r="D47" i="30"/>
  <c r="E47" i="30"/>
  <c r="B48" i="30"/>
  <c r="A48" i="30" s="1"/>
  <c r="CZ110" i="31" l="1"/>
  <c r="F48" i="30"/>
  <c r="DA3" i="31" s="1"/>
  <c r="DA1" i="31" s="1"/>
  <c r="A55" i="17"/>
  <c r="H53" i="39" s="1"/>
  <c r="D54" i="17"/>
  <c r="K52" i="39" s="1"/>
  <c r="C54" i="17"/>
  <c r="J52" i="39" s="1"/>
  <c r="B54" i="17"/>
  <c r="I52" i="39" s="1"/>
  <c r="D48" i="30"/>
  <c r="E48" i="30"/>
  <c r="B49" i="30"/>
  <c r="A49" i="30" s="1"/>
  <c r="DA110" i="31" l="1"/>
  <c r="F49" i="30"/>
  <c r="DB3" i="31" s="1"/>
  <c r="DB1" i="31" s="1"/>
  <c r="A56" i="17"/>
  <c r="H54" i="39" s="1"/>
  <c r="D55" i="17"/>
  <c r="K53" i="39" s="1"/>
  <c r="C55" i="17"/>
  <c r="J53" i="39" s="1"/>
  <c r="B55" i="17"/>
  <c r="I53" i="39" s="1"/>
  <c r="D49" i="30"/>
  <c r="E49" i="30"/>
  <c r="B50" i="30"/>
  <c r="A50" i="30" s="1"/>
  <c r="DB110" i="31" l="1"/>
  <c r="F50" i="30"/>
  <c r="DC3" i="31" s="1"/>
  <c r="DC1" i="31" s="1"/>
  <c r="A57" i="17"/>
  <c r="H55" i="39" s="1"/>
  <c r="D56" i="17"/>
  <c r="K54" i="39" s="1"/>
  <c r="C56" i="17"/>
  <c r="J54" i="39" s="1"/>
  <c r="B56" i="17"/>
  <c r="I54" i="39" s="1"/>
  <c r="D50" i="30"/>
  <c r="E50" i="30"/>
  <c r="B51" i="30"/>
  <c r="A51" i="30" s="1"/>
  <c r="DC110" i="31" l="1"/>
  <c r="F51" i="30"/>
  <c r="DD3" i="31" s="1"/>
  <c r="DD1" i="31" s="1"/>
  <c r="A58" i="17"/>
  <c r="H56" i="39" s="1"/>
  <c r="D57" i="17"/>
  <c r="K55" i="39" s="1"/>
  <c r="B57" i="17"/>
  <c r="I55" i="39" s="1"/>
  <c r="C57" i="17"/>
  <c r="J55" i="39" s="1"/>
  <c r="D51" i="30"/>
  <c r="E51" i="30"/>
  <c r="B52" i="30"/>
  <c r="A52" i="30" s="1"/>
  <c r="DD110" i="31" l="1"/>
  <c r="F52" i="30"/>
  <c r="DE3" i="31" s="1"/>
  <c r="DE1" i="31" s="1"/>
  <c r="A59" i="17"/>
  <c r="H57" i="39" s="1"/>
  <c r="D58" i="17"/>
  <c r="K56" i="39" s="1"/>
  <c r="C58" i="17"/>
  <c r="J56" i="39" s="1"/>
  <c r="B58" i="17"/>
  <c r="I56" i="39" s="1"/>
  <c r="D52" i="30"/>
  <c r="E52" i="30"/>
  <c r="B53" i="30"/>
  <c r="A53" i="30" s="1"/>
  <c r="DE110" i="31" l="1"/>
  <c r="F53" i="30"/>
  <c r="DF3" i="31" s="1"/>
  <c r="DF1" i="31" s="1"/>
  <c r="A60" i="17"/>
  <c r="H58" i="39" s="1"/>
  <c r="D59" i="17"/>
  <c r="K57" i="39" s="1"/>
  <c r="B59" i="17"/>
  <c r="I57" i="39" s="1"/>
  <c r="C59" i="17"/>
  <c r="J57" i="39" s="1"/>
  <c r="D53" i="30"/>
  <c r="E53" i="30"/>
  <c r="B54" i="30"/>
  <c r="A54" i="30" s="1"/>
  <c r="DF110" i="31" l="1"/>
  <c r="F54" i="30"/>
  <c r="DG3" i="31" s="1"/>
  <c r="DG1" i="31" s="1"/>
  <c r="A61" i="17"/>
  <c r="H59" i="39" s="1"/>
  <c r="D60" i="17"/>
  <c r="K58" i="39" s="1"/>
  <c r="C60" i="17"/>
  <c r="J58" i="39" s="1"/>
  <c r="B60" i="17"/>
  <c r="I58" i="39" s="1"/>
  <c r="D54" i="30"/>
  <c r="E54" i="30"/>
  <c r="B55" i="30"/>
  <c r="A55" i="30" s="1"/>
  <c r="DG110" i="31" l="1"/>
  <c r="F55" i="30"/>
  <c r="DH3" i="31" s="1"/>
  <c r="DH1" i="31" s="1"/>
  <c r="A62" i="17"/>
  <c r="H60" i="39" s="1"/>
  <c r="D61" i="17"/>
  <c r="K59" i="39" s="1"/>
  <c r="B61" i="17"/>
  <c r="I59" i="39" s="1"/>
  <c r="C61" i="17"/>
  <c r="J59" i="39" s="1"/>
  <c r="D55" i="30"/>
  <c r="E55" i="30"/>
  <c r="B56" i="30"/>
  <c r="A56" i="30" s="1"/>
  <c r="DH110" i="31" l="1"/>
  <c r="F56" i="30"/>
  <c r="DI3" i="31" s="1"/>
  <c r="DI1" i="31" s="1"/>
  <c r="A63" i="17"/>
  <c r="H61" i="39" s="1"/>
  <c r="D62" i="17"/>
  <c r="K60" i="39" s="1"/>
  <c r="B62" i="17"/>
  <c r="I60" i="39" s="1"/>
  <c r="C62" i="17"/>
  <c r="J60" i="39" s="1"/>
  <c r="E56" i="30"/>
  <c r="D56" i="30"/>
  <c r="B57" i="30"/>
  <c r="B58" i="30" s="1"/>
  <c r="F58" i="30" s="1"/>
  <c r="A58" i="30" l="1"/>
  <c r="E58" i="30"/>
  <c r="DI110" i="31"/>
  <c r="F57" i="30"/>
  <c r="DJ3" i="31" s="1"/>
  <c r="DK3"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DJ1" i="31" l="1"/>
  <c r="DJ110" i="31"/>
  <c r="DK110" i="31" s="1"/>
  <c r="DK1" i="31"/>
  <c r="M6" i="30"/>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BE81" i="30"/>
  <c r="AR89" i="30"/>
  <c r="AY70" i="30"/>
  <c r="AF46" i="30"/>
  <c r="BE6" i="30"/>
  <c r="BM72" i="30"/>
  <c r="AA104" i="30"/>
  <c r="Y84" i="30"/>
  <c r="BJ6" i="30"/>
  <c r="AI6" i="30"/>
  <c r="BR6" i="30"/>
  <c r="BH6" i="30"/>
  <c r="Z6" i="30"/>
  <c r="AU6" i="30"/>
  <c r="BP6" i="30"/>
  <c r="AB6" i="30"/>
  <c r="AX6" i="30"/>
  <c r="AN104" i="30"/>
  <c r="BQ6" i="30"/>
  <c r="BT6" i="30"/>
  <c r="AY6" i="30"/>
  <c r="BB6" i="30"/>
  <c r="AR6" i="30"/>
  <c r="AS6" i="30"/>
  <c r="U6" i="30"/>
  <c r="H5" i="31" s="1" a="1"/>
  <c r="H5" i="31" s="1"/>
  <c r="AD6" i="30"/>
  <c r="BS6" i="30"/>
  <c r="AM6" i="30"/>
  <c r="BA6" i="30"/>
  <c r="BO6" i="30"/>
  <c r="AF6" i="30"/>
  <c r="AH6" i="30"/>
  <c r="BF6" i="30"/>
  <c r="AE6" i="30"/>
  <c r="BH71" i="30"/>
  <c r="AQ79" i="30"/>
  <c r="Y6" i="30"/>
  <c r="AV6" i="30"/>
  <c r="AC6" i="30"/>
  <c r="BG6" i="30"/>
  <c r="BD6" i="30"/>
  <c r="AQ72" i="30"/>
  <c r="AN6" i="30"/>
  <c r="BC6" i="30"/>
  <c r="BK6" i="30"/>
  <c r="BM6" i="30"/>
  <c r="AP6" i="30"/>
  <c r="AA6" i="30"/>
  <c r="AZ6" i="30"/>
  <c r="BL6" i="30"/>
  <c r="AT6" i="30"/>
  <c r="AQ6" i="30"/>
  <c r="X6" i="30"/>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Y84" i="30"/>
  <c r="Z84" i="30"/>
  <c r="BT84" i="30"/>
  <c r="BG12" i="30"/>
  <c r="BQ24" i="30"/>
  <c r="BQ84" i="30"/>
  <c r="BJ84" i="30"/>
  <c r="BS84" i="30"/>
  <c r="AW84" i="30"/>
  <c r="BO60" i="30"/>
  <c r="AX59" i="30"/>
  <c r="BK7" i="30"/>
  <c r="AY72" i="30"/>
  <c r="BA84" i="30"/>
  <c r="AT84" i="30"/>
  <c r="AD48" i="30"/>
  <c r="AU48" i="30"/>
  <c r="BB48" i="30"/>
  <c r="AG6" i="30"/>
  <c r="BP84" i="30"/>
  <c r="BJ12" i="30"/>
  <c r="AK84" i="30"/>
  <c r="AT48" i="30"/>
  <c r="AX48" i="30"/>
  <c r="BC48" i="30"/>
  <c r="AZ72" i="30"/>
  <c r="AN12" i="30"/>
  <c r="U84" i="30"/>
  <c r="AW48" i="30"/>
  <c r="BN48" i="30"/>
  <c r="AA12" i="30"/>
  <c r="AW6" i="30"/>
  <c r="AU43" i="30"/>
  <c r="BT89" i="30"/>
  <c r="BI60" i="30"/>
  <c r="BS12" i="30"/>
  <c r="Z71" i="30"/>
  <c r="AJ84" i="30"/>
  <c r="AE23" i="30"/>
  <c r="BA23" i="30"/>
  <c r="V23" i="30"/>
  <c r="AG23" i="30"/>
  <c r="W6" i="30"/>
  <c r="AO12" i="30"/>
  <c r="BD12" i="30"/>
  <c r="BC12" i="30"/>
  <c r="AI80" i="30"/>
  <c r="AF49" i="30"/>
  <c r="BQ91" i="30"/>
  <c r="AB68" i="30"/>
  <c r="BD23" i="30"/>
  <c r="AS23" i="30"/>
  <c r="AZ23" i="30"/>
  <c r="AI23" i="30"/>
  <c r="AT23" i="30"/>
  <c r="AL6" i="30"/>
  <c r="BP12" i="30"/>
  <c r="BL12" i="30"/>
  <c r="AJ23" i="30"/>
  <c r="Z23" i="30"/>
  <c r="AN23" i="30"/>
  <c r="BO23" i="30"/>
  <c r="BJ23" i="30"/>
  <c r="AO6" i="30"/>
  <c r="BR12" i="30"/>
  <c r="AY12" i="30"/>
  <c r="AK23" i="30"/>
  <c r="BS23" i="30"/>
  <c r="AO23" i="30"/>
  <c r="BL23" i="30"/>
  <c r="BG23" i="30"/>
  <c r="AJ6" i="30"/>
  <c r="AE12" i="30"/>
  <c r="BF12" i="30"/>
  <c r="AX23" i="30"/>
  <c r="X23" i="30"/>
  <c r="BE23" i="30"/>
  <c r="BH23" i="30"/>
  <c r="BN6" i="30"/>
  <c r="BQ12" i="30"/>
  <c r="AJ48" i="30"/>
  <c r="BA46" i="30"/>
  <c r="BT48" i="30"/>
  <c r="U48" i="30"/>
  <c r="AH48" i="30"/>
  <c r="AN48" i="30"/>
  <c r="AB48" i="30"/>
  <c r="Z48" i="30"/>
  <c r="BH58" i="30"/>
  <c r="BB27" i="30"/>
  <c r="AI8" i="30"/>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BI38" i="30"/>
  <c r="BM84" i="30"/>
  <c r="AG12" i="30"/>
  <c r="W72" i="30"/>
  <c r="AO87" i="30"/>
  <c r="AR34" i="30"/>
  <c r="BT90" i="30"/>
  <c r="BN60" i="30"/>
  <c r="AH89" i="30"/>
  <c r="BA7" i="30"/>
  <c r="BL42" i="30"/>
  <c r="BP20" i="30"/>
  <c r="BB49" i="30"/>
  <c r="V37" i="30"/>
  <c r="BI21" i="30"/>
  <c r="AC19" i="30"/>
  <c r="AI58" i="30"/>
  <c r="AW42" i="30"/>
  <c r="AF80" i="30"/>
  <c r="BF80" i="30"/>
  <c r="BA8" i="30"/>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S8" i="30"/>
  <c r="AJ8" i="30"/>
  <c r="AN8" i="30"/>
  <c r="Z8" i="30"/>
  <c r="BD8" i="30"/>
  <c r="BH8" i="30"/>
  <c r="AC8" i="30"/>
  <c r="BB8" i="30"/>
  <c r="BP8" i="30"/>
  <c r="AK8" i="30"/>
  <c r="AR8" i="30"/>
  <c r="BM8" i="30"/>
  <c r="AM8" i="30"/>
  <c r="BO8" i="30"/>
  <c r="AF8" i="30"/>
  <c r="BS8" i="30"/>
  <c r="AZ8" i="30"/>
  <c r="V8" i="30"/>
  <c r="W8" i="30"/>
  <c r="AW8" i="30"/>
  <c r="BK8" i="30"/>
  <c r="AX113" i="31" s="1"/>
  <c r="AT8" i="30"/>
  <c r="AP8" i="30"/>
  <c r="AX8" i="30"/>
  <c r="BL8" i="30"/>
  <c r="AG8" i="30"/>
  <c r="BG8" i="30"/>
  <c r="X8" i="30"/>
  <c r="BE8" i="30"/>
  <c r="AB8" i="30"/>
  <c r="U8" i="30"/>
  <c r="BT8" i="30"/>
  <c r="AL8" i="30"/>
  <c r="AE8" i="30"/>
  <c r="AO8" i="30"/>
  <c r="BR8" i="30"/>
  <c r="BN8" i="30"/>
  <c r="AY8" i="30"/>
  <c r="BF8" i="30"/>
  <c r="BC8" i="30"/>
  <c r="Y8" i="30"/>
  <c r="AV8" i="30"/>
  <c r="AQ8" i="30"/>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F20" i="30"/>
  <c r="BD93" i="30"/>
  <c r="AM49" i="30"/>
  <c r="BE26" i="30"/>
  <c r="BE80" i="30"/>
  <c r="AA80" i="30"/>
  <c r="X11" i="30"/>
  <c r="W11" i="30"/>
  <c r="AR58" i="30"/>
  <c r="BI26" i="30"/>
  <c r="U80" i="30"/>
  <c r="AJ21" i="30"/>
  <c r="AL96" i="30"/>
  <c r="AA8" i="30"/>
  <c r="AP27" i="30"/>
  <c r="AD93" i="30"/>
  <c r="AT49" i="30"/>
  <c r="AN74" i="30"/>
  <c r="BO19" i="30"/>
  <c r="BR58" i="30"/>
  <c r="Z11" i="30"/>
  <c r="AS11" i="30"/>
  <c r="BJ58" i="30"/>
  <c r="BC58" i="30"/>
  <c r="BR24" i="30"/>
  <c r="BJ8" i="30"/>
  <c r="BD27" i="30"/>
  <c r="BE49" i="30"/>
  <c r="AE74" i="30"/>
  <c r="AU24" i="30"/>
  <c r="BD21" i="30"/>
  <c r="W37" i="30"/>
  <c r="BE94" i="30"/>
  <c r="BL94" i="30"/>
  <c r="AA11" i="30"/>
  <c r="BI11" i="30"/>
  <c r="AY58" i="30"/>
  <c r="AZ37" i="30"/>
  <c r="AJ24" i="30"/>
  <c r="AH8" i="30"/>
  <c r="AA27" i="30"/>
  <c r="AC93" i="30"/>
  <c r="Z26" i="30"/>
  <c r="BP74" i="30"/>
  <c r="V19" i="30"/>
  <c r="AH91" i="30"/>
  <c r="AK80" i="30"/>
  <c r="BC24" i="30"/>
  <c r="AC24" i="30"/>
  <c r="BK54" i="30"/>
  <c r="BP37" i="30"/>
  <c r="AQ37" i="30"/>
  <c r="AH37" i="30"/>
  <c r="Y37" i="30"/>
  <c r="AZ94" i="30"/>
  <c r="AD94" i="30"/>
  <c r="AM11" i="30"/>
  <c r="BF11" i="30"/>
  <c r="BP58" i="30"/>
  <c r="AB58" i="30"/>
  <c r="AO49" i="30"/>
  <c r="AK20" i="30"/>
  <c r="BI8" i="30"/>
  <c r="BA27" i="30"/>
  <c r="AT93" i="30"/>
  <c r="BS26" i="30"/>
  <c r="BO74" i="30"/>
  <c r="BA19" i="30"/>
  <c r="BH11" i="30"/>
  <c r="AT11" i="30"/>
  <c r="AD8" i="30"/>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A7" i="30"/>
  <c r="BF7" i="30"/>
  <c r="BO7" i="30"/>
  <c r="BB7" i="31" s="1"/>
  <c r="BB7" i="30"/>
  <c r="BR7" i="30"/>
  <c r="Y7" i="30"/>
  <c r="L7" i="31" s="1"/>
  <c r="BE7" i="30"/>
  <c r="AF7" i="30"/>
  <c r="BH7" i="30"/>
  <c r="W7" i="30"/>
  <c r="X7" i="30"/>
  <c r="AE7" i="30"/>
  <c r="BN7" i="30"/>
  <c r="AR7" i="30"/>
  <c r="AV7" i="30"/>
  <c r="AI7" i="31" s="1"/>
  <c r="AC7" i="30"/>
  <c r="AO7" i="30"/>
  <c r="AD7" i="30"/>
  <c r="AS7" i="30"/>
  <c r="AT7" i="30"/>
  <c r="AI7" i="30"/>
  <c r="BD7" i="30"/>
  <c r="AL7" i="30"/>
  <c r="BM7" i="30"/>
  <c r="BQ7" i="30"/>
  <c r="BI7" i="30"/>
  <c r="AJ7" i="30"/>
  <c r="AM7" i="30"/>
  <c r="BG7" i="30"/>
  <c r="AN7" i="30"/>
  <c r="AB7" i="30"/>
  <c r="AX7" i="30"/>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7"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A66" i="17"/>
  <c r="H64" i="39" s="1"/>
  <c r="D65" i="17"/>
  <c r="K63" i="39" s="1"/>
  <c r="B65" i="17"/>
  <c r="I63" i="39" s="1"/>
  <c r="C65" i="17"/>
  <c r="J63" i="39" s="1"/>
  <c r="I113" i="31" l="1"/>
  <c r="V7" i="31"/>
  <c r="AT7" i="31"/>
  <c r="BE7" i="31"/>
  <c r="K7" i="31"/>
  <c r="AZ7" i="31"/>
  <c r="X113" i="31"/>
  <c r="J7" i="31"/>
  <c r="AB7" i="31"/>
  <c r="AA7" i="31"/>
  <c r="AE7" i="31"/>
  <c r="BA7" i="31"/>
  <c r="Z7" i="31"/>
  <c r="AR7" i="31"/>
  <c r="AQ7" i="31"/>
  <c r="U113" i="31"/>
  <c r="AP113" i="31"/>
  <c r="AY113" i="31"/>
  <c r="AH113" i="31"/>
  <c r="R7" i="31"/>
  <c r="W7" i="31"/>
  <c r="AW7" i="31"/>
  <c r="AV7" i="31"/>
  <c r="Q7" i="31"/>
  <c r="AS7" i="31"/>
  <c r="P7" i="31"/>
  <c r="S7" i="31"/>
  <c r="AD113" i="31"/>
  <c r="AG7" i="31"/>
  <c r="H113" i="31"/>
  <c r="AU7" i="31"/>
  <c r="N7" i="31"/>
  <c r="O7" i="31"/>
  <c r="BC113" i="31"/>
  <c r="AL113" i="31"/>
  <c r="AN113" i="31"/>
  <c r="BD113" i="31"/>
  <c r="BG113" i="31"/>
  <c r="AK113" i="31"/>
  <c r="BF113" i="31"/>
  <c r="AO113" i="31"/>
  <c r="Q113" i="31"/>
  <c r="AV113" i="31"/>
  <c r="AS113" i="31"/>
  <c r="AC113" i="31"/>
  <c r="S113" i="31"/>
  <c r="P113" i="31"/>
  <c r="N113" i="31"/>
  <c r="O113" i="31"/>
  <c r="AG113" i="31"/>
  <c r="BB113" i="31"/>
  <c r="AU113" i="31"/>
  <c r="BA113" i="31"/>
  <c r="AR113" i="31"/>
  <c r="Z113" i="31"/>
  <c r="AQ113" i="31"/>
  <c r="BE113" i="31"/>
  <c r="K113" i="31"/>
  <c r="AJ113" i="31"/>
  <c r="AZ113" i="31"/>
  <c r="M113" i="31"/>
  <c r="V113" i="31"/>
  <c r="AB113" i="31"/>
  <c r="AT113" i="31"/>
  <c r="J113" i="31"/>
  <c r="AE113" i="31"/>
  <c r="AA113" i="31"/>
  <c r="AW113" i="31"/>
  <c r="AI113" i="31"/>
  <c r="R113" i="31"/>
  <c r="T113" i="31"/>
  <c r="W113" i="31"/>
  <c r="AN7" i="31"/>
  <c r="L113" i="31"/>
  <c r="Y113" i="31"/>
  <c r="AM113" i="31"/>
  <c r="AF113" i="31"/>
  <c r="T7" i="31"/>
  <c r="M7" i="31"/>
  <c r="AF7" i="31"/>
  <c r="AO8" i="31"/>
  <c r="AO112" i="31"/>
  <c r="Q8" i="31"/>
  <c r="Q112" i="31"/>
  <c r="AV8" i="31"/>
  <c r="AV112" i="31"/>
  <c r="AS8" i="31"/>
  <c r="AS112" i="31"/>
  <c r="H8" i="31"/>
  <c r="H112" i="31"/>
  <c r="AC8" i="31"/>
  <c r="AC112" i="31"/>
  <c r="S8" i="31"/>
  <c r="S112" i="31"/>
  <c r="P8" i="31"/>
  <c r="P112" i="31"/>
  <c r="N8" i="31"/>
  <c r="N112" i="31"/>
  <c r="AL8" i="31"/>
  <c r="AL112" i="31"/>
  <c r="O8" i="31"/>
  <c r="O112" i="31"/>
  <c r="AG8" i="31"/>
  <c r="AG112" i="31"/>
  <c r="BB8" i="31"/>
  <c r="BB112" i="31"/>
  <c r="AU8" i="31"/>
  <c r="AU112" i="31"/>
  <c r="AP8" i="31"/>
  <c r="AP112" i="31"/>
  <c r="BA8" i="31"/>
  <c r="BA112" i="31"/>
  <c r="AR8" i="31"/>
  <c r="AR112" i="31"/>
  <c r="AX8" i="31"/>
  <c r="AX112" i="31"/>
  <c r="Z8" i="31"/>
  <c r="Z112" i="31"/>
  <c r="AQ8" i="31"/>
  <c r="AQ112" i="31"/>
  <c r="AN8" i="31"/>
  <c r="AN112" i="31"/>
  <c r="AH8" i="31"/>
  <c r="AH112" i="31"/>
  <c r="BE8" i="31"/>
  <c r="BE112" i="31"/>
  <c r="K8" i="31"/>
  <c r="K112" i="31"/>
  <c r="AJ8" i="31"/>
  <c r="AJ112" i="31"/>
  <c r="AZ8" i="31"/>
  <c r="AZ112" i="31"/>
  <c r="M8" i="31"/>
  <c r="M112" i="31"/>
  <c r="AL7" i="31"/>
  <c r="V8" i="31"/>
  <c r="V112" i="31"/>
  <c r="BD8" i="31"/>
  <c r="BD112" i="31"/>
  <c r="BG8" i="31"/>
  <c r="BG112" i="31"/>
  <c r="AD8" i="31"/>
  <c r="AD112" i="31"/>
  <c r="AB8" i="31"/>
  <c r="AB112" i="31"/>
  <c r="AT8" i="31"/>
  <c r="AT112" i="31"/>
  <c r="J8" i="31"/>
  <c r="J112" i="31"/>
  <c r="AE8" i="31"/>
  <c r="AE112" i="31"/>
  <c r="AA8" i="31"/>
  <c r="AA112" i="31"/>
  <c r="AK8" i="31"/>
  <c r="AK112" i="31"/>
  <c r="AW8" i="31"/>
  <c r="AW112" i="31"/>
  <c r="AI8" i="31"/>
  <c r="AI112" i="31"/>
  <c r="R8" i="31"/>
  <c r="R112" i="31"/>
  <c r="T8" i="31"/>
  <c r="T112" i="31"/>
  <c r="I8" i="31"/>
  <c r="I112" i="31"/>
  <c r="X8" i="31"/>
  <c r="X112" i="31"/>
  <c r="W8" i="31"/>
  <c r="W112" i="31"/>
  <c r="U8" i="31"/>
  <c r="U112" i="31"/>
  <c r="BF8" i="31"/>
  <c r="BF112" i="31"/>
  <c r="L8" i="31"/>
  <c r="L112" i="31"/>
  <c r="Y8" i="31"/>
  <c r="Y112" i="31"/>
  <c r="AY8" i="31"/>
  <c r="AY112" i="31"/>
  <c r="AM8" i="31"/>
  <c r="AM112" i="31"/>
  <c r="BC8" i="31"/>
  <c r="BC112" i="31"/>
  <c r="AF8" i="31"/>
  <c r="AF112" i="31"/>
  <c r="I6" i="31"/>
  <c r="I5" i="31"/>
  <c r="BA6" i="31"/>
  <c r="BA5" i="31"/>
  <c r="AI6" i="31"/>
  <c r="AI5" i="31"/>
  <c r="BB5" i="31"/>
  <c r="BB6" i="31"/>
  <c r="AO7" i="31"/>
  <c r="U7" i="31"/>
  <c r="AP7" i="31"/>
  <c r="AD7" i="31"/>
  <c r="K6" i="31"/>
  <c r="K5" i="31"/>
  <c r="AX6" i="31"/>
  <c r="AX5" i="31"/>
  <c r="L5" i="31"/>
  <c r="L6" i="31"/>
  <c r="AN5" i="31"/>
  <c r="AN6" i="31"/>
  <c r="AL5" i="31"/>
  <c r="AL6" i="31"/>
  <c r="M6" i="31"/>
  <c r="M5" i="31"/>
  <c r="AR5" i="31"/>
  <c r="AR6" i="31"/>
  <c r="AZ5" i="31"/>
  <c r="AZ6" i="31"/>
  <c r="AO6" i="31"/>
  <c r="AO5" i="31"/>
  <c r="AH6" i="31"/>
  <c r="AH5" i="31"/>
  <c r="BG7" i="31"/>
  <c r="BC7" i="31"/>
  <c r="AD5" i="31"/>
  <c r="AD6" i="31"/>
  <c r="AP6" i="31"/>
  <c r="AP5" i="31"/>
  <c r="Z5" i="31"/>
  <c r="Z6" i="31"/>
  <c r="BG5" i="31"/>
  <c r="BG6" i="31"/>
  <c r="AU6" i="31"/>
  <c r="AU5" i="31"/>
  <c r="BF7" i="31"/>
  <c r="AX7" i="31"/>
  <c r="AG6" i="31"/>
  <c r="AG5" i="31"/>
  <c r="AA5" i="31"/>
  <c r="AA6" i="31"/>
  <c r="BF6" i="31"/>
  <c r="BF5" i="31"/>
  <c r="BD5" i="31"/>
  <c r="BD6" i="31"/>
  <c r="BE6" i="31"/>
  <c r="BE5" i="31"/>
  <c r="BD7" i="31"/>
  <c r="X7" i="31"/>
  <c r="J5" i="31"/>
  <c r="J6" i="31"/>
  <c r="T5" i="31"/>
  <c r="T6" i="31"/>
  <c r="AY5" i="31"/>
  <c r="AY6" i="31"/>
  <c r="R5" i="31"/>
  <c r="R6" i="31"/>
  <c r="Q6" i="31"/>
  <c r="Q5" i="31"/>
  <c r="V6" i="31"/>
  <c r="V5" i="31"/>
  <c r="AK7" i="31"/>
  <c r="AM7" i="31"/>
  <c r="AY7" i="31"/>
  <c r="AM6" i="31"/>
  <c r="AM5" i="31"/>
  <c r="AQ6" i="31"/>
  <c r="AQ5" i="31"/>
  <c r="AS5" i="31"/>
  <c r="AS6" i="31"/>
  <c r="H6" i="31"/>
  <c r="AK5" i="31"/>
  <c r="AK6" i="31"/>
  <c r="AW5" i="31"/>
  <c r="AW6" i="31"/>
  <c r="Y7" i="31"/>
  <c r="AH7" i="31"/>
  <c r="I7" i="31"/>
  <c r="N5" i="31"/>
  <c r="N6" i="31"/>
  <c r="AT6" i="31"/>
  <c r="AT5" i="31"/>
  <c r="U6" i="31"/>
  <c r="U5" i="31"/>
  <c r="AF6" i="31"/>
  <c r="AF5" i="31"/>
  <c r="O5" i="31"/>
  <c r="O6" i="31"/>
  <c r="X5" i="31"/>
  <c r="X6" i="31"/>
  <c r="H7" i="31"/>
  <c r="W5" i="31"/>
  <c r="W6" i="31"/>
  <c r="AB5" i="31"/>
  <c r="AB6" i="31"/>
  <c r="Y6" i="31"/>
  <c r="Y5" i="31"/>
  <c r="AJ6" i="31"/>
  <c r="AJ5" i="31"/>
  <c r="AV5" i="31"/>
  <c r="AV6" i="31"/>
  <c r="AC6" i="31"/>
  <c r="AC5" i="31"/>
  <c r="P5" i="31"/>
  <c r="P6" i="31"/>
  <c r="S5" i="31"/>
  <c r="S6" i="31"/>
  <c r="AE5" i="31"/>
  <c r="AE6" i="31"/>
  <c r="BC5" i="31"/>
  <c r="BC6" i="31"/>
  <c r="B66" i="17"/>
  <c r="I64" i="39" s="1"/>
  <c r="D66" i="17"/>
  <c r="A67" i="17"/>
  <c r="C66" i="17"/>
  <c r="J64" i="39" s="1"/>
  <c r="D67" i="17" l="1"/>
  <c r="E127" i="24"/>
  <c r="E124" i="24"/>
  <c r="E126" i="24"/>
  <c r="E125" i="24"/>
  <c r="E25" i="24"/>
  <c r="BH113" i="31" s="1"/>
  <c r="E24" i="24"/>
  <c r="BH112" i="31" s="1"/>
  <c r="K64" i="39"/>
  <c r="C67" i="17"/>
  <c r="B67" i="17"/>
  <c r="Z19" i="15"/>
  <c r="BI113" i="31" l="1"/>
  <c r="G119" i="32"/>
  <c r="BI112" i="31"/>
  <c r="G118" i="32"/>
  <c r="J118" i="32" s="1"/>
  <c r="Y19" i="15"/>
  <c r="AA19" i="15" s="1"/>
  <c r="BK112" i="31" l="1"/>
  <c r="DG112" i="31"/>
  <c r="CY112" i="31"/>
  <c r="CQ112" i="31"/>
  <c r="CI112" i="31"/>
  <c r="CA112" i="31"/>
  <c r="BS112" i="31"/>
  <c r="BZ112" i="31"/>
  <c r="BR112" i="31"/>
  <c r="DI112" i="31"/>
  <c r="BU112" i="31"/>
  <c r="DF112" i="31"/>
  <c r="CX112" i="31"/>
  <c r="CP112" i="31"/>
  <c r="CH112" i="31"/>
  <c r="DA112" i="31"/>
  <c r="CR112" i="31"/>
  <c r="DE112" i="31"/>
  <c r="CW112" i="31"/>
  <c r="CO112" i="31"/>
  <c r="CG112" i="31"/>
  <c r="BY112" i="31"/>
  <c r="BQ112" i="31"/>
  <c r="CC112" i="31"/>
  <c r="CJ112" i="31"/>
  <c r="DD112" i="31"/>
  <c r="CV112" i="31"/>
  <c r="CN112" i="31"/>
  <c r="CF112" i="31"/>
  <c r="BX112" i="31"/>
  <c r="BP112" i="31"/>
  <c r="BO112" i="31"/>
  <c r="BT112" i="31"/>
  <c r="DC112" i="31"/>
  <c r="CU112" i="31"/>
  <c r="CM112" i="31"/>
  <c r="CE112" i="31"/>
  <c r="BW112" i="31"/>
  <c r="CK112" i="31"/>
  <c r="DH112" i="31"/>
  <c r="CB112" i="31"/>
  <c r="DJ112" i="31"/>
  <c r="DK112" i="31" s="1"/>
  <c r="DB112" i="31"/>
  <c r="CT112" i="31"/>
  <c r="CL112" i="31"/>
  <c r="CD112" i="31"/>
  <c r="BV112" i="31"/>
  <c r="BN112" i="31"/>
  <c r="CS112" i="31"/>
  <c r="CZ112" i="31"/>
  <c r="BM112" i="31"/>
  <c r="BL112" i="31"/>
  <c r="F25" i="24"/>
  <c r="DJ113" i="31"/>
  <c r="DK113" i="31" s="1"/>
  <c r="DB113" i="31"/>
  <c r="CT113" i="31"/>
  <c r="CL113" i="31"/>
  <c r="CD113" i="31"/>
  <c r="BV113" i="31"/>
  <c r="BN113" i="31"/>
  <c r="DD113" i="31"/>
  <c r="BO113" i="31"/>
  <c r="DI113" i="31"/>
  <c r="DA113" i="31"/>
  <c r="CS113" i="31"/>
  <c r="CK113" i="31"/>
  <c r="CC113" i="31"/>
  <c r="BU113" i="31"/>
  <c r="BM113" i="31"/>
  <c r="CU113" i="31"/>
  <c r="DH113" i="31"/>
  <c r="CZ113" i="31"/>
  <c r="CR113" i="31"/>
  <c r="CJ113" i="31"/>
  <c r="CB113" i="31"/>
  <c r="BT113" i="31"/>
  <c r="BL113" i="31"/>
  <c r="CV113" i="31"/>
  <c r="CM113" i="31"/>
  <c r="DG113" i="31"/>
  <c r="CY113" i="31"/>
  <c r="CQ113" i="31"/>
  <c r="CI113" i="31"/>
  <c r="CA113" i="31"/>
  <c r="BS113" i="31"/>
  <c r="BK113" i="31"/>
  <c r="BP113" i="31"/>
  <c r="CE113" i="31"/>
  <c r="DF113" i="31"/>
  <c r="CX113" i="31"/>
  <c r="CP113" i="31"/>
  <c r="CH113" i="31"/>
  <c r="BZ113" i="31"/>
  <c r="BR113" i="31"/>
  <c r="BX113" i="31"/>
  <c r="DC113" i="31"/>
  <c r="DE113" i="31"/>
  <c r="CW113" i="31"/>
  <c r="CO113" i="31"/>
  <c r="CG113" i="31"/>
  <c r="BY113" i="31"/>
  <c r="BQ113" i="31"/>
  <c r="CN113" i="31"/>
  <c r="CF113" i="31"/>
  <c r="BW113" i="31"/>
  <c r="F24" i="24"/>
  <c r="A8" i="21"/>
  <c r="S1" i="15"/>
  <c r="DK214" i="31" l="1"/>
  <c r="CK214" i="31"/>
  <c r="DB214" i="31"/>
  <c r="CG214" i="31"/>
  <c r="CX214" i="31"/>
  <c r="CJ214" i="31"/>
  <c r="CL214" i="31"/>
  <c r="CR214" i="31"/>
  <c r="BX214" i="31"/>
  <c r="CE214" i="31"/>
  <c r="CF214" i="31"/>
  <c r="CM214" i="31"/>
  <c r="CT214" i="31"/>
  <c r="CD214" i="31"/>
  <c r="BW214" i="31"/>
  <c r="BY214" i="31"/>
  <c r="CP214" i="31"/>
  <c r="CA214" i="31"/>
  <c r="CI214" i="31"/>
  <c r="CN214" i="31"/>
  <c r="CS214" i="31"/>
  <c r="BN214" i="31"/>
  <c r="DH214" i="31"/>
  <c r="BO214" i="31"/>
  <c r="CC214" i="31"/>
  <c r="DA214" i="31"/>
  <c r="BZ214" i="31"/>
  <c r="BV214" i="31"/>
  <c r="BP214" i="31"/>
  <c r="BQ214" i="31"/>
  <c r="CH214" i="31"/>
  <c r="BS214" i="31"/>
  <c r="CO214" i="31"/>
  <c r="DF214" i="31"/>
  <c r="CQ214" i="31"/>
  <c r="BM214" i="31"/>
  <c r="CU214" i="31"/>
  <c r="CV214" i="31"/>
  <c r="CW214" i="31"/>
  <c r="BU214" i="31"/>
  <c r="CY214" i="31"/>
  <c r="CZ214" i="31"/>
  <c r="DJ214" i="31"/>
  <c r="DC214" i="31"/>
  <c r="DD214" i="31"/>
  <c r="DE214" i="31"/>
  <c r="DI214" i="31"/>
  <c r="DG214" i="31"/>
  <c r="CB214" i="31"/>
  <c r="BT214" i="31"/>
  <c r="BR214" i="31"/>
  <c r="BK214" i="31"/>
  <c r="DL113" i="31"/>
  <c r="BL214" i="31"/>
  <c r="DL112" i="31"/>
  <c r="AB2" i="15"/>
  <c r="C2" i="15"/>
  <c r="DL214" i="31" l="1"/>
  <c r="A14" i="14"/>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D35" i="40" l="1"/>
  <c r="F35" i="40" s="1"/>
  <c r="DG135" i="6"/>
  <c r="DG32" i="6"/>
  <c r="DG82" i="6"/>
  <c r="DG61" i="6"/>
  <c r="DG44" i="6"/>
  <c r="DG90" i="6"/>
  <c r="DG89" i="6"/>
  <c r="DG151" i="6"/>
  <c r="DG25" i="6"/>
  <c r="DG41" i="6"/>
  <c r="DG94" i="6"/>
  <c r="DG149" i="6"/>
  <c r="DG202" i="6"/>
  <c r="DG136" i="6"/>
  <c r="DG152" i="6"/>
  <c r="DG168" i="6"/>
  <c r="DG192" i="6"/>
  <c r="DG187" i="6"/>
  <c r="DG203" i="6"/>
  <c r="DG219" i="6"/>
  <c r="DG235" i="6"/>
  <c r="DG251" i="6"/>
  <c r="DG157" i="6"/>
  <c r="DG10" i="6"/>
  <c r="DG100" i="6"/>
  <c r="DG220" i="6"/>
  <c r="DG50" i="6"/>
  <c r="DG111" i="6"/>
  <c r="DG22" i="6"/>
  <c r="DG93" i="6"/>
  <c r="DG12" i="6"/>
  <c r="DG58" i="6"/>
  <c r="DG123" i="6"/>
  <c r="DG73" i="6"/>
  <c r="DG105" i="6"/>
  <c r="DG196" i="6"/>
  <c r="DG17" i="6"/>
  <c r="DG33" i="6"/>
  <c r="DG49" i="6"/>
  <c r="DG78" i="6"/>
  <c r="DG110" i="6"/>
  <c r="DG204" i="6"/>
  <c r="DG161" i="6"/>
  <c r="DG112" i="6"/>
  <c r="DG128" i="6"/>
  <c r="DG144" i="6"/>
  <c r="DG160" i="6"/>
  <c r="DG176" i="6"/>
  <c r="DG224" i="6"/>
  <c r="DG252" i="6"/>
  <c r="DG195" i="6"/>
  <c r="DG211" i="6"/>
  <c r="DG227" i="6"/>
  <c r="DG258" i="6"/>
  <c r="DG243" i="6"/>
  <c r="DG259" i="6"/>
  <c r="DG9" i="6"/>
  <c r="DG129" i="6"/>
  <c r="DG242" i="6"/>
  <c r="DG18" i="6"/>
  <c r="DG101" i="6"/>
  <c r="DG8" i="6"/>
  <c r="DG54" i="6"/>
  <c r="DG155" i="6"/>
  <c r="DG30" i="6"/>
  <c r="DG108" i="6"/>
  <c r="DG20" i="6"/>
  <c r="DG59" i="6"/>
  <c r="DG133" i="6"/>
  <c r="DG80" i="6"/>
  <c r="DG119" i="6"/>
  <c r="DG198" i="6"/>
  <c r="DG19" i="6"/>
  <c r="DG35" i="6"/>
  <c r="DG51" i="6"/>
  <c r="DG79" i="6"/>
  <c r="DG117" i="6"/>
  <c r="DG218" i="6"/>
  <c r="DG169" i="6"/>
  <c r="DG114" i="6"/>
  <c r="DG130" i="6"/>
  <c r="DG146" i="6"/>
  <c r="DG162" i="6"/>
  <c r="DG178" i="6"/>
  <c r="DG232" i="6"/>
  <c r="DG181" i="6"/>
  <c r="DG197" i="6"/>
  <c r="DG213" i="6"/>
  <c r="DG229" i="6"/>
  <c r="DG262" i="6"/>
  <c r="DG245" i="6"/>
  <c r="DG261" i="6"/>
  <c r="DG26" i="6"/>
  <c r="DG115" i="6"/>
  <c r="DG16" i="6"/>
  <c r="DG66" i="6"/>
  <c r="DG165" i="6"/>
  <c r="DG38" i="6"/>
  <c r="DG109" i="6"/>
  <c r="DG28" i="6"/>
  <c r="DG74" i="6"/>
  <c r="DG143" i="6"/>
  <c r="DG81" i="6"/>
  <c r="DG131" i="6"/>
  <c r="DG5" i="6"/>
  <c r="DG21" i="6"/>
  <c r="DG37" i="6"/>
  <c r="DG53" i="6"/>
  <c r="DG86" i="6"/>
  <c r="DG127" i="6"/>
  <c r="DG113" i="6"/>
  <c r="DG177" i="6"/>
  <c r="DG116" i="6"/>
  <c r="DG132" i="6"/>
  <c r="DG148" i="6"/>
  <c r="DG164" i="6"/>
  <c r="DG180" i="6"/>
  <c r="DG240" i="6"/>
  <c r="DG183" i="6"/>
  <c r="DG199" i="6"/>
  <c r="DG215" i="6"/>
  <c r="DG234" i="6"/>
  <c r="DG231" i="6"/>
  <c r="DG247" i="6"/>
  <c r="DG263" i="6"/>
  <c r="DG68" i="6"/>
  <c r="DG206" i="6"/>
  <c r="DG34" i="6"/>
  <c r="DG125" i="6"/>
  <c r="DG24" i="6"/>
  <c r="DG67" i="6"/>
  <c r="DG175" i="6"/>
  <c r="DG60" i="6"/>
  <c r="DG147" i="6"/>
  <c r="DG36" i="6"/>
  <c r="DG75" i="6"/>
  <c r="DG244" i="6"/>
  <c r="DG88" i="6"/>
  <c r="DG141" i="6"/>
  <c r="DG7" i="6"/>
  <c r="DG23" i="6"/>
  <c r="DG39" i="6"/>
  <c r="DG55" i="6"/>
  <c r="DG87" i="6"/>
  <c r="DG139" i="6"/>
  <c r="DG121" i="6"/>
  <c r="DG190" i="6"/>
  <c r="DG118" i="6"/>
  <c r="DG134" i="6"/>
  <c r="DG150" i="6"/>
  <c r="DG166" i="6"/>
  <c r="DG184" i="6"/>
  <c r="DG256" i="6"/>
  <c r="DG185" i="6"/>
  <c r="DG201" i="6"/>
  <c r="DG217" i="6"/>
  <c r="DG238" i="6"/>
  <c r="DG233" i="6"/>
  <c r="DG249" i="6"/>
  <c r="DG62" i="6"/>
  <c r="DG69" i="6"/>
  <c r="DG179" i="6"/>
  <c r="DG40" i="6"/>
  <c r="DG83" i="6"/>
  <c r="DG236" i="6"/>
  <c r="DG76" i="6"/>
  <c r="DG167" i="6"/>
  <c r="DG48" i="6"/>
  <c r="DG91" i="6"/>
  <c r="DG64" i="6"/>
  <c r="DG96" i="6"/>
  <c r="DG163" i="6"/>
  <c r="DG11" i="6"/>
  <c r="DG27" i="6"/>
  <c r="DG43" i="6"/>
  <c r="DG63" i="6"/>
  <c r="DG95" i="6"/>
  <c r="DG159" i="6"/>
  <c r="DG137" i="6"/>
  <c r="DG212" i="6"/>
  <c r="DG122" i="6"/>
  <c r="DG138" i="6"/>
  <c r="DG154" i="6"/>
  <c r="DG170" i="6"/>
  <c r="DG200" i="6"/>
  <c r="DG214" i="6"/>
  <c r="DG189" i="6"/>
  <c r="DG205" i="6"/>
  <c r="DG221" i="6"/>
  <c r="DG246" i="6"/>
  <c r="DG237" i="6"/>
  <c r="DG253" i="6"/>
  <c r="DG120" i="6"/>
  <c r="DG84" i="6"/>
  <c r="DG186" i="6"/>
  <c r="DG42" i="6"/>
  <c r="DG98" i="6"/>
  <c r="DG6" i="6"/>
  <c r="DG77" i="6"/>
  <c r="DG210" i="6"/>
  <c r="DG52" i="6"/>
  <c r="DG106" i="6"/>
  <c r="DG65" i="6"/>
  <c r="DG97" i="6"/>
  <c r="DG173" i="6"/>
  <c r="DG13" i="6"/>
  <c r="DG29" i="6"/>
  <c r="DG45" i="6"/>
  <c r="DG70" i="6"/>
  <c r="DG102" i="6"/>
  <c r="DG171" i="6"/>
  <c r="DG145" i="6"/>
  <c r="DG228" i="6"/>
  <c r="DG124" i="6"/>
  <c r="DG140" i="6"/>
  <c r="DG156" i="6"/>
  <c r="DG172" i="6"/>
  <c r="DG208" i="6"/>
  <c r="DG222" i="6"/>
  <c r="DG191" i="6"/>
  <c r="DG207" i="6"/>
  <c r="DG223" i="6"/>
  <c r="DG250" i="6"/>
  <c r="DG239" i="6"/>
  <c r="DG255" i="6"/>
  <c r="DG226" i="6"/>
  <c r="DG57" i="6"/>
  <c r="DG85" i="6"/>
  <c r="DG188" i="6"/>
  <c r="DG46" i="6"/>
  <c r="DG99" i="6"/>
  <c r="DG14" i="6"/>
  <c r="DG92" i="6"/>
  <c r="DG260" i="6"/>
  <c r="DG56" i="6"/>
  <c r="DG107" i="6"/>
  <c r="DG72" i="6"/>
  <c r="DG104" i="6"/>
  <c r="DG194" i="6"/>
  <c r="DG15" i="6"/>
  <c r="DG31" i="6"/>
  <c r="DG47" i="6"/>
  <c r="DG71" i="6"/>
  <c r="DG103" i="6"/>
  <c r="DG182" i="6"/>
  <c r="DG153" i="6"/>
  <c r="DG248" i="6"/>
  <c r="DG126" i="6"/>
  <c r="DG142" i="6"/>
  <c r="DG158" i="6"/>
  <c r="DG174" i="6"/>
  <c r="DG216" i="6"/>
  <c r="DG230" i="6"/>
  <c r="DG193" i="6"/>
  <c r="DG209" i="6"/>
  <c r="DG225" i="6"/>
  <c r="DG254" i="6"/>
  <c r="DG241" i="6"/>
  <c r="DG257" i="6"/>
  <c r="DG4" i="6"/>
  <c r="G16" i="15"/>
  <c r="F16" i="15" s="1"/>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X24" i="6"/>
  <c r="X263" i="6"/>
  <c r="AL263" i="6" s="1"/>
  <c r="X132" i="6"/>
  <c r="AL132" i="6" s="1"/>
  <c r="X204" i="6"/>
  <c r="AL204" i="6" s="1"/>
  <c r="X140" i="6"/>
  <c r="AL140" i="6" s="1"/>
  <c r="X16" i="6"/>
  <c r="X235" i="6"/>
  <c r="AL235" i="6" s="1"/>
  <c r="X203" i="6"/>
  <c r="AL203" i="6" s="1"/>
  <c r="X171" i="6"/>
  <c r="AL171" i="6" s="1"/>
  <c r="X139" i="6"/>
  <c r="AL139" i="6" s="1"/>
  <c r="X76" i="6"/>
  <c r="AL76" i="6" s="1"/>
  <c r="X12" i="6"/>
  <c r="X207" i="6"/>
  <c r="AL207" i="6" s="1"/>
  <c r="X143" i="6"/>
  <c r="AL143" i="6" s="1"/>
  <c r="X260" i="6"/>
  <c r="AL260" i="6" s="1"/>
  <c r="X256" i="6"/>
  <c r="AL256" i="6" s="1"/>
  <c r="X224" i="6"/>
  <c r="AL224" i="6" s="1"/>
  <c r="X192" i="6"/>
  <c r="AL192" i="6" s="1"/>
  <c r="X160" i="6"/>
  <c r="AL160" i="6" s="1"/>
  <c r="X120" i="6"/>
  <c r="AL120" i="6" s="1"/>
  <c r="X56" i="6"/>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X38" i="6"/>
  <c r="X22" i="6"/>
  <c r="X6" i="6"/>
  <c r="X111" i="6"/>
  <c r="AL111" i="6" s="1"/>
  <c r="X79" i="6"/>
  <c r="AL79" i="6" s="1"/>
  <c r="X47" i="6"/>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X29" i="6"/>
  <c r="X13" i="6"/>
  <c r="X199" i="6"/>
  <c r="AL199" i="6" s="1"/>
  <c r="X20" i="6"/>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X123" i="6"/>
  <c r="AL123" i="6" s="1"/>
  <c r="X91" i="6"/>
  <c r="AL91" i="6" s="1"/>
  <c r="X59" i="6"/>
  <c r="AL59" i="6" s="1"/>
  <c r="X35" i="6"/>
  <c r="X15" i="6"/>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X34" i="6"/>
  <c r="X18" i="6"/>
  <c r="X135" i="6"/>
  <c r="AL135" i="6" s="1"/>
  <c r="X103" i="6"/>
  <c r="X71" i="6"/>
  <c r="AL71" i="6" s="1"/>
  <c r="X31" i="6"/>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X25" i="6"/>
  <c r="X9" i="6"/>
  <c r="X60" i="6"/>
  <c r="AL60" i="6" s="1"/>
  <c r="X231" i="6"/>
  <c r="AL231" i="6" s="1"/>
  <c r="X167" i="6"/>
  <c r="AL167" i="6" s="1"/>
  <c r="X68" i="6"/>
  <c r="AL68" i="6" s="1"/>
  <c r="X236" i="6"/>
  <c r="AL236" i="6" s="1"/>
  <c r="X188" i="6"/>
  <c r="AL188" i="6" s="1"/>
  <c r="X156" i="6"/>
  <c r="AL156" i="6" s="1"/>
  <c r="X112" i="6"/>
  <c r="AL112" i="6" s="1"/>
  <c r="X48" i="6"/>
  <c r="X251" i="6"/>
  <c r="AL251" i="6" s="1"/>
  <c r="X219" i="6"/>
  <c r="AL219" i="6" s="1"/>
  <c r="X187" i="6"/>
  <c r="AL187" i="6" s="1"/>
  <c r="X155" i="6"/>
  <c r="AL155" i="6" s="1"/>
  <c r="X108" i="6"/>
  <c r="AL108" i="6" s="1"/>
  <c r="X44" i="6"/>
  <c r="X239" i="6"/>
  <c r="AL239" i="6" s="1"/>
  <c r="X175" i="6"/>
  <c r="AL175" i="6" s="1"/>
  <c r="X84" i="6"/>
  <c r="AL84" i="6" s="1"/>
  <c r="X228" i="6"/>
  <c r="AL228" i="6" s="1"/>
  <c r="X240" i="6"/>
  <c r="AL240" i="6" s="1"/>
  <c r="X208" i="6"/>
  <c r="AL208" i="6" s="1"/>
  <c r="X176" i="6"/>
  <c r="AL176" i="6" s="1"/>
  <c r="X144" i="6"/>
  <c r="AL144" i="6" s="1"/>
  <c r="X88" i="6"/>
  <c r="AL88" i="6" s="1"/>
  <c r="X83" i="6"/>
  <c r="AL83" i="6" s="1"/>
  <c r="X27" i="6"/>
  <c r="X254" i="6"/>
  <c r="AL254" i="6" s="1"/>
  <c r="X222" i="6"/>
  <c r="AL222" i="6" s="1"/>
  <c r="X190" i="6"/>
  <c r="AL190" i="6" s="1"/>
  <c r="X158" i="6"/>
  <c r="AL158" i="6" s="1"/>
  <c r="X126" i="6"/>
  <c r="AL126" i="6" s="1"/>
  <c r="X94" i="6"/>
  <c r="AL94" i="6" s="1"/>
  <c r="X62" i="6"/>
  <c r="AL62" i="6" s="1"/>
  <c r="X30" i="6"/>
  <c r="X127" i="6"/>
  <c r="AL127" i="6" s="1"/>
  <c r="X63" i="6"/>
  <c r="AL63" i="6" s="1"/>
  <c r="X245" i="6"/>
  <c r="AL245" i="6" s="1"/>
  <c r="X213" i="6"/>
  <c r="AL213" i="6" s="1"/>
  <c r="X181" i="6"/>
  <c r="AL181" i="6" s="1"/>
  <c r="X149" i="6"/>
  <c r="AL149" i="6" s="1"/>
  <c r="X117" i="6"/>
  <c r="AL117" i="6" s="1"/>
  <c r="X85" i="6"/>
  <c r="AL85" i="6" s="1"/>
  <c r="X53" i="6"/>
  <c r="X21" i="6"/>
  <c r="X51" i="6"/>
  <c r="X11" i="6"/>
  <c r="X238" i="6"/>
  <c r="AL238" i="6" s="1"/>
  <c r="X206" i="6"/>
  <c r="AL206" i="6" s="1"/>
  <c r="X174" i="6"/>
  <c r="AL174" i="6" s="1"/>
  <c r="X142" i="6"/>
  <c r="AL142" i="6" s="1"/>
  <c r="X110" i="6"/>
  <c r="AL110" i="6" s="1"/>
  <c r="X78" i="6"/>
  <c r="AL78" i="6" s="1"/>
  <c r="X46" i="6"/>
  <c r="X14" i="6"/>
  <c r="X95" i="6"/>
  <c r="AL95" i="6" s="1"/>
  <c r="X261" i="6"/>
  <c r="AL261" i="6" s="1"/>
  <c r="X229" i="6"/>
  <c r="AL229" i="6" s="1"/>
  <c r="X197" i="6"/>
  <c r="AL197" i="6" s="1"/>
  <c r="X165" i="6"/>
  <c r="AL165" i="6" s="1"/>
  <c r="X133" i="6"/>
  <c r="AL133" i="6" s="1"/>
  <c r="X101" i="6"/>
  <c r="AL101" i="6" s="1"/>
  <c r="X69" i="6"/>
  <c r="AL69" i="6" s="1"/>
  <c r="X37" i="6"/>
  <c r="X5" i="6"/>
  <c r="X215" i="6"/>
  <c r="AL215" i="6" s="1"/>
  <c r="X151" i="6"/>
  <c r="AL151" i="6" s="1"/>
  <c r="X52" i="6"/>
  <c r="X220" i="6"/>
  <c r="AL220" i="6" s="1"/>
  <c r="X180" i="6"/>
  <c r="AL180" i="6" s="1"/>
  <c r="X148" i="6"/>
  <c r="AL148" i="6" s="1"/>
  <c r="X96" i="6"/>
  <c r="AL96" i="6" s="1"/>
  <c r="X32" i="6"/>
  <c r="X243" i="6"/>
  <c r="AL243" i="6" s="1"/>
  <c r="X211" i="6"/>
  <c r="AL211" i="6" s="1"/>
  <c r="X179" i="6"/>
  <c r="AL179" i="6" s="1"/>
  <c r="X147" i="6"/>
  <c r="AL147" i="6" s="1"/>
  <c r="X92" i="6"/>
  <c r="AL92" i="6" s="1"/>
  <c r="X28" i="6"/>
  <c r="X223" i="6"/>
  <c r="AL223" i="6" s="1"/>
  <c r="X159" i="6"/>
  <c r="AL159" i="6" s="1"/>
  <c r="X36" i="6"/>
  <c r="X212" i="6"/>
  <c r="AL212" i="6" s="1"/>
  <c r="X232" i="6"/>
  <c r="AL232" i="6" s="1"/>
  <c r="X200" i="6"/>
  <c r="AL200" i="6" s="1"/>
  <c r="X168" i="6"/>
  <c r="AL168" i="6" s="1"/>
  <c r="X136" i="6"/>
  <c r="AL136" i="6" s="1"/>
  <c r="X72" i="6"/>
  <c r="AL72" i="6" s="1"/>
  <c r="X8" i="6"/>
  <c r="X107" i="6"/>
  <c r="AL107" i="6" s="1"/>
  <c r="X75" i="6"/>
  <c r="AL75" i="6" s="1"/>
  <c r="X43" i="6"/>
  <c r="X23" i="6"/>
  <c r="X7" i="6"/>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X26" i="6"/>
  <c r="X10" i="6"/>
  <c r="X119" i="6"/>
  <c r="AL119" i="6" s="1"/>
  <c r="X87" i="6"/>
  <c r="AL87" i="6" s="1"/>
  <c r="X55" i="6"/>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X33" i="6"/>
  <c r="X17" i="6"/>
  <c r="AA3" i="6"/>
  <c r="AB3" i="6"/>
  <c r="AC3" i="6"/>
  <c r="AG3" i="6"/>
  <c r="AE3" i="6"/>
  <c r="AF3" i="6"/>
  <c r="AD3" i="6"/>
  <c r="Z3" i="6"/>
  <c r="AL26" i="6" l="1"/>
  <c r="AL8" i="6"/>
  <c r="AL5" i="6"/>
  <c r="AL9" i="6"/>
  <c r="AL37" i="6"/>
  <c r="AL44" i="6"/>
  <c r="AL25" i="6"/>
  <c r="AL15" i="6"/>
  <c r="AL38" i="6"/>
  <c r="AL24" i="6"/>
  <c r="AL23" i="6"/>
  <c r="AL55" i="6"/>
  <c r="AL33" i="6"/>
  <c r="AL28" i="6"/>
  <c r="AL14" i="6"/>
  <c r="AL11" i="6"/>
  <c r="AL41" i="6"/>
  <c r="AL20" i="6"/>
  <c r="AL54" i="6"/>
  <c r="AL34" i="6"/>
  <c r="AL16" i="6"/>
  <c r="AL32" i="6"/>
  <c r="AL49" i="6"/>
  <c r="AL10" i="6"/>
  <c r="AL7" i="6"/>
  <c r="AL46" i="6"/>
  <c r="AL51" i="6"/>
  <c r="AL18" i="6"/>
  <c r="AL47" i="6"/>
  <c r="AL42" i="6"/>
  <c r="AL43" i="6"/>
  <c r="AL53" i="6"/>
  <c r="AL50" i="6"/>
  <c r="AL29" i="6"/>
  <c r="AL56" i="6"/>
  <c r="AT57" i="6" s="1"/>
  <c r="AL30" i="6"/>
  <c r="AL27" i="6"/>
  <c r="AL40" i="6"/>
  <c r="AL45" i="6"/>
  <c r="AL12" i="6"/>
  <c r="AL13" i="6"/>
  <c r="AL36" i="6"/>
  <c r="AL48" i="6"/>
  <c r="AL31" i="6"/>
  <c r="AL22" i="6"/>
  <c r="AL4" i="6"/>
  <c r="X217" i="12"/>
  <c r="X178" i="12"/>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L17" i="6"/>
  <c r="AL6" i="6"/>
  <c r="AL35" i="6"/>
  <c r="AL39" i="6"/>
  <c r="AL19" i="6"/>
  <c r="AT257" i="6"/>
  <c r="AT230" i="6"/>
  <c r="AT209" i="6"/>
  <c r="AT193" i="6"/>
  <c r="AT83" i="6"/>
  <c r="AT246" i="6"/>
  <c r="AT186" i="6"/>
  <c r="AT165" i="6"/>
  <c r="AT155" i="6"/>
  <c r="AT248" i="6"/>
  <c r="AT114" i="6"/>
  <c r="AT64" i="6"/>
  <c r="AT199" i="6"/>
  <c r="AT219" i="6"/>
  <c r="AT195" i="6"/>
  <c r="AT160" i="6"/>
  <c r="AT171" i="6"/>
  <c r="AT239" i="6"/>
  <c r="AT263" i="6"/>
  <c r="AT183" i="6"/>
  <c r="AT204" i="6"/>
  <c r="AT141" i="6"/>
  <c r="AT72" i="6"/>
  <c r="AT227" i="6"/>
  <c r="AT225" i="6"/>
  <c r="AT76" i="6"/>
  <c r="AT139" i="6"/>
  <c r="AT121" i="6"/>
  <c r="AT63" i="6"/>
  <c r="AT90" i="6"/>
  <c r="AT112" i="6"/>
  <c r="AT260" i="6"/>
  <c r="AT79" i="6"/>
  <c r="AT132" i="6"/>
  <c r="AT148" i="6"/>
  <c r="AT182"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88" i="6"/>
  <c r="AT150" i="6"/>
  <c r="AT180" i="6"/>
  <c r="AT119" i="6"/>
  <c r="AT202" i="6"/>
  <c r="AT140" i="6"/>
  <c r="AT126" i="6"/>
  <c r="AT62" i="6"/>
  <c r="AT60" i="6"/>
  <c r="AT217" i="6"/>
  <c r="AT156" i="6"/>
  <c r="AT145" i="6"/>
  <c r="AT261" i="6"/>
  <c r="AT157" i="6"/>
  <c r="AT184" i="6"/>
  <c r="AT133" i="6"/>
  <c r="AT241" i="6"/>
  <c r="AT218" i="6"/>
  <c r="AT190" i="6"/>
  <c r="AT175" i="6"/>
  <c r="AT159" i="6"/>
  <c r="AT74" i="6"/>
  <c r="AT124"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8" i="6"/>
  <c r="AT223" i="6"/>
  <c r="AT197" i="6"/>
  <c r="AT123" i="6"/>
  <c r="AT84" i="6"/>
  <c r="AT73" i="6"/>
  <c r="AT142" i="6"/>
  <c r="AT117" i="6"/>
  <c r="AT85" i="6"/>
  <c r="AT136" i="6"/>
  <c r="AT152"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AT31" i="6" l="1"/>
  <c r="AT12" i="6"/>
  <c r="AT41" i="6"/>
  <c r="AT26" i="6"/>
  <c r="AT45" i="6"/>
  <c r="AT8" i="6"/>
  <c r="AT14" i="6"/>
  <c r="AT50" i="6"/>
  <c r="AT51" i="6"/>
  <c r="AT27" i="6"/>
  <c r="AT38" i="6"/>
  <c r="AT37" i="6"/>
  <c r="AT25" i="6"/>
  <c r="AT22" i="6"/>
  <c r="AT48" i="6"/>
  <c r="AT47" i="6"/>
  <c r="AT24" i="6"/>
  <c r="AT46" i="6"/>
  <c r="AT43" i="6"/>
  <c r="AT33" i="6"/>
  <c r="AT5" i="6"/>
  <c r="AT23" i="6"/>
  <c r="AT49" i="6"/>
  <c r="AT10" i="6"/>
  <c r="AT54" i="6"/>
  <c r="AT16" i="6"/>
  <c r="AT29" i="6"/>
  <c r="AT44" i="6"/>
  <c r="AT55" i="6"/>
  <c r="AT28" i="6"/>
  <c r="AT42" i="6"/>
  <c r="AT30" i="6"/>
  <c r="AT9" i="6"/>
  <c r="AT34" i="6"/>
  <c r="AT15" i="6"/>
  <c r="AT11" i="6"/>
  <c r="AT32" i="6"/>
  <c r="AT56" i="6"/>
  <c r="AT13" i="6"/>
  <c r="Y158" i="12"/>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D14" i="3" l="1"/>
  <c r="D15" i="3" s="1"/>
  <c r="D176" i="3"/>
  <c r="D271" i="3"/>
  <c r="D263" i="3"/>
  <c r="D255" i="3"/>
  <c r="D247" i="3"/>
  <c r="D239" i="3"/>
  <c r="D231" i="3"/>
  <c r="D223" i="3"/>
  <c r="D215" i="3"/>
  <c r="D207" i="3"/>
  <c r="D199" i="3"/>
  <c r="D191" i="3"/>
  <c r="D183" i="3"/>
  <c r="D175" i="3"/>
  <c r="D167" i="3"/>
  <c r="D270" i="3"/>
  <c r="D262" i="3"/>
  <c r="D254" i="3"/>
  <c r="D246" i="3"/>
  <c r="D238" i="3"/>
  <c r="D230" i="3"/>
  <c r="D222" i="3"/>
  <c r="D214" i="3"/>
  <c r="D206" i="3"/>
  <c r="D198" i="3"/>
  <c r="D190" i="3"/>
  <c r="D182" i="3"/>
  <c r="D174" i="3"/>
  <c r="D166" i="3"/>
  <c r="D269" i="3"/>
  <c r="D261" i="3"/>
  <c r="D253" i="3"/>
  <c r="D245" i="3"/>
  <c r="D237" i="3"/>
  <c r="D229" i="3"/>
  <c r="D221" i="3"/>
  <c r="D213" i="3"/>
  <c r="D205" i="3"/>
  <c r="D197" i="3"/>
  <c r="D189" i="3"/>
  <c r="D181" i="3"/>
  <c r="D173" i="3"/>
  <c r="D165" i="3"/>
  <c r="D267" i="3"/>
  <c r="D259" i="3"/>
  <c r="D243" i="3"/>
  <c r="D235" i="3"/>
  <c r="D227" i="3"/>
  <c r="D219" i="3"/>
  <c r="D211" i="3"/>
  <c r="D203" i="3"/>
  <c r="D195" i="3"/>
  <c r="D187" i="3"/>
  <c r="D179" i="3"/>
  <c r="D264" i="3"/>
  <c r="D248" i="3"/>
  <c r="D232" i="3"/>
  <c r="D208" i="3"/>
  <c r="D192" i="3"/>
  <c r="D168" i="3"/>
  <c r="D268" i="3"/>
  <c r="D260" i="3"/>
  <c r="D252" i="3"/>
  <c r="D244" i="3"/>
  <c r="D236" i="3"/>
  <c r="D228" i="3"/>
  <c r="D220" i="3"/>
  <c r="D212" i="3"/>
  <c r="D204" i="3"/>
  <c r="D196" i="3"/>
  <c r="D188" i="3"/>
  <c r="D180" i="3"/>
  <c r="D172" i="3"/>
  <c r="D164" i="3"/>
  <c r="D251" i="3"/>
  <c r="D171" i="3"/>
  <c r="D256" i="3"/>
  <c r="D266" i="3"/>
  <c r="D258" i="3"/>
  <c r="D250" i="3"/>
  <c r="D242" i="3"/>
  <c r="D234" i="3"/>
  <c r="D226" i="3"/>
  <c r="D218" i="3"/>
  <c r="D210" i="3"/>
  <c r="D202" i="3"/>
  <c r="D194" i="3"/>
  <c r="D186" i="3"/>
  <c r="D178" i="3"/>
  <c r="D170" i="3"/>
  <c r="D265" i="3"/>
  <c r="D257" i="3"/>
  <c r="D249" i="3"/>
  <c r="D241" i="3"/>
  <c r="D233" i="3"/>
  <c r="D225" i="3"/>
  <c r="D217" i="3"/>
  <c r="D209" i="3"/>
  <c r="D201" i="3"/>
  <c r="D193" i="3"/>
  <c r="D185" i="3"/>
  <c r="D177" i="3"/>
  <c r="D169" i="3"/>
  <c r="D272" i="3"/>
  <c r="D240" i="3"/>
  <c r="D224" i="3"/>
  <c r="D216" i="3"/>
  <c r="D200" i="3"/>
  <c r="D184" i="3"/>
  <c r="C166" i="3"/>
  <c r="C174" i="3"/>
  <c r="C182" i="3"/>
  <c r="C190" i="3"/>
  <c r="C198" i="3"/>
  <c r="C206" i="3"/>
  <c r="C214" i="3"/>
  <c r="C222" i="3"/>
  <c r="C230" i="3"/>
  <c r="C238" i="3"/>
  <c r="C246" i="3"/>
  <c r="C254" i="3"/>
  <c r="C262" i="3"/>
  <c r="C270" i="3"/>
  <c r="C185" i="3"/>
  <c r="C201" i="3"/>
  <c r="C225" i="3"/>
  <c r="C249" i="3"/>
  <c r="C181" i="3"/>
  <c r="C221" i="3"/>
  <c r="C261" i="3"/>
  <c r="C167" i="3"/>
  <c r="C175" i="3"/>
  <c r="C183" i="3"/>
  <c r="C191" i="3"/>
  <c r="C199" i="3"/>
  <c r="C207" i="3"/>
  <c r="C215" i="3"/>
  <c r="C223" i="3"/>
  <c r="C231" i="3"/>
  <c r="C239" i="3"/>
  <c r="C247" i="3"/>
  <c r="C255" i="3"/>
  <c r="C263" i="3"/>
  <c r="C271" i="3"/>
  <c r="C169" i="3"/>
  <c r="C193" i="3"/>
  <c r="C217" i="3"/>
  <c r="C233" i="3"/>
  <c r="C257" i="3"/>
  <c r="C165" i="3"/>
  <c r="C197" i="3"/>
  <c r="C237" i="3"/>
  <c r="C168" i="3"/>
  <c r="C176" i="3"/>
  <c r="C184" i="3"/>
  <c r="C192" i="3"/>
  <c r="C200" i="3"/>
  <c r="C208" i="3"/>
  <c r="C216" i="3"/>
  <c r="C224" i="3"/>
  <c r="C232" i="3"/>
  <c r="C240" i="3"/>
  <c r="C248" i="3"/>
  <c r="C256" i="3"/>
  <c r="C264" i="3"/>
  <c r="C272" i="3"/>
  <c r="C177" i="3"/>
  <c r="C209" i="3"/>
  <c r="C241" i="3"/>
  <c r="C265" i="3"/>
  <c r="C205" i="3"/>
  <c r="C253" i="3"/>
  <c r="C170" i="3"/>
  <c r="C178" i="3"/>
  <c r="C186" i="3"/>
  <c r="C194" i="3"/>
  <c r="C202" i="3"/>
  <c r="C210" i="3"/>
  <c r="C218" i="3"/>
  <c r="C226" i="3"/>
  <c r="C234" i="3"/>
  <c r="C242" i="3"/>
  <c r="C250" i="3"/>
  <c r="C258" i="3"/>
  <c r="C266" i="3"/>
  <c r="C172" i="3"/>
  <c r="C188" i="3"/>
  <c r="C204" i="3"/>
  <c r="C220" i="3"/>
  <c r="C236" i="3"/>
  <c r="C252" i="3"/>
  <c r="C268" i="3"/>
  <c r="C173" i="3"/>
  <c r="C213" i="3"/>
  <c r="C245" i="3"/>
  <c r="C171" i="3"/>
  <c r="C179" i="3"/>
  <c r="C187" i="3"/>
  <c r="C195" i="3"/>
  <c r="C203" i="3"/>
  <c r="C211" i="3"/>
  <c r="C219" i="3"/>
  <c r="C227" i="3"/>
  <c r="C235" i="3"/>
  <c r="C243" i="3"/>
  <c r="C251" i="3"/>
  <c r="C259" i="3"/>
  <c r="C267" i="3"/>
  <c r="C164" i="3"/>
  <c r="C180" i="3"/>
  <c r="C196" i="3"/>
  <c r="C212" i="3"/>
  <c r="C228" i="3"/>
  <c r="C244" i="3"/>
  <c r="C260" i="3"/>
  <c r="C189" i="3"/>
  <c r="C229" i="3"/>
  <c r="C269" i="3"/>
  <c r="X18" i="15"/>
  <c r="D16" i="3" l="1"/>
  <c r="C14" i="3"/>
  <c r="C15" i="3" s="1"/>
  <c r="BD93" i="3"/>
  <c r="BD188" i="3"/>
  <c r="BD99" i="3"/>
  <c r="BD20" i="3"/>
  <c r="BD257" i="3"/>
  <c r="BD14" i="3"/>
  <c r="BD183" i="3"/>
  <c r="BD39" i="3"/>
  <c r="BD220" i="3"/>
  <c r="BD216" i="3"/>
  <c r="AQ5" i="6"/>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AW4" i="6"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D17" i="3" l="1"/>
  <c r="C16" i="3"/>
  <c r="F5" i="12"/>
  <c r="AQ6" i="6"/>
  <c r="A17" i="12"/>
  <c r="C14" i="37"/>
  <c r="H67" i="26"/>
  <c r="D18" i="3" l="1"/>
  <c r="C17" i="3"/>
  <c r="AW5" i="6"/>
  <c r="N4" i="12" s="1"/>
  <c r="G5" i="12"/>
  <c r="I5" i="12" s="1"/>
  <c r="M4" i="12"/>
  <c r="DJ5" i="6"/>
  <c r="C5" i="7"/>
  <c r="AX6" i="6"/>
  <c r="DJ4" i="6"/>
  <c r="AX7" i="6"/>
  <c r="DJ3" i="6"/>
  <c r="AX3" i="6"/>
  <c r="R4" i="12" s="1"/>
  <c r="AW3" i="6"/>
  <c r="O4" i="12" s="1"/>
  <c r="AW6" i="6"/>
  <c r="P4" i="12" s="1"/>
  <c r="M4" i="39" s="1"/>
  <c r="AW7" i="6"/>
  <c r="Q4" i="12" s="1"/>
  <c r="N4" i="39" s="1"/>
  <c r="B14" i="3"/>
  <c r="AP5" i="6" s="1"/>
  <c r="A18" i="12"/>
  <c r="AQ7" i="6"/>
  <c r="D19" i="3" l="1"/>
  <c r="C18" i="3"/>
  <c r="D6" i="12"/>
  <c r="E5" i="17" s="1"/>
  <c r="F4" i="17"/>
  <c r="K4" i="39"/>
  <c r="S4" i="12"/>
  <c r="J4" i="39"/>
  <c r="B15" i="3"/>
  <c r="AP6" i="6" s="1"/>
  <c r="A19" i="12"/>
  <c r="D20" i="3" l="1"/>
  <c r="C19" i="3"/>
  <c r="E6" i="12"/>
  <c r="L5" i="12"/>
  <c r="I5" i="39" s="1"/>
  <c r="D7" i="12"/>
  <c r="H7" i="12" s="1"/>
  <c r="F6" i="12"/>
  <c r="B16" i="3"/>
  <c r="AP7" i="6" s="1"/>
  <c r="AQ9" i="6"/>
  <c r="AQ8" i="6"/>
  <c r="AQ10" i="6"/>
  <c r="D21" i="3" l="1"/>
  <c r="C20" i="3"/>
  <c r="E275" i="12"/>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A21" i="12"/>
  <c r="B18" i="3"/>
  <c r="AP9" i="6" s="1"/>
  <c r="AQ11" i="6"/>
  <c r="D22" i="3" l="1"/>
  <c r="C21" i="3"/>
  <c r="A22" i="12"/>
  <c r="B19" i="3"/>
  <c r="AP10" i="6" s="1"/>
  <c r="AQ12" i="6"/>
  <c r="D23" i="3" l="1"/>
  <c r="C22" i="3"/>
  <c r="A23" i="12"/>
  <c r="B20" i="3"/>
  <c r="AP11" i="6" s="1"/>
  <c r="AQ13" i="6"/>
  <c r="D24" i="3" l="1"/>
  <c r="C23" i="3"/>
  <c r="A24" i="12"/>
  <c r="B21" i="3"/>
  <c r="AP12" i="6" s="1"/>
  <c r="AQ14" i="6"/>
  <c r="D25" i="3" l="1"/>
  <c r="C24" i="3"/>
  <c r="A25" i="12"/>
  <c r="B22" i="3"/>
  <c r="AP13" i="6" s="1"/>
  <c r="AQ15" i="6"/>
  <c r="D26" i="3" l="1"/>
  <c r="C25" i="3"/>
  <c r="A26" i="12"/>
  <c r="B23" i="3"/>
  <c r="AP14" i="6" s="1"/>
  <c r="AQ16" i="6"/>
  <c r="D27" i="3" l="1"/>
  <c r="C26" i="3"/>
  <c r="A27" i="12"/>
  <c r="B24" i="3"/>
  <c r="AP15" i="6" s="1"/>
  <c r="AQ17" i="6"/>
  <c r="D28" i="3" l="1"/>
  <c r="C27" i="3"/>
  <c r="A28" i="12"/>
  <c r="B25" i="3"/>
  <c r="AP16" i="6" s="1"/>
  <c r="AQ18" i="6"/>
  <c r="D29" i="3" l="1"/>
  <c r="C28" i="3"/>
  <c r="A29" i="12"/>
  <c r="B26" i="3"/>
  <c r="AP17" i="6" s="1"/>
  <c r="AQ19" i="6"/>
  <c r="D30" i="3" l="1"/>
  <c r="C29" i="3"/>
  <c r="A30" i="12"/>
  <c r="B27" i="3"/>
  <c r="AP18" i="6" s="1"/>
  <c r="C49" i="18"/>
  <c r="AQ20" i="6"/>
  <c r="D31" i="3" l="1"/>
  <c r="C30" i="3"/>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2" i="3" l="1"/>
  <c r="C31" i="3"/>
  <c r="A32" i="12"/>
  <c r="B29" i="3"/>
  <c r="AP20" i="6" s="1"/>
  <c r="AQ22" i="6"/>
  <c r="D33" i="3" l="1"/>
  <c r="C32" i="3"/>
  <c r="A33" i="12"/>
  <c r="B30" i="3"/>
  <c r="AP21" i="6" s="1"/>
  <c r="AQ23" i="6"/>
  <c r="D34" i="3" l="1"/>
  <c r="C33" i="3"/>
  <c r="A34" i="12"/>
  <c r="B31" i="3"/>
  <c r="AP22" i="6" s="1"/>
  <c r="AQ24" i="6"/>
  <c r="D35" i="3" l="1"/>
  <c r="C34" i="3"/>
  <c r="A35" i="12"/>
  <c r="B32" i="3"/>
  <c r="AP23" i="6" s="1"/>
  <c r="AQ25" i="6"/>
  <c r="D36" i="3" l="1"/>
  <c r="C35" i="3"/>
  <c r="A36" i="12"/>
  <c r="B33" i="3"/>
  <c r="AP24" i="6" s="1"/>
  <c r="AQ26" i="6"/>
  <c r="D37" i="3" l="1"/>
  <c r="C36" i="3"/>
  <c r="A37" i="12"/>
  <c r="B34" i="3"/>
  <c r="AP25" i="6" s="1"/>
  <c r="AQ27" i="6"/>
  <c r="D38" i="3" l="1"/>
  <c r="C37" i="3"/>
  <c r="A38" i="12"/>
  <c r="B35" i="3"/>
  <c r="AP26" i="6" s="1"/>
  <c r="AQ28" i="6"/>
  <c r="D39" i="3" l="1"/>
  <c r="C38" i="3"/>
  <c r="A39" i="12"/>
  <c r="B36" i="3"/>
  <c r="AP27" i="6" s="1"/>
  <c r="AQ29" i="6"/>
  <c r="D40" i="3" l="1"/>
  <c r="C39" i="3"/>
  <c r="A40" i="12"/>
  <c r="B37" i="3"/>
  <c r="AP28" i="6" s="1"/>
  <c r="AQ30" i="6"/>
  <c r="D41" i="3" l="1"/>
  <c r="C40" i="3"/>
  <c r="A41" i="12"/>
  <c r="B38" i="3"/>
  <c r="AP29" i="6" s="1"/>
  <c r="AQ31" i="6"/>
  <c r="D42" i="3" l="1"/>
  <c r="C41" i="3"/>
  <c r="A42" i="12"/>
  <c r="B39" i="3"/>
  <c r="AP30" i="6" s="1"/>
  <c r="AQ32" i="6"/>
  <c r="D43" i="3" l="1"/>
  <c r="C42" i="3"/>
  <c r="A43" i="12"/>
  <c r="B40" i="3"/>
  <c r="AP31" i="6" s="1"/>
  <c r="AQ33" i="6"/>
  <c r="D44" i="3" l="1"/>
  <c r="C43" i="3"/>
  <c r="A44" i="12"/>
  <c r="B41" i="3"/>
  <c r="AP32" i="6" s="1"/>
  <c r="AQ34" i="6"/>
  <c r="D45" i="3" l="1"/>
  <c r="C44" i="3"/>
  <c r="A45" i="12"/>
  <c r="B42" i="3"/>
  <c r="AP33" i="6" s="1"/>
  <c r="AQ35" i="6"/>
  <c r="D46" i="3" l="1"/>
  <c r="C45" i="3"/>
  <c r="A46" i="12"/>
  <c r="B43" i="3"/>
  <c r="AP34" i="6" s="1"/>
  <c r="AQ36" i="6"/>
  <c r="D47" i="3" l="1"/>
  <c r="C46" i="3"/>
  <c r="A47" i="12"/>
  <c r="B44" i="3"/>
  <c r="AP35" i="6" s="1"/>
  <c r="AQ37" i="6"/>
  <c r="D48" i="3" l="1"/>
  <c r="C47" i="3"/>
  <c r="A48" i="12"/>
  <c r="B45" i="3"/>
  <c r="AP36" i="6" s="1"/>
  <c r="AQ38" i="6"/>
  <c r="D49" i="3" l="1"/>
  <c r="C48" i="3"/>
  <c r="A49" i="12"/>
  <c r="B46" i="3"/>
  <c r="AP37" i="6" s="1"/>
  <c r="AQ39" i="6"/>
  <c r="D50" i="3" l="1"/>
  <c r="C49" i="3"/>
  <c r="A50" i="12"/>
  <c r="B47" i="3"/>
  <c r="AP38" i="6" s="1"/>
  <c r="AQ40" i="6"/>
  <c r="D51" i="3" l="1"/>
  <c r="C50" i="3"/>
  <c r="A51" i="12"/>
  <c r="B48" i="3"/>
  <c r="AP39" i="6" s="1"/>
  <c r="AQ41" i="6"/>
  <c r="D52" i="3" l="1"/>
  <c r="C51" i="3"/>
  <c r="A52" i="12"/>
  <c r="B49" i="3"/>
  <c r="AP40" i="6" s="1"/>
  <c r="AQ42" i="6"/>
  <c r="D53" i="3" l="1"/>
  <c r="C52" i="3"/>
  <c r="A53" i="12"/>
  <c r="B50" i="3"/>
  <c r="AP41" i="6" s="1"/>
  <c r="AQ43" i="6"/>
  <c r="D54" i="3" l="1"/>
  <c r="C53" i="3"/>
  <c r="A54" i="12"/>
  <c r="B51" i="3"/>
  <c r="AP42" i="6" s="1"/>
  <c r="AQ44" i="6"/>
  <c r="D55" i="3" l="1"/>
  <c r="C54" i="3"/>
  <c r="A55" i="12"/>
  <c r="B52" i="3"/>
  <c r="AP43" i="6" s="1"/>
  <c r="AQ45" i="6"/>
  <c r="D56" i="3" l="1"/>
  <c r="C55" i="3"/>
  <c r="A56" i="12"/>
  <c r="B53" i="3"/>
  <c r="AP44" i="6" s="1"/>
  <c r="AQ46" i="6"/>
  <c r="D57" i="3" l="1"/>
  <c r="C56" i="3"/>
  <c r="A57" i="12"/>
  <c r="B54" i="3"/>
  <c r="AP45" i="6" s="1"/>
  <c r="AQ47" i="6"/>
  <c r="D58" i="3" l="1"/>
  <c r="C57" i="3"/>
  <c r="A58" i="12"/>
  <c r="B55" i="3"/>
  <c r="AP46" i="6" s="1"/>
  <c r="AQ48" i="6"/>
  <c r="D59" i="3" l="1"/>
  <c r="C58" i="3"/>
  <c r="A59" i="12"/>
  <c r="B56" i="3"/>
  <c r="AP47" i="6" s="1"/>
  <c r="AQ49" i="6"/>
  <c r="D60" i="3" l="1"/>
  <c r="C59" i="3"/>
  <c r="A60" i="12"/>
  <c r="B57" i="3"/>
  <c r="AP48" i="6" s="1"/>
  <c r="AQ50" i="6"/>
  <c r="D61" i="3" l="1"/>
  <c r="C60" i="3"/>
  <c r="A61" i="12"/>
  <c r="B58" i="3"/>
  <c r="AP49" i="6" s="1"/>
  <c r="AQ51" i="6"/>
  <c r="D62" i="3" l="1"/>
  <c r="C61" i="3"/>
  <c r="A62" i="12"/>
  <c r="B59" i="3"/>
  <c r="AP50" i="6" s="1"/>
  <c r="AQ52" i="6"/>
  <c r="D63" i="3" l="1"/>
  <c r="C62" i="3"/>
  <c r="A63" i="12"/>
  <c r="B60" i="3"/>
  <c r="AP51" i="6" s="1"/>
  <c r="AQ53" i="6"/>
  <c r="D64" i="3" l="1"/>
  <c r="C63" i="3"/>
  <c r="A64" i="12"/>
  <c r="B61" i="3"/>
  <c r="AP52" i="6" s="1"/>
  <c r="AQ54" i="6"/>
  <c r="C64" i="3" l="1"/>
  <c r="D65" i="3"/>
  <c r="A65" i="12"/>
  <c r="B62" i="3"/>
  <c r="AP53" i="6" s="1"/>
  <c r="AQ55" i="6"/>
  <c r="D66" i="3" l="1"/>
  <c r="C65" i="3"/>
  <c r="A66" i="12"/>
  <c r="B63" i="3"/>
  <c r="AP54" i="6" s="1"/>
  <c r="AQ56" i="6"/>
  <c r="C66" i="3" l="1"/>
  <c r="D67" i="3"/>
  <c r="A67" i="12"/>
  <c r="B64" i="3"/>
  <c r="AP55" i="6" s="1"/>
  <c r="AQ57" i="6"/>
  <c r="C67" i="3" l="1"/>
  <c r="D68" i="3"/>
  <c r="D69" i="3" s="1"/>
  <c r="D70" i="3" s="1"/>
  <c r="D71" i="3" s="1"/>
  <c r="D72" i="3" s="1"/>
  <c r="D73" i="3" s="1"/>
  <c r="D74" i="3" s="1"/>
  <c r="D75" i="3" s="1"/>
  <c r="D76" i="3" s="1"/>
  <c r="D77" i="3" s="1"/>
  <c r="D78" i="3" s="1"/>
  <c r="D79" i="3" s="1"/>
  <c r="D80" i="3" s="1"/>
  <c r="D81" i="3" s="1"/>
  <c r="D82" i="3" s="1"/>
  <c r="D83" i="3" s="1"/>
  <c r="D84" i="3" s="1"/>
  <c r="D85" i="3" s="1"/>
  <c r="D86" i="3" s="1"/>
  <c r="D87" i="3" s="1"/>
  <c r="D88" i="3" s="1"/>
  <c r="D89" i="3" s="1"/>
  <c r="D90" i="3" s="1"/>
  <c r="D91" i="3" s="1"/>
  <c r="D92" i="3" s="1"/>
  <c r="D93" i="3" s="1"/>
  <c r="D94" i="3" s="1"/>
  <c r="D95" i="3" s="1"/>
  <c r="D96" i="3" s="1"/>
  <c r="D97" i="3" s="1"/>
  <c r="D98" i="3" s="1"/>
  <c r="D99" i="3" s="1"/>
  <c r="D100" i="3" s="1"/>
  <c r="D101" i="3" s="1"/>
  <c r="D102" i="3" s="1"/>
  <c r="D103" i="3" s="1"/>
  <c r="D104" i="3" s="1"/>
  <c r="D105" i="3" s="1"/>
  <c r="D106" i="3" s="1"/>
  <c r="D107" i="3" s="1"/>
  <c r="D108" i="3" s="1"/>
  <c r="D109" i="3" s="1"/>
  <c r="D110" i="3" s="1"/>
  <c r="D111" i="3" s="1"/>
  <c r="D112" i="3" s="1"/>
  <c r="D113" i="3" s="1"/>
  <c r="D114" i="3" s="1"/>
  <c r="D115" i="3" s="1"/>
  <c r="D116" i="3" s="1"/>
  <c r="D117" i="3" s="1"/>
  <c r="D118" i="3" s="1"/>
  <c r="D119" i="3" s="1"/>
  <c r="D120" i="3" s="1"/>
  <c r="D121" i="3" s="1"/>
  <c r="D122" i="3" s="1"/>
  <c r="D123" i="3" s="1"/>
  <c r="D124" i="3" s="1"/>
  <c r="D125" i="3" s="1"/>
  <c r="D126" i="3" s="1"/>
  <c r="D127" i="3" s="1"/>
  <c r="D128" i="3" s="1"/>
  <c r="D129" i="3" s="1"/>
  <c r="D130" i="3" s="1"/>
  <c r="D131" i="3" s="1"/>
  <c r="D132" i="3" s="1"/>
  <c r="D133" i="3" s="1"/>
  <c r="D134" i="3" s="1"/>
  <c r="D135" i="3" s="1"/>
  <c r="D136" i="3" s="1"/>
  <c r="D137" i="3" s="1"/>
  <c r="D138" i="3" s="1"/>
  <c r="D139" i="3" s="1"/>
  <c r="D140" i="3" s="1"/>
  <c r="D141" i="3" s="1"/>
  <c r="D142" i="3" s="1"/>
  <c r="D143" i="3" s="1"/>
  <c r="D144" i="3" s="1"/>
  <c r="D145" i="3" s="1"/>
  <c r="D146" i="3" s="1"/>
  <c r="D147" i="3" s="1"/>
  <c r="D148" i="3" s="1"/>
  <c r="D149" i="3" s="1"/>
  <c r="D150" i="3" s="1"/>
  <c r="D151" i="3" s="1"/>
  <c r="D152" i="3" s="1"/>
  <c r="D153" i="3" s="1"/>
  <c r="D154" i="3" s="1"/>
  <c r="D155" i="3" s="1"/>
  <c r="D156" i="3" s="1"/>
  <c r="D157" i="3" s="1"/>
  <c r="D158" i="3" s="1"/>
  <c r="D159" i="3" s="1"/>
  <c r="D160" i="3" s="1"/>
  <c r="D161" i="3" s="1"/>
  <c r="D162" i="3" s="1"/>
  <c r="D163" i="3" s="1"/>
  <c r="A68" i="12"/>
  <c r="B65" i="3"/>
  <c r="AP56" i="6" s="1"/>
  <c r="B66" i="3"/>
  <c r="AQ58" i="6"/>
  <c r="C68" i="3" l="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C111" i="3" s="1"/>
  <c r="C112" i="3" s="1"/>
  <c r="C113" i="3" s="1"/>
  <c r="C114" i="3" s="1"/>
  <c r="C115" i="3" s="1"/>
  <c r="C116" i="3" s="1"/>
  <c r="C117" i="3" s="1"/>
  <c r="C118" i="3" s="1"/>
  <c r="C119" i="3" s="1"/>
  <c r="C120" i="3" s="1"/>
  <c r="C121" i="3" s="1"/>
  <c r="C122" i="3" s="1"/>
  <c r="C123" i="3" s="1"/>
  <c r="C124" i="3" s="1"/>
  <c r="C125" i="3" s="1"/>
  <c r="C126" i="3" s="1"/>
  <c r="C127" i="3" s="1"/>
  <c r="C128" i="3" s="1"/>
  <c r="C129" i="3" s="1"/>
  <c r="C130" i="3" s="1"/>
  <c r="C131" i="3" s="1"/>
  <c r="C132" i="3" s="1"/>
  <c r="C133" i="3" s="1"/>
  <c r="C134" i="3" s="1"/>
  <c r="C135" i="3" s="1"/>
  <c r="C136" i="3" s="1"/>
  <c r="C137" i="3" s="1"/>
  <c r="C138" i="3" s="1"/>
  <c r="C139" i="3" s="1"/>
  <c r="C140" i="3" s="1"/>
  <c r="C141" i="3" s="1"/>
  <c r="C142" i="3" s="1"/>
  <c r="C143" i="3" s="1"/>
  <c r="C144" i="3" s="1"/>
  <c r="C145" i="3" s="1"/>
  <c r="C146" i="3" s="1"/>
  <c r="C147" i="3" s="1"/>
  <c r="C148" i="3" s="1"/>
  <c r="C149" i="3" s="1"/>
  <c r="C150" i="3" s="1"/>
  <c r="C151" i="3" s="1"/>
  <c r="C152" i="3" s="1"/>
  <c r="C153" i="3" s="1"/>
  <c r="C154" i="3" s="1"/>
  <c r="C155" i="3" s="1"/>
  <c r="C156" i="3" s="1"/>
  <c r="C157" i="3" s="1"/>
  <c r="C158" i="3" s="1"/>
  <c r="C159" i="3" s="1"/>
  <c r="C160" i="3" s="1"/>
  <c r="C161" i="3" s="1"/>
  <c r="C162" i="3" s="1"/>
  <c r="C163" i="3" s="1"/>
  <c r="A69" i="12"/>
  <c r="AP57" i="6"/>
  <c r="AQ59" i="6"/>
  <c r="A70" i="12" l="1"/>
  <c r="B67" i="3"/>
  <c r="AP58" i="6" s="1"/>
  <c r="AQ60" i="6"/>
  <c r="A71" i="12" l="1"/>
  <c r="B68" i="3"/>
  <c r="AP59" i="6" s="1"/>
  <c r="AQ61" i="6"/>
  <c r="A72" i="12" l="1"/>
  <c r="B69" i="3"/>
  <c r="AP60" i="6" s="1"/>
  <c r="AQ62" i="6"/>
  <c r="A73" i="12" l="1"/>
  <c r="B70" i="3"/>
  <c r="AP61" i="6" s="1"/>
  <c r="AQ63" i="6"/>
  <c r="A74" i="12" l="1"/>
  <c r="B71" i="3"/>
  <c r="AP62" i="6" s="1"/>
  <c r="AQ64" i="6"/>
  <c r="A75" i="12" l="1"/>
  <c r="B72" i="3"/>
  <c r="AP63" i="6" s="1"/>
  <c r="AQ65" i="6"/>
  <c r="A76" i="12" l="1"/>
  <c r="B73" i="3"/>
  <c r="AP64" i="6" s="1"/>
  <c r="AQ66" i="6"/>
  <c r="A77" i="12" l="1"/>
  <c r="B74" i="3"/>
  <c r="AP65" i="6" s="1"/>
  <c r="AQ67" i="6"/>
  <c r="A78" i="12" l="1"/>
  <c r="B75" i="3"/>
  <c r="AP66" i="6" s="1"/>
  <c r="AQ68" i="6"/>
  <c r="A79" i="12" l="1"/>
  <c r="B76" i="3"/>
  <c r="AP67" i="6" s="1"/>
  <c r="AQ69" i="6"/>
  <c r="A80" i="12" l="1"/>
  <c r="B77" i="3"/>
  <c r="AP68" i="6" s="1"/>
  <c r="AQ70" i="6"/>
  <c r="A81" i="12" l="1"/>
  <c r="B78" i="3"/>
  <c r="AP69" i="6" s="1"/>
  <c r="AQ71" i="6"/>
  <c r="A82" i="12" l="1"/>
  <c r="B79" i="3"/>
  <c r="AP70" i="6" s="1"/>
  <c r="AQ72" i="6"/>
  <c r="A83" i="12" l="1"/>
  <c r="B80" i="3"/>
  <c r="AP71" i="6" s="1"/>
  <c r="AQ73" i="6"/>
  <c r="A84" i="12" l="1"/>
  <c r="B81" i="3"/>
  <c r="AP72" i="6" s="1"/>
  <c r="AQ74" i="6"/>
  <c r="A85" i="12" l="1"/>
  <c r="B82" i="3"/>
  <c r="AP73" i="6" s="1"/>
  <c r="AQ75" i="6"/>
  <c r="A86" i="12" l="1"/>
  <c r="B83" i="3"/>
  <c r="AP74" i="6" s="1"/>
  <c r="AQ76" i="6"/>
  <c r="A87" i="12" l="1"/>
  <c r="B84" i="3"/>
  <c r="AP75" i="6" s="1"/>
  <c r="AQ77" i="6"/>
  <c r="A88" i="12" l="1"/>
  <c r="B85" i="3"/>
  <c r="AP76" i="6" s="1"/>
  <c r="AQ78" i="6"/>
  <c r="A89" i="12" l="1"/>
  <c r="B86" i="3"/>
  <c r="AP77" i="6" s="1"/>
  <c r="AQ79" i="6"/>
  <c r="A90" i="12" l="1"/>
  <c r="B87" i="3"/>
  <c r="AP78" i="6" s="1"/>
  <c r="AQ80" i="6"/>
  <c r="A91" i="12" l="1"/>
  <c r="B88" i="3"/>
  <c r="AP79" i="6" s="1"/>
  <c r="AQ81" i="6"/>
  <c r="A92" i="12" l="1"/>
  <c r="B89" i="3"/>
  <c r="AP80" i="6" s="1"/>
  <c r="AQ82" i="6"/>
  <c r="A93" i="12" l="1"/>
  <c r="B90" i="3"/>
  <c r="AP81" i="6" s="1"/>
  <c r="AQ83" i="6"/>
  <c r="A94" i="12" l="1"/>
  <c r="B91" i="3"/>
  <c r="AP82" i="6" s="1"/>
  <c r="AQ84" i="6"/>
  <c r="A95" i="12" l="1"/>
  <c r="B92" i="3"/>
  <c r="AP83" i="6" s="1"/>
  <c r="AQ85" i="6"/>
  <c r="A96" i="12" l="1"/>
  <c r="B93" i="3"/>
  <c r="AP84" i="6" s="1"/>
  <c r="AQ86" i="6"/>
  <c r="A97" i="12" l="1"/>
  <c r="B94" i="3"/>
  <c r="AP85" i="6" s="1"/>
  <c r="AQ87" i="6"/>
  <c r="A98" i="12" l="1"/>
  <c r="B95" i="3"/>
  <c r="AP86" i="6" s="1"/>
  <c r="AQ88" i="6"/>
  <c r="A99" i="12" l="1"/>
  <c r="B96" i="3"/>
  <c r="AP87" i="6" s="1"/>
  <c r="AQ89" i="6"/>
  <c r="A100" i="12" l="1"/>
  <c r="B97" i="3"/>
  <c r="AP88" i="6" s="1"/>
  <c r="AQ90" i="6"/>
  <c r="A101" i="12" l="1"/>
  <c r="B98" i="3"/>
  <c r="AP89" i="6" s="1"/>
  <c r="AQ91" i="6"/>
  <c r="A102" i="12" l="1"/>
  <c r="B99" i="3"/>
  <c r="AP90" i="6" s="1"/>
  <c r="AQ92" i="6"/>
  <c r="A103" i="12" l="1"/>
  <c r="B100" i="3"/>
  <c r="AP91" i="6" s="1"/>
  <c r="AQ93" i="6"/>
  <c r="A104" i="12" l="1"/>
  <c r="B101" i="3"/>
  <c r="AP92" i="6" s="1"/>
  <c r="AQ94" i="6"/>
  <c r="A105" i="12" l="1"/>
  <c r="B102" i="3"/>
  <c r="AP93" i="6" s="1"/>
  <c r="AQ95" i="6"/>
  <c r="A106" i="12" l="1"/>
  <c r="B103" i="3"/>
  <c r="AP94" i="6" s="1"/>
  <c r="AQ96" i="6"/>
  <c r="A107" i="12" l="1"/>
  <c r="B104" i="3"/>
  <c r="AP95" i="6" s="1"/>
  <c r="AQ97" i="6"/>
  <c r="A108" i="12" l="1"/>
  <c r="B105" i="3"/>
  <c r="AP96" i="6" s="1"/>
  <c r="AQ98" i="6"/>
  <c r="A109" i="12" l="1"/>
  <c r="B106" i="3"/>
  <c r="AP97" i="6" s="1"/>
  <c r="AQ99" i="6"/>
  <c r="A110" i="12" l="1"/>
  <c r="B107" i="3"/>
  <c r="AP98" i="6" s="1"/>
  <c r="AQ100" i="6"/>
  <c r="A111" i="12" l="1"/>
  <c r="B108" i="3"/>
  <c r="AP99" i="6" s="1"/>
  <c r="AQ101" i="6"/>
  <c r="A112" i="12" l="1"/>
  <c r="B109" i="3"/>
  <c r="AP100" i="6" s="1"/>
  <c r="AQ102" i="6"/>
  <c r="A113" i="12" l="1"/>
  <c r="B110" i="3"/>
  <c r="AP101" i="6" s="1"/>
  <c r="AQ103" i="6"/>
  <c r="A114" i="12" l="1"/>
  <c r="B111" i="3"/>
  <c r="AP102" i="6" s="1"/>
  <c r="B112" i="3"/>
  <c r="AQ104" i="6"/>
  <c r="A115" i="12" l="1"/>
  <c r="AP103" i="6"/>
  <c r="AQ105" i="6"/>
  <c r="A116" i="12" l="1"/>
  <c r="B113" i="3"/>
  <c r="AP104" i="6" s="1"/>
  <c r="AQ106" i="6"/>
  <c r="A117" i="12" l="1"/>
  <c r="B114" i="3"/>
  <c r="AP105" i="6" s="1"/>
  <c r="AQ107" i="6"/>
  <c r="A118" i="12" l="1"/>
  <c r="B115" i="3"/>
  <c r="AP106" i="6" s="1"/>
  <c r="AQ108" i="6"/>
  <c r="A119" i="12" l="1"/>
  <c r="B116" i="3"/>
  <c r="AP107" i="6" s="1"/>
  <c r="B117" i="3"/>
  <c r="AQ109" i="6"/>
  <c r="A120" i="12" l="1"/>
  <c r="AP108" i="6"/>
  <c r="AQ110" i="6"/>
  <c r="A121" i="12" l="1"/>
  <c r="B118" i="3"/>
  <c r="AP109" i="6" s="1"/>
  <c r="B119" i="3"/>
  <c r="AQ111" i="6"/>
  <c r="A123" i="12" l="1"/>
  <c r="B120" i="3"/>
  <c r="AP111" i="6" s="1"/>
  <c r="A122" i="12"/>
  <c r="AP110" i="6"/>
  <c r="AQ112" i="6"/>
  <c r="A124" i="12" l="1"/>
  <c r="B121" i="3"/>
  <c r="AP112" i="6" s="1"/>
  <c r="AQ113" i="6"/>
  <c r="A125" i="12" l="1"/>
  <c r="B122" i="3"/>
  <c r="AP113" i="6" s="1"/>
  <c r="AQ114" i="6"/>
  <c r="A126" i="12" l="1"/>
  <c r="B123" i="3"/>
  <c r="AP114" i="6" s="1"/>
  <c r="AQ115" i="6"/>
  <c r="A127" i="12" l="1"/>
  <c r="B124" i="3"/>
  <c r="AP115" i="6" s="1"/>
  <c r="AQ116" i="6"/>
  <c r="A128" i="12" l="1"/>
  <c r="B125" i="3"/>
  <c r="AP116" i="6" s="1"/>
  <c r="AQ117" i="6"/>
  <c r="A129" i="12" l="1"/>
  <c r="B126" i="3"/>
  <c r="AP117" i="6" s="1"/>
  <c r="AQ118" i="6"/>
  <c r="A130" i="12" l="1"/>
  <c r="B127" i="3"/>
  <c r="AP118" i="6" s="1"/>
  <c r="AQ119" i="6"/>
  <c r="A131" i="12" l="1"/>
  <c r="B128" i="3"/>
  <c r="AP119" i="6" s="1"/>
  <c r="AQ120" i="6"/>
  <c r="A132" i="12" l="1"/>
  <c r="B129" i="3"/>
  <c r="AP120" i="6" s="1"/>
  <c r="AQ121" i="6"/>
  <c r="A133" i="12" l="1"/>
  <c r="B130" i="3"/>
  <c r="AP121" i="6" s="1"/>
  <c r="AQ122" i="6"/>
  <c r="A134" i="12" l="1"/>
  <c r="B131" i="3"/>
  <c r="AP122" i="6" s="1"/>
  <c r="AQ123" i="6"/>
  <c r="A135" i="12" l="1"/>
  <c r="B132" i="3"/>
  <c r="AP123" i="6" s="1"/>
  <c r="AQ124" i="6"/>
  <c r="A136" i="12" l="1"/>
  <c r="B133" i="3"/>
  <c r="AP124" i="6" s="1"/>
  <c r="AQ125" i="6"/>
  <c r="A137" i="12" l="1"/>
  <c r="B134" i="3"/>
  <c r="AP125" i="6" s="1"/>
  <c r="AQ126" i="6"/>
  <c r="A138" i="12" l="1"/>
  <c r="B135" i="3"/>
  <c r="AP126" i="6" s="1"/>
  <c r="AQ127" i="6"/>
  <c r="A139" i="12" l="1"/>
  <c r="B136" i="3"/>
  <c r="AP127" i="6" s="1"/>
  <c r="AQ128" i="6"/>
  <c r="A140" i="12" l="1"/>
  <c r="B137" i="3"/>
  <c r="AP128" i="6" s="1"/>
  <c r="AQ129" i="6"/>
  <c r="A141" i="12" l="1"/>
  <c r="B138" i="3"/>
  <c r="AP129" i="6" s="1"/>
  <c r="AQ130" i="6"/>
  <c r="A142" i="12" l="1"/>
  <c r="B139" i="3"/>
  <c r="AP130" i="6" s="1"/>
  <c r="AQ131" i="6"/>
  <c r="A143" i="12" l="1"/>
  <c r="B140" i="3"/>
  <c r="AP131" i="6" s="1"/>
  <c r="AQ132" i="6"/>
  <c r="A144" i="12" l="1"/>
  <c r="B141" i="3"/>
  <c r="AP132" i="6" s="1"/>
  <c r="AQ133" i="6"/>
  <c r="A145" i="12" l="1"/>
  <c r="B142" i="3"/>
  <c r="AP133" i="6" s="1"/>
  <c r="AQ134" i="6"/>
  <c r="A146" i="12" l="1"/>
  <c r="B143" i="3"/>
  <c r="AP134" i="6" s="1"/>
  <c r="AQ135" i="6"/>
  <c r="A147" i="12" l="1"/>
  <c r="B144" i="3"/>
  <c r="AP135" i="6" s="1"/>
  <c r="AQ136" i="6"/>
  <c r="A148" i="12" l="1"/>
  <c r="B145" i="3"/>
  <c r="AP136" i="6" s="1"/>
  <c r="AQ137" i="6"/>
  <c r="A149" i="12" l="1"/>
  <c r="B146" i="3"/>
  <c r="AP137" i="6" s="1"/>
  <c r="AQ138" i="6"/>
  <c r="A150" i="12" l="1"/>
  <c r="B147" i="3"/>
  <c r="AP138" i="6" s="1"/>
  <c r="AQ139" i="6"/>
  <c r="A151" i="12" l="1"/>
  <c r="B148" i="3"/>
  <c r="AP139" i="6" s="1"/>
  <c r="AQ140" i="6"/>
  <c r="A152" i="12" l="1"/>
  <c r="B149" i="3"/>
  <c r="AP140" i="6" s="1"/>
  <c r="AQ141" i="6"/>
  <c r="A153" i="12" l="1"/>
  <c r="B150" i="3"/>
  <c r="AP141" i="6" s="1"/>
  <c r="AQ142" i="6"/>
  <c r="A154" i="12" l="1"/>
  <c r="B151" i="3"/>
  <c r="AP142" i="6" s="1"/>
  <c r="AQ143" i="6"/>
  <c r="A155" i="12" l="1"/>
  <c r="B152" i="3"/>
  <c r="AP143" i="6" s="1"/>
  <c r="AG2" i="12"/>
  <c r="AQ144" i="6"/>
  <c r="A156" i="12" l="1"/>
  <c r="B153" i="3"/>
  <c r="AP144" i="6" s="1"/>
  <c r="AQ145" i="6"/>
  <c r="A157" i="12" l="1"/>
  <c r="B154" i="3"/>
  <c r="AP145" i="6" s="1"/>
  <c r="AQ146" i="6"/>
  <c r="A158" i="12" l="1"/>
  <c r="B155" i="3"/>
  <c r="AP146" i="6" s="1"/>
  <c r="AQ147" i="6"/>
  <c r="A159" i="12" l="1"/>
  <c r="B156" i="3"/>
  <c r="AP147" i="6" s="1"/>
  <c r="AQ148" i="6"/>
  <c r="A160" i="12" l="1"/>
  <c r="B157" i="3"/>
  <c r="AP148" i="6" s="1"/>
  <c r="AQ149" i="6"/>
  <c r="A161" i="12" l="1"/>
  <c r="B158" i="3"/>
  <c r="AP149" i="6" s="1"/>
  <c r="AQ150" i="6"/>
  <c r="A162" i="12" l="1"/>
  <c r="B159" i="3"/>
  <c r="AP150" i="6" s="1"/>
  <c r="AQ151" i="6"/>
  <c r="A163" i="12" l="1"/>
  <c r="B160" i="3"/>
  <c r="AP151" i="6" s="1"/>
  <c r="AQ152" i="6"/>
  <c r="A164" i="12" l="1"/>
  <c r="B161" i="3"/>
  <c r="AP152" i="6" s="1"/>
  <c r="AQ153" i="6"/>
  <c r="AQ155" i="6" l="1"/>
  <c r="A165" i="12"/>
  <c r="B162" i="3"/>
  <c r="AP153" i="6" s="1"/>
  <c r="AQ154" i="6"/>
  <c r="A167" i="12" l="1"/>
  <c r="B164" i="3"/>
  <c r="AP155" i="6" s="1"/>
  <c r="A166" i="12"/>
  <c r="B163" i="3"/>
  <c r="AP154" i="6" s="1"/>
  <c r="A168" i="12" l="1"/>
  <c r="B165" i="3"/>
  <c r="AP156" i="6" s="1"/>
  <c r="AQ156" i="6"/>
  <c r="J120" i="32"/>
  <c r="B166" i="3" l="1"/>
  <c r="AP157" i="6" s="1"/>
  <c r="A169" i="12"/>
  <c r="AQ157" i="6"/>
  <c r="A170" i="12" l="1"/>
  <c r="B167" i="3"/>
  <c r="AP158" i="6" s="1"/>
  <c r="AQ158" i="6"/>
  <c r="A171" i="12" l="1"/>
  <c r="B168" i="3"/>
  <c r="AP159" i="6" s="1"/>
  <c r="AQ159" i="6"/>
  <c r="J119" i="32"/>
  <c r="A172" i="12" l="1"/>
  <c r="B169" i="3"/>
  <c r="AP160" i="6" s="1"/>
  <c r="AQ160" i="6"/>
  <c r="BK111" i="31"/>
  <c r="CI111" i="31"/>
  <c r="CC111" i="31"/>
  <c r="CH111" i="31"/>
  <c r="CE111" i="31"/>
  <c r="CD111" i="31"/>
  <c r="CF111" i="31"/>
  <c r="CG111" i="31"/>
  <c r="CJ111" i="31"/>
  <c r="CA111" i="31"/>
  <c r="DJ111" i="31"/>
  <c r="DK111" i="31" s="1"/>
  <c r="BY111" i="31"/>
  <c r="DE111" i="31"/>
  <c r="BO111" i="31"/>
  <c r="DD111" i="31"/>
  <c r="CK111" i="31"/>
  <c r="CW111" i="31"/>
  <c r="CT111" i="31"/>
  <c r="BT111" i="31"/>
  <c r="DI111" i="31"/>
  <c r="BQ111" i="31"/>
  <c r="DB111" i="31"/>
  <c r="BV111" i="31"/>
  <c r="CM111" i="31"/>
  <c r="CX111" i="31"/>
  <c r="CR111" i="31"/>
  <c r="BW111" i="31"/>
  <c r="CP111" i="31"/>
  <c r="CZ111" i="31"/>
  <c r="BN111" i="31"/>
  <c r="CQ111" i="31"/>
  <c r="CV111" i="31"/>
  <c r="CS111" i="31"/>
  <c r="BX111" i="31"/>
  <c r="BS111" i="31"/>
  <c r="DH111" i="31"/>
  <c r="CN111" i="31"/>
  <c r="CU111" i="31"/>
  <c r="BM111" i="31"/>
  <c r="CO111" i="31"/>
  <c r="CB111" i="31"/>
  <c r="BP111" i="31"/>
  <c r="DA111" i="31"/>
  <c r="DF111" i="31"/>
  <c r="CL111" i="31"/>
  <c r="DC111" i="31"/>
  <c r="BZ111" i="31"/>
  <c r="CY111" i="31"/>
  <c r="BU111" i="31"/>
  <c r="BR111" i="31"/>
  <c r="DG111" i="31"/>
  <c r="J66" i="17" l="1"/>
  <c r="J65" i="17"/>
  <c r="J60" i="17"/>
  <c r="J63" i="17"/>
  <c r="J64" i="17"/>
  <c r="J38" i="17"/>
  <c r="J51" i="17"/>
  <c r="J54" i="17"/>
  <c r="J26" i="17"/>
  <c r="J30" i="17"/>
  <c r="J58" i="17"/>
  <c r="J28" i="17"/>
  <c r="J37" i="17"/>
  <c r="J42" i="17"/>
  <c r="J18" i="17"/>
  <c r="J52" i="17"/>
  <c r="J55" i="17"/>
  <c r="J20" i="17"/>
  <c r="Q20" i="17" s="1"/>
  <c r="J57" i="17"/>
  <c r="J49" i="17"/>
  <c r="J33" i="17"/>
  <c r="Q33" i="17" s="1"/>
  <c r="J35" i="17"/>
  <c r="J44" i="17"/>
  <c r="J41" i="17"/>
  <c r="J39" i="17"/>
  <c r="J27" i="17"/>
  <c r="J31" i="17"/>
  <c r="J23" i="17"/>
  <c r="J59" i="17"/>
  <c r="J53" i="17"/>
  <c r="J21" i="17"/>
  <c r="J50" i="17"/>
  <c r="J24" i="17"/>
  <c r="J34" i="17"/>
  <c r="Q34" i="17" s="1"/>
  <c r="J47" i="17"/>
  <c r="J43" i="17"/>
  <c r="J32" i="17"/>
  <c r="J45" i="17"/>
  <c r="J29" i="17"/>
  <c r="J46" i="17"/>
  <c r="J22" i="17"/>
  <c r="J19" i="17"/>
  <c r="J36" i="17"/>
  <c r="J40" i="17"/>
  <c r="J17" i="17"/>
  <c r="J48" i="17"/>
  <c r="J25" i="17"/>
  <c r="J15" i="17"/>
  <c r="Q30" i="17"/>
  <c r="A173" i="12"/>
  <c r="B170" i="3"/>
  <c r="AP161" i="6" s="1"/>
  <c r="AQ161" i="6"/>
  <c r="BL111" i="31"/>
  <c r="J61" i="17" s="1"/>
  <c r="J67" i="17" l="1"/>
  <c r="J62" i="17"/>
  <c r="J56" i="17"/>
  <c r="J16" i="17"/>
  <c r="Q16" i="17" s="1"/>
  <c r="DL111" i="31"/>
  <c r="L28" i="17"/>
  <c r="L36" i="17"/>
  <c r="Q35" i="17"/>
  <c r="I217" i="32"/>
  <c r="B171" i="3"/>
  <c r="AP162" i="6" s="1"/>
  <c r="A174" i="12"/>
  <c r="AQ162" i="6"/>
  <c r="L17"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20" i="17"/>
  <c r="L34" i="17"/>
  <c r="L30" i="17"/>
  <c r="L33" i="17"/>
  <c r="Q28" i="17" l="1"/>
  <c r="Q36" i="17"/>
  <c r="L35" i="17"/>
  <c r="I216" i="32"/>
  <c r="A175" i="12"/>
  <c r="B172" i="3"/>
  <c r="AP163" i="6" s="1"/>
  <c r="AQ163" i="6"/>
  <c r="Q39" i="17"/>
  <c r="L16" i="17"/>
  <c r="Q17" i="17"/>
  <c r="L38" i="17"/>
  <c r="Q38" i="17"/>
  <c r="L15" i="17"/>
  <c r="Q15" i="17"/>
  <c r="I215" i="32" l="1"/>
  <c r="B173" i="3"/>
  <c r="AP164" i="6" s="1"/>
  <c r="A176" i="12"/>
  <c r="AQ164" i="6"/>
  <c r="Q40" i="17"/>
  <c r="L39" i="17"/>
  <c r="I214" i="32" l="1"/>
  <c r="B174" i="3"/>
  <c r="AP165" i="6" s="1"/>
  <c r="A177" i="12"/>
  <c r="AQ165" i="6"/>
  <c r="Q41" i="17"/>
  <c r="L40" i="17"/>
  <c r="I213" i="32" l="1"/>
  <c r="B175" i="3"/>
  <c r="AP166" i="6" s="1"/>
  <c r="A178" i="12"/>
  <c r="AQ166" i="6"/>
  <c r="Q42" i="17"/>
  <c r="L41" i="17"/>
  <c r="I212" i="32" l="1"/>
  <c r="A179" i="12"/>
  <c r="B176" i="3"/>
  <c r="AP167" i="6" s="1"/>
  <c r="AQ167" i="6"/>
  <c r="Q43" i="17"/>
  <c r="L42" i="17"/>
  <c r="I211" i="32" l="1"/>
  <c r="B177" i="3"/>
  <c r="AP168" i="6" s="1"/>
  <c r="A180" i="12"/>
  <c r="AQ168" i="6"/>
  <c r="Q44" i="17"/>
  <c r="L43" i="17"/>
  <c r="I210" i="32" l="1"/>
  <c r="A181" i="12"/>
  <c r="B178" i="3"/>
  <c r="AP169" i="6" s="1"/>
  <c r="AQ169" i="6"/>
  <c r="Q45" i="17"/>
  <c r="L44" i="17"/>
  <c r="I209" i="32" l="1"/>
  <c r="B179" i="3"/>
  <c r="AP170" i="6" s="1"/>
  <c r="A182" i="12"/>
  <c r="AQ170" i="6"/>
  <c r="Q46" i="17"/>
  <c r="L45" i="17"/>
  <c r="I208" i="32" l="1"/>
  <c r="A183" i="12"/>
  <c r="B180" i="3"/>
  <c r="AP171" i="6" s="1"/>
  <c r="AQ171" i="6"/>
  <c r="Q47" i="17"/>
  <c r="L46" i="17"/>
  <c r="I207" i="32" l="1"/>
  <c r="A184" i="12"/>
  <c r="B181" i="3"/>
  <c r="AP172" i="6" s="1"/>
  <c r="AQ172" i="6"/>
  <c r="Q48" i="17"/>
  <c r="L47" i="17"/>
  <c r="I206" i="32" l="1"/>
  <c r="B182" i="3"/>
  <c r="AP173" i="6" s="1"/>
  <c r="A185" i="12"/>
  <c r="AQ173" i="6"/>
  <c r="Q49" i="17"/>
  <c r="L48" i="17"/>
  <c r="I205" i="32" l="1"/>
  <c r="B183" i="3"/>
  <c r="AP174" i="6" s="1"/>
  <c r="A186" i="12"/>
  <c r="AQ174" i="6"/>
  <c r="Q50" i="17"/>
  <c r="L49" i="17"/>
  <c r="I204" i="32" l="1"/>
  <c r="A187" i="12"/>
  <c r="B184" i="3"/>
  <c r="AP175" i="6" s="1"/>
  <c r="AQ175" i="6"/>
  <c r="Q51" i="17"/>
  <c r="L50" i="17"/>
  <c r="I203" i="32" l="1"/>
  <c r="A188" i="12"/>
  <c r="B185" i="3"/>
  <c r="AP176" i="6" s="1"/>
  <c r="AQ176" i="6"/>
  <c r="Q52" i="17"/>
  <c r="L51" i="17"/>
  <c r="I202" i="32" l="1"/>
  <c r="B186" i="3"/>
  <c r="AP177" i="6" s="1"/>
  <c r="A189" i="12"/>
  <c r="AQ177" i="6"/>
  <c r="Q53" i="17"/>
  <c r="L52" i="17"/>
  <c r="I201" i="32" l="1"/>
  <c r="B187" i="3"/>
  <c r="AP178" i="6" s="1"/>
  <c r="A190" i="12"/>
  <c r="AQ178" i="6"/>
  <c r="Q54" i="17"/>
  <c r="L53" i="17"/>
  <c r="I200" i="32" l="1"/>
  <c r="A191" i="12"/>
  <c r="B188" i="3"/>
  <c r="AP179" i="6" s="1"/>
  <c r="AQ179" i="6"/>
  <c r="Q55" i="17"/>
  <c r="L54" i="17"/>
  <c r="I199" i="32" l="1"/>
  <c r="B189" i="3"/>
  <c r="AP180" i="6" s="1"/>
  <c r="A192" i="12"/>
  <c r="AQ180" i="6"/>
  <c r="Q56" i="17"/>
  <c r="L55" i="17"/>
  <c r="I198" i="32" l="1"/>
  <c r="A193" i="12"/>
  <c r="B190" i="3"/>
  <c r="AP181" i="6" s="1"/>
  <c r="AQ181" i="6"/>
  <c r="Q57" i="17"/>
  <c r="L56" i="17"/>
  <c r="I197" i="32" l="1"/>
  <c r="B191" i="3"/>
  <c r="AP182" i="6" s="1"/>
  <c r="A194" i="12"/>
  <c r="AQ182" i="6"/>
  <c r="Q58" i="17"/>
  <c r="L57" i="17"/>
  <c r="I196" i="32" l="1"/>
  <c r="B192" i="3"/>
  <c r="AP183" i="6" s="1"/>
  <c r="A195" i="12"/>
  <c r="AQ183" i="6"/>
  <c r="Q59" i="17"/>
  <c r="L58" i="17"/>
  <c r="I195" i="32" l="1"/>
  <c r="A196" i="12"/>
  <c r="B193" i="3"/>
  <c r="AP184" i="6" s="1"/>
  <c r="AQ184" i="6"/>
  <c r="Q60" i="17"/>
  <c r="L59" i="17"/>
  <c r="I194" i="32" l="1"/>
  <c r="A197" i="12"/>
  <c r="B194" i="3"/>
  <c r="AP185" i="6" s="1"/>
  <c r="AQ185" i="6"/>
  <c r="Q61" i="17"/>
  <c r="L60" i="17"/>
  <c r="I193" i="32" l="1"/>
  <c r="A198" i="12"/>
  <c r="B195" i="3"/>
  <c r="AP186" i="6" s="1"/>
  <c r="AQ186" i="6"/>
  <c r="Q62" i="17"/>
  <c r="L61" i="17"/>
  <c r="I192" i="32" l="1"/>
  <c r="A199" i="12"/>
  <c r="B196" i="3"/>
  <c r="AP187" i="6" s="1"/>
  <c r="AQ187" i="6"/>
  <c r="Q63" i="17"/>
  <c r="L62" i="17"/>
  <c r="I191" i="32" l="1"/>
  <c r="B197" i="3"/>
  <c r="AP188" i="6" s="1"/>
  <c r="A200" i="12"/>
  <c r="AQ188" i="6"/>
  <c r="Q64" i="17"/>
  <c r="L63" i="17"/>
  <c r="I190" i="32" l="1"/>
  <c r="A201" i="12"/>
  <c r="B198" i="3"/>
  <c r="AP189" i="6" s="1"/>
  <c r="AQ189" i="6"/>
  <c r="Q65" i="17"/>
  <c r="L64" i="17"/>
  <c r="I189" i="32" l="1"/>
  <c r="A202" i="12"/>
  <c r="B199" i="3"/>
  <c r="AP190" i="6" s="1"/>
  <c r="AQ190" i="6"/>
  <c r="L65" i="17"/>
  <c r="I188" i="32" l="1"/>
  <c r="L67" i="17"/>
  <c r="Q67" i="17"/>
  <c r="A203" i="12"/>
  <c r="B200" i="3"/>
  <c r="AP191" i="6" s="1"/>
  <c r="AQ191" i="6"/>
  <c r="Q66" i="17"/>
  <c r="J70" i="17"/>
  <c r="L66" i="17"/>
  <c r="L70" i="17" l="1"/>
  <c r="I187" i="32"/>
  <c r="A204" i="12"/>
  <c r="B201" i="3"/>
  <c r="AP192" i="6" s="1"/>
  <c r="AQ192" i="6"/>
  <c r="I186" i="32" l="1"/>
  <c r="B202" i="3"/>
  <c r="AP193" i="6" s="1"/>
  <c r="A205" i="12"/>
  <c r="AQ193" i="6"/>
  <c r="I185" i="32" l="1"/>
  <c r="A206" i="12"/>
  <c r="B203" i="3"/>
  <c r="AP194" i="6" s="1"/>
  <c r="AQ194" i="6"/>
  <c r="I184" i="32" l="1"/>
  <c r="B204" i="3"/>
  <c r="AP195" i="6" s="1"/>
  <c r="A207" i="12"/>
  <c r="AQ195" i="6"/>
  <c r="I183" i="32" l="1"/>
  <c r="A208" i="12"/>
  <c r="B205" i="3"/>
  <c r="AP196" i="6" s="1"/>
  <c r="AQ196" i="6"/>
  <c r="I31" i="36"/>
  <c r="I15" i="36"/>
  <c r="I14" i="36"/>
  <c r="I13" i="36"/>
  <c r="I6" i="36"/>
  <c r="I11" i="36"/>
  <c r="I10" i="36"/>
  <c r="I9" i="36"/>
  <c r="I8" i="36"/>
  <c r="I182" i="32" l="1"/>
  <c r="A209" i="12"/>
  <c r="B206" i="3"/>
  <c r="AP197" i="6" s="1"/>
  <c r="AQ197" i="6"/>
  <c r="I181" i="32" l="1"/>
  <c r="B207" i="3"/>
  <c r="AP198" i="6" s="1"/>
  <c r="A210" i="12"/>
  <c r="AQ198" i="6"/>
  <c r="A16" i="20"/>
  <c r="I180" i="32" l="1"/>
  <c r="BH9" i="31"/>
  <c r="BH17" i="31"/>
  <c r="G24" i="32" s="1"/>
  <c r="BH25" i="31"/>
  <c r="G32" i="32" s="1"/>
  <c r="BH33" i="31"/>
  <c r="G40" i="32" s="1"/>
  <c r="BH41" i="31"/>
  <c r="G48" i="32" s="1"/>
  <c r="BH49" i="31"/>
  <c r="BH57" i="31"/>
  <c r="BH65" i="31"/>
  <c r="G72" i="32" s="1"/>
  <c r="BH73" i="31"/>
  <c r="BH81" i="31"/>
  <c r="G88" i="32" s="1"/>
  <c r="BH89" i="31"/>
  <c r="G96" i="32" s="1"/>
  <c r="BH97" i="31"/>
  <c r="G104" i="32" s="1"/>
  <c r="BH18" i="31"/>
  <c r="G25" i="32" s="1"/>
  <c r="BH34" i="31"/>
  <c r="BH42" i="31"/>
  <c r="G49" i="32" s="1"/>
  <c r="BH58" i="31"/>
  <c r="G65" i="32" s="1"/>
  <c r="BH74" i="31"/>
  <c r="G81" i="32" s="1"/>
  <c r="BH90" i="31"/>
  <c r="G97" i="32" s="1"/>
  <c r="BH16" i="31"/>
  <c r="G23" i="32" s="1"/>
  <c r="BH40" i="31"/>
  <c r="G47" i="32" s="1"/>
  <c r="BH64" i="31"/>
  <c r="G71" i="32" s="1"/>
  <c r="BH80" i="31"/>
  <c r="BH10" i="31"/>
  <c r="BH26" i="31"/>
  <c r="G33" i="32" s="1"/>
  <c r="BH50" i="31"/>
  <c r="G57" i="32" s="1"/>
  <c r="BH66" i="31"/>
  <c r="G73" i="32" s="1"/>
  <c r="BH82" i="31"/>
  <c r="G89" i="32" s="1"/>
  <c r="BH98" i="31"/>
  <c r="G105" i="32" s="1"/>
  <c r="BH13" i="31"/>
  <c r="G20" i="32" s="1"/>
  <c r="BH21" i="31"/>
  <c r="BH29" i="31"/>
  <c r="G36" i="32" s="1"/>
  <c r="BH37" i="31"/>
  <c r="G44" i="32" s="1"/>
  <c r="BH45" i="31"/>
  <c r="G52" i="32" s="1"/>
  <c r="BH53" i="31"/>
  <c r="G60" i="32" s="1"/>
  <c r="BH61" i="31"/>
  <c r="G68" i="32" s="1"/>
  <c r="BH69" i="31"/>
  <c r="G76" i="32" s="1"/>
  <c r="BH77" i="31"/>
  <c r="G84" i="32" s="1"/>
  <c r="BH93" i="31"/>
  <c r="G100" i="32" s="1"/>
  <c r="BH101" i="31"/>
  <c r="BH11" i="31"/>
  <c r="G18" i="32" s="1"/>
  <c r="BH19" i="31"/>
  <c r="G26" i="32" s="1"/>
  <c r="BH27" i="31"/>
  <c r="G34" i="32" s="1"/>
  <c r="BH35" i="31"/>
  <c r="G42" i="32" s="1"/>
  <c r="BH43" i="31"/>
  <c r="G50" i="32" s="1"/>
  <c r="BH51" i="31"/>
  <c r="G58" i="32" s="1"/>
  <c r="BH59" i="31"/>
  <c r="BH67" i="31"/>
  <c r="BH75" i="31"/>
  <c r="G82" i="32" s="1"/>
  <c r="BH83" i="31"/>
  <c r="G90" i="32" s="1"/>
  <c r="BH91" i="31"/>
  <c r="G98" i="32" s="1"/>
  <c r="BH99" i="31"/>
  <c r="G106" i="32" s="1"/>
  <c r="BH85" i="31"/>
  <c r="G92" i="32" s="1"/>
  <c r="BH104" i="31"/>
  <c r="G111" i="32" s="1"/>
  <c r="BH12" i="31"/>
  <c r="G19" i="32" s="1"/>
  <c r="BH20" i="31"/>
  <c r="BH28" i="31"/>
  <c r="G35" i="32" s="1"/>
  <c r="BH36" i="31"/>
  <c r="G43" i="32" s="1"/>
  <c r="BH44" i="31"/>
  <c r="G51" i="32" s="1"/>
  <c r="BH52" i="31"/>
  <c r="G59" i="32" s="1"/>
  <c r="BH60" i="31"/>
  <c r="G67" i="32" s="1"/>
  <c r="BH68" i="31"/>
  <c r="G75" i="32" s="1"/>
  <c r="BH76" i="31"/>
  <c r="BH84" i="31"/>
  <c r="BH92" i="31"/>
  <c r="G99" i="32" s="1"/>
  <c r="BH100" i="31"/>
  <c r="G107" i="32" s="1"/>
  <c r="BH24" i="31"/>
  <c r="G31" i="32" s="1"/>
  <c r="BH48" i="31"/>
  <c r="G55" i="32" s="1"/>
  <c r="BH72" i="31"/>
  <c r="G79" i="32" s="1"/>
  <c r="BH88" i="31"/>
  <c r="G95" i="32" s="1"/>
  <c r="BH14" i="31"/>
  <c r="G21" i="32" s="1"/>
  <c r="BH22" i="31"/>
  <c r="BH30" i="31"/>
  <c r="G37" i="32" s="1"/>
  <c r="BH38" i="31"/>
  <c r="G45" i="32" s="1"/>
  <c r="BH46" i="31"/>
  <c r="G53" i="32" s="1"/>
  <c r="BH54" i="31"/>
  <c r="G61" i="32" s="1"/>
  <c r="BH62" i="31"/>
  <c r="G69" i="32" s="1"/>
  <c r="BH70" i="31"/>
  <c r="G77" i="32" s="1"/>
  <c r="BH78" i="31"/>
  <c r="BH86" i="31"/>
  <c r="BH94" i="31"/>
  <c r="G101" i="32" s="1"/>
  <c r="BH102" i="31"/>
  <c r="G109" i="32" s="1"/>
  <c r="BH15" i="31"/>
  <c r="G22" i="32" s="1"/>
  <c r="BH31" i="31"/>
  <c r="G38" i="32" s="1"/>
  <c r="BH39" i="31"/>
  <c r="G46" i="32" s="1"/>
  <c r="BH55" i="31"/>
  <c r="G62" i="32" s="1"/>
  <c r="BH71" i="31"/>
  <c r="G78" i="32" s="1"/>
  <c r="BH87" i="31"/>
  <c r="BH103" i="31"/>
  <c r="G110" i="32" s="1"/>
  <c r="BH32" i="31"/>
  <c r="G39" i="32" s="1"/>
  <c r="BH56" i="31"/>
  <c r="G63" i="32" s="1"/>
  <c r="BH96" i="31"/>
  <c r="G103" i="32" s="1"/>
  <c r="BH23" i="31"/>
  <c r="G30" i="32" s="1"/>
  <c r="BH47" i="31"/>
  <c r="G54" i="32" s="1"/>
  <c r="BH63" i="31"/>
  <c r="BH79" i="31"/>
  <c r="BH95" i="31"/>
  <c r="G102" i="32" s="1"/>
  <c r="BH5" i="31"/>
  <c r="BH6" i="31"/>
  <c r="BH7" i="31"/>
  <c r="BH8" i="31"/>
  <c r="A211" i="12"/>
  <c r="B208" i="3"/>
  <c r="AP199" i="6" s="1"/>
  <c r="AQ199" i="6"/>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80" i="32"/>
  <c r="H22" i="20"/>
  <c r="H26" i="20"/>
  <c r="F87" i="32"/>
  <c r="F96" i="32"/>
  <c r="F78" i="32"/>
  <c r="F103" i="32"/>
  <c r="F86" i="32"/>
  <c r="F39" i="32"/>
  <c r="F41" i="32"/>
  <c r="F35" i="32"/>
  <c r="F97" i="32"/>
  <c r="F67" i="32"/>
  <c r="F27" i="32"/>
  <c r="F84" i="32"/>
  <c r="H24" i="20"/>
  <c r="H29" i="20"/>
  <c r="DM17" i="31" s="1"/>
  <c r="H33" i="20"/>
  <c r="DM21" i="31" s="1"/>
  <c r="H37" i="20"/>
  <c r="DM25" i="31" s="1"/>
  <c r="H41" i="20"/>
  <c r="H47" i="20"/>
  <c r="DM35" i="31" s="1"/>
  <c r="H50" i="20"/>
  <c r="H53" i="20"/>
  <c r="H56" i="20"/>
  <c r="H59" i="20"/>
  <c r="H62" i="20"/>
  <c r="H68" i="20"/>
  <c r="H73" i="20"/>
  <c r="DM61" i="31" s="1"/>
  <c r="H79" i="20"/>
  <c r="DM67" i="31" s="1"/>
  <c r="H82" i="20"/>
  <c r="H85" i="20"/>
  <c r="H88" i="20"/>
  <c r="H91" i="20"/>
  <c r="H94" i="20"/>
  <c r="H100" i="20"/>
  <c r="H105" i="20"/>
  <c r="DM93" i="31" s="1"/>
  <c r="H111" i="20"/>
  <c r="DM99" i="31" s="1"/>
  <c r="H114" i="20"/>
  <c r="F12" i="32"/>
  <c r="F16" i="32"/>
  <c r="F14" i="32"/>
  <c r="F95" i="32"/>
  <c r="F58" i="32"/>
  <c r="F108" i="32"/>
  <c r="F60" i="32"/>
  <c r="F55" i="32"/>
  <c r="F102" i="32"/>
  <c r="F26" i="32"/>
  <c r="F81" i="32"/>
  <c r="F90" i="32"/>
  <c r="F64" i="32"/>
  <c r="F36" i="32"/>
  <c r="F110" i="32"/>
  <c r="F24" i="32"/>
  <c r="H25" i="20"/>
  <c r="H30" i="20"/>
  <c r="H34" i="20"/>
  <c r="H38" i="20"/>
  <c r="H42" i="20"/>
  <c r="DM30" i="31" s="1"/>
  <c r="H45" i="20"/>
  <c r="DM33" i="31" s="1"/>
  <c r="H48" i="20"/>
  <c r="DM36" i="31" s="1"/>
  <c r="H51" i="20"/>
  <c r="DM39" i="31" s="1"/>
  <c r="H54" i="20"/>
  <c r="H60" i="20"/>
  <c r="H65" i="20"/>
  <c r="DM53" i="31" s="1"/>
  <c r="H71" i="20"/>
  <c r="DM59" i="31" s="1"/>
  <c r="H74" i="20"/>
  <c r="DM62" i="31" s="1"/>
  <c r="H77" i="20"/>
  <c r="H80" i="20"/>
  <c r="DM68" i="31" s="1"/>
  <c r="H83" i="20"/>
  <c r="H86" i="20"/>
  <c r="H92" i="20"/>
  <c r="H97" i="20"/>
  <c r="DM85" i="31" s="1"/>
  <c r="H103" i="20"/>
  <c r="DM91" i="31" s="1"/>
  <c r="H106" i="20"/>
  <c r="DM94" i="31" s="1"/>
  <c r="H109" i="20"/>
  <c r="DM97" i="31" s="1"/>
  <c r="H112" i="20"/>
  <c r="DM100" i="31" s="1"/>
  <c r="H115" i="20"/>
  <c r="F15" i="32"/>
  <c r="F99" i="32"/>
  <c r="F80" i="32"/>
  <c r="F56" i="32"/>
  <c r="F51" i="32"/>
  <c r="F30" i="32"/>
  <c r="F94" i="32"/>
  <c r="F21" i="32"/>
  <c r="F59" i="32"/>
  <c r="F52" i="32"/>
  <c r="F25" i="32"/>
  <c r="F91" i="32"/>
  <c r="F43" i="32"/>
  <c r="H23" i="20"/>
  <c r="H28" i="20"/>
  <c r="H32" i="20"/>
  <c r="H36" i="20"/>
  <c r="DM24" i="31" s="1"/>
  <c r="H40" i="20"/>
  <c r="DM28" i="31" s="1"/>
  <c r="H44" i="20"/>
  <c r="H49" i="20"/>
  <c r="H55" i="20"/>
  <c r="H58" i="20"/>
  <c r="DM46" i="31" s="1"/>
  <c r="H61" i="20"/>
  <c r="H64" i="20"/>
  <c r="H67" i="20"/>
  <c r="H70" i="20"/>
  <c r="H76" i="20"/>
  <c r="H81" i="20"/>
  <c r="DM69" i="31" s="1"/>
  <c r="H87" i="20"/>
  <c r="H90" i="20"/>
  <c r="DM78" i="31" s="1"/>
  <c r="H93" i="20"/>
  <c r="H96" i="20"/>
  <c r="H99" i="20"/>
  <c r="H102" i="20"/>
  <c r="H108" i="20"/>
  <c r="H113" i="20"/>
  <c r="F13" i="32"/>
  <c r="F17" i="32"/>
  <c r="H89" i="20"/>
  <c r="H27" i="20"/>
  <c r="F54" i="32"/>
  <c r="H107" i="20"/>
  <c r="DM95" i="31" s="1"/>
  <c r="H95" i="20"/>
  <c r="DM83" i="31" s="1"/>
  <c r="H84" i="20"/>
  <c r="DM72" i="31" s="1"/>
  <c r="H72" i="20"/>
  <c r="H35" i="20"/>
  <c r="F23" i="32"/>
  <c r="F46" i="32"/>
  <c r="F65" i="32"/>
  <c r="H116" i="20"/>
  <c r="DM104" i="31" s="1"/>
  <c r="H69" i="20"/>
  <c r="DM57" i="31" s="1"/>
  <c r="H46" i="20"/>
  <c r="DM34" i="31" s="1"/>
  <c r="F85" i="32"/>
  <c r="F18" i="32"/>
  <c r="H78" i="20"/>
  <c r="DM66" i="31" s="1"/>
  <c r="H43" i="20"/>
  <c r="F53" i="32"/>
  <c r="F20" i="32"/>
  <c r="H104" i="20"/>
  <c r="H57" i="20"/>
  <c r="H31" i="20"/>
  <c r="F83" i="32"/>
  <c r="F57" i="32"/>
  <c r="H101" i="20"/>
  <c r="DM89" i="31" s="1"/>
  <c r="H66" i="20"/>
  <c r="F92" i="32"/>
  <c r="F19" i="32"/>
  <c r="H110" i="20"/>
  <c r="DM98" i="31" s="1"/>
  <c r="H98" i="20"/>
  <c r="H75" i="20"/>
  <c r="DM63" i="31" s="1"/>
  <c r="H63" i="20"/>
  <c r="DM51" i="31" s="1"/>
  <c r="H52" i="20"/>
  <c r="DM40" i="31" s="1"/>
  <c r="H39" i="20"/>
  <c r="F47" i="32"/>
  <c r="F75" i="32"/>
  <c r="F74" i="32"/>
  <c r="F34" i="32"/>
  <c r="H17" i="20"/>
  <c r="H18" i="20"/>
  <c r="DM6" i="31" s="1"/>
  <c r="H19" i="20"/>
  <c r="DM7" i="31" s="1"/>
  <c r="H20" i="20"/>
  <c r="DM8" i="31" s="1"/>
  <c r="H21" i="20"/>
  <c r="DM5" i="31" l="1"/>
  <c r="H15" i="20"/>
  <c r="I15" i="20" s="1"/>
  <c r="BI76" i="31"/>
  <c r="CJ76" i="31" s="1"/>
  <c r="BI63" i="31"/>
  <c r="DI63" i="31" s="1"/>
  <c r="BI78" i="31"/>
  <c r="CV78" i="31" s="1"/>
  <c r="BI59" i="31"/>
  <c r="CK59" i="31" s="1"/>
  <c r="BI80" i="31"/>
  <c r="CJ80" i="31" s="1"/>
  <c r="H41" i="32"/>
  <c r="H64" i="32"/>
  <c r="H32" i="32"/>
  <c r="H73" i="32"/>
  <c r="H69" i="32"/>
  <c r="H60" i="32"/>
  <c r="BI79" i="31"/>
  <c r="DE79" i="31" s="1"/>
  <c r="BI87" i="31"/>
  <c r="BU87" i="31" s="1"/>
  <c r="BI86" i="31"/>
  <c r="BS86" i="31" s="1"/>
  <c r="BI84" i="31"/>
  <c r="CR84" i="31" s="1"/>
  <c r="BI67" i="31"/>
  <c r="CO67" i="31" s="1"/>
  <c r="BI101" i="31"/>
  <c r="CW101" i="31" s="1"/>
  <c r="BI57" i="31"/>
  <c r="CW57" i="31" s="1"/>
  <c r="BI49" i="31"/>
  <c r="DG49" i="31" s="1"/>
  <c r="H37" i="32"/>
  <c r="H111" i="32"/>
  <c r="H70" i="32"/>
  <c r="H107" i="32"/>
  <c r="H98" i="32"/>
  <c r="H58" i="32"/>
  <c r="H79" i="32"/>
  <c r="H105" i="32"/>
  <c r="H96" i="32"/>
  <c r="H75" i="32"/>
  <c r="H101" i="32"/>
  <c r="H92" i="32"/>
  <c r="H47" i="32"/>
  <c r="H43" i="32"/>
  <c r="H28" i="32"/>
  <c r="BI21" i="31"/>
  <c r="DD21" i="31" s="1"/>
  <c r="BI22" i="31"/>
  <c r="CH22" i="31" s="1"/>
  <c r="BI20" i="31"/>
  <c r="CT20" i="31" s="1"/>
  <c r="H26" i="32"/>
  <c r="DM19" i="31"/>
  <c r="H82" i="32"/>
  <c r="DM75" i="31"/>
  <c r="H63" i="32"/>
  <c r="DM56" i="31"/>
  <c r="H52" i="32"/>
  <c r="DM45" i="31"/>
  <c r="I113" i="20"/>
  <c r="DM101" i="31"/>
  <c r="I49" i="20"/>
  <c r="DM37" i="31"/>
  <c r="H33" i="32"/>
  <c r="DM26" i="31"/>
  <c r="H89" i="32"/>
  <c r="DM82" i="31"/>
  <c r="H57" i="32"/>
  <c r="DM50" i="31"/>
  <c r="H17" i="32"/>
  <c r="DM10" i="31"/>
  <c r="H23" i="32"/>
  <c r="DM16" i="31"/>
  <c r="H18" i="32"/>
  <c r="DM11" i="31"/>
  <c r="H39" i="32"/>
  <c r="DM32" i="31"/>
  <c r="H29" i="32"/>
  <c r="DM22" i="31"/>
  <c r="H86" i="32"/>
  <c r="DM79" i="31"/>
  <c r="H54" i="32"/>
  <c r="DM47" i="31"/>
  <c r="H88" i="32"/>
  <c r="DM81" i="31"/>
  <c r="H99" i="32"/>
  <c r="DM92" i="31"/>
  <c r="H71" i="32"/>
  <c r="DM64" i="31"/>
  <c r="H97" i="32"/>
  <c r="DM90" i="31"/>
  <c r="H65" i="32"/>
  <c r="DM58" i="31"/>
  <c r="H87" i="32"/>
  <c r="DM80" i="31"/>
  <c r="H55" i="32"/>
  <c r="DM48" i="31"/>
  <c r="H25" i="32"/>
  <c r="DM18" i="31"/>
  <c r="H83" i="32"/>
  <c r="DM76" i="31"/>
  <c r="H51" i="32"/>
  <c r="DM44" i="31"/>
  <c r="H19" i="32"/>
  <c r="DM12" i="31"/>
  <c r="H56" i="32"/>
  <c r="DM49" i="31"/>
  <c r="I77" i="20"/>
  <c r="DM65" i="31"/>
  <c r="H93" i="32"/>
  <c r="DM86" i="31"/>
  <c r="H67" i="32"/>
  <c r="DM60" i="31"/>
  <c r="H50" i="32"/>
  <c r="DM43" i="31"/>
  <c r="H95" i="32"/>
  <c r="DM88" i="31"/>
  <c r="H21" i="32"/>
  <c r="DM14" i="31"/>
  <c r="H103" i="32"/>
  <c r="DM96" i="31"/>
  <c r="H16" i="32"/>
  <c r="DM9" i="31"/>
  <c r="H34" i="32"/>
  <c r="DM27" i="31"/>
  <c r="H61" i="32"/>
  <c r="DM54" i="31"/>
  <c r="H94" i="32"/>
  <c r="DM87" i="31"/>
  <c r="H62" i="32"/>
  <c r="DM55" i="31"/>
  <c r="H81" i="32"/>
  <c r="DM74" i="31"/>
  <c r="H49" i="32"/>
  <c r="DM42" i="31"/>
  <c r="H20" i="32"/>
  <c r="DM13" i="31"/>
  <c r="H80" i="32"/>
  <c r="DM73" i="31"/>
  <c r="H48" i="32"/>
  <c r="DM41" i="31"/>
  <c r="H84" i="32"/>
  <c r="DM77" i="31"/>
  <c r="I43" i="20"/>
  <c r="DM31" i="31"/>
  <c r="H22" i="32"/>
  <c r="DM15" i="31"/>
  <c r="H91" i="32"/>
  <c r="DM84" i="31"/>
  <c r="H59" i="32"/>
  <c r="DM52" i="31"/>
  <c r="H27" i="32"/>
  <c r="DM20" i="31"/>
  <c r="H110" i="32"/>
  <c r="DM103" i="31"/>
  <c r="H78" i="32"/>
  <c r="DM71" i="31"/>
  <c r="H109" i="32"/>
  <c r="DM102" i="31"/>
  <c r="H77" i="32"/>
  <c r="DM70" i="31"/>
  <c r="H45" i="32"/>
  <c r="DM38" i="31"/>
  <c r="H30" i="32"/>
  <c r="DM23" i="31"/>
  <c r="H36" i="32"/>
  <c r="DM29" i="31"/>
  <c r="I179" i="32"/>
  <c r="BX57" i="31"/>
  <c r="G70" i="32"/>
  <c r="J70" i="32" s="1"/>
  <c r="G64" i="32"/>
  <c r="J64" i="32" s="1"/>
  <c r="G94" i="32"/>
  <c r="J94" i="32" s="1"/>
  <c r="BI34" i="31"/>
  <c r="F153" i="24" s="1"/>
  <c r="H106" i="32"/>
  <c r="BI47" i="31"/>
  <c r="BI55" i="31"/>
  <c r="F174" i="24" s="1"/>
  <c r="BI70" i="31"/>
  <c r="BI88" i="31"/>
  <c r="F207" i="24" s="1"/>
  <c r="BI68" i="31"/>
  <c r="BI104" i="31"/>
  <c r="F223" i="24" s="1"/>
  <c r="BI51" i="31"/>
  <c r="BI77" i="31"/>
  <c r="F196" i="24" s="1"/>
  <c r="BI64" i="31"/>
  <c r="BI41" i="31"/>
  <c r="BI93" i="31"/>
  <c r="G28" i="32"/>
  <c r="J28" i="32" s="1"/>
  <c r="G66" i="32"/>
  <c r="J66" i="32" s="1"/>
  <c r="G108" i="32"/>
  <c r="J108" i="32" s="1"/>
  <c r="H74" i="32"/>
  <c r="H42" i="32"/>
  <c r="H35" i="32"/>
  <c r="BI23" i="31"/>
  <c r="BI39" i="31"/>
  <c r="BI62" i="31"/>
  <c r="BI72" i="31"/>
  <c r="BI60" i="31"/>
  <c r="F179" i="24" s="1"/>
  <c r="BI85" i="31"/>
  <c r="F204" i="24" s="1"/>
  <c r="BI43" i="31"/>
  <c r="F162" i="24" s="1"/>
  <c r="BI69" i="31"/>
  <c r="BI98" i="31"/>
  <c r="BI40" i="31"/>
  <c r="BI97" i="31"/>
  <c r="BI33" i="31"/>
  <c r="G85" i="32"/>
  <c r="J85" i="32" s="1"/>
  <c r="G29" i="32"/>
  <c r="J29" i="32" s="1"/>
  <c r="G86" i="32"/>
  <c r="J86" i="32" s="1"/>
  <c r="G87" i="32"/>
  <c r="J87" i="32" s="1"/>
  <c r="H31" i="32"/>
  <c r="BI96" i="31"/>
  <c r="BI31" i="31"/>
  <c r="BI54" i="31"/>
  <c r="BI48" i="31"/>
  <c r="F167" i="24" s="1"/>
  <c r="BI52" i="31"/>
  <c r="BI99" i="31"/>
  <c r="F218" i="24" s="1"/>
  <c r="BI35" i="31"/>
  <c r="F154" i="24" s="1"/>
  <c r="BI61" i="31"/>
  <c r="BI82" i="31"/>
  <c r="BI89" i="31"/>
  <c r="BI25" i="31"/>
  <c r="G41" i="32"/>
  <c r="J41" i="32" s="1"/>
  <c r="G56" i="32"/>
  <c r="J56" i="32" s="1"/>
  <c r="H46" i="32"/>
  <c r="H85" i="32"/>
  <c r="H53" i="32"/>
  <c r="H102" i="32"/>
  <c r="H108" i="32"/>
  <c r="H76" i="32"/>
  <c r="H44" i="32"/>
  <c r="H66" i="32"/>
  <c r="BI56" i="31"/>
  <c r="F175" i="24" s="1"/>
  <c r="BI46" i="31"/>
  <c r="BI24" i="31"/>
  <c r="BI44" i="31"/>
  <c r="BI91" i="31"/>
  <c r="BI27" i="31"/>
  <c r="BI53" i="31"/>
  <c r="F172" i="24" s="1"/>
  <c r="BI66" i="31"/>
  <c r="BI90" i="31"/>
  <c r="F209" i="24" s="1"/>
  <c r="BI81" i="31"/>
  <c r="F200" i="24" s="1"/>
  <c r="BI29" i="31"/>
  <c r="BI71" i="31"/>
  <c r="G93" i="32"/>
  <c r="J93" i="32" s="1"/>
  <c r="G83" i="32"/>
  <c r="J83" i="32" s="1"/>
  <c r="G74" i="32"/>
  <c r="J74" i="32" s="1"/>
  <c r="H90" i="32"/>
  <c r="H104" i="32"/>
  <c r="H72" i="32"/>
  <c r="H40" i="32"/>
  <c r="BI32" i="31"/>
  <c r="BI102" i="31"/>
  <c r="BI38" i="31"/>
  <c r="BI100" i="31"/>
  <c r="F219" i="24" s="1"/>
  <c r="BI36" i="31"/>
  <c r="F155" i="24" s="1"/>
  <c r="BI83" i="31"/>
  <c r="F202" i="24" s="1"/>
  <c r="BI45" i="31"/>
  <c r="F164" i="24" s="1"/>
  <c r="BI50" i="31"/>
  <c r="F169" i="24" s="1"/>
  <c r="BI74" i="31"/>
  <c r="BI73" i="31"/>
  <c r="BI42" i="31"/>
  <c r="G91" i="32"/>
  <c r="J91" i="32" s="1"/>
  <c r="H100" i="32"/>
  <c r="H68" i="32"/>
  <c r="H38" i="32"/>
  <c r="BI95" i="31"/>
  <c r="BI103" i="31"/>
  <c r="BI94" i="31"/>
  <c r="BI30" i="31"/>
  <c r="BI92" i="31"/>
  <c r="F211" i="24" s="1"/>
  <c r="BI28" i="31"/>
  <c r="F147" i="24" s="1"/>
  <c r="BI75" i="31"/>
  <c r="F194" i="24" s="1"/>
  <c r="BI37" i="31"/>
  <c r="BI26" i="31"/>
  <c r="F145" i="24" s="1"/>
  <c r="BI58" i="31"/>
  <c r="BI65" i="31"/>
  <c r="J109" i="32"/>
  <c r="I51" i="20"/>
  <c r="J101" i="32"/>
  <c r="I37" i="20"/>
  <c r="BI14" i="31"/>
  <c r="BI18" i="31"/>
  <c r="G27" i="32"/>
  <c r="J27" i="32" s="1"/>
  <c r="H24" i="32"/>
  <c r="BI17" i="31"/>
  <c r="I33" i="20"/>
  <c r="BI19" i="31"/>
  <c r="BI10" i="31"/>
  <c r="BI13" i="31"/>
  <c r="J99" i="32"/>
  <c r="I81" i="20"/>
  <c r="BI16" i="31"/>
  <c r="BI15" i="31"/>
  <c r="J60" i="32"/>
  <c r="F182" i="24"/>
  <c r="BI12" i="31"/>
  <c r="J51" i="32"/>
  <c r="I36" i="20"/>
  <c r="I71" i="20"/>
  <c r="I75" i="20"/>
  <c r="BI9" i="31"/>
  <c r="BI11" i="31"/>
  <c r="B209" i="3"/>
  <c r="AP200" i="6" s="1"/>
  <c r="A212" i="12"/>
  <c r="AQ200" i="6"/>
  <c r="BI8" i="31"/>
  <c r="BI7" i="31"/>
  <c r="BI6" i="31"/>
  <c r="BI5" i="31"/>
  <c r="J75" i="32"/>
  <c r="H15" i="32"/>
  <c r="H14" i="32"/>
  <c r="H13" i="32"/>
  <c r="J97" i="32"/>
  <c r="I45" i="20"/>
  <c r="I109" i="20"/>
  <c r="I79" i="20"/>
  <c r="I111" i="20"/>
  <c r="J32" i="32"/>
  <c r="J100" i="32"/>
  <c r="J90" i="32"/>
  <c r="J22" i="32"/>
  <c r="I90" i="20"/>
  <c r="J40" i="32"/>
  <c r="I40" i="20"/>
  <c r="I105" i="20"/>
  <c r="I63" i="20"/>
  <c r="J38" i="32"/>
  <c r="J37" i="32"/>
  <c r="J104" i="32"/>
  <c r="J77" i="32"/>
  <c r="J68" i="32"/>
  <c r="J50" i="32"/>
  <c r="J31" i="32"/>
  <c r="J69" i="32"/>
  <c r="J53" i="32"/>
  <c r="J46" i="32"/>
  <c r="G16" i="32"/>
  <c r="J16" i="32" s="1"/>
  <c r="J59" i="32"/>
  <c r="J21" i="32"/>
  <c r="J44" i="32"/>
  <c r="J63" i="32"/>
  <c r="J88" i="32"/>
  <c r="J73" i="32"/>
  <c r="J71" i="32"/>
  <c r="J98" i="32"/>
  <c r="J107" i="32"/>
  <c r="J58" i="32"/>
  <c r="I95" i="20"/>
  <c r="G17" i="32"/>
  <c r="J17" i="32" s="1"/>
  <c r="J47" i="32"/>
  <c r="J92" i="32"/>
  <c r="J57" i="32"/>
  <c r="J54" i="32"/>
  <c r="J80" i="32"/>
  <c r="J34" i="32"/>
  <c r="J65" i="32"/>
  <c r="J52" i="32"/>
  <c r="J30" i="32"/>
  <c r="J84" i="32"/>
  <c r="J23" i="32"/>
  <c r="J24" i="32"/>
  <c r="J20" i="32"/>
  <c r="J110" i="32"/>
  <c r="J81" i="32"/>
  <c r="J102" i="32"/>
  <c r="J55" i="32"/>
  <c r="J42" i="32"/>
  <c r="J25" i="32"/>
  <c r="I107" i="20"/>
  <c r="I29" i="20"/>
  <c r="I47" i="20"/>
  <c r="J95" i="32"/>
  <c r="J18" i="32"/>
  <c r="J36" i="32"/>
  <c r="J26" i="32"/>
  <c r="J61" i="32"/>
  <c r="J82" i="32"/>
  <c r="J89" i="32"/>
  <c r="J106" i="32"/>
  <c r="J48" i="32"/>
  <c r="J76" i="32"/>
  <c r="J62" i="32"/>
  <c r="J43" i="32"/>
  <c r="J67" i="32"/>
  <c r="J35" i="32"/>
  <c r="J39" i="32"/>
  <c r="J103" i="32"/>
  <c r="J78" i="32"/>
  <c r="J96" i="32"/>
  <c r="J105" i="32"/>
  <c r="J33" i="32"/>
  <c r="J111" i="32"/>
  <c r="J79" i="32"/>
  <c r="J72" i="32"/>
  <c r="J45" i="32"/>
  <c r="J49" i="32"/>
  <c r="I98" i="20"/>
  <c r="I27" i="20"/>
  <c r="I102" i="20"/>
  <c r="I86" i="20"/>
  <c r="I54" i="20"/>
  <c r="I56" i="20"/>
  <c r="I104" i="20"/>
  <c r="I46" i="20"/>
  <c r="I35" i="20"/>
  <c r="I108" i="20"/>
  <c r="I93" i="20"/>
  <c r="I76" i="20"/>
  <c r="I61" i="20"/>
  <c r="I44" i="20"/>
  <c r="I28" i="20"/>
  <c r="I92" i="20"/>
  <c r="I60" i="20"/>
  <c r="I30" i="20"/>
  <c r="I91" i="20"/>
  <c r="I59" i="20"/>
  <c r="I22" i="20"/>
  <c r="I39" i="20"/>
  <c r="I66" i="20"/>
  <c r="I72" i="20"/>
  <c r="I42" i="20"/>
  <c r="I88" i="20"/>
  <c r="I41" i="20"/>
  <c r="I74" i="20"/>
  <c r="I52" i="20"/>
  <c r="I110" i="20"/>
  <c r="I101" i="20"/>
  <c r="I31" i="20"/>
  <c r="I116" i="20"/>
  <c r="I84" i="20"/>
  <c r="I89" i="20"/>
  <c r="I99" i="20"/>
  <c r="I87" i="20"/>
  <c r="I67" i="20"/>
  <c r="I55" i="20"/>
  <c r="J19" i="32"/>
  <c r="I115" i="20"/>
  <c r="I103" i="20"/>
  <c r="I83" i="20"/>
  <c r="I38" i="20"/>
  <c r="I100" i="20"/>
  <c r="I85" i="20"/>
  <c r="I68" i="20"/>
  <c r="I53" i="20"/>
  <c r="I78" i="20"/>
  <c r="I69" i="20"/>
  <c r="I70" i="20"/>
  <c r="I23" i="20"/>
  <c r="I25" i="20"/>
  <c r="I24" i="20"/>
  <c r="I73" i="20"/>
  <c r="I58" i="20"/>
  <c r="I106" i="20"/>
  <c r="I57" i="20"/>
  <c r="I96" i="20"/>
  <c r="I64" i="20"/>
  <c r="I32" i="20"/>
  <c r="I112" i="20"/>
  <c r="I97" i="20"/>
  <c r="I80" i="20"/>
  <c r="I65" i="20"/>
  <c r="I48" i="20"/>
  <c r="I34" i="20"/>
  <c r="I114" i="20"/>
  <c r="I94" i="20"/>
  <c r="I82" i="20"/>
  <c r="I62" i="20"/>
  <c r="I50" i="20"/>
  <c r="I26" i="20"/>
  <c r="I18" i="20"/>
  <c r="G12" i="32"/>
  <c r="J12" i="32" s="1"/>
  <c r="I21" i="20"/>
  <c r="H12" i="32"/>
  <c r="I17" i="20"/>
  <c r="G13" i="32"/>
  <c r="J13" i="32" s="1"/>
  <c r="G15" i="32"/>
  <c r="J15" i="32" s="1"/>
  <c r="I20" i="20"/>
  <c r="G14" i="32"/>
  <c r="J14" i="32" s="1"/>
  <c r="I19" i="20"/>
  <c r="CF76" i="31" l="1"/>
  <c r="BW76" i="31"/>
  <c r="CU76" i="31"/>
  <c r="CD76" i="31"/>
  <c r="BQ76" i="31"/>
  <c r="DF76" i="31"/>
  <c r="BS76" i="31"/>
  <c r="CQ76" i="31"/>
  <c r="CE76" i="31"/>
  <c r="CT76" i="31"/>
  <c r="BL76" i="31"/>
  <c r="CB76" i="31"/>
  <c r="BO76" i="31"/>
  <c r="CO76" i="31"/>
  <c r="CZ76" i="31"/>
  <c r="BP76" i="31"/>
  <c r="DE76" i="31"/>
  <c r="CN63" i="31"/>
  <c r="BU76" i="31"/>
  <c r="CH76" i="31"/>
  <c r="BR63" i="31"/>
  <c r="F168" i="24"/>
  <c r="BM57" i="31"/>
  <c r="CF21" i="31"/>
  <c r="CH78" i="31"/>
  <c r="F197" i="24"/>
  <c r="BO78" i="31"/>
  <c r="CH57" i="31"/>
  <c r="CT57" i="31"/>
  <c r="BW63" i="31"/>
  <c r="CY63" i="31"/>
  <c r="CA57" i="31"/>
  <c r="CE57" i="31"/>
  <c r="BY63" i="31"/>
  <c r="CR63" i="31"/>
  <c r="CJ57" i="31"/>
  <c r="DA57" i="31"/>
  <c r="BY57" i="31"/>
  <c r="CL63" i="31"/>
  <c r="DF63" i="31"/>
  <c r="DH49" i="31"/>
  <c r="BZ49" i="31"/>
  <c r="CP21" i="31"/>
  <c r="F176" i="24"/>
  <c r="DH57" i="31"/>
  <c r="BR57" i="31"/>
  <c r="DF57" i="31"/>
  <c r="CQ57" i="31"/>
  <c r="CK57" i="31"/>
  <c r="BV57" i="31"/>
  <c r="DJ57" i="31"/>
  <c r="DK57" i="31" s="1"/>
  <c r="DC57" i="31"/>
  <c r="CV57" i="31"/>
  <c r="CO57" i="31"/>
  <c r="BX63" i="31"/>
  <c r="BN63" i="31"/>
  <c r="DJ63" i="31"/>
  <c r="DK63" i="31" s="1"/>
  <c r="CU63" i="31"/>
  <c r="CO63" i="31"/>
  <c r="CP63" i="31"/>
  <c r="CA63" i="31"/>
  <c r="BL63" i="31"/>
  <c r="BM63" i="31"/>
  <c r="BT57" i="31"/>
  <c r="BZ57" i="31"/>
  <c r="BK57" i="31"/>
  <c r="DG57" i="31"/>
  <c r="CS57" i="31"/>
  <c r="CD57" i="31"/>
  <c r="BW57" i="31"/>
  <c r="BP57" i="31"/>
  <c r="DD57" i="31"/>
  <c r="DE57" i="31"/>
  <c r="BP63" i="31"/>
  <c r="CD63" i="31"/>
  <c r="BO63" i="31"/>
  <c r="DC63" i="31"/>
  <c r="DE63" i="31"/>
  <c r="CX63" i="31"/>
  <c r="CI63" i="31"/>
  <c r="CB63" i="31"/>
  <c r="BU63" i="31"/>
  <c r="CB57" i="31"/>
  <c r="CR57" i="31"/>
  <c r="CX57" i="31"/>
  <c r="CI57" i="31"/>
  <c r="BU57" i="31"/>
  <c r="BN57" i="31"/>
  <c r="DB57" i="31"/>
  <c r="CM57" i="31"/>
  <c r="CN57" i="31"/>
  <c r="CG57" i="31"/>
  <c r="DD63" i="31"/>
  <c r="CV63" i="31"/>
  <c r="CT63" i="31"/>
  <c r="CM63" i="31"/>
  <c r="CG63" i="31"/>
  <c r="BZ63" i="31"/>
  <c r="BS63" i="31"/>
  <c r="DG63" i="31"/>
  <c r="DH63" i="31"/>
  <c r="CT49" i="31"/>
  <c r="CQ21" i="31"/>
  <c r="CZ78" i="31"/>
  <c r="F140" i="24"/>
  <c r="BL49" i="31"/>
  <c r="BQ49" i="31"/>
  <c r="CG21" i="31"/>
  <c r="BW21" i="31"/>
  <c r="DA76" i="31"/>
  <c r="DD76" i="31"/>
  <c r="CN76" i="31"/>
  <c r="BN76" i="31"/>
  <c r="DJ76" i="31"/>
  <c r="DK76" i="31" s="1"/>
  <c r="CW76" i="31"/>
  <c r="CP76" i="31"/>
  <c r="CI76" i="31"/>
  <c r="BT76" i="31"/>
  <c r="DH76" i="31"/>
  <c r="DA78" i="31"/>
  <c r="F195" i="24"/>
  <c r="CV49" i="31"/>
  <c r="CQ49" i="31"/>
  <c r="DH21" i="31"/>
  <c r="CV76" i="31"/>
  <c r="DC76" i="31"/>
  <c r="CM76" i="31"/>
  <c r="BX76" i="31"/>
  <c r="CL76" i="31"/>
  <c r="BY76" i="31"/>
  <c r="BZ76" i="31"/>
  <c r="BK76" i="31"/>
  <c r="CY76" i="31"/>
  <c r="CR76" i="31"/>
  <c r="CI78" i="31"/>
  <c r="BX78" i="31"/>
  <c r="DI21" i="31"/>
  <c r="BT49" i="31"/>
  <c r="DB49" i="31"/>
  <c r="CH49" i="31"/>
  <c r="CY21" i="31"/>
  <c r="CX21" i="31"/>
  <c r="BN21" i="31"/>
  <c r="CN21" i="31"/>
  <c r="CO78" i="31"/>
  <c r="CQ78" i="31"/>
  <c r="DI78" i="31"/>
  <c r="CF78" i="31"/>
  <c r="DA49" i="31"/>
  <c r="CB49" i="31"/>
  <c r="DC49" i="31"/>
  <c r="CI49" i="31"/>
  <c r="BY21" i="31"/>
  <c r="CZ21" i="31"/>
  <c r="BO21" i="31"/>
  <c r="BZ78" i="31"/>
  <c r="CR78" i="31"/>
  <c r="DJ78" i="31"/>
  <c r="DK78" i="31" s="1"/>
  <c r="BU101" i="31"/>
  <c r="BL101" i="31"/>
  <c r="CK63" i="31"/>
  <c r="CS63" i="31"/>
  <c r="CE87" i="31"/>
  <c r="CJ63" i="31"/>
  <c r="CD101" i="31"/>
  <c r="BR101" i="31"/>
  <c r="DE101" i="31"/>
  <c r="BO87" i="31"/>
  <c r="DA63" i="31"/>
  <c r="CV101" i="31"/>
  <c r="CM101" i="31"/>
  <c r="BL57" i="31"/>
  <c r="CZ57" i="31"/>
  <c r="CP57" i="31"/>
  <c r="BS57" i="31"/>
  <c r="CY57" i="31"/>
  <c r="CC57" i="31"/>
  <c r="DI57" i="31"/>
  <c r="CL57" i="31"/>
  <c r="BO57" i="31"/>
  <c r="CU57" i="31"/>
  <c r="CF57" i="31"/>
  <c r="BQ57" i="31"/>
  <c r="CC76" i="31"/>
  <c r="BM76" i="31"/>
  <c r="CK76" i="31"/>
  <c r="DI76" i="31"/>
  <c r="CS76" i="31"/>
  <c r="BV76" i="31"/>
  <c r="DB76" i="31"/>
  <c r="CG76" i="31"/>
  <c r="BR76" i="31"/>
  <c r="CX76" i="31"/>
  <c r="CA76" i="31"/>
  <c r="DG76" i="31"/>
  <c r="CF63" i="31"/>
  <c r="BV63" i="31"/>
  <c r="DB63" i="31"/>
  <c r="CE63" i="31"/>
  <c r="BQ63" i="31"/>
  <c r="CW63" i="31"/>
  <c r="CH63" i="31"/>
  <c r="BK63" i="31"/>
  <c r="CQ63" i="31"/>
  <c r="BT63" i="31"/>
  <c r="CZ63" i="31"/>
  <c r="CC63" i="31"/>
  <c r="BM79" i="31"/>
  <c r="CX80" i="31"/>
  <c r="CI80" i="31"/>
  <c r="BZ87" i="31"/>
  <c r="BK87" i="31"/>
  <c r="CP20" i="31"/>
  <c r="CS87" i="31"/>
  <c r="CM80" i="31"/>
  <c r="DA87" i="31"/>
  <c r="DC80" i="31"/>
  <c r="CG20" i="31"/>
  <c r="BQ20" i="31"/>
  <c r="CA20" i="31"/>
  <c r="DI20" i="31"/>
  <c r="BN20" i="31"/>
  <c r="CI22" i="31"/>
  <c r="CJ49" i="31"/>
  <c r="BU49" i="31"/>
  <c r="BN49" i="31"/>
  <c r="BW49" i="31"/>
  <c r="CO49" i="31"/>
  <c r="DF49" i="31"/>
  <c r="CA21" i="31"/>
  <c r="DE21" i="31"/>
  <c r="BT21" i="31"/>
  <c r="CC21" i="31"/>
  <c r="CL21" i="31"/>
  <c r="CU21" i="31"/>
  <c r="CT59" i="31"/>
  <c r="BQ78" i="31"/>
  <c r="DF78" i="31"/>
  <c r="BL78" i="31"/>
  <c r="BU78" i="31"/>
  <c r="CD78" i="31"/>
  <c r="CM78" i="31"/>
  <c r="DD78" i="31"/>
  <c r="CT22" i="31"/>
  <c r="DD49" i="31"/>
  <c r="CR49" i="31"/>
  <c r="BV49" i="31"/>
  <c r="CE49" i="31"/>
  <c r="CW49" i="31"/>
  <c r="BK49" i="31"/>
  <c r="DG21" i="31"/>
  <c r="BR21" i="31"/>
  <c r="CB21" i="31"/>
  <c r="CK21" i="31"/>
  <c r="CT21" i="31"/>
  <c r="DC21" i="31"/>
  <c r="BY78" i="31"/>
  <c r="BK78" i="31"/>
  <c r="BT78" i="31"/>
  <c r="CC78" i="31"/>
  <c r="CL78" i="31"/>
  <c r="CU78" i="31"/>
  <c r="BO22" i="31"/>
  <c r="BP49" i="31"/>
  <c r="BX49" i="31"/>
  <c r="CD49" i="31"/>
  <c r="CM49" i="31"/>
  <c r="DE49" i="31"/>
  <c r="BS49" i="31"/>
  <c r="CI21" i="31"/>
  <c r="BZ21" i="31"/>
  <c r="CJ21" i="31"/>
  <c r="CS21" i="31"/>
  <c r="DB21" i="31"/>
  <c r="BP21" i="31"/>
  <c r="CG78" i="31"/>
  <c r="BS78" i="31"/>
  <c r="CB78" i="31"/>
  <c r="CK78" i="31"/>
  <c r="CT78" i="31"/>
  <c r="DC78" i="31"/>
  <c r="CG22" i="31"/>
  <c r="CK49" i="31"/>
  <c r="CS49" i="31"/>
  <c r="CL49" i="31"/>
  <c r="CU49" i="31"/>
  <c r="BR49" i="31"/>
  <c r="CA49" i="31"/>
  <c r="BQ21" i="31"/>
  <c r="CH21" i="31"/>
  <c r="CR21" i="31"/>
  <c r="DA21" i="31"/>
  <c r="DJ21" i="31"/>
  <c r="DK21" i="31" s="1"/>
  <c r="BX21" i="31"/>
  <c r="BR78" i="31"/>
  <c r="CA78" i="31"/>
  <c r="CJ78" i="31"/>
  <c r="CS78" i="31"/>
  <c r="DB78" i="31"/>
  <c r="BP78" i="31"/>
  <c r="CF49" i="31"/>
  <c r="CN49" i="31"/>
  <c r="CC49" i="31"/>
  <c r="DJ49" i="31"/>
  <c r="DK49" i="31" s="1"/>
  <c r="BY49" i="31"/>
  <c r="CP49" i="31"/>
  <c r="CY49" i="31"/>
  <c r="BK21" i="31"/>
  <c r="CO21" i="31"/>
  <c r="DF21" i="31"/>
  <c r="BM21" i="31"/>
  <c r="BV21" i="31"/>
  <c r="CE21" i="31"/>
  <c r="CV21" i="31"/>
  <c r="CW78" i="31"/>
  <c r="CP78" i="31"/>
  <c r="CY78" i="31"/>
  <c r="DH78" i="31"/>
  <c r="BN78" i="31"/>
  <c r="BW78" i="31"/>
  <c r="CN78" i="31"/>
  <c r="BM49" i="31"/>
  <c r="DI49" i="31"/>
  <c r="CZ49" i="31"/>
  <c r="BO49" i="31"/>
  <c r="CG49" i="31"/>
  <c r="CX49" i="31"/>
  <c r="BS21" i="31"/>
  <c r="CW21" i="31"/>
  <c r="BL21" i="31"/>
  <c r="BU21" i="31"/>
  <c r="CD21" i="31"/>
  <c r="CM21" i="31"/>
  <c r="DE78" i="31"/>
  <c r="CX78" i="31"/>
  <c r="DG78" i="31"/>
  <c r="BM78" i="31"/>
  <c r="BV78" i="31"/>
  <c r="CE78" i="31"/>
  <c r="BX22" i="31"/>
  <c r="F178" i="24"/>
  <c r="BM22" i="31"/>
  <c r="CF22" i="31"/>
  <c r="CN59" i="31"/>
  <c r="CQ22" i="31"/>
  <c r="CP22" i="31"/>
  <c r="CG59" i="31"/>
  <c r="BU79" i="31"/>
  <c r="CJ22" i="31"/>
  <c r="CX22" i="31"/>
  <c r="CR59" i="31"/>
  <c r="BN22" i="31"/>
  <c r="CZ59" i="31"/>
  <c r="BR20" i="31"/>
  <c r="DH20" i="31"/>
  <c r="BN87" i="31"/>
  <c r="CW87" i="31"/>
  <c r="CR87" i="31"/>
  <c r="CT80" i="31"/>
  <c r="BZ80" i="31"/>
  <c r="CH20" i="31"/>
  <c r="CS20" i="31"/>
  <c r="BV87" i="31"/>
  <c r="BR87" i="31"/>
  <c r="CC87" i="31"/>
  <c r="DB80" i="31"/>
  <c r="CP80" i="31"/>
  <c r="BY20" i="31"/>
  <c r="CQ20" i="31"/>
  <c r="DB20" i="31"/>
  <c r="CM87" i="31"/>
  <c r="CA87" i="31"/>
  <c r="BM80" i="31"/>
  <c r="BP80" i="31"/>
  <c r="DG80" i="31"/>
  <c r="CU20" i="31"/>
  <c r="CY20" i="31"/>
  <c r="CF87" i="31"/>
  <c r="CI87" i="31"/>
  <c r="CC80" i="31"/>
  <c r="DD80" i="31"/>
  <c r="CR80" i="31"/>
  <c r="BP20" i="31"/>
  <c r="CJ20" i="31"/>
  <c r="CV87" i="31"/>
  <c r="BT87" i="31"/>
  <c r="CK80" i="31"/>
  <c r="BY80" i="31"/>
  <c r="DH80" i="31"/>
  <c r="F206" i="24"/>
  <c r="BX20" i="31"/>
  <c r="CZ20" i="31"/>
  <c r="DD87" i="31"/>
  <c r="CJ87" i="31"/>
  <c r="CD80" i="31"/>
  <c r="CG80" i="31"/>
  <c r="BX79" i="31"/>
  <c r="CU59" i="31"/>
  <c r="CS59" i="31"/>
  <c r="CL79" i="31"/>
  <c r="DC59" i="31"/>
  <c r="BP79" i="31"/>
  <c r="CP59" i="31"/>
  <c r="BR79" i="31"/>
  <c r="CX59" i="31"/>
  <c r="CF59" i="31"/>
  <c r="CQ59" i="31"/>
  <c r="BK79" i="31"/>
  <c r="DI22" i="31"/>
  <c r="CY22" i="31"/>
  <c r="DB22" i="31"/>
  <c r="CN22" i="31"/>
  <c r="DF22" i="31"/>
  <c r="DD59" i="31"/>
  <c r="BQ59" i="31"/>
  <c r="CA59" i="31"/>
  <c r="DH59" i="31"/>
  <c r="CK79" i="31"/>
  <c r="DD79" i="31"/>
  <c r="F141" i="24"/>
  <c r="BU22" i="31"/>
  <c r="DG22" i="31"/>
  <c r="DJ22" i="31"/>
  <c r="DK22" i="31" s="1"/>
  <c r="BY22" i="31"/>
  <c r="CL59" i="31"/>
  <c r="BY59" i="31"/>
  <c r="CI59" i="31"/>
  <c r="BM59" i="31"/>
  <c r="DG79" i="31"/>
  <c r="CD79" i="31"/>
  <c r="CO79" i="31"/>
  <c r="F198" i="24"/>
  <c r="CC22" i="31"/>
  <c r="CR22" i="31"/>
  <c r="BW22" i="31"/>
  <c r="CO22" i="31"/>
  <c r="DB59" i="31"/>
  <c r="BR59" i="31"/>
  <c r="CY59" i="31"/>
  <c r="DA59" i="31"/>
  <c r="BS79" i="31"/>
  <c r="CT79" i="31"/>
  <c r="BZ79" i="31"/>
  <c r="CK22" i="31"/>
  <c r="CZ22" i="31"/>
  <c r="DC22" i="31"/>
  <c r="CW22" i="31"/>
  <c r="BX59" i="31"/>
  <c r="DJ59" i="31"/>
  <c r="DK59" i="31" s="1"/>
  <c r="BZ59" i="31"/>
  <c r="DG59" i="31"/>
  <c r="DI59" i="31"/>
  <c r="BL79" i="31"/>
  <c r="DJ79" i="31"/>
  <c r="DK79" i="31" s="1"/>
  <c r="CA22" i="31"/>
  <c r="DH22" i="31"/>
  <c r="BP22" i="31"/>
  <c r="DE22" i="31"/>
  <c r="CV59" i="31"/>
  <c r="BO59" i="31"/>
  <c r="CH59" i="31"/>
  <c r="CJ59" i="31"/>
  <c r="CR79" i="31"/>
  <c r="DC79" i="31"/>
  <c r="CP79" i="31"/>
  <c r="CQ79" i="31"/>
  <c r="CC79" i="31"/>
  <c r="DB79" i="31"/>
  <c r="CV79" i="31"/>
  <c r="CH79" i="31"/>
  <c r="CS22" i="31"/>
  <c r="BL22" i="31"/>
  <c r="BV22" i="31"/>
  <c r="CE22" i="31"/>
  <c r="CV22" i="31"/>
  <c r="BR22" i="31"/>
  <c r="BN59" i="31"/>
  <c r="BW59" i="31"/>
  <c r="CO59" i="31"/>
  <c r="DF59" i="31"/>
  <c r="BL59" i="31"/>
  <c r="BU59" i="31"/>
  <c r="BT79" i="31"/>
  <c r="CS79" i="31"/>
  <c r="CE79" i="31"/>
  <c r="BQ79" i="31"/>
  <c r="CX79" i="31"/>
  <c r="BK22" i="31"/>
  <c r="BT22" i="31"/>
  <c r="CD22" i="31"/>
  <c r="CM22" i="31"/>
  <c r="DD22" i="31"/>
  <c r="BZ22" i="31"/>
  <c r="BV59" i="31"/>
  <c r="CE59" i="31"/>
  <c r="CW59" i="31"/>
  <c r="BK59" i="31"/>
  <c r="BT59" i="31"/>
  <c r="CC59" i="31"/>
  <c r="CB79" i="31"/>
  <c r="DA79" i="31"/>
  <c r="CM79" i="31"/>
  <c r="BY79" i="31"/>
  <c r="DA22" i="31"/>
  <c r="BS22" i="31"/>
  <c r="CB22" i="31"/>
  <c r="CL22" i="31"/>
  <c r="CU22" i="31"/>
  <c r="BQ22" i="31"/>
  <c r="CY80" i="31"/>
  <c r="BP59" i="31"/>
  <c r="CD59" i="31"/>
  <c r="CM59" i="31"/>
  <c r="DE59" i="31"/>
  <c r="BS59" i="31"/>
  <c r="CB59" i="31"/>
  <c r="CY79" i="31"/>
  <c r="CJ79" i="31"/>
  <c r="BV79" i="31"/>
  <c r="CU79" i="31"/>
  <c r="CG79" i="31"/>
  <c r="CK84" i="31"/>
  <c r="BZ84" i="31"/>
  <c r="DH86" i="31"/>
  <c r="CE86" i="31"/>
  <c r="CD86" i="31"/>
  <c r="BZ86" i="31"/>
  <c r="CA86" i="31"/>
  <c r="F205" i="24"/>
  <c r="CO20" i="31"/>
  <c r="DC20" i="31"/>
  <c r="BZ20" i="31"/>
  <c r="CI20" i="31"/>
  <c r="CR20" i="31"/>
  <c r="DA20" i="31"/>
  <c r="DJ20" i="31"/>
  <c r="DK20" i="31" s="1"/>
  <c r="CB86" i="31"/>
  <c r="BW86" i="31"/>
  <c r="CH86" i="31"/>
  <c r="DJ87" i="31"/>
  <c r="DK87" i="31" s="1"/>
  <c r="BW87" i="31"/>
  <c r="CN87" i="31"/>
  <c r="DE87" i="31"/>
  <c r="BS87" i="31"/>
  <c r="CB87" i="31"/>
  <c r="CK87" i="31"/>
  <c r="BU80" i="31"/>
  <c r="CL80" i="31"/>
  <c r="CU80" i="31"/>
  <c r="BQ80" i="31"/>
  <c r="CH80" i="31"/>
  <c r="CQ80" i="31"/>
  <c r="CZ80" i="31"/>
  <c r="CM86" i="31"/>
  <c r="BO20" i="31"/>
  <c r="CF20" i="31"/>
  <c r="CX20" i="31"/>
  <c r="DG20" i="31"/>
  <c r="BM20" i="31"/>
  <c r="BV20" i="31"/>
  <c r="CR86" i="31"/>
  <c r="CV86" i="31"/>
  <c r="CQ86" i="31"/>
  <c r="CD87" i="31"/>
  <c r="CU87" i="31"/>
  <c r="BQ87" i="31"/>
  <c r="CH87" i="31"/>
  <c r="CQ87" i="31"/>
  <c r="CZ87" i="31"/>
  <c r="DI87" i="31"/>
  <c r="CS80" i="31"/>
  <c r="DJ80" i="31"/>
  <c r="DK80" i="31" s="1"/>
  <c r="BX80" i="31"/>
  <c r="CO80" i="31"/>
  <c r="DF80" i="31"/>
  <c r="BL80" i="31"/>
  <c r="BM86" i="31"/>
  <c r="BW20" i="31"/>
  <c r="CN20" i="31"/>
  <c r="DF20" i="31"/>
  <c r="BL20" i="31"/>
  <c r="BU20" i="31"/>
  <c r="CD20" i="31"/>
  <c r="BP86" i="31"/>
  <c r="DD86" i="31"/>
  <c r="CL87" i="31"/>
  <c r="DC87" i="31"/>
  <c r="BY87" i="31"/>
  <c r="CP87" i="31"/>
  <c r="CY87" i="31"/>
  <c r="DH87" i="31"/>
  <c r="DA80" i="31"/>
  <c r="BO80" i="31"/>
  <c r="CF80" i="31"/>
  <c r="CW80" i="31"/>
  <c r="BK80" i="31"/>
  <c r="BT80" i="31"/>
  <c r="CI86" i="31"/>
  <c r="F199" i="24"/>
  <c r="CW20" i="31"/>
  <c r="CV20" i="31"/>
  <c r="BK20" i="31"/>
  <c r="CC20" i="31"/>
  <c r="CL20" i="31"/>
  <c r="BN86" i="31"/>
  <c r="BQ86" i="31"/>
  <c r="CT87" i="31"/>
  <c r="BP87" i="31"/>
  <c r="CG87" i="31"/>
  <c r="CX87" i="31"/>
  <c r="DG87" i="31"/>
  <c r="BM87" i="31"/>
  <c r="BN80" i="31"/>
  <c r="BW80" i="31"/>
  <c r="CN80" i="31"/>
  <c r="DE80" i="31"/>
  <c r="BS80" i="31"/>
  <c r="CB80" i="31"/>
  <c r="CE20" i="31"/>
  <c r="BT20" i="31"/>
  <c r="F139" i="24"/>
  <c r="DE20" i="31"/>
  <c r="CM20" i="31"/>
  <c r="DD20" i="31"/>
  <c r="BS20" i="31"/>
  <c r="CB20" i="31"/>
  <c r="CK20" i="31"/>
  <c r="BV86" i="31"/>
  <c r="BR86" i="31"/>
  <c r="DB87" i="31"/>
  <c r="BX87" i="31"/>
  <c r="CO87" i="31"/>
  <c r="DF87" i="31"/>
  <c r="BL87" i="31"/>
  <c r="DI80" i="31"/>
  <c r="BV80" i="31"/>
  <c r="CE80" i="31"/>
  <c r="CV80" i="31"/>
  <c r="BR80" i="31"/>
  <c r="CA80" i="31"/>
  <c r="CC86" i="31"/>
  <c r="CS86" i="31"/>
  <c r="CL86" i="31"/>
  <c r="CU86" i="31"/>
  <c r="BY86" i="31"/>
  <c r="CP86" i="31"/>
  <c r="CY86" i="31"/>
  <c r="DI86" i="31"/>
  <c r="BT86" i="31"/>
  <c r="CT86" i="31"/>
  <c r="DC86" i="31"/>
  <c r="CG86" i="31"/>
  <c r="CX86" i="31"/>
  <c r="DG86" i="31"/>
  <c r="CJ86" i="31"/>
  <c r="CZ86" i="31"/>
  <c r="DB86" i="31"/>
  <c r="BX86" i="31"/>
  <c r="CO86" i="31"/>
  <c r="DF86" i="31"/>
  <c r="BL86" i="31"/>
  <c r="BU86" i="31"/>
  <c r="DJ86" i="31"/>
  <c r="DK86" i="31" s="1"/>
  <c r="CF86" i="31"/>
  <c r="CW86" i="31"/>
  <c r="BK86" i="31"/>
  <c r="CK86" i="31"/>
  <c r="DA86" i="31"/>
  <c r="BO86" i="31"/>
  <c r="CN86" i="31"/>
  <c r="DE86" i="31"/>
  <c r="CH84" i="31"/>
  <c r="F220" i="24"/>
  <c r="CN101" i="31"/>
  <c r="CA101" i="31"/>
  <c r="BT101" i="31"/>
  <c r="CC101" i="31"/>
  <c r="CL101" i="31"/>
  <c r="CU101" i="31"/>
  <c r="DG101" i="31"/>
  <c r="CX101" i="31"/>
  <c r="CB101" i="31"/>
  <c r="CK101" i="31"/>
  <c r="CT101" i="31"/>
  <c r="DC101" i="31"/>
  <c r="BS101" i="31"/>
  <c r="CF101" i="31"/>
  <c r="CJ101" i="31"/>
  <c r="CS101" i="31"/>
  <c r="DB101" i="31"/>
  <c r="BQ101" i="31"/>
  <c r="CP101" i="31"/>
  <c r="CY101" i="31"/>
  <c r="CR101" i="31"/>
  <c r="DA101" i="31"/>
  <c r="DJ101" i="31"/>
  <c r="DK101" i="31" s="1"/>
  <c r="BY101" i="31"/>
  <c r="DF101" i="31"/>
  <c r="BX101" i="31"/>
  <c r="BK101" i="31"/>
  <c r="CZ101" i="31"/>
  <c r="DI101" i="31"/>
  <c r="BO101" i="31"/>
  <c r="CG101" i="31"/>
  <c r="BP101" i="31"/>
  <c r="CQ101" i="31"/>
  <c r="CH101" i="31"/>
  <c r="DH101" i="31"/>
  <c r="BN101" i="31"/>
  <c r="BW101" i="31"/>
  <c r="CO101" i="31"/>
  <c r="CI101" i="31"/>
  <c r="BZ101" i="31"/>
  <c r="DD101" i="31"/>
  <c r="BM101" i="31"/>
  <c r="BV101" i="31"/>
  <c r="CE101" i="31"/>
  <c r="CI84" i="31"/>
  <c r="CD84" i="31"/>
  <c r="CQ84" i="31"/>
  <c r="BV84" i="31"/>
  <c r="CM84" i="31"/>
  <c r="DA84" i="31"/>
  <c r="CU84" i="31"/>
  <c r="CX84" i="31"/>
  <c r="DF79" i="31"/>
  <c r="DE84" i="31"/>
  <c r="CA79" i="31"/>
  <c r="CZ79" i="31"/>
  <c r="DI79" i="31"/>
  <c r="BO79" i="31"/>
  <c r="CF79" i="31"/>
  <c r="CW79" i="31"/>
  <c r="BQ84" i="31"/>
  <c r="CI79" i="31"/>
  <c r="DH79" i="31"/>
  <c r="BN79" i="31"/>
  <c r="BW79" i="31"/>
  <c r="CN79" i="31"/>
  <c r="DG67" i="31"/>
  <c r="F203" i="24"/>
  <c r="CS84" i="31"/>
  <c r="CL84" i="31"/>
  <c r="DD84" i="31"/>
  <c r="BY84" i="31"/>
  <c r="CP84" i="31"/>
  <c r="CZ84" i="31"/>
  <c r="DF84" i="31"/>
  <c r="DB84" i="31"/>
  <c r="CT84" i="31"/>
  <c r="BP84" i="31"/>
  <c r="CG84" i="31"/>
  <c r="CY84" i="31"/>
  <c r="BL84" i="31"/>
  <c r="DI84" i="31"/>
  <c r="BM84" i="31"/>
  <c r="DC84" i="31"/>
  <c r="BX84" i="31"/>
  <c r="CO84" i="31"/>
  <c r="DH84" i="31"/>
  <c r="BT84" i="31"/>
  <c r="DJ84" i="31"/>
  <c r="DK84" i="31" s="1"/>
  <c r="BU84" i="31"/>
  <c r="BO84" i="31"/>
  <c r="CF84" i="31"/>
  <c r="CW84" i="31"/>
  <c r="BK84" i="31"/>
  <c r="CB84" i="31"/>
  <c r="CC84" i="31"/>
  <c r="BW84" i="31"/>
  <c r="CN84" i="31"/>
  <c r="DG84" i="31"/>
  <c r="BS84" i="31"/>
  <c r="CJ84" i="31"/>
  <c r="BN84" i="31"/>
  <c r="CE84" i="31"/>
  <c r="CV84" i="31"/>
  <c r="BR84" i="31"/>
  <c r="CA84" i="31"/>
  <c r="CV67" i="31"/>
  <c r="CZ67" i="31"/>
  <c r="CW67" i="31"/>
  <c r="BM67" i="31"/>
  <c r="DI67" i="31"/>
  <c r="F186" i="24"/>
  <c r="BV67" i="31"/>
  <c r="BR67" i="31"/>
  <c r="BO67" i="31"/>
  <c r="CH67" i="31"/>
  <c r="CE67" i="31"/>
  <c r="CQ67" i="31"/>
  <c r="CF67" i="31"/>
  <c r="BZ67" i="31"/>
  <c r="CY67" i="31"/>
  <c r="DH67" i="31"/>
  <c r="BN67" i="31"/>
  <c r="BW67" i="31"/>
  <c r="CN67" i="31"/>
  <c r="DE67" i="31"/>
  <c r="CP67" i="31"/>
  <c r="BL67" i="31"/>
  <c r="BU67" i="31"/>
  <c r="CD67" i="31"/>
  <c r="CM67" i="31"/>
  <c r="DD67" i="31"/>
  <c r="BK67" i="31"/>
  <c r="BT67" i="31"/>
  <c r="CC67" i="31"/>
  <c r="CL67" i="31"/>
  <c r="CU67" i="31"/>
  <c r="BQ67" i="31"/>
  <c r="BS67" i="31"/>
  <c r="CB67" i="31"/>
  <c r="CK67" i="31"/>
  <c r="CT67" i="31"/>
  <c r="DC67" i="31"/>
  <c r="BY67" i="31"/>
  <c r="CX67" i="31"/>
  <c r="CA67" i="31"/>
  <c r="CJ67" i="31"/>
  <c r="CS67" i="31"/>
  <c r="DB67" i="31"/>
  <c r="BP67" i="31"/>
  <c r="CG67" i="31"/>
  <c r="DF67" i="31"/>
  <c r="CI67" i="31"/>
  <c r="CR67" i="31"/>
  <c r="DA67" i="31"/>
  <c r="DJ67" i="31"/>
  <c r="DK67" i="31" s="1"/>
  <c r="BX67" i="31"/>
  <c r="I178" i="32"/>
  <c r="DD5" i="31"/>
  <c r="CV5" i="31"/>
  <c r="CN5" i="31"/>
  <c r="CF5" i="31"/>
  <c r="BX5" i="31"/>
  <c r="BP5" i="31"/>
  <c r="CJ5" i="31"/>
  <c r="CI5" i="31"/>
  <c r="CX5" i="31"/>
  <c r="BZ5" i="31"/>
  <c r="CG5" i="31"/>
  <c r="DC5" i="31"/>
  <c r="CU5" i="31"/>
  <c r="CM5" i="31"/>
  <c r="CE5" i="31"/>
  <c r="BW5" i="31"/>
  <c r="BO5" i="31"/>
  <c r="CR5" i="31"/>
  <c r="BT5" i="31"/>
  <c r="CY5" i="31"/>
  <c r="DF5" i="31"/>
  <c r="DE5" i="31"/>
  <c r="DJ5" i="31"/>
  <c r="DK5" i="31" s="1"/>
  <c r="DB5" i="31"/>
  <c r="CT5" i="31"/>
  <c r="CL5" i="31"/>
  <c r="CD5" i="31"/>
  <c r="BV5" i="31"/>
  <c r="BN5" i="31"/>
  <c r="CZ5" i="31"/>
  <c r="CB5" i="31"/>
  <c r="DG5" i="31"/>
  <c r="CA5" i="31"/>
  <c r="CH5" i="31"/>
  <c r="BR5" i="31"/>
  <c r="CO5" i="31"/>
  <c r="DI5" i="31"/>
  <c r="DA5" i="31"/>
  <c r="CS5" i="31"/>
  <c r="CK5" i="31"/>
  <c r="CC5" i="31"/>
  <c r="BU5" i="31"/>
  <c r="BM5" i="31"/>
  <c r="DH5" i="31"/>
  <c r="BL5" i="31"/>
  <c r="CQ5" i="31"/>
  <c r="BS5" i="31"/>
  <c r="CP5" i="31"/>
  <c r="CW5" i="31"/>
  <c r="BQ5" i="31"/>
  <c r="BY5" i="31"/>
  <c r="BK5" i="31"/>
  <c r="DE44" i="31"/>
  <c r="CW44" i="31"/>
  <c r="CO44" i="31"/>
  <c r="CG44" i="31"/>
  <c r="BY44" i="31"/>
  <c r="BQ44" i="31"/>
  <c r="DD44" i="31"/>
  <c r="CV44" i="31"/>
  <c r="CN44" i="31"/>
  <c r="CF44" i="31"/>
  <c r="BX44" i="31"/>
  <c r="BP44" i="31"/>
  <c r="DC44" i="31"/>
  <c r="CU44" i="31"/>
  <c r="CM44" i="31"/>
  <c r="CE44" i="31"/>
  <c r="DI44" i="31"/>
  <c r="DA44" i="31"/>
  <c r="CS44" i="31"/>
  <c r="CK44" i="31"/>
  <c r="CC44" i="31"/>
  <c r="BU44" i="31"/>
  <c r="BM44" i="31"/>
  <c r="DH44" i="31"/>
  <c r="CZ44" i="31"/>
  <c r="CR44" i="31"/>
  <c r="CJ44" i="31"/>
  <c r="CB44" i="31"/>
  <c r="BT44" i="31"/>
  <c r="BL44" i="31"/>
  <c r="CQ44" i="31"/>
  <c r="BW44" i="31"/>
  <c r="DJ44" i="31"/>
  <c r="DK44" i="31" s="1"/>
  <c r="CP44" i="31"/>
  <c r="BV44" i="31"/>
  <c r="DG44" i="31"/>
  <c r="CL44" i="31"/>
  <c r="BS44" i="31"/>
  <c r="DF44" i="31"/>
  <c r="CI44" i="31"/>
  <c r="BR44" i="31"/>
  <c r="DB44" i="31"/>
  <c r="CH44" i="31"/>
  <c r="BO44" i="31"/>
  <c r="CY44" i="31"/>
  <c r="CD44" i="31"/>
  <c r="BN44" i="31"/>
  <c r="CX44" i="31"/>
  <c r="CA44" i="31"/>
  <c r="BK44" i="31"/>
  <c r="CT44" i="31"/>
  <c r="BZ44" i="31"/>
  <c r="DD39" i="31"/>
  <c r="CV39" i="31"/>
  <c r="CN39" i="31"/>
  <c r="CF39" i="31"/>
  <c r="BX39" i="31"/>
  <c r="BP39" i="31"/>
  <c r="DC39" i="31"/>
  <c r="CU39" i="31"/>
  <c r="CM39" i="31"/>
  <c r="CE39" i="31"/>
  <c r="BW39" i="31"/>
  <c r="BO39" i="31"/>
  <c r="DJ39" i="31"/>
  <c r="DK39" i="31" s="1"/>
  <c r="DB39" i="31"/>
  <c r="CT39" i="31"/>
  <c r="CL39" i="31"/>
  <c r="CD39" i="31"/>
  <c r="BV39" i="31"/>
  <c r="BN39" i="31"/>
  <c r="DI39" i="31"/>
  <c r="DA39" i="31"/>
  <c r="CS39" i="31"/>
  <c r="CK39" i="31"/>
  <c r="CC39" i="31"/>
  <c r="BU39" i="31"/>
  <c r="BM39" i="31"/>
  <c r="DH39" i="31"/>
  <c r="CZ39" i="31"/>
  <c r="CR39" i="31"/>
  <c r="CJ39" i="31"/>
  <c r="CB39" i="31"/>
  <c r="BT39" i="31"/>
  <c r="BL39" i="31"/>
  <c r="DG39" i="31"/>
  <c r="CY39" i="31"/>
  <c r="CQ39" i="31"/>
  <c r="CI39" i="31"/>
  <c r="CA39" i="31"/>
  <c r="BS39" i="31"/>
  <c r="BK39" i="31"/>
  <c r="DF39" i="31"/>
  <c r="CX39" i="31"/>
  <c r="CP39" i="31"/>
  <c r="CH39" i="31"/>
  <c r="BZ39" i="31"/>
  <c r="BR39" i="31"/>
  <c r="BQ39" i="31"/>
  <c r="DE39" i="31"/>
  <c r="CW39" i="31"/>
  <c r="CG39" i="31"/>
  <c r="BY39" i="31"/>
  <c r="CO39" i="31"/>
  <c r="DJ8" i="31"/>
  <c r="DK8" i="31" s="1"/>
  <c r="DB8" i="31"/>
  <c r="CT8" i="31"/>
  <c r="CL8" i="31"/>
  <c r="CD8" i="31"/>
  <c r="BV8" i="31"/>
  <c r="BN8" i="31"/>
  <c r="DI8" i="31"/>
  <c r="DA8" i="31"/>
  <c r="CS8" i="31"/>
  <c r="CK8" i="31"/>
  <c r="CC8" i="31"/>
  <c r="BU8" i="31"/>
  <c r="BM8" i="31"/>
  <c r="DH8" i="31"/>
  <c r="CZ8" i="31"/>
  <c r="CR8" i="31"/>
  <c r="CJ8" i="31"/>
  <c r="CB8" i="31"/>
  <c r="BT8" i="31"/>
  <c r="BL8" i="31"/>
  <c r="DG8" i="31"/>
  <c r="CY8" i="31"/>
  <c r="CQ8" i="31"/>
  <c r="CI8" i="31"/>
  <c r="CA8" i="31"/>
  <c r="BS8" i="31"/>
  <c r="BK8" i="31"/>
  <c r="DD8" i="31"/>
  <c r="CV8" i="31"/>
  <c r="CN8" i="31"/>
  <c r="CF8" i="31"/>
  <c r="BX8" i="31"/>
  <c r="BP8" i="31"/>
  <c r="DC8" i="31"/>
  <c r="CU8" i="31"/>
  <c r="CM8" i="31"/>
  <c r="CE8" i="31"/>
  <c r="BW8" i="31"/>
  <c r="BO8" i="31"/>
  <c r="DE8" i="31"/>
  <c r="BY8" i="31"/>
  <c r="CH8" i="31"/>
  <c r="CX8" i="31"/>
  <c r="BR8" i="31"/>
  <c r="CW8" i="31"/>
  <c r="BQ8" i="31"/>
  <c r="CO8" i="31"/>
  <c r="CP8" i="31"/>
  <c r="CG8" i="31"/>
  <c r="DF8" i="31"/>
  <c r="BZ8" i="31"/>
  <c r="DF18" i="31"/>
  <c r="CX18" i="31"/>
  <c r="CP18" i="31"/>
  <c r="CH18" i="31"/>
  <c r="BZ18" i="31"/>
  <c r="BR18" i="31"/>
  <c r="DE18" i="31"/>
  <c r="CW18" i="31"/>
  <c r="CO18" i="31"/>
  <c r="CG18" i="31"/>
  <c r="BY18" i="31"/>
  <c r="BQ18" i="31"/>
  <c r="DD18" i="31"/>
  <c r="CV18" i="31"/>
  <c r="CN18" i="31"/>
  <c r="CF18" i="31"/>
  <c r="BX18" i="31"/>
  <c r="BP18" i="31"/>
  <c r="DC18" i="31"/>
  <c r="CU18" i="31"/>
  <c r="CM18" i="31"/>
  <c r="CE18" i="31"/>
  <c r="BW18" i="31"/>
  <c r="BO18" i="31"/>
  <c r="DJ18" i="31"/>
  <c r="DK18" i="31" s="1"/>
  <c r="DB18" i="31"/>
  <c r="CT18" i="31"/>
  <c r="CL18" i="31"/>
  <c r="CD18" i="31"/>
  <c r="BV18" i="31"/>
  <c r="BN18" i="31"/>
  <c r="DH18" i="31"/>
  <c r="CZ18" i="31"/>
  <c r="CR18" i="31"/>
  <c r="CJ18" i="31"/>
  <c r="CB18" i="31"/>
  <c r="BT18" i="31"/>
  <c r="BL18" i="31"/>
  <c r="DG18" i="31"/>
  <c r="CY18" i="31"/>
  <c r="CQ18" i="31"/>
  <c r="CI18" i="31"/>
  <c r="CA18" i="31"/>
  <c r="BS18" i="31"/>
  <c r="BK18" i="31"/>
  <c r="DI18" i="31"/>
  <c r="DA18" i="31"/>
  <c r="CS18" i="31"/>
  <c r="BU18" i="31"/>
  <c r="BM18" i="31"/>
  <c r="CK18" i="31"/>
  <c r="CC18" i="31"/>
  <c r="DF26" i="31"/>
  <c r="CX26" i="31"/>
  <c r="CP26" i="31"/>
  <c r="CH26" i="31"/>
  <c r="BZ26" i="31"/>
  <c r="BR26" i="31"/>
  <c r="DE26" i="31"/>
  <c r="CW26" i="31"/>
  <c r="CO26" i="31"/>
  <c r="CG26" i="31"/>
  <c r="BY26" i="31"/>
  <c r="BQ26" i="31"/>
  <c r="DD26" i="31"/>
  <c r="CV26" i="31"/>
  <c r="CN26" i="31"/>
  <c r="CF26" i="31"/>
  <c r="BX26" i="31"/>
  <c r="BP26" i="31"/>
  <c r="DC26" i="31"/>
  <c r="CU26" i="31"/>
  <c r="CM26" i="31"/>
  <c r="CE26" i="31"/>
  <c r="BW26" i="31"/>
  <c r="BO26" i="31"/>
  <c r="DJ26" i="31"/>
  <c r="DK26" i="31" s="1"/>
  <c r="DB26" i="31"/>
  <c r="CT26" i="31"/>
  <c r="CL26" i="31"/>
  <c r="CD26" i="31"/>
  <c r="BV26" i="31"/>
  <c r="BN26" i="31"/>
  <c r="DH26" i="31"/>
  <c r="CZ26" i="31"/>
  <c r="CR26" i="31"/>
  <c r="CJ26" i="31"/>
  <c r="CB26" i="31"/>
  <c r="BT26" i="31"/>
  <c r="BL26" i="31"/>
  <c r="DG26" i="31"/>
  <c r="CY26" i="31"/>
  <c r="CQ26" i="31"/>
  <c r="CI26" i="31"/>
  <c r="CA26" i="31"/>
  <c r="BS26" i="31"/>
  <c r="BK26" i="31"/>
  <c r="BU26" i="31"/>
  <c r="BM26" i="31"/>
  <c r="CS26" i="31"/>
  <c r="DI26" i="31"/>
  <c r="CK26" i="31"/>
  <c r="DA26" i="31"/>
  <c r="CC26" i="31"/>
  <c r="F214" i="24"/>
  <c r="DI95" i="31"/>
  <c r="DA95" i="31"/>
  <c r="CS95" i="31"/>
  <c r="CK95" i="31"/>
  <c r="CC95" i="31"/>
  <c r="BU95" i="31"/>
  <c r="BM95" i="31"/>
  <c r="DG95" i="31"/>
  <c r="CY95" i="31"/>
  <c r="CQ95" i="31"/>
  <c r="CI95" i="31"/>
  <c r="CA95" i="31"/>
  <c r="BS95" i="31"/>
  <c r="BK95" i="31"/>
  <c r="DF95" i="31"/>
  <c r="CX95" i="31"/>
  <c r="CP95" i="31"/>
  <c r="CH95" i="31"/>
  <c r="BZ95" i="31"/>
  <c r="BR95" i="31"/>
  <c r="DE95" i="31"/>
  <c r="CW95" i="31"/>
  <c r="CO95" i="31"/>
  <c r="CG95" i="31"/>
  <c r="BY95" i="31"/>
  <c r="BQ95" i="31"/>
  <c r="DD95" i="31"/>
  <c r="CV95" i="31"/>
  <c r="CN95" i="31"/>
  <c r="CF95" i="31"/>
  <c r="BX95" i="31"/>
  <c r="BP95" i="31"/>
  <c r="DH95" i="31"/>
  <c r="CL95" i="31"/>
  <c r="BO95" i="31"/>
  <c r="DC95" i="31"/>
  <c r="CJ95" i="31"/>
  <c r="BN95" i="31"/>
  <c r="DB95" i="31"/>
  <c r="CE95" i="31"/>
  <c r="BL95" i="31"/>
  <c r="CZ95" i="31"/>
  <c r="CD95" i="31"/>
  <c r="CU95" i="31"/>
  <c r="CB95" i="31"/>
  <c r="CT95" i="31"/>
  <c r="BW95" i="31"/>
  <c r="CR95" i="31"/>
  <c r="BV95" i="31"/>
  <c r="BT95" i="31"/>
  <c r="DJ95" i="31"/>
  <c r="DK95" i="31" s="1"/>
  <c r="CM95" i="31"/>
  <c r="DI50" i="31"/>
  <c r="DA50" i="31"/>
  <c r="CS50" i="31"/>
  <c r="CK50" i="31"/>
  <c r="CC50" i="31"/>
  <c r="BU50" i="31"/>
  <c r="BM50" i="31"/>
  <c r="DH50" i="31"/>
  <c r="CZ50" i="31"/>
  <c r="CR50" i="31"/>
  <c r="CJ50" i="31"/>
  <c r="CB50" i="31"/>
  <c r="BT50" i="31"/>
  <c r="BL50" i="31"/>
  <c r="DG50" i="31"/>
  <c r="CY50" i="31"/>
  <c r="CQ50" i="31"/>
  <c r="CI50" i="31"/>
  <c r="CA50" i="31"/>
  <c r="BS50" i="31"/>
  <c r="BK50" i="31"/>
  <c r="DE50" i="31"/>
  <c r="CW50" i="31"/>
  <c r="CO50" i="31"/>
  <c r="CG50" i="31"/>
  <c r="BY50" i="31"/>
  <c r="BQ50" i="31"/>
  <c r="DD50" i="31"/>
  <c r="CV50" i="31"/>
  <c r="CN50" i="31"/>
  <c r="CF50" i="31"/>
  <c r="BX50" i="31"/>
  <c r="BP50" i="31"/>
  <c r="DJ50" i="31"/>
  <c r="DK50" i="31" s="1"/>
  <c r="CM50" i="31"/>
  <c r="BR50" i="31"/>
  <c r="DF50" i="31"/>
  <c r="CL50" i="31"/>
  <c r="BO50" i="31"/>
  <c r="DC50" i="31"/>
  <c r="CH50" i="31"/>
  <c r="BN50" i="31"/>
  <c r="DB50" i="31"/>
  <c r="CE50" i="31"/>
  <c r="CX50" i="31"/>
  <c r="CD50" i="31"/>
  <c r="CU50" i="31"/>
  <c r="BZ50" i="31"/>
  <c r="CT50" i="31"/>
  <c r="BW50" i="31"/>
  <c r="CP50" i="31"/>
  <c r="BV50" i="31"/>
  <c r="DH29" i="31"/>
  <c r="CZ29" i="31"/>
  <c r="CR29" i="31"/>
  <c r="CJ29" i="31"/>
  <c r="CB29" i="31"/>
  <c r="BT29" i="31"/>
  <c r="BL29" i="31"/>
  <c r="DG29" i="31"/>
  <c r="CY29" i="31"/>
  <c r="DF29" i="31"/>
  <c r="CX29" i="31"/>
  <c r="CP29" i="31"/>
  <c r="CH29" i="31"/>
  <c r="BZ29" i="31"/>
  <c r="BR29" i="31"/>
  <c r="DE29" i="31"/>
  <c r="CW29" i="31"/>
  <c r="CO29" i="31"/>
  <c r="CG29" i="31"/>
  <c r="DC29" i="31"/>
  <c r="DJ29" i="31"/>
  <c r="DK29" i="31" s="1"/>
  <c r="DB29" i="31"/>
  <c r="CT29" i="31"/>
  <c r="CL29" i="31"/>
  <c r="DI29" i="31"/>
  <c r="CM29" i="31"/>
  <c r="BY29" i="31"/>
  <c r="BO29" i="31"/>
  <c r="DD29" i="31"/>
  <c r="CK29" i="31"/>
  <c r="BX29" i="31"/>
  <c r="BN29" i="31"/>
  <c r="DA29" i="31"/>
  <c r="CI29" i="31"/>
  <c r="BW29" i="31"/>
  <c r="BM29" i="31"/>
  <c r="CV29" i="31"/>
  <c r="CF29" i="31"/>
  <c r="BV29" i="31"/>
  <c r="BK29" i="31"/>
  <c r="CU29" i="31"/>
  <c r="CE29" i="31"/>
  <c r="BU29" i="31"/>
  <c r="CQ29" i="31"/>
  <c r="CC29" i="31"/>
  <c r="BQ29" i="31"/>
  <c r="CN29" i="31"/>
  <c r="CA29" i="31"/>
  <c r="BP29" i="31"/>
  <c r="BS29" i="31"/>
  <c r="CS29" i="31"/>
  <c r="CD29" i="31"/>
  <c r="DJ24" i="31"/>
  <c r="DK24" i="31" s="1"/>
  <c r="DB24" i="31"/>
  <c r="CT24" i="31"/>
  <c r="CL24" i="31"/>
  <c r="CD24" i="31"/>
  <c r="BV24" i="31"/>
  <c r="BN24" i="31"/>
  <c r="DI24" i="31"/>
  <c r="DA24" i="31"/>
  <c r="CS24" i="31"/>
  <c r="CK24" i="31"/>
  <c r="CC24" i="31"/>
  <c r="BU24" i="31"/>
  <c r="BM24" i="31"/>
  <c r="DH24" i="31"/>
  <c r="CZ24" i="31"/>
  <c r="CR24" i="31"/>
  <c r="CJ24" i="31"/>
  <c r="CB24" i="31"/>
  <c r="BT24" i="31"/>
  <c r="BL24" i="31"/>
  <c r="DG24" i="31"/>
  <c r="CY24" i="31"/>
  <c r="CQ24" i="31"/>
  <c r="CI24" i="31"/>
  <c r="CA24" i="31"/>
  <c r="BS24" i="31"/>
  <c r="BK24" i="31"/>
  <c r="DF24" i="31"/>
  <c r="CX24" i="31"/>
  <c r="CP24" i="31"/>
  <c r="CH24" i="31"/>
  <c r="BZ24" i="31"/>
  <c r="BR24" i="31"/>
  <c r="DD24" i="31"/>
  <c r="CV24" i="31"/>
  <c r="CN24" i="31"/>
  <c r="CF24" i="31"/>
  <c r="BX24" i="31"/>
  <c r="BP24" i="31"/>
  <c r="DC24" i="31"/>
  <c r="CU24" i="31"/>
  <c r="CM24" i="31"/>
  <c r="CE24" i="31"/>
  <c r="BW24" i="31"/>
  <c r="BO24" i="31"/>
  <c r="DE24" i="31"/>
  <c r="CW24" i="31"/>
  <c r="CG24" i="31"/>
  <c r="CO24" i="31"/>
  <c r="BQ24" i="31"/>
  <c r="BY24" i="31"/>
  <c r="DE61" i="31"/>
  <c r="CW61" i="31"/>
  <c r="CO61" i="31"/>
  <c r="CG61" i="31"/>
  <c r="BY61" i="31"/>
  <c r="BQ61" i="31"/>
  <c r="DD61" i="31"/>
  <c r="CV61" i="31"/>
  <c r="CN61" i="31"/>
  <c r="CF61" i="31"/>
  <c r="BX61" i="31"/>
  <c r="BP61" i="31"/>
  <c r="DC61" i="31"/>
  <c r="CU61" i="31"/>
  <c r="CM61" i="31"/>
  <c r="CE61" i="31"/>
  <c r="BW61" i="31"/>
  <c r="BO61" i="31"/>
  <c r="DJ61" i="31"/>
  <c r="DK61" i="31" s="1"/>
  <c r="DB61" i="31"/>
  <c r="CT61" i="31"/>
  <c r="CL61" i="31"/>
  <c r="CD61" i="31"/>
  <c r="BV61" i="31"/>
  <c r="BN61" i="31"/>
  <c r="DI61" i="31"/>
  <c r="DA61" i="31"/>
  <c r="CS61" i="31"/>
  <c r="CK61" i="31"/>
  <c r="CC61" i="31"/>
  <c r="BU61" i="31"/>
  <c r="BM61" i="31"/>
  <c r="DG61" i="31"/>
  <c r="CY61" i="31"/>
  <c r="CQ61" i="31"/>
  <c r="CI61" i="31"/>
  <c r="CA61" i="31"/>
  <c r="BS61" i="31"/>
  <c r="BK61" i="31"/>
  <c r="DF61" i="31"/>
  <c r="CX61" i="31"/>
  <c r="CP61" i="31"/>
  <c r="CH61" i="31"/>
  <c r="BZ61" i="31"/>
  <c r="BR61" i="31"/>
  <c r="CB61" i="31"/>
  <c r="BT61" i="31"/>
  <c r="BL61" i="31"/>
  <c r="DH61" i="31"/>
  <c r="CZ61" i="31"/>
  <c r="CR61" i="31"/>
  <c r="CJ61" i="31"/>
  <c r="DG98" i="31"/>
  <c r="CY98" i="31"/>
  <c r="CQ98" i="31"/>
  <c r="CI98" i="31"/>
  <c r="CA98" i="31"/>
  <c r="BS98" i="31"/>
  <c r="BK98" i="31"/>
  <c r="DE98" i="31"/>
  <c r="CW98" i="31"/>
  <c r="CO98" i="31"/>
  <c r="CG98" i="31"/>
  <c r="BY98" i="31"/>
  <c r="BQ98" i="31"/>
  <c r="DD98" i="31"/>
  <c r="CV98" i="31"/>
  <c r="CN98" i="31"/>
  <c r="CF98" i="31"/>
  <c r="BX98" i="31"/>
  <c r="BP98" i="31"/>
  <c r="DC98" i="31"/>
  <c r="CU98" i="31"/>
  <c r="CM98" i="31"/>
  <c r="CE98" i="31"/>
  <c r="BW98" i="31"/>
  <c r="BO98" i="31"/>
  <c r="DJ98" i="31"/>
  <c r="DK98" i="31" s="1"/>
  <c r="DB98" i="31"/>
  <c r="CT98" i="31"/>
  <c r="CL98" i="31"/>
  <c r="CD98" i="31"/>
  <c r="BV98" i="31"/>
  <c r="BN98" i="31"/>
  <c r="CS98" i="31"/>
  <c r="BZ98" i="31"/>
  <c r="CR98" i="31"/>
  <c r="BU98" i="31"/>
  <c r="DI98" i="31"/>
  <c r="CP98" i="31"/>
  <c r="BT98" i="31"/>
  <c r="DH98" i="31"/>
  <c r="CK98" i="31"/>
  <c r="BR98" i="31"/>
  <c r="DF98" i="31"/>
  <c r="CJ98" i="31"/>
  <c r="BM98" i="31"/>
  <c r="DA98" i="31"/>
  <c r="CH98" i="31"/>
  <c r="BL98" i="31"/>
  <c r="CZ98" i="31"/>
  <c r="CC98" i="31"/>
  <c r="CB98" i="31"/>
  <c r="CX98" i="31"/>
  <c r="DH23" i="31"/>
  <c r="CZ23" i="31"/>
  <c r="CR23" i="31"/>
  <c r="CJ23" i="31"/>
  <c r="CB23" i="31"/>
  <c r="BT23" i="31"/>
  <c r="BL23" i="31"/>
  <c r="DG23" i="31"/>
  <c r="CY23" i="31"/>
  <c r="CQ23" i="31"/>
  <c r="CI23" i="31"/>
  <c r="CA23" i="31"/>
  <c r="BS23" i="31"/>
  <c r="BK23" i="31"/>
  <c r="DF23" i="31"/>
  <c r="CX23" i="31"/>
  <c r="CP23" i="31"/>
  <c r="CH23" i="31"/>
  <c r="BZ23" i="31"/>
  <c r="BR23" i="31"/>
  <c r="DE23" i="31"/>
  <c r="CW23" i="31"/>
  <c r="CO23" i="31"/>
  <c r="CG23" i="31"/>
  <c r="BY23" i="31"/>
  <c r="BQ23" i="31"/>
  <c r="DD23" i="31"/>
  <c r="CV23" i="31"/>
  <c r="CN23" i="31"/>
  <c r="CF23" i="31"/>
  <c r="BX23" i="31"/>
  <c r="BP23" i="31"/>
  <c r="DJ23" i="31"/>
  <c r="DK23" i="31" s="1"/>
  <c r="DB23" i="31"/>
  <c r="CT23" i="31"/>
  <c r="CL23" i="31"/>
  <c r="CD23" i="31"/>
  <c r="BV23" i="31"/>
  <c r="BN23" i="31"/>
  <c r="DI23" i="31"/>
  <c r="DA23" i="31"/>
  <c r="CS23" i="31"/>
  <c r="CK23" i="31"/>
  <c r="CC23" i="31"/>
  <c r="BU23" i="31"/>
  <c r="BM23" i="31"/>
  <c r="DC23" i="31"/>
  <c r="CU23" i="31"/>
  <c r="BO23" i="31"/>
  <c r="CM23" i="31"/>
  <c r="CE23" i="31"/>
  <c r="BW23" i="31"/>
  <c r="DH41" i="31"/>
  <c r="CZ41" i="31"/>
  <c r="CR41" i="31"/>
  <c r="CJ41" i="31"/>
  <c r="CB41" i="31"/>
  <c r="BT41" i="31"/>
  <c r="BL41" i="31"/>
  <c r="DG41" i="31"/>
  <c r="CY41" i="31"/>
  <c r="CQ41" i="31"/>
  <c r="CI41" i="31"/>
  <c r="CA41" i="31"/>
  <c r="BS41" i="31"/>
  <c r="BK41" i="31"/>
  <c r="DF41" i="31"/>
  <c r="CX41" i="31"/>
  <c r="CP41" i="31"/>
  <c r="CH41" i="31"/>
  <c r="BZ41" i="31"/>
  <c r="BR41" i="31"/>
  <c r="DE41" i="31"/>
  <c r="CW41" i="31"/>
  <c r="CO41" i="31"/>
  <c r="CG41" i="31"/>
  <c r="BY41" i="31"/>
  <c r="BQ41" i="31"/>
  <c r="DD41" i="31"/>
  <c r="CV41" i="31"/>
  <c r="CN41" i="31"/>
  <c r="CF41" i="31"/>
  <c r="BX41" i="31"/>
  <c r="BP41" i="31"/>
  <c r="DC41" i="31"/>
  <c r="CU41" i="31"/>
  <c r="CM41" i="31"/>
  <c r="CE41" i="31"/>
  <c r="BW41" i="31"/>
  <c r="BO41" i="31"/>
  <c r="DJ41" i="31"/>
  <c r="DK41" i="31" s="1"/>
  <c r="DB41" i="31"/>
  <c r="CT41" i="31"/>
  <c r="CL41" i="31"/>
  <c r="CD41" i="31"/>
  <c r="BV41" i="31"/>
  <c r="BN41" i="31"/>
  <c r="CK41" i="31"/>
  <c r="CC41" i="31"/>
  <c r="BU41" i="31"/>
  <c r="BM41" i="31"/>
  <c r="DA41" i="31"/>
  <c r="CS41" i="31"/>
  <c r="DI41" i="31"/>
  <c r="DI55" i="31"/>
  <c r="DA55" i="31"/>
  <c r="CS55" i="31"/>
  <c r="CK55" i="31"/>
  <c r="CC55" i="31"/>
  <c r="BU55" i="31"/>
  <c r="BM55" i="31"/>
  <c r="DH55" i="31"/>
  <c r="CZ55" i="31"/>
  <c r="CR55" i="31"/>
  <c r="CJ55" i="31"/>
  <c r="CB55" i="31"/>
  <c r="BT55" i="31"/>
  <c r="BL55" i="31"/>
  <c r="DG55" i="31"/>
  <c r="CY55" i="31"/>
  <c r="CQ55" i="31"/>
  <c r="CI55" i="31"/>
  <c r="CA55" i="31"/>
  <c r="BS55" i="31"/>
  <c r="BK55" i="31"/>
  <c r="DF55" i="31"/>
  <c r="CX55" i="31"/>
  <c r="CP55" i="31"/>
  <c r="CH55" i="31"/>
  <c r="BZ55" i="31"/>
  <c r="BR55" i="31"/>
  <c r="DE55" i="31"/>
  <c r="CW55" i="31"/>
  <c r="CO55" i="31"/>
  <c r="CG55" i="31"/>
  <c r="BY55" i="31"/>
  <c r="BQ55" i="31"/>
  <c r="DC55" i="31"/>
  <c r="CU55" i="31"/>
  <c r="CM55" i="31"/>
  <c r="CE55" i="31"/>
  <c r="BW55" i="31"/>
  <c r="BO55" i="31"/>
  <c r="DJ55" i="31"/>
  <c r="DK55" i="31" s="1"/>
  <c r="DB55" i="31"/>
  <c r="CT55" i="31"/>
  <c r="CL55" i="31"/>
  <c r="CD55" i="31"/>
  <c r="BV55" i="31"/>
  <c r="BN55" i="31"/>
  <c r="CF55" i="31"/>
  <c r="BX55" i="31"/>
  <c r="BP55" i="31"/>
  <c r="DD55" i="31"/>
  <c r="CV55" i="31"/>
  <c r="CN55" i="31"/>
  <c r="DF32" i="31"/>
  <c r="CX32" i="31"/>
  <c r="CP32" i="31"/>
  <c r="CH32" i="31"/>
  <c r="BZ32" i="31"/>
  <c r="BR32" i="31"/>
  <c r="DE32" i="31"/>
  <c r="CW32" i="31"/>
  <c r="CO32" i="31"/>
  <c r="CG32" i="31"/>
  <c r="BY32" i="31"/>
  <c r="BQ32" i="31"/>
  <c r="DD32" i="31"/>
  <c r="CV32" i="31"/>
  <c r="CN32" i="31"/>
  <c r="CF32" i="31"/>
  <c r="BX32" i="31"/>
  <c r="BP32" i="31"/>
  <c r="DC32" i="31"/>
  <c r="CU32" i="31"/>
  <c r="CM32" i="31"/>
  <c r="CE32" i="31"/>
  <c r="BW32" i="31"/>
  <c r="BO32" i="31"/>
  <c r="DI32" i="31"/>
  <c r="DA32" i="31"/>
  <c r="CS32" i="31"/>
  <c r="CK32" i="31"/>
  <c r="CC32" i="31"/>
  <c r="BU32" i="31"/>
  <c r="BM32" i="31"/>
  <c r="DH32" i="31"/>
  <c r="CZ32" i="31"/>
  <c r="CR32" i="31"/>
  <c r="CJ32" i="31"/>
  <c r="CB32" i="31"/>
  <c r="BT32" i="31"/>
  <c r="BL32" i="31"/>
  <c r="DG32" i="31"/>
  <c r="CA32" i="31"/>
  <c r="DB32" i="31"/>
  <c r="BV32" i="31"/>
  <c r="CY32" i="31"/>
  <c r="BS32" i="31"/>
  <c r="CT32" i="31"/>
  <c r="BN32" i="31"/>
  <c r="CQ32" i="31"/>
  <c r="BK32" i="31"/>
  <c r="CI32" i="31"/>
  <c r="DJ32" i="31"/>
  <c r="DK32" i="31" s="1"/>
  <c r="CD32" i="31"/>
  <c r="CL32" i="31"/>
  <c r="DE93" i="31"/>
  <c r="CW93" i="31"/>
  <c r="CO93" i="31"/>
  <c r="CG93" i="31"/>
  <c r="BY93" i="31"/>
  <c r="BQ93" i="31"/>
  <c r="DC93" i="31"/>
  <c r="CU93" i="31"/>
  <c r="CM93" i="31"/>
  <c r="CE93" i="31"/>
  <c r="BW93" i="31"/>
  <c r="BO93" i="31"/>
  <c r="DJ93" i="31"/>
  <c r="DK93" i="31" s="1"/>
  <c r="DB93" i="31"/>
  <c r="CT93" i="31"/>
  <c r="CL93" i="31"/>
  <c r="CD93" i="31"/>
  <c r="BV93" i="31"/>
  <c r="BN93" i="31"/>
  <c r="DI93" i="31"/>
  <c r="DA93" i="31"/>
  <c r="CS93" i="31"/>
  <c r="CK93" i="31"/>
  <c r="CC93" i="31"/>
  <c r="BU93" i="31"/>
  <c r="BM93" i="31"/>
  <c r="DH93" i="31"/>
  <c r="CR93" i="31"/>
  <c r="CB93" i="31"/>
  <c r="BL93" i="31"/>
  <c r="DG93" i="31"/>
  <c r="CQ93" i="31"/>
  <c r="CA93" i="31"/>
  <c r="BK93" i="31"/>
  <c r="DF93" i="31"/>
  <c r="CP93" i="31"/>
  <c r="BZ93" i="31"/>
  <c r="DD93" i="31"/>
  <c r="CN93" i="31"/>
  <c r="BX93" i="31"/>
  <c r="CZ93" i="31"/>
  <c r="CJ93" i="31"/>
  <c r="BT93" i="31"/>
  <c r="CY93" i="31"/>
  <c r="CI93" i="31"/>
  <c r="BS93" i="31"/>
  <c r="CX93" i="31"/>
  <c r="CH93" i="31"/>
  <c r="BR93" i="31"/>
  <c r="CV93" i="31"/>
  <c r="CF93" i="31"/>
  <c r="BP93" i="31"/>
  <c r="DD13" i="31"/>
  <c r="CV13" i="31"/>
  <c r="CN13" i="31"/>
  <c r="CF13" i="31"/>
  <c r="BX13" i="31"/>
  <c r="BP13" i="31"/>
  <c r="DC13" i="31"/>
  <c r="CU13" i="31"/>
  <c r="CM13" i="31"/>
  <c r="CE13" i="31"/>
  <c r="BW13" i="31"/>
  <c r="BO13" i="31"/>
  <c r="DJ13" i="31"/>
  <c r="DK13" i="31" s="1"/>
  <c r="DB13" i="31"/>
  <c r="CT13" i="31"/>
  <c r="CL13" i="31"/>
  <c r="CD13" i="31"/>
  <c r="BV13" i="31"/>
  <c r="BN13" i="31"/>
  <c r="DI13" i="31"/>
  <c r="DA13" i="31"/>
  <c r="CS13" i="31"/>
  <c r="CK13" i="31"/>
  <c r="CC13" i="31"/>
  <c r="BU13" i="31"/>
  <c r="BM13" i="31"/>
  <c r="DH13" i="31"/>
  <c r="CZ13" i="31"/>
  <c r="CR13" i="31"/>
  <c r="CJ13" i="31"/>
  <c r="CB13" i="31"/>
  <c r="BT13" i="31"/>
  <c r="BL13" i="31"/>
  <c r="DF13" i="31"/>
  <c r="CX13" i="31"/>
  <c r="CP13" i="31"/>
  <c r="CH13" i="31"/>
  <c r="BZ13" i="31"/>
  <c r="BR13" i="31"/>
  <c r="DE13" i="31"/>
  <c r="CW13" i="31"/>
  <c r="CO13" i="31"/>
  <c r="CG13" i="31"/>
  <c r="BY13" i="31"/>
  <c r="BQ13" i="31"/>
  <c r="BS13" i="31"/>
  <c r="CQ13" i="31"/>
  <c r="BK13" i="31"/>
  <c r="CY13" i="31"/>
  <c r="DG13" i="31"/>
  <c r="CI13" i="31"/>
  <c r="CA13" i="31"/>
  <c r="DF14" i="31"/>
  <c r="CX14" i="31"/>
  <c r="CP14" i="31"/>
  <c r="CH14" i="31"/>
  <c r="BZ14" i="31"/>
  <c r="BR14" i="31"/>
  <c r="DE14" i="31"/>
  <c r="CW14" i="31"/>
  <c r="CO14" i="31"/>
  <c r="CG14" i="31"/>
  <c r="BY14" i="31"/>
  <c r="BQ14" i="31"/>
  <c r="DD14" i="31"/>
  <c r="CV14" i="31"/>
  <c r="CN14" i="31"/>
  <c r="CF14" i="31"/>
  <c r="BX14" i="31"/>
  <c r="BP14" i="31"/>
  <c r="DC14" i="31"/>
  <c r="CU14" i="31"/>
  <c r="CM14" i="31"/>
  <c r="CE14" i="31"/>
  <c r="BW14" i="31"/>
  <c r="BO14" i="31"/>
  <c r="DJ14" i="31"/>
  <c r="DK14" i="31" s="1"/>
  <c r="DB14" i="31"/>
  <c r="CT14" i="31"/>
  <c r="CL14" i="31"/>
  <c r="CD14" i="31"/>
  <c r="BV14" i="31"/>
  <c r="BN14" i="31"/>
  <c r="DH14" i="31"/>
  <c r="CZ14" i="31"/>
  <c r="CR14" i="31"/>
  <c r="CJ14" i="31"/>
  <c r="CB14" i="31"/>
  <c r="BT14" i="31"/>
  <c r="BL14" i="31"/>
  <c r="DG14" i="31"/>
  <c r="CY14" i="31"/>
  <c r="CQ14" i="31"/>
  <c r="CI14" i="31"/>
  <c r="CA14" i="31"/>
  <c r="BS14" i="31"/>
  <c r="BK14" i="31"/>
  <c r="CC14" i="31"/>
  <c r="BU14" i="31"/>
  <c r="BM14" i="31"/>
  <c r="DI14" i="31"/>
  <c r="CS14" i="31"/>
  <c r="CK14" i="31"/>
  <c r="DA14" i="31"/>
  <c r="DH37" i="31"/>
  <c r="CZ37" i="31"/>
  <c r="CR37" i="31"/>
  <c r="CJ37" i="31"/>
  <c r="CB37" i="31"/>
  <c r="BT37" i="31"/>
  <c r="BL37" i="31"/>
  <c r="DG37" i="31"/>
  <c r="CY37" i="31"/>
  <c r="CQ37" i="31"/>
  <c r="CI37" i="31"/>
  <c r="CA37" i="31"/>
  <c r="BS37" i="31"/>
  <c r="BK37" i="31"/>
  <c r="DF37" i="31"/>
  <c r="CX37" i="31"/>
  <c r="CP37" i="31"/>
  <c r="CH37" i="31"/>
  <c r="BZ37" i="31"/>
  <c r="BR37" i="31"/>
  <c r="DE37" i="31"/>
  <c r="CW37" i="31"/>
  <c r="CO37" i="31"/>
  <c r="CG37" i="31"/>
  <c r="BY37" i="31"/>
  <c r="BQ37" i="31"/>
  <c r="DD37" i="31"/>
  <c r="CV37" i="31"/>
  <c r="CN37" i="31"/>
  <c r="CF37" i="31"/>
  <c r="BX37" i="31"/>
  <c r="BP37" i="31"/>
  <c r="DC37" i="31"/>
  <c r="CU37" i="31"/>
  <c r="CM37" i="31"/>
  <c r="CE37" i="31"/>
  <c r="BW37" i="31"/>
  <c r="BO37" i="31"/>
  <c r="DJ37" i="31"/>
  <c r="DK37" i="31" s="1"/>
  <c r="DB37" i="31"/>
  <c r="CT37" i="31"/>
  <c r="CL37" i="31"/>
  <c r="CD37" i="31"/>
  <c r="BV37" i="31"/>
  <c r="BN37" i="31"/>
  <c r="DI37" i="31"/>
  <c r="DA37" i="31"/>
  <c r="CS37" i="31"/>
  <c r="CK37" i="31"/>
  <c r="CC37" i="31"/>
  <c r="BM37" i="31"/>
  <c r="BU37" i="31"/>
  <c r="DG45" i="31"/>
  <c r="CY45" i="31"/>
  <c r="CQ45" i="31"/>
  <c r="CI45" i="31"/>
  <c r="CA45" i="31"/>
  <c r="BS45" i="31"/>
  <c r="BK45" i="31"/>
  <c r="DF45" i="31"/>
  <c r="CX45" i="31"/>
  <c r="CP45" i="31"/>
  <c r="CH45" i="31"/>
  <c r="BZ45" i="31"/>
  <c r="BR45" i="31"/>
  <c r="DE45" i="31"/>
  <c r="CW45" i="31"/>
  <c r="CO45" i="31"/>
  <c r="CG45" i="31"/>
  <c r="BY45" i="31"/>
  <c r="BQ45" i="31"/>
  <c r="DC45" i="31"/>
  <c r="CU45" i="31"/>
  <c r="CM45" i="31"/>
  <c r="CE45" i="31"/>
  <c r="BW45" i="31"/>
  <c r="BO45" i="31"/>
  <c r="DJ45" i="31"/>
  <c r="DK45" i="31" s="1"/>
  <c r="DB45" i="31"/>
  <c r="CT45" i="31"/>
  <c r="CL45" i="31"/>
  <c r="CD45" i="31"/>
  <c r="BV45" i="31"/>
  <c r="BN45" i="31"/>
  <c r="DA45" i="31"/>
  <c r="CF45" i="31"/>
  <c r="BL45" i="31"/>
  <c r="CZ45" i="31"/>
  <c r="CC45" i="31"/>
  <c r="CV45" i="31"/>
  <c r="CB45" i="31"/>
  <c r="CS45" i="31"/>
  <c r="BX45" i="31"/>
  <c r="CR45" i="31"/>
  <c r="BU45" i="31"/>
  <c r="DI45" i="31"/>
  <c r="CN45" i="31"/>
  <c r="BT45" i="31"/>
  <c r="DH45" i="31"/>
  <c r="CK45" i="31"/>
  <c r="BP45" i="31"/>
  <c r="CJ45" i="31"/>
  <c r="BM45" i="31"/>
  <c r="DD45" i="31"/>
  <c r="DJ81" i="31"/>
  <c r="DK81" i="31" s="1"/>
  <c r="DB81" i="31"/>
  <c r="CT81" i="31"/>
  <c r="CL81" i="31"/>
  <c r="CD81" i="31"/>
  <c r="BV81" i="31"/>
  <c r="BN81" i="31"/>
  <c r="DI81" i="31"/>
  <c r="DA81" i="31"/>
  <c r="CS81" i="31"/>
  <c r="CK81" i="31"/>
  <c r="CC81" i="31"/>
  <c r="BU81" i="31"/>
  <c r="BM81" i="31"/>
  <c r="DH81" i="31"/>
  <c r="CZ81" i="31"/>
  <c r="CR81" i="31"/>
  <c r="CJ81" i="31"/>
  <c r="CB81" i="31"/>
  <c r="BT81" i="31"/>
  <c r="BL81" i="31"/>
  <c r="DG81" i="31"/>
  <c r="CY81" i="31"/>
  <c r="CQ81" i="31"/>
  <c r="CI81" i="31"/>
  <c r="CA81" i="31"/>
  <c r="BS81" i="31"/>
  <c r="BK81" i="31"/>
  <c r="DF81" i="31"/>
  <c r="CX81" i="31"/>
  <c r="CP81" i="31"/>
  <c r="CH81" i="31"/>
  <c r="BZ81" i="31"/>
  <c r="BR81" i="31"/>
  <c r="DE81" i="31"/>
  <c r="CW81" i="31"/>
  <c r="CO81" i="31"/>
  <c r="CG81" i="31"/>
  <c r="BY81" i="31"/>
  <c r="BQ81" i="31"/>
  <c r="DD81" i="31"/>
  <c r="CV81" i="31"/>
  <c r="CN81" i="31"/>
  <c r="CF81" i="31"/>
  <c r="BX81" i="31"/>
  <c r="BP81" i="31"/>
  <c r="DC81" i="31"/>
  <c r="CU81" i="31"/>
  <c r="CM81" i="31"/>
  <c r="CE81" i="31"/>
  <c r="BW81" i="31"/>
  <c r="BO81" i="31"/>
  <c r="DI46" i="31"/>
  <c r="DA46" i="31"/>
  <c r="CS46" i="31"/>
  <c r="CK46" i="31"/>
  <c r="CC46" i="31"/>
  <c r="BU46" i="31"/>
  <c r="BM46" i="31"/>
  <c r="DH46" i="31"/>
  <c r="CZ46" i="31"/>
  <c r="CR46" i="31"/>
  <c r="CJ46" i="31"/>
  <c r="CB46" i="31"/>
  <c r="BT46" i="31"/>
  <c r="BL46" i="31"/>
  <c r="DG46" i="31"/>
  <c r="CY46" i="31"/>
  <c r="CQ46" i="31"/>
  <c r="CI46" i="31"/>
  <c r="CA46" i="31"/>
  <c r="BS46" i="31"/>
  <c r="BK46" i="31"/>
  <c r="DE46" i="31"/>
  <c r="CW46" i="31"/>
  <c r="CO46" i="31"/>
  <c r="CG46" i="31"/>
  <c r="BY46" i="31"/>
  <c r="BQ46" i="31"/>
  <c r="DD46" i="31"/>
  <c r="CV46" i="31"/>
  <c r="CN46" i="31"/>
  <c r="CF46" i="31"/>
  <c r="BX46" i="31"/>
  <c r="BP46" i="31"/>
  <c r="CP46" i="31"/>
  <c r="BV46" i="31"/>
  <c r="DJ46" i="31"/>
  <c r="DK46" i="31" s="1"/>
  <c r="CM46" i="31"/>
  <c r="BR46" i="31"/>
  <c r="DF46" i="31"/>
  <c r="CL46" i="31"/>
  <c r="BO46" i="31"/>
  <c r="DC46" i="31"/>
  <c r="CH46" i="31"/>
  <c r="BN46" i="31"/>
  <c r="DB46" i="31"/>
  <c r="CE46" i="31"/>
  <c r="CX46" i="31"/>
  <c r="CD46" i="31"/>
  <c r="CU46" i="31"/>
  <c r="BZ46" i="31"/>
  <c r="BW46" i="31"/>
  <c r="CT46" i="31"/>
  <c r="DD35" i="31"/>
  <c r="CV35" i="31"/>
  <c r="CN35" i="31"/>
  <c r="CF35" i="31"/>
  <c r="BX35" i="31"/>
  <c r="BP35" i="31"/>
  <c r="DC35" i="31"/>
  <c r="CU35" i="31"/>
  <c r="CM35" i="31"/>
  <c r="CE35" i="31"/>
  <c r="BW35" i="31"/>
  <c r="BO35" i="31"/>
  <c r="DJ35" i="31"/>
  <c r="DK35" i="31" s="1"/>
  <c r="DB35" i="31"/>
  <c r="CT35" i="31"/>
  <c r="CL35" i="31"/>
  <c r="CD35" i="31"/>
  <c r="BV35" i="31"/>
  <c r="BN35" i="31"/>
  <c r="DI35" i="31"/>
  <c r="DA35" i="31"/>
  <c r="CS35" i="31"/>
  <c r="CK35" i="31"/>
  <c r="CC35" i="31"/>
  <c r="BU35" i="31"/>
  <c r="BM35" i="31"/>
  <c r="DH35" i="31"/>
  <c r="CZ35" i="31"/>
  <c r="CR35" i="31"/>
  <c r="CJ35" i="31"/>
  <c r="CB35" i="31"/>
  <c r="BT35" i="31"/>
  <c r="BL35" i="31"/>
  <c r="DG35" i="31"/>
  <c r="CY35" i="31"/>
  <c r="CQ35" i="31"/>
  <c r="CI35" i="31"/>
  <c r="CA35" i="31"/>
  <c r="BS35" i="31"/>
  <c r="BK35" i="31"/>
  <c r="DF35" i="31"/>
  <c r="CX35" i="31"/>
  <c r="CP35" i="31"/>
  <c r="CH35" i="31"/>
  <c r="BZ35" i="31"/>
  <c r="BR35" i="31"/>
  <c r="CO35" i="31"/>
  <c r="CG35" i="31"/>
  <c r="BY35" i="31"/>
  <c r="BQ35" i="31"/>
  <c r="DE35" i="31"/>
  <c r="CW35" i="31"/>
  <c r="DI69" i="31"/>
  <c r="DA69" i="31"/>
  <c r="CS69" i="31"/>
  <c r="CK69" i="31"/>
  <c r="CC69" i="31"/>
  <c r="BU69" i="31"/>
  <c r="BM69" i="31"/>
  <c r="DH69" i="31"/>
  <c r="CZ69" i="31"/>
  <c r="CR69" i="31"/>
  <c r="CJ69" i="31"/>
  <c r="CB69" i="31"/>
  <c r="BT69" i="31"/>
  <c r="BL69" i="31"/>
  <c r="DG69" i="31"/>
  <c r="CY69" i="31"/>
  <c r="CQ69" i="31"/>
  <c r="CI69" i="31"/>
  <c r="CA69" i="31"/>
  <c r="BS69" i="31"/>
  <c r="BK69" i="31"/>
  <c r="DF69" i="31"/>
  <c r="CX69" i="31"/>
  <c r="CP69" i="31"/>
  <c r="CH69" i="31"/>
  <c r="BZ69" i="31"/>
  <c r="BR69" i="31"/>
  <c r="DE69" i="31"/>
  <c r="CW69" i="31"/>
  <c r="CO69" i="31"/>
  <c r="CG69" i="31"/>
  <c r="BY69" i="31"/>
  <c r="BQ69" i="31"/>
  <c r="DD69" i="31"/>
  <c r="CV69" i="31"/>
  <c r="CN69" i="31"/>
  <c r="CF69" i="31"/>
  <c r="BX69" i="31"/>
  <c r="BP69" i="31"/>
  <c r="DC69" i="31"/>
  <c r="CU69" i="31"/>
  <c r="CM69" i="31"/>
  <c r="CE69" i="31"/>
  <c r="BW69" i="31"/>
  <c r="BO69" i="31"/>
  <c r="DJ69" i="31"/>
  <c r="DK69" i="31" s="1"/>
  <c r="DB69" i="31"/>
  <c r="CT69" i="31"/>
  <c r="CL69" i="31"/>
  <c r="CD69" i="31"/>
  <c r="BN69" i="31"/>
  <c r="BV69" i="31"/>
  <c r="DG64" i="31"/>
  <c r="CY64" i="31"/>
  <c r="CQ64" i="31"/>
  <c r="CI64" i="31"/>
  <c r="CA64" i="31"/>
  <c r="BS64" i="31"/>
  <c r="DF64" i="31"/>
  <c r="CX64" i="31"/>
  <c r="CP64" i="31"/>
  <c r="CH64" i="31"/>
  <c r="BZ64" i="31"/>
  <c r="BR64" i="31"/>
  <c r="DE64" i="31"/>
  <c r="CW64" i="31"/>
  <c r="CO64" i="31"/>
  <c r="CG64" i="31"/>
  <c r="BY64" i="31"/>
  <c r="BQ64" i="31"/>
  <c r="DI64" i="31"/>
  <c r="DA64" i="31"/>
  <c r="CS64" i="31"/>
  <c r="DH64" i="31"/>
  <c r="CR64" i="31"/>
  <c r="CD64" i="31"/>
  <c r="BP64" i="31"/>
  <c r="DD64" i="31"/>
  <c r="CN64" i="31"/>
  <c r="CC64" i="31"/>
  <c r="BO64" i="31"/>
  <c r="DC64" i="31"/>
  <c r="CM64" i="31"/>
  <c r="CB64" i="31"/>
  <c r="BN64" i="31"/>
  <c r="DB64" i="31"/>
  <c r="CL64" i="31"/>
  <c r="BX64" i="31"/>
  <c r="BM64" i="31"/>
  <c r="CZ64" i="31"/>
  <c r="CK64" i="31"/>
  <c r="BW64" i="31"/>
  <c r="BL64" i="31"/>
  <c r="CU64" i="31"/>
  <c r="CF64" i="31"/>
  <c r="BU64" i="31"/>
  <c r="DJ64" i="31"/>
  <c r="DK64" i="31" s="1"/>
  <c r="CT64" i="31"/>
  <c r="CE64" i="31"/>
  <c r="BT64" i="31"/>
  <c r="CJ64" i="31"/>
  <c r="BV64" i="31"/>
  <c r="CV64" i="31"/>
  <c r="BK64" i="31"/>
  <c r="DC47" i="31"/>
  <c r="CU47" i="31"/>
  <c r="CM47" i="31"/>
  <c r="CE47" i="31"/>
  <c r="BW47" i="31"/>
  <c r="BO47" i="31"/>
  <c r="DJ47" i="31"/>
  <c r="DK47" i="31" s="1"/>
  <c r="DB47" i="31"/>
  <c r="CT47" i="31"/>
  <c r="CL47" i="31"/>
  <c r="CD47" i="31"/>
  <c r="BV47" i="31"/>
  <c r="BN47" i="31"/>
  <c r="DI47" i="31"/>
  <c r="DA47" i="31"/>
  <c r="CS47" i="31"/>
  <c r="CK47" i="31"/>
  <c r="CC47" i="31"/>
  <c r="BU47" i="31"/>
  <c r="BM47" i="31"/>
  <c r="DG47" i="31"/>
  <c r="CY47" i="31"/>
  <c r="CQ47" i="31"/>
  <c r="CI47" i="31"/>
  <c r="CA47" i="31"/>
  <c r="BS47" i="31"/>
  <c r="BK47" i="31"/>
  <c r="DF47" i="31"/>
  <c r="CX47" i="31"/>
  <c r="CP47" i="31"/>
  <c r="CH47" i="31"/>
  <c r="BZ47" i="31"/>
  <c r="BR47" i="31"/>
  <c r="CZ47" i="31"/>
  <c r="CF47" i="31"/>
  <c r="CW47" i="31"/>
  <c r="CB47" i="31"/>
  <c r="CV47" i="31"/>
  <c r="BY47" i="31"/>
  <c r="CR47" i="31"/>
  <c r="BX47" i="31"/>
  <c r="CO47" i="31"/>
  <c r="BT47" i="31"/>
  <c r="DH47" i="31"/>
  <c r="CN47" i="31"/>
  <c r="BQ47" i="31"/>
  <c r="DE47" i="31"/>
  <c r="CJ47" i="31"/>
  <c r="BP47" i="31"/>
  <c r="DD47" i="31"/>
  <c r="CG47" i="31"/>
  <c r="BL47" i="31"/>
  <c r="DE71" i="31"/>
  <c r="CW71" i="31"/>
  <c r="CO71" i="31"/>
  <c r="CG71" i="31"/>
  <c r="BY71" i="31"/>
  <c r="BQ71" i="31"/>
  <c r="DD71" i="31"/>
  <c r="CV71" i="31"/>
  <c r="CN71" i="31"/>
  <c r="CF71" i="31"/>
  <c r="BX71" i="31"/>
  <c r="BP71" i="31"/>
  <c r="DC71" i="31"/>
  <c r="CU71" i="31"/>
  <c r="CM71" i="31"/>
  <c r="CE71" i="31"/>
  <c r="BW71" i="31"/>
  <c r="BO71" i="31"/>
  <c r="DJ71" i="31"/>
  <c r="DK71" i="31" s="1"/>
  <c r="DB71" i="31"/>
  <c r="CT71" i="31"/>
  <c r="CL71" i="31"/>
  <c r="CD71" i="31"/>
  <c r="BV71" i="31"/>
  <c r="BN71" i="31"/>
  <c r="DI71" i="31"/>
  <c r="DA71" i="31"/>
  <c r="CS71" i="31"/>
  <c r="CK71" i="31"/>
  <c r="CC71" i="31"/>
  <c r="BU71" i="31"/>
  <c r="BM71" i="31"/>
  <c r="DH71" i="31"/>
  <c r="CZ71" i="31"/>
  <c r="CR71" i="31"/>
  <c r="CJ71" i="31"/>
  <c r="CB71" i="31"/>
  <c r="BT71" i="31"/>
  <c r="BL71" i="31"/>
  <c r="DG71" i="31"/>
  <c r="CY71" i="31"/>
  <c r="CQ71" i="31"/>
  <c r="CI71" i="31"/>
  <c r="CA71" i="31"/>
  <c r="BS71" i="31"/>
  <c r="BK71" i="31"/>
  <c r="BR71" i="31"/>
  <c r="DF71" i="31"/>
  <c r="CX71" i="31"/>
  <c r="CH71" i="31"/>
  <c r="BZ71" i="31"/>
  <c r="CP71" i="31"/>
  <c r="DD9" i="31"/>
  <c r="CV9" i="31"/>
  <c r="CN9" i="31"/>
  <c r="CF9" i="31"/>
  <c r="BX9" i="31"/>
  <c r="BP9" i="31"/>
  <c r="DC9" i="31"/>
  <c r="CU9" i="31"/>
  <c r="CM9" i="31"/>
  <c r="CE9" i="31"/>
  <c r="BW9" i="31"/>
  <c r="BO9" i="31"/>
  <c r="DJ9" i="31"/>
  <c r="DK9" i="31" s="1"/>
  <c r="DB9" i="31"/>
  <c r="CT9" i="31"/>
  <c r="CL9" i="31"/>
  <c r="CD9" i="31"/>
  <c r="BV9" i="31"/>
  <c r="BN9" i="31"/>
  <c r="DI9" i="31"/>
  <c r="DA9" i="31"/>
  <c r="CS9" i="31"/>
  <c r="CK9" i="31"/>
  <c r="CC9" i="31"/>
  <c r="BU9" i="31"/>
  <c r="BM9" i="31"/>
  <c r="DH9" i="31"/>
  <c r="CZ9" i="31"/>
  <c r="CR9" i="31"/>
  <c r="CJ9" i="31"/>
  <c r="CB9" i="31"/>
  <c r="DF9" i="31"/>
  <c r="CX9" i="31"/>
  <c r="CP9" i="31"/>
  <c r="CH9" i="31"/>
  <c r="BZ9" i="31"/>
  <c r="BR9" i="31"/>
  <c r="DE9" i="31"/>
  <c r="CW9" i="31"/>
  <c r="CO9" i="31"/>
  <c r="CG9" i="31"/>
  <c r="BY9" i="31"/>
  <c r="BQ9" i="31"/>
  <c r="CQ9" i="31"/>
  <c r="CI9" i="31"/>
  <c r="CA9" i="31"/>
  <c r="BT9" i="31"/>
  <c r="DG9" i="31"/>
  <c r="BK9" i="31"/>
  <c r="CY9" i="31"/>
  <c r="BS9" i="31"/>
  <c r="BL9" i="31"/>
  <c r="DF10" i="31"/>
  <c r="CX10" i="31"/>
  <c r="CP10" i="31"/>
  <c r="CH10" i="31"/>
  <c r="BZ10" i="31"/>
  <c r="BR10" i="31"/>
  <c r="DE10" i="31"/>
  <c r="CW10" i="31"/>
  <c r="CO10" i="31"/>
  <c r="CG10" i="31"/>
  <c r="BY10" i="31"/>
  <c r="BQ10" i="31"/>
  <c r="DD10" i="31"/>
  <c r="CV10" i="31"/>
  <c r="CN10" i="31"/>
  <c r="CF10" i="31"/>
  <c r="BX10" i="31"/>
  <c r="BP10" i="31"/>
  <c r="DC10" i="31"/>
  <c r="CU10" i="31"/>
  <c r="CM10" i="31"/>
  <c r="CE10" i="31"/>
  <c r="BW10" i="31"/>
  <c r="BO10" i="31"/>
  <c r="DJ10" i="31"/>
  <c r="DK10" i="31" s="1"/>
  <c r="DB10" i="31"/>
  <c r="CT10" i="31"/>
  <c r="CL10" i="31"/>
  <c r="CD10" i="31"/>
  <c r="BV10" i="31"/>
  <c r="BN10" i="31"/>
  <c r="DH10" i="31"/>
  <c r="CZ10" i="31"/>
  <c r="CR10" i="31"/>
  <c r="CJ10" i="31"/>
  <c r="CB10" i="31"/>
  <c r="BT10" i="31"/>
  <c r="BL10" i="31"/>
  <c r="DG10" i="31"/>
  <c r="CY10" i="31"/>
  <c r="CQ10" i="31"/>
  <c r="CI10" i="31"/>
  <c r="CA10" i="31"/>
  <c r="BS10" i="31"/>
  <c r="BK10" i="31"/>
  <c r="DA10" i="31"/>
  <c r="BU10" i="31"/>
  <c r="CS10" i="31"/>
  <c r="BM10" i="31"/>
  <c r="CK10" i="31"/>
  <c r="CC10" i="31"/>
  <c r="DI10" i="31"/>
  <c r="DF75" i="31"/>
  <c r="CX75" i="31"/>
  <c r="CP75" i="31"/>
  <c r="CH75" i="31"/>
  <c r="BZ75" i="31"/>
  <c r="BR75" i="31"/>
  <c r="DE75" i="31"/>
  <c r="DD75" i="31"/>
  <c r="CV75" i="31"/>
  <c r="CN75" i="31"/>
  <c r="CF75" i="31"/>
  <c r="BX75" i="31"/>
  <c r="BP75" i="31"/>
  <c r="DC75" i="31"/>
  <c r="DH75" i="31"/>
  <c r="CZ75" i="31"/>
  <c r="CR75" i="31"/>
  <c r="DG75" i="31"/>
  <c r="CQ75" i="31"/>
  <c r="CE75" i="31"/>
  <c r="BU75" i="31"/>
  <c r="BK75" i="31"/>
  <c r="DB75" i="31"/>
  <c r="CO75" i="31"/>
  <c r="CD75" i="31"/>
  <c r="BT75" i="31"/>
  <c r="DA75" i="31"/>
  <c r="CM75" i="31"/>
  <c r="CC75" i="31"/>
  <c r="BS75" i="31"/>
  <c r="CY75" i="31"/>
  <c r="CL75" i="31"/>
  <c r="CB75" i="31"/>
  <c r="BQ75" i="31"/>
  <c r="CW75" i="31"/>
  <c r="CK75" i="31"/>
  <c r="CA75" i="31"/>
  <c r="BO75" i="31"/>
  <c r="CU75" i="31"/>
  <c r="CJ75" i="31"/>
  <c r="BY75" i="31"/>
  <c r="BN75" i="31"/>
  <c r="DJ75" i="31"/>
  <c r="DK75" i="31" s="1"/>
  <c r="CT75" i="31"/>
  <c r="CI75" i="31"/>
  <c r="BW75" i="31"/>
  <c r="BM75" i="31"/>
  <c r="DI75" i="31"/>
  <c r="CS75" i="31"/>
  <c r="BV75" i="31"/>
  <c r="BL75" i="31"/>
  <c r="CG75" i="31"/>
  <c r="DF83" i="31"/>
  <c r="CX83" i="31"/>
  <c r="CP83" i="31"/>
  <c r="CH83" i="31"/>
  <c r="BZ83" i="31"/>
  <c r="BR83" i="31"/>
  <c r="DE83" i="31"/>
  <c r="CW83" i="31"/>
  <c r="CO83" i="31"/>
  <c r="CG83" i="31"/>
  <c r="BY83" i="31"/>
  <c r="BQ83" i="31"/>
  <c r="DD83" i="31"/>
  <c r="CV83" i="31"/>
  <c r="CN83" i="31"/>
  <c r="CF83" i="31"/>
  <c r="BX83" i="31"/>
  <c r="BP83" i="31"/>
  <c r="DC83" i="31"/>
  <c r="CU83" i="31"/>
  <c r="CM83" i="31"/>
  <c r="CE83" i="31"/>
  <c r="BW83" i="31"/>
  <c r="BO83" i="31"/>
  <c r="DJ83" i="31"/>
  <c r="DK83" i="31" s="1"/>
  <c r="DB83" i="31"/>
  <c r="CT83" i="31"/>
  <c r="CL83" i="31"/>
  <c r="CD83" i="31"/>
  <c r="BV83" i="31"/>
  <c r="BN83" i="31"/>
  <c r="DI83" i="31"/>
  <c r="DA83" i="31"/>
  <c r="CS83" i="31"/>
  <c r="CK83" i="31"/>
  <c r="CC83" i="31"/>
  <c r="BU83" i="31"/>
  <c r="BM83" i="31"/>
  <c r="DH83" i="31"/>
  <c r="CZ83" i="31"/>
  <c r="CR83" i="31"/>
  <c r="CJ83" i="31"/>
  <c r="CB83" i="31"/>
  <c r="BT83" i="31"/>
  <c r="BL83" i="31"/>
  <c r="BS83" i="31"/>
  <c r="BK83" i="31"/>
  <c r="DG83" i="31"/>
  <c r="CY83" i="31"/>
  <c r="CQ83" i="31"/>
  <c r="CI83" i="31"/>
  <c r="CA83" i="31"/>
  <c r="DG90" i="31"/>
  <c r="CY90" i="31"/>
  <c r="CQ90" i="31"/>
  <c r="CI90" i="31"/>
  <c r="CA90" i="31"/>
  <c r="BS90" i="31"/>
  <c r="BK90" i="31"/>
  <c r="DF90" i="31"/>
  <c r="CX90" i="31"/>
  <c r="CP90" i="31"/>
  <c r="CH90" i="31"/>
  <c r="BZ90" i="31"/>
  <c r="BR90" i="31"/>
  <c r="DE90" i="31"/>
  <c r="CW90" i="31"/>
  <c r="CO90" i="31"/>
  <c r="CG90" i="31"/>
  <c r="BY90" i="31"/>
  <c r="BQ90" i="31"/>
  <c r="DD90" i="31"/>
  <c r="CV90" i="31"/>
  <c r="CN90" i="31"/>
  <c r="CF90" i="31"/>
  <c r="BX90" i="31"/>
  <c r="BP90" i="31"/>
  <c r="DC90" i="31"/>
  <c r="CU90" i="31"/>
  <c r="CM90" i="31"/>
  <c r="CE90" i="31"/>
  <c r="BW90" i="31"/>
  <c r="BO90" i="31"/>
  <c r="DJ90" i="31"/>
  <c r="DK90" i="31" s="1"/>
  <c r="DB90" i="31"/>
  <c r="CT90" i="31"/>
  <c r="CL90" i="31"/>
  <c r="CD90" i="31"/>
  <c r="BV90" i="31"/>
  <c r="BN90" i="31"/>
  <c r="DI90" i="31"/>
  <c r="DA90" i="31"/>
  <c r="CS90" i="31"/>
  <c r="CK90" i="31"/>
  <c r="CC90" i="31"/>
  <c r="BU90" i="31"/>
  <c r="BM90" i="31"/>
  <c r="BT90" i="31"/>
  <c r="BL90" i="31"/>
  <c r="DH90" i="31"/>
  <c r="CZ90" i="31"/>
  <c r="CR90" i="31"/>
  <c r="CJ90" i="31"/>
  <c r="CB90" i="31"/>
  <c r="DC56" i="31"/>
  <c r="CU56" i="31"/>
  <c r="CM56" i="31"/>
  <c r="CE56" i="31"/>
  <c r="BW56" i="31"/>
  <c r="BO56" i="31"/>
  <c r="DJ56" i="31"/>
  <c r="DK56" i="31" s="1"/>
  <c r="DB56" i="31"/>
  <c r="CT56" i="31"/>
  <c r="CL56" i="31"/>
  <c r="CD56" i="31"/>
  <c r="BV56" i="31"/>
  <c r="BN56" i="31"/>
  <c r="DI56" i="31"/>
  <c r="DA56" i="31"/>
  <c r="CS56" i="31"/>
  <c r="CK56" i="31"/>
  <c r="CC56" i="31"/>
  <c r="BU56" i="31"/>
  <c r="BM56" i="31"/>
  <c r="DH56" i="31"/>
  <c r="CZ56" i="31"/>
  <c r="CR56" i="31"/>
  <c r="CJ56" i="31"/>
  <c r="CB56" i="31"/>
  <c r="BT56" i="31"/>
  <c r="BL56" i="31"/>
  <c r="DG56" i="31"/>
  <c r="CY56" i="31"/>
  <c r="CQ56" i="31"/>
  <c r="CI56" i="31"/>
  <c r="CA56" i="31"/>
  <c r="BS56" i="31"/>
  <c r="BK56" i="31"/>
  <c r="DE56" i="31"/>
  <c r="CW56" i="31"/>
  <c r="CO56" i="31"/>
  <c r="CG56" i="31"/>
  <c r="BY56" i="31"/>
  <c r="BQ56" i="31"/>
  <c r="DD56" i="31"/>
  <c r="CV56" i="31"/>
  <c r="CN56" i="31"/>
  <c r="CF56" i="31"/>
  <c r="BX56" i="31"/>
  <c r="BP56" i="31"/>
  <c r="CP56" i="31"/>
  <c r="CH56" i="31"/>
  <c r="BZ56" i="31"/>
  <c r="DF56" i="31"/>
  <c r="CX56" i="31"/>
  <c r="BR56" i="31"/>
  <c r="DI99" i="31"/>
  <c r="DA99" i="31"/>
  <c r="CS99" i="31"/>
  <c r="CK99" i="31"/>
  <c r="CC99" i="31"/>
  <c r="BU99" i="31"/>
  <c r="BM99" i="31"/>
  <c r="DG99" i="31"/>
  <c r="CY99" i="31"/>
  <c r="CQ99" i="31"/>
  <c r="CI99" i="31"/>
  <c r="CA99" i="31"/>
  <c r="BS99" i="31"/>
  <c r="BK99" i="31"/>
  <c r="DF99" i="31"/>
  <c r="CX99" i="31"/>
  <c r="CP99" i="31"/>
  <c r="CH99" i="31"/>
  <c r="BZ99" i="31"/>
  <c r="BR99" i="31"/>
  <c r="DE99" i="31"/>
  <c r="CW99" i="31"/>
  <c r="CO99" i="31"/>
  <c r="CG99" i="31"/>
  <c r="BY99" i="31"/>
  <c r="BQ99" i="31"/>
  <c r="DD99" i="31"/>
  <c r="CV99" i="31"/>
  <c r="CN99" i="31"/>
  <c r="CF99" i="31"/>
  <c r="BX99" i="31"/>
  <c r="BP99" i="31"/>
  <c r="DC99" i="31"/>
  <c r="CJ99" i="31"/>
  <c r="BN99" i="31"/>
  <c r="DB99" i="31"/>
  <c r="CE99" i="31"/>
  <c r="BL99" i="31"/>
  <c r="CZ99" i="31"/>
  <c r="CD99" i="31"/>
  <c r="CU99" i="31"/>
  <c r="CB99" i="31"/>
  <c r="CT99" i="31"/>
  <c r="BW99" i="31"/>
  <c r="CR99" i="31"/>
  <c r="BV99" i="31"/>
  <c r="DJ99" i="31"/>
  <c r="DK99" i="31" s="1"/>
  <c r="CM99" i="31"/>
  <c r="BT99" i="31"/>
  <c r="DH99" i="31"/>
  <c r="CL99" i="31"/>
  <c r="BO99" i="31"/>
  <c r="DC43" i="31"/>
  <c r="CU43" i="31"/>
  <c r="CM43" i="31"/>
  <c r="CE43" i="31"/>
  <c r="BW43" i="31"/>
  <c r="BO43" i="31"/>
  <c r="DJ43" i="31"/>
  <c r="DK43" i="31" s="1"/>
  <c r="DB43" i="31"/>
  <c r="CT43" i="31"/>
  <c r="CL43" i="31"/>
  <c r="CD43" i="31"/>
  <c r="BV43" i="31"/>
  <c r="BN43" i="31"/>
  <c r="DG43" i="31"/>
  <c r="CY43" i="31"/>
  <c r="CQ43" i="31"/>
  <c r="CI43" i="31"/>
  <c r="CA43" i="31"/>
  <c r="BS43" i="31"/>
  <c r="BK43" i="31"/>
  <c r="DF43" i="31"/>
  <c r="CX43" i="31"/>
  <c r="CP43" i="31"/>
  <c r="CH43" i="31"/>
  <c r="BZ43" i="31"/>
  <c r="BR43" i="31"/>
  <c r="DI43" i="31"/>
  <c r="CS43" i="31"/>
  <c r="CC43" i="31"/>
  <c r="BM43" i="31"/>
  <c r="DH43" i="31"/>
  <c r="CR43" i="31"/>
  <c r="CB43" i="31"/>
  <c r="BL43" i="31"/>
  <c r="DE43" i="31"/>
  <c r="CO43" i="31"/>
  <c r="BY43" i="31"/>
  <c r="DD43" i="31"/>
  <c r="CN43" i="31"/>
  <c r="BX43" i="31"/>
  <c r="DA43" i="31"/>
  <c r="CK43" i="31"/>
  <c r="BU43" i="31"/>
  <c r="CZ43" i="31"/>
  <c r="CJ43" i="31"/>
  <c r="BT43" i="31"/>
  <c r="CW43" i="31"/>
  <c r="CG43" i="31"/>
  <c r="BQ43" i="31"/>
  <c r="CF43" i="31"/>
  <c r="BP43" i="31"/>
  <c r="CV43" i="31"/>
  <c r="DJ77" i="31"/>
  <c r="DK77" i="31" s="1"/>
  <c r="DB77" i="31"/>
  <c r="CT77" i="31"/>
  <c r="CL77" i="31"/>
  <c r="CD77" i="31"/>
  <c r="BV77" i="31"/>
  <c r="BN77" i="31"/>
  <c r="DI77" i="31"/>
  <c r="DA77" i="31"/>
  <c r="CS77" i="31"/>
  <c r="CK77" i="31"/>
  <c r="CC77" i="31"/>
  <c r="BU77" i="31"/>
  <c r="BM77" i="31"/>
  <c r="DH77" i="31"/>
  <c r="CZ77" i="31"/>
  <c r="CR77" i="31"/>
  <c r="CJ77" i="31"/>
  <c r="CB77" i="31"/>
  <c r="BT77" i="31"/>
  <c r="BL77" i="31"/>
  <c r="DG77" i="31"/>
  <c r="CY77" i="31"/>
  <c r="CQ77" i="31"/>
  <c r="CI77" i="31"/>
  <c r="CA77" i="31"/>
  <c r="BS77" i="31"/>
  <c r="BK77" i="31"/>
  <c r="DF77" i="31"/>
  <c r="CX77" i="31"/>
  <c r="CP77" i="31"/>
  <c r="CH77" i="31"/>
  <c r="DE77" i="31"/>
  <c r="DD77" i="31"/>
  <c r="CV77" i="31"/>
  <c r="CN77" i="31"/>
  <c r="CF77" i="31"/>
  <c r="BX77" i="31"/>
  <c r="BP77" i="31"/>
  <c r="CM77" i="31"/>
  <c r="BO77" i="31"/>
  <c r="CG77" i="31"/>
  <c r="CE77" i="31"/>
  <c r="BZ77" i="31"/>
  <c r="DC77" i="31"/>
  <c r="BY77" i="31"/>
  <c r="CW77" i="31"/>
  <c r="BW77" i="31"/>
  <c r="CU77" i="31"/>
  <c r="BR77" i="31"/>
  <c r="BQ77" i="31"/>
  <c r="CO77" i="31"/>
  <c r="DJ12" i="31"/>
  <c r="DK12" i="31" s="1"/>
  <c r="DB12" i="31"/>
  <c r="CT12" i="31"/>
  <c r="CL12" i="31"/>
  <c r="CD12" i="31"/>
  <c r="BV12" i="31"/>
  <c r="BN12" i="31"/>
  <c r="DI12" i="31"/>
  <c r="DA12" i="31"/>
  <c r="CS12" i="31"/>
  <c r="CK12" i="31"/>
  <c r="CC12" i="31"/>
  <c r="BU12" i="31"/>
  <c r="BM12" i="31"/>
  <c r="DH12" i="31"/>
  <c r="CZ12" i="31"/>
  <c r="CR12" i="31"/>
  <c r="CJ12" i="31"/>
  <c r="CB12" i="31"/>
  <c r="BT12" i="31"/>
  <c r="BL12" i="31"/>
  <c r="DG12" i="31"/>
  <c r="CY12" i="31"/>
  <c r="CQ12" i="31"/>
  <c r="CI12" i="31"/>
  <c r="CA12" i="31"/>
  <c r="BS12" i="31"/>
  <c r="BK12" i="31"/>
  <c r="DF12" i="31"/>
  <c r="CX12" i="31"/>
  <c r="CP12" i="31"/>
  <c r="CH12" i="31"/>
  <c r="BZ12" i="31"/>
  <c r="BR12" i="31"/>
  <c r="DD12" i="31"/>
  <c r="CV12" i="31"/>
  <c r="CN12" i="31"/>
  <c r="CF12" i="31"/>
  <c r="BX12" i="31"/>
  <c r="BP12" i="31"/>
  <c r="DC12" i="31"/>
  <c r="CU12" i="31"/>
  <c r="CM12" i="31"/>
  <c r="CE12" i="31"/>
  <c r="BW12" i="31"/>
  <c r="BO12" i="31"/>
  <c r="DE12" i="31"/>
  <c r="CG12" i="31"/>
  <c r="CW12" i="31"/>
  <c r="BY12" i="31"/>
  <c r="BQ12" i="31"/>
  <c r="CO12" i="31"/>
  <c r="DD74" i="31"/>
  <c r="CV74" i="31"/>
  <c r="CN74" i="31"/>
  <c r="CF74" i="31"/>
  <c r="DJ74" i="31"/>
  <c r="DK74" i="31" s="1"/>
  <c r="DB74" i="31"/>
  <c r="CT74" i="31"/>
  <c r="CL74" i="31"/>
  <c r="CD74" i="31"/>
  <c r="DA74" i="31"/>
  <c r="CQ74" i="31"/>
  <c r="CG74" i="31"/>
  <c r="BW74" i="31"/>
  <c r="BO74" i="31"/>
  <c r="CZ74" i="31"/>
  <c r="CP74" i="31"/>
  <c r="CE74" i="31"/>
  <c r="BV74" i="31"/>
  <c r="BN74" i="31"/>
  <c r="DI74" i="31"/>
  <c r="CY74" i="31"/>
  <c r="CO74" i="31"/>
  <c r="CC74" i="31"/>
  <c r="BU74" i="31"/>
  <c r="BM74" i="31"/>
  <c r="DH74" i="31"/>
  <c r="CX74" i="31"/>
  <c r="CM74" i="31"/>
  <c r="CB74" i="31"/>
  <c r="BT74" i="31"/>
  <c r="BL74" i="31"/>
  <c r="DG74" i="31"/>
  <c r="CW74" i="31"/>
  <c r="CK74" i="31"/>
  <c r="CA74" i="31"/>
  <c r="BS74" i="31"/>
  <c r="BK74" i="31"/>
  <c r="DF74" i="31"/>
  <c r="CU74" i="31"/>
  <c r="CJ74" i="31"/>
  <c r="BZ74" i="31"/>
  <c r="BR74" i="31"/>
  <c r="DE74" i="31"/>
  <c r="CS74" i="31"/>
  <c r="CI74" i="31"/>
  <c r="BY74" i="31"/>
  <c r="BQ74" i="31"/>
  <c r="DC74" i="31"/>
  <c r="CR74" i="31"/>
  <c r="CH74" i="31"/>
  <c r="BX74" i="31"/>
  <c r="BP74" i="31"/>
  <c r="DF40" i="31"/>
  <c r="CX40" i="31"/>
  <c r="CP40" i="31"/>
  <c r="CH40" i="31"/>
  <c r="BZ40" i="31"/>
  <c r="BR40" i="31"/>
  <c r="DE40" i="31"/>
  <c r="CW40" i="31"/>
  <c r="CO40" i="31"/>
  <c r="CG40" i="31"/>
  <c r="BY40" i="31"/>
  <c r="BQ40" i="31"/>
  <c r="DD40" i="31"/>
  <c r="CV40" i="31"/>
  <c r="CN40" i="31"/>
  <c r="CF40" i="31"/>
  <c r="BX40" i="31"/>
  <c r="BP40" i="31"/>
  <c r="DC40" i="31"/>
  <c r="CU40" i="31"/>
  <c r="CM40" i="31"/>
  <c r="CE40" i="31"/>
  <c r="BW40" i="31"/>
  <c r="BO40" i="31"/>
  <c r="DJ40" i="31"/>
  <c r="DK40" i="31" s="1"/>
  <c r="DB40" i="31"/>
  <c r="CT40" i="31"/>
  <c r="CL40" i="31"/>
  <c r="CD40" i="31"/>
  <c r="BV40" i="31"/>
  <c r="BN40" i="31"/>
  <c r="DI40" i="31"/>
  <c r="DA40" i="31"/>
  <c r="CS40" i="31"/>
  <c r="CK40" i="31"/>
  <c r="CC40" i="31"/>
  <c r="BU40" i="31"/>
  <c r="BM40" i="31"/>
  <c r="DH40" i="31"/>
  <c r="CZ40" i="31"/>
  <c r="CR40" i="31"/>
  <c r="CJ40" i="31"/>
  <c r="CB40" i="31"/>
  <c r="BT40" i="31"/>
  <c r="BL40" i="31"/>
  <c r="CA40" i="31"/>
  <c r="BS40" i="31"/>
  <c r="BK40" i="31"/>
  <c r="DG40" i="31"/>
  <c r="CQ40" i="31"/>
  <c r="CI40" i="31"/>
  <c r="CY40" i="31"/>
  <c r="DH19" i="31"/>
  <c r="CZ19" i="31"/>
  <c r="CR19" i="31"/>
  <c r="CJ19" i="31"/>
  <c r="CB19" i="31"/>
  <c r="BT19" i="31"/>
  <c r="BL19" i="31"/>
  <c r="DG19" i="31"/>
  <c r="CY19" i="31"/>
  <c r="CQ19" i="31"/>
  <c r="CI19" i="31"/>
  <c r="CA19" i="31"/>
  <c r="BS19" i="31"/>
  <c r="BK19" i="31"/>
  <c r="DF19" i="31"/>
  <c r="CX19" i="31"/>
  <c r="CP19" i="31"/>
  <c r="CH19" i="31"/>
  <c r="BZ19" i="31"/>
  <c r="BR19" i="31"/>
  <c r="DE19" i="31"/>
  <c r="CW19" i="31"/>
  <c r="CO19" i="31"/>
  <c r="CG19" i="31"/>
  <c r="BY19" i="31"/>
  <c r="BQ19" i="31"/>
  <c r="DD19" i="31"/>
  <c r="CV19" i="31"/>
  <c r="CN19" i="31"/>
  <c r="CF19" i="31"/>
  <c r="BX19" i="31"/>
  <c r="BP19" i="31"/>
  <c r="DJ19" i="31"/>
  <c r="DK19" i="31" s="1"/>
  <c r="DB19" i="31"/>
  <c r="CT19" i="31"/>
  <c r="CL19" i="31"/>
  <c r="CD19" i="31"/>
  <c r="BV19" i="31"/>
  <c r="BN19" i="31"/>
  <c r="DI19" i="31"/>
  <c r="DA19" i="31"/>
  <c r="CS19" i="31"/>
  <c r="CK19" i="31"/>
  <c r="CC19" i="31"/>
  <c r="BU19" i="31"/>
  <c r="BM19" i="31"/>
  <c r="BO19" i="31"/>
  <c r="CM19" i="31"/>
  <c r="CU19" i="31"/>
  <c r="DC19" i="31"/>
  <c r="CE19" i="31"/>
  <c r="BW19" i="31"/>
  <c r="DF28" i="31"/>
  <c r="CX28" i="31"/>
  <c r="CP28" i="31"/>
  <c r="DD28" i="31"/>
  <c r="CV28" i="31"/>
  <c r="DG28" i="31"/>
  <c r="CU28" i="31"/>
  <c r="CL28" i="31"/>
  <c r="CD28" i="31"/>
  <c r="BV28" i="31"/>
  <c r="BN28" i="31"/>
  <c r="DE28" i="31"/>
  <c r="CT28" i="31"/>
  <c r="CK28" i="31"/>
  <c r="CC28" i="31"/>
  <c r="BU28" i="31"/>
  <c r="BM28" i="31"/>
  <c r="DC28" i="31"/>
  <c r="CS28" i="31"/>
  <c r="CJ28" i="31"/>
  <c r="CB28" i="31"/>
  <c r="BT28" i="31"/>
  <c r="BL28" i="31"/>
  <c r="DB28" i="31"/>
  <c r="CR28" i="31"/>
  <c r="CI28" i="31"/>
  <c r="CA28" i="31"/>
  <c r="BS28" i="31"/>
  <c r="BK28" i="31"/>
  <c r="DA28" i="31"/>
  <c r="CQ28" i="31"/>
  <c r="CH28" i="31"/>
  <c r="BZ28" i="31"/>
  <c r="BR28" i="31"/>
  <c r="DI28" i="31"/>
  <c r="CY28" i="31"/>
  <c r="CN28" i="31"/>
  <c r="CF28" i="31"/>
  <c r="BX28" i="31"/>
  <c r="BP28" i="31"/>
  <c r="DH28" i="31"/>
  <c r="CW28" i="31"/>
  <c r="CM28" i="31"/>
  <c r="CE28" i="31"/>
  <c r="BW28" i="31"/>
  <c r="BO28" i="31"/>
  <c r="CO28" i="31"/>
  <c r="CG28" i="31"/>
  <c r="BY28" i="31"/>
  <c r="BQ28" i="31"/>
  <c r="DJ28" i="31"/>
  <c r="DK28" i="31" s="1"/>
  <c r="CZ28" i="31"/>
  <c r="DF36" i="31"/>
  <c r="CX36" i="31"/>
  <c r="CP36" i="31"/>
  <c r="CH36" i="31"/>
  <c r="BZ36" i="31"/>
  <c r="BR36" i="31"/>
  <c r="DE36" i="31"/>
  <c r="CW36" i="31"/>
  <c r="CO36" i="31"/>
  <c r="CG36" i="31"/>
  <c r="BY36" i="31"/>
  <c r="BQ36" i="31"/>
  <c r="DD36" i="31"/>
  <c r="CV36" i="31"/>
  <c r="CN36" i="31"/>
  <c r="CF36" i="31"/>
  <c r="BX36" i="31"/>
  <c r="BP36" i="31"/>
  <c r="DC36" i="31"/>
  <c r="CU36" i="31"/>
  <c r="CM36" i="31"/>
  <c r="CE36" i="31"/>
  <c r="BW36" i="31"/>
  <c r="BO36" i="31"/>
  <c r="DJ36" i="31"/>
  <c r="DK36" i="31" s="1"/>
  <c r="DB36" i="31"/>
  <c r="CT36" i="31"/>
  <c r="CL36" i="31"/>
  <c r="CD36" i="31"/>
  <c r="BV36" i="31"/>
  <c r="BN36" i="31"/>
  <c r="DI36" i="31"/>
  <c r="DA36" i="31"/>
  <c r="CS36" i="31"/>
  <c r="CK36" i="31"/>
  <c r="CC36" i="31"/>
  <c r="BU36" i="31"/>
  <c r="BM36" i="31"/>
  <c r="DH36" i="31"/>
  <c r="CZ36" i="31"/>
  <c r="CR36" i="31"/>
  <c r="CJ36" i="31"/>
  <c r="CB36" i="31"/>
  <c r="BT36" i="31"/>
  <c r="BL36" i="31"/>
  <c r="CY36" i="31"/>
  <c r="CQ36" i="31"/>
  <c r="CI36" i="31"/>
  <c r="CA36" i="31"/>
  <c r="BS36" i="31"/>
  <c r="DG36" i="31"/>
  <c r="BK36" i="31"/>
  <c r="DC66" i="31"/>
  <c r="CU66" i="31"/>
  <c r="CM66" i="31"/>
  <c r="CE66" i="31"/>
  <c r="BW66" i="31"/>
  <c r="BO66" i="31"/>
  <c r="DJ66" i="31"/>
  <c r="DK66" i="31" s="1"/>
  <c r="DB66" i="31"/>
  <c r="CT66" i="31"/>
  <c r="CL66" i="31"/>
  <c r="CD66" i="31"/>
  <c r="BV66" i="31"/>
  <c r="BN66" i="31"/>
  <c r="DI66" i="31"/>
  <c r="DA66" i="31"/>
  <c r="CS66" i="31"/>
  <c r="CK66" i="31"/>
  <c r="CC66" i="31"/>
  <c r="BU66" i="31"/>
  <c r="BM66" i="31"/>
  <c r="DH66" i="31"/>
  <c r="CZ66" i="31"/>
  <c r="CR66" i="31"/>
  <c r="CJ66" i="31"/>
  <c r="CB66" i="31"/>
  <c r="BT66" i="31"/>
  <c r="BL66" i="31"/>
  <c r="DG66" i="31"/>
  <c r="CY66" i="31"/>
  <c r="CQ66" i="31"/>
  <c r="CI66" i="31"/>
  <c r="DF66" i="31"/>
  <c r="CX66" i="31"/>
  <c r="DE66" i="31"/>
  <c r="CW66" i="31"/>
  <c r="CO66" i="31"/>
  <c r="CG66" i="31"/>
  <c r="BY66" i="31"/>
  <c r="BQ66" i="31"/>
  <c r="CN66" i="31"/>
  <c r="BP66" i="31"/>
  <c r="CH66" i="31"/>
  <c r="BK66" i="31"/>
  <c r="CF66" i="31"/>
  <c r="CA66" i="31"/>
  <c r="BZ66" i="31"/>
  <c r="CV66" i="31"/>
  <c r="BS66" i="31"/>
  <c r="CP66" i="31"/>
  <c r="BR66" i="31"/>
  <c r="DD66" i="31"/>
  <c r="BX66" i="31"/>
  <c r="DE52" i="31"/>
  <c r="CW52" i="31"/>
  <c r="CO52" i="31"/>
  <c r="CG52" i="31"/>
  <c r="BY52" i="31"/>
  <c r="BQ52" i="31"/>
  <c r="DD52" i="31"/>
  <c r="CV52" i="31"/>
  <c r="CN52" i="31"/>
  <c r="CF52" i="31"/>
  <c r="BX52" i="31"/>
  <c r="BP52" i="31"/>
  <c r="DC52" i="31"/>
  <c r="CU52" i="31"/>
  <c r="CM52" i="31"/>
  <c r="CE52" i="31"/>
  <c r="BW52" i="31"/>
  <c r="BO52" i="31"/>
  <c r="DI52" i="31"/>
  <c r="DA52" i="31"/>
  <c r="CS52" i="31"/>
  <c r="CK52" i="31"/>
  <c r="CC52" i="31"/>
  <c r="BU52" i="31"/>
  <c r="BM52" i="31"/>
  <c r="DH52" i="31"/>
  <c r="CZ52" i="31"/>
  <c r="CR52" i="31"/>
  <c r="CJ52" i="31"/>
  <c r="CB52" i="31"/>
  <c r="BT52" i="31"/>
  <c r="BL52" i="31"/>
  <c r="DG52" i="31"/>
  <c r="CL52" i="31"/>
  <c r="BR52" i="31"/>
  <c r="DF52" i="31"/>
  <c r="CI52" i="31"/>
  <c r="BN52" i="31"/>
  <c r="DB52" i="31"/>
  <c r="CH52" i="31"/>
  <c r="BK52" i="31"/>
  <c r="CY52" i="31"/>
  <c r="CD52" i="31"/>
  <c r="CX52" i="31"/>
  <c r="CA52" i="31"/>
  <c r="CT52" i="31"/>
  <c r="BZ52" i="31"/>
  <c r="CQ52" i="31"/>
  <c r="BV52" i="31"/>
  <c r="CP52" i="31"/>
  <c r="BS52" i="31"/>
  <c r="DJ52" i="31"/>
  <c r="DK52" i="31" s="1"/>
  <c r="DE85" i="31"/>
  <c r="CW85" i="31"/>
  <c r="CO85" i="31"/>
  <c r="CG85" i="31"/>
  <c r="BY85" i="31"/>
  <c r="BQ85" i="31"/>
  <c r="DD85" i="31"/>
  <c r="CV85" i="31"/>
  <c r="CN85" i="31"/>
  <c r="CF85" i="31"/>
  <c r="BX85" i="31"/>
  <c r="BP85" i="31"/>
  <c r="DC85" i="31"/>
  <c r="CU85" i="31"/>
  <c r="CM85" i="31"/>
  <c r="CE85" i="31"/>
  <c r="BW85" i="31"/>
  <c r="BO85" i="31"/>
  <c r="DI85" i="31"/>
  <c r="DA85" i="31"/>
  <c r="CS85" i="31"/>
  <c r="CK85" i="31"/>
  <c r="CC85" i="31"/>
  <c r="BU85" i="31"/>
  <c r="BM85" i="31"/>
  <c r="DH85" i="31"/>
  <c r="CZ85" i="31"/>
  <c r="CR85" i="31"/>
  <c r="CJ85" i="31"/>
  <c r="CB85" i="31"/>
  <c r="BT85" i="31"/>
  <c r="BL85" i="31"/>
  <c r="DB85" i="31"/>
  <c r="CH85" i="31"/>
  <c r="BK85" i="31"/>
  <c r="CY85" i="31"/>
  <c r="CD85" i="31"/>
  <c r="CX85" i="31"/>
  <c r="CA85" i="31"/>
  <c r="CT85" i="31"/>
  <c r="BZ85" i="31"/>
  <c r="CQ85" i="31"/>
  <c r="BV85" i="31"/>
  <c r="DJ85" i="31"/>
  <c r="DK85" i="31" s="1"/>
  <c r="CP85" i="31"/>
  <c r="BS85" i="31"/>
  <c r="DG85" i="31"/>
  <c r="CL85" i="31"/>
  <c r="BR85" i="31"/>
  <c r="DF85" i="31"/>
  <c r="CI85" i="31"/>
  <c r="BN85" i="31"/>
  <c r="DC51" i="31"/>
  <c r="CU51" i="31"/>
  <c r="CM51" i="31"/>
  <c r="CE51" i="31"/>
  <c r="BW51" i="31"/>
  <c r="BO51" i="31"/>
  <c r="DJ51" i="31"/>
  <c r="DK51" i="31" s="1"/>
  <c r="DB51" i="31"/>
  <c r="CT51" i="31"/>
  <c r="CL51" i="31"/>
  <c r="CD51" i="31"/>
  <c r="BV51" i="31"/>
  <c r="BN51" i="31"/>
  <c r="DI51" i="31"/>
  <c r="DA51" i="31"/>
  <c r="CS51" i="31"/>
  <c r="CK51" i="31"/>
  <c r="CC51" i="31"/>
  <c r="BU51" i="31"/>
  <c r="BM51" i="31"/>
  <c r="DG51" i="31"/>
  <c r="CY51" i="31"/>
  <c r="CQ51" i="31"/>
  <c r="CI51" i="31"/>
  <c r="CA51" i="31"/>
  <c r="BS51" i="31"/>
  <c r="BK51" i="31"/>
  <c r="DF51" i="31"/>
  <c r="CX51" i="31"/>
  <c r="CP51" i="31"/>
  <c r="CH51" i="31"/>
  <c r="BZ51" i="31"/>
  <c r="BR51" i="31"/>
  <c r="CW51" i="31"/>
  <c r="CB51" i="31"/>
  <c r="CV51" i="31"/>
  <c r="BY51" i="31"/>
  <c r="CR51" i="31"/>
  <c r="BX51" i="31"/>
  <c r="CO51" i="31"/>
  <c r="BT51" i="31"/>
  <c r="DH51" i="31"/>
  <c r="CN51" i="31"/>
  <c r="BQ51" i="31"/>
  <c r="DE51" i="31"/>
  <c r="CJ51" i="31"/>
  <c r="BP51" i="31"/>
  <c r="DD51" i="31"/>
  <c r="CG51" i="31"/>
  <c r="BL51" i="31"/>
  <c r="CZ51" i="31"/>
  <c r="CF51" i="31"/>
  <c r="DJ34" i="31"/>
  <c r="DK34" i="31" s="1"/>
  <c r="DB34" i="31"/>
  <c r="CT34" i="31"/>
  <c r="CL34" i="31"/>
  <c r="CD34" i="31"/>
  <c r="BV34" i="31"/>
  <c r="BN34" i="31"/>
  <c r="DI34" i="31"/>
  <c r="DA34" i="31"/>
  <c r="CS34" i="31"/>
  <c r="CK34" i="31"/>
  <c r="CC34" i="31"/>
  <c r="BU34" i="31"/>
  <c r="BM34" i="31"/>
  <c r="DH34" i="31"/>
  <c r="CZ34" i="31"/>
  <c r="CR34" i="31"/>
  <c r="CJ34" i="31"/>
  <c r="CB34" i="31"/>
  <c r="BT34" i="31"/>
  <c r="BL34" i="31"/>
  <c r="DG34" i="31"/>
  <c r="CY34" i="31"/>
  <c r="CQ34" i="31"/>
  <c r="CI34" i="31"/>
  <c r="CA34" i="31"/>
  <c r="BS34" i="31"/>
  <c r="BK34" i="31"/>
  <c r="DE34" i="31"/>
  <c r="CW34" i="31"/>
  <c r="CO34" i="31"/>
  <c r="CG34" i="31"/>
  <c r="BY34" i="31"/>
  <c r="BQ34" i="31"/>
  <c r="DD34" i="31"/>
  <c r="CV34" i="31"/>
  <c r="CN34" i="31"/>
  <c r="CF34" i="31"/>
  <c r="BX34" i="31"/>
  <c r="BP34" i="31"/>
  <c r="CU34" i="31"/>
  <c r="BO34" i="31"/>
  <c r="CP34" i="31"/>
  <c r="CM34" i="31"/>
  <c r="CH34" i="31"/>
  <c r="CE34" i="31"/>
  <c r="DC34" i="31"/>
  <c r="BW34" i="31"/>
  <c r="CX34" i="31"/>
  <c r="BR34" i="31"/>
  <c r="DF34" i="31"/>
  <c r="BZ34" i="31"/>
  <c r="DD82" i="31"/>
  <c r="CV82" i="31"/>
  <c r="CN82" i="31"/>
  <c r="CF82" i="31"/>
  <c r="BX82" i="31"/>
  <c r="BP82" i="31"/>
  <c r="DC82" i="31"/>
  <c r="CU82" i="31"/>
  <c r="CM82" i="31"/>
  <c r="CE82" i="31"/>
  <c r="BW82" i="31"/>
  <c r="BO82" i="31"/>
  <c r="DJ82" i="31"/>
  <c r="DK82" i="31" s="1"/>
  <c r="DB82" i="31"/>
  <c r="CT82" i="31"/>
  <c r="CL82" i="31"/>
  <c r="CD82" i="31"/>
  <c r="BV82" i="31"/>
  <c r="BN82" i="31"/>
  <c r="DI82" i="31"/>
  <c r="DA82" i="31"/>
  <c r="CS82" i="31"/>
  <c r="CK82" i="31"/>
  <c r="CC82" i="31"/>
  <c r="BU82" i="31"/>
  <c r="BM82" i="31"/>
  <c r="DH82" i="31"/>
  <c r="CZ82" i="31"/>
  <c r="CR82" i="31"/>
  <c r="CJ82" i="31"/>
  <c r="CB82" i="31"/>
  <c r="BT82" i="31"/>
  <c r="BL82" i="31"/>
  <c r="DG82" i="31"/>
  <c r="CY82" i="31"/>
  <c r="CQ82" i="31"/>
  <c r="CI82" i="31"/>
  <c r="CA82" i="31"/>
  <c r="BS82" i="31"/>
  <c r="BK82" i="31"/>
  <c r="DF82" i="31"/>
  <c r="CX82" i="31"/>
  <c r="CP82" i="31"/>
  <c r="CH82" i="31"/>
  <c r="BZ82" i="31"/>
  <c r="BR82" i="31"/>
  <c r="DE82" i="31"/>
  <c r="CW82" i="31"/>
  <c r="CO82" i="31"/>
  <c r="CG82" i="31"/>
  <c r="BY82" i="31"/>
  <c r="BQ82" i="31"/>
  <c r="DC92" i="31"/>
  <c r="CU92" i="31"/>
  <c r="CM92" i="31"/>
  <c r="DI92" i="31"/>
  <c r="DH92" i="31"/>
  <c r="CZ92" i="31"/>
  <c r="DG92" i="31"/>
  <c r="CY92" i="31"/>
  <c r="CQ92" i="31"/>
  <c r="CI92" i="31"/>
  <c r="DA92" i="31"/>
  <c r="CO92" i="31"/>
  <c r="CE92" i="31"/>
  <c r="BW92" i="31"/>
  <c r="BO92" i="31"/>
  <c r="CX92" i="31"/>
  <c r="CN92" i="31"/>
  <c r="CD92" i="31"/>
  <c r="BV92" i="31"/>
  <c r="BN92" i="31"/>
  <c r="CW92" i="31"/>
  <c r="CL92" i="31"/>
  <c r="CC92" i="31"/>
  <c r="BU92" i="31"/>
  <c r="BM92" i="31"/>
  <c r="DJ92" i="31"/>
  <c r="DK92" i="31" s="1"/>
  <c r="CV92" i="31"/>
  <c r="CK92" i="31"/>
  <c r="CB92" i="31"/>
  <c r="BT92" i="31"/>
  <c r="BL92" i="31"/>
  <c r="DF92" i="31"/>
  <c r="CT92" i="31"/>
  <c r="CJ92" i="31"/>
  <c r="CA92" i="31"/>
  <c r="BS92" i="31"/>
  <c r="BK92" i="31"/>
  <c r="DE92" i="31"/>
  <c r="CS92" i="31"/>
  <c r="CH92" i="31"/>
  <c r="BZ92" i="31"/>
  <c r="BR92" i="31"/>
  <c r="DD92" i="31"/>
  <c r="CR92" i="31"/>
  <c r="CG92" i="31"/>
  <c r="BY92" i="31"/>
  <c r="BQ92" i="31"/>
  <c r="CP92" i="31"/>
  <c r="CF92" i="31"/>
  <c r="BX92" i="31"/>
  <c r="BP92" i="31"/>
  <c r="DB92" i="31"/>
  <c r="DC100" i="31"/>
  <c r="CU100" i="31"/>
  <c r="CM100" i="31"/>
  <c r="CE100" i="31"/>
  <c r="BW100" i="31"/>
  <c r="BO100" i="31"/>
  <c r="DI100" i="31"/>
  <c r="DA100" i="31"/>
  <c r="CS100" i="31"/>
  <c r="CK100" i="31"/>
  <c r="CC100" i="31"/>
  <c r="BU100" i="31"/>
  <c r="BM100" i="31"/>
  <c r="DH100" i="31"/>
  <c r="CZ100" i="31"/>
  <c r="CR100" i="31"/>
  <c r="CJ100" i="31"/>
  <c r="CB100" i="31"/>
  <c r="BT100" i="31"/>
  <c r="BL100" i="31"/>
  <c r="DG100" i="31"/>
  <c r="CY100" i="31"/>
  <c r="CQ100" i="31"/>
  <c r="CI100" i="31"/>
  <c r="CA100" i="31"/>
  <c r="BS100" i="31"/>
  <c r="BK100" i="31"/>
  <c r="DF100" i="31"/>
  <c r="CX100" i="31"/>
  <c r="CP100" i="31"/>
  <c r="CH100" i="31"/>
  <c r="BZ100" i="31"/>
  <c r="BR100" i="31"/>
  <c r="CT100" i="31"/>
  <c r="BX100" i="31"/>
  <c r="CO100" i="31"/>
  <c r="BV100" i="31"/>
  <c r="DJ100" i="31"/>
  <c r="DK100" i="31" s="1"/>
  <c r="CN100" i="31"/>
  <c r="BQ100" i="31"/>
  <c r="DE100" i="31"/>
  <c r="CL100" i="31"/>
  <c r="BP100" i="31"/>
  <c r="DD100" i="31"/>
  <c r="CG100" i="31"/>
  <c r="BN100" i="31"/>
  <c r="DB100" i="31"/>
  <c r="CF100" i="31"/>
  <c r="CW100" i="31"/>
  <c r="CD100" i="31"/>
  <c r="CV100" i="31"/>
  <c r="BY100" i="31"/>
  <c r="DE53" i="31"/>
  <c r="CW53" i="31"/>
  <c r="CO53" i="31"/>
  <c r="DD53" i="31"/>
  <c r="DC53" i="31"/>
  <c r="CU53" i="31"/>
  <c r="CM53" i="31"/>
  <c r="CE53" i="31"/>
  <c r="DJ53" i="31"/>
  <c r="DK53" i="31" s="1"/>
  <c r="DI53" i="31"/>
  <c r="DG53" i="31"/>
  <c r="CY53" i="31"/>
  <c r="CQ53" i="31"/>
  <c r="CI53" i="31"/>
  <c r="CA53" i="31"/>
  <c r="BS53" i="31"/>
  <c r="DA53" i="31"/>
  <c r="CN53" i="31"/>
  <c r="CC53" i="31"/>
  <c r="BT53" i="31"/>
  <c r="BK53" i="31"/>
  <c r="CZ53" i="31"/>
  <c r="CL53" i="31"/>
  <c r="CB53" i="31"/>
  <c r="BR53" i="31"/>
  <c r="CX53" i="31"/>
  <c r="CK53" i="31"/>
  <c r="BZ53" i="31"/>
  <c r="BQ53" i="31"/>
  <c r="CT53" i="31"/>
  <c r="CH53" i="31"/>
  <c r="BX53" i="31"/>
  <c r="BO53" i="31"/>
  <c r="DH53" i="31"/>
  <c r="CS53" i="31"/>
  <c r="CG53" i="31"/>
  <c r="BW53" i="31"/>
  <c r="BN53" i="31"/>
  <c r="CD53" i="31"/>
  <c r="DF53" i="31"/>
  <c r="BY53" i="31"/>
  <c r="DB53" i="31"/>
  <c r="BV53" i="31"/>
  <c r="CV53" i="31"/>
  <c r="BU53" i="31"/>
  <c r="CR53" i="31"/>
  <c r="BP53" i="31"/>
  <c r="CP53" i="31"/>
  <c r="BM53" i="31"/>
  <c r="CJ53" i="31"/>
  <c r="BL53" i="31"/>
  <c r="CF53" i="31"/>
  <c r="DE48" i="31"/>
  <c r="CW48" i="31"/>
  <c r="CO48" i="31"/>
  <c r="CG48" i="31"/>
  <c r="BY48" i="31"/>
  <c r="BQ48" i="31"/>
  <c r="DD48" i="31"/>
  <c r="CV48" i="31"/>
  <c r="CN48" i="31"/>
  <c r="CF48" i="31"/>
  <c r="BX48" i="31"/>
  <c r="BP48" i="31"/>
  <c r="DC48" i="31"/>
  <c r="CU48" i="31"/>
  <c r="CM48" i="31"/>
  <c r="CE48" i="31"/>
  <c r="BW48" i="31"/>
  <c r="BO48" i="31"/>
  <c r="DI48" i="31"/>
  <c r="DA48" i="31"/>
  <c r="CS48" i="31"/>
  <c r="CK48" i="31"/>
  <c r="CC48" i="31"/>
  <c r="BU48" i="31"/>
  <c r="BM48" i="31"/>
  <c r="DH48" i="31"/>
  <c r="CZ48" i="31"/>
  <c r="CR48" i="31"/>
  <c r="CJ48" i="31"/>
  <c r="CB48" i="31"/>
  <c r="BT48" i="31"/>
  <c r="BL48" i="31"/>
  <c r="DJ48" i="31"/>
  <c r="DK48" i="31" s="1"/>
  <c r="CP48" i="31"/>
  <c r="BS48" i="31"/>
  <c r="DG48" i="31"/>
  <c r="CL48" i="31"/>
  <c r="BR48" i="31"/>
  <c r="DF48" i="31"/>
  <c r="CI48" i="31"/>
  <c r="BN48" i="31"/>
  <c r="DB48" i="31"/>
  <c r="CH48" i="31"/>
  <c r="BK48" i="31"/>
  <c r="CY48" i="31"/>
  <c r="CD48" i="31"/>
  <c r="CX48" i="31"/>
  <c r="CA48" i="31"/>
  <c r="CT48" i="31"/>
  <c r="BZ48" i="31"/>
  <c r="CQ48" i="31"/>
  <c r="BV48" i="31"/>
  <c r="DC60" i="31"/>
  <c r="CU60" i="31"/>
  <c r="CM60" i="31"/>
  <c r="CE60" i="31"/>
  <c r="BW60" i="31"/>
  <c r="BO60" i="31"/>
  <c r="DJ60" i="31"/>
  <c r="DK60" i="31" s="1"/>
  <c r="DB60" i="31"/>
  <c r="CT60" i="31"/>
  <c r="CL60" i="31"/>
  <c r="CD60" i="31"/>
  <c r="BV60" i="31"/>
  <c r="BN60" i="31"/>
  <c r="DI60" i="31"/>
  <c r="DA60" i="31"/>
  <c r="CS60" i="31"/>
  <c r="CK60" i="31"/>
  <c r="CC60" i="31"/>
  <c r="BU60" i="31"/>
  <c r="BM60" i="31"/>
  <c r="DH60" i="31"/>
  <c r="CZ60" i="31"/>
  <c r="CR60" i="31"/>
  <c r="CJ60" i="31"/>
  <c r="CB60" i="31"/>
  <c r="BT60" i="31"/>
  <c r="BL60" i="31"/>
  <c r="DG60" i="31"/>
  <c r="CY60" i="31"/>
  <c r="CQ60" i="31"/>
  <c r="CI60" i="31"/>
  <c r="CA60" i="31"/>
  <c r="BS60" i="31"/>
  <c r="BK60" i="31"/>
  <c r="DE60" i="31"/>
  <c r="CW60" i="31"/>
  <c r="CO60" i="31"/>
  <c r="CG60" i="31"/>
  <c r="BY60" i="31"/>
  <c r="BQ60" i="31"/>
  <c r="DD60" i="31"/>
  <c r="CV60" i="31"/>
  <c r="CN60" i="31"/>
  <c r="CF60" i="31"/>
  <c r="BX60" i="31"/>
  <c r="BP60" i="31"/>
  <c r="BR60" i="31"/>
  <c r="CX60" i="31"/>
  <c r="CP60" i="31"/>
  <c r="BZ60" i="31"/>
  <c r="DF60" i="31"/>
  <c r="CH60" i="31"/>
  <c r="DC104" i="31"/>
  <c r="CU104" i="31"/>
  <c r="CM104" i="31"/>
  <c r="CE104" i="31"/>
  <c r="BW104" i="31"/>
  <c r="BO104" i="31"/>
  <c r="DI104" i="31"/>
  <c r="DA104" i="31"/>
  <c r="CS104" i="31"/>
  <c r="CK104" i="31"/>
  <c r="CC104" i="31"/>
  <c r="BU104" i="31"/>
  <c r="BM104" i="31"/>
  <c r="DH104" i="31"/>
  <c r="CZ104" i="31"/>
  <c r="CR104" i="31"/>
  <c r="CJ104" i="31"/>
  <c r="CB104" i="31"/>
  <c r="BT104" i="31"/>
  <c r="BL104" i="31"/>
  <c r="DG104" i="31"/>
  <c r="CY104" i="31"/>
  <c r="CQ104" i="31"/>
  <c r="CI104" i="31"/>
  <c r="CA104" i="31"/>
  <c r="BS104" i="31"/>
  <c r="BK104" i="31"/>
  <c r="DF104" i="31"/>
  <c r="CX104" i="31"/>
  <c r="CP104" i="31"/>
  <c r="CH104" i="31"/>
  <c r="BZ104" i="31"/>
  <c r="BR104" i="31"/>
  <c r="CO104" i="31"/>
  <c r="BV104" i="31"/>
  <c r="DJ104" i="31"/>
  <c r="DK104" i="31" s="1"/>
  <c r="CN104" i="31"/>
  <c r="BQ104" i="31"/>
  <c r="DE104" i="31"/>
  <c r="CL104" i="31"/>
  <c r="BP104" i="31"/>
  <c r="DD104" i="31"/>
  <c r="CG104" i="31"/>
  <c r="BN104" i="31"/>
  <c r="DB104" i="31"/>
  <c r="CF104" i="31"/>
  <c r="CW104" i="31"/>
  <c r="CD104" i="31"/>
  <c r="CV104" i="31"/>
  <c r="BY104" i="31"/>
  <c r="CT104" i="31"/>
  <c r="BX104" i="31"/>
  <c r="DI103" i="31"/>
  <c r="DA103" i="31"/>
  <c r="CS103" i="31"/>
  <c r="CK103" i="31"/>
  <c r="CC103" i="31"/>
  <c r="BU103" i="31"/>
  <c r="BM103" i="31"/>
  <c r="DG103" i="31"/>
  <c r="CY103" i="31"/>
  <c r="CQ103" i="31"/>
  <c r="CI103" i="31"/>
  <c r="CA103" i="31"/>
  <c r="BS103" i="31"/>
  <c r="BK103" i="31"/>
  <c r="DF103" i="31"/>
  <c r="CX103" i="31"/>
  <c r="CP103" i="31"/>
  <c r="CH103" i="31"/>
  <c r="BZ103" i="31"/>
  <c r="BR103" i="31"/>
  <c r="DE103" i="31"/>
  <c r="CW103" i="31"/>
  <c r="CO103" i="31"/>
  <c r="CG103" i="31"/>
  <c r="BY103" i="31"/>
  <c r="BQ103" i="31"/>
  <c r="DD103" i="31"/>
  <c r="CV103" i="31"/>
  <c r="CN103" i="31"/>
  <c r="CF103" i="31"/>
  <c r="BX103" i="31"/>
  <c r="BP103" i="31"/>
  <c r="DB103" i="31"/>
  <c r="CE103" i="31"/>
  <c r="BL103" i="31"/>
  <c r="CZ103" i="31"/>
  <c r="CD103" i="31"/>
  <c r="CU103" i="31"/>
  <c r="CB103" i="31"/>
  <c r="CT103" i="31"/>
  <c r="BW103" i="31"/>
  <c r="CR103" i="31"/>
  <c r="BV103" i="31"/>
  <c r="DJ103" i="31"/>
  <c r="DK103" i="31" s="1"/>
  <c r="CM103" i="31"/>
  <c r="BT103" i="31"/>
  <c r="DH103" i="31"/>
  <c r="CL103" i="31"/>
  <c r="BO103" i="31"/>
  <c r="DC103" i="31"/>
  <c r="CJ103" i="31"/>
  <c r="BN103" i="31"/>
  <c r="DD17" i="31"/>
  <c r="CV17" i="31"/>
  <c r="CN17" i="31"/>
  <c r="CF17" i="31"/>
  <c r="BX17" i="31"/>
  <c r="BP17" i="31"/>
  <c r="DC17" i="31"/>
  <c r="CU17" i="31"/>
  <c r="CM17" i="31"/>
  <c r="CE17" i="31"/>
  <c r="BW17" i="31"/>
  <c r="BO17" i="31"/>
  <c r="DJ17" i="31"/>
  <c r="DK17" i="31" s="1"/>
  <c r="DB17" i="31"/>
  <c r="CT17" i="31"/>
  <c r="CL17" i="31"/>
  <c r="CD17" i="31"/>
  <c r="BV17" i="31"/>
  <c r="BN17" i="31"/>
  <c r="DI17" i="31"/>
  <c r="DA17" i="31"/>
  <c r="CS17" i="31"/>
  <c r="CK17" i="31"/>
  <c r="CC17" i="31"/>
  <c r="BU17" i="31"/>
  <c r="BM17" i="31"/>
  <c r="DH17" i="31"/>
  <c r="CZ17" i="31"/>
  <c r="CR17" i="31"/>
  <c r="CJ17" i="31"/>
  <c r="CB17" i="31"/>
  <c r="BT17" i="31"/>
  <c r="BL17" i="31"/>
  <c r="DF17" i="31"/>
  <c r="CX17" i="31"/>
  <c r="CP17" i="31"/>
  <c r="CH17" i="31"/>
  <c r="BZ17" i="31"/>
  <c r="BR17" i="31"/>
  <c r="DE17" i="31"/>
  <c r="CW17" i="31"/>
  <c r="CO17" i="31"/>
  <c r="CG17" i="31"/>
  <c r="BY17" i="31"/>
  <c r="BQ17" i="31"/>
  <c r="DG17" i="31"/>
  <c r="BS17" i="31"/>
  <c r="CY17" i="31"/>
  <c r="CQ17" i="31"/>
  <c r="CA17" i="31"/>
  <c r="CI17" i="31"/>
  <c r="BK17" i="31"/>
  <c r="DJ30" i="31"/>
  <c r="DK30" i="31" s="1"/>
  <c r="DB30" i="31"/>
  <c r="CT30" i="31"/>
  <c r="CL30" i="31"/>
  <c r="CD30" i="31"/>
  <c r="BV30" i="31"/>
  <c r="BN30" i="31"/>
  <c r="DI30" i="31"/>
  <c r="DA30" i="31"/>
  <c r="CS30" i="31"/>
  <c r="CK30" i="31"/>
  <c r="CC30" i="31"/>
  <c r="BU30" i="31"/>
  <c r="BM30" i="31"/>
  <c r="DH30" i="31"/>
  <c r="CZ30" i="31"/>
  <c r="CR30" i="31"/>
  <c r="CJ30" i="31"/>
  <c r="CB30" i="31"/>
  <c r="BT30" i="31"/>
  <c r="BL30" i="31"/>
  <c r="DG30" i="31"/>
  <c r="CY30" i="31"/>
  <c r="CQ30" i="31"/>
  <c r="CI30" i="31"/>
  <c r="CA30" i="31"/>
  <c r="BS30" i="31"/>
  <c r="BK30" i="31"/>
  <c r="DE30" i="31"/>
  <c r="CW30" i="31"/>
  <c r="CO30" i="31"/>
  <c r="CG30" i="31"/>
  <c r="BY30" i="31"/>
  <c r="BQ30" i="31"/>
  <c r="DD30" i="31"/>
  <c r="CV30" i="31"/>
  <c r="CN30" i="31"/>
  <c r="CF30" i="31"/>
  <c r="BX30" i="31"/>
  <c r="BP30" i="31"/>
  <c r="CM30" i="31"/>
  <c r="CH30" i="31"/>
  <c r="CE30" i="31"/>
  <c r="DF30" i="31"/>
  <c r="BZ30" i="31"/>
  <c r="DC30" i="31"/>
  <c r="BW30" i="31"/>
  <c r="CU30" i="31"/>
  <c r="BO30" i="31"/>
  <c r="CP30" i="31"/>
  <c r="CX30" i="31"/>
  <c r="BR30" i="31"/>
  <c r="DJ38" i="31"/>
  <c r="DK38" i="31" s="1"/>
  <c r="DB38" i="31"/>
  <c r="CT38" i="31"/>
  <c r="CL38" i="31"/>
  <c r="CD38" i="31"/>
  <c r="BV38" i="31"/>
  <c r="BN38" i="31"/>
  <c r="DI38" i="31"/>
  <c r="DA38" i="31"/>
  <c r="CS38" i="31"/>
  <c r="CK38" i="31"/>
  <c r="CC38" i="31"/>
  <c r="BU38" i="31"/>
  <c r="BM38" i="31"/>
  <c r="DH38" i="31"/>
  <c r="CZ38" i="31"/>
  <c r="CR38" i="31"/>
  <c r="CJ38" i="31"/>
  <c r="CB38" i="31"/>
  <c r="BT38" i="31"/>
  <c r="BL38" i="31"/>
  <c r="DG38" i="31"/>
  <c r="CY38" i="31"/>
  <c r="CQ38" i="31"/>
  <c r="CI38" i="31"/>
  <c r="CA38" i="31"/>
  <c r="BS38" i="31"/>
  <c r="BK38" i="31"/>
  <c r="DF38" i="31"/>
  <c r="CX38" i="31"/>
  <c r="CP38" i="31"/>
  <c r="CH38" i="31"/>
  <c r="BZ38" i="31"/>
  <c r="BR38" i="31"/>
  <c r="DE38" i="31"/>
  <c r="CW38" i="31"/>
  <c r="CO38" i="31"/>
  <c r="CG38" i="31"/>
  <c r="BY38" i="31"/>
  <c r="BQ38" i="31"/>
  <c r="DD38" i="31"/>
  <c r="CV38" i="31"/>
  <c r="CN38" i="31"/>
  <c r="CF38" i="31"/>
  <c r="BX38" i="31"/>
  <c r="BP38" i="31"/>
  <c r="DC38" i="31"/>
  <c r="CU38" i="31"/>
  <c r="CM38" i="31"/>
  <c r="BW38" i="31"/>
  <c r="BO38" i="31"/>
  <c r="CE38" i="31"/>
  <c r="DH27" i="31"/>
  <c r="CZ27" i="31"/>
  <c r="CR27" i="31"/>
  <c r="CJ27" i="31"/>
  <c r="CB27" i="31"/>
  <c r="BT27" i="31"/>
  <c r="BL27" i="31"/>
  <c r="DG27" i="31"/>
  <c r="CY27" i="31"/>
  <c r="CQ27" i="31"/>
  <c r="CI27" i="31"/>
  <c r="CA27" i="31"/>
  <c r="BS27" i="31"/>
  <c r="BK27" i="31"/>
  <c r="DF27" i="31"/>
  <c r="CX27" i="31"/>
  <c r="CP27" i="31"/>
  <c r="CH27" i="31"/>
  <c r="BZ27" i="31"/>
  <c r="BR27" i="31"/>
  <c r="DE27" i="31"/>
  <c r="CW27" i="31"/>
  <c r="CO27" i="31"/>
  <c r="CG27" i="31"/>
  <c r="BY27" i="31"/>
  <c r="BQ27" i="31"/>
  <c r="DD27" i="31"/>
  <c r="CV27" i="31"/>
  <c r="CN27" i="31"/>
  <c r="CF27" i="31"/>
  <c r="BX27" i="31"/>
  <c r="BP27" i="31"/>
  <c r="DJ27" i="31"/>
  <c r="DK27" i="31" s="1"/>
  <c r="DB27" i="31"/>
  <c r="CT27" i="31"/>
  <c r="CL27" i="31"/>
  <c r="CD27" i="31"/>
  <c r="BV27" i="31"/>
  <c r="BN27" i="31"/>
  <c r="DI27" i="31"/>
  <c r="DA27" i="31"/>
  <c r="CS27" i="31"/>
  <c r="CK27" i="31"/>
  <c r="CC27" i="31"/>
  <c r="BU27" i="31"/>
  <c r="BM27" i="31"/>
  <c r="CE27" i="31"/>
  <c r="BW27" i="31"/>
  <c r="BO27" i="31"/>
  <c r="CU27" i="31"/>
  <c r="DC27" i="31"/>
  <c r="CM27" i="31"/>
  <c r="F144" i="24"/>
  <c r="DD25" i="31"/>
  <c r="CV25" i="31"/>
  <c r="CN25" i="31"/>
  <c r="CF25" i="31"/>
  <c r="BX25" i="31"/>
  <c r="BP25" i="31"/>
  <c r="DC25" i="31"/>
  <c r="CU25" i="31"/>
  <c r="CM25" i="31"/>
  <c r="CE25" i="31"/>
  <c r="BW25" i="31"/>
  <c r="BO25" i="31"/>
  <c r="DJ25" i="31"/>
  <c r="DK25" i="31" s="1"/>
  <c r="DB25" i="31"/>
  <c r="CT25" i="31"/>
  <c r="CL25" i="31"/>
  <c r="CD25" i="31"/>
  <c r="BV25" i="31"/>
  <c r="BN25" i="31"/>
  <c r="DI25" i="31"/>
  <c r="DA25" i="31"/>
  <c r="CS25" i="31"/>
  <c r="CK25" i="31"/>
  <c r="CC25" i="31"/>
  <c r="BU25" i="31"/>
  <c r="BM25" i="31"/>
  <c r="DH25" i="31"/>
  <c r="CZ25" i="31"/>
  <c r="CR25" i="31"/>
  <c r="CJ25" i="31"/>
  <c r="CB25" i="31"/>
  <c r="BT25" i="31"/>
  <c r="BL25" i="31"/>
  <c r="DF25" i="31"/>
  <c r="CX25" i="31"/>
  <c r="CP25" i="31"/>
  <c r="CH25" i="31"/>
  <c r="BZ25" i="31"/>
  <c r="BR25" i="31"/>
  <c r="DE25" i="31"/>
  <c r="CW25" i="31"/>
  <c r="CO25" i="31"/>
  <c r="CG25" i="31"/>
  <c r="BY25" i="31"/>
  <c r="BQ25" i="31"/>
  <c r="BK25" i="31"/>
  <c r="CQ25" i="31"/>
  <c r="DG25" i="31"/>
  <c r="CY25" i="31"/>
  <c r="CA25" i="31"/>
  <c r="BS25" i="31"/>
  <c r="CI25" i="31"/>
  <c r="DG54" i="31"/>
  <c r="CY54" i="31"/>
  <c r="CQ54" i="31"/>
  <c r="CI54" i="31"/>
  <c r="CA54" i="31"/>
  <c r="BS54" i="31"/>
  <c r="BK54" i="31"/>
  <c r="DF54" i="31"/>
  <c r="CX54" i="31"/>
  <c r="CP54" i="31"/>
  <c r="CH54" i="31"/>
  <c r="BZ54" i="31"/>
  <c r="BR54" i="31"/>
  <c r="DE54" i="31"/>
  <c r="CW54" i="31"/>
  <c r="CO54" i="31"/>
  <c r="CG54" i="31"/>
  <c r="BY54" i="31"/>
  <c r="BQ54" i="31"/>
  <c r="DD54" i="31"/>
  <c r="CV54" i="31"/>
  <c r="CN54" i="31"/>
  <c r="CF54" i="31"/>
  <c r="BX54" i="31"/>
  <c r="BP54" i="31"/>
  <c r="DC54" i="31"/>
  <c r="CU54" i="31"/>
  <c r="CM54" i="31"/>
  <c r="CE54" i="31"/>
  <c r="BW54" i="31"/>
  <c r="BO54" i="31"/>
  <c r="DI54" i="31"/>
  <c r="DA54" i="31"/>
  <c r="CS54" i="31"/>
  <c r="CK54" i="31"/>
  <c r="CC54" i="31"/>
  <c r="BU54" i="31"/>
  <c r="BM54" i="31"/>
  <c r="DH54" i="31"/>
  <c r="CZ54" i="31"/>
  <c r="CR54" i="31"/>
  <c r="CJ54" i="31"/>
  <c r="CB54" i="31"/>
  <c r="BV54" i="31"/>
  <c r="BT54" i="31"/>
  <c r="DB54" i="31"/>
  <c r="BL54" i="31"/>
  <c r="CT54" i="31"/>
  <c r="BN54" i="31"/>
  <c r="DJ54" i="31"/>
  <c r="DK54" i="31" s="1"/>
  <c r="CL54" i="31"/>
  <c r="CD54" i="31"/>
  <c r="DH33" i="31"/>
  <c r="CZ33" i="31"/>
  <c r="CR33" i="31"/>
  <c r="CJ33" i="31"/>
  <c r="CB33" i="31"/>
  <c r="BT33" i="31"/>
  <c r="BL33" i="31"/>
  <c r="DG33" i="31"/>
  <c r="CY33" i="31"/>
  <c r="CQ33" i="31"/>
  <c r="CI33" i="31"/>
  <c r="CA33" i="31"/>
  <c r="BS33" i="31"/>
  <c r="BK33" i="31"/>
  <c r="DF33" i="31"/>
  <c r="CX33" i="31"/>
  <c r="CP33" i="31"/>
  <c r="CH33" i="31"/>
  <c r="BZ33" i="31"/>
  <c r="BR33" i="31"/>
  <c r="DE33" i="31"/>
  <c r="CW33" i="31"/>
  <c r="CO33" i="31"/>
  <c r="CG33" i="31"/>
  <c r="BY33" i="31"/>
  <c r="BQ33" i="31"/>
  <c r="DC33" i="31"/>
  <c r="CU33" i="31"/>
  <c r="CM33" i="31"/>
  <c r="CE33" i="31"/>
  <c r="BW33" i="31"/>
  <c r="BO33" i="31"/>
  <c r="DJ33" i="31"/>
  <c r="DK33" i="31" s="1"/>
  <c r="DB33" i="31"/>
  <c r="CT33" i="31"/>
  <c r="CL33" i="31"/>
  <c r="CD33" i="31"/>
  <c r="BV33" i="31"/>
  <c r="BN33" i="31"/>
  <c r="CK33" i="31"/>
  <c r="CF33" i="31"/>
  <c r="DI33" i="31"/>
  <c r="CC33" i="31"/>
  <c r="DD33" i="31"/>
  <c r="BX33" i="31"/>
  <c r="DA33" i="31"/>
  <c r="BU33" i="31"/>
  <c r="CS33" i="31"/>
  <c r="BM33" i="31"/>
  <c r="CN33" i="31"/>
  <c r="CV33" i="31"/>
  <c r="BP33" i="31"/>
  <c r="DG72" i="31"/>
  <c r="CY72" i="31"/>
  <c r="CQ72" i="31"/>
  <c r="CI72" i="31"/>
  <c r="CA72" i="31"/>
  <c r="BS72" i="31"/>
  <c r="BK72" i="31"/>
  <c r="DF72" i="31"/>
  <c r="CX72" i="31"/>
  <c r="CP72" i="31"/>
  <c r="CH72" i="31"/>
  <c r="BZ72" i="31"/>
  <c r="BR72" i="31"/>
  <c r="DE72" i="31"/>
  <c r="CW72" i="31"/>
  <c r="CO72" i="31"/>
  <c r="CG72" i="31"/>
  <c r="BY72" i="31"/>
  <c r="BQ72" i="31"/>
  <c r="DD72" i="31"/>
  <c r="CV72" i="31"/>
  <c r="CN72" i="31"/>
  <c r="CF72" i="31"/>
  <c r="BX72" i="31"/>
  <c r="BP72" i="31"/>
  <c r="DC72" i="31"/>
  <c r="CU72" i="31"/>
  <c r="CM72" i="31"/>
  <c r="CE72" i="31"/>
  <c r="BW72" i="31"/>
  <c r="BO72" i="31"/>
  <c r="DJ72" i="31"/>
  <c r="DK72" i="31" s="1"/>
  <c r="DB72" i="31"/>
  <c r="CT72" i="31"/>
  <c r="CL72" i="31"/>
  <c r="CD72" i="31"/>
  <c r="BV72" i="31"/>
  <c r="BN72" i="31"/>
  <c r="DI72" i="31"/>
  <c r="DA72" i="31"/>
  <c r="CS72" i="31"/>
  <c r="CK72" i="31"/>
  <c r="CC72" i="31"/>
  <c r="BU72" i="31"/>
  <c r="BM72" i="31"/>
  <c r="CB72" i="31"/>
  <c r="BT72" i="31"/>
  <c r="BL72" i="31"/>
  <c r="DH72" i="31"/>
  <c r="CR72" i="31"/>
  <c r="CJ72" i="31"/>
  <c r="CZ72" i="31"/>
  <c r="DG68" i="31"/>
  <c r="CY68" i="31"/>
  <c r="CQ68" i="31"/>
  <c r="CI68" i="31"/>
  <c r="CA68" i="31"/>
  <c r="BS68" i="31"/>
  <c r="BK68" i="31"/>
  <c r="DF68" i="31"/>
  <c r="CX68" i="31"/>
  <c r="CP68" i="31"/>
  <c r="CH68" i="31"/>
  <c r="BZ68" i="31"/>
  <c r="BR68" i="31"/>
  <c r="DE68" i="31"/>
  <c r="CW68" i="31"/>
  <c r="CO68" i="31"/>
  <c r="CG68" i="31"/>
  <c r="BY68" i="31"/>
  <c r="BQ68" i="31"/>
  <c r="DD68" i="31"/>
  <c r="CV68" i="31"/>
  <c r="CN68" i="31"/>
  <c r="CF68" i="31"/>
  <c r="BX68" i="31"/>
  <c r="BP68" i="31"/>
  <c r="DC68" i="31"/>
  <c r="CU68" i="31"/>
  <c r="CM68" i="31"/>
  <c r="CE68" i="31"/>
  <c r="BW68" i="31"/>
  <c r="BO68" i="31"/>
  <c r="DJ68" i="31"/>
  <c r="DK68" i="31" s="1"/>
  <c r="DB68" i="31"/>
  <c r="CT68" i="31"/>
  <c r="CL68" i="31"/>
  <c r="CD68" i="31"/>
  <c r="BV68" i="31"/>
  <c r="BN68" i="31"/>
  <c r="DI68" i="31"/>
  <c r="DA68" i="31"/>
  <c r="CS68" i="31"/>
  <c r="CK68" i="31"/>
  <c r="CC68" i="31"/>
  <c r="BU68" i="31"/>
  <c r="BM68" i="31"/>
  <c r="CZ68" i="31"/>
  <c r="CR68" i="31"/>
  <c r="CJ68" i="31"/>
  <c r="CB68" i="31"/>
  <c r="BT68" i="31"/>
  <c r="DH68" i="31"/>
  <c r="BL68" i="31"/>
  <c r="DH7" i="31"/>
  <c r="CZ7" i="31"/>
  <c r="CR7" i="31"/>
  <c r="CJ7" i="31"/>
  <c r="CB7" i="31"/>
  <c r="BT7" i="31"/>
  <c r="DG7" i="31"/>
  <c r="CY7" i="31"/>
  <c r="CQ7" i="31"/>
  <c r="CI7" i="31"/>
  <c r="CA7" i="31"/>
  <c r="BS7" i="31"/>
  <c r="DF7" i="31"/>
  <c r="CX7" i="31"/>
  <c r="CP7" i="31"/>
  <c r="CH7" i="31"/>
  <c r="BZ7" i="31"/>
  <c r="BR7" i="31"/>
  <c r="DE7" i="31"/>
  <c r="CW7" i="31"/>
  <c r="CO7" i="31"/>
  <c r="CG7" i="31"/>
  <c r="BY7" i="31"/>
  <c r="BQ7" i="31"/>
  <c r="DJ7" i="31"/>
  <c r="DK7" i="31" s="1"/>
  <c r="DB7" i="31"/>
  <c r="CT7" i="31"/>
  <c r="CL7" i="31"/>
  <c r="CD7" i="31"/>
  <c r="BV7" i="31"/>
  <c r="BN7" i="31"/>
  <c r="DI7" i="31"/>
  <c r="DA7" i="31"/>
  <c r="CS7" i="31"/>
  <c r="CK7" i="31"/>
  <c r="CC7" i="31"/>
  <c r="BU7" i="31"/>
  <c r="BM7" i="31"/>
  <c r="CU7" i="31"/>
  <c r="BO7" i="31"/>
  <c r="CN7" i="31"/>
  <c r="BL7" i="31"/>
  <c r="CM7" i="31"/>
  <c r="BK7" i="31"/>
  <c r="CE7" i="31"/>
  <c r="BX7" i="31"/>
  <c r="CF7" i="31"/>
  <c r="DC7" i="31"/>
  <c r="BW7" i="31"/>
  <c r="CV7" i="31"/>
  <c r="BP7" i="31"/>
  <c r="DD7" i="31"/>
  <c r="DG58" i="31"/>
  <c r="CY58" i="31"/>
  <c r="CQ58" i="31"/>
  <c r="CI58" i="31"/>
  <c r="CA58" i="31"/>
  <c r="BS58" i="31"/>
  <c r="BK58" i="31"/>
  <c r="DF58" i="31"/>
  <c r="CX58" i="31"/>
  <c r="CP58" i="31"/>
  <c r="CH58" i="31"/>
  <c r="BZ58" i="31"/>
  <c r="BR58" i="31"/>
  <c r="DE58" i="31"/>
  <c r="CW58" i="31"/>
  <c r="CO58" i="31"/>
  <c r="CG58" i="31"/>
  <c r="BY58" i="31"/>
  <c r="BQ58" i="31"/>
  <c r="DD58" i="31"/>
  <c r="CV58" i="31"/>
  <c r="CN58" i="31"/>
  <c r="CF58" i="31"/>
  <c r="BX58" i="31"/>
  <c r="BP58" i="31"/>
  <c r="DC58" i="31"/>
  <c r="CU58" i="31"/>
  <c r="CM58" i="31"/>
  <c r="CE58" i="31"/>
  <c r="BW58" i="31"/>
  <c r="BO58" i="31"/>
  <c r="DI58" i="31"/>
  <c r="DA58" i="31"/>
  <c r="CS58" i="31"/>
  <c r="CK58" i="31"/>
  <c r="CC58" i="31"/>
  <c r="BU58" i="31"/>
  <c r="BM58" i="31"/>
  <c r="DH58" i="31"/>
  <c r="CZ58" i="31"/>
  <c r="CR58" i="31"/>
  <c r="CJ58" i="31"/>
  <c r="CB58" i="31"/>
  <c r="BT58" i="31"/>
  <c r="BL58" i="31"/>
  <c r="DJ58" i="31"/>
  <c r="DK58" i="31" s="1"/>
  <c r="DB58" i="31"/>
  <c r="CT58" i="31"/>
  <c r="CD58" i="31"/>
  <c r="BV58" i="31"/>
  <c r="CL58" i="31"/>
  <c r="BN58" i="31"/>
  <c r="DC96" i="31"/>
  <c r="CU96" i="31"/>
  <c r="CM96" i="31"/>
  <c r="CE96" i="31"/>
  <c r="BW96" i="31"/>
  <c r="BO96" i="31"/>
  <c r="DI96" i="31"/>
  <c r="DA96" i="31"/>
  <c r="CS96" i="31"/>
  <c r="CK96" i="31"/>
  <c r="CC96" i="31"/>
  <c r="BU96" i="31"/>
  <c r="BM96" i="31"/>
  <c r="DH96" i="31"/>
  <c r="CZ96" i="31"/>
  <c r="CR96" i="31"/>
  <c r="CJ96" i="31"/>
  <c r="CB96" i="31"/>
  <c r="BT96" i="31"/>
  <c r="BL96" i="31"/>
  <c r="DG96" i="31"/>
  <c r="CY96" i="31"/>
  <c r="CQ96" i="31"/>
  <c r="CI96" i="31"/>
  <c r="CA96" i="31"/>
  <c r="BS96" i="31"/>
  <c r="BK96" i="31"/>
  <c r="DF96" i="31"/>
  <c r="CX96" i="31"/>
  <c r="CP96" i="31"/>
  <c r="CH96" i="31"/>
  <c r="BZ96" i="31"/>
  <c r="BR96" i="31"/>
  <c r="CV96" i="31"/>
  <c r="BY96" i="31"/>
  <c r="CT96" i="31"/>
  <c r="BX96" i="31"/>
  <c r="CO96" i="31"/>
  <c r="BV96" i="31"/>
  <c r="DJ96" i="31"/>
  <c r="DK96" i="31" s="1"/>
  <c r="CN96" i="31"/>
  <c r="BQ96" i="31"/>
  <c r="DE96" i="31"/>
  <c r="CL96" i="31"/>
  <c r="BP96" i="31"/>
  <c r="DD96" i="31"/>
  <c r="CG96" i="31"/>
  <c r="BN96" i="31"/>
  <c r="DB96" i="31"/>
  <c r="CF96" i="31"/>
  <c r="CW96" i="31"/>
  <c r="CD96" i="31"/>
  <c r="DC70" i="31"/>
  <c r="CU70" i="31"/>
  <c r="CM70" i="31"/>
  <c r="CE70" i="31"/>
  <c r="BW70" i="31"/>
  <c r="BO70" i="31"/>
  <c r="DJ70" i="31"/>
  <c r="DK70" i="31" s="1"/>
  <c r="DB70" i="31"/>
  <c r="CT70" i="31"/>
  <c r="CL70" i="31"/>
  <c r="CD70" i="31"/>
  <c r="BV70" i="31"/>
  <c r="BN70" i="31"/>
  <c r="DI70" i="31"/>
  <c r="DA70" i="31"/>
  <c r="CS70" i="31"/>
  <c r="CK70" i="31"/>
  <c r="CC70" i="31"/>
  <c r="BU70" i="31"/>
  <c r="BM70" i="31"/>
  <c r="DH70" i="31"/>
  <c r="CZ70" i="31"/>
  <c r="CR70" i="31"/>
  <c r="CJ70" i="31"/>
  <c r="CB70" i="31"/>
  <c r="BT70" i="31"/>
  <c r="BL70" i="31"/>
  <c r="DG70" i="31"/>
  <c r="CY70" i="31"/>
  <c r="CQ70" i="31"/>
  <c r="CI70" i="31"/>
  <c r="CA70" i="31"/>
  <c r="BS70" i="31"/>
  <c r="BK70" i="31"/>
  <c r="DF70" i="31"/>
  <c r="CX70" i="31"/>
  <c r="CP70" i="31"/>
  <c r="CH70" i="31"/>
  <c r="BZ70" i="31"/>
  <c r="BR70" i="31"/>
  <c r="DE70" i="31"/>
  <c r="CW70" i="31"/>
  <c r="CO70" i="31"/>
  <c r="CG70" i="31"/>
  <c r="BY70" i="31"/>
  <c r="BQ70" i="31"/>
  <c r="DD70" i="31"/>
  <c r="CV70" i="31"/>
  <c r="CN70" i="31"/>
  <c r="BX70" i="31"/>
  <c r="BP70" i="31"/>
  <c r="CF70" i="31"/>
  <c r="DH15" i="31"/>
  <c r="CZ15" i="31"/>
  <c r="CR15" i="31"/>
  <c r="CJ15" i="31"/>
  <c r="CB15" i="31"/>
  <c r="BT15" i="31"/>
  <c r="BL15" i="31"/>
  <c r="DG15" i="31"/>
  <c r="CY15" i="31"/>
  <c r="CQ15" i="31"/>
  <c r="CI15" i="31"/>
  <c r="CA15" i="31"/>
  <c r="BS15" i="31"/>
  <c r="BK15" i="31"/>
  <c r="DF15" i="31"/>
  <c r="CX15" i="31"/>
  <c r="CP15" i="31"/>
  <c r="CH15" i="31"/>
  <c r="BZ15" i="31"/>
  <c r="BR15" i="31"/>
  <c r="DE15" i="31"/>
  <c r="CW15" i="31"/>
  <c r="CO15" i="31"/>
  <c r="CG15" i="31"/>
  <c r="BY15" i="31"/>
  <c r="BQ15" i="31"/>
  <c r="DD15" i="31"/>
  <c r="CV15" i="31"/>
  <c r="CN15" i="31"/>
  <c r="CF15" i="31"/>
  <c r="BX15" i="31"/>
  <c r="BP15" i="31"/>
  <c r="DJ15" i="31"/>
  <c r="DK15" i="31" s="1"/>
  <c r="DB15" i="31"/>
  <c r="CT15" i="31"/>
  <c r="CL15" i="31"/>
  <c r="CD15" i="31"/>
  <c r="BV15" i="31"/>
  <c r="BN15" i="31"/>
  <c r="DI15" i="31"/>
  <c r="DA15" i="31"/>
  <c r="CS15" i="31"/>
  <c r="CK15" i="31"/>
  <c r="CC15" i="31"/>
  <c r="BU15" i="31"/>
  <c r="BM15" i="31"/>
  <c r="CM15" i="31"/>
  <c r="CE15" i="31"/>
  <c r="BW15" i="31"/>
  <c r="BO15" i="31"/>
  <c r="DC15" i="31"/>
  <c r="CU15" i="31"/>
  <c r="DI42" i="31"/>
  <c r="DA42" i="31"/>
  <c r="CS42" i="31"/>
  <c r="DH42" i="31"/>
  <c r="CZ42" i="31"/>
  <c r="CR42" i="31"/>
  <c r="CJ42" i="31"/>
  <c r="DE42" i="31"/>
  <c r="CW42" i="31"/>
  <c r="DD42" i="31"/>
  <c r="CV42" i="31"/>
  <c r="CY42" i="31"/>
  <c r="CM42" i="31"/>
  <c r="CD42" i="31"/>
  <c r="BV42" i="31"/>
  <c r="BN42" i="31"/>
  <c r="CX42" i="31"/>
  <c r="CL42" i="31"/>
  <c r="CC42" i="31"/>
  <c r="BU42" i="31"/>
  <c r="BM42" i="31"/>
  <c r="CU42" i="31"/>
  <c r="CK42" i="31"/>
  <c r="CB42" i="31"/>
  <c r="BT42" i="31"/>
  <c r="BL42" i="31"/>
  <c r="DJ42" i="31"/>
  <c r="DK42" i="31" s="1"/>
  <c r="CT42" i="31"/>
  <c r="CI42" i="31"/>
  <c r="CA42" i="31"/>
  <c r="BS42" i="31"/>
  <c r="BK42" i="31"/>
  <c r="DG42" i="31"/>
  <c r="CQ42" i="31"/>
  <c r="CH42" i="31"/>
  <c r="BZ42" i="31"/>
  <c r="BR42" i="31"/>
  <c r="DF42" i="31"/>
  <c r="CP42" i="31"/>
  <c r="CG42" i="31"/>
  <c r="BY42" i="31"/>
  <c r="BQ42" i="31"/>
  <c r="DC42" i="31"/>
  <c r="CO42" i="31"/>
  <c r="CF42" i="31"/>
  <c r="BX42" i="31"/>
  <c r="BP42" i="31"/>
  <c r="DB42" i="31"/>
  <c r="CN42" i="31"/>
  <c r="CE42" i="31"/>
  <c r="BW42" i="31"/>
  <c r="BO42" i="31"/>
  <c r="DG6" i="31"/>
  <c r="CY6" i="31"/>
  <c r="CQ6" i="31"/>
  <c r="CI6" i="31"/>
  <c r="CA6" i="31"/>
  <c r="BS6" i="31"/>
  <c r="BK6" i="31"/>
  <c r="CM6" i="31"/>
  <c r="CL6" i="31"/>
  <c r="DF6" i="31"/>
  <c r="CX6" i="31"/>
  <c r="CP6" i="31"/>
  <c r="CH6" i="31"/>
  <c r="BZ6" i="31"/>
  <c r="BR6" i="31"/>
  <c r="BW6" i="31"/>
  <c r="DJ6" i="31"/>
  <c r="DK6" i="31" s="1"/>
  <c r="BN6" i="31"/>
  <c r="DE6" i="31"/>
  <c r="CW6" i="31"/>
  <c r="CO6" i="31"/>
  <c r="CG6" i="31"/>
  <c r="BY6" i="31"/>
  <c r="BQ6" i="31"/>
  <c r="CU6" i="31"/>
  <c r="BV6" i="31"/>
  <c r="DD6" i="31"/>
  <c r="CV6" i="31"/>
  <c r="CN6" i="31"/>
  <c r="CF6" i="31"/>
  <c r="BX6" i="31"/>
  <c r="BP6" i="31"/>
  <c r="CD6" i="31"/>
  <c r="DI6" i="31"/>
  <c r="DA6" i="31"/>
  <c r="CS6" i="31"/>
  <c r="CK6" i="31"/>
  <c r="CC6" i="31"/>
  <c r="BU6" i="31"/>
  <c r="BM6" i="31"/>
  <c r="CE6" i="31"/>
  <c r="DB6" i="31"/>
  <c r="DH6" i="31"/>
  <c r="CZ6" i="31"/>
  <c r="CR6" i="31"/>
  <c r="CJ6" i="31"/>
  <c r="CB6" i="31"/>
  <c r="BT6" i="31"/>
  <c r="BL6" i="31"/>
  <c r="DC6" i="31"/>
  <c r="BO6" i="31"/>
  <c r="CT6" i="31"/>
  <c r="DH11" i="31"/>
  <c r="CZ11" i="31"/>
  <c r="CR11" i="31"/>
  <c r="CJ11" i="31"/>
  <c r="CB11" i="31"/>
  <c r="BT11" i="31"/>
  <c r="BL11" i="31"/>
  <c r="DG11" i="31"/>
  <c r="CY11" i="31"/>
  <c r="CQ11" i="31"/>
  <c r="CI11" i="31"/>
  <c r="CA11" i="31"/>
  <c r="BS11" i="31"/>
  <c r="BK11" i="31"/>
  <c r="DF11" i="31"/>
  <c r="CX11" i="31"/>
  <c r="CP11" i="31"/>
  <c r="CH11" i="31"/>
  <c r="BZ11" i="31"/>
  <c r="BR11" i="31"/>
  <c r="DE11" i="31"/>
  <c r="CW11" i="31"/>
  <c r="CO11" i="31"/>
  <c r="CG11" i="31"/>
  <c r="BY11" i="31"/>
  <c r="BQ11" i="31"/>
  <c r="DD11" i="31"/>
  <c r="CV11" i="31"/>
  <c r="CN11" i="31"/>
  <c r="CF11" i="31"/>
  <c r="BX11" i="31"/>
  <c r="BP11" i="31"/>
  <c r="DJ11" i="31"/>
  <c r="DK11" i="31" s="1"/>
  <c r="DB11" i="31"/>
  <c r="CT11" i="31"/>
  <c r="CL11" i="31"/>
  <c r="CD11" i="31"/>
  <c r="BV11" i="31"/>
  <c r="BN11" i="31"/>
  <c r="DI11" i="31"/>
  <c r="DA11" i="31"/>
  <c r="CS11" i="31"/>
  <c r="CK11" i="31"/>
  <c r="CC11" i="31"/>
  <c r="BU11" i="31"/>
  <c r="BM11" i="31"/>
  <c r="DC11" i="31"/>
  <c r="CU11" i="31"/>
  <c r="CE11" i="31"/>
  <c r="CM11" i="31"/>
  <c r="BO11" i="31"/>
  <c r="BW11" i="31"/>
  <c r="DJ16" i="31"/>
  <c r="DK16" i="31" s="1"/>
  <c r="DB16" i="31"/>
  <c r="CT16" i="31"/>
  <c r="CL16" i="31"/>
  <c r="CD16" i="31"/>
  <c r="BV16" i="31"/>
  <c r="BN16" i="31"/>
  <c r="DI16" i="31"/>
  <c r="DA16" i="31"/>
  <c r="CS16" i="31"/>
  <c r="CK16" i="31"/>
  <c r="CC16" i="31"/>
  <c r="BU16" i="31"/>
  <c r="BM16" i="31"/>
  <c r="DH16" i="31"/>
  <c r="CZ16" i="31"/>
  <c r="CR16" i="31"/>
  <c r="CJ16" i="31"/>
  <c r="CB16" i="31"/>
  <c r="BT16" i="31"/>
  <c r="BL16" i="31"/>
  <c r="DG16" i="31"/>
  <c r="CY16" i="31"/>
  <c r="CQ16" i="31"/>
  <c r="CI16" i="31"/>
  <c r="CA16" i="31"/>
  <c r="BS16" i="31"/>
  <c r="BK16" i="31"/>
  <c r="DF16" i="31"/>
  <c r="CX16" i="31"/>
  <c r="CP16" i="31"/>
  <c r="CH16" i="31"/>
  <c r="BZ16" i="31"/>
  <c r="BR16" i="31"/>
  <c r="DD16" i="31"/>
  <c r="CV16" i="31"/>
  <c r="CN16" i="31"/>
  <c r="CF16" i="31"/>
  <c r="BX16" i="31"/>
  <c r="BP16" i="31"/>
  <c r="DC16" i="31"/>
  <c r="CU16" i="31"/>
  <c r="CM16" i="31"/>
  <c r="CE16" i="31"/>
  <c r="BW16" i="31"/>
  <c r="BO16" i="31"/>
  <c r="CW16" i="31"/>
  <c r="CO16" i="31"/>
  <c r="CG16" i="31"/>
  <c r="BY16" i="31"/>
  <c r="DE16" i="31"/>
  <c r="BQ16" i="31"/>
  <c r="DI65" i="31"/>
  <c r="DA65" i="31"/>
  <c r="CS65" i="31"/>
  <c r="CK65" i="31"/>
  <c r="CC65" i="31"/>
  <c r="BU65" i="31"/>
  <c r="BM65" i="31"/>
  <c r="DH65" i="31"/>
  <c r="CZ65" i="31"/>
  <c r="CR65" i="31"/>
  <c r="CJ65" i="31"/>
  <c r="CB65" i="31"/>
  <c r="BT65" i="31"/>
  <c r="BL65" i="31"/>
  <c r="DG65" i="31"/>
  <c r="CY65" i="31"/>
  <c r="CQ65" i="31"/>
  <c r="CI65" i="31"/>
  <c r="CA65" i="31"/>
  <c r="BS65" i="31"/>
  <c r="BK65" i="31"/>
  <c r="DF65" i="31"/>
  <c r="CX65" i="31"/>
  <c r="CP65" i="31"/>
  <c r="CH65" i="31"/>
  <c r="BZ65" i="31"/>
  <c r="BR65" i="31"/>
  <c r="DC65" i="31"/>
  <c r="CU65" i="31"/>
  <c r="CM65" i="31"/>
  <c r="CE65" i="31"/>
  <c r="BW65" i="31"/>
  <c r="BO65" i="31"/>
  <c r="CV65" i="31"/>
  <c r="BY65" i="31"/>
  <c r="CT65" i="31"/>
  <c r="BX65" i="31"/>
  <c r="CO65" i="31"/>
  <c r="BV65" i="31"/>
  <c r="DJ65" i="31"/>
  <c r="DK65" i="31" s="1"/>
  <c r="CN65" i="31"/>
  <c r="BQ65" i="31"/>
  <c r="DE65" i="31"/>
  <c r="CL65" i="31"/>
  <c r="BP65" i="31"/>
  <c r="DB65" i="31"/>
  <c r="CF65" i="31"/>
  <c r="CW65" i="31"/>
  <c r="CD65" i="31"/>
  <c r="DD65" i="31"/>
  <c r="CG65" i="31"/>
  <c r="BN65" i="31"/>
  <c r="DG94" i="31"/>
  <c r="CY94" i="31"/>
  <c r="CQ94" i="31"/>
  <c r="CI94" i="31"/>
  <c r="CA94" i="31"/>
  <c r="BS94" i="31"/>
  <c r="BK94" i="31"/>
  <c r="DE94" i="31"/>
  <c r="CW94" i="31"/>
  <c r="CO94" i="31"/>
  <c r="CG94" i="31"/>
  <c r="BY94" i="31"/>
  <c r="BQ94" i="31"/>
  <c r="DD94" i="31"/>
  <c r="CV94" i="31"/>
  <c r="CN94" i="31"/>
  <c r="CF94" i="31"/>
  <c r="BX94" i="31"/>
  <c r="BP94" i="31"/>
  <c r="DC94" i="31"/>
  <c r="CU94" i="31"/>
  <c r="CM94" i="31"/>
  <c r="CE94" i="31"/>
  <c r="BW94" i="31"/>
  <c r="BO94" i="31"/>
  <c r="DJ94" i="31"/>
  <c r="DK94" i="31" s="1"/>
  <c r="DB94" i="31"/>
  <c r="CT94" i="31"/>
  <c r="CL94" i="31"/>
  <c r="CD94" i="31"/>
  <c r="BV94" i="31"/>
  <c r="BN94" i="31"/>
  <c r="CX94" i="31"/>
  <c r="CB94" i="31"/>
  <c r="CS94" i="31"/>
  <c r="BZ94" i="31"/>
  <c r="CR94" i="31"/>
  <c r="BU94" i="31"/>
  <c r="DI94" i="31"/>
  <c r="CP94" i="31"/>
  <c r="BT94" i="31"/>
  <c r="DH94" i="31"/>
  <c r="CK94" i="31"/>
  <c r="BR94" i="31"/>
  <c r="DF94" i="31"/>
  <c r="CJ94" i="31"/>
  <c r="BM94" i="31"/>
  <c r="DA94" i="31"/>
  <c r="CH94" i="31"/>
  <c r="BL94" i="31"/>
  <c r="CZ94" i="31"/>
  <c r="CC94" i="31"/>
  <c r="DI73" i="31"/>
  <c r="DA73" i="31"/>
  <c r="CS73" i="31"/>
  <c r="CK73" i="31"/>
  <c r="CC73" i="31"/>
  <c r="BU73" i="31"/>
  <c r="BM73" i="31"/>
  <c r="DH73" i="31"/>
  <c r="CZ73" i="31"/>
  <c r="CR73" i="31"/>
  <c r="CJ73" i="31"/>
  <c r="CB73" i="31"/>
  <c r="BT73" i="31"/>
  <c r="BL73" i="31"/>
  <c r="DG73" i="31"/>
  <c r="CY73" i="31"/>
  <c r="CQ73" i="31"/>
  <c r="CI73" i="31"/>
  <c r="CA73" i="31"/>
  <c r="BS73" i="31"/>
  <c r="BK73" i="31"/>
  <c r="DF73" i="31"/>
  <c r="CX73" i="31"/>
  <c r="CP73" i="31"/>
  <c r="CH73" i="31"/>
  <c r="BZ73" i="31"/>
  <c r="BR73" i="31"/>
  <c r="DE73" i="31"/>
  <c r="CW73" i="31"/>
  <c r="CO73" i="31"/>
  <c r="CG73" i="31"/>
  <c r="BY73" i="31"/>
  <c r="BQ73" i="31"/>
  <c r="DD73" i="31"/>
  <c r="CV73" i="31"/>
  <c r="CN73" i="31"/>
  <c r="CF73" i="31"/>
  <c r="BX73" i="31"/>
  <c r="BP73" i="31"/>
  <c r="DC73" i="31"/>
  <c r="CU73" i="31"/>
  <c r="CM73" i="31"/>
  <c r="CE73" i="31"/>
  <c r="BW73" i="31"/>
  <c r="BO73" i="31"/>
  <c r="CL73" i="31"/>
  <c r="CD73" i="31"/>
  <c r="BV73" i="31"/>
  <c r="BN73" i="31"/>
  <c r="DB73" i="31"/>
  <c r="CT73" i="31"/>
  <c r="DJ73" i="31"/>
  <c r="DK73" i="31" s="1"/>
  <c r="DG102" i="31"/>
  <c r="CY102" i="31"/>
  <c r="CQ102" i="31"/>
  <c r="CI102" i="31"/>
  <c r="CA102" i="31"/>
  <c r="BS102" i="31"/>
  <c r="BK102" i="31"/>
  <c r="DE102" i="31"/>
  <c r="CW102" i="31"/>
  <c r="CO102" i="31"/>
  <c r="CG102" i="31"/>
  <c r="BY102" i="31"/>
  <c r="BQ102" i="31"/>
  <c r="DD102" i="31"/>
  <c r="CV102" i="31"/>
  <c r="CN102" i="31"/>
  <c r="CF102" i="31"/>
  <c r="BX102" i="31"/>
  <c r="BP102" i="31"/>
  <c r="DC102" i="31"/>
  <c r="CU102" i="31"/>
  <c r="CM102" i="31"/>
  <c r="CE102" i="31"/>
  <c r="BW102" i="31"/>
  <c r="BO102" i="31"/>
  <c r="DJ102" i="31"/>
  <c r="DK102" i="31" s="1"/>
  <c r="DB102" i="31"/>
  <c r="CT102" i="31"/>
  <c r="CL102" i="31"/>
  <c r="CD102" i="31"/>
  <c r="BV102" i="31"/>
  <c r="BN102" i="31"/>
  <c r="CR102" i="31"/>
  <c r="BU102" i="31"/>
  <c r="DI102" i="31"/>
  <c r="CP102" i="31"/>
  <c r="BT102" i="31"/>
  <c r="DH102" i="31"/>
  <c r="CK102" i="31"/>
  <c r="BR102" i="31"/>
  <c r="DF102" i="31"/>
  <c r="CJ102" i="31"/>
  <c r="BM102" i="31"/>
  <c r="DA102" i="31"/>
  <c r="CH102" i="31"/>
  <c r="BL102" i="31"/>
  <c r="CZ102" i="31"/>
  <c r="CC102" i="31"/>
  <c r="CX102" i="31"/>
  <c r="CB102" i="31"/>
  <c r="CS102" i="31"/>
  <c r="BZ102" i="31"/>
  <c r="F210" i="24"/>
  <c r="DI91" i="31"/>
  <c r="DA91" i="31"/>
  <c r="CS91" i="31"/>
  <c r="CK91" i="31"/>
  <c r="CC91" i="31"/>
  <c r="BU91" i="31"/>
  <c r="BM91" i="31"/>
  <c r="DH91" i="31"/>
  <c r="CZ91" i="31"/>
  <c r="CR91" i="31"/>
  <c r="CJ91" i="31"/>
  <c r="CB91" i="31"/>
  <c r="BT91" i="31"/>
  <c r="BL91" i="31"/>
  <c r="DG91" i="31"/>
  <c r="CY91" i="31"/>
  <c r="CQ91" i="31"/>
  <c r="CI91" i="31"/>
  <c r="CA91" i="31"/>
  <c r="BS91" i="31"/>
  <c r="BK91" i="31"/>
  <c r="DF91" i="31"/>
  <c r="CX91" i="31"/>
  <c r="CP91" i="31"/>
  <c r="CH91" i="31"/>
  <c r="BZ91" i="31"/>
  <c r="BR91" i="31"/>
  <c r="DE91" i="31"/>
  <c r="CW91" i="31"/>
  <c r="CO91" i="31"/>
  <c r="CG91" i="31"/>
  <c r="BY91" i="31"/>
  <c r="BQ91" i="31"/>
  <c r="DD91" i="31"/>
  <c r="CV91" i="31"/>
  <c r="CN91" i="31"/>
  <c r="CF91" i="31"/>
  <c r="BX91" i="31"/>
  <c r="BP91" i="31"/>
  <c r="DC91" i="31"/>
  <c r="CU91" i="31"/>
  <c r="CM91" i="31"/>
  <c r="CE91" i="31"/>
  <c r="BW91" i="31"/>
  <c r="BO91" i="31"/>
  <c r="CD91" i="31"/>
  <c r="BV91" i="31"/>
  <c r="BN91" i="31"/>
  <c r="DJ91" i="31"/>
  <c r="DK91" i="31" s="1"/>
  <c r="DB91" i="31"/>
  <c r="CT91" i="31"/>
  <c r="CL91" i="31"/>
  <c r="DE89" i="31"/>
  <c r="CW89" i="31"/>
  <c r="CO89" i="31"/>
  <c r="CG89" i="31"/>
  <c r="BY89" i="31"/>
  <c r="BQ89" i="31"/>
  <c r="DD89" i="31"/>
  <c r="CV89" i="31"/>
  <c r="CN89" i="31"/>
  <c r="CF89" i="31"/>
  <c r="BX89" i="31"/>
  <c r="BP89" i="31"/>
  <c r="DC89" i="31"/>
  <c r="CU89" i="31"/>
  <c r="CM89" i="31"/>
  <c r="CE89" i="31"/>
  <c r="BW89" i="31"/>
  <c r="BO89" i="31"/>
  <c r="DJ89" i="31"/>
  <c r="DK89" i="31" s="1"/>
  <c r="DB89" i="31"/>
  <c r="CT89" i="31"/>
  <c r="CL89" i="31"/>
  <c r="CD89" i="31"/>
  <c r="BV89" i="31"/>
  <c r="BN89" i="31"/>
  <c r="DI89" i="31"/>
  <c r="DA89" i="31"/>
  <c r="CS89" i="31"/>
  <c r="CK89" i="31"/>
  <c r="CC89" i="31"/>
  <c r="BU89" i="31"/>
  <c r="BM89" i="31"/>
  <c r="DH89" i="31"/>
  <c r="CZ89" i="31"/>
  <c r="CR89" i="31"/>
  <c r="CJ89" i="31"/>
  <c r="CB89" i="31"/>
  <c r="BT89" i="31"/>
  <c r="BL89" i="31"/>
  <c r="DG89" i="31"/>
  <c r="CY89" i="31"/>
  <c r="CQ89" i="31"/>
  <c r="CI89" i="31"/>
  <c r="CA89" i="31"/>
  <c r="BS89" i="31"/>
  <c r="BK89" i="31"/>
  <c r="DF89" i="31"/>
  <c r="CX89" i="31"/>
  <c r="CP89" i="31"/>
  <c r="CH89" i="31"/>
  <c r="BZ89" i="31"/>
  <c r="BR89" i="31"/>
  <c r="DD31" i="31"/>
  <c r="CV31" i="31"/>
  <c r="CN31" i="31"/>
  <c r="CF31" i="31"/>
  <c r="BX31" i="31"/>
  <c r="BP31" i="31"/>
  <c r="DC31" i="31"/>
  <c r="CU31" i="31"/>
  <c r="CM31" i="31"/>
  <c r="CE31" i="31"/>
  <c r="BW31" i="31"/>
  <c r="BO31" i="31"/>
  <c r="DJ31" i="31"/>
  <c r="DK31" i="31" s="1"/>
  <c r="DB31" i="31"/>
  <c r="CT31" i="31"/>
  <c r="CL31" i="31"/>
  <c r="CD31" i="31"/>
  <c r="BV31" i="31"/>
  <c r="BN31" i="31"/>
  <c r="DI31" i="31"/>
  <c r="DA31" i="31"/>
  <c r="CS31" i="31"/>
  <c r="CK31" i="31"/>
  <c r="CC31" i="31"/>
  <c r="BU31" i="31"/>
  <c r="BM31" i="31"/>
  <c r="DG31" i="31"/>
  <c r="CY31" i="31"/>
  <c r="CQ31" i="31"/>
  <c r="CI31" i="31"/>
  <c r="CA31" i="31"/>
  <c r="BS31" i="31"/>
  <c r="BK31" i="31"/>
  <c r="DF31" i="31"/>
  <c r="CX31" i="31"/>
  <c r="CP31" i="31"/>
  <c r="CH31" i="31"/>
  <c r="BZ31" i="31"/>
  <c r="BR31" i="31"/>
  <c r="CW31" i="31"/>
  <c r="BQ31" i="31"/>
  <c r="CR31" i="31"/>
  <c r="BL31" i="31"/>
  <c r="CO31" i="31"/>
  <c r="CJ31" i="31"/>
  <c r="CG31" i="31"/>
  <c r="DE31" i="31"/>
  <c r="BY31" i="31"/>
  <c r="CZ31" i="31"/>
  <c r="BT31" i="31"/>
  <c r="CB31" i="31"/>
  <c r="DH31" i="31"/>
  <c r="DE97" i="31"/>
  <c r="CW97" i="31"/>
  <c r="CO97" i="31"/>
  <c r="CG97" i="31"/>
  <c r="BY97" i="31"/>
  <c r="BQ97" i="31"/>
  <c r="DC97" i="31"/>
  <c r="CU97" i="31"/>
  <c r="CM97" i="31"/>
  <c r="CE97" i="31"/>
  <c r="BW97" i="31"/>
  <c r="BO97" i="31"/>
  <c r="DJ97" i="31"/>
  <c r="DK97" i="31" s="1"/>
  <c r="DB97" i="31"/>
  <c r="CT97" i="31"/>
  <c r="CL97" i="31"/>
  <c r="CD97" i="31"/>
  <c r="BV97" i="31"/>
  <c r="BN97" i="31"/>
  <c r="DI97" i="31"/>
  <c r="DA97" i="31"/>
  <c r="CS97" i="31"/>
  <c r="CK97" i="31"/>
  <c r="CC97" i="31"/>
  <c r="BU97" i="31"/>
  <c r="BM97" i="31"/>
  <c r="DH97" i="31"/>
  <c r="CZ97" i="31"/>
  <c r="CR97" i="31"/>
  <c r="CJ97" i="31"/>
  <c r="CB97" i="31"/>
  <c r="BT97" i="31"/>
  <c r="BL97" i="31"/>
  <c r="DF97" i="31"/>
  <c r="CI97" i="31"/>
  <c r="BP97" i="31"/>
  <c r="DD97" i="31"/>
  <c r="CH97" i="31"/>
  <c r="BK97" i="31"/>
  <c r="CY97" i="31"/>
  <c r="CF97" i="31"/>
  <c r="CX97" i="31"/>
  <c r="CA97" i="31"/>
  <c r="CV97" i="31"/>
  <c r="BZ97" i="31"/>
  <c r="CQ97" i="31"/>
  <c r="BX97" i="31"/>
  <c r="CP97" i="31"/>
  <c r="BS97" i="31"/>
  <c r="DG97" i="31"/>
  <c r="CN97" i="31"/>
  <c r="BR97" i="31"/>
  <c r="DG62" i="31"/>
  <c r="CY62" i="31"/>
  <c r="CQ62" i="31"/>
  <c r="CI62" i="31"/>
  <c r="CA62" i="31"/>
  <c r="BS62" i="31"/>
  <c r="BK62" i="31"/>
  <c r="DF62" i="31"/>
  <c r="CX62" i="31"/>
  <c r="CP62" i="31"/>
  <c r="CH62" i="31"/>
  <c r="BZ62" i="31"/>
  <c r="BR62" i="31"/>
  <c r="DE62" i="31"/>
  <c r="CW62" i="31"/>
  <c r="CO62" i="31"/>
  <c r="CG62" i="31"/>
  <c r="BY62" i="31"/>
  <c r="BQ62" i="31"/>
  <c r="DD62" i="31"/>
  <c r="CV62" i="31"/>
  <c r="CN62" i="31"/>
  <c r="CF62" i="31"/>
  <c r="BX62" i="31"/>
  <c r="BP62" i="31"/>
  <c r="DC62" i="31"/>
  <c r="CU62" i="31"/>
  <c r="CM62" i="31"/>
  <c r="CE62" i="31"/>
  <c r="BW62" i="31"/>
  <c r="BO62" i="31"/>
  <c r="DI62" i="31"/>
  <c r="DA62" i="31"/>
  <c r="CS62" i="31"/>
  <c r="CK62" i="31"/>
  <c r="CC62" i="31"/>
  <c r="BU62" i="31"/>
  <c r="BM62" i="31"/>
  <c r="DH62" i="31"/>
  <c r="CZ62" i="31"/>
  <c r="CR62" i="31"/>
  <c r="CJ62" i="31"/>
  <c r="CB62" i="31"/>
  <c r="BT62" i="31"/>
  <c r="BL62" i="31"/>
  <c r="CL62" i="31"/>
  <c r="CD62" i="31"/>
  <c r="BV62" i="31"/>
  <c r="DJ62" i="31"/>
  <c r="DK62" i="31" s="1"/>
  <c r="DB62" i="31"/>
  <c r="CT62" i="31"/>
  <c r="BN62" i="31"/>
  <c r="DC88" i="31"/>
  <c r="CU88" i="31"/>
  <c r="CM88" i="31"/>
  <c r="CE88" i="31"/>
  <c r="BW88" i="31"/>
  <c r="BO88" i="31"/>
  <c r="DJ88" i="31"/>
  <c r="DK88" i="31" s="1"/>
  <c r="DB88" i="31"/>
  <c r="CT88" i="31"/>
  <c r="CL88" i="31"/>
  <c r="CD88" i="31"/>
  <c r="BV88" i="31"/>
  <c r="BN88" i="31"/>
  <c r="DI88" i="31"/>
  <c r="DA88" i="31"/>
  <c r="CS88" i="31"/>
  <c r="CK88" i="31"/>
  <c r="CC88" i="31"/>
  <c r="BU88" i="31"/>
  <c r="BM88" i="31"/>
  <c r="DH88" i="31"/>
  <c r="CZ88" i="31"/>
  <c r="CR88" i="31"/>
  <c r="CJ88" i="31"/>
  <c r="CB88" i="31"/>
  <c r="BT88" i="31"/>
  <c r="BL88" i="31"/>
  <c r="DG88" i="31"/>
  <c r="CY88" i="31"/>
  <c r="CQ88" i="31"/>
  <c r="CI88" i="31"/>
  <c r="CA88" i="31"/>
  <c r="BS88" i="31"/>
  <c r="BK88" i="31"/>
  <c r="DF88" i="31"/>
  <c r="CX88" i="31"/>
  <c r="CP88" i="31"/>
  <c r="CH88" i="31"/>
  <c r="BZ88" i="31"/>
  <c r="BR88" i="31"/>
  <c r="DE88" i="31"/>
  <c r="CW88" i="31"/>
  <c r="CO88" i="31"/>
  <c r="CG88" i="31"/>
  <c r="BY88" i="31"/>
  <c r="BQ88" i="31"/>
  <c r="DD88" i="31"/>
  <c r="CV88" i="31"/>
  <c r="CN88" i="31"/>
  <c r="CF88" i="31"/>
  <c r="BX88" i="31"/>
  <c r="BP88" i="31"/>
  <c r="F188" i="24"/>
  <c r="F165" i="24"/>
  <c r="F156" i="24"/>
  <c r="F143" i="24"/>
  <c r="F217" i="24"/>
  <c r="F148" i="24"/>
  <c r="F180" i="24"/>
  <c r="F142" i="24"/>
  <c r="F160" i="24"/>
  <c r="F185" i="24"/>
  <c r="F171" i="24"/>
  <c r="F170" i="24"/>
  <c r="F183" i="24"/>
  <c r="F166" i="24"/>
  <c r="F177" i="24"/>
  <c r="F222" i="24"/>
  <c r="F193" i="24"/>
  <c r="F151" i="24"/>
  <c r="F190" i="24"/>
  <c r="F163" i="24"/>
  <c r="F201" i="24"/>
  <c r="F215" i="24"/>
  <c r="F159" i="24"/>
  <c r="F158" i="24"/>
  <c r="F212" i="24"/>
  <c r="F189" i="24"/>
  <c r="F150" i="24"/>
  <c r="F216" i="24"/>
  <c r="F184" i="24"/>
  <c r="F221" i="24"/>
  <c r="F192" i="24"/>
  <c r="F213" i="24"/>
  <c r="F181" i="24"/>
  <c r="F208" i="24"/>
  <c r="F187" i="24"/>
  <c r="F173" i="24"/>
  <c r="F152" i="24"/>
  <c r="F157" i="24"/>
  <c r="F149" i="24"/>
  <c r="F146" i="24"/>
  <c r="F191" i="24"/>
  <c r="F161" i="24"/>
  <c r="F137" i="24"/>
  <c r="F136" i="24"/>
  <c r="F138" i="24"/>
  <c r="F135" i="24"/>
  <c r="F133" i="24"/>
  <c r="F132" i="24"/>
  <c r="F134" i="24"/>
  <c r="F129" i="24"/>
  <c r="F130" i="24"/>
  <c r="F131" i="24"/>
  <c r="F128" i="24"/>
  <c r="A213" i="12"/>
  <c r="B210" i="3"/>
  <c r="AP201" i="6" s="1"/>
  <c r="AQ201" i="6"/>
  <c r="F127" i="24"/>
  <c r="F126" i="24"/>
  <c r="F125" i="24"/>
  <c r="F124" i="24"/>
  <c r="DL63" i="31" l="1"/>
  <c r="I70" i="32" s="1"/>
  <c r="DL76" i="31"/>
  <c r="I83" i="32" s="1"/>
  <c r="DL57" i="31"/>
  <c r="I64" i="32" s="1"/>
  <c r="DL49" i="31"/>
  <c r="I56" i="32" s="1"/>
  <c r="DL21" i="31"/>
  <c r="I28" i="32" s="1"/>
  <c r="DL78" i="31"/>
  <c r="I85" i="32" s="1"/>
  <c r="DL22" i="31"/>
  <c r="I29" i="32" s="1"/>
  <c r="DL59" i="31"/>
  <c r="I66" i="32" s="1"/>
  <c r="DL80" i="31"/>
  <c r="I87" i="32" s="1"/>
  <c r="DL20" i="31"/>
  <c r="I27" i="32" s="1"/>
  <c r="DL87" i="31"/>
  <c r="I94" i="32" s="1"/>
  <c r="DL86" i="31"/>
  <c r="I93" i="32" s="1"/>
  <c r="DL101" i="31"/>
  <c r="I108" i="32" s="1"/>
  <c r="DL79" i="31"/>
  <c r="I86" i="32" s="1"/>
  <c r="DL84" i="31"/>
  <c r="I91" i="32" s="1"/>
  <c r="DL67" i="31"/>
  <c r="I74" i="32" s="1"/>
  <c r="DL66" i="31"/>
  <c r="I73" i="32" s="1"/>
  <c r="I177" i="32"/>
  <c r="DL38" i="31"/>
  <c r="I45" i="32" s="1"/>
  <c r="DL9" i="31"/>
  <c r="I16" i="32" s="1"/>
  <c r="DL71" i="31"/>
  <c r="I78" i="32" s="1"/>
  <c r="DL13" i="31"/>
  <c r="I20" i="32" s="1"/>
  <c r="DL26" i="31"/>
  <c r="I33" i="32" s="1"/>
  <c r="DL65" i="31"/>
  <c r="I72" i="32" s="1"/>
  <c r="DL68" i="31"/>
  <c r="I75" i="32" s="1"/>
  <c r="DL92" i="31"/>
  <c r="I99" i="32" s="1"/>
  <c r="DL12" i="31"/>
  <c r="I19" i="32" s="1"/>
  <c r="DL90" i="31"/>
  <c r="I97" i="32" s="1"/>
  <c r="DL14" i="31"/>
  <c r="I21" i="32" s="1"/>
  <c r="DL29" i="31"/>
  <c r="I36" i="32" s="1"/>
  <c r="DL50" i="31"/>
  <c r="I57" i="32" s="1"/>
  <c r="DL42" i="31"/>
  <c r="I49" i="32" s="1"/>
  <c r="DL15" i="31"/>
  <c r="I22" i="32" s="1"/>
  <c r="DL94" i="31"/>
  <c r="I101" i="32" s="1"/>
  <c r="DL11" i="31"/>
  <c r="I18" i="32" s="1"/>
  <c r="DL70" i="31"/>
  <c r="I77" i="32" s="1"/>
  <c r="DL48" i="31"/>
  <c r="I55" i="32" s="1"/>
  <c r="DL40" i="31"/>
  <c r="I47" i="32" s="1"/>
  <c r="DL74" i="31"/>
  <c r="I81" i="32" s="1"/>
  <c r="DL10" i="31"/>
  <c r="I17" i="32" s="1"/>
  <c r="DL41" i="31"/>
  <c r="I48" i="32" s="1"/>
  <c r="DL44" i="31"/>
  <c r="I51" i="32" s="1"/>
  <c r="DL28" i="31"/>
  <c r="I35" i="32" s="1"/>
  <c r="DL91" i="31"/>
  <c r="I98" i="32" s="1"/>
  <c r="DL33" i="31"/>
  <c r="I40" i="32" s="1"/>
  <c r="DL27" i="31"/>
  <c r="I34" i="32" s="1"/>
  <c r="DL17" i="31"/>
  <c r="I24" i="32" s="1"/>
  <c r="DL82" i="31"/>
  <c r="I89" i="32" s="1"/>
  <c r="DL51" i="31"/>
  <c r="I58" i="32" s="1"/>
  <c r="DL43" i="31"/>
  <c r="I50" i="32" s="1"/>
  <c r="DL75" i="31"/>
  <c r="I82" i="32" s="1"/>
  <c r="DL47" i="31"/>
  <c r="I54" i="32" s="1"/>
  <c r="DL69" i="31"/>
  <c r="I76" i="32" s="1"/>
  <c r="DL81" i="31"/>
  <c r="I88" i="32" s="1"/>
  <c r="DL37" i="31"/>
  <c r="I44" i="32" s="1"/>
  <c r="DL97" i="31"/>
  <c r="I104" i="32" s="1"/>
  <c r="DL31" i="31"/>
  <c r="I38" i="32" s="1"/>
  <c r="DL89" i="31"/>
  <c r="I96" i="32" s="1"/>
  <c r="DL25" i="31"/>
  <c r="I32" i="32" s="1"/>
  <c r="DL83" i="31"/>
  <c r="I90" i="32" s="1"/>
  <c r="DL35" i="31"/>
  <c r="I42" i="32" s="1"/>
  <c r="DL32" i="31"/>
  <c r="I39" i="32" s="1"/>
  <c r="DL95" i="31"/>
  <c r="I102" i="32" s="1"/>
  <c r="DL98" i="31"/>
  <c r="I105" i="32" s="1"/>
  <c r="DL88" i="31"/>
  <c r="I95" i="32" s="1"/>
  <c r="DL6" i="31"/>
  <c r="I13" i="32" s="1"/>
  <c r="DL96" i="31"/>
  <c r="I103" i="32" s="1"/>
  <c r="DL72" i="31"/>
  <c r="I79" i="32" s="1"/>
  <c r="DL34" i="31"/>
  <c r="I41" i="32" s="1"/>
  <c r="DL36" i="31"/>
  <c r="I43" i="32" s="1"/>
  <c r="DL46" i="31"/>
  <c r="I53" i="32" s="1"/>
  <c r="DL45" i="31"/>
  <c r="I52" i="32" s="1"/>
  <c r="DL55" i="31"/>
  <c r="I62" i="32" s="1"/>
  <c r="DL62" i="31"/>
  <c r="I69" i="32" s="1"/>
  <c r="DL73" i="31"/>
  <c r="I80" i="32" s="1"/>
  <c r="DL16" i="31"/>
  <c r="I23" i="32" s="1"/>
  <c r="DL58" i="31"/>
  <c r="I65" i="32" s="1"/>
  <c r="DL7" i="31"/>
  <c r="I14" i="32" s="1"/>
  <c r="DL60" i="31"/>
  <c r="I67" i="32" s="1"/>
  <c r="DL53" i="31"/>
  <c r="I60" i="32" s="1"/>
  <c r="DL100" i="31"/>
  <c r="I107" i="32" s="1"/>
  <c r="DL52" i="31"/>
  <c r="I59" i="32" s="1"/>
  <c r="DL77" i="31"/>
  <c r="I84" i="32" s="1"/>
  <c r="DL99" i="31"/>
  <c r="I106" i="32" s="1"/>
  <c r="DL64" i="31"/>
  <c r="I71" i="32" s="1"/>
  <c r="DL93" i="31"/>
  <c r="I100" i="32" s="1"/>
  <c r="DL23" i="31"/>
  <c r="I30" i="32" s="1"/>
  <c r="DL61" i="31"/>
  <c r="I68" i="32" s="1"/>
  <c r="DL8" i="31"/>
  <c r="I15" i="32" s="1"/>
  <c r="DL39" i="31"/>
  <c r="I46" i="32" s="1"/>
  <c r="DL5" i="31"/>
  <c r="I12" i="32" s="1"/>
  <c r="DL102" i="31"/>
  <c r="I109" i="32" s="1"/>
  <c r="DL54" i="31"/>
  <c r="I61" i="32" s="1"/>
  <c r="DL30" i="31"/>
  <c r="I37" i="32" s="1"/>
  <c r="DL103" i="31"/>
  <c r="I110" i="32" s="1"/>
  <c r="DL104" i="31"/>
  <c r="I111" i="32" s="1"/>
  <c r="DL85" i="31"/>
  <c r="I92" i="32" s="1"/>
  <c r="DL19" i="31"/>
  <c r="I26" i="32" s="1"/>
  <c r="DL56" i="31"/>
  <c r="I63" i="32" s="1"/>
  <c r="DL24" i="31"/>
  <c r="I31" i="32" s="1"/>
  <c r="DL18" i="31"/>
  <c r="I25" i="32" s="1"/>
  <c r="DM4" i="31"/>
  <c r="A214" i="12"/>
  <c r="B211" i="3"/>
  <c r="AP202" i="6" s="1"/>
  <c r="AQ202" i="6"/>
  <c r="CE4" i="31"/>
  <c r="CF4" i="31"/>
  <c r="CG4" i="31"/>
  <c r="DF4" i="31"/>
  <c r="CX4" i="31"/>
  <c r="CA4" i="31"/>
  <c r="CV4" i="31"/>
  <c r="CP4" i="31"/>
  <c r="CL4" i="31"/>
  <c r="CJ4" i="31"/>
  <c r="BT4" i="31"/>
  <c r="BV4" i="31"/>
  <c r="BQ4" i="31"/>
  <c r="BK4" i="31"/>
  <c r="DG4" i="31"/>
  <c r="DH4" i="31"/>
  <c r="BM4" i="31"/>
  <c r="DI4" i="31"/>
  <c r="CW4" i="31"/>
  <c r="DB4" i="31"/>
  <c r="CT4" i="31"/>
  <c r="CO4" i="31"/>
  <c r="CK4" i="31"/>
  <c r="CI4" i="31"/>
  <c r="CC4" i="31"/>
  <c r="BY4" i="31"/>
  <c r="BU4" i="31"/>
  <c r="BO4" i="31"/>
  <c r="CY4" i="31"/>
  <c r="BL4" i="31"/>
  <c r="DE4" i="31"/>
  <c r="DC4" i="31"/>
  <c r="DA4" i="31"/>
  <c r="CR4" i="31"/>
  <c r="CN4" i="31"/>
  <c r="CU4" i="31"/>
  <c r="CH4" i="31"/>
  <c r="CB4" i="31"/>
  <c r="BX4" i="31"/>
  <c r="BS4" i="31"/>
  <c r="BP4" i="31"/>
  <c r="DJ4" i="31"/>
  <c r="DK4" i="31" s="1"/>
  <c r="DD4" i="31"/>
  <c r="CZ4" i="31"/>
  <c r="CQ4" i="31"/>
  <c r="CM4" i="31"/>
  <c r="CS4" i="31"/>
  <c r="CD4" i="31"/>
  <c r="BZ4" i="31"/>
  <c r="BW4" i="31"/>
  <c r="BR4" i="31"/>
  <c r="BN4" i="31"/>
  <c r="I15" i="17" l="1"/>
  <c r="I16" i="17"/>
  <c r="I24" i="17"/>
  <c r="I43" i="17"/>
  <c r="P43" i="17" s="1"/>
  <c r="I23" i="17"/>
  <c r="I36" i="17"/>
  <c r="I20" i="17"/>
  <c r="I39" i="17"/>
  <c r="I41" i="17"/>
  <c r="I21" i="17"/>
  <c r="I44" i="17"/>
  <c r="I52" i="17"/>
  <c r="I27" i="17"/>
  <c r="I58" i="17"/>
  <c r="I64" i="17"/>
  <c r="I59" i="17"/>
  <c r="I25" i="17"/>
  <c r="I55" i="17"/>
  <c r="I46" i="17"/>
  <c r="I37" i="17"/>
  <c r="I56" i="17"/>
  <c r="I32" i="17"/>
  <c r="I62" i="17"/>
  <c r="I45" i="17"/>
  <c r="I51" i="17"/>
  <c r="I63" i="17"/>
  <c r="I34" i="17"/>
  <c r="P34" i="17" s="1"/>
  <c r="I42" i="17"/>
  <c r="I65" i="17"/>
  <c r="I60" i="17"/>
  <c r="I67" i="17"/>
  <c r="I38" i="17"/>
  <c r="I28" i="17"/>
  <c r="I47" i="17"/>
  <c r="I26" i="17"/>
  <c r="I53" i="17"/>
  <c r="I22" i="17"/>
  <c r="I48" i="17"/>
  <c r="I31" i="17"/>
  <c r="I30" i="17"/>
  <c r="I18" i="17"/>
  <c r="I57" i="17"/>
  <c r="I33" i="17"/>
  <c r="I54" i="17"/>
  <c r="I29" i="17"/>
  <c r="I35" i="17"/>
  <c r="I17" i="17"/>
  <c r="I19" i="17"/>
  <c r="I66" i="17"/>
  <c r="I40" i="17"/>
  <c r="I50" i="17"/>
  <c r="I49" i="17"/>
  <c r="I61" i="17"/>
  <c r="DL4" i="31"/>
  <c r="C4" i="24" s="1"/>
  <c r="I176" i="32"/>
  <c r="B212" i="3"/>
  <c r="AP203" i="6" s="1"/>
  <c r="AQ203" i="6"/>
  <c r="I70" i="17" l="1"/>
  <c r="P56" i="17"/>
  <c r="P27" i="17"/>
  <c r="P66" i="17"/>
  <c r="P23" i="17"/>
  <c r="P48" i="17"/>
  <c r="P30" i="17"/>
  <c r="P40" i="17"/>
  <c r="P41" i="17"/>
  <c r="P45" i="17"/>
  <c r="P39" i="17"/>
  <c r="P58" i="17"/>
  <c r="P49" i="17"/>
  <c r="P26" i="17"/>
  <c r="P54" i="17"/>
  <c r="P57" i="17"/>
  <c r="P31" i="17"/>
  <c r="P47" i="17"/>
  <c r="P61" i="17"/>
  <c r="P52" i="17"/>
  <c r="P17" i="17"/>
  <c r="P62" i="17"/>
  <c r="P15" i="17"/>
  <c r="I175" i="32"/>
  <c r="A215" i="12"/>
  <c r="A216" i="12"/>
  <c r="B213" i="3"/>
  <c r="AP204" i="6" s="1"/>
  <c r="AQ204" i="6"/>
  <c r="P53"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I174" i="32" l="1"/>
  <c r="A217" i="12"/>
  <c r="B214" i="3"/>
  <c r="AP205" i="6" s="1"/>
  <c r="AQ205" i="6"/>
  <c r="I173" i="32" l="1"/>
  <c r="A218" i="12"/>
  <c r="B215" i="3"/>
  <c r="AP206" i="6" s="1"/>
  <c r="AQ206" i="6"/>
  <c r="I172" i="32" l="1"/>
  <c r="B216" i="3"/>
  <c r="AP207" i="6" s="1"/>
  <c r="A219" i="12"/>
  <c r="AQ207" i="6"/>
  <c r="I46" i="36"/>
  <c r="I49" i="36"/>
  <c r="I48" i="36"/>
  <c r="I171" i="32" l="1"/>
  <c r="B217" i="3"/>
  <c r="AP208" i="6" s="1"/>
  <c r="AQ208" i="6"/>
  <c r="E45" i="26"/>
  <c r="F32" i="11" s="1"/>
  <c r="H32" i="11"/>
  <c r="H33" i="11" s="1"/>
  <c r="I170" i="32" l="1"/>
  <c r="A220" i="12"/>
  <c r="A221" i="12"/>
  <c r="B218" i="3"/>
  <c r="AP209" i="6" s="1"/>
  <c r="AQ209" i="6"/>
  <c r="I169" i="32" l="1"/>
  <c r="B219" i="3"/>
  <c r="AP210" i="6" s="1"/>
  <c r="AQ210" i="6"/>
  <c r="I168" i="32" l="1"/>
  <c r="A222" i="12"/>
  <c r="A223" i="12"/>
  <c r="B220" i="3"/>
  <c r="AP211" i="6" s="1"/>
  <c r="AQ211" i="6"/>
  <c r="I167" i="32" l="1"/>
  <c r="AG3" i="12"/>
  <c r="A224" i="12"/>
  <c r="B221" i="3"/>
  <c r="AP212" i="6" s="1"/>
  <c r="AQ212" i="6"/>
  <c r="I166" i="32" l="1"/>
  <c r="AG4" i="12"/>
  <c r="B222" i="3"/>
  <c r="AP213" i="6" s="1"/>
  <c r="A225" i="12"/>
  <c r="AQ213" i="6"/>
  <c r="I165" i="32" l="1"/>
  <c r="AG5" i="12"/>
  <c r="A226" i="12"/>
  <c r="B223" i="3"/>
  <c r="AP214" i="6" s="1"/>
  <c r="AQ214" i="6"/>
  <c r="I164" i="32" l="1"/>
  <c r="AG6" i="12"/>
  <c r="B224" i="3"/>
  <c r="AP215" i="6" s="1"/>
  <c r="A227" i="12"/>
  <c r="AQ215" i="6"/>
  <c r="I163" i="32" l="1"/>
  <c r="AG7" i="12"/>
  <c r="B225" i="3"/>
  <c r="AP216" i="6" s="1"/>
  <c r="A228" i="12"/>
  <c r="AQ216" i="6"/>
  <c r="I162" i="32" l="1"/>
  <c r="AG8" i="12"/>
  <c r="B226" i="3"/>
  <c r="AP217" i="6" s="1"/>
  <c r="A229" i="12"/>
  <c r="AQ217" i="6"/>
  <c r="I161" i="32" l="1"/>
  <c r="AG9" i="12"/>
  <c r="A230" i="12"/>
  <c r="B227" i="3"/>
  <c r="AP218" i="6" s="1"/>
  <c r="AQ218" i="6"/>
  <c r="I160" i="32" l="1"/>
  <c r="AG10" i="12"/>
  <c r="A231" i="12"/>
  <c r="B228" i="3"/>
  <c r="AP219" i="6" s="1"/>
  <c r="AQ219" i="6"/>
  <c r="I159" i="32" l="1"/>
  <c r="AG11" i="12"/>
  <c r="A232" i="12"/>
  <c r="B229" i="3"/>
  <c r="AP220" i="6" s="1"/>
  <c r="AQ220" i="6"/>
  <c r="I158" i="32" l="1"/>
  <c r="AG12" i="12"/>
  <c r="A233" i="12"/>
  <c r="B230" i="3"/>
  <c r="AP221" i="6" s="1"/>
  <c r="AQ221" i="6"/>
  <c r="I157" i="32" l="1"/>
  <c r="AG13" i="12"/>
  <c r="A234" i="12"/>
  <c r="B231" i="3"/>
  <c r="AP222" i="6" s="1"/>
  <c r="AQ222" i="6"/>
  <c r="I156" i="32" l="1"/>
  <c r="AG14" i="12"/>
  <c r="A235" i="12"/>
  <c r="B232" i="3"/>
  <c r="AP223" i="6" s="1"/>
  <c r="AQ223" i="6"/>
  <c r="I155" i="32" l="1"/>
  <c r="AG15" i="12"/>
  <c r="B233" i="3"/>
  <c r="AP224" i="6" s="1"/>
  <c r="A236" i="12"/>
  <c r="AQ224" i="6"/>
  <c r="I154" i="32" l="1"/>
  <c r="AG16" i="12"/>
  <c r="A237" i="12"/>
  <c r="B234" i="3"/>
  <c r="AP225" i="6" s="1"/>
  <c r="AQ225" i="6"/>
  <c r="I153" i="32" l="1"/>
  <c r="AG17" i="12"/>
  <c r="B235" i="3"/>
  <c r="AP226" i="6" s="1"/>
  <c r="A238" i="12"/>
  <c r="AQ226" i="6"/>
  <c r="I152" i="32" l="1"/>
  <c r="AG18" i="12"/>
  <c r="A239" i="12"/>
  <c r="B236" i="3"/>
  <c r="AP227" i="6" s="1"/>
  <c r="AQ227" i="6"/>
  <c r="I151" i="32" l="1"/>
  <c r="AG19" i="12"/>
  <c r="A240" i="12"/>
  <c r="B237" i="3"/>
  <c r="AP228" i="6" s="1"/>
  <c r="AQ228" i="6"/>
  <c r="I150" i="32" l="1"/>
  <c r="AG20" i="12"/>
  <c r="A241" i="12"/>
  <c r="B238" i="3"/>
  <c r="AP229" i="6" s="1"/>
  <c r="AQ229" i="6"/>
  <c r="I149" i="32" l="1"/>
  <c r="AG21" i="12"/>
  <c r="AQ230" i="6"/>
  <c r="B239" i="3"/>
  <c r="AP230" i="6" s="1"/>
  <c r="A242" i="12"/>
  <c r="I148" i="32" l="1"/>
  <c r="AG22" i="12"/>
  <c r="B240" i="3"/>
  <c r="AP231" i="6" s="1"/>
  <c r="A243" i="12"/>
  <c r="AQ231" i="6"/>
  <c r="I147" i="32" l="1"/>
  <c r="AG23" i="12"/>
  <c r="A244" i="12"/>
  <c r="B241" i="3"/>
  <c r="AP232" i="6" s="1"/>
  <c r="AQ232" i="6"/>
  <c r="I146" i="32" l="1"/>
  <c r="AG24" i="12"/>
  <c r="A245" i="12"/>
  <c r="B242" i="3"/>
  <c r="AP233" i="6" s="1"/>
  <c r="AQ233" i="6"/>
  <c r="I145" i="32" l="1"/>
  <c r="AG25" i="12"/>
  <c r="A246" i="12"/>
  <c r="B243" i="3"/>
  <c r="AP234" i="6" s="1"/>
  <c r="AQ234" i="6"/>
  <c r="I144" i="32" l="1"/>
  <c r="AG26" i="12"/>
  <c r="A247" i="12"/>
  <c r="B244" i="3"/>
  <c r="AP235" i="6" s="1"/>
  <c r="AQ235" i="6"/>
  <c r="I143" i="32" l="1"/>
  <c r="AG27" i="12"/>
  <c r="A248" i="12"/>
  <c r="B245" i="3"/>
  <c r="AP236" i="6" s="1"/>
  <c r="AQ236" i="6"/>
  <c r="I142" i="32" l="1"/>
  <c r="AG28" i="12"/>
  <c r="A249" i="12"/>
  <c r="B246" i="3"/>
  <c r="AP237" i="6" s="1"/>
  <c r="AQ237" i="6"/>
  <c r="I141" i="32" l="1"/>
  <c r="AG29" i="12"/>
  <c r="A250" i="12"/>
  <c r="B247" i="3"/>
  <c r="AP238" i="6" s="1"/>
  <c r="AQ238" i="6"/>
  <c r="I140" i="32" l="1"/>
  <c r="AG30" i="12"/>
  <c r="B248" i="3"/>
  <c r="AP239" i="6" s="1"/>
  <c r="A251" i="12"/>
  <c r="AQ239" i="6"/>
  <c r="I139" i="32" l="1"/>
  <c r="AG31" i="12"/>
  <c r="A252" i="12"/>
  <c r="B249" i="3"/>
  <c r="AP240" i="6" s="1"/>
  <c r="AQ240" i="6"/>
  <c r="I138" i="32" l="1"/>
  <c r="AG32" i="12"/>
  <c r="B250" i="3"/>
  <c r="AP241" i="6" s="1"/>
  <c r="A253" i="12"/>
  <c r="AQ241" i="6"/>
  <c r="I137" i="32" l="1"/>
  <c r="AG33" i="12"/>
  <c r="B251" i="3"/>
  <c r="AP242" i="6" s="1"/>
  <c r="A254" i="12"/>
  <c r="AQ242" i="6"/>
  <c r="I136" i="32" l="1"/>
  <c r="AG34" i="12"/>
  <c r="A255" i="12"/>
  <c r="B252" i="3"/>
  <c r="AP243" i="6" s="1"/>
  <c r="AQ243" i="6"/>
  <c r="I135" i="32" l="1"/>
  <c r="AG35" i="12"/>
  <c r="B253" i="3"/>
  <c r="AP244" i="6" s="1"/>
  <c r="A256" i="12"/>
  <c r="AQ244" i="6"/>
  <c r="I134" i="32" l="1"/>
  <c r="AG36" i="12"/>
  <c r="B254" i="3"/>
  <c r="AP245" i="6" s="1"/>
  <c r="A257" i="12"/>
  <c r="AQ245" i="6"/>
  <c r="I133" i="32" l="1"/>
  <c r="AG37" i="12"/>
  <c r="A258" i="12"/>
  <c r="B255" i="3"/>
  <c r="AP246" i="6" s="1"/>
  <c r="AQ246" i="6"/>
  <c r="I132" i="32" l="1"/>
  <c r="AG38" i="12"/>
  <c r="B256" i="3"/>
  <c r="AP247" i="6" s="1"/>
  <c r="A259" i="12"/>
  <c r="AQ247" i="6"/>
  <c r="I131" i="32" l="1"/>
  <c r="AG39" i="12"/>
  <c r="B257" i="3"/>
  <c r="AP248" i="6" s="1"/>
  <c r="A260" i="12"/>
  <c r="AQ248" i="6"/>
  <c r="I130" i="32" l="1"/>
  <c r="AG40" i="12"/>
  <c r="B258" i="3"/>
  <c r="AP249" i="6" s="1"/>
  <c r="A261" i="12"/>
  <c r="AQ249" i="6"/>
  <c r="I129" i="32" l="1"/>
  <c r="AG41" i="12"/>
  <c r="B259" i="3"/>
  <c r="AP250" i="6" s="1"/>
  <c r="A262" i="12"/>
  <c r="AQ250" i="6"/>
  <c r="I128" i="32" l="1"/>
  <c r="AG42" i="12"/>
  <c r="A263" i="12"/>
  <c r="B260" i="3"/>
  <c r="AP251" i="6" s="1"/>
  <c r="AQ251" i="6"/>
  <c r="I127" i="32" l="1"/>
  <c r="AG43" i="12"/>
  <c r="A264" i="12"/>
  <c r="B261" i="3"/>
  <c r="AP252" i="6" s="1"/>
  <c r="AQ252" i="6"/>
  <c r="I126" i="32" l="1"/>
  <c r="AG44" i="12"/>
  <c r="A265" i="12"/>
  <c r="B262" i="3"/>
  <c r="AP253" i="6" s="1"/>
  <c r="AQ253" i="6"/>
  <c r="I125" i="32" l="1"/>
  <c r="AG45" i="12"/>
  <c r="A266" i="12"/>
  <c r="B263" i="3"/>
  <c r="AP254" i="6" s="1"/>
  <c r="AQ254" i="6"/>
  <c r="I124" i="32" l="1"/>
  <c r="AG46" i="12"/>
  <c r="B264" i="3"/>
  <c r="AP255" i="6" s="1"/>
  <c r="A267" i="12"/>
  <c r="AQ255" i="6"/>
  <c r="I123" i="32" l="1"/>
  <c r="AG47" i="12"/>
  <c r="A268" i="12"/>
  <c r="B265" i="3"/>
  <c r="AP256" i="6" s="1"/>
  <c r="AQ256" i="6"/>
  <c r="I122" i="32" l="1"/>
  <c r="AG48" i="12"/>
  <c r="B266" i="3"/>
  <c r="AP257" i="6" s="1"/>
  <c r="A269" i="12"/>
  <c r="AQ257" i="6"/>
  <c r="I121" i="32" l="1"/>
  <c r="AG49" i="12"/>
  <c r="A270" i="12"/>
  <c r="B267" i="3"/>
  <c r="AP258" i="6" s="1"/>
  <c r="AQ258" i="6"/>
  <c r="I120" i="32" l="1"/>
  <c r="AG50" i="12"/>
  <c r="B268" i="3"/>
  <c r="AP259" i="6" s="1"/>
  <c r="A271" i="12"/>
  <c r="AQ259" i="6"/>
  <c r="I119" i="32" l="1"/>
  <c r="AG51" i="12"/>
  <c r="B269" i="3"/>
  <c r="AP260" i="6" s="1"/>
  <c r="A272" i="12"/>
  <c r="AQ260" i="6"/>
  <c r="AG52" i="12" l="1"/>
  <c r="B270" i="3"/>
  <c r="AP261" i="6" s="1"/>
  <c r="A273" i="12"/>
  <c r="AQ261" i="6"/>
  <c r="AG53" i="12" l="1"/>
  <c r="A274" i="12"/>
  <c r="B271" i="3"/>
  <c r="AP262" i="6" s="1"/>
  <c r="AQ262" i="6"/>
  <c r="AG54" i="12" l="1"/>
  <c r="A275" i="12"/>
  <c r="B272" i="3"/>
  <c r="AP263" i="6" s="1"/>
  <c r="AQ263" i="6"/>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B18" i="26"/>
  <c r="A12" i="11" l="1"/>
  <c r="X264" i="6"/>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E15" i="17" l="1"/>
  <c r="E17" i="17"/>
  <c r="E19" i="17"/>
  <c r="E16" i="17"/>
  <c r="E18" i="17"/>
  <c r="AT2" i="12"/>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AL20" i="12"/>
  <c r="AO20" i="12"/>
  <c r="AM20" i="12"/>
  <c r="AQ20" i="12"/>
  <c r="AP20" i="12"/>
  <c r="AK20" i="12"/>
  <c r="AK15" i="12"/>
  <c r="AP15" i="12"/>
  <c r="AM15" i="12"/>
  <c r="AL15" i="12"/>
  <c r="AQ15" i="12"/>
  <c r="AO15" i="12"/>
  <c r="AP18" i="12"/>
  <c r="AO18" i="12"/>
  <c r="AQ18" i="12"/>
  <c r="AK18" i="12"/>
  <c r="AM18" i="12"/>
  <c r="AL18" i="12"/>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M79" i="12"/>
  <c r="V79" i="12" s="1"/>
  <c r="M27" i="12"/>
  <c r="V27" i="12" s="1"/>
  <c r="M131" i="12"/>
  <c r="V131" i="12" s="1"/>
  <c r="M81" i="12"/>
  <c r="V81" i="12" s="1"/>
  <c r="M133" i="12"/>
  <c r="V133" i="12" s="1"/>
  <c r="M29" i="12"/>
  <c r="V29" i="12" s="1"/>
  <c r="AS42" i="12"/>
  <c r="AT42" i="12"/>
  <c r="AS45" i="12"/>
  <c r="AS44" i="12"/>
  <c r="AS46" i="12"/>
  <c r="AS43" i="12"/>
  <c r="AS47" i="12"/>
  <c r="AT46" i="12"/>
  <c r="AT47" i="12"/>
  <c r="AT43" i="12"/>
  <c r="AT44" i="12"/>
  <c r="AT45" i="12"/>
  <c r="AS51" i="12"/>
  <c r="AS54" i="12"/>
  <c r="AS49" i="12"/>
  <c r="AS50" i="12"/>
  <c r="N8" i="39"/>
  <c r="AS52" i="12"/>
  <c r="AS48" i="12"/>
  <c r="AS53" i="12"/>
  <c r="AT54" i="12"/>
  <c r="AT52" i="12"/>
  <c r="AT51" i="12"/>
  <c r="AT53" i="12"/>
  <c r="AT50" i="12"/>
  <c r="AT48" i="12"/>
  <c r="AT49" i="12"/>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W166" i="12" l="1"/>
  <c r="F19" i="17"/>
  <c r="F18" i="17"/>
  <c r="F15" i="17"/>
  <c r="F16" i="17"/>
  <c r="F17" i="17"/>
  <c r="E34" i="17"/>
  <c r="E35" i="17"/>
  <c r="E32" i="17"/>
  <c r="E23" i="17"/>
  <c r="E50" i="17"/>
  <c r="E30" i="17"/>
  <c r="E27" i="17"/>
  <c r="E53" i="17"/>
  <c r="E33" i="17"/>
  <c r="E65" i="17"/>
  <c r="E40" i="17"/>
  <c r="E48" i="17"/>
  <c r="E49" i="17"/>
  <c r="E52" i="17"/>
  <c r="E47" i="17"/>
  <c r="E28" i="17"/>
  <c r="E45" i="17"/>
  <c r="E62" i="17"/>
  <c r="E37" i="17"/>
  <c r="E64" i="17"/>
  <c r="E24" i="17"/>
  <c r="E55" i="17"/>
  <c r="E46" i="17"/>
  <c r="E41" i="17"/>
  <c r="E54" i="17"/>
  <c r="E42" i="17"/>
  <c r="E22" i="17"/>
  <c r="E26" i="17"/>
  <c r="E58" i="17"/>
  <c r="E31" i="17"/>
  <c r="E57" i="17"/>
  <c r="E39" i="17"/>
  <c r="E43" i="17"/>
  <c r="E63" i="17"/>
  <c r="E38" i="17"/>
  <c r="E60" i="17"/>
  <c r="E44" i="17"/>
  <c r="E29" i="17"/>
  <c r="E25" i="17"/>
  <c r="E61" i="17"/>
  <c r="E66" i="17"/>
  <c r="E59" i="17"/>
  <c r="E36" i="17"/>
  <c r="E51" i="17"/>
  <c r="E56" i="17"/>
  <c r="E20" i="17"/>
  <c r="F20" i="17" s="1"/>
  <c r="E21" i="17"/>
  <c r="F21" i="17" s="1"/>
  <c r="E67" i="17"/>
  <c r="F67" i="17"/>
  <c r="W213" i="12"/>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N209" i="12"/>
  <c r="N262" i="12"/>
  <c r="N199" i="12"/>
  <c r="N214" i="12"/>
  <c r="N217" i="12"/>
  <c r="N167" i="12"/>
  <c r="N215" i="12"/>
  <c r="N187" i="12"/>
  <c r="N194" i="12"/>
  <c r="N206" i="12"/>
  <c r="N203" i="12"/>
  <c r="N190" i="12"/>
  <c r="N191" i="12"/>
  <c r="N201" i="12"/>
  <c r="N268" i="12"/>
  <c r="N208" i="12"/>
  <c r="N266" i="12"/>
  <c r="N200" i="12"/>
  <c r="N267" i="12"/>
  <c r="N221" i="12"/>
  <c r="N193" i="12"/>
  <c r="T193" i="12" s="1"/>
  <c r="N205" i="12"/>
  <c r="N213" i="12"/>
  <c r="N207" i="12"/>
  <c r="T207" i="12" s="1"/>
  <c r="N218" i="12"/>
  <c r="N212" i="12"/>
  <c r="N269" i="12"/>
  <c r="N189" i="12"/>
  <c r="N274" i="12"/>
  <c r="N192" i="12"/>
  <c r="N196" i="12"/>
  <c r="N211" i="12"/>
  <c r="N264" i="12"/>
  <c r="N270" i="12"/>
  <c r="N168" i="12"/>
  <c r="N219" i="12"/>
  <c r="T219" i="12" s="1"/>
  <c r="N220" i="12"/>
  <c r="N198" i="12"/>
  <c r="N216" i="12"/>
  <c r="N272" i="12"/>
  <c r="N210" i="12"/>
  <c r="N188" i="12"/>
  <c r="N226" i="12"/>
  <c r="N173" i="12"/>
  <c r="N229" i="12"/>
  <c r="N230" i="12"/>
  <c r="T230" i="12" s="1"/>
  <c r="N177" i="12"/>
  <c r="N178" i="12"/>
  <c r="N231" i="12"/>
  <c r="N179" i="12"/>
  <c r="N182" i="12"/>
  <c r="N183" i="12"/>
  <c r="N238" i="12"/>
  <c r="N237" i="12"/>
  <c r="N239" i="12"/>
  <c r="N241" i="12"/>
  <c r="N169" i="12"/>
  <c r="N195" i="12"/>
  <c r="N225" i="12"/>
  <c r="T225" i="12" s="1"/>
  <c r="N224" i="12"/>
  <c r="N175" i="12"/>
  <c r="N234" i="12"/>
  <c r="N184" i="12"/>
  <c r="N235" i="12"/>
  <c r="N202" i="12"/>
  <c r="N170" i="12"/>
  <c r="T170" i="12" s="1"/>
  <c r="N223" i="12"/>
  <c r="N228" i="12"/>
  <c r="T228" i="12" s="1"/>
  <c r="N227" i="12"/>
  <c r="N233" i="12"/>
  <c r="N181" i="12"/>
  <c r="N236" i="12"/>
  <c r="N185" i="12"/>
  <c r="N197" i="12"/>
  <c r="N174" i="12"/>
  <c r="N176" i="12"/>
  <c r="T176" i="12" s="1"/>
  <c r="N171" i="12"/>
  <c r="N232" i="12"/>
  <c r="N180" i="12"/>
  <c r="N186" i="12"/>
  <c r="N243" i="12"/>
  <c r="N245" i="12"/>
  <c r="N249" i="12"/>
  <c r="N250" i="12"/>
  <c r="N251" i="12"/>
  <c r="N271" i="12"/>
  <c r="N222" i="12"/>
  <c r="N172" i="12"/>
  <c r="N240" i="12"/>
  <c r="N242" i="12"/>
  <c r="N244" i="12"/>
  <c r="N246" i="12"/>
  <c r="N248" i="12"/>
  <c r="N252" i="12"/>
  <c r="N253" i="12"/>
  <c r="N254" i="12"/>
  <c r="N258" i="12"/>
  <c r="N259" i="12"/>
  <c r="N265" i="12"/>
  <c r="N273" i="12"/>
  <c r="N256" i="12"/>
  <c r="N263" i="12"/>
  <c r="N275" i="12"/>
  <c r="N247" i="12"/>
  <c r="N261" i="12"/>
  <c r="N255" i="12"/>
  <c r="N257" i="12"/>
  <c r="T257" i="12" s="1"/>
  <c r="N260" i="12"/>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AD33" i="12"/>
  <c r="AD85" i="12"/>
  <c r="AC86" i="12"/>
  <c r="AC137" i="12"/>
  <c r="AC85" i="12"/>
  <c r="AC34" i="12"/>
  <c r="AD139" i="12"/>
  <c r="AC33" i="12"/>
  <c r="AD34" i="12"/>
  <c r="AD137" i="12"/>
  <c r="AD138" i="12"/>
  <c r="AC138" i="12"/>
  <c r="AD86" i="12"/>
  <c r="AC140" i="12"/>
  <c r="AD87" i="12"/>
  <c r="AC139" i="12"/>
  <c r="AC35" i="12"/>
  <c r="AD35" i="12"/>
  <c r="AD88" i="12"/>
  <c r="AD140" i="12"/>
  <c r="AC87" i="12"/>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AC16" i="12"/>
  <c r="R9" i="15"/>
  <c r="S9" i="15" s="1"/>
  <c r="Q19" i="14" s="1"/>
  <c r="R50" i="15"/>
  <c r="S50" i="15" s="1"/>
  <c r="AE50" i="15" s="1"/>
  <c r="R26" i="15"/>
  <c r="S26" i="15" s="1"/>
  <c r="AE26" i="15" s="1"/>
  <c r="R19" i="15"/>
  <c r="S19" i="15" s="1"/>
  <c r="AE19" i="15" s="1"/>
  <c r="R32" i="15"/>
  <c r="S32" i="15" s="1"/>
  <c r="AE32" i="15" s="1"/>
  <c r="R48" i="15"/>
  <c r="S48" i="15" s="1"/>
  <c r="AE48" i="15" s="1"/>
  <c r="R35" i="15"/>
  <c r="S35" i="15" s="1"/>
  <c r="AE35" i="15" s="1"/>
  <c r="R44" i="15"/>
  <c r="S44" i="15" s="1"/>
  <c r="AE44" i="15" s="1"/>
  <c r="R45" i="15"/>
  <c r="S45" i="15" s="1"/>
  <c r="AE45" i="15" s="1"/>
  <c r="R12" i="15"/>
  <c r="S12" i="15" s="1"/>
  <c r="AE12" i="15" s="1"/>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W67" i="12"/>
  <c r="W133" i="12"/>
  <c r="W119" i="12"/>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O23" i="12"/>
  <c r="N77" i="12"/>
  <c r="N129" i="12"/>
  <c r="N25" i="12"/>
  <c r="K25" i="12"/>
  <c r="K77" i="12"/>
  <c r="K129" i="12"/>
  <c r="K128" i="12"/>
  <c r="K24" i="12"/>
  <c r="K76" i="12"/>
  <c r="O138" i="12"/>
  <c r="O86" i="12"/>
  <c r="O34" i="12"/>
  <c r="L138" i="12"/>
  <c r="L34" i="12"/>
  <c r="L86" i="12"/>
  <c r="L70" i="12"/>
  <c r="L18" i="12"/>
  <c r="L122" i="12"/>
  <c r="O122" i="12"/>
  <c r="O18" i="12"/>
  <c r="O70" i="12"/>
  <c r="P133" i="12"/>
  <c r="P29" i="12"/>
  <c r="P81" i="12"/>
  <c r="K29" i="12"/>
  <c r="K81" i="12"/>
  <c r="K133" i="12"/>
  <c r="P17" i="12"/>
  <c r="P121" i="12"/>
  <c r="P69" i="12"/>
  <c r="O69" i="12"/>
  <c r="O121" i="12"/>
  <c r="O17" i="12"/>
  <c r="J79" i="12"/>
  <c r="J131" i="12"/>
  <c r="J27" i="12"/>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N141" i="12"/>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W27" i="12"/>
  <c r="W72" i="12"/>
  <c r="W16" i="12"/>
  <c r="W30" i="12"/>
  <c r="W22" i="12"/>
  <c r="W125" i="12"/>
  <c r="W123" i="12"/>
  <c r="W77" i="12"/>
  <c r="W24" i="12"/>
  <c r="W18" i="12"/>
  <c r="W17" i="12"/>
  <c r="N124" i="12"/>
  <c r="N20" i="12"/>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N134" i="12"/>
  <c r="K134" i="12"/>
  <c r="K82" i="12"/>
  <c r="K30" i="12"/>
  <c r="P22" i="12"/>
  <c r="P74" i="12"/>
  <c r="P126" i="12"/>
  <c r="K74" i="12"/>
  <c r="K22" i="12"/>
  <c r="K126" i="12"/>
  <c r="J21" i="12"/>
  <c r="J125" i="12"/>
  <c r="J73" i="12"/>
  <c r="O141" i="12"/>
  <c r="O89" i="12"/>
  <c r="O37" i="12"/>
  <c r="K19" i="12"/>
  <c r="K123" i="12"/>
  <c r="K71" i="12"/>
  <c r="N36" i="12"/>
  <c r="N88" i="12"/>
  <c r="N140" i="12"/>
  <c r="J139" i="12"/>
  <c r="J87" i="12"/>
  <c r="J35" i="12"/>
  <c r="N35" i="12"/>
  <c r="N87" i="12"/>
  <c r="N139" i="12"/>
  <c r="O80" i="12"/>
  <c r="O132" i="12"/>
  <c r="O28" i="12"/>
  <c r="P132" i="12"/>
  <c r="P28" i="12"/>
  <c r="P80" i="12"/>
  <c r="K80" i="12"/>
  <c r="K28" i="12"/>
  <c r="K132" i="12"/>
  <c r="P127" i="12"/>
  <c r="P75" i="12"/>
  <c r="P23" i="12"/>
  <c r="N75" i="12"/>
  <c r="N23" i="12"/>
  <c r="N127" i="12"/>
  <c r="O25" i="12"/>
  <c r="O77" i="12"/>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N81" i="12"/>
  <c r="K17" i="12"/>
  <c r="K69" i="12"/>
  <c r="K121" i="12"/>
  <c r="N79" i="12"/>
  <c r="N131" i="12"/>
  <c r="N27" i="12"/>
  <c r="L79" i="12"/>
  <c r="L27" i="12"/>
  <c r="L131" i="12"/>
  <c r="W79" i="12"/>
  <c r="W78" i="12"/>
  <c r="W82" i="12"/>
  <c r="W74" i="12"/>
  <c r="W19" i="12"/>
  <c r="W80" i="12"/>
  <c r="W75" i="12"/>
  <c r="W25" i="12"/>
  <c r="W128" i="12"/>
  <c r="W70" i="12"/>
  <c r="W69" i="12"/>
  <c r="R52" i="15"/>
  <c r="S52" i="15" s="1"/>
  <c r="AE52" i="15" s="1"/>
  <c r="R53" i="15"/>
  <c r="S53" i="15" s="1"/>
  <c r="AE53" i="15" s="1"/>
  <c r="AS54" i="15" s="1"/>
  <c r="R43" i="15"/>
  <c r="S43" i="15" s="1"/>
  <c r="AE43" i="15" s="1"/>
  <c r="R40" i="15"/>
  <c r="S40" i="15" s="1"/>
  <c r="AE40" i="15" s="1"/>
  <c r="R31" i="15"/>
  <c r="S31" i="15" s="1"/>
  <c r="AE31" i="15" s="1"/>
  <c r="R23" i="15"/>
  <c r="S23" i="15" s="1"/>
  <c r="AE23" i="15" s="1"/>
  <c r="R27" i="15"/>
  <c r="S27" i="15" s="1"/>
  <c r="AE27" i="15" s="1"/>
  <c r="R30" i="15"/>
  <c r="S30" i="15" s="1"/>
  <c r="AE30" i="15" s="1"/>
  <c r="R16" i="15"/>
  <c r="S16" i="15" s="1"/>
  <c r="AE16" i="15" s="1"/>
  <c r="R39" i="15"/>
  <c r="S39" i="15" s="1"/>
  <c r="AE39" i="15" s="1"/>
  <c r="R34" i="15"/>
  <c r="S34" i="15" s="1"/>
  <c r="AE34" i="15" s="1"/>
  <c r="R46" i="15"/>
  <c r="S46" i="15" s="1"/>
  <c r="AE46" i="15" s="1"/>
  <c r="R24" i="15"/>
  <c r="S24" i="15" s="1"/>
  <c r="AE24" i="15" s="1"/>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O45" i="12"/>
  <c r="N39" i="12"/>
  <c r="N143" i="12"/>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O99" i="12"/>
  <c r="O151" i="12"/>
  <c r="N153" i="12"/>
  <c r="N101" i="12"/>
  <c r="N49" i="12"/>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P63" i="12"/>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T216" i="12" l="1"/>
  <c r="T208" i="12"/>
  <c r="T204" i="12"/>
  <c r="T271" i="12"/>
  <c r="T167" i="12"/>
  <c r="T223" i="12"/>
  <c r="T235" i="12"/>
  <c r="T211" i="12"/>
  <c r="T187" i="12"/>
  <c r="T224" i="12"/>
  <c r="T241" i="12"/>
  <c r="T273" i="12"/>
  <c r="T183" i="12"/>
  <c r="T259" i="12"/>
  <c r="T245" i="12"/>
  <c r="T212" i="12"/>
  <c r="T206" i="12"/>
  <c r="Q115" i="12"/>
  <c r="T175" i="12"/>
  <c r="T218" i="12"/>
  <c r="T194" i="12"/>
  <c r="T260" i="12"/>
  <c r="T173" i="12"/>
  <c r="R146" i="12"/>
  <c r="T153" i="12"/>
  <c r="T143" i="12"/>
  <c r="T141" i="12"/>
  <c r="R159" i="12"/>
  <c r="T247" i="12"/>
  <c r="T246" i="12"/>
  <c r="T172" i="12"/>
  <c r="T250" i="12"/>
  <c r="T236" i="12"/>
  <c r="T272" i="12"/>
  <c r="T189" i="12"/>
  <c r="T221" i="12"/>
  <c r="T190" i="12"/>
  <c r="T214" i="12"/>
  <c r="T232" i="12"/>
  <c r="T197" i="12"/>
  <c r="T188" i="12"/>
  <c r="T198" i="12"/>
  <c r="T262" i="12"/>
  <c r="T261" i="12"/>
  <c r="T258" i="12"/>
  <c r="T171" i="12"/>
  <c r="T185" i="12"/>
  <c r="T227" i="12"/>
  <c r="T238" i="12"/>
  <c r="T231" i="12"/>
  <c r="T264" i="12"/>
  <c r="T275" i="12"/>
  <c r="Z275" i="12" s="1"/>
  <c r="T249" i="12"/>
  <c r="T180" i="12"/>
  <c r="T174" i="12"/>
  <c r="T181" i="12"/>
  <c r="T182" i="12"/>
  <c r="T226" i="12"/>
  <c r="T168" i="12"/>
  <c r="T213" i="12"/>
  <c r="T267" i="12"/>
  <c r="T252" i="12"/>
  <c r="T234" i="12"/>
  <c r="T195" i="12"/>
  <c r="T237" i="12"/>
  <c r="T192" i="12"/>
  <c r="T201" i="12"/>
  <c r="T256" i="12"/>
  <c r="T248" i="12"/>
  <c r="T240" i="12"/>
  <c r="T251" i="12"/>
  <c r="T243" i="12"/>
  <c r="T202" i="12"/>
  <c r="T169" i="12"/>
  <c r="T229" i="12"/>
  <c r="T210" i="12"/>
  <c r="T220" i="12"/>
  <c r="T274" i="12"/>
  <c r="T266" i="12"/>
  <c r="T191" i="12"/>
  <c r="T217" i="12"/>
  <c r="T209" i="12"/>
  <c r="R97" i="12"/>
  <c r="T49" i="12"/>
  <c r="T89" i="12"/>
  <c r="R73" i="12"/>
  <c r="R122" i="12"/>
  <c r="R127" i="12"/>
  <c r="T82" i="12"/>
  <c r="T77" i="12"/>
  <c r="R77" i="12"/>
  <c r="T88" i="12"/>
  <c r="T134" i="12"/>
  <c r="R142" i="12"/>
  <c r="DO56" i="6"/>
  <c r="DQ56" i="6" s="1"/>
  <c r="DS56" i="6" s="1"/>
  <c r="DU56" i="6" s="1"/>
  <c r="DO46" i="6"/>
  <c r="DQ46" i="6" s="1"/>
  <c r="DS46" i="6" s="1"/>
  <c r="DO49" i="6"/>
  <c r="DQ49" i="6" s="1"/>
  <c r="DS49" i="6" s="1"/>
  <c r="DO51" i="6"/>
  <c r="DQ51" i="6" s="1"/>
  <c r="DS51" i="6" s="1"/>
  <c r="DO50" i="6"/>
  <c r="DQ50" i="6" s="1"/>
  <c r="DS50" i="6" s="1"/>
  <c r="DO45" i="6"/>
  <c r="DQ45" i="6" s="1"/>
  <c r="DS45" i="6" s="1"/>
  <c r="AS55" i="15"/>
  <c r="DO48" i="6"/>
  <c r="DQ48" i="6" s="1"/>
  <c r="DS48" i="6" s="1"/>
  <c r="DO47" i="6"/>
  <c r="DQ47" i="6" s="1"/>
  <c r="DS47" i="6" s="1"/>
  <c r="AS32" i="15"/>
  <c r="R37" i="12"/>
  <c r="R25" i="12"/>
  <c r="AS39" i="15"/>
  <c r="T29" i="12"/>
  <c r="T20" i="12"/>
  <c r="T52" i="12"/>
  <c r="R47" i="12"/>
  <c r="Q63" i="12"/>
  <c r="AS36" i="15"/>
  <c r="AW43" i="15"/>
  <c r="AW51" i="15"/>
  <c r="Q28" i="12"/>
  <c r="Q36" i="12"/>
  <c r="Q24" i="12"/>
  <c r="Q164" i="12"/>
  <c r="Q142" i="12"/>
  <c r="AW27" i="15"/>
  <c r="Q140" i="12"/>
  <c r="Q112" i="12"/>
  <c r="T254" i="12"/>
  <c r="T186" i="12"/>
  <c r="T178" i="12"/>
  <c r="T265" i="12"/>
  <c r="T253" i="12"/>
  <c r="T244" i="12"/>
  <c r="T222" i="12"/>
  <c r="T184" i="12"/>
  <c r="T239" i="12"/>
  <c r="T177" i="12"/>
  <c r="T196" i="12"/>
  <c r="T269" i="12"/>
  <c r="T268" i="12"/>
  <c r="T203" i="12"/>
  <c r="T215" i="12"/>
  <c r="T199" i="12"/>
  <c r="T255" i="12"/>
  <c r="T263" i="12"/>
  <c r="T242" i="12"/>
  <c r="T233" i="12"/>
  <c r="T179" i="12"/>
  <c r="T270" i="12"/>
  <c r="T205" i="12"/>
  <c r="T200"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R186" i="12"/>
  <c r="R233" i="12"/>
  <c r="R225" i="12"/>
  <c r="R182" i="12"/>
  <c r="R224" i="12"/>
  <c r="R235" i="12"/>
  <c r="R172" i="12"/>
  <c r="R167" i="12"/>
  <c r="R199" i="12"/>
  <c r="R169" i="12"/>
  <c r="R270" i="12"/>
  <c r="R197" i="12"/>
  <c r="R196" i="12"/>
  <c r="R210" i="12"/>
  <c r="R202" i="12"/>
  <c r="R187"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R231" i="12"/>
  <c r="R257" i="12"/>
  <c r="R246" i="12"/>
  <c r="R174" i="12"/>
  <c r="R232" i="12"/>
  <c r="R275" i="12"/>
  <c r="S275" i="12" s="1"/>
  <c r="R252" i="12"/>
  <c r="R239" i="12"/>
  <c r="R185" i="12"/>
  <c r="R177" i="12"/>
  <c r="R222" i="12"/>
  <c r="R181" i="12"/>
  <c r="R170" i="12"/>
  <c r="R179" i="12"/>
  <c r="R223" i="12"/>
  <c r="R208" i="12"/>
  <c r="R188" i="12"/>
  <c r="R268" i="12"/>
  <c r="R198" i="12"/>
  <c r="R212" i="12"/>
  <c r="R216" i="12"/>
  <c r="R264" i="12"/>
  <c r="R274" i="12"/>
  <c r="R19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R255" i="12"/>
  <c r="R236" i="12"/>
  <c r="R228" i="12"/>
  <c r="R254" i="12"/>
  <c r="R245" i="12"/>
  <c r="R219" i="12"/>
  <c r="R204" i="12"/>
  <c r="R271" i="12"/>
  <c r="R249" i="12"/>
  <c r="R178" i="12"/>
  <c r="R238" i="12"/>
  <c r="R176" i="12"/>
  <c r="R266" i="12"/>
  <c r="R227" i="12"/>
  <c r="R214" i="12"/>
  <c r="R234" i="12"/>
  <c r="R211" i="12"/>
  <c r="R168" i="12"/>
  <c r="R217" i="12"/>
  <c r="R272" i="12"/>
  <c r="R193" i="12"/>
  <c r="R221" i="12"/>
  <c r="R195" i="12"/>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S14" i="15"/>
  <c r="AW41" i="15"/>
  <c r="AS46" i="15"/>
  <c r="AW14" i="15"/>
  <c r="AW30" i="15"/>
  <c r="T151" i="12"/>
  <c r="Q155" i="12"/>
  <c r="R55" i="12"/>
  <c r="R151" i="12"/>
  <c r="AS41" i="15"/>
  <c r="T53" i="12"/>
  <c r="Q153" i="12"/>
  <c r="R49" i="12"/>
  <c r="Q160" i="12"/>
  <c r="T66" i="12"/>
  <c r="T146" i="12"/>
  <c r="Q111" i="12"/>
  <c r="Q154" i="12"/>
  <c r="R166" i="12"/>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05" i="12" l="1"/>
  <c r="U210" i="12"/>
  <c r="U172" i="12"/>
  <c r="Z169" i="12"/>
  <c r="U234" i="12"/>
  <c r="Z272" i="12"/>
  <c r="U245" i="12"/>
  <c r="U256" i="12"/>
  <c r="U257" i="12"/>
  <c r="U255" i="12"/>
  <c r="U258" i="12"/>
  <c r="Z188" i="12"/>
  <c r="U187" i="12"/>
  <c r="U243" i="12"/>
  <c r="U193" i="12"/>
  <c r="U247" i="12"/>
  <c r="U186" i="12"/>
  <c r="U235" i="12"/>
  <c r="Z221" i="12"/>
  <c r="Z167" i="12"/>
  <c r="S242" i="12"/>
  <c r="U217" i="12"/>
  <c r="Z245" i="12"/>
  <c r="U275" i="12"/>
  <c r="U212" i="12"/>
  <c r="U194" i="12"/>
  <c r="U272" i="12"/>
  <c r="Z257" i="12"/>
  <c r="Z241" i="12"/>
  <c r="U206" i="12"/>
  <c r="U170" i="12"/>
  <c r="U240" i="12"/>
  <c r="Z190" i="12"/>
  <c r="U252" i="12"/>
  <c r="Z224" i="12"/>
  <c r="Z214" i="12"/>
  <c r="U189" i="12"/>
  <c r="U236" i="12"/>
  <c r="S228" i="12"/>
  <c r="Z246" i="12"/>
  <c r="U171" i="12"/>
  <c r="U168" i="12"/>
  <c r="Z229" i="12"/>
  <c r="Z222" i="12"/>
  <c r="Z175" i="12"/>
  <c r="U225" i="12"/>
  <c r="S195" i="12"/>
  <c r="Z244" i="12"/>
  <c r="Z209" i="12"/>
  <c r="U238" i="12"/>
  <c r="U192" i="12"/>
  <c r="Z252" i="12"/>
  <c r="Z228" i="12"/>
  <c r="Z208" i="12"/>
  <c r="Z207" i="12"/>
  <c r="U211" i="12"/>
  <c r="Z173" i="12"/>
  <c r="Z250" i="12"/>
  <c r="Z273" i="12"/>
  <c r="S223" i="12"/>
  <c r="Z274" i="12"/>
  <c r="U229" i="12"/>
  <c r="Z206" i="12"/>
  <c r="U188" i="12"/>
  <c r="Z271" i="12"/>
  <c r="Z168" i="12"/>
  <c r="Z223" i="12"/>
  <c r="Z270" i="12"/>
  <c r="Z176" i="12"/>
  <c r="Z225" i="12"/>
  <c r="Z166" i="12"/>
  <c r="S261" i="12"/>
  <c r="Z204" i="12"/>
  <c r="Z187" i="12"/>
  <c r="U208" i="12"/>
  <c r="U207" i="12"/>
  <c r="Z219" i="12"/>
  <c r="U228" i="12"/>
  <c r="U250" i="12"/>
  <c r="U273" i="12"/>
  <c r="U209" i="12"/>
  <c r="U191" i="12"/>
  <c r="U274" i="12"/>
  <c r="U227" i="12"/>
  <c r="Z251" i="12"/>
  <c r="U167" i="12"/>
  <c r="U271" i="12"/>
  <c r="U226" i="12"/>
  <c r="U223" i="12"/>
  <c r="U204" i="12"/>
  <c r="U190" i="12"/>
  <c r="U221" i="12"/>
  <c r="Z189" i="12"/>
  <c r="U224" i="12"/>
  <c r="Z191" i="12"/>
  <c r="U169" i="12"/>
  <c r="Z185" i="12"/>
  <c r="U251" i="12"/>
  <c r="Z174" i="12"/>
  <c r="Z227" i="12"/>
  <c r="S241" i="12"/>
  <c r="Z216" i="12"/>
  <c r="Z220" i="12"/>
  <c r="Z202" i="12"/>
  <c r="Z234" i="12"/>
  <c r="U249" i="12"/>
  <c r="Z211" i="12"/>
  <c r="U183" i="12"/>
  <c r="U176" i="12"/>
  <c r="Z172" i="12"/>
  <c r="Z260" i="12"/>
  <c r="Z218" i="12"/>
  <c r="U220" i="12"/>
  <c r="U202" i="12"/>
  <c r="Z171" i="12"/>
  <c r="U248" i="12"/>
  <c r="Z256" i="12"/>
  <c r="Z213" i="12"/>
  <c r="U216" i="12"/>
  <c r="Z249" i="12"/>
  <c r="U214" i="12"/>
  <c r="U219" i="12"/>
  <c r="U173" i="12"/>
  <c r="U241" i="12"/>
  <c r="Z235" i="12"/>
  <c r="Z236" i="12"/>
  <c r="U246" i="12"/>
  <c r="Z247" i="12"/>
  <c r="Z217" i="12"/>
  <c r="Z210" i="12"/>
  <c r="Z238" i="12"/>
  <c r="U175" i="12"/>
  <c r="Z248" i="12"/>
  <c r="Z212" i="12"/>
  <c r="U237" i="12"/>
  <c r="U215" i="12"/>
  <c r="Z183" i="12"/>
  <c r="U260" i="12"/>
  <c r="U218" i="12"/>
  <c r="U185" i="12"/>
  <c r="Z243" i="12"/>
  <c r="Z240" i="12"/>
  <c r="U259" i="12"/>
  <c r="U213" i="12"/>
  <c r="U179" i="12"/>
  <c r="S204" i="12"/>
  <c r="Z203" i="12"/>
  <c r="U177" i="12"/>
  <c r="S246" i="12"/>
  <c r="U174" i="12"/>
  <c r="Z242" i="12"/>
  <c r="U178" i="12"/>
  <c r="Z201" i="12"/>
  <c r="Z237" i="12"/>
  <c r="Z170" i="12"/>
  <c r="U239" i="12"/>
  <c r="U253" i="12"/>
  <c r="Z254" i="12"/>
  <c r="S178" i="12"/>
  <c r="S181" i="12"/>
  <c r="U201" i="12"/>
  <c r="U200" i="12"/>
  <c r="U267" i="12"/>
  <c r="Z182" i="12"/>
  <c r="U265" i="12"/>
  <c r="S71" i="12"/>
  <c r="S166" i="12"/>
  <c r="DU47" i="6"/>
  <c r="DU48" i="6"/>
  <c r="DU45" i="6"/>
  <c r="DU50" i="6"/>
  <c r="DU51" i="6"/>
  <c r="DU49" i="6"/>
  <c r="DU46" i="6"/>
  <c r="AW4" i="15"/>
  <c r="U270" i="12"/>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V24" i="15" l="1"/>
  <c r="V25" i="15" s="1"/>
  <c r="AG7" i="15" s="1"/>
  <c r="DO35" i="6"/>
  <c r="DQ35" i="6" s="1"/>
  <c r="DS35" i="6" s="1"/>
  <c r="F58" i="17"/>
  <c r="DO33" i="6"/>
  <c r="DQ33" i="6" s="1"/>
  <c r="DS33" i="6" s="1"/>
  <c r="F56" i="17"/>
  <c r="DO36" i="6"/>
  <c r="DQ36" i="6" s="1"/>
  <c r="DS36" i="6" s="1"/>
  <c r="F59" i="17"/>
  <c r="DO38" i="6"/>
  <c r="DQ38" i="6" s="1"/>
  <c r="DS38" i="6" s="1"/>
  <c r="F61" i="17"/>
  <c r="F60" i="17"/>
  <c r="F62" i="17"/>
  <c r="F57" i="17"/>
  <c r="AF16" i="15"/>
  <c r="AU16" i="15" s="1"/>
  <c r="H19" i="17"/>
  <c r="K19" i="17" s="1"/>
  <c r="H35" i="17"/>
  <c r="K35" i="17" s="1"/>
  <c r="H51" i="17"/>
  <c r="K51" i="17" s="1"/>
  <c r="H16" i="17"/>
  <c r="H56" i="17"/>
  <c r="K56" i="17" s="1"/>
  <c r="H29" i="17"/>
  <c r="K29" i="17" s="1"/>
  <c r="H45" i="17"/>
  <c r="K45" i="17" s="1"/>
  <c r="H61" i="17"/>
  <c r="K61" i="17" s="1"/>
  <c r="H26" i="17"/>
  <c r="K26" i="17" s="1"/>
  <c r="H42" i="17"/>
  <c r="K42" i="17" s="1"/>
  <c r="H58" i="17"/>
  <c r="K58" i="17" s="1"/>
  <c r="H20" i="17"/>
  <c r="K20" i="17" s="1"/>
  <c r="H44" i="17"/>
  <c r="K44" i="17" s="1"/>
  <c r="H23" i="17"/>
  <c r="K23" i="17" s="1"/>
  <c r="H39" i="17"/>
  <c r="K39" i="17" s="1"/>
  <c r="H55" i="17"/>
  <c r="K55" i="17" s="1"/>
  <c r="H32" i="17"/>
  <c r="K32" i="17" s="1"/>
  <c r="H17" i="17"/>
  <c r="K17" i="17" s="1"/>
  <c r="H33" i="17"/>
  <c r="K33" i="17" s="1"/>
  <c r="H49" i="17"/>
  <c r="K49" i="17" s="1"/>
  <c r="H65" i="17"/>
  <c r="K65" i="17" s="1"/>
  <c r="H30" i="17"/>
  <c r="K30" i="17" s="1"/>
  <c r="H46" i="17"/>
  <c r="K46" i="17" s="1"/>
  <c r="H62" i="17"/>
  <c r="K62" i="17" s="1"/>
  <c r="H24" i="17"/>
  <c r="K24" i="17" s="1"/>
  <c r="H52" i="17"/>
  <c r="K52" i="17" s="1"/>
  <c r="H27" i="17"/>
  <c r="K27" i="17" s="1"/>
  <c r="H43" i="17"/>
  <c r="K43" i="17" s="1"/>
  <c r="H59" i="17"/>
  <c r="K59" i="17" s="1"/>
  <c r="H40" i="17"/>
  <c r="K40" i="17" s="1"/>
  <c r="H21" i="17"/>
  <c r="K21" i="17" s="1"/>
  <c r="H37" i="17"/>
  <c r="K37" i="17" s="1"/>
  <c r="H53" i="17"/>
  <c r="K53" i="17" s="1"/>
  <c r="H18" i="17"/>
  <c r="K18" i="17" s="1"/>
  <c r="H34" i="17"/>
  <c r="K34" i="17" s="1"/>
  <c r="H50" i="17"/>
  <c r="K50" i="17" s="1"/>
  <c r="H66" i="17"/>
  <c r="K66" i="17" s="1"/>
  <c r="H28" i="17"/>
  <c r="K28" i="17" s="1"/>
  <c r="H60" i="17"/>
  <c r="K60" i="17" s="1"/>
  <c r="H67" i="17"/>
  <c r="K67" i="17" s="1"/>
  <c r="H31" i="17"/>
  <c r="K31" i="17" s="1"/>
  <c r="H47" i="17"/>
  <c r="K47" i="17" s="1"/>
  <c r="H63" i="17"/>
  <c r="K63" i="17" s="1"/>
  <c r="H48" i="17"/>
  <c r="K48" i="17" s="1"/>
  <c r="H25" i="17"/>
  <c r="K25" i="17" s="1"/>
  <c r="H41" i="17"/>
  <c r="K41" i="17" s="1"/>
  <c r="H57" i="17"/>
  <c r="K57" i="17" s="1"/>
  <c r="H22" i="17"/>
  <c r="K22" i="17" s="1"/>
  <c r="H38" i="17"/>
  <c r="K38" i="17" s="1"/>
  <c r="H54" i="17"/>
  <c r="K54" i="17" s="1"/>
  <c r="H15" i="17"/>
  <c r="K15" i="17" s="1"/>
  <c r="H36" i="17"/>
  <c r="K36" i="17" s="1"/>
  <c r="H64" i="17"/>
  <c r="K64" i="17" s="1"/>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U12" i="15" s="1"/>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G51" i="15" l="1"/>
  <c r="AI51" i="15" s="1"/>
  <c r="AG41" i="15"/>
  <c r="AJ41" i="15" s="1"/>
  <c r="AG13" i="15"/>
  <c r="AI13" i="15" s="1"/>
  <c r="AG38" i="15"/>
  <c r="AH38" i="15" s="1"/>
  <c r="AG30" i="15"/>
  <c r="AL30" i="15" s="1"/>
  <c r="AG10" i="15"/>
  <c r="AL10" i="15" s="1"/>
  <c r="AG43" i="15"/>
  <c r="AM43" i="15" s="1"/>
  <c r="AG23" i="15"/>
  <c r="AL23" i="15" s="1"/>
  <c r="AG21" i="15"/>
  <c r="AM21" i="15" s="1"/>
  <c r="AG24" i="15"/>
  <c r="AI24" i="15" s="1"/>
  <c r="AG54" i="15"/>
  <c r="AI54" i="15" s="1"/>
  <c r="AG47" i="15"/>
  <c r="AM47" i="15" s="1"/>
  <c r="AG22" i="15"/>
  <c r="AM22" i="15" s="1"/>
  <c r="AG6" i="15"/>
  <c r="AM6" i="15" s="1"/>
  <c r="AG3" i="15"/>
  <c r="AK3" i="15" s="1"/>
  <c r="AG53" i="15"/>
  <c r="AH53" i="15" s="1"/>
  <c r="AG50" i="15"/>
  <c r="AI50" i="15" s="1"/>
  <c r="AG5" i="15"/>
  <c r="AI5" i="15" s="1"/>
  <c r="AG45" i="15"/>
  <c r="AM45" i="15" s="1"/>
  <c r="AG17" i="15"/>
  <c r="AM17" i="15" s="1"/>
  <c r="AG11" i="15"/>
  <c r="AL11" i="15" s="1"/>
  <c r="AG18" i="15"/>
  <c r="AI18" i="15" s="1"/>
  <c r="AG48" i="15"/>
  <c r="AH48" i="15" s="1"/>
  <c r="AG27" i="15"/>
  <c r="AJ27" i="15" s="1"/>
  <c r="AG16" i="15"/>
  <c r="AI16" i="15" s="1"/>
  <c r="AG52" i="15"/>
  <c r="AH52" i="15" s="1"/>
  <c r="AG49" i="15"/>
  <c r="AM49" i="15" s="1"/>
  <c r="AG37" i="15"/>
  <c r="AK37" i="15" s="1"/>
  <c r="AG55" i="15"/>
  <c r="AM55" i="15" s="1"/>
  <c r="AG9" i="15"/>
  <c r="AL9" i="15" s="1"/>
  <c r="AG20" i="15"/>
  <c r="AL20" i="15" s="1"/>
  <c r="AG19" i="15"/>
  <c r="AH19" i="15" s="1"/>
  <c r="AG8" i="15"/>
  <c r="AK8" i="15" s="1"/>
  <c r="AG14" i="15"/>
  <c r="AM14" i="15" s="1"/>
  <c r="AG33" i="15"/>
  <c r="AI33" i="15" s="1"/>
  <c r="AG46" i="15"/>
  <c r="AL46" i="15" s="1"/>
  <c r="AG25" i="15"/>
  <c r="AL25" i="15" s="1"/>
  <c r="AG44" i="15"/>
  <c r="AH44" i="15" s="1"/>
  <c r="AG31" i="15"/>
  <c r="AK31" i="15" s="1"/>
  <c r="AG39" i="15"/>
  <c r="AI39" i="15" s="1"/>
  <c r="AG35" i="15"/>
  <c r="AH35" i="15" s="1"/>
  <c r="AG4" i="15"/>
  <c r="AH4" i="15" s="1"/>
  <c r="AG29" i="15"/>
  <c r="AI29" i="15" s="1"/>
  <c r="AG42" i="15"/>
  <c r="AI42" i="15" s="1"/>
  <c r="AG36" i="15"/>
  <c r="AK36" i="15" s="1"/>
  <c r="AG34" i="15"/>
  <c r="AI34" i="15" s="1"/>
  <c r="AG32" i="15"/>
  <c r="AH32" i="15" s="1"/>
  <c r="AG28" i="15"/>
  <c r="AH28" i="15" s="1"/>
  <c r="AG26" i="15"/>
  <c r="AI26" i="15" s="1"/>
  <c r="AG15" i="15"/>
  <c r="AK15" i="15" s="1"/>
  <c r="AG12" i="15"/>
  <c r="AI12" i="15" s="1"/>
  <c r="AG40" i="15"/>
  <c r="AM40" i="15" s="1"/>
  <c r="DU38" i="6"/>
  <c r="DU36" i="6"/>
  <c r="DU33" i="6"/>
  <c r="DU35" i="6"/>
  <c r="DO23" i="6"/>
  <c r="DQ23" i="6" s="1"/>
  <c r="F46" i="17"/>
  <c r="DO34" i="6"/>
  <c r="DQ34" i="6" s="1"/>
  <c r="DS34" i="6" s="1"/>
  <c r="DO39" i="6"/>
  <c r="DQ39" i="6" s="1"/>
  <c r="DS39" i="6" s="1"/>
  <c r="F44" i="17"/>
  <c r="DO37" i="6"/>
  <c r="DQ37" i="6" s="1"/>
  <c r="DS37" i="6" s="1"/>
  <c r="DO24" i="6"/>
  <c r="DQ24" i="6" s="1"/>
  <c r="F47" i="17"/>
  <c r="AJ16" i="15"/>
  <c r="H70" i="17"/>
  <c r="V70" i="17" s="1"/>
  <c r="D35" i="18" s="1"/>
  <c r="V15" i="17"/>
  <c r="R55" i="39"/>
  <c r="V57" i="17"/>
  <c r="R57" i="17" s="1"/>
  <c r="V63" i="17"/>
  <c r="R63" i="17" s="1"/>
  <c r="R61" i="39"/>
  <c r="V60" i="17"/>
  <c r="R60" i="17" s="1"/>
  <c r="R58" i="39"/>
  <c r="V34" i="17"/>
  <c r="R34" i="17" s="1"/>
  <c r="R32" i="39"/>
  <c r="V21" i="17"/>
  <c r="R21" i="17" s="1"/>
  <c r="R19" i="39"/>
  <c r="R25" i="39"/>
  <c r="V27" i="17"/>
  <c r="R27" i="17" s="1"/>
  <c r="R44" i="39"/>
  <c r="V46" i="17"/>
  <c r="R46" i="17" s="1"/>
  <c r="V33" i="17"/>
  <c r="R33" i="17" s="1"/>
  <c r="R31" i="39"/>
  <c r="V39" i="17"/>
  <c r="R39" i="17" s="1"/>
  <c r="R37" i="39"/>
  <c r="R56" i="39"/>
  <c r="V58" i="17"/>
  <c r="R58" i="17" s="1"/>
  <c r="V45" i="17"/>
  <c r="R45" i="17" s="1"/>
  <c r="R43" i="39"/>
  <c r="R49" i="39"/>
  <c r="V51" i="17"/>
  <c r="R51" i="17" s="1"/>
  <c r="R52" i="39"/>
  <c r="V54" i="17"/>
  <c r="R54" i="17" s="1"/>
  <c r="R39" i="39"/>
  <c r="V41" i="17"/>
  <c r="R41" i="17" s="1"/>
  <c r="V47" i="17"/>
  <c r="R47" i="17" s="1"/>
  <c r="R45" i="39"/>
  <c r="V28" i="17"/>
  <c r="R28" i="17" s="1"/>
  <c r="R26" i="39"/>
  <c r="V18" i="17"/>
  <c r="R18" i="17" s="1"/>
  <c r="R16" i="39"/>
  <c r="V40" i="17"/>
  <c r="R40" i="17" s="1"/>
  <c r="R38" i="39"/>
  <c r="V52" i="17"/>
  <c r="R52" i="17" s="1"/>
  <c r="R50" i="39"/>
  <c r="V30" i="17"/>
  <c r="R30" i="17" s="1"/>
  <c r="R28" i="39"/>
  <c r="V17" i="17"/>
  <c r="R17" i="17" s="1"/>
  <c r="R15" i="39"/>
  <c r="R21" i="39"/>
  <c r="V23" i="17"/>
  <c r="R23" i="17" s="1"/>
  <c r="R40" i="39"/>
  <c r="V42" i="17"/>
  <c r="R42" i="17" s="1"/>
  <c r="R27" i="39"/>
  <c r="V29" i="17"/>
  <c r="R29" i="17" s="1"/>
  <c r="R33" i="39"/>
  <c r="V35" i="17"/>
  <c r="R35" i="17" s="1"/>
  <c r="R62" i="39"/>
  <c r="V64" i="17"/>
  <c r="R64" i="17" s="1"/>
  <c r="R36" i="39"/>
  <c r="V38" i="17"/>
  <c r="R38" i="17" s="1"/>
  <c r="V25" i="17"/>
  <c r="R25" i="17" s="1"/>
  <c r="R23" i="39"/>
  <c r="V31" i="17"/>
  <c r="R31" i="17" s="1"/>
  <c r="R29" i="39"/>
  <c r="V66" i="17"/>
  <c r="R66" i="17" s="1"/>
  <c r="R64" i="39"/>
  <c r="R51" i="39"/>
  <c r="V53" i="17"/>
  <c r="R53" i="17" s="1"/>
  <c r="V59" i="17"/>
  <c r="R59" i="17" s="1"/>
  <c r="R57" i="39"/>
  <c r="V24" i="17"/>
  <c r="R24" i="17" s="1"/>
  <c r="R22" i="39"/>
  <c r="R63" i="39"/>
  <c r="V65" i="17"/>
  <c r="R65" i="17" s="1"/>
  <c r="V32" i="17"/>
  <c r="R32" i="17" s="1"/>
  <c r="R30" i="39"/>
  <c r="V44" i="17"/>
  <c r="R44" i="17" s="1"/>
  <c r="R42" i="39"/>
  <c r="V26" i="17"/>
  <c r="R26" i="17" s="1"/>
  <c r="R24" i="39"/>
  <c r="R54" i="39"/>
  <c r="V56" i="17"/>
  <c r="R56" i="17" s="1"/>
  <c r="V19" i="17"/>
  <c r="R19" i="17" s="1"/>
  <c r="R17" i="39"/>
  <c r="V36" i="17"/>
  <c r="R36" i="17" s="1"/>
  <c r="R34" i="39"/>
  <c r="R20" i="39"/>
  <c r="V22" i="17"/>
  <c r="R22" i="17" s="1"/>
  <c r="R46" i="39"/>
  <c r="V48" i="17"/>
  <c r="R48" i="17" s="1"/>
  <c r="V67" i="17"/>
  <c r="R67" i="17" s="1"/>
  <c r="S67" i="17" s="1"/>
  <c r="V50" i="17"/>
  <c r="R50" i="17" s="1"/>
  <c r="R48" i="39"/>
  <c r="R35" i="39"/>
  <c r="V37" i="17"/>
  <c r="R37" i="17" s="1"/>
  <c r="R41" i="39"/>
  <c r="V43" i="17"/>
  <c r="R43" i="17" s="1"/>
  <c r="V62" i="17"/>
  <c r="R62" i="17" s="1"/>
  <c r="R60" i="39"/>
  <c r="R47" i="39"/>
  <c r="V49" i="17"/>
  <c r="R49" i="17" s="1"/>
  <c r="R53" i="39"/>
  <c r="V55" i="17"/>
  <c r="R55" i="17" s="1"/>
  <c r="V20" i="17"/>
  <c r="R20" i="17" s="1"/>
  <c r="R18" i="39"/>
  <c r="V61" i="17"/>
  <c r="R61" i="17" s="1"/>
  <c r="R59" i="39"/>
  <c r="K16" i="17"/>
  <c r="R14" i="39" s="1"/>
  <c r="V16" i="17"/>
  <c r="R16" i="17" s="1"/>
  <c r="AU22" i="15"/>
  <c r="AV23" i="15" s="1"/>
  <c r="AU45" i="15"/>
  <c r="AV46" i="15" s="1"/>
  <c r="AU4" i="15"/>
  <c r="AU25" i="15"/>
  <c r="AV31" i="15" s="1"/>
  <c r="AL7" i="15"/>
  <c r="AU33" i="15"/>
  <c r="AV38" i="15" s="1"/>
  <c r="AU6" i="15"/>
  <c r="AV16" i="15"/>
  <c r="AV19" i="15"/>
  <c r="AH7" i="15"/>
  <c r="AV18" i="15"/>
  <c r="AJ7" i="15"/>
  <c r="AK7" i="15"/>
  <c r="AV21" i="15"/>
  <c r="AV44" i="15"/>
  <c r="AI7" i="15"/>
  <c r="AM7" i="15"/>
  <c r="AV54" i="15"/>
  <c r="AV20" i="15"/>
  <c r="AV42" i="15"/>
  <c r="AV55" i="15"/>
  <c r="AV43" i="15"/>
  <c r="AV17" i="15"/>
  <c r="AV15" i="15"/>
  <c r="AL13" i="15" l="1"/>
  <c r="AQ13" i="15" s="1"/>
  <c r="AK38" i="15"/>
  <c r="AL54" i="15"/>
  <c r="AQ54" i="15" s="1"/>
  <c r="AK13" i="15"/>
  <c r="AH54" i="15"/>
  <c r="AH47" i="15"/>
  <c r="AP47" i="15" s="1"/>
  <c r="AM13" i="15"/>
  <c r="AJ13" i="15"/>
  <c r="AM38" i="15"/>
  <c r="AP38" i="15" s="1"/>
  <c r="AJ17" i="15"/>
  <c r="AL47" i="15"/>
  <c r="AJ38" i="15"/>
  <c r="AL38" i="15"/>
  <c r="AJ54" i="15"/>
  <c r="AK47" i="15"/>
  <c r="AL45" i="15"/>
  <c r="AJ45" i="15"/>
  <c r="AI47" i="15"/>
  <c r="AI38" i="15"/>
  <c r="AJ47" i="15"/>
  <c r="AI17" i="15"/>
  <c r="AK17" i="15"/>
  <c r="AH17" i="15"/>
  <c r="AP17" i="15" s="1"/>
  <c r="AL17" i="15"/>
  <c r="AK55" i="15"/>
  <c r="AM11" i="15"/>
  <c r="AH30" i="15"/>
  <c r="AH41" i="15"/>
  <c r="AJ51" i="15"/>
  <c r="AM41" i="15"/>
  <c r="AK41" i="15"/>
  <c r="AM51" i="15"/>
  <c r="AH51" i="15"/>
  <c r="AI41" i="15"/>
  <c r="AI45" i="15"/>
  <c r="AH45" i="15"/>
  <c r="AP45" i="15" s="1"/>
  <c r="AK45" i="15"/>
  <c r="AM54" i="15"/>
  <c r="AK54" i="15"/>
  <c r="AH13" i="15"/>
  <c r="AL41" i="15"/>
  <c r="AI48" i="15"/>
  <c r="AI20" i="15"/>
  <c r="AQ20" i="15" s="1"/>
  <c r="AI36" i="15"/>
  <c r="AK21" i="15"/>
  <c r="AK51" i="15"/>
  <c r="AL51" i="15"/>
  <c r="AQ51" i="15" s="1"/>
  <c r="AH21" i="15"/>
  <c r="AP21" i="15" s="1"/>
  <c r="AK22" i="15"/>
  <c r="AI21" i="15"/>
  <c r="AI55" i="15"/>
  <c r="AI25" i="15"/>
  <c r="AQ25" i="15" s="1"/>
  <c r="AM9" i="15"/>
  <c r="AJ9" i="15"/>
  <c r="AH9" i="15"/>
  <c r="AM34" i="15"/>
  <c r="AK34" i="15"/>
  <c r="AL6" i="15"/>
  <c r="AH36" i="15"/>
  <c r="AM30" i="15"/>
  <c r="AL36" i="15"/>
  <c r="AH22" i="15"/>
  <c r="AP22" i="15" s="1"/>
  <c r="AK11" i="15"/>
  <c r="AI30" i="15"/>
  <c r="AQ30" i="15" s="1"/>
  <c r="AJ11" i="15"/>
  <c r="AJ55" i="15"/>
  <c r="AJ25" i="15"/>
  <c r="AI22" i="15"/>
  <c r="AM25" i="15"/>
  <c r="AH18" i="15"/>
  <c r="AM36" i="15"/>
  <c r="AH34" i="15"/>
  <c r="AH11" i="15"/>
  <c r="AI11" i="15"/>
  <c r="AQ11" i="15" s="1"/>
  <c r="AK30" i="15"/>
  <c r="AH55" i="15"/>
  <c r="AP55" i="15" s="1"/>
  <c r="AK25" i="15"/>
  <c r="AH6" i="15"/>
  <c r="AP6" i="15" s="1"/>
  <c r="AH25" i="15"/>
  <c r="AJ34" i="15"/>
  <c r="AJ22" i="15"/>
  <c r="AJ36" i="15"/>
  <c r="AJ30" i="15"/>
  <c r="AL22" i="15"/>
  <c r="AI9" i="15"/>
  <c r="AQ9" i="15" s="1"/>
  <c r="AL55" i="15"/>
  <c r="AH43" i="15"/>
  <c r="AP43" i="15" s="1"/>
  <c r="AL31" i="15"/>
  <c r="AJ48" i="15"/>
  <c r="AL3" i="15"/>
  <c r="AM32" i="15"/>
  <c r="AP32" i="15" s="1"/>
  <c r="AJ31" i="15"/>
  <c r="AH3" i="15"/>
  <c r="AJ32" i="15"/>
  <c r="AI43" i="15"/>
  <c r="AJ3" i="15"/>
  <c r="AJ20" i="15"/>
  <c r="AK9" i="15"/>
  <c r="AJ18" i="15"/>
  <c r="AI10" i="15"/>
  <c r="AQ10" i="15" s="1"/>
  <c r="AL48" i="15"/>
  <c r="AM48" i="15"/>
  <c r="AP48" i="15" s="1"/>
  <c r="AK6" i="15"/>
  <c r="AM31" i="15"/>
  <c r="AK18" i="15"/>
  <c r="AM3" i="15"/>
  <c r="AL44" i="15"/>
  <c r="AK20" i="15"/>
  <c r="AK43" i="15"/>
  <c r="AJ43" i="15"/>
  <c r="AI3" i="15"/>
  <c r="AM18" i="15"/>
  <c r="AL34" i="15"/>
  <c r="AQ34" i="15" s="1"/>
  <c r="AL18" i="15"/>
  <c r="AQ18" i="15" s="1"/>
  <c r="AI31" i="15"/>
  <c r="AK32" i="15"/>
  <c r="AH31" i="15"/>
  <c r="AL43" i="15"/>
  <c r="AH20" i="15"/>
  <c r="AM10" i="15"/>
  <c r="AJ44" i="15"/>
  <c r="AI6" i="15"/>
  <c r="AJ6" i="15"/>
  <c r="AI32" i="15"/>
  <c r="AI44" i="15"/>
  <c r="AJ10" i="15"/>
  <c r="AK44" i="15"/>
  <c r="AM20" i="15"/>
  <c r="AL32" i="15"/>
  <c r="AK10" i="15"/>
  <c r="AM44" i="15"/>
  <c r="AP44" i="15" s="1"/>
  <c r="AH10" i="15"/>
  <c r="AK48" i="15"/>
  <c r="AM50" i="15"/>
  <c r="AL21" i="15"/>
  <c r="AJ21" i="15"/>
  <c r="AH50" i="15"/>
  <c r="AI8" i="15"/>
  <c r="AK50" i="15"/>
  <c r="AL50" i="15"/>
  <c r="AQ50" i="15" s="1"/>
  <c r="AJ50" i="15"/>
  <c r="AK23" i="15"/>
  <c r="AI23" i="15"/>
  <c r="AQ23" i="15" s="1"/>
  <c r="AK53" i="15"/>
  <c r="AM28" i="15"/>
  <c r="AP28" i="15" s="1"/>
  <c r="AL19" i="15"/>
  <c r="AH23" i="15"/>
  <c r="AJ53" i="15"/>
  <c r="AH24" i="15"/>
  <c r="AL5" i="15"/>
  <c r="AQ5" i="15" s="1"/>
  <c r="AL24" i="15"/>
  <c r="AQ24" i="15" s="1"/>
  <c r="AM5" i="15"/>
  <c r="AH5" i="15"/>
  <c r="AK5" i="15"/>
  <c r="AK24" i="15"/>
  <c r="AM24" i="15"/>
  <c r="AJ24" i="15"/>
  <c r="AJ5" i="15"/>
  <c r="AJ19" i="15"/>
  <c r="AM53" i="15"/>
  <c r="AP53" i="15" s="1"/>
  <c r="AM27" i="15"/>
  <c r="AL28" i="15"/>
  <c r="AK19" i="15"/>
  <c r="AJ23" i="15"/>
  <c r="AM23" i="15"/>
  <c r="AI28" i="15"/>
  <c r="AL53" i="15"/>
  <c r="AJ39" i="15"/>
  <c r="AK28" i="15"/>
  <c r="AI53" i="15"/>
  <c r="AM19" i="15"/>
  <c r="AP19" i="15" s="1"/>
  <c r="AJ28" i="15"/>
  <c r="AL27" i="15"/>
  <c r="AH39" i="15"/>
  <c r="AH8" i="15"/>
  <c r="AJ35" i="15"/>
  <c r="AH16" i="15"/>
  <c r="AK35" i="15"/>
  <c r="AL8" i="15"/>
  <c r="AI35" i="15"/>
  <c r="AK16" i="15"/>
  <c r="AL16" i="15"/>
  <c r="AQ16" i="15" s="1"/>
  <c r="AL35" i="15"/>
  <c r="AK26" i="15"/>
  <c r="AH26" i="15"/>
  <c r="AJ8" i="15"/>
  <c r="AM16" i="15"/>
  <c r="AL26" i="15"/>
  <c r="AQ26" i="15" s="1"/>
  <c r="AM8" i="15"/>
  <c r="AM26" i="15"/>
  <c r="AJ26" i="15"/>
  <c r="AM35" i="15"/>
  <c r="AP35" i="15" s="1"/>
  <c r="AI19" i="15"/>
  <c r="AI49" i="15"/>
  <c r="AI27" i="15"/>
  <c r="AL39" i="15"/>
  <c r="AQ39" i="15" s="1"/>
  <c r="AL49" i="15"/>
  <c r="AH27" i="15"/>
  <c r="AK39" i="15"/>
  <c r="AK12" i="15"/>
  <c r="AM39" i="15"/>
  <c r="AH33" i="15"/>
  <c r="AK27" i="15"/>
  <c r="AM12" i="15"/>
  <c r="AL12" i="15"/>
  <c r="AQ12" i="15" s="1"/>
  <c r="AJ49" i="15"/>
  <c r="AJ29" i="15"/>
  <c r="AK33" i="15"/>
  <c r="AH14" i="15"/>
  <c r="AP14" i="15" s="1"/>
  <c r="AJ14" i="15"/>
  <c r="AM52" i="15"/>
  <c r="AP52" i="15" s="1"/>
  <c r="AJ4" i="15"/>
  <c r="AI14" i="15"/>
  <c r="AL42" i="15"/>
  <c r="AQ42" i="15" s="1"/>
  <c r="AI52" i="15"/>
  <c r="AL52" i="15"/>
  <c r="AL4" i="15"/>
  <c r="AK14" i="15"/>
  <c r="AI4" i="15"/>
  <c r="AI15" i="15"/>
  <c r="AJ15" i="15"/>
  <c r="AM4" i="15"/>
  <c r="AP4" i="15" s="1"/>
  <c r="AK52" i="15"/>
  <c r="AL14" i="15"/>
  <c r="AM15" i="15"/>
  <c r="AK4" i="15"/>
  <c r="AL15" i="15"/>
  <c r="AJ52" i="15"/>
  <c r="AH15" i="15"/>
  <c r="AJ37" i="15"/>
  <c r="AK46" i="15"/>
  <c r="AM29" i="15"/>
  <c r="AM37" i="15"/>
  <c r="AI37" i="15"/>
  <c r="AJ46" i="15"/>
  <c r="AH49" i="15"/>
  <c r="AP49" i="15" s="1"/>
  <c r="AH37" i="15"/>
  <c r="AK49" i="15"/>
  <c r="AH46" i="15"/>
  <c r="AJ42" i="15"/>
  <c r="AL40" i="15"/>
  <c r="AL33" i="15"/>
  <c r="AQ33" i="15" s="1"/>
  <c r="AH12" i="15"/>
  <c r="AM42" i="15"/>
  <c r="AK40" i="15"/>
  <c r="AH42" i="15"/>
  <c r="AL29" i="15"/>
  <c r="AQ29" i="15" s="1"/>
  <c r="AI46" i="15"/>
  <c r="AQ46" i="15" s="1"/>
  <c r="AL37" i="15"/>
  <c r="AJ33" i="15"/>
  <c r="AK42" i="15"/>
  <c r="AJ40" i="15"/>
  <c r="AH29" i="15"/>
  <c r="AK29" i="15"/>
  <c r="AH40" i="15"/>
  <c r="AP40" i="15" s="1"/>
  <c r="AM33" i="15"/>
  <c r="AI40" i="15"/>
  <c r="AJ12" i="15"/>
  <c r="AM46" i="15"/>
  <c r="DU37" i="6"/>
  <c r="DU39" i="6"/>
  <c r="DU34" i="6"/>
  <c r="DO21" i="6"/>
  <c r="DQ21" i="6" s="1"/>
  <c r="DO26" i="6"/>
  <c r="DQ26" i="6" s="1"/>
  <c r="F49" i="17"/>
  <c r="S61" i="17"/>
  <c r="S62" i="17"/>
  <c r="S19" i="17"/>
  <c r="S26" i="17"/>
  <c r="S32" i="17"/>
  <c r="S24" i="17"/>
  <c r="S31" i="17"/>
  <c r="S17" i="17"/>
  <c r="S52" i="17"/>
  <c r="S18" i="17"/>
  <c r="S47" i="17"/>
  <c r="S45" i="17"/>
  <c r="S39" i="17"/>
  <c r="S21" i="17"/>
  <c r="S60" i="17"/>
  <c r="S16" i="17"/>
  <c r="S49" i="17"/>
  <c r="S43" i="17"/>
  <c r="S48" i="17"/>
  <c r="S56" i="17"/>
  <c r="S65" i="17"/>
  <c r="S64" i="17"/>
  <c r="S29" i="17"/>
  <c r="S23" i="17"/>
  <c r="S41" i="17"/>
  <c r="S51" i="17"/>
  <c r="S58" i="17"/>
  <c r="S27" i="17"/>
  <c r="V71" i="17"/>
  <c r="E35" i="18" s="1"/>
  <c r="R15" i="17"/>
  <c r="S20" i="17"/>
  <c r="S50" i="17"/>
  <c r="S36" i="17"/>
  <c r="S44" i="17"/>
  <c r="S59" i="17"/>
  <c r="S66" i="17"/>
  <c r="S25" i="17"/>
  <c r="S30" i="17"/>
  <c r="S40" i="17"/>
  <c r="S28" i="17"/>
  <c r="S33" i="17"/>
  <c r="S34" i="17"/>
  <c r="S63" i="17"/>
  <c r="K70" i="17"/>
  <c r="K71" i="17" s="1"/>
  <c r="R13" i="39"/>
  <c r="S55" i="17"/>
  <c r="S37" i="17"/>
  <c r="S22" i="17"/>
  <c r="S53" i="17"/>
  <c r="S38" i="17"/>
  <c r="S35" i="17"/>
  <c r="S42" i="17"/>
  <c r="S54" i="17"/>
  <c r="S46" i="17"/>
  <c r="S57" i="17"/>
  <c r="AV51" i="15"/>
  <c r="AV39" i="15"/>
  <c r="AV48" i="15"/>
  <c r="AV32" i="15"/>
  <c r="AV25" i="15"/>
  <c r="AV12" i="15"/>
  <c r="AV24" i="15"/>
  <c r="AQ7" i="15"/>
  <c r="AV22" i="15"/>
  <c r="AV47" i="15"/>
  <c r="AV28" i="15"/>
  <c r="AV45" i="15"/>
  <c r="AV29" i="15"/>
  <c r="AV50" i="15"/>
  <c r="AV30" i="15"/>
  <c r="AV36" i="15"/>
  <c r="AV53" i="15"/>
  <c r="AV26" i="15"/>
  <c r="AV27" i="15"/>
  <c r="AV52" i="15"/>
  <c r="AV49" i="15"/>
  <c r="AV14" i="15"/>
  <c r="AV34" i="15"/>
  <c r="AV11" i="15"/>
  <c r="AV37" i="15"/>
  <c r="AV33" i="15"/>
  <c r="AV41" i="15"/>
  <c r="AV40" i="15"/>
  <c r="AV13" i="15"/>
  <c r="AV35" i="15"/>
  <c r="AP7" i="15"/>
  <c r="E5" i="36" l="1"/>
  <c r="R71" i="17"/>
  <c r="E55" i="36"/>
  <c r="AP54" i="15"/>
  <c r="AP13" i="15"/>
  <c r="AQ17" i="15"/>
  <c r="AR18" i="15" s="1"/>
  <c r="AQ47" i="15"/>
  <c r="AQ38" i="15"/>
  <c r="AQ45" i="15"/>
  <c r="AP11" i="15"/>
  <c r="AP30" i="15"/>
  <c r="AP51" i="15"/>
  <c r="AQ41" i="15"/>
  <c r="AP41" i="15"/>
  <c r="AP18" i="15"/>
  <c r="AP34" i="15"/>
  <c r="AQ48" i="15"/>
  <c r="AQ31" i="15"/>
  <c r="AR31" i="15" s="1"/>
  <c r="AP36" i="15"/>
  <c r="AQ55" i="15"/>
  <c r="AQ36" i="15"/>
  <c r="AP5" i="15"/>
  <c r="AQ21" i="15"/>
  <c r="AP9" i="15"/>
  <c r="AP10" i="15"/>
  <c r="AQ32" i="15"/>
  <c r="AQ22" i="15"/>
  <c r="AP12" i="15"/>
  <c r="AQ6" i="15"/>
  <c r="AR7" i="15" s="1"/>
  <c r="AP31" i="15"/>
  <c r="AQ8" i="15"/>
  <c r="AR10" i="15" s="1"/>
  <c r="AQ44" i="15"/>
  <c r="AP3" i="15"/>
  <c r="AP25" i="15"/>
  <c r="AP50" i="15"/>
  <c r="AQ43" i="15"/>
  <c r="AP20" i="15"/>
  <c r="AQ3" i="15"/>
  <c r="AP23" i="15"/>
  <c r="AP16" i="15"/>
  <c r="AQ19" i="15"/>
  <c r="AP24" i="15"/>
  <c r="AP27" i="15"/>
  <c r="AQ37" i="15"/>
  <c r="AQ53" i="15"/>
  <c r="AQ28" i="15"/>
  <c r="AR30" i="15" s="1"/>
  <c r="AQ49" i="15"/>
  <c r="AR51" i="15" s="1"/>
  <c r="AP33" i="15"/>
  <c r="AP8" i="15"/>
  <c r="AQ27" i="15"/>
  <c r="AR27" i="15" s="1"/>
  <c r="AP39" i="15"/>
  <c r="AQ35" i="15"/>
  <c r="AP29" i="15"/>
  <c r="AP26" i="15"/>
  <c r="AP15" i="15"/>
  <c r="AQ4" i="15"/>
  <c r="AQ52" i="15"/>
  <c r="AQ40" i="15"/>
  <c r="AQ14" i="15"/>
  <c r="AR14" i="15" s="1"/>
  <c r="AP46" i="15"/>
  <c r="AQ15" i="15"/>
  <c r="AP37" i="15"/>
  <c r="AP42" i="15"/>
  <c r="E4" i="36"/>
  <c r="DO11" i="6"/>
  <c r="DQ11" i="6" s="1"/>
  <c r="F34" i="17"/>
  <c r="DO25" i="6"/>
  <c r="DQ25" i="6" s="1"/>
  <c r="F48" i="17"/>
  <c r="DO27" i="6"/>
  <c r="DQ27" i="6" s="1"/>
  <c r="F50" i="17"/>
  <c r="DO12" i="6"/>
  <c r="DQ12" i="6" s="1"/>
  <c r="F35" i="17"/>
  <c r="DO22" i="6"/>
  <c r="DQ22" i="6" s="1"/>
  <c r="F45" i="17"/>
  <c r="S15" i="17"/>
  <c r="E32" i="18"/>
  <c r="R70" i="17"/>
  <c r="AR13" i="15"/>
  <c r="AR25" i="15"/>
  <c r="AR26" i="15"/>
  <c r="AR12" i="15"/>
  <c r="AR11" i="15"/>
  <c r="F55" i="36" l="1"/>
  <c r="S71" i="17"/>
  <c r="AR48" i="15"/>
  <c r="AR17" i="15"/>
  <c r="AR47" i="15"/>
  <c r="AR46" i="15"/>
  <c r="AR41" i="15"/>
  <c r="AR33" i="15"/>
  <c r="AR32" i="15"/>
  <c r="AR34" i="15"/>
  <c r="AR55" i="15"/>
  <c r="AR36" i="15"/>
  <c r="AR38" i="15"/>
  <c r="AR44" i="15"/>
  <c r="AR23" i="15"/>
  <c r="AR22" i="15"/>
  <c r="AR24" i="15"/>
  <c r="AR21" i="15"/>
  <c r="AR8" i="15"/>
  <c r="AR39" i="15"/>
  <c r="AR9" i="15"/>
  <c r="AR45" i="15"/>
  <c r="AR43" i="15"/>
  <c r="AR5" i="15"/>
  <c r="AR35" i="15"/>
  <c r="AR37" i="15"/>
  <c r="AR50" i="15"/>
  <c r="AR49" i="15"/>
  <c r="AR19" i="15"/>
  <c r="AR20" i="15"/>
  <c r="AR54" i="15"/>
  <c r="AR29" i="15"/>
  <c r="AR28" i="15"/>
  <c r="AR6" i="15"/>
  <c r="AR52" i="15"/>
  <c r="AR53" i="15"/>
  <c r="AR42" i="15"/>
  <c r="AR40" i="15"/>
  <c r="AR16" i="15"/>
  <c r="AR15" i="15"/>
  <c r="DO14" i="6"/>
  <c r="DQ14" i="6" s="1"/>
  <c r="F37" i="17"/>
  <c r="F32" i="17"/>
  <c r="G55" i="36"/>
  <c r="H55" i="36" s="1"/>
  <c r="E33" i="18"/>
  <c r="S70" i="17"/>
  <c r="D33" i="18" s="1"/>
  <c r="D32" i="18"/>
  <c r="F33" i="17" l="1"/>
  <c r="DO13" i="6"/>
  <c r="DQ13" i="6" s="1"/>
  <c r="F36" i="17"/>
  <c r="DO9" i="6"/>
  <c r="F38" i="17"/>
  <c r="C12" i="37"/>
  <c r="DQ9" i="6" l="1"/>
  <c r="DO15" i="6"/>
  <c r="DQ15" i="6" s="1"/>
  <c r="DO10" i="6"/>
  <c r="DQ10" i="6" l="1"/>
  <c r="B21" i="26" l="1"/>
  <c r="B25" i="26" s="1"/>
  <c r="H7" i="11" s="1"/>
  <c r="B22" i="26" s="1"/>
  <c r="B24" i="26" s="1"/>
  <c r="B43" i="26" s="1"/>
  <c r="C43" i="26" l="1"/>
  <c r="D15" i="35"/>
  <c r="I4" i="17"/>
  <c r="B5" i="39" s="1"/>
  <c r="J4" i="17" l="1"/>
  <c r="E21" i="26"/>
  <c r="E25" i="26" s="1"/>
  <c r="H21" i="11" s="1"/>
  <c r="E22" i="26" s="1"/>
  <c r="E24" i="26" s="1"/>
  <c r="B45" i="26" s="1"/>
  <c r="D17" i="35" l="1"/>
  <c r="I6" i="17"/>
  <c r="B7" i="39" s="1"/>
  <c r="B14" i="39" s="1"/>
  <c r="C7" i="37"/>
  <c r="J6" i="17" l="1"/>
  <c r="F21" i="26" l="1"/>
  <c r="H21" i="26" l="1"/>
  <c r="H24" i="26" s="1"/>
  <c r="I16" i="11" s="1"/>
  <c r="F25" i="26"/>
  <c r="H25" i="26" l="1"/>
  <c r="J16" i="11" s="1"/>
  <c r="J27" i="11"/>
  <c r="F22" i="26" s="1"/>
  <c r="C21" i="26"/>
  <c r="C25" i="26" s="1"/>
  <c r="H11" i="11" s="1"/>
  <c r="C22" i="26" s="1"/>
  <c r="C24" i="26" s="1"/>
  <c r="B44" i="26" s="1"/>
  <c r="H22" i="26" l="1"/>
  <c r="F24" i="26"/>
  <c r="C16" i="11"/>
  <c r="B27" i="26"/>
  <c r="B26" i="11" s="1"/>
  <c r="C15" i="37"/>
  <c r="I5" i="17"/>
  <c r="D16" i="35"/>
  <c r="C44" i="26"/>
  <c r="F4" i="36"/>
  <c r="G4" i="36" s="1"/>
  <c r="H4" i="36" s="1"/>
  <c r="F47" i="36"/>
  <c r="F24" i="36"/>
  <c r="F34" i="36"/>
  <c r="F20" i="36"/>
  <c r="F40" i="36"/>
  <c r="F39" i="36"/>
  <c r="F32" i="36"/>
  <c r="F33" i="36"/>
  <c r="F44" i="36"/>
  <c r="F36" i="36"/>
  <c r="F37" i="36"/>
  <c r="F48" i="36"/>
  <c r="F28" i="36"/>
  <c r="F14" i="36"/>
  <c r="F31" i="36"/>
  <c r="F8" i="36"/>
  <c r="F53" i="36"/>
  <c r="F27" i="36"/>
  <c r="F7" i="36"/>
  <c r="F42" i="36"/>
  <c r="F41" i="36"/>
  <c r="F9" i="36"/>
  <c r="F12" i="36"/>
  <c r="F45" i="36"/>
  <c r="F25" i="36"/>
  <c r="F50" i="36"/>
  <c r="F5" i="36"/>
  <c r="G5" i="36" s="1"/>
  <c r="H5" i="36" s="1"/>
  <c r="F52" i="36"/>
  <c r="F15" i="36"/>
  <c r="F17" i="36"/>
  <c r="F54" i="36"/>
  <c r="F26" i="36"/>
  <c r="F23" i="36"/>
  <c r="F43" i="36"/>
  <c r="F49" i="36"/>
  <c r="F18" i="36"/>
  <c r="F16" i="36"/>
  <c r="F10" i="36"/>
  <c r="F35" i="36"/>
  <c r="F19" i="36"/>
  <c r="F30" i="36"/>
  <c r="F29" i="36"/>
  <c r="F6" i="36"/>
  <c r="F21" i="36"/>
  <c r="F13" i="36"/>
  <c r="F38" i="36"/>
  <c r="F22" i="36"/>
  <c r="F11" i="36"/>
  <c r="F51" i="36"/>
  <c r="F46" i="36"/>
  <c r="E14" i="36"/>
  <c r="E32" i="36"/>
  <c r="E17" i="36"/>
  <c r="E50" i="36"/>
  <c r="E23" i="36"/>
  <c r="E45" i="36"/>
  <c r="E16" i="36"/>
  <c r="E40" i="36"/>
  <c r="E38" i="36"/>
  <c r="E43" i="36"/>
  <c r="E6" i="36"/>
  <c r="E25" i="36"/>
  <c r="E36" i="36"/>
  <c r="E13" i="36"/>
  <c r="E12" i="36"/>
  <c r="E54" i="36"/>
  <c r="E27" i="36"/>
  <c r="E8" i="36"/>
  <c r="E33" i="36"/>
  <c r="E9" i="36"/>
  <c r="E46" i="36"/>
  <c r="E29" i="36"/>
  <c r="E39" i="36"/>
  <c r="E48" i="36"/>
  <c r="E51" i="36"/>
  <c r="E44" i="36"/>
  <c r="E26" i="36"/>
  <c r="E41" i="36"/>
  <c r="E18" i="36"/>
  <c r="E11" i="36"/>
  <c r="E19" i="36"/>
  <c r="E24" i="36"/>
  <c r="E49" i="36"/>
  <c r="E30" i="36"/>
  <c r="E31" i="36"/>
  <c r="E37" i="36"/>
  <c r="E15" i="36"/>
  <c r="E21" i="36"/>
  <c r="E42" i="36"/>
  <c r="E10" i="36"/>
  <c r="E34" i="36"/>
  <c r="E22" i="36"/>
  <c r="E28" i="36"/>
  <c r="E53" i="36"/>
  <c r="E47" i="36"/>
  <c r="E35" i="36"/>
  <c r="E52" i="36"/>
  <c r="E7" i="36"/>
  <c r="E20" i="36"/>
  <c r="B47" i="26" l="1"/>
  <c r="B46" i="26"/>
  <c r="J5" i="17"/>
  <c r="B6" i="39"/>
  <c r="G11" i="36"/>
  <c r="H11" i="36" s="1"/>
  <c r="G34" i="36"/>
  <c r="H34" i="36" s="1"/>
  <c r="G28" i="36"/>
  <c r="H28" i="36" s="1"/>
  <c r="G9" i="36"/>
  <c r="H9" i="36" s="1"/>
  <c r="G45" i="36"/>
  <c r="H45" i="36" s="1"/>
  <c r="G24" i="36"/>
  <c r="H24" i="36" s="1"/>
  <c r="G53" i="36"/>
  <c r="H53" i="36" s="1"/>
  <c r="G47" i="36"/>
  <c r="H47" i="36" s="1"/>
  <c r="G25" i="36"/>
  <c r="H25" i="36" s="1"/>
  <c r="G44" i="36"/>
  <c r="H44" i="36" s="1"/>
  <c r="G30" i="36"/>
  <c r="H30" i="36" s="1"/>
  <c r="G51" i="36"/>
  <c r="H51" i="36" s="1"/>
  <c r="G23" i="36"/>
  <c r="H23" i="36" s="1"/>
  <c r="G37" i="36"/>
  <c r="H37" i="36" s="1"/>
  <c r="G8" i="36"/>
  <c r="H8" i="36" s="1"/>
  <c r="G26" i="36"/>
  <c r="H26" i="36" s="1"/>
  <c r="G33" i="36"/>
  <c r="H33" i="36" s="1"/>
  <c r="G50" i="36"/>
  <c r="H50" i="36" s="1"/>
  <c r="G49" i="36"/>
  <c r="H49" i="36" s="1"/>
  <c r="G46" i="36"/>
  <c r="H46" i="36" s="1"/>
  <c r="G36" i="36"/>
  <c r="H36" i="36" s="1"/>
  <c r="G43" i="36"/>
  <c r="H43" i="36" s="1"/>
  <c r="G27" i="36"/>
  <c r="H27" i="36" s="1"/>
  <c r="G29" i="36"/>
  <c r="H29" i="36" s="1"/>
  <c r="G19" i="36"/>
  <c r="H19" i="36" s="1"/>
  <c r="G7" i="36"/>
  <c r="H7" i="36" s="1"/>
  <c r="G18" i="36"/>
  <c r="H18" i="36" s="1"/>
  <c r="G20" i="36"/>
  <c r="H20" i="36" s="1"/>
  <c r="G48" i="36"/>
  <c r="H48" i="36" s="1"/>
  <c r="G52" i="36"/>
  <c r="H52" i="36" s="1"/>
  <c r="G42" i="36"/>
  <c r="H42" i="36" s="1"/>
  <c r="G21" i="36"/>
  <c r="H21" i="36" s="1"/>
  <c r="G31" i="36"/>
  <c r="H31" i="36" s="1"/>
  <c r="G6" i="36"/>
  <c r="H6" i="36" s="1"/>
  <c r="G17" i="36"/>
  <c r="H17" i="36" s="1"/>
  <c r="G22" i="36"/>
  <c r="H22" i="36" s="1"/>
  <c r="G32" i="36"/>
  <c r="H32" i="36" s="1"/>
  <c r="G38" i="36"/>
  <c r="H38" i="36" s="1"/>
  <c r="G14" i="36"/>
  <c r="H14" i="36" s="1"/>
  <c r="G10" i="36"/>
  <c r="H10" i="36" s="1"/>
  <c r="G54" i="36"/>
  <c r="H54" i="36" s="1"/>
  <c r="G39" i="36"/>
  <c r="H39" i="36" s="1"/>
  <c r="G12" i="36"/>
  <c r="H12" i="36" s="1"/>
  <c r="G35" i="36"/>
  <c r="H35" i="36" s="1"/>
  <c r="G15" i="36"/>
  <c r="H15" i="36" s="1"/>
  <c r="G41" i="36"/>
  <c r="H41" i="36" s="1"/>
  <c r="G40" i="36"/>
  <c r="H40" i="36" s="1"/>
  <c r="G16" i="36"/>
  <c r="H16" i="36" s="1"/>
  <c r="G13" i="36"/>
  <c r="H13" i="36" s="1"/>
  <c r="C46" i="26" l="1"/>
  <c r="C8" i="37"/>
  <c r="D18" i="35"/>
  <c r="C47" i="26"/>
  <c r="C11" i="37"/>
  <c r="I7" i="17"/>
  <c r="M44" i="17"/>
  <c r="T44" i="17" s="1"/>
  <c r="M47" i="17"/>
  <c r="M62" i="17"/>
  <c r="M58" i="17"/>
  <c r="M45" i="17"/>
  <c r="T45" i="17" s="1"/>
  <c r="M50" i="17"/>
  <c r="M57" i="17"/>
  <c r="T57" i="17" s="1"/>
  <c r="M59" i="17"/>
  <c r="M60" i="17"/>
  <c r="M67" i="17"/>
  <c r="T67" i="17" s="1"/>
  <c r="M56" i="17"/>
  <c r="M48" i="17"/>
  <c r="M49" i="17"/>
  <c r="M46" i="17"/>
  <c r="M61" i="17"/>
  <c r="B11" i="39"/>
  <c r="J7" i="17" l="1"/>
  <c r="L4" i="17" s="1"/>
  <c r="B8" i="39"/>
  <c r="X32" i="17"/>
  <c r="X26" i="17"/>
  <c r="X56" i="17"/>
  <c r="X65" i="17"/>
  <c r="X49" i="17"/>
  <c r="X67" i="17"/>
  <c r="X24" i="17"/>
  <c r="X58" i="17"/>
  <c r="X62" i="17"/>
  <c r="X23" i="17"/>
  <c r="X57" i="17"/>
  <c r="X30" i="17"/>
  <c r="X60" i="17"/>
  <c r="X59" i="17"/>
  <c r="X51" i="17"/>
  <c r="X31" i="17"/>
  <c r="X63" i="17"/>
  <c r="X45" i="17"/>
  <c r="X22" i="17"/>
  <c r="X36" i="17"/>
  <c r="X41" i="17"/>
  <c r="X34" i="17"/>
  <c r="X44" i="17"/>
  <c r="X18" i="17"/>
  <c r="X66" i="17"/>
  <c r="X40" i="17"/>
  <c r="X47" i="17"/>
  <c r="X43" i="17"/>
  <c r="X16" i="17"/>
  <c r="X37" i="17"/>
  <c r="X25" i="17"/>
  <c r="X53" i="17"/>
  <c r="X54" i="17"/>
  <c r="X38" i="17"/>
  <c r="X52" i="17"/>
  <c r="X20" i="17"/>
  <c r="X42" i="17"/>
  <c r="X55" i="17"/>
  <c r="X46" i="17"/>
  <c r="X61" i="17"/>
  <c r="X15" i="17"/>
  <c r="X71" i="17" s="1"/>
  <c r="X48" i="17"/>
  <c r="X33" i="17"/>
  <c r="X64" i="17"/>
  <c r="X29" i="17"/>
  <c r="X28" i="17"/>
  <c r="X27" i="17"/>
  <c r="X21" i="17"/>
  <c r="X35" i="17"/>
  <c r="X19" i="17"/>
  <c r="X17" i="17"/>
  <c r="X50" i="17"/>
  <c r="X39" i="17"/>
  <c r="G56" i="26"/>
  <c r="G55" i="26"/>
  <c r="G57" i="26"/>
  <c r="F62" i="26" l="1"/>
  <c r="H62" i="26" s="1"/>
  <c r="X72" i="17"/>
  <c r="C4" i="37" s="1"/>
  <c r="E30" i="18"/>
  <c r="X70" i="17"/>
  <c r="B15" i="39"/>
  <c r="B16" i="39" s="1"/>
  <c r="B12" i="39"/>
  <c r="B13" i="39" s="1"/>
  <c r="M47" i="39"/>
  <c r="N60" i="39"/>
  <c r="M15" i="39"/>
  <c r="N59" i="39"/>
  <c r="M49" i="39"/>
  <c r="M26" i="39"/>
  <c r="M46" i="39"/>
  <c r="N51" i="39"/>
  <c r="N23" i="39"/>
  <c r="N46" i="39"/>
  <c r="M34" i="39"/>
  <c r="M19" i="39"/>
  <c r="N54" i="39"/>
  <c r="N53" i="39"/>
  <c r="M18" i="39"/>
  <c r="M41" i="39"/>
  <c r="N56" i="39"/>
  <c r="N37" i="39"/>
  <c r="M60" i="39"/>
  <c r="M21" i="39"/>
  <c r="N33" i="39"/>
  <c r="N18" i="39"/>
  <c r="M32" i="39"/>
  <c r="M54" i="39"/>
  <c r="M30" i="39"/>
  <c r="N15" i="39"/>
  <c r="N52" i="39"/>
  <c r="M27" i="39"/>
  <c r="N19" i="39"/>
  <c r="N63" i="39"/>
  <c r="N50" i="39"/>
  <c r="N61" i="39"/>
  <c r="N40" i="39"/>
  <c r="N17" i="39"/>
  <c r="N16" i="39"/>
  <c r="M55" i="39"/>
  <c r="N42" i="39"/>
  <c r="M23" i="39"/>
  <c r="M17" i="39"/>
  <c r="M29" i="39"/>
  <c r="M13" i="39"/>
  <c r="N31" i="39"/>
  <c r="N58" i="39"/>
  <c r="M45" i="39"/>
  <c r="M24" i="39"/>
  <c r="M28" i="39"/>
  <c r="N30" i="39"/>
  <c r="M50" i="39"/>
  <c r="N20" i="39"/>
  <c r="M35" i="39"/>
  <c r="M59" i="39"/>
  <c r="N35" i="39"/>
  <c r="M20" i="39"/>
  <c r="M16" i="39"/>
  <c r="M53" i="39"/>
  <c r="N13" i="39"/>
  <c r="M31" i="39"/>
  <c r="N34" i="39"/>
  <c r="N26" i="39"/>
  <c r="N47" i="39"/>
  <c r="M62" i="39"/>
  <c r="N49" i="39"/>
  <c r="M42" i="39"/>
  <c r="N55" i="39"/>
  <c r="N27" i="39"/>
  <c r="N48" i="39"/>
  <c r="M61" i="39"/>
  <c r="N28" i="39"/>
  <c r="N41" i="39"/>
  <c r="M22" i="39"/>
  <c r="N29" i="39"/>
  <c r="N14" i="39"/>
  <c r="M39" i="39"/>
  <c r="M36" i="39"/>
  <c r="N38" i="39"/>
  <c r="N36" i="39"/>
  <c r="N21" i="39"/>
  <c r="N45" i="39"/>
  <c r="M56" i="39"/>
  <c r="M44" i="39"/>
  <c r="N62" i="39"/>
  <c r="N44" i="39"/>
  <c r="M48" i="39"/>
  <c r="M25" i="39"/>
  <c r="N57" i="39"/>
  <c r="M40" i="39"/>
  <c r="M57" i="39"/>
  <c r="N24" i="39"/>
  <c r="N43" i="39"/>
  <c r="M33" i="39"/>
  <c r="M14" i="39"/>
  <c r="N22" i="39"/>
  <c r="M52" i="39"/>
  <c r="N39" i="39"/>
  <c r="M64" i="39"/>
  <c r="M43" i="39"/>
  <c r="M51" i="39"/>
  <c r="N25" i="39"/>
  <c r="N32" i="39"/>
  <c r="N64" i="39"/>
  <c r="M63" i="39"/>
  <c r="M37" i="39"/>
  <c r="M58" i="39"/>
  <c r="M38" i="39"/>
  <c r="F31" i="17"/>
  <c r="F39" i="17"/>
  <c r="F28" i="17"/>
  <c r="F27" i="17"/>
  <c r="F30" i="17"/>
  <c r="F63" i="17"/>
  <c r="DO6" i="6"/>
  <c r="F29" i="17"/>
  <c r="F22" i="17"/>
  <c r="E70" i="17"/>
  <c r="DO5" i="6"/>
  <c r="DO20" i="6"/>
  <c r="DQ20" i="6" s="1"/>
  <c r="DO8" i="6"/>
  <c r="F52" i="17"/>
  <c r="DO18" i="6"/>
  <c r="DQ18" i="6" s="1"/>
  <c r="F24" i="17"/>
  <c r="F26" i="17"/>
  <c r="F42" i="17"/>
  <c r="DO17" i="6"/>
  <c r="DQ17" i="6" s="1"/>
  <c r="DO7" i="6"/>
  <c r="F64" i="17"/>
  <c r="DO30" i="6"/>
  <c r="DQ30" i="6" s="1"/>
  <c r="F41" i="17"/>
  <c r="DO42" i="6"/>
  <c r="DQ42" i="6" s="1"/>
  <c r="DS42" i="6" s="1"/>
  <c r="F53" i="17"/>
  <c r="DO4" i="6"/>
  <c r="DO53" i="6"/>
  <c r="DQ53" i="6" s="1"/>
  <c r="DS53" i="6" s="1"/>
  <c r="DO41" i="6"/>
  <c r="DQ41" i="6" s="1"/>
  <c r="DS41" i="6" s="1"/>
  <c r="DO29" i="6"/>
  <c r="DQ29" i="6" s="1"/>
  <c r="F40" i="17"/>
  <c r="F25" i="17"/>
  <c r="F51" i="17"/>
  <c r="F54" i="17"/>
  <c r="DO32" i="6"/>
  <c r="DQ32" i="6" s="1"/>
  <c r="DS32" i="6" s="1"/>
  <c r="F43" i="17"/>
  <c r="DO54" i="6"/>
  <c r="DQ54" i="6" s="1"/>
  <c r="DS54" i="6" s="1"/>
  <c r="F65" i="17"/>
  <c r="F66" i="17"/>
  <c r="DO43" i="6"/>
  <c r="DQ43" i="6" s="1"/>
  <c r="DS43" i="6" s="1"/>
  <c r="DO31" i="6"/>
  <c r="DQ31" i="6" s="1"/>
  <c r="DS31" i="6" s="1"/>
  <c r="DO19" i="6"/>
  <c r="DQ19" i="6" s="1"/>
  <c r="DO55" i="6"/>
  <c r="DQ55" i="6" s="1"/>
  <c r="DS55" i="6" s="1"/>
  <c r="DO44" i="6"/>
  <c r="DQ44" i="6" s="1"/>
  <c r="DS44" i="6" s="1"/>
  <c r="F55" i="17"/>
  <c r="DO52" i="6"/>
  <c r="DQ52" i="6" s="1"/>
  <c r="DS52" i="6" s="1"/>
  <c r="DO40" i="6"/>
  <c r="DQ40" i="6" s="1"/>
  <c r="DS40" i="6" s="1"/>
  <c r="DO28" i="6"/>
  <c r="DQ28" i="6" s="1"/>
  <c r="DO16" i="6"/>
  <c r="DQ16" i="6" s="1"/>
  <c r="F23" i="17"/>
  <c r="DP48" i="6" l="1"/>
  <c r="DT48" i="6" s="1"/>
  <c r="N59" i="17" s="1"/>
  <c r="DP46" i="6"/>
  <c r="DT46" i="6" s="1"/>
  <c r="N57" i="17" s="1"/>
  <c r="U57" i="17" s="1"/>
  <c r="DP36" i="6"/>
  <c r="DT36" i="6" s="1"/>
  <c r="N47" i="17" s="1"/>
  <c r="DP35" i="6"/>
  <c r="DT35" i="6" s="1"/>
  <c r="N46" i="17" s="1"/>
  <c r="F63" i="26"/>
  <c r="I63" i="26" s="1"/>
  <c r="I62" i="26"/>
  <c r="D12" i="35"/>
  <c r="D13" i="35" s="1"/>
  <c r="D30" i="18"/>
  <c r="M63" i="17"/>
  <c r="M65" i="17"/>
  <c r="M52" i="17"/>
  <c r="M51" i="17"/>
  <c r="M55" i="17"/>
  <c r="M64" i="17"/>
  <c r="M66" i="17"/>
  <c r="M42" i="17"/>
  <c r="M53" i="17"/>
  <c r="M43" i="17"/>
  <c r="M54" i="17"/>
  <c r="DP33" i="6"/>
  <c r="DT33" i="6" s="1"/>
  <c r="DP34" i="6"/>
  <c r="DT34" i="6" s="1"/>
  <c r="DP45" i="6"/>
  <c r="DT45" i="6" s="1"/>
  <c r="N56" i="17" s="1"/>
  <c r="DP56" i="6"/>
  <c r="DT56" i="6" s="1"/>
  <c r="DX56" i="6" s="1"/>
  <c r="DQ4" i="6"/>
  <c r="DQ6" i="6"/>
  <c r="DQ7" i="6"/>
  <c r="DQ5" i="6"/>
  <c r="DQ8" i="6"/>
  <c r="DP23" i="6"/>
  <c r="DP22" i="6"/>
  <c r="DU40" i="6"/>
  <c r="DU52" i="6"/>
  <c r="DU54" i="6"/>
  <c r="DU41" i="6"/>
  <c r="DU43" i="6"/>
  <c r="DU44" i="6"/>
  <c r="DU53" i="6"/>
  <c r="DU55" i="6"/>
  <c r="DU32" i="6"/>
  <c r="DU31" i="6"/>
  <c r="DU42" i="6"/>
  <c r="DP38" i="6"/>
  <c r="DT38" i="6" s="1"/>
  <c r="N49" i="17" s="1"/>
  <c r="DP49" i="6"/>
  <c r="DT49" i="6" s="1"/>
  <c r="N60" i="17" s="1"/>
  <c r="DP37" i="6"/>
  <c r="DT37" i="6" s="1"/>
  <c r="N48" i="17" s="1"/>
  <c r="DP50" i="6"/>
  <c r="DT50" i="6" s="1"/>
  <c r="N61" i="17" s="1"/>
  <c r="DP26" i="6"/>
  <c r="DP11" i="6"/>
  <c r="DP13" i="6"/>
  <c r="DP10" i="6"/>
  <c r="DP32" i="6"/>
  <c r="DT32" i="6" s="1"/>
  <c r="N43" i="17" s="1"/>
  <c r="DP21" i="6"/>
  <c r="DP14" i="6"/>
  <c r="DP53" i="6"/>
  <c r="DT53" i="6" s="1"/>
  <c r="N64" i="17" s="1"/>
  <c r="DP12" i="6"/>
  <c r="DP27" i="6"/>
  <c r="DP47" i="6"/>
  <c r="DT47" i="6" s="1"/>
  <c r="N58" i="17" s="1"/>
  <c r="DP6" i="6"/>
  <c r="DP25" i="6"/>
  <c r="DP43" i="6"/>
  <c r="DT43" i="6" s="1"/>
  <c r="N54" i="17" s="1"/>
  <c r="DP9" i="6"/>
  <c r="DP39" i="6"/>
  <c r="DT39" i="6" s="1"/>
  <c r="N50" i="17" s="1"/>
  <c r="DP5" i="6"/>
  <c r="DP24" i="6"/>
  <c r="DP52" i="6"/>
  <c r="DT52" i="6" s="1"/>
  <c r="N63" i="17" s="1"/>
  <c r="DP51" i="6"/>
  <c r="DT51" i="6" s="1"/>
  <c r="N62" i="17" s="1"/>
  <c r="DP29" i="6"/>
  <c r="DP7" i="6"/>
  <c r="DP16" i="6"/>
  <c r="DP15" i="6"/>
  <c r="DP19" i="6"/>
  <c r="EE7" i="6"/>
  <c r="DP42" i="6"/>
  <c r="DT42" i="6" s="1"/>
  <c r="N53" i="17" s="1"/>
  <c r="DP4" i="6"/>
  <c r="DP31" i="6"/>
  <c r="DT31" i="6" s="1"/>
  <c r="N42" i="17" s="1"/>
  <c r="DP41" i="6"/>
  <c r="DT41" i="6" s="1"/>
  <c r="N52" i="17" s="1"/>
  <c r="DP8" i="6"/>
  <c r="DP17" i="6"/>
  <c r="DP40" i="6"/>
  <c r="DT40" i="6" s="1"/>
  <c r="N51" i="17" s="1"/>
  <c r="DP28" i="6"/>
  <c r="DP30" i="6"/>
  <c r="DP18" i="6"/>
  <c r="F70" i="17"/>
  <c r="DP44" i="6"/>
  <c r="DT44" i="6" s="1"/>
  <c r="N55" i="17" s="1"/>
  <c r="DP20" i="6"/>
  <c r="DP55" i="6"/>
  <c r="DT55" i="6" s="1"/>
  <c r="N66" i="17" s="1"/>
  <c r="DP54" i="6"/>
  <c r="DT54" i="6" s="1"/>
  <c r="N65" i="17" s="1"/>
  <c r="DX48" i="6" l="1"/>
  <c r="DX46" i="6"/>
  <c r="DX36" i="6"/>
  <c r="DX35" i="6"/>
  <c r="C13" i="37"/>
  <c r="H63" i="26"/>
  <c r="AA59" i="39" s="1"/>
  <c r="AB13" i="39"/>
  <c r="AB51" i="39"/>
  <c r="AB45" i="39"/>
  <c r="AB60" i="39"/>
  <c r="AB55" i="39"/>
  <c r="AB57" i="39"/>
  <c r="AB26" i="39"/>
  <c r="AB48" i="39"/>
  <c r="AB39" i="39"/>
  <c r="AB49" i="39"/>
  <c r="AB37" i="39"/>
  <c r="AB18" i="39"/>
  <c r="AB35" i="39"/>
  <c r="AB21" i="39"/>
  <c r="AB43" i="39"/>
  <c r="AB17" i="39"/>
  <c r="AB40" i="39"/>
  <c r="AB38" i="39"/>
  <c r="AB61" i="39"/>
  <c r="AB33" i="39"/>
  <c r="AB20" i="39"/>
  <c r="AB42" i="39"/>
  <c r="AB23" i="39"/>
  <c r="AB63" i="39"/>
  <c r="AB54" i="39"/>
  <c r="AB46" i="39"/>
  <c r="AB30" i="39"/>
  <c r="AB31" i="39"/>
  <c r="AB53" i="39"/>
  <c r="AB15" i="39"/>
  <c r="AB22" i="39"/>
  <c r="I66" i="26"/>
  <c r="AB62" i="39"/>
  <c r="AB64" i="39"/>
  <c r="AB25" i="39"/>
  <c r="AB32" i="39"/>
  <c r="AB36" i="39"/>
  <c r="AB28" i="39"/>
  <c r="AB19" i="39"/>
  <c r="AB56" i="39"/>
  <c r="AB24" i="39"/>
  <c r="AB41" i="39"/>
  <c r="AB29" i="39"/>
  <c r="AB27" i="39"/>
  <c r="AB44" i="39"/>
  <c r="AB58" i="39"/>
  <c r="AB50" i="39"/>
  <c r="AB59" i="39"/>
  <c r="AB34" i="39"/>
  <c r="AB47" i="39"/>
  <c r="AB14" i="39"/>
  <c r="AB52" i="39"/>
  <c r="AB16" i="39"/>
  <c r="EE8" i="6"/>
  <c r="T46" i="17"/>
  <c r="T59" i="17"/>
  <c r="T47" i="17"/>
  <c r="N67" i="17"/>
  <c r="U67" i="17" s="1"/>
  <c r="DX34" i="6"/>
  <c r="N45" i="17"/>
  <c r="U45" i="17" s="1"/>
  <c r="DX33" i="6"/>
  <c r="N44" i="17"/>
  <c r="U44" i="17" s="1"/>
  <c r="DX45" i="6"/>
  <c r="U47" i="17"/>
  <c r="DX42" i="6"/>
  <c r="DX52" i="6"/>
  <c r="DX47" i="6"/>
  <c r="U46" i="17"/>
  <c r="U59" i="17"/>
  <c r="DX54" i="6"/>
  <c r="DX40" i="6"/>
  <c r="DX39" i="6"/>
  <c r="DX53" i="6"/>
  <c r="DX50" i="6"/>
  <c r="U56" i="17"/>
  <c r="DX55" i="6"/>
  <c r="DX37" i="6"/>
  <c r="DX44" i="6"/>
  <c r="DX41" i="6"/>
  <c r="DX43" i="6"/>
  <c r="DX49" i="6"/>
  <c r="DX51" i="6"/>
  <c r="DX31" i="6"/>
  <c r="DX32" i="6"/>
  <c r="DX38" i="6"/>
  <c r="DS13" i="6" l="1"/>
  <c r="DU13" i="6" s="1"/>
  <c r="DS20" i="6"/>
  <c r="DS15" i="6"/>
  <c r="M26" i="17" s="1"/>
  <c r="DS14" i="6"/>
  <c r="DU14" i="6" s="1"/>
  <c r="DS12" i="6"/>
  <c r="M23" i="17" s="1"/>
  <c r="DS19" i="6"/>
  <c r="DS16" i="6"/>
  <c r="DS18" i="6"/>
  <c r="DS17" i="6"/>
  <c r="DS5" i="6"/>
  <c r="DU5" i="6" s="1"/>
  <c r="DS24" i="6"/>
  <c r="DS23" i="6"/>
  <c r="DS26" i="6"/>
  <c r="DS21" i="6"/>
  <c r="DS27" i="6"/>
  <c r="DS25" i="6"/>
  <c r="DS22" i="6"/>
  <c r="DS28" i="6"/>
  <c r="DS30" i="6"/>
  <c r="DS29" i="6"/>
  <c r="AA32" i="39"/>
  <c r="AC32" i="39" s="1"/>
  <c r="AA24" i="39"/>
  <c r="AC24" i="39" s="1"/>
  <c r="AA27" i="39"/>
  <c r="AC27" i="39" s="1"/>
  <c r="AA40" i="39"/>
  <c r="AC40" i="39" s="1"/>
  <c r="AA39" i="39"/>
  <c r="AC39" i="39" s="1"/>
  <c r="AA31" i="39"/>
  <c r="AC31" i="39" s="1"/>
  <c r="AA21" i="39"/>
  <c r="AC21" i="39" s="1"/>
  <c r="AA29" i="39"/>
  <c r="AC29" i="39" s="1"/>
  <c r="AA28" i="39"/>
  <c r="AC28" i="39" s="1"/>
  <c r="AA36" i="39"/>
  <c r="AC36" i="39" s="1"/>
  <c r="AA58" i="39"/>
  <c r="AC58" i="39" s="1"/>
  <c r="AA51" i="39"/>
  <c r="AC51" i="39" s="1"/>
  <c r="AA42" i="39"/>
  <c r="AC42" i="39" s="1"/>
  <c r="AA56" i="39"/>
  <c r="AC56" i="39" s="1"/>
  <c r="AA13" i="39"/>
  <c r="AC13" i="39" s="1"/>
  <c r="AA47" i="39"/>
  <c r="AC47" i="39" s="1"/>
  <c r="AA48" i="39"/>
  <c r="AC48" i="39" s="1"/>
  <c r="AA17" i="39"/>
  <c r="AC17" i="39" s="1"/>
  <c r="AA16" i="39"/>
  <c r="AC16" i="39" s="1"/>
  <c r="AA52" i="39"/>
  <c r="AC52" i="39" s="1"/>
  <c r="AA55" i="39"/>
  <c r="AC55" i="39" s="1"/>
  <c r="AA61" i="39"/>
  <c r="AC61" i="39" s="1"/>
  <c r="AA20" i="39"/>
  <c r="AC20" i="39" s="1"/>
  <c r="AA63" i="39"/>
  <c r="AC63" i="39" s="1"/>
  <c r="AA41" i="39"/>
  <c r="AC41" i="39" s="1"/>
  <c r="AA23" i="39"/>
  <c r="AC23" i="39" s="1"/>
  <c r="AA38" i="39"/>
  <c r="AC38" i="39" s="1"/>
  <c r="AA62" i="39"/>
  <c r="AC62" i="39" s="1"/>
  <c r="AA50" i="39"/>
  <c r="AC50" i="39" s="1"/>
  <c r="AA54" i="39"/>
  <c r="AC54" i="39" s="1"/>
  <c r="AA44" i="39"/>
  <c r="AC44" i="39" s="1"/>
  <c r="AA34" i="39"/>
  <c r="AC34" i="39" s="1"/>
  <c r="AA25" i="39"/>
  <c r="AC25" i="39" s="1"/>
  <c r="AA49" i="39"/>
  <c r="AC49" i="39" s="1"/>
  <c r="AA14" i="39"/>
  <c r="AC14" i="39" s="1"/>
  <c r="AA19" i="39"/>
  <c r="AC19" i="39" s="1"/>
  <c r="AA37" i="39"/>
  <c r="AC37" i="39" s="1"/>
  <c r="AA33" i="39"/>
  <c r="AC33" i="39" s="1"/>
  <c r="AA53" i="39"/>
  <c r="AC53" i="39" s="1"/>
  <c r="AA26" i="39"/>
  <c r="AC26" i="39" s="1"/>
  <c r="AA22" i="39"/>
  <c r="AC22" i="39" s="1"/>
  <c r="AA43" i="39"/>
  <c r="AC43" i="39" s="1"/>
  <c r="AA60" i="39"/>
  <c r="AC60" i="39" s="1"/>
  <c r="H66" i="26"/>
  <c r="AA57" i="39"/>
  <c r="AC57" i="39" s="1"/>
  <c r="AA45" i="39"/>
  <c r="AC45" i="39" s="1"/>
  <c r="AA30" i="39"/>
  <c r="AC30" i="39" s="1"/>
  <c r="AA18" i="39"/>
  <c r="AC18" i="39" s="1"/>
  <c r="AA15" i="39"/>
  <c r="AC15" i="39" s="1"/>
  <c r="AA64" i="39"/>
  <c r="AC64" i="39" s="1"/>
  <c r="AA35" i="39"/>
  <c r="AC35" i="39" s="1"/>
  <c r="AA46" i="39"/>
  <c r="AC46" i="39" s="1"/>
  <c r="DS10" i="6"/>
  <c r="DU10" i="6" s="1"/>
  <c r="AC59" i="39"/>
  <c r="I71" i="26"/>
  <c r="DS6" i="6"/>
  <c r="DT6" i="6" s="1"/>
  <c r="DX6" i="6" s="1"/>
  <c r="DS7" i="6"/>
  <c r="DT7" i="6" s="1"/>
  <c r="N18" i="17" s="1"/>
  <c r="DS11" i="6"/>
  <c r="M22" i="17" s="1"/>
  <c r="DS8" i="6"/>
  <c r="M19" i="17" s="1"/>
  <c r="T19" i="17" s="1"/>
  <c r="DS9" i="6"/>
  <c r="DT9" i="6" s="1"/>
  <c r="N20" i="17" s="1"/>
  <c r="M16" i="17"/>
  <c r="T16" i="17" s="1"/>
  <c r="DT5" i="6"/>
  <c r="DS4" i="6"/>
  <c r="T62" i="17"/>
  <c r="T66" i="17"/>
  <c r="T60" i="17"/>
  <c r="T58" i="17"/>
  <c r="T50" i="17"/>
  <c r="T42" i="17"/>
  <c r="T49" i="17"/>
  <c r="T63" i="17"/>
  <c r="T55" i="17"/>
  <c r="T43" i="17"/>
  <c r="T54" i="17"/>
  <c r="T61" i="17"/>
  <c r="T51" i="17"/>
  <c r="T56" i="17"/>
  <c r="T48" i="17"/>
  <c r="T52" i="17"/>
  <c r="T64" i="17"/>
  <c r="T65" i="17"/>
  <c r="U53" i="17"/>
  <c r="U63" i="17"/>
  <c r="U64" i="17"/>
  <c r="U50" i="17"/>
  <c r="U51" i="17"/>
  <c r="U54" i="17"/>
  <c r="U66" i="17"/>
  <c r="U52" i="17"/>
  <c r="U43" i="17"/>
  <c r="U62" i="17"/>
  <c r="U65" i="17"/>
  <c r="U58" i="17"/>
  <c r="U60" i="17"/>
  <c r="U55" i="17"/>
  <c r="U49" i="17"/>
  <c r="U42" i="17"/>
  <c r="U48" i="17"/>
  <c r="U61" i="17"/>
  <c r="T53" i="17"/>
  <c r="H69" i="26" l="1"/>
  <c r="C53" i="18" s="1"/>
  <c r="B61" i="18" s="1"/>
  <c r="H71" i="26"/>
  <c r="DT14" i="6"/>
  <c r="N25" i="17" s="1"/>
  <c r="M25" i="17"/>
  <c r="DU15" i="6"/>
  <c r="DT13" i="6"/>
  <c r="N24" i="17" s="1"/>
  <c r="M24" i="17"/>
  <c r="DT12" i="6"/>
  <c r="N23" i="17" s="1"/>
  <c r="DU12" i="6"/>
  <c r="DT11" i="6"/>
  <c r="N22" i="17" s="1"/>
  <c r="M31" i="17"/>
  <c r="T31" i="17" s="1"/>
  <c r="DU20" i="6"/>
  <c r="DT20" i="6"/>
  <c r="DT15" i="6"/>
  <c r="N26" i="17" s="1"/>
  <c r="M21" i="17"/>
  <c r="T21" i="17" s="1"/>
  <c r="M28" i="17"/>
  <c r="T28" i="17" s="1"/>
  <c r="DU17" i="6"/>
  <c r="DT17" i="6"/>
  <c r="M29" i="17"/>
  <c r="T29" i="17" s="1"/>
  <c r="DU18" i="6"/>
  <c r="DT18" i="6"/>
  <c r="DU16" i="6"/>
  <c r="M27" i="17"/>
  <c r="T27" i="17" s="1"/>
  <c r="DT16" i="6"/>
  <c r="M30" i="17"/>
  <c r="T30" i="17" s="1"/>
  <c r="DU19" i="6"/>
  <c r="DT19" i="6"/>
  <c r="DU22" i="6"/>
  <c r="M33" i="17"/>
  <c r="T33" i="17" s="1"/>
  <c r="DT22" i="6"/>
  <c r="DU25" i="6"/>
  <c r="M36" i="17"/>
  <c r="T36" i="17" s="1"/>
  <c r="DT25" i="6"/>
  <c r="DU27" i="6"/>
  <c r="M38" i="17"/>
  <c r="T38" i="17" s="1"/>
  <c r="DT27" i="6"/>
  <c r="DU21" i="6"/>
  <c r="M32" i="17"/>
  <c r="T32" i="17" s="1"/>
  <c r="DT21" i="6"/>
  <c r="DU26" i="6"/>
  <c r="M37" i="17"/>
  <c r="T37" i="17" s="1"/>
  <c r="DT26" i="6"/>
  <c r="DU29" i="6"/>
  <c r="M40" i="17"/>
  <c r="T40" i="17" s="1"/>
  <c r="DT29" i="6"/>
  <c r="DU23" i="6"/>
  <c r="M34" i="17"/>
  <c r="T34" i="17" s="1"/>
  <c r="DT23" i="6"/>
  <c r="M41" i="17"/>
  <c r="T41" i="17" s="1"/>
  <c r="DU30" i="6"/>
  <c r="DT30" i="6"/>
  <c r="DU24" i="6"/>
  <c r="M35" i="17"/>
  <c r="T35" i="17" s="1"/>
  <c r="DT24" i="6"/>
  <c r="M39" i="17"/>
  <c r="T39" i="17" s="1"/>
  <c r="DU28" i="6"/>
  <c r="DT28" i="6"/>
  <c r="DT10" i="6"/>
  <c r="N21" i="17" s="1"/>
  <c r="J66" i="26"/>
  <c r="C50" i="18"/>
  <c r="DU11" i="6"/>
  <c r="M17" i="17"/>
  <c r="T17" i="17" s="1"/>
  <c r="M18" i="17"/>
  <c r="T18" i="17" s="1"/>
  <c r="DU7" i="6"/>
  <c r="M20" i="17"/>
  <c r="T20" i="17" s="1"/>
  <c r="DU9" i="6"/>
  <c r="DU6" i="6"/>
  <c r="N17" i="17"/>
  <c r="DX7" i="6"/>
  <c r="DT8" i="6"/>
  <c r="DX8" i="6" s="1"/>
  <c r="DU8" i="6"/>
  <c r="M15" i="17"/>
  <c r="DU4" i="6"/>
  <c r="DT4" i="6"/>
  <c r="DX5" i="6"/>
  <c r="N16" i="17"/>
  <c r="U16" i="17" s="1"/>
  <c r="DX9" i="6"/>
  <c r="C29" i="36" l="1"/>
  <c r="C36" i="36"/>
  <c r="T15" i="17"/>
  <c r="C39" i="36"/>
  <c r="DX14" i="6"/>
  <c r="AD8" i="36"/>
  <c r="DX12" i="6"/>
  <c r="DX13" i="6"/>
  <c r="DX11" i="6"/>
  <c r="DX15" i="6"/>
  <c r="U21" i="17"/>
  <c r="DX10" i="6"/>
  <c r="N31" i="17"/>
  <c r="U31" i="17" s="1"/>
  <c r="DX20" i="6"/>
  <c r="N29" i="17"/>
  <c r="U29" i="17" s="1"/>
  <c r="DX18" i="6"/>
  <c r="N30" i="17"/>
  <c r="U30" i="17" s="1"/>
  <c r="DX19" i="6"/>
  <c r="N28" i="17"/>
  <c r="U28" i="17" s="1"/>
  <c r="DX17" i="6"/>
  <c r="N27" i="17"/>
  <c r="U27" i="17" s="1"/>
  <c r="DX16" i="6"/>
  <c r="N39" i="17"/>
  <c r="U39" i="17" s="1"/>
  <c r="DX28" i="6"/>
  <c r="N37" i="17"/>
  <c r="U37" i="17" s="1"/>
  <c r="DX26" i="6"/>
  <c r="N36" i="17"/>
  <c r="U36" i="17" s="1"/>
  <c r="DX25" i="6"/>
  <c r="N34" i="17"/>
  <c r="U34" i="17" s="1"/>
  <c r="DX23" i="6"/>
  <c r="N35" i="17"/>
  <c r="U35" i="17" s="1"/>
  <c r="DX24" i="6"/>
  <c r="N32" i="17"/>
  <c r="U32" i="17" s="1"/>
  <c r="DX21" i="6"/>
  <c r="N33" i="17"/>
  <c r="U33" i="17" s="1"/>
  <c r="DX22" i="6"/>
  <c r="N40" i="17"/>
  <c r="U40" i="17" s="1"/>
  <c r="DX29" i="6"/>
  <c r="N41" i="17"/>
  <c r="U41" i="17" s="1"/>
  <c r="DX30" i="6"/>
  <c r="N38" i="17"/>
  <c r="U38" i="17" s="1"/>
  <c r="DX27" i="6"/>
  <c r="C7" i="36"/>
  <c r="AD9" i="36"/>
  <c r="C9" i="36"/>
  <c r="C28" i="36"/>
  <c r="C8" i="36"/>
  <c r="C6" i="36"/>
  <c r="C35" i="36"/>
  <c r="C38" i="36"/>
  <c r="AD6" i="36"/>
  <c r="C37" i="36"/>
  <c r="AD7" i="36"/>
  <c r="U18" i="17"/>
  <c r="U17" i="17"/>
  <c r="N19" i="17"/>
  <c r="U19" i="17" s="1"/>
  <c r="U20" i="17"/>
  <c r="EE10" i="6"/>
  <c r="EA3" i="6"/>
  <c r="D36" i="40" s="1"/>
  <c r="F36" i="40" s="1"/>
  <c r="DX4" i="6"/>
  <c r="N15" i="17"/>
  <c r="T24" i="17"/>
  <c r="AD55" i="36" s="1"/>
  <c r="T25" i="17"/>
  <c r="C4" i="36" s="1"/>
  <c r="T26" i="17"/>
  <c r="C27" i="36" s="1"/>
  <c r="T22" i="17"/>
  <c r="C23" i="36" s="1"/>
  <c r="T23" i="17"/>
  <c r="C31" i="36" s="1"/>
  <c r="U22" i="17"/>
  <c r="U23" i="17"/>
  <c r="U24" i="17"/>
  <c r="U26" i="17"/>
  <c r="U25" i="17"/>
  <c r="C16" i="36" l="1"/>
  <c r="AD16" i="36"/>
  <c r="C17" i="36"/>
  <c r="AD17" i="36"/>
  <c r="C19" i="36"/>
  <c r="AD19" i="36"/>
  <c r="AD20" i="36"/>
  <c r="C18" i="36"/>
  <c r="AD18" i="36"/>
  <c r="C22" i="36"/>
  <c r="C21" i="36"/>
  <c r="C20" i="36"/>
  <c r="C24" i="36"/>
  <c r="C26" i="36"/>
  <c r="AD26" i="36"/>
  <c r="C25" i="36"/>
  <c r="C51" i="36"/>
  <c r="C49" i="36"/>
  <c r="C5" i="36"/>
  <c r="C52" i="36"/>
  <c r="C50" i="36"/>
  <c r="AD52" i="36"/>
  <c r="AD50" i="36"/>
  <c r="AD49" i="36"/>
  <c r="AD22" i="36"/>
  <c r="AD24" i="36"/>
  <c r="AD23" i="36"/>
  <c r="AD21" i="36"/>
  <c r="AD25" i="36"/>
  <c r="U15" i="17"/>
  <c r="AE4" i="36" s="1"/>
  <c r="AD27" i="36"/>
  <c r="AD37" i="36"/>
  <c r="AD38" i="36"/>
  <c r="AD39" i="36"/>
  <c r="AD29" i="36"/>
  <c r="AD28" i="36"/>
  <c r="AD36" i="36"/>
  <c r="D52" i="36"/>
  <c r="C54" i="36"/>
  <c r="D51" i="36"/>
  <c r="D49" i="36"/>
  <c r="C55" i="36"/>
  <c r="C53" i="36"/>
  <c r="D50" i="36"/>
  <c r="D20" i="36"/>
  <c r="AD5" i="36"/>
  <c r="C48" i="36"/>
  <c r="AD4" i="36"/>
  <c r="C47" i="36"/>
  <c r="AE47" i="36"/>
  <c r="AD48" i="36"/>
  <c r="AD47" i="36"/>
  <c r="AE24" i="36"/>
  <c r="AD53" i="36"/>
  <c r="AD51" i="36"/>
  <c r="AE7" i="36"/>
  <c r="AE20" i="36"/>
  <c r="D29" i="36"/>
  <c r="AE46" i="36"/>
  <c r="AE8" i="36"/>
  <c r="AE30" i="36"/>
  <c r="D24" i="36"/>
  <c r="D9" i="36"/>
  <c r="D17" i="36"/>
  <c r="AE17" i="36"/>
  <c r="D19" i="36"/>
  <c r="AE19" i="36"/>
  <c r="D18" i="36"/>
  <c r="AE18" i="36"/>
  <c r="D23" i="36"/>
  <c r="AE23" i="36"/>
  <c r="D22" i="36"/>
  <c r="AE22" i="36"/>
  <c r="D21" i="36"/>
  <c r="AE21" i="36"/>
  <c r="D4" i="36"/>
  <c r="C13" i="36"/>
  <c r="C34" i="36"/>
  <c r="C15" i="36"/>
  <c r="D25" i="36"/>
  <c r="D36" i="36"/>
  <c r="D26" i="36"/>
  <c r="AD10" i="36"/>
  <c r="AD30" i="36"/>
  <c r="C30" i="36"/>
  <c r="D31" i="36"/>
  <c r="AE25" i="36"/>
  <c r="D8" i="36"/>
  <c r="D28" i="36"/>
  <c r="C33" i="36"/>
  <c r="C12" i="36"/>
  <c r="C32" i="36"/>
  <c r="D7" i="36"/>
  <c r="D27" i="36"/>
  <c r="AE55" i="36"/>
  <c r="C41" i="36"/>
  <c r="C11" i="36"/>
  <c r="D6" i="36"/>
  <c r="C42" i="36"/>
  <c r="C10" i="36"/>
  <c r="C46" i="36"/>
  <c r="C14" i="36"/>
  <c r="C44" i="36"/>
  <c r="C40" i="36"/>
  <c r="D35" i="36"/>
  <c r="AE6" i="36"/>
  <c r="D37" i="36"/>
  <c r="AE27" i="36"/>
  <c r="D38" i="36"/>
  <c r="AE31" i="36"/>
  <c r="AD34" i="36"/>
  <c r="C45" i="36"/>
  <c r="AE28" i="36"/>
  <c r="D39" i="36"/>
  <c r="AD32" i="36"/>
  <c r="C43" i="36"/>
  <c r="AD35" i="36"/>
  <c r="AD46" i="36"/>
  <c r="AE33" i="36"/>
  <c r="AE35" i="36"/>
  <c r="AD41" i="36"/>
  <c r="AE44" i="36"/>
  <c r="AD40" i="36"/>
  <c r="AD43" i="36"/>
  <c r="AE36" i="36"/>
  <c r="AE9" i="36"/>
  <c r="AE29" i="36"/>
  <c r="AD54" i="36"/>
  <c r="AD33" i="36"/>
  <c r="AE34" i="36"/>
  <c r="AD11" i="36"/>
  <c r="AD31" i="36"/>
  <c r="AE15" i="36"/>
  <c r="AE45" i="36"/>
  <c r="AD15" i="36"/>
  <c r="AD45" i="36"/>
  <c r="AD14" i="36"/>
  <c r="AD44" i="36"/>
  <c r="AD12" i="36"/>
  <c r="AD42" i="36"/>
  <c r="AD13" i="36"/>
  <c r="AE48" i="36"/>
  <c r="AE38" i="36"/>
  <c r="AE39" i="36"/>
  <c r="AE37" i="36"/>
  <c r="AE42" i="36"/>
  <c r="AE41" i="36"/>
  <c r="AE40" i="36"/>
  <c r="AE54" i="36"/>
  <c r="AE52" i="36"/>
  <c r="AE53" i="36"/>
  <c r="AE51" i="36"/>
  <c r="AE43" i="36"/>
  <c r="AE50" i="36"/>
  <c r="AE49" i="36"/>
  <c r="AE13" i="36"/>
  <c r="AE14" i="36"/>
  <c r="AE11" i="36"/>
  <c r="AE12" i="36"/>
  <c r="AE5" i="36" l="1"/>
  <c r="D5" i="36"/>
  <c r="AE10" i="36"/>
  <c r="AE16" i="36"/>
  <c r="D16" i="36"/>
  <c r="AE26" i="36"/>
  <c r="AE32" i="36"/>
  <c r="M70" i="17"/>
  <c r="D29" i="18" s="1"/>
  <c r="G29" i="18" s="1"/>
  <c r="D14" i="36"/>
  <c r="D33" i="36"/>
  <c r="D48" i="36"/>
  <c r="D53" i="36"/>
  <c r="D54" i="36"/>
  <c r="D46" i="36"/>
  <c r="D11" i="36"/>
  <c r="D15" i="36"/>
  <c r="D55" i="36"/>
  <c r="D43" i="36"/>
  <c r="D45" i="36"/>
  <c r="D40" i="36"/>
  <c r="D10" i="36"/>
  <c r="D41" i="36"/>
  <c r="D32" i="36"/>
  <c r="D30" i="36"/>
  <c r="D34" i="36"/>
  <c r="D47" i="36"/>
  <c r="D44" i="36"/>
  <c r="D42" i="36"/>
  <c r="D12" i="36"/>
  <c r="D13" i="36"/>
  <c r="N70" i="17" l="1" a="1"/>
  <c r="N70" i="17" s="1"/>
  <c r="C6" i="37" s="1"/>
  <c r="C5" i="37"/>
  <c r="D28" i="18" l="1"/>
  <c r="G28" i="18" s="1"/>
  <c r="N71" i="17"/>
  <c r="I118" i="32"/>
  <c r="D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8" authorId="0" shapeId="0" xr:uid="{CE727B19-85FB-410A-BDBE-5134AC150B92}">
      <text>
        <r>
          <rPr>
            <sz val="9"/>
            <color indexed="81"/>
            <rFont val="Tahoma"/>
            <family val="2"/>
          </rPr>
          <t>Enter your data as either:
Historic demand: The sheet will estimate the 65th to 85th percentile from the variation of demand that you have entered and use this as the basis of future demand.
Your own forecast: If you have generated your own forecast, you can enter it directly here. We will include a range, which for the sake of simplicity will be based on a 10% margin either side of your entered value.</t>
        </r>
      </text>
    </comment>
    <comment ref="BC10" authorId="0" shapeId="0" xr:uid="{00000000-0006-0000-0500-000002000000}">
      <text>
        <r>
          <rPr>
            <b/>
            <sz val="9"/>
            <color indexed="81"/>
            <rFont val="Tahoma"/>
            <family val="2"/>
          </rPr>
          <t xml:space="preserve">Important note:
</t>
        </r>
        <r>
          <rPr>
            <sz val="9"/>
            <color indexed="81"/>
            <rFont val="Tahoma"/>
            <family val="2"/>
          </rPr>
          <t xml:space="preserve">This shows total </t>
        </r>
        <r>
          <rPr>
            <b/>
            <sz val="9"/>
            <color indexed="81"/>
            <rFont val="Tahoma"/>
            <family val="2"/>
          </rPr>
          <t xml:space="preserve">elective </t>
        </r>
        <r>
          <rPr>
            <sz val="9"/>
            <color indexed="81"/>
            <rFont val="Tahoma"/>
            <family val="2"/>
          </rPr>
          <t xml:space="preserve">care demand only.
</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E33" authorId="0" shapeId="0" xr:uid="{669B9516-BB61-45A9-A6E5-C66957159A0B}">
      <text>
        <r>
          <rPr>
            <sz val="9"/>
            <color indexed="81"/>
            <rFont val="Tahoma"/>
            <family val="2"/>
          </rPr>
          <t>What proportion of patients do you expect to not return?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 ref="F23" authorId="1" shapeId="0" xr:uid="{648062BC-26B7-48E1-8469-0A31E7F8C4D3}">
      <text>
        <r>
          <rPr>
            <sz val="9"/>
            <color indexed="81"/>
            <rFont val="Tahoma"/>
            <family val="2"/>
          </rPr>
          <t>This is the default value that will be used, per week, unless you specify otherwise in the table to the right.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<sst xmlns="http://schemas.openxmlformats.org/spreadsheetml/2006/main" count="2553" uniqueCount="1306">
  <si>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</si>
  <si>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</si>
  <si>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</si>
  <si>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</si>
  <si>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</si>
  <si>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</si>
  <si>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</si>
  <si>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</si>
  <si>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</si>
  <si>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</si>
  <si>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</si>
  <si>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</si>
  <si>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</si>
  <si>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</si>
  <si>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</si>
  <si>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</si>
  <si>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</si>
  <si>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</si>
  <si>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</si>
  <si>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</si>
  <si>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</si>
  <si>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</si>
  <si>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</si>
  <si>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</si>
  <si>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</si>
  <si>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</si>
  <si>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</si>
  <si>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</si>
  <si>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</si>
  <si>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</si>
  <si>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</si>
  <si>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</si>
  <si>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</si>
  <si>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</si>
  <si>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</si>
  <si>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</si>
  <si>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</si>
  <si>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</si>
  <si>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</si>
  <si>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</si>
  <si>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</si>
  <si>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</si>
  <si>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</si>
  <si>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</si>
  <si>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</si>
  <si>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</si>
  <si>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</si>
  <si>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</si>
  <si>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</si>
  <si>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</si>
  <si>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</si>
  <si>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</si>
  <si>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</si>
  <si>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</si>
  <si>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</si>
  <si>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</si>
  <si>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</si>
  <si>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</si>
  <si>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</si>
  <si>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</si>
  <si>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</si>
  <si>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</si>
  <si>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</si>
  <si>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</si>
  <si>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</si>
  <si>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</si>
  <si>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</si>
  <si>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</si>
  <si>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</si>
  <si>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</si>
  <si>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</si>
  <si>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</si>
  <si>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</si>
  <si>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</si>
  <si>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</si>
  <si>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</si>
  <si>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</si>
  <si>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</si>
  <si>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</si>
  <si>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</si>
  <si>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</si>
  <si>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</si>
  <si>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</si>
  <si>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</si>
  <si>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</si>
  <si>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</si>
  <si>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</si>
  <si>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</si>
  <si>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</si>
  <si>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</si>
  <si>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</si>
  <si>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</si>
  <si>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</si>
  <si>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</si>
  <si>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</si>
  <si>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</si>
  <si>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</si>
  <si>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</si>
  <si>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</si>
  <si>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</si>
  <si>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</si>
  <si>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</si>
  <si>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</si>
  <si>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</si>
  <si>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</si>
  <si>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</si>
  <si>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</si>
  <si>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</si>
  <si>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</si>
  <si>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</si>
  <si>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</si>
  <si>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</si>
  <si>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</si>
  <si>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</si>
  <si>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</si>
  <si>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</si>
  <si>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</si>
  <si>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</si>
  <si>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</si>
  <si>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</si>
  <si>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</si>
  <si>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</si>
  <si>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</si>
  <si>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</si>
  <si>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</si>
  <si>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</si>
  <si>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</si>
  <si>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</si>
  <si>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</si>
  <si>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</si>
  <si>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</si>
  <si>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</si>
  <si>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</si>
  <si>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</si>
  <si>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</si>
  <si>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</si>
  <si>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</si>
  <si>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</si>
  <si>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</si>
  <si>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</si>
  <si>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</si>
  <si>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</si>
  <si>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</si>
  <si>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</si>
  <si>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</si>
  <si>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</si>
  <si>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</si>
  <si>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</si>
  <si>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</si>
  <si>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</si>
  <si>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</si>
  <si>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</si>
  <si>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</si>
  <si>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</si>
  <si>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</si>
  <si>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</si>
  <si>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</si>
  <si>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</si>
  <si>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</si>
  <si>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</si>
  <si>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</si>
  <si>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</si>
  <si>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</si>
  <si>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</si>
  <si>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</si>
  <si>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</si>
  <si>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</si>
  <si>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</si>
  <si>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</si>
  <si>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</si>
  <si>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</si>
  <si>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</si>
  <si>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</si>
  <si>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</si>
  <si>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</si>
  <si>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</si>
  <si>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</si>
  <si>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</si>
  <si>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</si>
  <si>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</si>
  <si>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</si>
  <si>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</si>
  <si>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</si>
  <si>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</si>
  <si>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</si>
  <si>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</si>
  <si>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</si>
  <si>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</si>
  <si>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</si>
  <si>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</si>
  <si>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</si>
  <si>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</si>
  <si>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</si>
  <si>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</si>
  <si>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</si>
  <si>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</si>
  <si>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</si>
  <si>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</si>
  <si>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</si>
  <si>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</si>
  <si>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</si>
  <si>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</si>
  <si>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</si>
  <si>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</si>
  <si>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</si>
  <si>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</si>
  <si>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</si>
  <si>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</si>
  <si>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</si>
  <si>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</si>
  <si>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</si>
  <si>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</si>
  <si>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</si>
  <si>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</si>
  <si>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</si>
  <si>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</si>
  <si>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</si>
  <si>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</si>
  <si>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</si>
  <si>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</si>
  <si>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</si>
  <si>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</si>
  <si>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</si>
  <si>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</si>
  <si>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</si>
  <si>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</si>
  <si>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</si>
  <si>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</si>
  <si>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</si>
  <si>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</si>
  <si>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</si>
  <si>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</si>
  <si>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</si>
  <si>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</si>
  <si>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</si>
  <si>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</si>
  <si>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</si>
  <si>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</si>
  <si>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</si>
  <si>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</si>
  <si>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</si>
  <si>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</si>
  <si>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</si>
  <si>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</si>
  <si>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</si>
  <si>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</si>
  <si>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</si>
  <si>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</si>
  <si>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</si>
  <si>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</si>
  <si>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</si>
  <si>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</si>
  <si>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</si>
  <si>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</si>
  <si>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</si>
  <si>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</si>
  <si>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</si>
  <si>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</si>
  <si>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</si>
  <si>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</si>
  <si>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</si>
  <si>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</si>
  <si>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</si>
  <si>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</si>
  <si>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</si>
  <si>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</si>
  <si>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</si>
  <si>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</si>
  <si>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</si>
  <si>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</si>
  <si>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</si>
  <si>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</si>
  <si>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</si>
  <si>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</si>
  <si>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</si>
  <si>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</si>
  <si>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</si>
  <si>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</si>
  <si>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</si>
  <si>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</si>
  <si>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</si>
  <si>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</si>
  <si>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</si>
  <si>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</si>
  <si>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</si>
  <si>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</si>
  <si>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</si>
  <si>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</si>
  <si>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</si>
  <si>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</si>
  <si>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</si>
  <si>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</si>
  <si>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</si>
  <si>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</si>
  <si>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</si>
  <si>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</si>
  <si>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</si>
  <si>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</si>
  <si>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</si>
  <si>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</si>
  <si>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</si>
  <si>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</si>
  <si>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</si>
  <si>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</si>
  <si>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</si>
  <si>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</si>
  <si>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</si>
  <si>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</si>
  <si>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</si>
  <si>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</si>
  <si>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</si>
  <si>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</si>
  <si>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</si>
  <si>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</si>
  <si>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</si>
  <si>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</si>
  <si>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</si>
  <si>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</si>
  <si>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</si>
  <si>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</si>
  <si>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</si>
  <si>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</si>
  <si>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</si>
  <si>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</si>
  <si>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</si>
  <si>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</si>
  <si>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</si>
  <si>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</si>
  <si>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</si>
  <si>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</si>
  <si>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</si>
  <si>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</si>
  <si>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</si>
  <si>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</si>
  <si>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</si>
  <si>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</si>
  <si>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</si>
  <si>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</si>
  <si>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</si>
  <si>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</si>
  <si>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</si>
  <si>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</si>
  <si>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</si>
  <si>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</si>
  <si>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</si>
  <si>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</si>
  <si>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</si>
  <si>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</si>
  <si>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</si>
  <si>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</si>
  <si>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</si>
  <si>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</si>
  <si>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</si>
  <si>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</si>
  <si>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</si>
  <si>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</si>
  <si>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</si>
  <si>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</si>
  <si>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</si>
  <si>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</si>
  <si>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</si>
  <si>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</si>
  <si>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</si>
  <si>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</si>
  <si>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</si>
  <si>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</si>
  <si>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</si>
  <si>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</si>
  <si>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</si>
  <si>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</si>
  <si>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</si>
  <si>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</si>
  <si>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</si>
  <si>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</si>
  <si>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</si>
  <si>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</si>
  <si>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</si>
  <si>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</si>
  <si>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</si>
  <si>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</si>
  <si>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</si>
  <si>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</si>
  <si>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</si>
  <si>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</si>
  <si>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</si>
  <si>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</si>
  <si>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</si>
  <si>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</si>
  <si>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</si>
  <si>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</si>
  <si>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</si>
  <si>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</si>
  <si>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</si>
  <si>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</si>
  <si>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</si>
  <si>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</si>
  <si>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</si>
  <si>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</si>
  <si>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</si>
  <si>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</si>
  <si>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</si>
  <si>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</si>
  <si>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</si>
  <si>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</si>
  <si>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</si>
  <si>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</si>
  <si>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</si>
  <si>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</si>
  <si>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</si>
  <si>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</si>
  <si>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</si>
  <si>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</si>
  <si>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</si>
  <si>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</si>
  <si>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</si>
  <si>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</si>
  <si>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</si>
  <si>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</si>
  <si>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</si>
  <si>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</si>
  <si>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</si>
  <si>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</si>
  <si>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</si>
  <si>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</si>
  <si>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</si>
  <si>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</si>
  <si>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</si>
  <si>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</si>
  <si>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</si>
  <si>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</si>
  <si>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</si>
  <si>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</si>
  <si>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</si>
  <si>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</si>
  <si>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</si>
  <si>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</si>
  <si>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</si>
  <si>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</si>
  <si>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</si>
  <si>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</si>
  <si>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</si>
  <si>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</si>
  <si>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</si>
  <si>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</si>
  <si>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</si>
  <si>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</si>
  <si>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</si>
  <si>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</si>
  <si>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</si>
  <si>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</si>
  <si>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</si>
  <si>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</si>
  <si>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</si>
  <si>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</si>
  <si>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</si>
  <si>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</si>
  <si>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</si>
  <si>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</si>
  <si>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</si>
  <si>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</si>
  <si>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</si>
  <si>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</si>
  <si>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</si>
  <si>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</si>
  <si>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</si>
  <si>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</si>
  <si>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</si>
  <si>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</si>
  <si>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</si>
  <si>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</si>
  <si>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</si>
  <si>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</si>
  <si>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</si>
  <si>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</si>
  <si>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</si>
  <si>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</si>
  <si>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</si>
  <si>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</si>
  <si>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</si>
  <si>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</si>
  <si>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</si>
  <si>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</si>
  <si>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</si>
  <si>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</si>
  <si>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</si>
  <si>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</si>
  <si>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</si>
  <si>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</si>
  <si>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</si>
  <si>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</si>
  <si>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</si>
  <si>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</si>
  <si>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</si>
  <si>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</si>
  <si>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</si>
  <si>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</si>
  <si>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</si>
  <si>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</si>
  <si>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</si>
  <si>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</si>
  <si>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</si>
  <si>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</si>
  <si>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</si>
  <si>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</si>
  <si>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</si>
  <si>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</si>
  <si>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</si>
  <si>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</si>
  <si>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</si>
  <si>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</si>
  <si>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</si>
  <si>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</si>
  <si>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</si>
  <si>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</si>
  <si>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</si>
  <si>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</si>
  <si>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</si>
  <si>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</si>
  <si>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</si>
  <si>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</si>
  <si>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</si>
  <si>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</si>
  <si>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</si>
  <si>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</si>
  <si>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</si>
  <si>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</si>
  <si>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</si>
  <si>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</si>
  <si>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</si>
  <si>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</si>
  <si>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</si>
  <si>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</si>
  <si>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</si>
  <si>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</si>
  <si>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</si>
  <si>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</si>
  <si>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</si>
  <si>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</si>
  <si>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</si>
  <si>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</si>
  <si>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</si>
  <si>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</si>
  <si>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</si>
  <si>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</si>
  <si>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</si>
  <si>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</si>
  <si>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</si>
  <si>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</si>
  <si>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</si>
  <si>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</si>
  <si>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</si>
  <si>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</si>
  <si>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</si>
  <si>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</si>
  <si>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</si>
  <si>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</si>
  <si>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</si>
  <si>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</si>
  <si>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</si>
  <si>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</si>
  <si>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</si>
  <si>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</si>
  <si>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</si>
  <si>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</si>
  <si>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</si>
  <si>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</si>
  <si>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</si>
  <si>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</si>
  <si>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</si>
  <si>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</si>
  <si>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</si>
  <si>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</si>
  <si>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</si>
  <si>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</si>
  <si>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</si>
  <si>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</si>
  <si>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</si>
  <si>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</si>
  <si>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</si>
  <si>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</si>
  <si>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</si>
  <si>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</si>
  <si>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</si>
  <si>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</si>
  <si>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</si>
  <si>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</si>
  <si>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</si>
  <si>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</si>
  <si>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</si>
  <si>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</si>
  <si>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</si>
  <si>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</si>
  <si>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</si>
  <si>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</si>
  <si>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</si>
  <si>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</si>
  <si>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</si>
  <si>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</si>
  <si>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</si>
  <si>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</si>
  <si>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</si>
  <si>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</si>
  <si>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</si>
  <si>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</si>
  <si>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</si>
  <si>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</si>
  <si>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</si>
  <si>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</si>
  <si>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</si>
  <si>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</si>
  <si>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</si>
  <si>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</si>
  <si>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</si>
  <si>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</si>
  <si>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</si>
  <si>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</si>
  <si>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</si>
  <si>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</si>
  <si>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</si>
  <si>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</si>
  <si>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</si>
  <si>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</si>
  <si>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</si>
  <si>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</si>
  <si>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</si>
  <si>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</si>
  <si>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</si>
  <si>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</si>
  <si>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</si>
  <si>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</si>
  <si>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</si>
  <si>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</si>
  <si>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</si>
  <si>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</si>
  <si>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</si>
  <si>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</si>
  <si>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</si>
  <si>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</si>
  <si>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</si>
  <si>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</si>
  <si>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</si>
  <si>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</si>
  <si>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</si>
  <si>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</si>
  <si>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</si>
  <si>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</si>
  <si>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</si>
  <si>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</si>
  <si>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</si>
  <si>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</si>
  <si>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</si>
  <si>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</si>
  <si>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</si>
  <si>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</si>
  <si>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</si>
  <si>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</si>
  <si>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</si>
  <si>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</si>
  <si>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</si>
  <si>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</si>
  <si>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</si>
  <si>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</si>
  <si>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</si>
  <si>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</si>
  <si>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</si>
  <si>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</si>
  <si>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</si>
  <si>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</si>
  <si>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</si>
  <si>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</si>
  <si>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</si>
  <si>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</si>
  <si>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</si>
  <si>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</si>
  <si>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</si>
  <si>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</si>
  <si>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</si>
  <si>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</si>
  <si>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</si>
  <si>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</si>
  <si>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</si>
  <si>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</si>
  <si>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</si>
  <si>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</si>
  <si>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</si>
  <si>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</si>
  <si>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</si>
  <si>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</si>
  <si>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</si>
  <si>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</si>
  <si>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</si>
  <si>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</si>
  <si>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</si>
  <si>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</si>
  <si>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</si>
  <si>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</si>
  <si>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</si>
  <si>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</si>
  <si>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</si>
  <si>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</si>
  <si>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</si>
  <si>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</si>
  <si>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</si>
  <si>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</si>
  <si>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</si>
  <si>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</si>
  <si>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</si>
  <si>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</si>
  <si>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</si>
  <si>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</si>
  <si>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</si>
  <si>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</si>
  <si>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</si>
  <si>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</si>
  <si>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</si>
  <si>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</si>
  <si>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</si>
  <si>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</si>
  <si>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</si>
  <si>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</si>
  <si>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</si>
  <si>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</si>
  <si>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</si>
  <si>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</si>
  <si>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</si>
  <si>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</si>
  <si>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</si>
  <si>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</si>
  <si>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</si>
  <si>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</si>
  <si>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</si>
  <si>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</si>
  <si>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</si>
  <si>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</si>
  <si>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</si>
  <si>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</si>
  <si>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</si>
  <si>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</si>
  <si>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</si>
  <si>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</si>
  <si>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</si>
  <si>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</si>
  <si>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</si>
  <si>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</si>
  <si>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</si>
  <si>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</si>
  <si>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</si>
  <si>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</si>
  <si>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</si>
  <si>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</si>
  <si>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</si>
  <si>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</si>
  <si>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</si>
  <si>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</si>
  <si>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</si>
  <si>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</si>
  <si>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</si>
  <si>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</si>
  <si>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</si>
  <si>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</si>
  <si>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</si>
  <si>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</si>
  <si>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</si>
  <si>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</si>
  <si>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</si>
  <si>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</si>
  <si>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</si>
  <si>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</si>
  <si>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</si>
  <si>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</si>
  <si>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</si>
  <si>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</si>
  <si>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</si>
  <si>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</si>
  <si>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</si>
  <si>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</si>
  <si>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</si>
  <si>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</si>
  <si>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</si>
  <si>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</si>
  <si>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</si>
  <si>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</si>
  <si>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</si>
  <si>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</si>
  <si>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</si>
  <si>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</si>
  <si>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</si>
  <si>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</si>
  <si>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</si>
  <si>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</si>
  <si>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</si>
  <si>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</si>
  <si>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</si>
  <si>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</si>
  <si>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</si>
  <si>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</si>
  <si>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</si>
  <si>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</si>
  <si>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</si>
  <si>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</si>
  <si>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</si>
  <si>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</si>
  <si>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</si>
  <si>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</si>
  <si>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</si>
  <si>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</si>
  <si>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</si>
  <si>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</si>
  <si>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</si>
  <si>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</si>
  <si>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</si>
  <si>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</si>
  <si>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</si>
  <si>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</si>
  <si>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</si>
  <si>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</si>
  <si>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</si>
  <si>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</si>
  <si>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</si>
  <si>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</si>
  <si>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</si>
  <si>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</si>
  <si>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</si>
  <si>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</si>
  <si>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</si>
  <si>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</si>
  <si>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</si>
  <si>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</si>
  <si>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</si>
  <si>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</si>
  <si>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</si>
  <si>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</si>
  <si>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</si>
  <si>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</si>
  <si>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</si>
  <si>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</si>
  <si>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</si>
  <si>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</si>
  <si>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</si>
  <si>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</si>
  <si>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</si>
  <si>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</si>
  <si>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</si>
  <si>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</si>
  <si>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</si>
  <si>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</si>
  <si>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</si>
  <si>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</si>
  <si>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</si>
  <si>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</si>
  <si>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</si>
  <si>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</si>
  <si>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</si>
  <si>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</si>
  <si>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</si>
  <si>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</si>
  <si>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</si>
  <si>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</si>
  <si>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</si>
  <si>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</si>
  <si>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</si>
  <si>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</si>
  <si>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</si>
  <si>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</si>
  <si>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</si>
  <si>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</si>
  <si>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</si>
  <si>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</si>
  <si>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</si>
  <si>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</si>
  <si>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</si>
  <si>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</si>
  <si>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</si>
  <si>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</si>
  <si>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</si>
  <si>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</si>
  <si>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</si>
  <si>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</si>
  <si>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</si>
  <si>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</si>
  <si>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</si>
  <si>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</si>
  <si>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Rebookings seen in:</t>
  </si>
  <si>
    <t>Rebooks</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</si>
  <si>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</si>
  <si>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</si>
  <si>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</si>
  <si>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</si>
  <si>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</si>
  <si>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</si>
  <si>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</si>
  <si>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</si>
  <si>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</si>
  <si>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</si>
  <si>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</si>
  <si>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</si>
  <si>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</si>
  <si>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</si>
  <si>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Test Service</t>
  </si>
  <si>
    <t>SPC background (hide)</t>
  </si>
  <si>
    <t>B1</t>
  </si>
  <si>
    <t>C19</t>
  </si>
  <si>
    <t>C23</t>
  </si>
  <si>
    <t>C25</t>
  </si>
  <si>
    <t>C8</t>
  </si>
  <si>
    <t>C10</t>
  </si>
  <si>
    <t>C12</t>
  </si>
  <si>
    <t>Planned background (hide)</t>
  </si>
  <si>
    <t>U18:U19</t>
  </si>
  <si>
    <t>Capacity calculation (hide)</t>
  </si>
  <si>
    <t>E1</t>
  </si>
  <si>
    <t>C11</t>
  </si>
  <si>
    <t>C14</t>
  </si>
  <si>
    <t>C16</t>
  </si>
  <si>
    <t>Pathway</t>
  </si>
  <si>
    <t>B6:C8</t>
  </si>
  <si>
    <t>E6:E8</t>
  </si>
  <si>
    <t>H5:H8</t>
  </si>
  <si>
    <t>C7:C8</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</si>
  <si>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</si>
  <si>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</si>
  <si>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</si>
  <si>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</si>
  <si>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</si>
  <si>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</si>
  <si>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</si>
  <si>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</si>
  <si>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</si>
  <si>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</si>
  <si>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</si>
  <si>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</si>
  <si>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</si>
  <si>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</si>
  <si>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</si>
  <si>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</si>
  <si>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</si>
  <si>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</si>
  <si>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</si>
  <si>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</si>
  <si>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</si>
  <si>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</si>
  <si>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</si>
  <si>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</si>
  <si>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</si>
  <si>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</si>
  <si>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</si>
  <si>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</si>
  <si>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</si>
  <si>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</si>
  <si>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</si>
  <si>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</si>
  <si>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</si>
  <si>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</si>
  <si>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</si>
  <si>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</si>
  <si>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</si>
  <si>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</si>
  <si>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</si>
  <si>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</si>
  <si>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</si>
  <si>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</si>
  <si>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</si>
  <si>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</si>
  <si>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</si>
  <si>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</si>
  <si>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</si>
  <si>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</si>
  <si>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</si>
  <si>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</si>
  <si>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</si>
  <si>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</si>
  <si>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</si>
  <si>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</si>
  <si>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</si>
  <si>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</si>
  <si>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</si>
  <si>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</si>
  <si>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</si>
  <si>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</si>
  <si>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</si>
  <si>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</si>
  <si>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</si>
  <si>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</si>
  <si>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</si>
  <si>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</si>
  <si>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</si>
  <si>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</si>
  <si>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</si>
  <si>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</si>
  <si>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</si>
  <si>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</si>
  <si>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</si>
  <si>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</si>
  <si>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</si>
  <si>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</si>
  <si>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</si>
  <si>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</si>
  <si>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</si>
  <si>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</si>
  <si>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</si>
  <si>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</si>
  <si>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</si>
  <si>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</si>
  <si>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</si>
  <si>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</si>
  <si>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</si>
  <si>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</si>
  <si>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</si>
  <si>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</si>
  <si>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</si>
  <si>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</si>
  <si>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</si>
  <si>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</si>
  <si>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</si>
  <si>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</si>
  <si>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</si>
  <si>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</si>
  <si>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</si>
  <si>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</si>
  <si>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</si>
  <si>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</si>
  <si>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</si>
  <si>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</si>
  <si>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</si>
  <si>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</si>
  <si>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</si>
  <si>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</si>
  <si>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</si>
  <si>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</si>
  <si>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</si>
  <si>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</si>
  <si>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</si>
  <si>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</si>
  <si>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</si>
  <si>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</si>
  <si>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</si>
  <si>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</si>
  <si>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</si>
  <si>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</si>
  <si>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</si>
  <si>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</si>
  <si>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</si>
  <si>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</si>
  <si>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</si>
  <si>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</si>
  <si>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</si>
  <si>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</si>
  <si>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</si>
  <si>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</si>
  <si>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</si>
  <si>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</si>
  <si>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</si>
  <si>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</si>
  <si>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</si>
  <si>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</si>
  <si>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</si>
  <si>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</si>
  <si>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</si>
  <si>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</si>
  <si>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</si>
  <si>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</si>
  <si>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</si>
  <si>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</si>
  <si>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</si>
  <si>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</si>
  <si>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</si>
  <si>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</si>
  <si>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</si>
  <si>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</si>
  <si>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</si>
  <si>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</si>
  <si>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</si>
  <si>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</si>
  <si>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</si>
  <si>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</si>
  <si>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</si>
  <si>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</si>
  <si>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</si>
  <si>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</si>
  <si>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</si>
  <si>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</si>
  <si>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</si>
  <si>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</si>
  <si>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</si>
  <si>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</si>
  <si>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</si>
  <si>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</si>
  <si>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</si>
  <si>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</si>
  <si>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</si>
  <si>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</si>
  <si>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</si>
  <si>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</si>
  <si>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</si>
  <si>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</si>
  <si>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</si>
  <si>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</si>
  <si>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</si>
  <si>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</si>
  <si>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</si>
  <si>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</si>
  <si>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</si>
  <si>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</si>
  <si>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</si>
  <si>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</si>
  <si>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</si>
  <si>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</si>
  <si>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</si>
  <si>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</si>
  <si>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</si>
  <si>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</si>
  <si>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</si>
  <si>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</si>
  <si>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</si>
  <si>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</si>
  <si>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</si>
  <si>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</si>
  <si>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</si>
  <si>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</si>
  <si>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</si>
  <si>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</si>
  <si>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</si>
  <si>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</si>
  <si>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</si>
  <si>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</si>
  <si>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</si>
  <si>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</si>
  <si>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</si>
  <si>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</si>
  <si>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</si>
  <si>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</si>
  <si>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</si>
  <si>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</si>
  <si>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</si>
  <si>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</si>
  <si>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</si>
  <si>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</si>
  <si>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</si>
  <si>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</si>
  <si>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</si>
  <si>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</si>
  <si>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</si>
  <si>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</si>
  <si>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</si>
  <si>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</si>
  <si>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</si>
  <si>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</si>
  <si>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</si>
  <si>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</si>
  <si>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</si>
  <si>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</si>
  <si>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</si>
  <si>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</si>
  <si>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</si>
  <si>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</si>
  <si>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</si>
  <si>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</si>
  <si>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</si>
  <si>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</si>
  <si>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</si>
  <si>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</si>
  <si>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</si>
  <si>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</si>
  <si>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</si>
  <si>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</si>
  <si>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</si>
  <si>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</si>
  <si>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</si>
  <si>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</si>
  <si>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</si>
  <si>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</si>
  <si>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</si>
  <si>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</si>
  <si>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</si>
  <si>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calculations corrected - was pointing to incorrect cells.
- X-axis for planning tab chart updated to reflcet user selection.
- WL calculation - effect of rebooking was not being fully represented - updated calculation to reflect this correctly.</t>
  </si>
  <si>
    <t>Minor fix:
- Ad-hoc capacity setup options had not been cleared correctly.</t>
  </si>
  <si>
    <t>Minutes / point:</t>
  </si>
  <si>
    <t>Enter demand as:</t>
  </si>
  <si>
    <t>Capacity start date (save value used if user-defined forecasting is entered directly)</t>
  </si>
  <si>
    <t>This sheet will model a return to 'normal' working, following a change which has impacted your service.</t>
  </si>
  <si>
    <t>You will need to think about the following:</t>
  </si>
  <si>
    <t>Do you want to enable this function?</t>
  </si>
  <si>
    <t>Will you still be seeing emergency (same day) cases?</t>
  </si>
  <si>
    <t>What date did you begin experiencing changes in your demand?</t>
  </si>
  <si>
    <t>Date values (from 1st Mar, 52 weeks into future)</t>
  </si>
  <si>
    <t>What date will your service begin to re-open?</t>
  </si>
  <si>
    <t>Demand, adjusted for Covid-19</t>
  </si>
  <si>
    <t>Return to baseline</t>
  </si>
  <si>
    <t>* When do you think you will begin resuming normal service?</t>
  </si>
  <si>
    <t>* How long it will take to transition from changed back to normal (in weeks)?</t>
  </si>
  <si>
    <t>This section will account for 'ramping up' demand post Covid-19, if the option is selected</t>
  </si>
  <si>
    <t>Old baseline</t>
  </si>
  <si>
    <t>Transition period</t>
  </si>
  <si>
    <t>Index start</t>
  </si>
  <si>
    <t>Index end</t>
  </si>
  <si>
    <t>row reference</t>
  </si>
  <si>
    <t>New normal</t>
  </si>
  <si>
    <t>Step</t>
  </si>
  <si>
    <t>New lower line</t>
  </si>
  <si>
    <t>New baseline (lower)</t>
  </si>
  <si>
    <t>Total missing</t>
  </si>
  <si>
    <t>New upper line</t>
  </si>
  <si>
    <t>New major version number: Added modifications to enable short term post Covid-19 modelling.
- Added ability to enter custom demand forecasts
- Added ability to enter new, temporary demand value which will eventually revert to baseline
- Adjusted capacity so individual clinics can be scaled on a week by week basis</t>
  </si>
  <si>
    <t>This is an early test release - will be sent to pathfinding user groups with caveat that this is a test version and likely to contain bugs.</t>
  </si>
  <si>
    <t>Start week:</t>
  </si>
  <si>
    <t>Date 
(starting Monday)</t>
  </si>
  <si>
    <t>Bug fixes: Corrected formatting controls for summary charts - will now display as stacked area charts when demand adjustments for Covid planning are enabled, capacity date start parameters corrected.</t>
  </si>
  <si>
    <t>If you are customising your capacity, you can change the session size</t>
  </si>
  <si>
    <t>directly in the table under the chart.</t>
  </si>
  <si>
    <t>Select required session below (click on the header to change):</t>
  </si>
  <si>
    <t>* What is your new ('restricted') level of demand?</t>
  </si>
  <si>
    <t>Bug fix: Demand adjustments for Covid chart was not adjusting correctly when turning on/off adjustments. Transition between restricted and normal baseline was not working correctly - corrected.</t>
  </si>
  <si>
    <t>Dealing with existing backlog, and unseen patients</t>
  </si>
  <si>
    <t>We assume the following:</t>
  </si>
  <si>
    <t>* Patients who would have been seen during the 'restricted' period of demand still need clinical contact</t>
  </si>
  <si>
    <t>* Patients on the waiting list will also still need to be seen</t>
  </si>
  <si>
    <t>How do you plan to see these patients?</t>
  </si>
  <si>
    <t>Patients on your waiting list</t>
  </si>
  <si>
    <t>"Missing patients"</t>
  </si>
  <si>
    <t>% Not returning (ROTT)</t>
  </si>
  <si>
    <t>* Both of the above cohorts will be seen in chronological / clinical priority order</t>
  </si>
  <si>
    <t>"Missing" patients:</t>
  </si>
  <si>
    <t>Additional demand (unseen / backlog)</t>
  </si>
  <si>
    <t>Backlog (known)</t>
  </si>
  <si>
    <t>Unseen</t>
  </si>
  <si>
    <t>Transition</t>
  </si>
  <si>
    <t>Low / transition period + 8 wks:</t>
  </si>
  <si>
    <r>
      <rPr>
        <b/>
        <sz val="11"/>
        <color theme="1"/>
        <rFont val="Arial"/>
        <family val="2"/>
      </rPr>
      <t xml:space="preserve">Important note: </t>
    </r>
    <r>
      <rPr>
        <sz val="11"/>
        <color theme="1"/>
        <rFont val="Arial"/>
        <family val="2"/>
      </rPr>
      <t>The figures in the table above will be added to the demand values for the Capacity Summary and Summary pages, but will not appear elsewhere as a separate item on charts.</t>
    </r>
  </si>
  <si>
    <t>Additional functionality: users can now add backlogs (both current WL and 'unseen' pts assumed from missing background levels) as demand, spread across the 8 wks post-transition to full elective working. 
Updated charts in Demand adjustments for Covid, Capacity Summary, and Summary pages to reflect the above.
Formatting change: Parameters (demand) now changes text to reflect demand calculations as reflective of forecast, if this option is taken. Demand sheet also highlights that SPC option is hidden (ie. disabled) when forecasts are manually entered.</t>
  </si>
  <si>
    <t>Prediction Interval</t>
  </si>
  <si>
    <t>Bug fixes: Calculation error in adding unseen/WL backlog patients to demand resolved.
Gap width of stacked column charts in Summary and Planned sheets restored to 0 [had been previously set to 150%].
Demand sheet: when changing from historic data to forecast mode, colour change and message box used to highlight the difference and suggested actions for users.
Summary sheet - text in tables adjusted to reflect demand forecast/Covid adjustment selections. WL predictions are temporarily disabled when either of these are in use.
Bug fix: switching back to historic demand while using Covid adjustments now keeps date axis at correct alignment.
Bug fix: Sheet protection in Demand sheet not working correctly, formatting errors (black squares in modality 2 demand section) corrected.</t>
  </si>
  <si>
    <t>Original</t>
  </si>
  <si>
    <t>3.4a</t>
  </si>
  <si>
    <t>3.4b</t>
  </si>
  <si>
    <t>Bug fixes:
Planned sheet: Uplift can now range between -100% and +900%. Formatting changed to help clarify how uplift figures are used (eg. +2%).
* Demand adjustment for Covid - extended transition period option from 8 to 12 wks, same for spread of backlog.</t>
  </si>
  <si>
    <t>Number of weeks it will take to phase reopening to full capacity (0 - 36):</t>
  </si>
  <si>
    <t>H24:BG223</t>
  </si>
  <si>
    <t>x</t>
  </si>
  <si>
    <t>Locum</t>
  </si>
  <si>
    <t>Bug fixes:
* Demand sheet - blank starting dates when using forecast will now start from week 1.
* Demand adjustment for Covid - will now show an error message if enabled with forecast, and no start date on the Demand sheet.
* Import function now works correctly, and is compatible with older versions of the tool.
* Unit changes are consistent for capacity summary, if changing between patients/points/minutes.
Changes:
* Demand adjustment for Covid - sheet protection now enabled, and formatting changes to clean sheet if demand adjustments are not enabled.</t>
  </si>
  <si>
    <t>3.4c</t>
  </si>
  <si>
    <t>Bug fix:
Planning page calculations for adjusted values was not consistent with demand adjustments, if backlog and 'hidden' patients were added. Updated so calculations are now consistent.</t>
  </si>
  <si>
    <t>Enable clinic?</t>
  </si>
  <si>
    <t>Total count</t>
  </si>
  <si>
    <t>Scenario name</t>
  </si>
  <si>
    <t>Start Date</t>
  </si>
  <si>
    <t>What if Planning</t>
  </si>
  <si>
    <t>NASRD</t>
  </si>
  <si>
    <t>NASLD</t>
  </si>
  <si>
    <t>Core:</t>
  </si>
  <si>
    <t>AdHoc</t>
  </si>
  <si>
    <t>Enabled</t>
  </si>
  <si>
    <t>Change demand scenario:</t>
  </si>
  <si>
    <t>Consultant: Mr Smith</t>
  </si>
  <si>
    <t>Consultant: Ms Taylor</t>
  </si>
  <si>
    <t>CT Scanner 1</t>
  </si>
  <si>
    <t>CT Scanner 2</t>
  </si>
  <si>
    <t>CT Scanner 3</t>
  </si>
  <si>
    <t>1. Consultant: Mr Smith</t>
  </si>
  <si>
    <t>2. Consultant: Ms Taylor</t>
  </si>
  <si>
    <t>3. CT Scanner 1</t>
  </si>
  <si>
    <t>Change Capacity Scenario:</t>
  </si>
  <si>
    <t>Name:</t>
  </si>
  <si>
    <t>Demand Uplift:</t>
  </si>
  <si>
    <t>ROTT:</t>
  </si>
  <si>
    <t>Scenario Count:</t>
  </si>
  <si>
    <t>Test</t>
  </si>
  <si>
    <t>NASL%</t>
  </si>
  <si>
    <t>NASR:D%</t>
  </si>
  <si>
    <t>NASL:D%</t>
  </si>
  <si>
    <t>Paul Bullard + Sai Khunpha</t>
  </si>
  <si>
    <t>Additional functionality:
Users can now save capacity and scenario templates, and switch between them for what-if planning. 
Scenario and capacity templates can be loaded via the Summary page.</t>
  </si>
  <si>
    <t>Required Capacity</t>
  </si>
  <si>
    <t>Core session</t>
  </si>
  <si>
    <t>3.4h</t>
  </si>
  <si>
    <t>Bug fix:
Capacity conversion from patients -&gt; other units and vice versa not working as expected, corrected so that it is now calculating correctly.</t>
  </si>
  <si>
    <t>3.4i</t>
  </si>
  <si>
    <t>Test name 1</t>
  </si>
  <si>
    <t>Test name 2</t>
  </si>
  <si>
    <t>Another modality</t>
  </si>
  <si>
    <t>Selection List</t>
  </si>
  <si>
    <t>Core Clinic 1</t>
  </si>
  <si>
    <t>Mon</t>
  </si>
  <si>
    <t>Independent sector 1</t>
  </si>
  <si>
    <t>Core Clinic 2</t>
  </si>
  <si>
    <t>Ad Hoc 2</t>
  </si>
  <si>
    <t>Core Clinic 3</t>
  </si>
  <si>
    <t>Tue</t>
  </si>
  <si>
    <t>Core Clinic 4</t>
  </si>
  <si>
    <t>Thu</t>
  </si>
  <si>
    <t>Covid restoration clinic</t>
  </si>
  <si>
    <t>Wed</t>
  </si>
  <si>
    <t>3.4ii</t>
  </si>
  <si>
    <t>5% Increase</t>
  </si>
  <si>
    <t>Current Template:</t>
  </si>
  <si>
    <t>Scenario1</t>
  </si>
  <si>
    <t>Capacity Scenario:</t>
  </si>
  <si>
    <t>Planning Scenario:</t>
  </si>
  <si>
    <t>Capacity Template Options</t>
  </si>
  <si>
    <t>Historic data</t>
  </si>
  <si>
    <t xml:space="preserve">  Based on 85th percentile</t>
  </si>
  <si>
    <t xml:space="preserve">  Based on 65th percentile</t>
  </si>
  <si>
    <t>[Not Saved]</t>
  </si>
  <si>
    <t>Warning message for importing capacity and demand scenarios that unsaved changes will be lost.
Importing demand scenario now updates summary table in summary tab.
Capacity import/export now accounts for change from minutes/points/patients.
Loaded capacity template displayed on capacity, capacity summary and summary sheet.
Waiting list clearance calculation corrected
Warning message to &gt;52 weeks entered in "weeks per year" for Capacity
Change made to how week 53 is displayed in summary tab
Change made to how specific week selections in Capacity Summary calculates in Summary tab
Correction to overall summary capacity figures at top of table in Capacity sheet</t>
  </si>
  <si>
    <t>Bug fix
Capacity calculation headers patched to cover cases that were previously not expected (ie. wk 53 logic).
Required capacity summary patched - was previously summing 53 weeks, corrected to 52.</t>
  </si>
  <si>
    <t>Version: 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</si>
</sst>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
    <numFmt numFmtId="165" formatCode="_-* #,##0_-;\-* #,##0_-;_-* &quot;-&quot;??_-;_-@_-"/>
    <numFmt numFmtId="166" formatCode="0.0"/>
    <numFmt numFmtId="167" formatCode="#,##0.0"/>
    <numFmt numFmtId="168" formatCode="\+0%;\-0%;0%"/>
  </numFmts>
  <fonts count="79"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000000"/>
      <name val="Arial"/>
      <family val="2"/>
    </font>
    <font>
      <b/>
      <sz val="11"/>
      <color rgb="FFFFFFFF"/>
      <name val="Arial"/>
      <family val="2"/>
    </font>
    <font>
      <sz val="6"/>
      <color theme="0"/>
      <name val="Arial"/>
      <family val="2"/>
    </font>
    <font>
      <sz val="6"/>
      <color theme="1"/>
      <name val="Arial"/>
      <family val="2"/>
    </font>
    <font>
      <sz val="7"/>
      <color theme="1"/>
      <name val="Arial"/>
      <family val="2"/>
    </font>
    <font>
      <sz val="9"/>
      <color rgb="FFFF0000"/>
      <name val="Arial"/>
      <family val="2"/>
    </font>
    <font>
      <sz val="11"/>
      <color theme="0" tint="-0.14999847407452621"/>
      <name val="Arial"/>
      <family val="2"/>
    </font>
    <font>
      <sz val="4"/>
      <color theme="0"/>
      <name val="Arial"/>
      <family val="2"/>
    </font>
    <font>
      <sz val="8"/>
      <name val="Arial"/>
      <family val="2"/>
    </font>
    <font>
      <b/>
      <sz val="11"/>
      <color rgb="FF000000"/>
      <name val="Calibri"/>
      <family val="2"/>
    </font>
    <font>
      <sz val="8"/>
      <color rgb="FF000000"/>
      <name val="Tahoma"/>
      <family val="2"/>
    </font>
  </fonts>
  <fills count="87">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2F2F2"/>
        <bgColor indexed="64"/>
      </patternFill>
    </fill>
  </fills>
  <borders count="97">
    <border>
      <left/>
      <right/>
      <top/>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right/>
      <top style="thin">
        <color auto="1"/>
      </top>
      <bottom style="thin">
        <color auto="1"/>
      </bottom>
      <diagonal/>
    </border>
    <border>
      <left style="thin">
        <color theme="1" tint="0.14993743705557422"/>
      </left>
      <right/>
      <top style="thin">
        <color theme="1" tint="0.14996795556505021"/>
      </top>
      <bottom style="thin">
        <color theme="1" tint="0.14996795556505021"/>
      </bottom>
      <diagonal/>
    </border>
    <border>
      <left/>
      <right/>
      <top style="thin">
        <color theme="1" tint="0.14996795556505021"/>
      </top>
      <bottom style="thin">
        <color theme="1" tint="0.14996795556505021"/>
      </bottom>
      <diagonal/>
    </border>
    <border>
      <left/>
      <right style="thin">
        <color indexed="64"/>
      </right>
      <top style="thin">
        <color theme="1" tint="0.14996795556505021"/>
      </top>
      <bottom style="thin">
        <color theme="1" tint="0.14996795556505021"/>
      </bottom>
      <diagonal/>
    </border>
    <border>
      <left/>
      <right/>
      <top/>
      <bottom style="medium">
        <color rgb="FF768692"/>
      </bottom>
      <diagonal/>
    </border>
    <border>
      <left/>
      <right/>
      <top/>
      <bottom style="medium">
        <color rgb="FF425563"/>
      </bottom>
      <diagonal/>
    </border>
    <border>
      <left style="thin">
        <color auto="1"/>
      </left>
      <right style="thin">
        <color auto="1"/>
      </right>
      <top/>
      <bottom style="thin">
        <color auto="1"/>
      </bottom>
      <diagonal/>
    </border>
    <border>
      <left style="thin">
        <color auto="1"/>
      </left>
      <right/>
      <top/>
      <bottom/>
      <diagonal/>
    </border>
    <border>
      <left style="thin">
        <color auto="1"/>
      </left>
      <right/>
      <top/>
      <bottom style="thin">
        <color theme="0"/>
      </bottom>
      <diagonal/>
    </border>
    <border>
      <left/>
      <right/>
      <top/>
      <bottom style="medium">
        <color indexed="64"/>
      </bottom>
      <diagonal/>
    </border>
    <border>
      <left/>
      <right style="thin">
        <color rgb="FFFFFFFF"/>
      </right>
      <top/>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0" applyNumberFormat="0" applyFill="0" applyAlignment="0" applyProtection="0"/>
    <xf numFmtId="0" fontId="18" fillId="0" borderId="31" applyNumberFormat="0" applyFill="0" applyAlignment="0" applyProtection="0"/>
    <xf numFmtId="0" fontId="19" fillId="0" borderId="32"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3" applyNumberFormat="0" applyAlignment="0" applyProtection="0"/>
    <xf numFmtId="0" fontId="24" fillId="19" borderId="34" applyNumberFormat="0" applyAlignment="0" applyProtection="0"/>
    <xf numFmtId="0" fontId="25" fillId="19" borderId="33" applyNumberFormat="0" applyAlignment="0" applyProtection="0"/>
    <xf numFmtId="0" fontId="26" fillId="0" borderId="35" applyNumberFormat="0" applyFill="0" applyAlignment="0" applyProtection="0"/>
    <xf numFmtId="0" fontId="27" fillId="20" borderId="36"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38"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39" applyNumberFormat="0" applyAlignment="0" applyProtection="0"/>
    <xf numFmtId="0" fontId="37" fillId="67" borderId="40"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1" applyNumberFormat="0" applyFill="0" applyAlignment="0" applyProtection="0"/>
    <xf numFmtId="0" fontId="48" fillId="0" borderId="42" applyNumberFormat="0" applyFill="0" applyAlignment="0" applyProtection="0"/>
    <xf numFmtId="0" fontId="49" fillId="0" borderId="43"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39" applyNumberFormat="0" applyAlignment="0" applyProtection="0"/>
    <xf numFmtId="0" fontId="41" fillId="0" borderId="44"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37" applyNumberFormat="0" applyFont="0" applyAlignment="0" applyProtection="0"/>
    <xf numFmtId="0" fontId="33" fillId="49" borderId="45" applyNumberFormat="0" applyFont="0" applyAlignment="0" applyProtection="0"/>
    <xf numFmtId="0" fontId="32" fillId="21" borderId="37" applyNumberFormat="0" applyFont="0" applyAlignment="0" applyProtection="0"/>
    <xf numFmtId="0" fontId="43" fillId="53" borderId="46" applyNumberFormat="0" applyAlignment="0" applyProtection="0"/>
    <xf numFmtId="0" fontId="50" fillId="0" borderId="0" applyNumberFormat="0" applyFill="0" applyBorder="0" applyAlignment="0" applyProtection="0"/>
    <xf numFmtId="0" fontId="44" fillId="0" borderId="47"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88">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18" xfId="0" applyFill="1" applyBorder="1"/>
    <xf numFmtId="0" fontId="0" fillId="5" borderId="20" xfId="0" applyFill="1" applyBorder="1"/>
    <xf numFmtId="0" fontId="0" fillId="5" borderId="21" xfId="0" applyFill="1" applyBorder="1"/>
    <xf numFmtId="0" fontId="0" fillId="6" borderId="21" xfId="0" applyFill="1" applyBorder="1"/>
    <xf numFmtId="0" fontId="0" fillId="5" borderId="19" xfId="0" applyFill="1" applyBorder="1"/>
    <xf numFmtId="0" fontId="0" fillId="6" borderId="18" xfId="0" applyFill="1" applyBorder="1"/>
    <xf numFmtId="0" fontId="0" fillId="5" borderId="24" xfId="0" applyFill="1" applyBorder="1"/>
    <xf numFmtId="0" fontId="11" fillId="5" borderId="0" xfId="0" applyFont="1" applyFill="1"/>
    <xf numFmtId="0" fontId="0" fillId="7" borderId="0" xfId="0" applyFill="1"/>
    <xf numFmtId="0" fontId="0" fillId="7" borderId="25" xfId="0" applyFill="1" applyBorder="1"/>
    <xf numFmtId="0" fontId="0" fillId="7" borderId="20" xfId="0" applyFill="1" applyBorder="1"/>
    <xf numFmtId="0" fontId="0" fillId="7" borderId="24" xfId="0" applyFill="1" applyBorder="1"/>
    <xf numFmtId="0" fontId="0" fillId="7" borderId="21" xfId="0" applyFill="1" applyBorder="1"/>
    <xf numFmtId="0" fontId="0" fillId="7" borderId="0" xfId="0" applyFill="1" applyBorder="1"/>
    <xf numFmtId="0" fontId="0" fillId="7" borderId="18" xfId="0" applyFill="1" applyBorder="1"/>
    <xf numFmtId="0" fontId="0" fillId="7" borderId="23" xfId="0" applyFill="1" applyBorder="1"/>
    <xf numFmtId="0" fontId="0" fillId="7" borderId="28" xfId="0" applyFill="1" applyBorder="1"/>
    <xf numFmtId="0" fontId="0" fillId="7" borderId="29" xfId="0" applyFill="1" applyBorder="1"/>
    <xf numFmtId="0" fontId="12" fillId="7" borderId="0" xfId="0" applyFont="1" applyFill="1"/>
    <xf numFmtId="0" fontId="0" fillId="8" borderId="0" xfId="0" applyFill="1"/>
    <xf numFmtId="0" fontId="0" fillId="8" borderId="18" xfId="0" applyFill="1" applyBorder="1"/>
    <xf numFmtId="0" fontId="0" fillId="8" borderId="25"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48" xfId="0" applyBorder="1"/>
    <xf numFmtId="1" fontId="0" fillId="0" borderId="0" xfId="0" applyNumberFormat="1"/>
    <xf numFmtId="0" fontId="5" fillId="3" borderId="48"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48"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48"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2" xfId="0" applyBorder="1"/>
    <xf numFmtId="14" fontId="0" fillId="0" borderId="0" xfId="0" applyNumberFormat="1"/>
    <xf numFmtId="0" fontId="4" fillId="0" borderId="48" xfId="0" applyFont="1" applyBorder="1"/>
    <xf numFmtId="0" fontId="4" fillId="10" borderId="2"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6" fillId="7" borderId="0" xfId="0" applyFont="1" applyFill="1" applyAlignment="1">
      <alignment horizontal="center"/>
    </xf>
    <xf numFmtId="164" fontId="0" fillId="0" borderId="48" xfId="0" applyNumberFormat="1" applyBorder="1"/>
    <xf numFmtId="3" fontId="0" fillId="0" borderId="48" xfId="0" applyNumberFormat="1" applyBorder="1"/>
    <xf numFmtId="0" fontId="4" fillId="0" borderId="0" xfId="0" applyFont="1" applyAlignment="1">
      <alignment horizontal="center"/>
    </xf>
    <xf numFmtId="0" fontId="4" fillId="71" borderId="2" xfId="0" applyFont="1" applyFill="1" applyBorder="1" applyAlignment="1">
      <alignment horizontal="center"/>
    </xf>
    <xf numFmtId="0" fontId="4" fillId="70" borderId="2" xfId="0" applyFont="1" applyFill="1" applyBorder="1" applyAlignment="1">
      <alignment horizontal="center"/>
    </xf>
    <xf numFmtId="0" fontId="4" fillId="8" borderId="2" xfId="0" applyFont="1" applyFill="1" applyBorder="1" applyAlignment="1">
      <alignment horizontal="center"/>
    </xf>
    <xf numFmtId="164" fontId="0" fillId="0" borderId="0" xfId="1" applyNumberFormat="1"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0" xfId="0" applyFont="1" applyFill="1" applyBorder="1" applyAlignment="1">
      <alignment horizontal="center"/>
    </xf>
    <xf numFmtId="0" fontId="5" fillId="0" borderId="50" xfId="0" applyFont="1" applyFill="1" applyBorder="1"/>
    <xf numFmtId="0" fontId="5" fillId="75" borderId="48" xfId="0" applyFont="1" applyFill="1" applyBorder="1"/>
    <xf numFmtId="14" fontId="4" fillId="0" borderId="0" xfId="0" applyNumberFormat="1" applyFont="1"/>
    <xf numFmtId="0" fontId="5" fillId="76" borderId="48" xfId="0" applyFont="1" applyFill="1" applyBorder="1" applyAlignment="1">
      <alignment horizontal="center" vertical="center" wrapText="1"/>
    </xf>
    <xf numFmtId="0" fontId="5" fillId="76" borderId="48" xfId="0" applyFont="1" applyFill="1" applyBorder="1" applyAlignment="1">
      <alignment horizontal="center" wrapText="1"/>
    </xf>
    <xf numFmtId="0" fontId="5" fillId="76" borderId="48" xfId="0" applyFont="1" applyFill="1" applyBorder="1"/>
    <xf numFmtId="0" fontId="5" fillId="78" borderId="48" xfId="0" applyFont="1" applyFill="1" applyBorder="1"/>
    <xf numFmtId="0" fontId="5" fillId="77" borderId="48" xfId="0" applyFont="1" applyFill="1" applyBorder="1" applyAlignment="1">
      <alignment horizontal="center" vertical="center"/>
    </xf>
    <xf numFmtId="0" fontId="5" fillId="77" borderId="48" xfId="0" applyFont="1" applyFill="1" applyBorder="1" applyAlignment="1">
      <alignment horizontal="center" vertical="center" wrapText="1"/>
    </xf>
    <xf numFmtId="0" fontId="0" fillId="68" borderId="48" xfId="0" applyFill="1" applyBorder="1"/>
    <xf numFmtId="0" fontId="5" fillId="76" borderId="48" xfId="0" applyFont="1" applyFill="1" applyBorder="1" applyAlignment="1">
      <alignment horizontal="center"/>
    </xf>
    <xf numFmtId="0" fontId="5" fillId="75" borderId="48"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2" xfId="0" applyNumberFormat="1" applyBorder="1"/>
    <xf numFmtId="3" fontId="0" fillId="0" borderId="53" xfId="0" applyNumberFormat="1" applyBorder="1"/>
    <xf numFmtId="0" fontId="0" fillId="0" borderId="0" xfId="0" applyFill="1" applyBorder="1" applyProtection="1">
      <protection locked="0"/>
    </xf>
    <xf numFmtId="0" fontId="5" fillId="76" borderId="51"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0" xfId="0" applyFont="1" applyFill="1" applyBorder="1"/>
    <xf numFmtId="0" fontId="15" fillId="79" borderId="70" xfId="0" applyFont="1" applyFill="1" applyBorder="1"/>
    <xf numFmtId="0" fontId="0" fillId="68" borderId="0" xfId="0" applyFill="1" applyBorder="1" applyAlignment="1"/>
    <xf numFmtId="0" fontId="0" fillId="68" borderId="48" xfId="0" applyFill="1" applyBorder="1" applyAlignment="1" applyProtection="1">
      <alignment horizontal="center"/>
      <protection locked="0"/>
    </xf>
    <xf numFmtId="0" fontId="61" fillId="0" borderId="0" xfId="0" applyFont="1"/>
    <xf numFmtId="0" fontId="0" fillId="0" borderId="0" xfId="0" applyAlignment="1">
      <alignment horizontal="left"/>
    </xf>
    <xf numFmtId="0" fontId="14" fillId="81" borderId="65"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2" fillId="0" borderId="0" xfId="0" applyFont="1" applyAlignment="1">
      <alignment vertical="center"/>
    </xf>
    <xf numFmtId="0" fontId="62" fillId="0" borderId="0" xfId="0" applyFont="1"/>
    <xf numFmtId="0" fontId="0" fillId="83" borderId="76" xfId="0" applyFill="1" applyBorder="1" applyAlignment="1"/>
    <xf numFmtId="0" fontId="0" fillId="0" borderId="0" xfId="0" applyProtection="1">
      <protection locked="0"/>
    </xf>
    <xf numFmtId="0" fontId="0" fillId="0" borderId="48" xfId="0" applyBorder="1" applyAlignment="1" applyProtection="1">
      <alignment horizontal="center" vertical="center"/>
      <protection locked="0"/>
    </xf>
    <xf numFmtId="0" fontId="0" fillId="0" borderId="48"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58" xfId="0" applyFont="1" applyBorder="1" applyAlignment="1" applyProtection="1">
      <alignment horizontal="center" vertical="center"/>
      <protection locked="0"/>
    </xf>
    <xf numFmtId="0" fontId="5" fillId="0" borderId="59"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48" xfId="0" applyFont="1" applyBorder="1" applyAlignment="1" applyProtection="1">
      <alignment horizontal="center"/>
      <protection locked="0"/>
    </xf>
    <xf numFmtId="0" fontId="0" fillId="0" borderId="72" xfId="0" applyBorder="1" applyAlignment="1" applyProtection="1">
      <alignment horizontal="center"/>
      <protection locked="0"/>
    </xf>
    <xf numFmtId="0" fontId="0" fillId="0" borderId="72" xfId="0" applyBorder="1" applyProtection="1">
      <protection locked="0"/>
    </xf>
    <xf numFmtId="0" fontId="0" fillId="0" borderId="52" xfId="0" applyBorder="1" applyProtection="1">
      <protection locked="0"/>
    </xf>
    <xf numFmtId="0" fontId="0" fillId="0" borderId="52" xfId="0" applyBorder="1" applyAlignment="1" applyProtection="1">
      <alignment horizontal="center"/>
      <protection locked="0"/>
    </xf>
    <xf numFmtId="0" fontId="4" fillId="0" borderId="48" xfId="0" applyFont="1" applyBorder="1" applyAlignment="1">
      <alignment wrapText="1"/>
    </xf>
    <xf numFmtId="0" fontId="0" fillId="0" borderId="48" xfId="0" applyBorder="1" applyAlignment="1">
      <alignment wrapText="1"/>
    </xf>
    <xf numFmtId="14" fontId="0" fillId="0" borderId="72" xfId="0" applyNumberFormat="1" applyBorder="1" applyProtection="1">
      <protection locked="0"/>
    </xf>
    <xf numFmtId="0" fontId="4" fillId="68" borderId="0" xfId="0" applyFont="1" applyFill="1" applyBorder="1"/>
    <xf numFmtId="0" fontId="0" fillId="0" borderId="48" xfId="0" applyBorder="1" applyAlignment="1" applyProtection="1">
      <protection locked="0"/>
    </xf>
    <xf numFmtId="0" fontId="63" fillId="0" borderId="0" xfId="0" applyFont="1"/>
    <xf numFmtId="0" fontId="0" fillId="68" borderId="53" xfId="0" applyFill="1" applyBorder="1" applyProtection="1">
      <protection locked="0"/>
    </xf>
    <xf numFmtId="0" fontId="0" fillId="68" borderId="52" xfId="0" applyFill="1" applyBorder="1" applyProtection="1">
      <protection locked="0"/>
    </xf>
    <xf numFmtId="14" fontId="0" fillId="68" borderId="53" xfId="0" applyNumberFormat="1" applyFill="1" applyBorder="1" applyProtection="1">
      <protection locked="0"/>
    </xf>
    <xf numFmtId="14" fontId="0" fillId="68" borderId="52" xfId="0" applyNumberFormat="1" applyFill="1" applyBorder="1" applyProtection="1">
      <protection locked="0"/>
    </xf>
    <xf numFmtId="3" fontId="0" fillId="0" borderId="52" xfId="0" applyNumberFormat="1" applyBorder="1" applyProtection="1">
      <protection locked="0"/>
    </xf>
    <xf numFmtId="0" fontId="0" fillId="0" borderId="53" xfId="0" applyBorder="1" applyProtection="1">
      <protection locked="0"/>
    </xf>
    <xf numFmtId="3" fontId="0" fillId="0" borderId="53" xfId="0" applyNumberFormat="1" applyBorder="1" applyProtection="1">
      <protection locked="0"/>
    </xf>
    <xf numFmtId="0" fontId="0" fillId="0" borderId="1" xfId="0" applyBorder="1" applyAlignment="1" applyProtection="1">
      <alignment horizontal="center" vertical="center"/>
      <protection locked="0"/>
    </xf>
    <xf numFmtId="3" fontId="0" fillId="0" borderId="6" xfId="0" applyNumberFormat="1" applyBorder="1" applyProtection="1">
      <protection locked="0"/>
    </xf>
    <xf numFmtId="3" fontId="0" fillId="0" borderId="7" xfId="0" applyNumberFormat="1" applyBorder="1" applyProtection="1">
      <protection locked="0"/>
    </xf>
    <xf numFmtId="3" fontId="0" fillId="0" borderId="8" xfId="0" applyNumberFormat="1" applyBorder="1" applyProtection="1">
      <protection locked="0"/>
    </xf>
    <xf numFmtId="3" fontId="0" fillId="0" borderId="15" xfId="0" applyNumberFormat="1" applyBorder="1" applyProtection="1">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6"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7"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6" xfId="0" applyNumberFormat="1" applyFill="1" applyBorder="1" applyProtection="1">
      <protection locked="0"/>
    </xf>
    <xf numFmtId="3" fontId="0" fillId="2" borderId="7" xfId="0" applyNumberFormat="1" applyFill="1" applyBorder="1" applyProtection="1">
      <protection locked="0"/>
    </xf>
    <xf numFmtId="3" fontId="0" fillId="2" borderId="8" xfId="0" applyNumberFormat="1" applyFill="1" applyBorder="1" applyProtection="1">
      <protection locked="0"/>
    </xf>
    <xf numFmtId="3" fontId="0" fillId="2" borderId="15" xfId="0" applyNumberFormat="1" applyFill="1" applyBorder="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6"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7" xfId="0" applyNumberFormat="1" applyFill="1" applyBorder="1" applyProtection="1">
      <protection locked="0"/>
    </xf>
    <xf numFmtId="3" fontId="0" fillId="0" borderId="3" xfId="0" applyNumberFormat="1" applyBorder="1" applyAlignment="1" applyProtection="1">
      <alignment horizontal="center"/>
      <protection locked="0"/>
    </xf>
    <xf numFmtId="3" fontId="0" fillId="0" borderId="4" xfId="0" applyNumberFormat="1" applyBorder="1" applyAlignment="1" applyProtection="1">
      <alignment horizontal="center"/>
      <protection locked="0"/>
    </xf>
    <xf numFmtId="3" fontId="0" fillId="0" borderId="5"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1" xfId="0" applyBorder="1" applyAlignment="1" applyProtection="1">
      <alignment horizontal="right"/>
      <protection locked="0"/>
    </xf>
    <xf numFmtId="14" fontId="0" fillId="0" borderId="48" xfId="0" applyNumberFormat="1" applyBorder="1" applyProtection="1">
      <protection locked="0"/>
    </xf>
    <xf numFmtId="0" fontId="0" fillId="68" borderId="1" xfId="0" applyFill="1" applyBorder="1" applyAlignment="1" applyProtection="1">
      <alignment horizontal="center" vertical="center"/>
      <protection locked="0"/>
    </xf>
    <xf numFmtId="3" fontId="0" fillId="0" borderId="49" xfId="0" applyNumberFormat="1" applyBorder="1" applyProtection="1">
      <protection locked="0"/>
    </xf>
    <xf numFmtId="0" fontId="4" fillId="0" borderId="48" xfId="0" applyFont="1" applyBorder="1" applyAlignment="1" applyProtection="1">
      <alignment horizontal="center"/>
      <protection locked="0"/>
    </xf>
    <xf numFmtId="0" fontId="0" fillId="0" borderId="2"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2" xfId="0" applyNumberFormat="1" applyFill="1" applyBorder="1" applyProtection="1">
      <protection hidden="1"/>
    </xf>
    <xf numFmtId="3" fontId="0" fillId="9" borderId="53" xfId="0" applyNumberFormat="1" applyFill="1" applyBorder="1" applyProtection="1">
      <protection hidden="1"/>
    </xf>
    <xf numFmtId="3" fontId="5" fillId="78" borderId="48" xfId="0" applyNumberFormat="1" applyFont="1" applyFill="1" applyBorder="1" applyProtection="1">
      <protection hidden="1"/>
    </xf>
    <xf numFmtId="3" fontId="5" fillId="76" borderId="48" xfId="0" applyNumberFormat="1" applyFont="1" applyFill="1" applyBorder="1" applyProtection="1">
      <protection hidden="1"/>
    </xf>
    <xf numFmtId="0" fontId="0" fillId="68" borderId="0" xfId="0" applyFill="1" applyProtection="1">
      <protection hidden="1"/>
    </xf>
    <xf numFmtId="9" fontId="0" fillId="9" borderId="67" xfId="0" applyNumberFormat="1" applyFill="1" applyBorder="1" applyProtection="1">
      <protection hidden="1"/>
    </xf>
    <xf numFmtId="0" fontId="62" fillId="0" borderId="0" xfId="0" applyFont="1" applyProtection="1">
      <protection hidden="1"/>
    </xf>
    <xf numFmtId="9" fontId="64" fillId="9" borderId="62" xfId="0" applyNumberFormat="1" applyFont="1" applyFill="1" applyBorder="1" applyProtection="1">
      <protection locked="0"/>
    </xf>
    <xf numFmtId="9" fontId="64" fillId="9" borderId="64" xfId="0" applyNumberFormat="1" applyFont="1" applyFill="1" applyBorder="1" applyProtection="1">
      <protection locked="0"/>
    </xf>
    <xf numFmtId="0" fontId="4" fillId="73" borderId="55" xfId="0" applyFont="1" applyFill="1" applyBorder="1" applyAlignment="1" applyProtection="1">
      <alignment horizontal="center" vertical="center"/>
      <protection hidden="1"/>
    </xf>
    <xf numFmtId="0" fontId="0" fillId="9" borderId="73" xfId="0" applyFill="1" applyBorder="1" applyProtection="1">
      <protection hidden="1"/>
    </xf>
    <xf numFmtId="0" fontId="0" fillId="9" borderId="74" xfId="0" applyFill="1" applyBorder="1" applyProtection="1">
      <protection hidden="1"/>
    </xf>
    <xf numFmtId="0" fontId="0" fillId="9" borderId="75" xfId="0" applyFill="1" applyBorder="1" applyProtection="1">
      <protection hidden="1"/>
    </xf>
    <xf numFmtId="0" fontId="4" fillId="73" borderId="56" xfId="0" applyFont="1" applyFill="1" applyBorder="1" applyAlignment="1" applyProtection="1">
      <alignment horizontal="center" vertical="center"/>
      <protection hidden="1"/>
    </xf>
    <xf numFmtId="0" fontId="4" fillId="73" borderId="57"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59" fillId="0" borderId="0" xfId="0" applyFont="1" applyProtection="1">
      <protection hidden="1"/>
    </xf>
    <xf numFmtId="3" fontId="0" fillId="9" borderId="0" xfId="0" applyNumberFormat="1" applyFill="1" applyAlignment="1" applyProtection="1">
      <alignment wrapText="1"/>
      <protection hidden="1"/>
    </xf>
    <xf numFmtId="0" fontId="56" fillId="6" borderId="0" xfId="0" applyFont="1" applyFill="1" applyAlignment="1" applyProtection="1">
      <alignment horizontal="center"/>
      <protection hidden="1"/>
    </xf>
    <xf numFmtId="0" fontId="57"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1" xfId="0" applyBorder="1" applyProtection="1">
      <protection locked="0"/>
    </xf>
    <xf numFmtId="3" fontId="65" fillId="0" borderId="15" xfId="0" applyNumberFormat="1" applyFont="1" applyBorder="1" applyProtection="1">
      <protection hidden="1"/>
    </xf>
    <xf numFmtId="3" fontId="65" fillId="0" borderId="16" xfId="0" applyNumberFormat="1" applyFont="1" applyBorder="1" applyProtection="1">
      <protection hidden="1"/>
    </xf>
    <xf numFmtId="3" fontId="65" fillId="0" borderId="17" xfId="0" applyNumberFormat="1" applyFont="1" applyBorder="1" applyProtection="1">
      <protection hidden="1"/>
    </xf>
    <xf numFmtId="1" fontId="65" fillId="9" borderId="0" xfId="0" applyNumberFormat="1" applyFont="1" applyFill="1" applyProtection="1">
      <protection hidden="1"/>
    </xf>
    <xf numFmtId="3" fontId="65" fillId="2" borderId="15" xfId="0" applyNumberFormat="1" applyFont="1" applyFill="1" applyBorder="1" applyProtection="1">
      <protection hidden="1"/>
    </xf>
    <xf numFmtId="3" fontId="65" fillId="2" borderId="16" xfId="0" applyNumberFormat="1" applyFont="1" applyFill="1" applyBorder="1" applyProtection="1">
      <protection hidden="1"/>
    </xf>
    <xf numFmtId="3" fontId="65" fillId="2" borderId="17" xfId="0" applyNumberFormat="1" applyFont="1" applyFill="1" applyBorder="1" applyProtection="1">
      <protection hidden="1"/>
    </xf>
    <xf numFmtId="0" fontId="65" fillId="9" borderId="0" xfId="0" applyFont="1" applyFill="1" applyProtection="1">
      <protection hidden="1"/>
    </xf>
    <xf numFmtId="3" fontId="65" fillId="0" borderId="3" xfId="0" applyNumberFormat="1" applyFont="1" applyBorder="1" applyProtection="1">
      <protection hidden="1"/>
    </xf>
    <xf numFmtId="3" fontId="65" fillId="0" borderId="4" xfId="0" applyNumberFormat="1" applyFont="1" applyBorder="1" applyProtection="1">
      <protection hidden="1"/>
    </xf>
    <xf numFmtId="3" fontId="65" fillId="0" borderId="5" xfId="0" applyNumberFormat="1" applyFont="1" applyBorder="1" applyProtection="1">
      <protection hidden="1"/>
    </xf>
    <xf numFmtId="3" fontId="65" fillId="9" borderId="0" xfId="0" applyNumberFormat="1" applyFont="1" applyFill="1" applyProtection="1">
      <protection hidden="1"/>
    </xf>
    <xf numFmtId="0" fontId="61" fillId="0" borderId="0" xfId="0" applyNumberFormat="1" applyFont="1" applyBorder="1" applyAlignment="1" applyProtection="1">
      <alignment horizontal="center"/>
      <protection hidden="1"/>
    </xf>
    <xf numFmtId="0" fontId="61" fillId="0" borderId="15" xfId="0" applyNumberFormat="1" applyFont="1" applyBorder="1" applyProtection="1">
      <protection hidden="1"/>
    </xf>
    <xf numFmtId="0" fontId="61" fillId="0" borderId="16" xfId="0" applyNumberFormat="1" applyFont="1" applyBorder="1" applyProtection="1">
      <protection hidden="1"/>
    </xf>
    <xf numFmtId="0" fontId="61" fillId="0" borderId="17" xfId="0" applyNumberFormat="1" applyFont="1" applyBorder="1" applyProtection="1">
      <protection hidden="1"/>
    </xf>
    <xf numFmtId="0" fontId="61" fillId="9" borderId="0" xfId="0" applyNumberFormat="1" applyFont="1" applyFill="1" applyBorder="1" applyAlignment="1" applyProtection="1">
      <alignment horizontal="center"/>
      <protection hidden="1"/>
    </xf>
    <xf numFmtId="0" fontId="61" fillId="9" borderId="0" xfId="0" applyNumberFormat="1" applyFont="1" applyFill="1" applyProtection="1">
      <protection hidden="1"/>
    </xf>
    <xf numFmtId="0" fontId="51" fillId="0" borderId="72" xfId="0" applyFont="1" applyBorder="1" applyAlignment="1" applyProtection="1">
      <alignment horizontal="center" vertical="center" wrapText="1"/>
      <protection locked="0"/>
    </xf>
    <xf numFmtId="0" fontId="5" fillId="4" borderId="0" xfId="0" applyFont="1" applyFill="1" applyProtection="1">
      <protection hidden="1"/>
    </xf>
    <xf numFmtId="1" fontId="60" fillId="9" borderId="0" xfId="0" applyNumberFormat="1" applyFont="1" applyFill="1" applyProtection="1">
      <protection hidden="1"/>
    </xf>
    <xf numFmtId="0" fontId="60" fillId="9" borderId="0" xfId="0" applyFont="1" applyFill="1" applyProtection="1">
      <protection hidden="1"/>
    </xf>
    <xf numFmtId="14" fontId="60" fillId="9" borderId="54" xfId="0" applyNumberFormat="1" applyFont="1" applyFill="1" applyBorder="1" applyProtection="1">
      <protection hidden="1"/>
    </xf>
    <xf numFmtId="14" fontId="60" fillId="7" borderId="60" xfId="0" applyNumberFormat="1" applyFont="1" applyFill="1" applyBorder="1" applyProtection="1">
      <protection hidden="1"/>
    </xf>
    <xf numFmtId="14" fontId="60" fillId="7" borderId="70" xfId="0" applyNumberFormat="1" applyFont="1" applyFill="1" applyBorder="1" applyProtection="1">
      <protection hidden="1"/>
    </xf>
    <xf numFmtId="3" fontId="60" fillId="9" borderId="0" xfId="0" applyNumberFormat="1" applyFont="1" applyFill="1" applyProtection="1">
      <protection hidden="1"/>
    </xf>
    <xf numFmtId="0" fontId="9" fillId="0" borderId="0" xfId="0" applyFont="1"/>
    <xf numFmtId="3" fontId="62" fillId="0" borderId="0" xfId="0" applyNumberFormat="1" applyFont="1" applyProtection="1">
      <protection hidden="1"/>
    </xf>
    <xf numFmtId="3" fontId="0" fillId="9" borderId="64" xfId="0" applyNumberFormat="1" applyFill="1" applyBorder="1" applyProtection="1">
      <protection hidden="1"/>
    </xf>
    <xf numFmtId="0" fontId="0" fillId="9" borderId="64" xfId="0" applyFill="1" applyBorder="1" applyAlignment="1" applyProtection="1">
      <alignment horizontal="right"/>
      <protection hidden="1"/>
    </xf>
    <xf numFmtId="0" fontId="0" fillId="0" borderId="48" xfId="0" applyBorder="1" applyAlignment="1" applyProtection="1">
      <alignment horizontal="center"/>
      <protection locked="0"/>
    </xf>
    <xf numFmtId="0" fontId="4" fillId="73" borderId="78" xfId="0" applyFont="1" applyFill="1" applyBorder="1" applyAlignment="1" applyProtection="1">
      <alignment horizontal="center" vertical="center" wrapText="1"/>
      <protection hidden="1"/>
    </xf>
    <xf numFmtId="0" fontId="4" fillId="73" borderId="77"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69" xfId="0" applyFont="1" applyFill="1" applyBorder="1" applyAlignment="1">
      <alignment horizontal="center" vertical="center" wrapText="1"/>
    </xf>
    <xf numFmtId="0" fontId="0" fillId="0" borderId="48" xfId="0" applyBorder="1" applyProtection="1">
      <protection locked="0"/>
    </xf>
    <xf numFmtId="0" fontId="4" fillId="0" borderId="0" xfId="0" applyFont="1" applyProtection="1">
      <protection hidden="1"/>
    </xf>
    <xf numFmtId="0" fontId="4" fillId="0" borderId="72" xfId="0" applyFont="1" applyBorder="1"/>
    <xf numFmtId="0" fontId="0" fillId="0" borderId="72" xfId="0" applyBorder="1"/>
    <xf numFmtId="14" fontId="0" fillId="0" borderId="72" xfId="0" applyNumberFormat="1" applyBorder="1"/>
    <xf numFmtId="0" fontId="0" fillId="0" borderId="72" xfId="0" applyBorder="1" applyAlignment="1">
      <alignment wrapText="1"/>
    </xf>
    <xf numFmtId="0" fontId="0" fillId="0" borderId="72" xfId="0" applyFont="1" applyBorder="1"/>
    <xf numFmtId="14" fontId="0" fillId="0" borderId="72" xfId="0" applyNumberFormat="1" applyFont="1" applyBorder="1"/>
    <xf numFmtId="0" fontId="0" fillId="0" borderId="0" xfId="0" applyFont="1"/>
    <xf numFmtId="0" fontId="0" fillId="0" borderId="72"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48" xfId="0" applyFont="1" applyFill="1" applyBorder="1" applyAlignment="1" applyProtection="1">
      <alignment horizontal="center" vertical="center" wrapText="1"/>
      <protection hidden="1"/>
    </xf>
    <xf numFmtId="0" fontId="5" fillId="78" borderId="48"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9" borderId="79" xfId="0" applyNumberFormat="1" applyFill="1" applyBorder="1" applyProtection="1">
      <protection hidden="1"/>
    </xf>
    <xf numFmtId="3" fontId="0" fillId="9" borderId="80" xfId="0" applyNumberFormat="1" applyFill="1" applyBorder="1" applyProtection="1">
      <protection hidden="1"/>
    </xf>
    <xf numFmtId="10" fontId="0" fillId="0" borderId="0" xfId="0" applyNumberFormat="1" applyFill="1"/>
    <xf numFmtId="0" fontId="4" fillId="0" borderId="0" xfId="0" applyFont="1" applyFill="1"/>
    <xf numFmtId="0" fontId="14" fillId="81" borderId="68" xfId="0" applyFont="1" applyFill="1" applyBorder="1" applyAlignment="1">
      <alignment horizontal="center" vertical="center" wrapText="1"/>
    </xf>
    <xf numFmtId="0" fontId="4" fillId="0" borderId="0" xfId="0" applyFont="1"/>
    <xf numFmtId="0" fontId="4" fillId="0" borderId="0" xfId="0" applyFont="1"/>
    <xf numFmtId="0" fontId="60" fillId="0" borderId="0" xfId="0" applyFont="1" applyAlignment="1">
      <alignment horizontal="center"/>
    </xf>
    <xf numFmtId="164" fontId="60" fillId="0" borderId="0" xfId="1" applyNumberFormat="1" applyFont="1" applyAlignment="1">
      <alignment horizontal="right"/>
    </xf>
    <xf numFmtId="0" fontId="0" fillId="0" borderId="72"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0" fontId="5" fillId="78" borderId="81" xfId="0" applyFont="1" applyFill="1" applyBorder="1" applyAlignment="1" applyProtection="1">
      <alignment horizontal="center" vertical="center" wrapText="1"/>
      <protection hidden="1"/>
    </xf>
    <xf numFmtId="14" fontId="4" fillId="0" borderId="72" xfId="0" applyNumberFormat="1" applyFont="1" applyBorder="1"/>
    <xf numFmtId="0" fontId="4" fillId="0" borderId="0" xfId="0" applyFont="1"/>
    <xf numFmtId="0" fontId="4" fillId="0" borderId="72" xfId="0" applyFont="1" applyBorder="1" applyAlignment="1">
      <alignment wrapText="1"/>
    </xf>
    <xf numFmtId="0" fontId="0" fillId="0" borderId="52" xfId="0" applyFont="1" applyBorder="1" applyAlignment="1" applyProtection="1">
      <alignment vertical="center" wrapText="1"/>
      <protection locked="0"/>
    </xf>
    <xf numFmtId="14" fontId="0" fillId="0" borderId="0" xfId="0" applyNumberFormat="1"/>
    <xf numFmtId="0" fontId="15" fillId="0" borderId="52"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66" fillId="0" borderId="52" xfId="0" applyFont="1" applyBorder="1" applyAlignment="1" applyProtection="1">
      <alignment vertical="center" wrapText="1"/>
      <protection locked="0"/>
    </xf>
    <xf numFmtId="0" fontId="67" fillId="0" borderId="52" xfId="0" applyFont="1" applyBorder="1" applyAlignment="1" applyProtection="1">
      <alignment vertical="center" wrapText="1"/>
      <protection locked="0"/>
    </xf>
    <xf numFmtId="2" fontId="4" fillId="0" borderId="72" xfId="0" applyNumberFormat="1" applyFont="1" applyBorder="1"/>
    <xf numFmtId="0" fontId="68" fillId="0" borderId="0" xfId="0" applyFont="1" applyFill="1" applyBorder="1"/>
    <xf numFmtId="0" fontId="60" fillId="9" borderId="0" xfId="0" applyNumberFormat="1" applyFont="1" applyFill="1" applyProtection="1">
      <protection hidden="1"/>
    </xf>
    <xf numFmtId="0" fontId="59" fillId="0" borderId="0" xfId="0" applyFont="1" applyFill="1"/>
    <xf numFmtId="2" fontId="0" fillId="0" borderId="72" xfId="0" applyNumberFormat="1" applyFont="1" applyBorder="1"/>
    <xf numFmtId="0" fontId="69" fillId="0" borderId="0" xfId="0" applyFont="1" applyAlignment="1"/>
    <xf numFmtId="0" fontId="59" fillId="0" borderId="85" xfId="0" applyFont="1" applyFill="1" applyBorder="1" applyAlignment="1" applyProtection="1">
      <alignment horizontal="center" vertical="center"/>
      <protection locked="0"/>
    </xf>
    <xf numFmtId="164" fontId="59" fillId="0" borderId="85" xfId="0" applyNumberFormat="1" applyFont="1" applyFill="1" applyBorder="1" applyProtection="1">
      <protection locked="0"/>
    </xf>
    <xf numFmtId="14" fontId="0" fillId="0" borderId="1" xfId="0" applyNumberFormat="1" applyBorder="1" applyAlignment="1" applyProtection="1">
      <alignment horizontal="center" vertical="center"/>
      <protection locked="0"/>
    </xf>
    <xf numFmtId="14" fontId="0" fillId="0" borderId="0" xfId="0" applyNumberFormat="1" applyProtection="1"/>
    <xf numFmtId="0" fontId="0" fillId="0" borderId="72" xfId="0" applyBorder="1" applyAlignment="1" applyProtection="1">
      <alignment horizontal="center" vertical="center"/>
      <protection locked="0"/>
    </xf>
    <xf numFmtId="166" fontId="0" fillId="0" borderId="72" xfId="0" applyNumberFormat="1" applyFont="1" applyBorder="1"/>
    <xf numFmtId="0" fontId="51" fillId="0" borderId="0" xfId="0" applyFont="1"/>
    <xf numFmtId="0" fontId="51" fillId="0" borderId="0" xfId="0" applyFont="1" applyFill="1" applyBorder="1" applyAlignment="1">
      <alignment vertical="top"/>
    </xf>
    <xf numFmtId="0" fontId="0" fillId="0" borderId="72" xfId="0" applyBorder="1" applyProtection="1">
      <protection locked="0"/>
    </xf>
    <xf numFmtId="164" fontId="0" fillId="0" borderId="72" xfId="0" applyNumberFormat="1" applyBorder="1" applyProtection="1">
      <protection locked="0"/>
    </xf>
    <xf numFmtId="0" fontId="53" fillId="0" borderId="0" xfId="0" applyFont="1"/>
    <xf numFmtId="0" fontId="15" fillId="82" borderId="1" xfId="0" applyFont="1" applyFill="1" applyBorder="1" applyProtection="1">
      <protection locked="0"/>
    </xf>
    <xf numFmtId="0" fontId="71" fillId="0" borderId="0" xfId="0" applyFont="1" applyBorder="1"/>
    <xf numFmtId="0" fontId="70" fillId="0" borderId="0" xfId="0" applyFont="1" applyBorder="1" applyAlignment="1" applyProtection="1">
      <alignment horizontal="center" vertical="center"/>
      <protection locked="0"/>
    </xf>
    <xf numFmtId="0" fontId="70" fillId="0" borderId="0" xfId="0" applyFont="1" applyFill="1" applyBorder="1" applyAlignment="1" applyProtection="1">
      <alignment horizontal="center" vertical="center"/>
      <protection locked="0"/>
    </xf>
    <xf numFmtId="0" fontId="71" fillId="0" borderId="0" xfId="0" applyFont="1"/>
    <xf numFmtId="0" fontId="72" fillId="0" borderId="0" xfId="0" applyFont="1"/>
    <xf numFmtId="3" fontId="60" fillId="0" borderId="0" xfId="0" applyNumberFormat="1" applyFont="1" applyBorder="1" applyAlignment="1" applyProtection="1">
      <alignment horizontal="right"/>
      <protection hidden="1"/>
    </xf>
    <xf numFmtId="0" fontId="59" fillId="0" borderId="0" xfId="0" applyFont="1"/>
    <xf numFmtId="0" fontId="5" fillId="4" borderId="0" xfId="0" applyFont="1" applyFill="1" applyAlignment="1" applyProtection="1">
      <alignment vertical="center"/>
      <protection hidden="1"/>
    </xf>
    <xf numFmtId="0" fontId="0" fillId="0" borderId="0" xfId="0" applyProtection="1">
      <protection hidden="1"/>
    </xf>
    <xf numFmtId="0" fontId="15" fillId="0" borderId="0" xfId="0" applyFont="1" applyFill="1" applyAlignment="1" applyProtection="1">
      <alignment vertical="center"/>
      <protection hidden="1"/>
    </xf>
    <xf numFmtId="0" fontId="73" fillId="0" borderId="0" xfId="0" applyFont="1" applyProtection="1">
      <protection hidden="1"/>
    </xf>
    <xf numFmtId="0" fontId="0" fillId="0" borderId="0" xfId="0" applyFont="1" applyProtection="1">
      <protection hidden="1"/>
    </xf>
    <xf numFmtId="0" fontId="4" fillId="10" borderId="83" xfId="0" applyFont="1" applyFill="1" applyBorder="1" applyAlignment="1" applyProtection="1">
      <protection hidden="1"/>
    </xf>
    <xf numFmtId="0" fontId="4" fillId="10" borderId="86" xfId="0" applyFont="1" applyFill="1" applyBorder="1" applyAlignment="1" applyProtection="1">
      <protection hidden="1"/>
    </xf>
    <xf numFmtId="0" fontId="4" fillId="10" borderId="84" xfId="0" applyFont="1" applyFill="1" applyBorder="1" applyAlignment="1" applyProtection="1">
      <protection hidden="1"/>
    </xf>
    <xf numFmtId="0" fontId="4" fillId="10" borderId="72" xfId="0" applyFont="1" applyFill="1" applyBorder="1" applyAlignment="1" applyProtection="1">
      <alignment horizontal="center"/>
      <protection hidden="1"/>
    </xf>
    <xf numFmtId="0" fontId="4" fillId="84" borderId="72" xfId="0" applyFont="1" applyFill="1" applyBorder="1" applyProtection="1">
      <protection hidden="1"/>
    </xf>
    <xf numFmtId="3" fontId="4" fillId="84" borderId="72" xfId="0" applyNumberFormat="1" applyFont="1" applyFill="1" applyBorder="1" applyProtection="1">
      <protection hidden="1"/>
    </xf>
    <xf numFmtId="0" fontId="4" fillId="9" borderId="72" xfId="0" applyFont="1" applyFill="1" applyBorder="1" applyProtection="1">
      <protection hidden="1"/>
    </xf>
    <xf numFmtId="3" fontId="4" fillId="9" borderId="72" xfId="0" applyNumberFormat="1" applyFont="1" applyFill="1" applyBorder="1" applyProtection="1">
      <protection hidden="1"/>
    </xf>
    <xf numFmtId="3" fontId="74" fillId="0" borderId="52" xfId="0" applyNumberFormat="1" applyFont="1" applyBorder="1" applyAlignment="1" applyProtection="1">
      <alignment horizontal="center"/>
      <protection locked="0"/>
    </xf>
    <xf numFmtId="3" fontId="74" fillId="0" borderId="53" xfId="0" applyNumberFormat="1" applyFont="1" applyBorder="1" applyAlignment="1" applyProtection="1">
      <alignment horizontal="center"/>
      <protection locked="0"/>
    </xf>
    <xf numFmtId="0" fontId="75" fillId="0" borderId="0" xfId="0" applyFont="1" applyAlignment="1" applyProtection="1">
      <alignment horizontal="center" vertical="center"/>
      <protection locked="0"/>
    </xf>
    <xf numFmtId="0" fontId="75" fillId="0" borderId="0" xfId="0" applyFont="1" applyBorder="1" applyAlignment="1" applyProtection="1">
      <alignment horizontal="center" vertical="center"/>
      <protection locked="0"/>
    </xf>
    <xf numFmtId="0" fontId="75" fillId="0" borderId="58" xfId="0" applyFont="1" applyBorder="1" applyAlignment="1" applyProtection="1">
      <alignment horizontal="center" vertical="center"/>
      <protection locked="0"/>
    </xf>
    <xf numFmtId="0" fontId="75" fillId="0" borderId="59" xfId="0" applyFont="1" applyBorder="1" applyAlignment="1" applyProtection="1">
      <alignment horizontal="center" vertical="center"/>
      <protection locked="0"/>
    </xf>
    <xf numFmtId="0" fontId="75" fillId="0" borderId="0" xfId="0" applyFont="1" applyFill="1" applyBorder="1" applyAlignment="1" applyProtection="1">
      <alignment horizontal="center" vertical="center"/>
      <protection locked="0"/>
    </xf>
    <xf numFmtId="0" fontId="5" fillId="0" borderId="0" xfId="0" applyFont="1"/>
    <xf numFmtId="0" fontId="4" fillId="0" borderId="0" xfId="0" applyFont="1"/>
    <xf numFmtId="0" fontId="69" fillId="0" borderId="0" xfId="0" applyFont="1"/>
    <xf numFmtId="0" fontId="77" fillId="0" borderId="0" xfId="0" applyFont="1" applyAlignment="1">
      <alignment horizontal="center" vertical="center"/>
    </xf>
    <xf numFmtId="0" fontId="4" fillId="0" borderId="0" xfId="0" applyFont="1" applyAlignment="1" applyProtection="1">
      <alignment vertical="top"/>
      <protection locked="0"/>
    </xf>
    <xf numFmtId="0" fontId="5" fillId="0" borderId="0" xfId="0" applyFont="1" applyProtection="1">
      <protection locked="0"/>
    </xf>
    <xf numFmtId="0" fontId="4" fillId="0" borderId="0" xfId="0" applyFont="1"/>
    <xf numFmtId="0" fontId="0" fillId="85" borderId="0" xfId="0" applyFill="1"/>
    <xf numFmtId="9" fontId="0" fillId="85" borderId="0" xfId="1" applyFont="1" applyFill="1"/>
    <xf numFmtId="9" fontId="0" fillId="85" borderId="0" xfId="0" applyNumberFormat="1" applyFill="1"/>
    <xf numFmtId="0" fontId="0" fillId="9" borderId="66" xfId="0" applyFill="1" applyBorder="1" applyAlignment="1">
      <alignment horizontal="right"/>
    </xf>
    <xf numFmtId="0" fontId="59" fillId="0" borderId="0" xfId="0" applyFont="1"/>
    <xf numFmtId="14" fontId="0" fillId="0" borderId="72" xfId="0" applyNumberFormat="1" applyFont="1" applyBorder="1" applyAlignment="1">
      <alignment wrapText="1"/>
    </xf>
    <xf numFmtId="0" fontId="4" fillId="0" borderId="0" xfId="0" applyFont="1"/>
    <xf numFmtId="0" fontId="0" fillId="68" borderId="72" xfId="0" applyFill="1" applyBorder="1"/>
    <xf numFmtId="1" fontId="0" fillId="9" borderId="67" xfId="0" applyNumberFormat="1" applyFill="1" applyBorder="1" applyAlignment="1"/>
    <xf numFmtId="0" fontId="5" fillId="0" borderId="0" xfId="0" applyFont="1" applyAlignment="1">
      <alignment vertical="center"/>
    </xf>
    <xf numFmtId="0" fontId="5" fillId="76" borderId="48" xfId="0" applyFont="1" applyFill="1" applyBorder="1" applyAlignment="1">
      <alignment horizontal="center" vertical="center"/>
    </xf>
    <xf numFmtId="14" fontId="0" fillId="68" borderId="48" xfId="0" applyNumberFormat="1" applyFill="1" applyBorder="1" applyProtection="1">
      <protection locked="0"/>
    </xf>
    <xf numFmtId="14" fontId="14" fillId="0" borderId="82" xfId="0" applyNumberFormat="1" applyFont="1" applyFill="1" applyBorder="1" applyAlignment="1" applyProtection="1">
      <alignment horizontal="center" vertical="center"/>
      <protection locked="0"/>
    </xf>
    <xf numFmtId="3" fontId="14" fillId="86" borderId="64" xfId="0" applyNumberFormat="1" applyFont="1" applyFill="1" applyBorder="1" applyProtection="1">
      <protection hidden="1"/>
    </xf>
    <xf numFmtId="0" fontId="14" fillId="86" borderId="64" xfId="0" applyFont="1" applyFill="1" applyBorder="1" applyAlignment="1" applyProtection="1">
      <alignment horizontal="right"/>
      <protection hidden="1"/>
    </xf>
    <xf numFmtId="0" fontId="4" fillId="85" borderId="0" xfId="0" applyFont="1" applyFill="1"/>
    <xf numFmtId="3" fontId="0" fillId="85" borderId="0" xfId="0" applyNumberFormat="1" applyFill="1"/>
    <xf numFmtId="168" fontId="0" fillId="0" borderId="72" xfId="1" applyNumberFormat="1" applyFont="1" applyBorder="1" applyAlignment="1" applyProtection="1">
      <alignment horizontal="center" vertical="center"/>
    </xf>
    <xf numFmtId="9" fontId="0" fillId="0" borderId="72" xfId="1" applyFont="1" applyBorder="1" applyAlignment="1" applyProtection="1">
      <alignment horizontal="center" vertical="center"/>
    </xf>
    <xf numFmtId="0" fontId="61" fillId="0" borderId="0" xfId="0" applyFont="1" applyBorder="1" applyAlignment="1">
      <alignment horizontal="left"/>
    </xf>
    <xf numFmtId="0" fontId="61" fillId="0" borderId="71" xfId="0" applyFont="1" applyBorder="1" applyAlignment="1">
      <alignment horizontal="left"/>
    </xf>
    <xf numFmtId="0" fontId="0" fillId="0" borderId="87" xfId="0" applyBorder="1" applyAlignment="1" applyProtection="1">
      <alignment horizontal="center" wrapText="1"/>
      <protection locked="0"/>
    </xf>
    <xf numFmtId="0" fontId="0" fillId="0" borderId="88" xfId="0" applyBorder="1" applyAlignment="1" applyProtection="1">
      <alignment horizontal="center" wrapText="1"/>
      <protection locked="0"/>
    </xf>
    <xf numFmtId="0" fontId="0" fillId="0" borderId="89" xfId="0" applyBorder="1" applyAlignment="1" applyProtection="1">
      <alignment horizontal="center" wrapText="1"/>
      <protection locked="0"/>
    </xf>
    <xf numFmtId="0" fontId="0" fillId="0" borderId="0" xfId="0" applyAlignment="1">
      <alignment horizontal="left"/>
    </xf>
    <xf numFmtId="0" fontId="0" fillId="0" borderId="51" xfId="0" applyBorder="1" applyAlignment="1">
      <alignment horizontal="left"/>
    </xf>
    <xf numFmtId="0" fontId="56" fillId="0" borderId="83" xfId="0" applyFont="1" applyBorder="1" applyAlignment="1">
      <alignment horizontal="center"/>
    </xf>
    <xf numFmtId="0" fontId="56" fillId="0" borderId="86" xfId="0" applyFont="1" applyBorder="1" applyAlignment="1">
      <alignment horizontal="center"/>
    </xf>
    <xf numFmtId="0" fontId="56" fillId="0" borderId="84" xfId="0" applyFont="1" applyBorder="1" applyAlignment="1">
      <alignment horizontal="center"/>
    </xf>
    <xf numFmtId="3" fontId="0" fillId="0" borderId="83" xfId="0" applyNumberFormat="1" applyBorder="1" applyAlignment="1" applyProtection="1">
      <alignment horizontal="center"/>
      <protection locked="0"/>
    </xf>
    <xf numFmtId="3" fontId="0" fillId="0" borderId="86" xfId="0" applyNumberFormat="1" applyBorder="1" applyAlignment="1" applyProtection="1">
      <alignment horizontal="center"/>
      <protection locked="0"/>
    </xf>
    <xf numFmtId="3" fontId="0" fillId="0" borderId="84" xfId="0" applyNumberFormat="1" applyBorder="1" applyAlignment="1" applyProtection="1">
      <alignment horizontal="center"/>
      <protection locked="0"/>
    </xf>
    <xf numFmtId="0" fontId="0" fillId="0" borderId="83" xfId="0" applyBorder="1" applyAlignment="1" applyProtection="1">
      <alignment horizontal="center"/>
      <protection locked="0"/>
    </xf>
    <xf numFmtId="0" fontId="0" fillId="0" borderId="86" xfId="0" applyBorder="1" applyAlignment="1" applyProtection="1">
      <alignment horizontal="center"/>
      <protection locked="0"/>
    </xf>
    <xf numFmtId="0" fontId="0" fillId="0" borderId="84" xfId="0" applyBorder="1" applyAlignment="1" applyProtection="1">
      <alignment horizontal="center"/>
      <protection locked="0"/>
    </xf>
    <xf numFmtId="0" fontId="5" fillId="4" borderId="0" xfId="0" applyFont="1" applyFill="1" applyAlignment="1">
      <alignment horizontal="center" vertical="center" wrapText="1"/>
    </xf>
    <xf numFmtId="0" fontId="5" fillId="4" borderId="91" xfId="0" applyFont="1" applyFill="1" applyBorder="1" applyAlignment="1">
      <alignment horizontal="center" vertical="center" wrapText="1"/>
    </xf>
    <xf numFmtId="0" fontId="5" fillId="4" borderId="90" xfId="0" applyFont="1" applyFill="1" applyBorder="1" applyAlignment="1">
      <alignment horizontal="center" vertical="center" wrapText="1"/>
    </xf>
    <xf numFmtId="0" fontId="5" fillId="4" borderId="0" xfId="0" applyFont="1" applyFill="1" applyAlignment="1">
      <alignment horizontal="center" vertical="center"/>
    </xf>
    <xf numFmtId="0" fontId="5" fillId="4" borderId="90" xfId="0" applyFont="1" applyFill="1" applyBorder="1" applyAlignment="1">
      <alignment horizontal="center" vertical="center"/>
    </xf>
    <xf numFmtId="0" fontId="56" fillId="10" borderId="81" xfId="0" applyFont="1" applyFill="1" applyBorder="1" applyAlignment="1" applyProtection="1">
      <alignment horizontal="center" vertical="center" wrapText="1"/>
      <protection hidden="1"/>
    </xf>
    <xf numFmtId="0" fontId="56" fillId="10" borderId="92" xfId="0" applyFont="1" applyFill="1" applyBorder="1" applyAlignment="1" applyProtection="1">
      <alignment horizontal="center" vertical="center" wrapText="1"/>
      <protection hidden="1"/>
    </xf>
    <xf numFmtId="0" fontId="4" fillId="10" borderId="81" xfId="0" applyFont="1" applyFill="1" applyBorder="1" applyAlignment="1" applyProtection="1">
      <alignment horizontal="center" wrapText="1"/>
      <protection hidden="1"/>
    </xf>
    <xf numFmtId="0" fontId="4" fillId="10" borderId="92" xfId="0" applyFont="1" applyFill="1" applyBorder="1" applyAlignment="1" applyProtection="1">
      <alignment horizontal="center" wrapText="1"/>
      <protection hidden="1"/>
    </xf>
    <xf numFmtId="0" fontId="4" fillId="68" borderId="0" xfId="0" applyFont="1" applyFill="1" applyBorder="1" applyAlignment="1">
      <alignment horizontal="left"/>
    </xf>
    <xf numFmtId="0" fontId="5" fillId="75" borderId="83" xfId="0" applyFont="1" applyFill="1" applyBorder="1" applyAlignment="1">
      <alignment horizontal="center"/>
    </xf>
    <xf numFmtId="0" fontId="5" fillId="75" borderId="84" xfId="0" applyFont="1" applyFill="1" applyBorder="1" applyAlignment="1">
      <alignment horizontal="center"/>
    </xf>
    <xf numFmtId="0" fontId="5" fillId="76" borderId="83" xfId="0" applyFont="1" applyFill="1" applyBorder="1" applyAlignment="1">
      <alignment horizontal="center"/>
    </xf>
    <xf numFmtId="0" fontId="5" fillId="76" borderId="84"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1" xfId="0" applyFont="1" applyFill="1" applyBorder="1" applyAlignment="1" applyProtection="1">
      <alignment horizontal="center" vertical="center" wrapText="1"/>
      <protection locked="0"/>
    </xf>
    <xf numFmtId="0" fontId="14" fillId="0" borderId="50" xfId="0" applyFont="1" applyFill="1" applyBorder="1" applyAlignment="1" applyProtection="1">
      <alignment horizontal="center" vertical="center" wrapText="1"/>
      <protection locked="0"/>
    </xf>
    <xf numFmtId="0" fontId="14" fillId="0" borderId="92" xfId="0" applyFont="1" applyFill="1" applyBorder="1" applyAlignment="1" applyProtection="1">
      <alignment horizontal="center" vertical="center" wrapText="1"/>
      <protection locked="0"/>
    </xf>
    <xf numFmtId="0" fontId="14" fillId="81" borderId="93" xfId="0" applyFont="1" applyFill="1" applyBorder="1" applyAlignment="1">
      <alignment horizontal="center" vertical="center" wrapText="1"/>
    </xf>
    <xf numFmtId="0" fontId="14" fillId="81" borderId="55" xfId="0" applyFont="1" applyFill="1" applyBorder="1" applyAlignment="1">
      <alignment horizontal="center" vertical="center" wrapText="1"/>
    </xf>
    <xf numFmtId="0" fontId="14" fillId="81" borderId="94" xfId="0" applyFont="1" applyFill="1" applyBorder="1" applyAlignment="1">
      <alignment horizontal="center" vertical="center" wrapText="1"/>
    </xf>
    <xf numFmtId="0" fontId="14" fillId="81" borderId="61" xfId="0" applyFont="1" applyFill="1" applyBorder="1" applyAlignment="1">
      <alignment horizontal="center" vertical="center" wrapText="1"/>
    </xf>
    <xf numFmtId="0" fontId="14" fillId="81" borderId="57" xfId="0" applyFont="1" applyFill="1" applyBorder="1" applyAlignment="1">
      <alignment horizontal="center" vertical="center" wrapText="1"/>
    </xf>
    <xf numFmtId="0" fontId="14" fillId="81" borderId="0" xfId="0" applyFont="1" applyFill="1" applyBorder="1" applyAlignment="1">
      <alignment horizontal="center" vertical="center" wrapText="1"/>
    </xf>
    <xf numFmtId="0" fontId="14" fillId="81" borderId="63" xfId="0" applyFont="1" applyFill="1" applyBorder="1" applyAlignment="1">
      <alignment horizontal="center" vertical="center" wrapText="1"/>
    </xf>
    <xf numFmtId="0" fontId="14" fillId="81" borderId="60" xfId="0" applyFont="1" applyFill="1" applyBorder="1" applyAlignment="1">
      <alignment horizontal="center" vertical="center" wrapText="1"/>
    </xf>
    <xf numFmtId="0" fontId="0" fillId="8" borderId="0" xfId="0" applyFill="1" applyAlignment="1">
      <alignment horizontal="left" wrapText="1"/>
    </xf>
    <xf numFmtId="0" fontId="0" fillId="82" borderId="83" xfId="0" applyFill="1" applyBorder="1" applyAlignment="1" applyProtection="1">
      <alignment horizontal="center"/>
      <protection locked="0"/>
    </xf>
    <xf numFmtId="0" fontId="0" fillId="82" borderId="84" xfId="0" applyFill="1" applyBorder="1" applyAlignment="1" applyProtection="1">
      <alignment horizontal="center"/>
      <protection locked="0"/>
    </xf>
    <xf numFmtId="3" fontId="0" fillId="9" borderId="19" xfId="0" applyNumberFormat="1" applyFill="1" applyBorder="1" applyAlignment="1" applyProtection="1">
      <alignment horizontal="center" vertical="center" wrapText="1"/>
      <protection hidden="1"/>
    </xf>
    <xf numFmtId="3" fontId="0" fillId="9" borderId="22" xfId="0" applyNumberFormat="1" applyFill="1" applyBorder="1" applyAlignment="1" applyProtection="1">
      <alignment horizontal="center" vertical="center" wrapText="1"/>
      <protection hidden="1"/>
    </xf>
    <xf numFmtId="164" fontId="0" fillId="82" borderId="19" xfId="0" applyNumberFormat="1" applyFill="1" applyBorder="1" applyAlignment="1" applyProtection="1">
      <alignment horizontal="center" vertical="center" wrapText="1"/>
      <protection locked="0" hidden="1"/>
    </xf>
    <xf numFmtId="164" fontId="0" fillId="82" borderId="22" xfId="0" applyNumberFormat="1" applyFill="1" applyBorder="1" applyAlignment="1" applyProtection="1">
      <alignment horizontal="center" vertical="center" wrapText="1"/>
      <protection locked="0" hidden="1"/>
    </xf>
    <xf numFmtId="0" fontId="0" fillId="9" borderId="19" xfId="0" applyFill="1" applyBorder="1" applyAlignment="1" applyProtection="1">
      <alignment horizontal="center" vertical="center" wrapText="1"/>
      <protection hidden="1"/>
    </xf>
    <xf numFmtId="0" fontId="0" fillId="9" borderId="22" xfId="0" applyFill="1" applyBorder="1" applyAlignment="1" applyProtection="1">
      <alignment horizontal="center" vertical="center" wrapText="1"/>
      <protection hidden="1"/>
    </xf>
    <xf numFmtId="0" fontId="9" fillId="5" borderId="23" xfId="0" applyFont="1" applyFill="1" applyBorder="1" applyAlignment="1">
      <alignment horizontal="left"/>
    </xf>
    <xf numFmtId="0" fontId="9" fillId="5" borderId="0" xfId="0" applyFont="1" applyFill="1" applyBorder="1" applyAlignment="1">
      <alignment horizontal="left"/>
    </xf>
    <xf numFmtId="0" fontId="0" fillId="5" borderId="28" xfId="0" applyFill="1" applyBorder="1" applyAlignment="1">
      <alignment horizontal="left"/>
    </xf>
    <xf numFmtId="0" fontId="0" fillId="5" borderId="25" xfId="0" applyFill="1" applyBorder="1" applyAlignment="1">
      <alignment horizontal="left"/>
    </xf>
    <xf numFmtId="164" fontId="0" fillId="82" borderId="19" xfId="1" applyNumberFormat="1" applyFont="1" applyFill="1" applyBorder="1" applyAlignment="1" applyProtection="1">
      <alignment horizontal="center" vertical="center"/>
      <protection locked="0" hidden="1"/>
    </xf>
    <xf numFmtId="164" fontId="0" fillId="82" borderId="22" xfId="1" applyNumberFormat="1" applyFont="1" applyFill="1" applyBorder="1" applyAlignment="1" applyProtection="1">
      <alignment horizontal="center" vertical="center"/>
      <protection locked="0" hidden="1"/>
    </xf>
    <xf numFmtId="3" fontId="0" fillId="72" borderId="19" xfId="0" applyNumberFormat="1" applyFill="1" applyBorder="1" applyAlignment="1" applyProtection="1">
      <alignment horizontal="center" vertical="center"/>
      <protection hidden="1"/>
    </xf>
    <xf numFmtId="3" fontId="0" fillId="72" borderId="22" xfId="0" applyNumberFormat="1" applyFill="1" applyBorder="1" applyAlignment="1" applyProtection="1">
      <alignment horizontal="center" vertical="center"/>
      <protection hidden="1"/>
    </xf>
    <xf numFmtId="0" fontId="0" fillId="7" borderId="26" xfId="0" applyFill="1" applyBorder="1" applyAlignment="1">
      <alignment horizontal="center"/>
    </xf>
    <xf numFmtId="0" fontId="0" fillId="7" borderId="27" xfId="0" applyFill="1" applyBorder="1" applyAlignment="1">
      <alignment horizontal="center"/>
    </xf>
    <xf numFmtId="0" fontId="9" fillId="5" borderId="0" xfId="0" applyFont="1" applyFill="1" applyAlignment="1">
      <alignment horizontal="left" wrapText="1"/>
    </xf>
    <xf numFmtId="0" fontId="0" fillId="5" borderId="95" xfId="0" applyFill="1" applyBorder="1" applyAlignment="1">
      <alignment horizontal="left"/>
    </xf>
    <xf numFmtId="0" fontId="9" fillId="7" borderId="0" xfId="0" applyFont="1" applyFill="1" applyAlignment="1">
      <alignment horizontal="left"/>
    </xf>
    <xf numFmtId="3" fontId="0" fillId="9" borderId="20" xfId="0" applyNumberFormat="1" applyFill="1" applyBorder="1" applyAlignment="1" applyProtection="1">
      <alignment horizontal="center" vertical="center" wrapText="1"/>
      <protection hidden="1"/>
    </xf>
    <xf numFmtId="3" fontId="0" fillId="9" borderId="21" xfId="0" applyNumberFormat="1" applyFill="1" applyBorder="1" applyAlignment="1" applyProtection="1">
      <alignment horizontal="center" vertical="center" wrapText="1"/>
      <protection hidden="1"/>
    </xf>
    <xf numFmtId="3" fontId="0" fillId="9" borderId="28"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72" borderId="19" xfId="0" applyNumberFormat="1"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3" fontId="0" fillId="72" borderId="19"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95" xfId="0" applyFill="1" applyBorder="1" applyAlignment="1">
      <alignment horizontal="left"/>
    </xf>
    <xf numFmtId="0" fontId="0" fillId="7" borderId="25" xfId="0" applyFill="1" applyBorder="1" applyAlignment="1">
      <alignment horizontal="left"/>
    </xf>
    <xf numFmtId="0" fontId="4" fillId="0" borderId="0" xfId="0" applyFont="1" applyAlignment="1">
      <alignment horizontal="center" vertical="center"/>
    </xf>
    <xf numFmtId="0" fontId="59" fillId="0" borderId="0" xfId="0" applyFont="1" applyAlignment="1" applyProtection="1">
      <alignment horizontal="left"/>
      <protection hidden="1"/>
    </xf>
    <xf numFmtId="3" fontId="0" fillId="9" borderId="60" xfId="0" applyNumberFormat="1" applyFill="1" applyBorder="1" applyAlignment="1" applyProtection="1">
      <alignment horizontal="center"/>
      <protection hidden="1"/>
    </xf>
    <xf numFmtId="3" fontId="0" fillId="9" borderId="70" xfId="0" applyNumberFormat="1" applyFill="1" applyBorder="1" applyAlignment="1" applyProtection="1">
      <alignment horizontal="center"/>
      <protection hidden="1"/>
    </xf>
    <xf numFmtId="0" fontId="4" fillId="0" borderId="60" xfId="0" applyFont="1" applyBorder="1" applyAlignment="1"/>
    <xf numFmtId="0" fontId="0" fillId="9" borderId="67" xfId="0" applyFill="1" applyBorder="1" applyAlignment="1">
      <alignment horizontal="left"/>
    </xf>
    <xf numFmtId="0" fontId="0" fillId="9" borderId="66" xfId="0" applyFill="1" applyBorder="1" applyAlignment="1">
      <alignment horizontal="left"/>
    </xf>
    <xf numFmtId="0" fontId="14" fillId="86" borderId="67" xfId="0" applyFont="1" applyFill="1" applyBorder="1" applyAlignment="1">
      <alignment horizontal="left"/>
    </xf>
    <xf numFmtId="0" fontId="14" fillId="86" borderId="66" xfId="0" applyFont="1" applyFill="1" applyBorder="1" applyAlignment="1">
      <alignment horizontal="left"/>
    </xf>
    <xf numFmtId="0" fontId="59" fillId="0" borderId="0" xfId="0" applyFont="1"/>
    <xf numFmtId="0" fontId="59" fillId="0" borderId="96" xfId="0" applyFont="1" applyBorder="1"/>
    <xf numFmtId="0" fontId="4" fillId="0" borderId="0" xfId="0" applyFont="1"/>
    <xf numFmtId="0" fontId="4" fillId="0" borderId="51" xfId="0" applyFont="1" applyBorder="1"/>
    <xf numFmtId="0" fontId="4" fillId="0" borderId="0" xfId="0" applyFont="1" applyAlignment="1">
      <alignment horizontal="left" vertical="center"/>
    </xf>
    <xf numFmtId="0" fontId="14" fillId="81" borderId="66" xfId="0" applyFont="1" applyFill="1" applyBorder="1" applyAlignment="1">
      <alignment horizontal="center" vertical="center" wrapText="1"/>
    </xf>
    <xf numFmtId="0" fontId="14" fillId="81" borderId="68" xfId="0" applyFont="1" applyFill="1" applyBorder="1" applyAlignment="1">
      <alignment horizontal="center" vertical="center" wrapText="1"/>
    </xf>
    <xf numFmtId="0" fontId="14" fillId="81" borderId="62" xfId="0" applyFont="1" applyFill="1" applyBorder="1" applyAlignment="1">
      <alignment horizontal="center" vertical="center" wrapText="1"/>
    </xf>
    <xf numFmtId="0" fontId="14" fillId="81" borderId="64"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59">
    <dxf>
      <font>
        <color theme="0"/>
      </font>
      <border>
        <left style="thin">
          <color theme="0"/>
        </left>
        <right style="thin">
          <color theme="0"/>
        </right>
        <top style="thin">
          <color theme="0"/>
        </top>
        <bottom style="thin">
          <color theme="0"/>
        </bottom>
        <vertical/>
        <horizontal/>
      </border>
    </dxf>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patternType="none">
          <bgColor auto="1"/>
        </patternFill>
      </fill>
    </dxf>
    <dxf>
      <font>
        <b val="0"/>
        <i val="0"/>
        <color auto="1"/>
      </font>
      <fill>
        <patternFill>
          <bgColor theme="0" tint="-0.14996795556505021"/>
        </patternFill>
      </fill>
    </dxf>
    <dxf>
      <font>
        <color theme="0"/>
      </font>
      <border>
        <left/>
        <right/>
        <top/>
        <bottom/>
        <vertical/>
        <horizontal/>
      </border>
    </dxf>
    <dxf>
      <font>
        <color theme="0"/>
      </font>
      <border>
        <left/>
        <right/>
        <top/>
        <bottom/>
        <vertical/>
        <horizontal/>
      </border>
    </dxf>
    <dxf>
      <font>
        <color theme="0"/>
      </font>
      <border>
        <left/>
        <right/>
        <top/>
        <bottom/>
        <vertical/>
        <horizontal/>
      </border>
    </dxf>
    <dxf>
      <font>
        <color theme="1"/>
      </font>
    </dxf>
    <dxf>
      <font>
        <color theme="0"/>
      </font>
      <fill>
        <patternFill>
          <bgColor theme="0"/>
        </patternFill>
      </fill>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ill>
        <patternFill>
          <bgColor theme="0" tint="-0.34998626667073579"/>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ill>
        <patternFill>
          <bgColor theme="5" tint="0.7999816888943144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5" tint="0.79998168889431442"/>
        </patternFill>
      </fill>
    </dxf>
    <dxf>
      <fill>
        <patternFill>
          <bgColor theme="5" tint="0.79998168889431442"/>
        </patternFill>
      </fill>
    </dxf>
    <dxf>
      <font>
        <color theme="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ont>
        <color theme="0"/>
      </font>
      <fill>
        <patternFill>
          <bgColor theme="0"/>
        </patternFill>
      </fill>
      <border>
        <left style="thin">
          <color theme="0"/>
        </left>
        <right style="thin">
          <color theme="0"/>
        </right>
        <top style="thin">
          <color theme="0"/>
        </top>
        <bottom style="thin">
          <color theme="0"/>
        </bottom>
        <vertical/>
        <horizontal/>
      </border>
    </dxf>
    <dxf>
      <font>
        <color rgb="FFFF0000"/>
      </font>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9D91A1"/>
      <color rgb="FFFF00FF"/>
      <color rgb="FFF79646"/>
      <color rgb="FF8064A2"/>
      <color rgb="FF9BBB59"/>
      <color rgb="FFC0504D"/>
      <color rgb="FF768692"/>
      <color rgb="FFE8EDEE"/>
      <color rgb="FFCCCCFF"/>
      <color rgb="FF0072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Demand:</a:t>
            </a:r>
            <a:r>
              <a:rPr lang="en-GB" baseline="0"/>
              <a:t> Adjusted for elective care pause (+ 12 weeks on from transition)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v>Backlog (WL and unknowns)</c:v>
          </c:tx>
          <c:spPr>
            <a:ln w="12700" cap="rnd">
              <a:solidFill>
                <a:schemeClr val="accent3"/>
              </a:solidFill>
              <a:round/>
            </a:ln>
            <a:effectLst/>
          </c:spPr>
          <c:marker>
            <c:symbol val="none"/>
          </c:marker>
          <c:val>
            <c:numRef>
              <c:f>[0]!D_Adj_Backlog</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B2AF-43D6-92EA-D72F9C017E7D}"/>
            </c:ext>
          </c:extLst>
        </c:ser>
        <c:ser>
          <c:idx val="0"/>
          <c:order val="1"/>
          <c:tx>
            <c:v>Demand (lower bound)</c:v>
          </c:tx>
          <c:spPr>
            <a:ln w="12700" cap="rnd">
              <a:solidFill>
                <a:schemeClr val="accent1"/>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[0]!D_Adj_Lower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1-5321-4262-B07C-F412A7EC93CC}"/>
            </c:ext>
          </c:extLst>
        </c:ser>
        <c:ser>
          <c:idx val="1"/>
          <c:order val="2"/>
          <c:tx>
            <c:v>Demand (upper bound)</c:v>
          </c:tx>
          <c:spPr>
            <a:ln w="15875" cap="rnd">
              <a:solidFill>
                <a:schemeClr val="accent2"/>
              </a:solidFill>
              <a:round/>
            </a:ln>
            <a:effectLst/>
          </c:spPr>
          <c:marker>
            <c:symbol val="none"/>
          </c:marker>
          <c:cat>
            <c:numRef>
              <c:f>[0]!D_Adj_Xaxis</c:f>
              <c:numCache>
                <c:formatCode>m/d/yyyy</c:formatCode>
                <c:ptCount val="39"/>
                <c:pt idx="0">
                  <c:v>43969</c:v>
                </c:pt>
                <c:pt idx="1">
                  <c:v>43976</c:v>
                </c:pt>
                <c:pt idx="2">
                  <c:v>43983</c:v>
                </c:pt>
                <c:pt idx="3">
                  <c:v>43990</c:v>
                </c:pt>
                <c:pt idx="4">
                  <c:v>43997</c:v>
                </c:pt>
                <c:pt idx="5">
                  <c:v>44004</c:v>
                </c:pt>
                <c:pt idx="6">
                  <c:v>44011</c:v>
                </c:pt>
                <c:pt idx="7">
                  <c:v>44018</c:v>
                </c:pt>
                <c:pt idx="8">
                  <c:v>44025</c:v>
                </c:pt>
                <c:pt idx="9">
                  <c:v>44032</c:v>
                </c:pt>
                <c:pt idx="10">
                  <c:v>44039</c:v>
                </c:pt>
                <c:pt idx="11">
                  <c:v>44046</c:v>
                </c:pt>
                <c:pt idx="12">
                  <c:v>44053</c:v>
                </c:pt>
                <c:pt idx="13">
                  <c:v>44060</c:v>
                </c:pt>
                <c:pt idx="14">
                  <c:v>44067</c:v>
                </c:pt>
                <c:pt idx="15">
                  <c:v>44074</c:v>
                </c:pt>
                <c:pt idx="16">
                  <c:v>44081</c:v>
                </c:pt>
                <c:pt idx="17">
                  <c:v>44088</c:v>
                </c:pt>
                <c:pt idx="18">
                  <c:v>44095</c:v>
                </c:pt>
                <c:pt idx="19">
                  <c:v>44102</c:v>
                </c:pt>
                <c:pt idx="20">
                  <c:v>44109</c:v>
                </c:pt>
                <c:pt idx="21">
                  <c:v>44116</c:v>
                </c:pt>
                <c:pt idx="22">
                  <c:v>44123</c:v>
                </c:pt>
                <c:pt idx="23">
                  <c:v>44130</c:v>
                </c:pt>
                <c:pt idx="24">
                  <c:v>44137</c:v>
                </c:pt>
                <c:pt idx="25">
                  <c:v>44144</c:v>
                </c:pt>
                <c:pt idx="26">
                  <c:v>44151</c:v>
                </c:pt>
                <c:pt idx="27">
                  <c:v>44158</c:v>
                </c:pt>
                <c:pt idx="28">
                  <c:v>44165</c:v>
                </c:pt>
                <c:pt idx="29">
                  <c:v>44172</c:v>
                </c:pt>
                <c:pt idx="30">
                  <c:v>44179</c:v>
                </c:pt>
                <c:pt idx="31">
                  <c:v>44186</c:v>
                </c:pt>
                <c:pt idx="32">
                  <c:v>44193</c:v>
                </c:pt>
                <c:pt idx="33">
                  <c:v>44200</c:v>
                </c:pt>
                <c:pt idx="34">
                  <c:v>44207</c:v>
                </c:pt>
                <c:pt idx="35">
                  <c:v>44214</c:v>
                </c:pt>
                <c:pt idx="36">
                  <c:v>44221</c:v>
                </c:pt>
                <c:pt idx="37">
                  <c:v>44228</c:v>
                </c:pt>
                <c:pt idx="38">
                  <c:v>44235</c:v>
                </c:pt>
              </c:numCache>
            </c:numRef>
          </c:cat>
          <c:val>
            <c:numRef>
              <c:f>[0]!D_Adj_Upper</c:f>
              <c:numCache>
                <c:formatCode>#,##0</c:formatCode>
                <c:ptCount val="3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numCache>
            </c:numRef>
          </c:val>
          <c:smooth val="0"/>
          <c:extLst>
            <c:ext xmlns:c16="http://schemas.microsoft.com/office/drawing/2014/chart" uri="{C3380CC4-5D6E-409C-BE32-E72D297353CC}">
              <c16:uniqueId val="{00000002-5321-4262-B07C-F412A7EC93CC}"/>
            </c:ext>
          </c:extLst>
        </c:ser>
        <c:ser>
          <c:idx val="3"/>
          <c:order val="3"/>
          <c:tx>
            <c:v>Demand ("Missing")</c:v>
          </c:tx>
          <c:spPr>
            <a:ln w="15875" cap="rnd">
              <a:solidFill>
                <a:schemeClr val="accent4"/>
              </a:solidFill>
              <a:prstDash val="sysDash"/>
              <a:round/>
            </a:ln>
            <a:effectLst/>
          </c:spPr>
          <c:marker>
            <c:symbol val="none"/>
          </c:marker>
          <c:val>
            <c:numRef>
              <c:f>[0]!D_Adj_Missing</c:f>
              <c:numCache>
                <c:formatCode>#,##0</c:formatCode>
                <c:ptCount val="27"/>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numCache>
            </c:numRef>
          </c:val>
          <c:smooth val="0"/>
          <c:extLst>
            <c:ext xmlns:c16="http://schemas.microsoft.com/office/drawing/2014/chart" uri="{C3380CC4-5D6E-409C-BE32-E72D297353CC}">
              <c16:uniqueId val="{00000000-9D09-40F5-98E7-D29D0750E83C}"/>
            </c:ext>
          </c:extLst>
        </c:ser>
        <c:dLbls>
          <c:showLegendKey val="0"/>
          <c:showVal val="0"/>
          <c:showCatName val="0"/>
          <c:showSerName val="0"/>
          <c:showPercent val="0"/>
          <c:showBubbleSize val="0"/>
        </c:dLbls>
        <c:smooth val="0"/>
        <c:axId val="1213696832"/>
        <c:axId val="1213697160"/>
      </c:lineChart>
      <c:catAx>
        <c:axId val="121369683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7160"/>
        <c:crosses val="autoZero"/>
        <c:auto val="1"/>
        <c:lblAlgn val="ctr"/>
        <c:lblOffset val="100"/>
        <c:noMultiLvlLbl val="1"/>
      </c:catAx>
      <c:valAx>
        <c:axId val="1213697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369683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(Minutes)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0</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#N/A</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#N/A</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#N/A</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#N/A</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Cache>
                <c:formatCode>#,##0</c:formatCode>
                <c:ptCount val="1"/>
                <c:pt idx="0">
                  <c:v>#N/A</c:v>
                </c:pt>
              </c:numCache>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Cache>
                <c:formatCode>#,##0</c:formatCode>
                <c:ptCount val="1"/>
                <c:pt idx="0">
                  <c:v>#N/A</c:v>
                </c:pt>
              </c:numCache>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7"/>
                <c:pt idx="0">
                  <c:v>1</c:v>
                </c:pt>
                <c:pt idx="1">
                  <c:v>1</c:v>
                </c:pt>
                <c:pt idx="2">
                  <c:v>1</c:v>
                </c:pt>
                <c:pt idx="3">
                  <c:v>1</c:v>
                </c:pt>
                <c:pt idx="4">
                  <c:v>1</c:v>
                </c:pt>
                <c:pt idx="5">
                  <c:v>0</c:v>
                </c:pt>
                <c:pt idx="6">
                  <c:v>0</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[0]!Plan_SPC_Demand</c:f>
              <c:numCache>
                <c:formatCode>#,##0</c:formatCode>
                <c:ptCount val="7"/>
                <c:pt idx="0">
                  <c:v>4</c:v>
                </c:pt>
                <c:pt idx="1">
                  <c:v>5</c:v>
                </c:pt>
                <c:pt idx="2">
                  <c:v>2</c:v>
                </c:pt>
                <c:pt idx="3">
                  <c:v>3</c:v>
                </c:pt>
                <c:pt idx="4">
                  <c:v>5</c:v>
                </c:pt>
                <c:pt idx="5">
                  <c:v>3</c:v>
                </c:pt>
                <c:pt idx="6">
                  <c:v>4</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[0]!Plan_SPC_LCL</c:f>
              <c:numCache>
                <c:formatCode>General</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[0]!Plan_SPC_UCL</c:f>
              <c:numCache>
                <c:formatCode>General</c:formatCode>
                <c:ptCount val="7"/>
                <c:pt idx="0">
                  <c:v>8.4542553191489365</c:v>
                </c:pt>
                <c:pt idx="1">
                  <c:v>8.4542553191489365</c:v>
                </c:pt>
                <c:pt idx="2">
                  <c:v>8.4542553191489365</c:v>
                </c:pt>
                <c:pt idx="3">
                  <c:v>8.4542553191489365</c:v>
                </c:pt>
                <c:pt idx="4">
                  <c:v>8.4542553191489365</c:v>
                </c:pt>
                <c:pt idx="5">
                  <c:v>8.4542553191489365</c:v>
                </c:pt>
                <c:pt idx="6">
                  <c:v>8.4542553191489365</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7"/>
                <c:pt idx="0">
                  <c:v>1</c:v>
                </c:pt>
                <c:pt idx="1">
                  <c:v>2</c:v>
                </c:pt>
                <c:pt idx="2">
                  <c:v>3</c:v>
                </c:pt>
                <c:pt idx="3">
                  <c:v>4</c:v>
                </c:pt>
                <c:pt idx="4">
                  <c:v>5</c:v>
                </c:pt>
                <c:pt idx="5">
                  <c:v>6</c:v>
                </c:pt>
                <c:pt idx="6">
                  <c:v>7</c:v>
                </c:pt>
              </c:numCache>
            </c:numRef>
          </c:cat>
          <c:val>
            <c:numRef>
              <c:f>[0]!Plan_SPC_Mean</c:f>
              <c:numCache>
                <c:formatCode>#,##0</c:formatCode>
                <c:ptCount val="7"/>
                <c:pt idx="0">
                  <c:v>3.8</c:v>
                </c:pt>
                <c:pt idx="1">
                  <c:v>3.8</c:v>
                </c:pt>
                <c:pt idx="2">
                  <c:v>3.8</c:v>
                </c:pt>
                <c:pt idx="3">
                  <c:v>3.8</c:v>
                </c:pt>
                <c:pt idx="4">
                  <c:v>3.8</c:v>
                </c:pt>
                <c:pt idx="5">
                  <c:v>3.8</c:v>
                </c:pt>
                <c:pt idx="6">
                  <c:v>3.8</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[0]!Plan_SPC_R1</c:f>
              <c:numCache>
                <c:formatCode>General</c:formatCode>
                <c:ptCount val="7"/>
                <c:pt idx="0">
                  <c:v>#N/A</c:v>
                </c:pt>
                <c:pt idx="1">
                  <c:v>#N/A</c:v>
                </c:pt>
                <c:pt idx="2">
                  <c:v>#N/A</c:v>
                </c:pt>
                <c:pt idx="3">
                  <c:v>#N/A</c:v>
                </c:pt>
                <c:pt idx="4">
                  <c:v>#N/A</c:v>
                </c:pt>
                <c:pt idx="5">
                  <c:v>#N/A</c:v>
                </c:pt>
                <c:pt idx="6">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[0]!Plan_SPC_R2</c:f>
              <c:numCache>
                <c:formatCode>General</c:formatCode>
                <c:ptCount val="7"/>
                <c:pt idx="2">
                  <c:v>#N/A</c:v>
                </c:pt>
                <c:pt idx="3">
                  <c:v>#N/A</c:v>
                </c:pt>
                <c:pt idx="4">
                  <c:v>#N/A</c:v>
                </c:pt>
                <c:pt idx="5">
                  <c:v>#N/A</c:v>
                </c:pt>
                <c:pt idx="6">
                  <c:v>#N/A</c:v>
                </c:pt>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[0]!Plan_SPC_R3</c:f>
              <c:numCache>
                <c:formatCode>General</c:formatCode>
                <c:ptCount val="7"/>
                <c:pt idx="6">
                  <c:v>#N/A</c:v>
                </c:pt>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7"/>
                <c:pt idx="0">
                  <c:v>1</c:v>
                </c:pt>
                <c:pt idx="1">
                  <c:v>2</c:v>
                </c:pt>
                <c:pt idx="2">
                  <c:v>3</c:v>
                </c:pt>
                <c:pt idx="3">
                  <c:v>4</c:v>
                </c:pt>
                <c:pt idx="4">
                  <c:v>5</c:v>
                </c:pt>
                <c:pt idx="5">
                  <c:v>6</c:v>
                </c:pt>
                <c:pt idx="6">
                  <c:v>7</c:v>
                </c:pt>
              </c:numCache>
            </c:numRef>
          </c:cat>
          <c:val>
            <c:numRef>
              <c:f>[0]!Plan_SPC_R4</c:f>
              <c:numCache>
                <c:formatCode>General</c:formatCode>
                <c:ptCount val="7"/>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44417</c:v>
                </c:pt>
                <c:pt idx="1">
                  <c:v>44424</c:v>
                </c:pt>
                <c:pt idx="2">
                  <c:v>44431</c:v>
                </c:pt>
                <c:pt idx="3">
                  <c:v>44438</c:v>
                </c:pt>
                <c:pt idx="4">
                  <c:v>44445</c:v>
                </c:pt>
                <c:pt idx="5">
                  <c:v>44452</c:v>
                </c:pt>
                <c:pt idx="6">
                  <c:v>44459</c:v>
                </c:pt>
                <c:pt idx="7">
                  <c:v>44466</c:v>
                </c:pt>
                <c:pt idx="8">
                  <c:v>44473</c:v>
                </c:pt>
                <c:pt idx="9">
                  <c:v>44480</c:v>
                </c:pt>
                <c:pt idx="10">
                  <c:v>44487</c:v>
                </c:pt>
                <c:pt idx="11">
                  <c:v>44494</c:v>
                </c:pt>
                <c:pt idx="12">
                  <c:v>44501</c:v>
                </c:pt>
                <c:pt idx="13">
                  <c:v>44508</c:v>
                </c:pt>
                <c:pt idx="14">
                  <c:v>44515</c:v>
                </c:pt>
                <c:pt idx="15">
                  <c:v>44522</c:v>
                </c:pt>
                <c:pt idx="16">
                  <c:v>44529</c:v>
                </c:pt>
                <c:pt idx="17">
                  <c:v>44536</c:v>
                </c:pt>
                <c:pt idx="18">
                  <c:v>44543</c:v>
                </c:pt>
                <c:pt idx="19">
                  <c:v>44550</c:v>
                </c:pt>
                <c:pt idx="20">
                  <c:v>44557</c:v>
                </c:pt>
                <c:pt idx="21">
                  <c:v>44564</c:v>
                </c:pt>
                <c:pt idx="22">
                  <c:v>44571</c:v>
                </c:pt>
                <c:pt idx="23">
                  <c:v>44578</c:v>
                </c:pt>
                <c:pt idx="24">
                  <c:v>44585</c:v>
                </c:pt>
                <c:pt idx="25">
                  <c:v>44592</c:v>
                </c:pt>
                <c:pt idx="26">
                  <c:v>44599</c:v>
                </c:pt>
                <c:pt idx="27">
                  <c:v>44606</c:v>
                </c:pt>
                <c:pt idx="28">
                  <c:v>44613</c:v>
                </c:pt>
                <c:pt idx="29">
                  <c:v>44620</c:v>
                </c:pt>
                <c:pt idx="30">
                  <c:v>44627</c:v>
                </c:pt>
                <c:pt idx="31">
                  <c:v>44634</c:v>
                </c:pt>
                <c:pt idx="32">
                  <c:v>44641</c:v>
                </c:pt>
                <c:pt idx="33">
                  <c:v>44648</c:v>
                </c:pt>
                <c:pt idx="34">
                  <c:v>44655</c:v>
                </c:pt>
                <c:pt idx="35">
                  <c:v>44662</c:v>
                </c:pt>
                <c:pt idx="36">
                  <c:v>44669</c:v>
                </c:pt>
                <c:pt idx="37">
                  <c:v>44676</c:v>
                </c:pt>
                <c:pt idx="38">
                  <c:v>44683</c:v>
                </c:pt>
                <c:pt idx="39">
                  <c:v>44690</c:v>
                </c:pt>
                <c:pt idx="40">
                  <c:v>44697</c:v>
                </c:pt>
                <c:pt idx="41">
                  <c:v>44704</c:v>
                </c:pt>
                <c:pt idx="42">
                  <c:v>44711</c:v>
                </c:pt>
                <c:pt idx="43">
                  <c:v>44718</c:v>
                </c:pt>
                <c:pt idx="44">
                  <c:v>44725</c:v>
                </c:pt>
                <c:pt idx="45">
                  <c:v>44732</c:v>
                </c:pt>
                <c:pt idx="46">
                  <c:v>44739</c:v>
                </c:pt>
                <c:pt idx="47">
                  <c:v>44746</c:v>
                </c:pt>
                <c:pt idx="48">
                  <c:v>44753</c:v>
                </c:pt>
                <c:pt idx="49">
                  <c:v>44760</c:v>
                </c:pt>
                <c:pt idx="50">
                  <c:v>44767</c:v>
                </c:pt>
                <c:pt idx="51">
                  <c:v>44774</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44417</c:v>
                </c:pt>
                <c:pt idx="1">
                  <c:v>44424</c:v>
                </c:pt>
                <c:pt idx="2">
                  <c:v>44431</c:v>
                </c:pt>
                <c:pt idx="3">
                  <c:v>44438</c:v>
                </c:pt>
                <c:pt idx="4">
                  <c:v>44445</c:v>
                </c:pt>
                <c:pt idx="5">
                  <c:v>44452</c:v>
                </c:pt>
                <c:pt idx="6">
                  <c:v>44459</c:v>
                </c:pt>
                <c:pt idx="7">
                  <c:v>44466</c:v>
                </c:pt>
                <c:pt idx="8">
                  <c:v>44473</c:v>
                </c:pt>
                <c:pt idx="9">
                  <c:v>44480</c:v>
                </c:pt>
                <c:pt idx="10">
                  <c:v>44487</c:v>
                </c:pt>
                <c:pt idx="11">
                  <c:v>44494</c:v>
                </c:pt>
                <c:pt idx="12">
                  <c:v>44501</c:v>
                </c:pt>
                <c:pt idx="13">
                  <c:v>44508</c:v>
                </c:pt>
                <c:pt idx="14">
                  <c:v>44515</c:v>
                </c:pt>
                <c:pt idx="15">
                  <c:v>44522</c:v>
                </c:pt>
                <c:pt idx="16">
                  <c:v>44529</c:v>
                </c:pt>
                <c:pt idx="17">
                  <c:v>44536</c:v>
                </c:pt>
                <c:pt idx="18">
                  <c:v>44543</c:v>
                </c:pt>
                <c:pt idx="19">
                  <c:v>44550</c:v>
                </c:pt>
                <c:pt idx="20">
                  <c:v>44557</c:v>
                </c:pt>
                <c:pt idx="21">
                  <c:v>44564</c:v>
                </c:pt>
                <c:pt idx="22">
                  <c:v>44571</c:v>
                </c:pt>
                <c:pt idx="23">
                  <c:v>44578</c:v>
                </c:pt>
                <c:pt idx="24">
                  <c:v>44585</c:v>
                </c:pt>
                <c:pt idx="25">
                  <c:v>44592</c:v>
                </c:pt>
                <c:pt idx="26">
                  <c:v>44599</c:v>
                </c:pt>
                <c:pt idx="27">
                  <c:v>44606</c:v>
                </c:pt>
                <c:pt idx="28">
                  <c:v>44613</c:v>
                </c:pt>
                <c:pt idx="29">
                  <c:v>44620</c:v>
                </c:pt>
                <c:pt idx="30">
                  <c:v>44627</c:v>
                </c:pt>
                <c:pt idx="31">
                  <c:v>44634</c:v>
                </c:pt>
                <c:pt idx="32">
                  <c:v>44641</c:v>
                </c:pt>
                <c:pt idx="33">
                  <c:v>44648</c:v>
                </c:pt>
                <c:pt idx="34">
                  <c:v>44655</c:v>
                </c:pt>
                <c:pt idx="35">
                  <c:v>44662</c:v>
                </c:pt>
                <c:pt idx="36">
                  <c:v>44669</c:v>
                </c:pt>
                <c:pt idx="37">
                  <c:v>44676</c:v>
                </c:pt>
                <c:pt idx="38">
                  <c:v>44683</c:v>
                </c:pt>
                <c:pt idx="39">
                  <c:v>44690</c:v>
                </c:pt>
                <c:pt idx="40">
                  <c:v>44697</c:v>
                </c:pt>
                <c:pt idx="41">
                  <c:v>44704</c:v>
                </c:pt>
                <c:pt idx="42">
                  <c:v>44711</c:v>
                </c:pt>
                <c:pt idx="43">
                  <c:v>44718</c:v>
                </c:pt>
                <c:pt idx="44">
                  <c:v>44725</c:v>
                </c:pt>
                <c:pt idx="45">
                  <c:v>44732</c:v>
                </c:pt>
                <c:pt idx="46">
                  <c:v>44739</c:v>
                </c:pt>
                <c:pt idx="47">
                  <c:v>44746</c:v>
                </c:pt>
                <c:pt idx="48">
                  <c:v>44753</c:v>
                </c:pt>
                <c:pt idx="49">
                  <c:v>44760</c:v>
                </c:pt>
                <c:pt idx="50">
                  <c:v>44767</c:v>
                </c:pt>
                <c:pt idx="51">
                  <c:v>44774</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lineChart>
        <c:grouping val="stacked"/>
        <c:varyColors val="0"/>
        <c:ser>
          <c:idx val="2"/>
          <c:order val="2"/>
          <c:tx>
            <c:v>Demand (Lower)</c:v>
          </c:tx>
          <c:marker>
            <c:symbol val="none"/>
          </c:marker>
          <c:val>
            <c:numRef>
              <c:f>'Summary Calculations (hide)'!$T$15:$T$66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DBE3-4889-A3EF-E8E11A66346E}"/>
            </c:ext>
          </c:extLst>
        </c:ser>
        <c:ser>
          <c:idx val="3"/>
          <c:order val="3"/>
          <c:tx>
            <c:v>Demand (Upper)</c:v>
          </c:tx>
          <c:marker>
            <c:symbol val="none"/>
          </c:marker>
          <c:val>
            <c:numRef>
              <c:f>'Summary Calculations (hide)'!$U$15:$U$66</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DBE3-4889-A3EF-E8E11A66346E}"/>
            </c:ext>
          </c:extLst>
        </c:ser>
        <c:dLbls>
          <c:showLegendKey val="0"/>
          <c:showVal val="0"/>
          <c:showCatName val="0"/>
          <c:showSerName val="0"/>
          <c:showPercent val="0"/>
          <c:showBubbleSize val="0"/>
        </c:dLbls>
        <c:marker val="1"/>
        <c:smooth val="0"/>
        <c:axId val="342488960"/>
        <c:axId val="342490496"/>
      </c:line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2</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4</c:v>
                </c:pt>
                <c:pt idx="1">
                  <c:v>2</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#N/A</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#N/A</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#N/A</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30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[0]!Summary_Blank</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[0]!Summary_Req</c:f>
              <c:numCache>
                <c:formatCode>#,##0</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52"/>
                <c:lvl>
                  <c:pt idx="0">
                    <c:v>Aug</c:v>
                  </c:pt>
                  <c:pt idx="4">
                    <c:v>Sep</c:v>
                  </c:pt>
                  <c:pt idx="8">
                    <c:v>Oct</c:v>
                  </c:pt>
                  <c:pt idx="12">
                    <c:v>Nov</c:v>
                  </c:pt>
                  <c:pt idx="17">
                    <c:v>Dec</c:v>
                  </c:pt>
                  <c:pt idx="21">
                    <c:v>Jan</c:v>
                  </c:pt>
                  <c:pt idx="26">
                    <c:v>Feb</c:v>
                  </c:pt>
                  <c:pt idx="30">
                    <c:v>Mar</c:v>
                  </c:pt>
                  <c:pt idx="34">
                    <c:v>Apr</c:v>
                  </c:pt>
                  <c:pt idx="38">
                    <c:v>May</c:v>
                  </c:pt>
                  <c:pt idx="43">
                    <c:v>Jun</c:v>
                  </c:pt>
                  <c:pt idx="47">
                    <c:v>Jul</c:v>
                  </c:pt>
                  <c:pt idx="51">
                    <c:v>Aug</c:v>
                  </c:pt>
                </c:lvl>
                <c:lvl>
                  <c:pt idx="0">
                    <c:v>2021</c:v>
                  </c:pt>
                  <c:pt idx="21">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(hide)'!$AD$4:$AD$55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(hide)'!$AE$4:$AE$55</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44424</c:v>
                </c:pt>
                <c:pt idx="1">
                  <c:v>44431</c:v>
                </c:pt>
                <c:pt idx="2">
                  <c:v>44438</c:v>
                </c:pt>
                <c:pt idx="3">
                  <c:v>44445</c:v>
                </c:pt>
                <c:pt idx="4">
                  <c:v>44452</c:v>
                </c:pt>
                <c:pt idx="5">
                  <c:v>44459</c:v>
                </c:pt>
                <c:pt idx="6">
                  <c:v>44466</c:v>
                </c:pt>
                <c:pt idx="7">
                  <c:v>44473</c:v>
                </c:pt>
                <c:pt idx="8">
                  <c:v>44480</c:v>
                </c:pt>
                <c:pt idx="9">
                  <c:v>44487</c:v>
                </c:pt>
                <c:pt idx="10">
                  <c:v>44494</c:v>
                </c:pt>
                <c:pt idx="11">
                  <c:v>44501</c:v>
                </c:pt>
                <c:pt idx="12">
                  <c:v>44508</c:v>
                </c:pt>
                <c:pt idx="13">
                  <c:v>44515</c:v>
                </c:pt>
                <c:pt idx="14">
                  <c:v>44522</c:v>
                </c:pt>
                <c:pt idx="15">
                  <c:v>44529</c:v>
                </c:pt>
                <c:pt idx="16">
                  <c:v>44536</c:v>
                </c:pt>
                <c:pt idx="17">
                  <c:v>44543</c:v>
                </c:pt>
                <c:pt idx="18">
                  <c:v>44550</c:v>
                </c:pt>
                <c:pt idx="19">
                  <c:v>44557</c:v>
                </c:pt>
                <c:pt idx="20">
                  <c:v>44564</c:v>
                </c:pt>
                <c:pt idx="21">
                  <c:v>44571</c:v>
                </c:pt>
                <c:pt idx="22">
                  <c:v>44578</c:v>
                </c:pt>
                <c:pt idx="23">
                  <c:v>44585</c:v>
                </c:pt>
                <c:pt idx="24">
                  <c:v>44592</c:v>
                </c:pt>
                <c:pt idx="25">
                  <c:v>44599</c:v>
                </c:pt>
                <c:pt idx="26">
                  <c:v>44606</c:v>
                </c:pt>
                <c:pt idx="27">
                  <c:v>44613</c:v>
                </c:pt>
                <c:pt idx="28">
                  <c:v>44620</c:v>
                </c:pt>
                <c:pt idx="29">
                  <c:v>44627</c:v>
                </c:pt>
                <c:pt idx="30">
                  <c:v>44634</c:v>
                </c:pt>
                <c:pt idx="31">
                  <c:v>44641</c:v>
                </c:pt>
                <c:pt idx="32">
                  <c:v>44648</c:v>
                </c:pt>
                <c:pt idx="33">
                  <c:v>44655</c:v>
                </c:pt>
                <c:pt idx="34">
                  <c:v>44662</c:v>
                </c:pt>
                <c:pt idx="35">
                  <c:v>44669</c:v>
                </c:pt>
                <c:pt idx="36">
                  <c:v>44676</c:v>
                </c:pt>
                <c:pt idx="37">
                  <c:v>44683</c:v>
                </c:pt>
                <c:pt idx="38">
                  <c:v>44690</c:v>
                </c:pt>
                <c:pt idx="39">
                  <c:v>44697</c:v>
                </c:pt>
                <c:pt idx="40">
                  <c:v>44704</c:v>
                </c:pt>
                <c:pt idx="41">
                  <c:v>44711</c:v>
                </c:pt>
                <c:pt idx="42">
                  <c:v>44718</c:v>
                </c:pt>
                <c:pt idx="43">
                  <c:v>44725</c:v>
                </c:pt>
                <c:pt idx="44">
                  <c:v>44732</c:v>
                </c:pt>
                <c:pt idx="45">
                  <c:v>44739</c:v>
                </c:pt>
                <c:pt idx="46">
                  <c:v>44746</c:v>
                </c:pt>
                <c:pt idx="47">
                  <c:v>44753</c:v>
                </c:pt>
                <c:pt idx="48">
                  <c:v>44760</c:v>
                </c:pt>
                <c:pt idx="49">
                  <c:v>44767</c:v>
                </c:pt>
                <c:pt idx="50">
                  <c:v>44774</c:v>
                </c:pt>
                <c:pt idx="51">
                  <c:v>44781</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ax val="20"/>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1"/>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44"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1"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checked="Checked" firstButton="1" fmlaLink="'Capacity calculation (hide)'!$E$1"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Radio" checked="Checked" firstButton="1" fmlaLink="'Capacity calculation (hide)'!$E$1"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firstButton="1" fmlaLink="'Parameters calculator (hide)'!$B$34" lockText="1" noThreeD="1"/>
</file>

<file path=xl/ctrlProps/ctrlProp27.xml><?xml version="1.0" encoding="utf-8"?>
<formControlPr xmlns="http://schemas.microsoft.com/office/spreadsheetml/2009/9/main" objectType="Radio" checked="Checked"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9.xml"/><Relationship Id="rId4"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400050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659130</xdr:colOff>
      <xdr:row>2</xdr:row>
      <xdr:rowOff>171450</xdr:rowOff>
    </xdr:from>
    <xdr:to>
      <xdr:col>18</xdr:col>
      <xdr:colOff>7620</xdr:colOff>
      <xdr:row>20</xdr:row>
      <xdr:rowOff>0</xdr:rowOff>
    </xdr:to>
    <xdr:graphicFrame macro="">
      <xdr:nvGraphicFramePr>
        <xdr:cNvPr id="2" name="D_Adj_Chart" hidden="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8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180975</xdr:rowOff>
        </xdr:from>
        <xdr:to>
          <xdr:col>2</xdr:col>
          <xdr:colOff>0</xdr:colOff>
          <xdr:row>4</xdr:row>
          <xdr:rowOff>180975</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8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8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8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8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8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8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8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8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278130</xdr:colOff>
      <xdr:row>4</xdr:row>
      <xdr:rowOff>125730</xdr:rowOff>
    </xdr:to>
    <xdr:pic macro="[0]!Sheet13.Planned_Help1_Click">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A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866775</xdr:colOff>
          <xdr:row>3</xdr:row>
          <xdr:rowOff>171450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C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866775</xdr:colOff>
          <xdr:row>4</xdr:row>
          <xdr:rowOff>171450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C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C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95250</xdr:rowOff>
        </xdr:from>
        <xdr:to>
          <xdr:col>3</xdr:col>
          <xdr:colOff>247650</xdr:colOff>
          <xdr:row>13</xdr:row>
          <xdr:rowOff>95250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D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95250</xdr:rowOff>
        </xdr:from>
        <xdr:to>
          <xdr:col>3</xdr:col>
          <xdr:colOff>142875</xdr:colOff>
          <xdr:row>6</xdr:row>
          <xdr:rowOff>171450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D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1428750</xdr:colOff>
          <xdr:row>15</xdr:row>
          <xdr:rowOff>533400</xdr:rowOff>
        </xdr:from>
        <xdr:to>
          <xdr:col>2</xdr:col>
          <xdr:colOff>1123950</xdr:colOff>
          <xdr:row>16</xdr:row>
          <xdr:rowOff>171450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D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D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561975</xdr:colOff>
          <xdr:row>5</xdr:row>
          <xdr:rowOff>171450</xdr:rowOff>
        </xdr:from>
        <xdr:to>
          <xdr:col>2</xdr:col>
          <xdr:colOff>866775</xdr:colOff>
          <xdr:row>7</xdr:row>
          <xdr:rowOff>28575</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D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D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819150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D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D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mc:AlternateContent xmlns:mc="http://schemas.openxmlformats.org/markup-compatibility/2006">
    <mc:Choice xmlns:a14="http://schemas.microsoft.com/office/drawing/2010/main" Requires="a14">
      <xdr:twoCellAnchor>
        <xdr:from>
          <xdr:col>12</xdr:col>
          <xdr:colOff>238125</xdr:colOff>
          <xdr:row>2</xdr:row>
          <xdr:rowOff>104775</xdr:rowOff>
        </xdr:from>
        <xdr:to>
          <xdr:col>13</xdr:col>
          <xdr:colOff>1352550</xdr:colOff>
          <xdr:row>5</xdr:row>
          <xdr:rowOff>0</xdr:rowOff>
        </xdr:to>
        <xdr:sp macro="" textlink="">
          <xdr:nvSpPr>
            <xdr:cNvPr id="32803" name="Button 35" hidden="1">
              <a:extLst>
                <a:ext uri="{63B3BB69-23CF-44E3-9099-C40C66FF867C}">
                  <a14:compatExt spid="_x0000_s32803"/>
                </a:ext>
                <a:ext uri="{FF2B5EF4-FFF2-40B4-BE49-F238E27FC236}">
                  <a16:creationId xmlns:a16="http://schemas.microsoft.com/office/drawing/2014/main" id="{00000000-0008-0000-0D00-000023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5</xdr:row>
          <xdr:rowOff>38100</xdr:rowOff>
        </xdr:from>
        <xdr:to>
          <xdr:col>13</xdr:col>
          <xdr:colOff>1352550</xdr:colOff>
          <xdr:row>7</xdr:row>
          <xdr:rowOff>95250</xdr:rowOff>
        </xdr:to>
        <xdr:sp macro="" textlink="">
          <xdr:nvSpPr>
            <xdr:cNvPr id="32804" name="Button 36" hidden="1">
              <a:extLst>
                <a:ext uri="{63B3BB69-23CF-44E3-9099-C40C66FF867C}">
                  <a14:compatExt spid="_x0000_s32804"/>
                </a:ext>
                <a:ext uri="{FF2B5EF4-FFF2-40B4-BE49-F238E27FC236}">
                  <a16:creationId xmlns:a16="http://schemas.microsoft.com/office/drawing/2014/main" id="{00000000-0008-0000-0D00-00002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247650</xdr:colOff>
          <xdr:row>7</xdr:row>
          <xdr:rowOff>171450</xdr:rowOff>
        </xdr:from>
        <xdr:to>
          <xdr:col>13</xdr:col>
          <xdr:colOff>1352550</xdr:colOff>
          <xdr:row>12</xdr:row>
          <xdr:rowOff>66675</xdr:rowOff>
        </xdr:to>
        <xdr:sp macro="" textlink="">
          <xdr:nvSpPr>
            <xdr:cNvPr id="32806" name="Button 38" hidden="1">
              <a:extLst>
                <a:ext uri="{63B3BB69-23CF-44E3-9099-C40C66FF867C}">
                  <a14:compatExt spid="_x0000_s32806"/>
                </a:ext>
                <a:ext uri="{FF2B5EF4-FFF2-40B4-BE49-F238E27FC236}">
                  <a16:creationId xmlns:a16="http://schemas.microsoft.com/office/drawing/2014/main" id="{00000000-0008-0000-0D00-000026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Template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180333</xdr:colOff>
      <xdr:row>22</xdr:row>
      <xdr:rowOff>332740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638175</xdr:colOff>
          <xdr:row>5</xdr:row>
          <xdr:rowOff>171450</xdr:rowOff>
        </xdr:from>
        <xdr:to>
          <xdr:col>1</xdr:col>
          <xdr:colOff>942975</xdr:colOff>
          <xdr:row>7</xdr:row>
          <xdr:rowOff>28575</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10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5</xdr:row>
          <xdr:rowOff>171450</xdr:rowOff>
        </xdr:from>
        <xdr:to>
          <xdr:col>2</xdr:col>
          <xdr:colOff>552450</xdr:colOff>
          <xdr:row>7</xdr:row>
          <xdr:rowOff>28575</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10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370840</xdr:colOff>
      <xdr:row>2</xdr:row>
      <xdr:rowOff>48260</xdr:rowOff>
    </xdr:to>
    <xdr:pic macro="[0]!Sheet20.Cap_Summary_help1_click">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10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3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3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3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3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3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3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3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28575</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3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3</xdr:row>
          <xdr:rowOff>0</xdr:rowOff>
        </xdr:from>
        <xdr:to>
          <xdr:col>6</xdr:col>
          <xdr:colOff>0</xdr:colOff>
          <xdr:row>4</xdr:row>
          <xdr:rowOff>28575</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3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3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twoCellAnchor>
    <xdr:from>
      <xdr:col>0</xdr:col>
      <xdr:colOff>6350</xdr:colOff>
      <xdr:row>0</xdr:row>
      <xdr:rowOff>152400</xdr:rowOff>
    </xdr:from>
    <xdr:to>
      <xdr:col>12</xdr:col>
      <xdr:colOff>114300</xdr:colOff>
      <xdr:row>32</xdr:row>
      <xdr:rowOff>76200</xdr:rowOff>
    </xdr:to>
    <xdr:grpSp>
      <xdr:nvGrpSpPr>
        <xdr:cNvPr id="16" name="Group 15" hidden="1">
          <a:extLst>
            <a:ext uri="{FF2B5EF4-FFF2-40B4-BE49-F238E27FC236}">
              <a16:creationId xmlns:a16="http://schemas.microsoft.com/office/drawing/2014/main" id="{00000000-0008-0000-1300-000010000000}"/>
            </a:ext>
          </a:extLst>
        </xdr:cNvPr>
        <xdr:cNvGrpSpPr/>
      </xdr:nvGrpSpPr>
      <xdr:grpSpPr>
        <a:xfrm>
          <a:off x="6350" y="152400"/>
          <a:ext cx="11195050" cy="5895975"/>
          <a:chOff x="6350" y="152400"/>
          <a:chExt cx="11156950" cy="5734050"/>
        </a:xfrm>
      </xdr:grpSpPr>
      <xdr:sp macro="" textlink="">
        <xdr:nvSpPr>
          <xdr:cNvPr id="14" name="TextBox 13" hidden="1">
            <a:extLst>
              <a:ext uri="{FF2B5EF4-FFF2-40B4-BE49-F238E27FC236}">
                <a16:creationId xmlns:a16="http://schemas.microsoft.com/office/drawing/2014/main" id="{00000000-0008-0000-1300-00000E000000}"/>
              </a:ext>
            </a:extLst>
          </xdr:cNvPr>
          <xdr:cNvSpPr txBox="1"/>
        </xdr:nvSpPr>
        <xdr:spPr>
          <a:xfrm>
            <a:off x="6350" y="152400"/>
            <a:ext cx="11156950" cy="5734050"/>
          </a:xfrm>
          <a:prstGeom prst="rect">
            <a:avLst/>
          </a:prstGeom>
          <a:solidFill>
            <a:srgbClr val="9D91A1">
              <a:alpha val="50196"/>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endParaRPr lang="en-GB" sz="1100" b="1"/>
          </a:p>
        </xdr:txBody>
      </xdr:sp>
      <xdr:sp macro="" textlink="">
        <xdr:nvSpPr>
          <xdr:cNvPr id="15" name="TextBox 14" hidden="1">
            <a:extLst>
              <a:ext uri="{FF2B5EF4-FFF2-40B4-BE49-F238E27FC236}">
                <a16:creationId xmlns:a16="http://schemas.microsoft.com/office/drawing/2014/main" id="{00000000-0008-0000-1300-00000F000000}"/>
              </a:ext>
            </a:extLst>
          </xdr:cNvPr>
          <xdr:cNvSpPr txBox="1"/>
        </xdr:nvSpPr>
        <xdr:spPr>
          <a:xfrm>
            <a:off x="3190875" y="2667000"/>
            <a:ext cx="5054600" cy="254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These values are not in use on the Summary page as a planning scenario is selected.</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7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12</xdr:col>
      <xdr:colOff>191173</xdr:colOff>
      <xdr:row>17</xdr:row>
      <xdr:rowOff>87779</xdr:rowOff>
    </xdr:to>
    <xdr:graphicFrame macro="">
      <xdr:nvGraphicFramePr>
        <xdr:cNvPr id="4" name="Req_Cap_Overall" hidden="1">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12</xdr:col>
      <xdr:colOff>449618</xdr:colOff>
      <xdr:row>54</xdr:row>
      <xdr:rowOff>6986</xdr:rowOff>
    </xdr:to>
    <xdr:graphicFrame macro="">
      <xdr:nvGraphicFramePr>
        <xdr:cNvPr id="5" name="WL_Chart">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101600</xdr:colOff>
      <xdr:row>4</xdr:row>
      <xdr:rowOff>139701</xdr:rowOff>
    </xdr:from>
    <xdr:to>
      <xdr:col>17</xdr:col>
      <xdr:colOff>666614</xdr:colOff>
      <xdr:row>18</xdr:row>
      <xdr:rowOff>0</xdr:rowOff>
    </xdr:to>
    <xdr:graphicFrame macro="">
      <xdr:nvGraphicFramePr>
        <xdr:cNvPr id="6" name="Req_Cap_Time">
          <a:extLst>
            <a:ext uri="{FF2B5EF4-FFF2-40B4-BE49-F238E27FC236}">
              <a16:creationId xmlns:a16="http://schemas.microsoft.com/office/drawing/2014/main" id="{00000000-0008-0000-1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145415</xdr:rowOff>
    </xdr:to>
    <xdr:pic macro="[0]!Sheet17.Summary_help1_click">
      <xdr:nvPicPr>
        <xdr:cNvPr id="7" name="Picture 6">
          <a:extLst>
            <a:ext uri="{FF2B5EF4-FFF2-40B4-BE49-F238E27FC236}">
              <a16:creationId xmlns:a16="http://schemas.microsoft.com/office/drawing/2014/main" id="{00000000-0008-0000-1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8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142875</xdr:rowOff>
        </xdr:from>
        <xdr:to>
          <xdr:col>4</xdr:col>
          <xdr:colOff>285750</xdr:colOff>
          <xdr:row>45</xdr:row>
          <xdr:rowOff>19050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800-000010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602615</xdr:colOff>
      <xdr:row>42</xdr:row>
      <xdr:rowOff>45085</xdr:rowOff>
    </xdr:to>
    <xdr:pic macro="[0]!Sheet17.Summary_help2_click">
      <xdr:nvPicPr>
        <xdr:cNvPr id="9" name="Picture 8" hidden="1">
          <a:extLst>
            <a:ext uri="{FF2B5EF4-FFF2-40B4-BE49-F238E27FC236}">
              <a16:creationId xmlns:a16="http://schemas.microsoft.com/office/drawing/2014/main" id="{00000000-0008-0000-1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8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1</xdr:col>
          <xdr:colOff>28575</xdr:colOff>
          <xdr:row>14</xdr:row>
          <xdr:rowOff>19050</xdr:rowOff>
        </xdr:from>
        <xdr:to>
          <xdr:col>2</xdr:col>
          <xdr:colOff>0</xdr:colOff>
          <xdr:row>14</xdr:row>
          <xdr:rowOff>419100</xdr:rowOff>
        </xdr:to>
        <xdr:sp macro="" textlink="">
          <xdr:nvSpPr>
            <xdr:cNvPr id="172050" name="Button 18" hidden="1">
              <a:extLst>
                <a:ext uri="{63B3BB69-23CF-44E3-9099-C40C66FF867C}">
                  <a14:compatExt spid="_x0000_s172050"/>
                </a:ext>
                <a:ext uri="{FF2B5EF4-FFF2-40B4-BE49-F238E27FC236}">
                  <a16:creationId xmlns:a16="http://schemas.microsoft.com/office/drawing/2014/main" id="{00000000-0008-0000-1800-000012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Select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14</xdr:row>
          <xdr:rowOff>19050</xdr:rowOff>
        </xdr:from>
        <xdr:to>
          <xdr:col>2</xdr:col>
          <xdr:colOff>952500</xdr:colOff>
          <xdr:row>14</xdr:row>
          <xdr:rowOff>419100</xdr:rowOff>
        </xdr:to>
        <xdr:sp macro="" textlink="">
          <xdr:nvSpPr>
            <xdr:cNvPr id="172051" name="Button 19" hidden="1">
              <a:extLst>
                <a:ext uri="{63B3BB69-23CF-44E3-9099-C40C66FF867C}">
                  <a14:compatExt spid="_x0000_s172051"/>
                </a:ext>
                <a:ext uri="{FF2B5EF4-FFF2-40B4-BE49-F238E27FC236}">
                  <a16:creationId xmlns:a16="http://schemas.microsoft.com/office/drawing/2014/main" id="{00000000-0008-0000-1800-000013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209550</xdr:rowOff>
        </xdr:from>
        <xdr:to>
          <xdr:col>2</xdr:col>
          <xdr:colOff>0</xdr:colOff>
          <xdr:row>16</xdr:row>
          <xdr:rowOff>0</xdr:rowOff>
        </xdr:to>
        <xdr:sp macro="" textlink="">
          <xdr:nvSpPr>
            <xdr:cNvPr id="172052" name="Button 20" hidden="1">
              <a:extLst>
                <a:ext uri="{63B3BB69-23CF-44E3-9099-C40C66FF867C}">
                  <a14:compatExt spid="_x0000_s172052"/>
                </a:ext>
                <a:ext uri="{FF2B5EF4-FFF2-40B4-BE49-F238E27FC236}">
                  <a16:creationId xmlns:a16="http://schemas.microsoft.com/office/drawing/2014/main" id="{00000000-0008-0000-1800-000014A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Capacity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4</xdr:col>
      <xdr:colOff>251460</xdr:colOff>
      <xdr:row>0</xdr:row>
      <xdr:rowOff>0</xdr:rowOff>
    </xdr:from>
    <xdr:to>
      <xdr:col>57</xdr:col>
      <xdr:colOff>400043</xdr:colOff>
      <xdr:row>47</xdr:row>
      <xdr:rowOff>8890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1174115</xdr:colOff>
      <xdr:row>2</xdr:row>
      <xdr:rowOff>76200</xdr:rowOff>
    </xdr:to>
    <xdr:pic macro="[0]!Sheet26.Planning_help1_click">
      <xdr:nvPicPr>
        <xdr:cNvPr id="5" name="Picture 4">
          <a:extLst>
            <a:ext uri="{FF2B5EF4-FFF2-40B4-BE49-F238E27FC236}">
              <a16:creationId xmlns:a16="http://schemas.microsoft.com/office/drawing/2014/main" id="{00000000-0008-0000-1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C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mc:AlternateContent xmlns:mc="http://schemas.openxmlformats.org/markup-compatibility/2006">
    <mc:Choice xmlns:a14="http://schemas.microsoft.com/office/drawing/2010/main" Requires="a14">
      <xdr:twoCellAnchor>
        <xdr:from>
          <xdr:col>58</xdr:col>
          <xdr:colOff>38100</xdr:colOff>
          <xdr:row>2</xdr:row>
          <xdr:rowOff>57150</xdr:rowOff>
        </xdr:from>
        <xdr:to>
          <xdr:col>60</xdr:col>
          <xdr:colOff>19050</xdr:colOff>
          <xdr:row>4</xdr:row>
          <xdr:rowOff>104775</xdr:rowOff>
        </xdr:to>
        <xdr:sp macro="" textlink="">
          <xdr:nvSpPr>
            <xdr:cNvPr id="202762" name="Button 10" hidden="1">
              <a:extLst>
                <a:ext uri="{63B3BB69-23CF-44E3-9099-C40C66FF867C}">
                  <a14:compatExt spid="_x0000_s202762"/>
                </a:ext>
                <a:ext uri="{FF2B5EF4-FFF2-40B4-BE49-F238E27FC236}">
                  <a16:creationId xmlns:a16="http://schemas.microsoft.com/office/drawing/2014/main" id="{00000000-0008-0000-1C00-00000A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Save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5</xdr:row>
          <xdr:rowOff>142875</xdr:rowOff>
        </xdr:from>
        <xdr:to>
          <xdr:col>60</xdr:col>
          <xdr:colOff>19050</xdr:colOff>
          <xdr:row>8</xdr:row>
          <xdr:rowOff>28575</xdr:rowOff>
        </xdr:to>
        <xdr:sp macro="" textlink="">
          <xdr:nvSpPr>
            <xdr:cNvPr id="202763" name="Button 11" hidden="1">
              <a:extLst>
                <a:ext uri="{63B3BB69-23CF-44E3-9099-C40C66FF867C}">
                  <a14:compatExt spid="_x0000_s202763"/>
                </a:ext>
                <a:ext uri="{FF2B5EF4-FFF2-40B4-BE49-F238E27FC236}">
                  <a16:creationId xmlns:a16="http://schemas.microsoft.com/office/drawing/2014/main" id="{00000000-0008-0000-1C00-00000B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Import Scenario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58</xdr:col>
          <xdr:colOff>38100</xdr:colOff>
          <xdr:row>9</xdr:row>
          <xdr:rowOff>133350</xdr:rowOff>
        </xdr:from>
        <xdr:to>
          <xdr:col>60</xdr:col>
          <xdr:colOff>28575</xdr:colOff>
          <xdr:row>11</xdr:row>
          <xdr:rowOff>19050</xdr:rowOff>
        </xdr:to>
        <xdr:sp macro="" textlink="">
          <xdr:nvSpPr>
            <xdr:cNvPr id="202764" name="Button 12" hidden="1">
              <a:extLst>
                <a:ext uri="{63B3BB69-23CF-44E3-9099-C40C66FF867C}">
                  <a14:compatExt spid="_x0000_s202764"/>
                </a:ext>
                <a:ext uri="{FF2B5EF4-FFF2-40B4-BE49-F238E27FC236}">
                  <a16:creationId xmlns:a16="http://schemas.microsoft.com/office/drawing/2014/main" id="{00000000-0008-0000-1C00-00000C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100" b="0" i="0" u="none" strike="noStrike" baseline="0">
                  <a:solidFill>
                    <a:srgbClr val="000000"/>
                  </a:solidFill>
                  <a:latin typeface="Arial"/>
                  <a:cs typeface="Arial"/>
                </a:rPr>
                <a:t>Delete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6.vml"/><Relationship Id="rId7" Type="http://schemas.openxmlformats.org/officeDocument/2006/relationships/ctrlProp" Target="../ctrlProps/ctrlProp7.xml"/><Relationship Id="rId12" Type="http://schemas.openxmlformats.org/officeDocument/2006/relationships/comments" Target="../comments5.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3.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17.xml"/><Relationship Id="rId12" Type="http://schemas.openxmlformats.org/officeDocument/2006/relationships/ctrlProp" Target="../ctrlProps/ctrlProp22.x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7.bin"/><Relationship Id="rId6" Type="http://schemas.openxmlformats.org/officeDocument/2006/relationships/comments" Target="../comments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0.bin"/><Relationship Id="rId6" Type="http://schemas.openxmlformats.org/officeDocument/2006/relationships/comments" Target="../comments12.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1.bin"/><Relationship Id="rId4" Type="http://schemas.openxmlformats.org/officeDocument/2006/relationships/comments" Target="../comments13.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4.bin"/><Relationship Id="rId4" Type="http://schemas.openxmlformats.org/officeDocument/2006/relationships/comments" Target="../comments15.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8.vml"/><Relationship Id="rId7" Type="http://schemas.openxmlformats.org/officeDocument/2006/relationships/ctrlProp" Target="../ctrlProps/ctrlProp31.xml"/><Relationship Id="rId2" Type="http://schemas.openxmlformats.org/officeDocument/2006/relationships/drawing" Target="../drawings/drawing14.xml"/><Relationship Id="rId1" Type="http://schemas.openxmlformats.org/officeDocument/2006/relationships/printerSettings" Target="../printerSettings/printerSettings25.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9.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omments" Target="../comments18.xml"/><Relationship Id="rId2" Type="http://schemas.openxmlformats.org/officeDocument/2006/relationships/drawing" Target="../drawings/drawing15.xml"/><Relationship Id="rId1" Type="http://schemas.openxmlformats.org/officeDocument/2006/relationships/printerSettings" Target="../printerSettings/printerSettings2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40"/>
  <sheetViews>
    <sheetView showGridLines="0" tabSelected="1" workbookViewId="0">
      <selection activeCell="D4" sqref="D4"/>
    </sheetView>
  </sheetViews>
  <sheetFormatPr defaultRowHeight="14.25" x14ac:dyDescent="0.2"/>
  <cols>
    <col min="1" max="1" width="9.625" bestFit="1" customWidth="1"/>
    <col min="2" max="2" width="9.75" bestFit="1" customWidth="1"/>
    <col min="3" max="3" width="20.125" customWidth="1"/>
    <col min="4" max="4" width="74.25" customWidth="1"/>
    <col min="5" max="5" width="35.25" customWidth="1"/>
  </cols>
  <sheetData>
    <row r="2" spans="1:5" ht="15" x14ac:dyDescent="0.25">
      <c r="A2" s="285" t="s">
        <v>0</v>
      </c>
      <c r="B2" s="285" t="s">
        <v>1</v>
      </c>
      <c r="C2" s="285" t="s">
        <v>2</v>
      </c>
      <c r="D2" s="285" t="s">
        <v>3</v>
      </c>
      <c r="E2" s="285" t="s">
        <v>11</v>
      </c>
    </row>
    <row r="3" spans="1:5" s="67" customFormat="1" ht="85.5" x14ac:dyDescent="0.2">
      <c r="A3" s="289">
        <v>3.5</v>
      </c>
      <c r="B3" s="290">
        <v>44418</v>
      </c>
      <c r="C3" s="289" t="s">
        <v>5</v>
      </c>
      <c r="D3" s="292" t="s">
        <v>1304</v>
      </c>
      <c r="E3" s="289"/>
    </row>
    <row r="4" spans="1:5" s="67" customFormat="1" ht="171.75" x14ac:dyDescent="0.25">
      <c r="A4" s="289" t="s">
        <v>1292</v>
      </c>
      <c r="B4" s="290">
        <v>44145</v>
      </c>
      <c r="C4" s="289" t="s">
        <v>276</v>
      </c>
      <c r="D4" s="292" t="s">
        <v>1303</v>
      </c>
      <c r="E4" s="285"/>
    </row>
    <row r="5" spans="1:5" s="67" customFormat="1" ht="42.75" x14ac:dyDescent="0.2">
      <c r="A5" s="292" t="s">
        <v>1276</v>
      </c>
      <c r="B5" s="380">
        <v>44061</v>
      </c>
      <c r="C5" s="292" t="s">
        <v>1270</v>
      </c>
      <c r="D5" s="292" t="s">
        <v>1275</v>
      </c>
      <c r="E5" s="292"/>
    </row>
    <row r="6" spans="1:5" s="67" customFormat="1" ht="57" x14ac:dyDescent="0.2">
      <c r="A6" s="289" t="s">
        <v>1274</v>
      </c>
      <c r="B6" s="290">
        <v>44057</v>
      </c>
      <c r="C6" s="292" t="s">
        <v>1270</v>
      </c>
      <c r="D6" s="292" t="s">
        <v>1271</v>
      </c>
      <c r="E6" s="289"/>
    </row>
    <row r="7" spans="1:5" s="67" customFormat="1" ht="57" x14ac:dyDescent="0.2">
      <c r="A7" s="289" t="s">
        <v>1240</v>
      </c>
      <c r="B7" s="290">
        <v>44027</v>
      </c>
      <c r="C7" s="289" t="s">
        <v>5</v>
      </c>
      <c r="D7" s="292" t="s">
        <v>1241</v>
      </c>
      <c r="E7" s="289"/>
    </row>
    <row r="8" spans="1:5" s="67" customFormat="1" ht="156.75" x14ac:dyDescent="0.2">
      <c r="A8" s="289" t="s">
        <v>1233</v>
      </c>
      <c r="B8" s="290">
        <v>44025</v>
      </c>
      <c r="C8" s="289" t="s">
        <v>5</v>
      </c>
      <c r="D8" s="292" t="s">
        <v>1239</v>
      </c>
      <c r="E8" s="292"/>
    </row>
    <row r="9" spans="1:5" s="67" customFormat="1" ht="71.25" x14ac:dyDescent="0.2">
      <c r="A9" s="289" t="s">
        <v>1232</v>
      </c>
      <c r="B9" s="290">
        <v>43997</v>
      </c>
      <c r="C9" s="289" t="s">
        <v>5</v>
      </c>
      <c r="D9" s="292" t="s">
        <v>1234</v>
      </c>
      <c r="E9" s="289"/>
    </row>
    <row r="10" spans="1:5" s="67" customFormat="1" ht="156.75" x14ac:dyDescent="0.2">
      <c r="A10" s="289">
        <v>3.4</v>
      </c>
      <c r="B10" s="290">
        <v>43993</v>
      </c>
      <c r="C10" s="289" t="s">
        <v>5</v>
      </c>
      <c r="D10" s="292" t="s">
        <v>1230</v>
      </c>
      <c r="E10" s="292"/>
    </row>
    <row r="11" spans="1:5" s="67" customFormat="1" ht="142.5" x14ac:dyDescent="0.2">
      <c r="A11" s="289">
        <v>3.3</v>
      </c>
      <c r="B11" s="290">
        <v>43980</v>
      </c>
      <c r="C11" s="289" t="s">
        <v>5</v>
      </c>
      <c r="D11" s="292" t="s">
        <v>1228</v>
      </c>
      <c r="E11" s="289"/>
    </row>
    <row r="12" spans="1:5" s="67" customFormat="1" ht="42.75" x14ac:dyDescent="0.2">
      <c r="A12" s="334">
        <v>3.2</v>
      </c>
      <c r="B12" s="290">
        <v>43965</v>
      </c>
      <c r="C12" s="289" t="s">
        <v>5</v>
      </c>
      <c r="D12" s="292" t="s">
        <v>1211</v>
      </c>
      <c r="E12" s="292"/>
    </row>
    <row r="13" spans="1:5" s="67" customFormat="1" ht="42.75" x14ac:dyDescent="0.2">
      <c r="A13" s="334">
        <v>3.1</v>
      </c>
      <c r="B13" s="290">
        <v>43964</v>
      </c>
      <c r="C13" s="289" t="s">
        <v>5</v>
      </c>
      <c r="D13" s="292" t="s">
        <v>1206</v>
      </c>
      <c r="E13" s="292"/>
    </row>
    <row r="14" spans="1:5" s="67" customFormat="1" ht="99.75" x14ac:dyDescent="0.2">
      <c r="A14" s="334">
        <v>3</v>
      </c>
      <c r="B14" s="290">
        <v>43963</v>
      </c>
      <c r="C14" s="289" t="s">
        <v>5</v>
      </c>
      <c r="D14" s="292" t="s">
        <v>1202</v>
      </c>
      <c r="E14" s="292" t="s">
        <v>1203</v>
      </c>
    </row>
    <row r="15" spans="1:5" s="67" customFormat="1" ht="72" x14ac:dyDescent="0.25">
      <c r="A15" s="289">
        <v>2.13</v>
      </c>
      <c r="B15" s="290">
        <v>43903</v>
      </c>
      <c r="C15" s="289" t="s">
        <v>5</v>
      </c>
      <c r="D15" s="292" t="s">
        <v>1174</v>
      </c>
      <c r="E15" s="285"/>
    </row>
    <row r="16" spans="1:5" s="67" customFormat="1" ht="29.25" x14ac:dyDescent="0.25">
      <c r="A16" s="289">
        <v>2.12</v>
      </c>
      <c r="B16" s="290">
        <v>43887</v>
      </c>
      <c r="C16" s="289" t="s">
        <v>276</v>
      </c>
      <c r="D16" s="292" t="s">
        <v>1175</v>
      </c>
      <c r="E16" s="285"/>
    </row>
    <row r="17" spans="1:5" s="67" customFormat="1" ht="57" x14ac:dyDescent="0.2">
      <c r="A17" s="289">
        <v>2.11</v>
      </c>
      <c r="B17" s="290">
        <v>43846</v>
      </c>
      <c r="C17" s="292" t="s">
        <v>1166</v>
      </c>
      <c r="D17" s="292" t="s">
        <v>1173</v>
      </c>
      <c r="E17" s="292" t="s">
        <v>1171</v>
      </c>
    </row>
    <row r="18" spans="1:5" s="67" customFormat="1" ht="43.5" x14ac:dyDescent="0.25">
      <c r="A18" s="327">
        <v>2.1</v>
      </c>
      <c r="B18" s="290">
        <v>43756</v>
      </c>
      <c r="C18" s="289" t="s">
        <v>276</v>
      </c>
      <c r="D18" s="292" t="s">
        <v>1170</v>
      </c>
      <c r="E18" s="285"/>
    </row>
    <row r="19" spans="1:5" s="67" customFormat="1" ht="57.75" x14ac:dyDescent="0.25">
      <c r="A19" s="289">
        <v>2.02</v>
      </c>
      <c r="B19" s="290">
        <v>43718</v>
      </c>
      <c r="C19" s="289" t="s">
        <v>5</v>
      </c>
      <c r="D19" s="292" t="s">
        <v>1169</v>
      </c>
      <c r="E19" s="285"/>
    </row>
    <row r="20" spans="1:5" s="67" customFormat="1" ht="57.75" x14ac:dyDescent="0.25">
      <c r="A20" s="289">
        <v>2.0099999999999998</v>
      </c>
      <c r="B20" s="290">
        <v>43693</v>
      </c>
      <c r="C20" s="289" t="s">
        <v>1108</v>
      </c>
      <c r="D20" s="292" t="s">
        <v>1168</v>
      </c>
      <c r="E20" s="285"/>
    </row>
    <row r="21" spans="1:5" s="67" customFormat="1" ht="100.5" x14ac:dyDescent="0.25">
      <c r="A21" s="323">
        <v>2</v>
      </c>
      <c r="B21" s="313">
        <v>43665</v>
      </c>
      <c r="C21" s="292" t="s">
        <v>1166</v>
      </c>
      <c r="D21" s="292" t="s">
        <v>1167</v>
      </c>
      <c r="E21" s="285"/>
    </row>
    <row r="22" spans="1:5" s="67" customFormat="1" ht="257.25" x14ac:dyDescent="0.25">
      <c r="A22" s="285">
        <v>1.05</v>
      </c>
      <c r="B22" s="313">
        <v>43570</v>
      </c>
      <c r="C22" s="292" t="s">
        <v>1165</v>
      </c>
      <c r="D22" s="292" t="s">
        <v>1160</v>
      </c>
      <c r="E22" s="315" t="s">
        <v>1159</v>
      </c>
    </row>
    <row r="23" spans="1:5" s="67" customFormat="1" ht="85.5" x14ac:dyDescent="0.2">
      <c r="A23" s="289">
        <v>1.04</v>
      </c>
      <c r="B23" s="290">
        <v>43516</v>
      </c>
      <c r="C23" s="289" t="s">
        <v>1108</v>
      </c>
      <c r="D23" s="292" t="s">
        <v>1111</v>
      </c>
      <c r="E23" s="292"/>
    </row>
    <row r="24" spans="1:5" s="67" customFormat="1" ht="128.25" x14ac:dyDescent="0.2">
      <c r="A24" s="289" t="s">
        <v>1107</v>
      </c>
      <c r="B24" s="290">
        <v>43486</v>
      </c>
      <c r="C24" s="289" t="s">
        <v>1108</v>
      </c>
      <c r="D24" s="292" t="s">
        <v>1109</v>
      </c>
      <c r="E24" s="292" t="s">
        <v>1110</v>
      </c>
    </row>
    <row r="25" spans="1:5" s="291" customFormat="1" ht="171" x14ac:dyDescent="0.2">
      <c r="A25" s="289" t="s">
        <v>1107</v>
      </c>
      <c r="B25" s="290">
        <v>43395</v>
      </c>
      <c r="C25" s="289" t="s">
        <v>5</v>
      </c>
      <c r="D25" s="292" t="s">
        <v>1106</v>
      </c>
      <c r="E25" s="292" t="s">
        <v>1105</v>
      </c>
    </row>
    <row r="26" spans="1:5" s="291" customFormat="1" ht="171" x14ac:dyDescent="0.2">
      <c r="A26" s="289">
        <v>1.03</v>
      </c>
      <c r="B26" s="290">
        <v>43319</v>
      </c>
      <c r="C26" s="289" t="s">
        <v>5</v>
      </c>
      <c r="D26" s="292" t="s">
        <v>1104</v>
      </c>
      <c r="E26" s="289"/>
    </row>
    <row r="27" spans="1:5" ht="409.5" x14ac:dyDescent="0.2">
      <c r="A27" s="286">
        <v>1.02</v>
      </c>
      <c r="B27" s="287">
        <v>43292</v>
      </c>
      <c r="C27" s="286" t="s">
        <v>5</v>
      </c>
      <c r="D27" s="288" t="s">
        <v>1103</v>
      </c>
      <c r="E27" s="288" t="s">
        <v>944</v>
      </c>
    </row>
    <row r="28" spans="1:5" ht="42.75" x14ac:dyDescent="0.2">
      <c r="A28" s="286" t="s">
        <v>932</v>
      </c>
      <c r="B28" s="287">
        <v>43291</v>
      </c>
      <c r="C28" s="286" t="s">
        <v>5</v>
      </c>
      <c r="D28" s="288" t="s">
        <v>933</v>
      </c>
      <c r="E28" s="286"/>
    </row>
    <row r="29" spans="1:5" ht="156.75" x14ac:dyDescent="0.2">
      <c r="A29" s="286" t="s">
        <v>880</v>
      </c>
      <c r="B29" s="287">
        <v>43255</v>
      </c>
      <c r="C29" s="286" t="s">
        <v>5</v>
      </c>
      <c r="D29" s="288" t="s">
        <v>881</v>
      </c>
      <c r="E29" s="286"/>
    </row>
    <row r="30" spans="1:5" ht="42.75" x14ac:dyDescent="0.2">
      <c r="A30" s="286" t="s">
        <v>873</v>
      </c>
      <c r="B30" s="287">
        <v>43247</v>
      </c>
      <c r="C30" s="286" t="s">
        <v>5</v>
      </c>
      <c r="D30" s="288" t="s">
        <v>874</v>
      </c>
      <c r="E30" s="286"/>
    </row>
    <row r="31" spans="1:5" ht="142.5" x14ac:dyDescent="0.2">
      <c r="A31" s="286">
        <v>0.4</v>
      </c>
      <c r="B31" s="287">
        <v>43229</v>
      </c>
      <c r="C31" s="286" t="s">
        <v>5</v>
      </c>
      <c r="D31" s="288" t="s">
        <v>491</v>
      </c>
      <c r="E31" s="288" t="s">
        <v>492</v>
      </c>
    </row>
    <row r="32" spans="1:5" ht="114" x14ac:dyDescent="0.2">
      <c r="A32" s="286" t="s">
        <v>324</v>
      </c>
      <c r="B32" s="287">
        <v>43206</v>
      </c>
      <c r="C32" s="286" t="s">
        <v>5</v>
      </c>
      <c r="D32" s="288" t="s">
        <v>325</v>
      </c>
      <c r="E32" s="288" t="s">
        <v>339</v>
      </c>
    </row>
    <row r="33" spans="1:5" ht="57" x14ac:dyDescent="0.2">
      <c r="A33" s="286" t="s">
        <v>300</v>
      </c>
      <c r="B33" s="287">
        <v>43185</v>
      </c>
      <c r="C33" s="286" t="s">
        <v>5</v>
      </c>
      <c r="D33" s="286"/>
      <c r="E33" s="288" t="s">
        <v>301</v>
      </c>
    </row>
    <row r="34" spans="1:5" ht="71.25" x14ac:dyDescent="0.2">
      <c r="A34" s="286" t="s">
        <v>298</v>
      </c>
      <c r="B34" s="287">
        <v>43178</v>
      </c>
      <c r="C34" s="286" t="s">
        <v>276</v>
      </c>
      <c r="D34" s="288" t="s">
        <v>299</v>
      </c>
      <c r="E34" s="286"/>
    </row>
    <row r="35" spans="1:5" ht="128.25" x14ac:dyDescent="0.2">
      <c r="A35" s="286" t="s">
        <v>288</v>
      </c>
      <c r="B35" s="287">
        <v>43172</v>
      </c>
      <c r="C35" s="286" t="s">
        <v>5</v>
      </c>
      <c r="D35" s="288" t="s">
        <v>289</v>
      </c>
      <c r="E35" s="288" t="s">
        <v>291</v>
      </c>
    </row>
    <row r="36" spans="1:5" ht="57" x14ac:dyDescent="0.2">
      <c r="A36" s="286" t="s">
        <v>275</v>
      </c>
      <c r="B36" s="287">
        <v>43167</v>
      </c>
      <c r="C36" s="286" t="s">
        <v>276</v>
      </c>
      <c r="D36" s="286" t="s">
        <v>277</v>
      </c>
      <c r="E36" s="288" t="s">
        <v>282</v>
      </c>
    </row>
    <row r="37" spans="1:5" x14ac:dyDescent="0.2">
      <c r="A37" s="286"/>
      <c r="B37" s="287">
        <v>43147</v>
      </c>
      <c r="C37" s="286" t="s">
        <v>5</v>
      </c>
      <c r="D37" s="286" t="s">
        <v>127</v>
      </c>
      <c r="E37" s="286"/>
    </row>
    <row r="38" spans="1:5" ht="99.75" x14ac:dyDescent="0.2">
      <c r="A38" s="286" t="s">
        <v>9</v>
      </c>
      <c r="B38" s="287">
        <v>43130</v>
      </c>
      <c r="C38" s="286" t="s">
        <v>5</v>
      </c>
      <c r="D38" s="288" t="s">
        <v>10</v>
      </c>
      <c r="E38" s="288" t="s">
        <v>12</v>
      </c>
    </row>
    <row r="39" spans="1:5" x14ac:dyDescent="0.2">
      <c r="A39" s="286" t="s">
        <v>7</v>
      </c>
      <c r="B39" s="287">
        <v>43068</v>
      </c>
      <c r="C39" s="286" t="s">
        <v>5</v>
      </c>
      <c r="D39" s="286" t="s">
        <v>8</v>
      </c>
      <c r="E39" s="286"/>
    </row>
    <row r="40" spans="1:5" x14ac:dyDescent="0.2">
      <c r="A40" s="286" t="s">
        <v>4</v>
      </c>
      <c r="B40" s="287">
        <v>42852</v>
      </c>
      <c r="C40" s="286" t="s">
        <v>5</v>
      </c>
      <c r="D40" s="286" t="s">
        <v>6</v>
      </c>
      <c r="E40" s="286"/>
    </row>
  </sheetData>
  <sheetProtection algorithmName="SHA-512" hashValue="zZLTBWKAgYo3aj9D0ZiNjxyoAc4DNp0ykAUnVlYn5/ssLq5DH+VWe2LNuM9shDMa4BkhEsmlYnj2FXE/6dDdxg==" saltValue="1gAoPa9vtCD7opC7U2ps0g==" spinCount="100000" sheet="1" objects="1" scenarios="1"/>
  <sortState xmlns:xlrd2="http://schemas.microsoft.com/office/spreadsheetml/2017/richdata2" ref="A23:E36">
    <sortCondition descending="1" ref="B23:B3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4.25" x14ac:dyDescent="0.2"/>
  <cols>
    <col min="1" max="1" width="5.625" style="67" hidden="1" customWidth="1"/>
    <col min="2" max="2" width="27.5" customWidth="1"/>
    <col min="3" max="3" width="7.625" customWidth="1"/>
    <col min="4" max="4" width="23.25" customWidth="1"/>
  </cols>
  <sheetData>
    <row r="1" spans="1:18" x14ac:dyDescent="0.2">
      <c r="B1" t="s">
        <v>523</v>
      </c>
    </row>
    <row r="3" spans="1:18" x14ac:dyDescent="0.2">
      <c r="B3" t="s">
        <v>524</v>
      </c>
    </row>
    <row r="4" spans="1:18" x14ac:dyDescent="0.2">
      <c r="B4" t="s">
        <v>525</v>
      </c>
    </row>
    <row r="7" spans="1:18" ht="15" x14ac:dyDescent="0.25">
      <c r="B7" s="2" t="s">
        <v>947</v>
      </c>
      <c r="K7" s="2" t="s">
        <v>1102</v>
      </c>
    </row>
    <row r="9" spans="1:18" ht="15" x14ac:dyDescent="0.25">
      <c r="A9" s="67">
        <f>COUNTA(B10:B1048576)</f>
        <v>236</v>
      </c>
      <c r="B9" s="2" t="s">
        <v>526</v>
      </c>
      <c r="C9" s="2"/>
      <c r="D9" s="2" t="s">
        <v>527</v>
      </c>
      <c r="K9" s="2" t="s">
        <v>1100</v>
      </c>
      <c r="R9" s="2" t="s">
        <v>1101</v>
      </c>
    </row>
    <row r="10" spans="1:18" x14ac:dyDescent="0.2">
      <c r="A10" s="67">
        <f>COUNTA(D10:D1048576)</f>
        <v>79</v>
      </c>
      <c r="B10" s="67" t="s">
        <v>557</v>
      </c>
      <c r="D10" s="67" t="s">
        <v>827</v>
      </c>
      <c r="K10" t="s">
        <v>948</v>
      </c>
      <c r="R10" t="s">
        <v>827</v>
      </c>
    </row>
    <row r="11" spans="1:18" x14ac:dyDescent="0.2">
      <c r="B11" s="67" t="s">
        <v>558</v>
      </c>
      <c r="D11" s="67" t="s">
        <v>853</v>
      </c>
      <c r="K11" t="s">
        <v>949</v>
      </c>
      <c r="R11" t="s">
        <v>853</v>
      </c>
    </row>
    <row r="12" spans="1:18" x14ac:dyDescent="0.2">
      <c r="B12" s="67" t="s">
        <v>559</v>
      </c>
      <c r="D12" s="67" t="s">
        <v>811</v>
      </c>
      <c r="K12" t="s">
        <v>950</v>
      </c>
      <c r="R12" t="s">
        <v>811</v>
      </c>
    </row>
    <row r="13" spans="1:18" x14ac:dyDescent="0.2">
      <c r="B13" s="67" t="s">
        <v>560</v>
      </c>
      <c r="D13" s="67" t="s">
        <v>819</v>
      </c>
      <c r="K13" t="s">
        <v>951</v>
      </c>
      <c r="R13" t="s">
        <v>819</v>
      </c>
    </row>
    <row r="14" spans="1:18" x14ac:dyDescent="0.2">
      <c r="B14" s="67" t="s">
        <v>561</v>
      </c>
      <c r="D14" s="67" t="s">
        <v>861</v>
      </c>
      <c r="K14" t="s">
        <v>952</v>
      </c>
      <c r="R14" t="s">
        <v>861</v>
      </c>
    </row>
    <row r="15" spans="1:18" x14ac:dyDescent="0.2">
      <c r="B15" s="67" t="s">
        <v>562</v>
      </c>
      <c r="D15" s="67" t="s">
        <v>824</v>
      </c>
      <c r="K15" t="s">
        <v>953</v>
      </c>
      <c r="R15" t="s">
        <v>824</v>
      </c>
    </row>
    <row r="16" spans="1:18" x14ac:dyDescent="0.2">
      <c r="B16" s="67" t="s">
        <v>563</v>
      </c>
      <c r="D16" s="67" t="s">
        <v>809</v>
      </c>
      <c r="K16" t="s">
        <v>954</v>
      </c>
      <c r="R16" t="s">
        <v>809</v>
      </c>
    </row>
    <row r="17" spans="2:18" x14ac:dyDescent="0.2">
      <c r="B17" s="67" t="s">
        <v>564</v>
      </c>
      <c r="D17" s="67" t="s">
        <v>862</v>
      </c>
      <c r="K17" t="s">
        <v>955</v>
      </c>
      <c r="R17" t="s">
        <v>862</v>
      </c>
    </row>
    <row r="18" spans="2:18" x14ac:dyDescent="0.2">
      <c r="B18" s="67" t="s">
        <v>565</v>
      </c>
      <c r="D18" s="67" t="s">
        <v>854</v>
      </c>
      <c r="K18" t="s">
        <v>956</v>
      </c>
      <c r="R18" t="s">
        <v>854</v>
      </c>
    </row>
    <row r="19" spans="2:18" x14ac:dyDescent="0.2">
      <c r="B19" s="67" t="s">
        <v>566</v>
      </c>
      <c r="D19" s="67" t="s">
        <v>820</v>
      </c>
      <c r="K19" t="s">
        <v>957</v>
      </c>
      <c r="R19" t="s">
        <v>820</v>
      </c>
    </row>
    <row r="20" spans="2:18" x14ac:dyDescent="0.2">
      <c r="B20" s="67" t="s">
        <v>567</v>
      </c>
      <c r="D20" s="67" t="s">
        <v>816</v>
      </c>
      <c r="K20" t="s">
        <v>958</v>
      </c>
      <c r="R20" t="s">
        <v>816</v>
      </c>
    </row>
    <row r="21" spans="2:18" x14ac:dyDescent="0.2">
      <c r="B21" s="67" t="s">
        <v>568</v>
      </c>
      <c r="D21" s="67" t="s">
        <v>821</v>
      </c>
      <c r="K21" t="s">
        <v>959</v>
      </c>
      <c r="R21" t="s">
        <v>821</v>
      </c>
    </row>
    <row r="22" spans="2:18" x14ac:dyDescent="0.2">
      <c r="B22" s="67" t="s">
        <v>569</v>
      </c>
      <c r="D22" s="67" t="s">
        <v>837</v>
      </c>
      <c r="K22" t="s">
        <v>960</v>
      </c>
      <c r="R22" t="s">
        <v>837</v>
      </c>
    </row>
    <row r="23" spans="2:18" x14ac:dyDescent="0.2">
      <c r="B23" s="67" t="s">
        <v>570</v>
      </c>
      <c r="D23" s="67" t="s">
        <v>858</v>
      </c>
      <c r="K23" t="s">
        <v>961</v>
      </c>
      <c r="R23" t="s">
        <v>858</v>
      </c>
    </row>
    <row r="24" spans="2:18" x14ac:dyDescent="0.2">
      <c r="B24" s="67" t="s">
        <v>571</v>
      </c>
      <c r="D24" s="67" t="s">
        <v>818</v>
      </c>
      <c r="K24" t="s">
        <v>962</v>
      </c>
      <c r="R24" t="s">
        <v>818</v>
      </c>
    </row>
    <row r="25" spans="2:18" x14ac:dyDescent="0.2">
      <c r="B25" s="67" t="s">
        <v>572</v>
      </c>
      <c r="D25" s="67" t="s">
        <v>817</v>
      </c>
      <c r="K25" t="s">
        <v>963</v>
      </c>
      <c r="R25" t="s">
        <v>817</v>
      </c>
    </row>
    <row r="26" spans="2:18" x14ac:dyDescent="0.2">
      <c r="B26" s="67" t="s">
        <v>573</v>
      </c>
      <c r="D26" s="67" t="s">
        <v>871</v>
      </c>
      <c r="K26" t="s">
        <v>964</v>
      </c>
      <c r="R26" t="s">
        <v>871</v>
      </c>
    </row>
    <row r="27" spans="2:18" x14ac:dyDescent="0.2">
      <c r="B27" s="67" t="s">
        <v>574</v>
      </c>
      <c r="D27" s="67" t="s">
        <v>869</v>
      </c>
      <c r="K27" t="s">
        <v>965</v>
      </c>
      <c r="R27" t="s">
        <v>869</v>
      </c>
    </row>
    <row r="28" spans="2:18" x14ac:dyDescent="0.2">
      <c r="B28" s="67" t="s">
        <v>575</v>
      </c>
      <c r="D28" s="67" t="s">
        <v>848</v>
      </c>
      <c r="K28" t="s">
        <v>966</v>
      </c>
      <c r="R28" t="s">
        <v>848</v>
      </c>
    </row>
    <row r="29" spans="2:18" x14ac:dyDescent="0.2">
      <c r="B29" s="67" t="s">
        <v>576</v>
      </c>
      <c r="D29" s="67" t="s">
        <v>812</v>
      </c>
      <c r="K29" t="s">
        <v>967</v>
      </c>
      <c r="R29" t="s">
        <v>812</v>
      </c>
    </row>
    <row r="30" spans="2:18" x14ac:dyDescent="0.2">
      <c r="B30" s="67" t="s">
        <v>577</v>
      </c>
      <c r="D30" s="67" t="s">
        <v>842</v>
      </c>
      <c r="K30" t="s">
        <v>968</v>
      </c>
      <c r="R30" t="s">
        <v>842</v>
      </c>
    </row>
    <row r="31" spans="2:18" x14ac:dyDescent="0.2">
      <c r="B31" s="67" t="s">
        <v>578</v>
      </c>
      <c r="D31" s="67" t="s">
        <v>828</v>
      </c>
      <c r="K31" t="s">
        <v>969</v>
      </c>
      <c r="R31" t="s">
        <v>828</v>
      </c>
    </row>
    <row r="32" spans="2:18" x14ac:dyDescent="0.2">
      <c r="B32" s="67" t="s">
        <v>579</v>
      </c>
      <c r="D32" s="67" t="s">
        <v>815</v>
      </c>
      <c r="K32" t="s">
        <v>970</v>
      </c>
      <c r="R32" t="s">
        <v>815</v>
      </c>
    </row>
    <row r="33" spans="2:18" x14ac:dyDescent="0.2">
      <c r="B33" s="67" t="s">
        <v>580</v>
      </c>
      <c r="D33" s="67" t="s">
        <v>803</v>
      </c>
      <c r="K33" t="s">
        <v>971</v>
      </c>
      <c r="R33" t="s">
        <v>803</v>
      </c>
    </row>
    <row r="34" spans="2:18" x14ac:dyDescent="0.2">
      <c r="B34" s="67" t="s">
        <v>581</v>
      </c>
      <c r="D34" s="67" t="s">
        <v>796</v>
      </c>
      <c r="K34" t="s">
        <v>972</v>
      </c>
      <c r="R34" t="s">
        <v>796</v>
      </c>
    </row>
    <row r="35" spans="2:18" x14ac:dyDescent="0.2">
      <c r="B35" s="67" t="s">
        <v>582</v>
      </c>
      <c r="D35" s="67" t="s">
        <v>855</v>
      </c>
      <c r="K35" t="s">
        <v>973</v>
      </c>
      <c r="R35" t="s">
        <v>855</v>
      </c>
    </row>
    <row r="36" spans="2:18" x14ac:dyDescent="0.2">
      <c r="B36" s="67" t="s">
        <v>583</v>
      </c>
      <c r="D36" s="67" t="s">
        <v>814</v>
      </c>
      <c r="K36" t="s">
        <v>974</v>
      </c>
      <c r="R36" t="s">
        <v>814</v>
      </c>
    </row>
    <row r="37" spans="2:18" x14ac:dyDescent="0.2">
      <c r="B37" s="67" t="s">
        <v>584</v>
      </c>
      <c r="D37" s="67" t="s">
        <v>851</v>
      </c>
      <c r="K37" t="s">
        <v>975</v>
      </c>
      <c r="R37" t="s">
        <v>851</v>
      </c>
    </row>
    <row r="38" spans="2:18" x14ac:dyDescent="0.2">
      <c r="B38" s="67" t="s">
        <v>585</v>
      </c>
      <c r="D38" s="67" t="s">
        <v>850</v>
      </c>
      <c r="K38" t="s">
        <v>976</v>
      </c>
      <c r="R38" t="s">
        <v>850</v>
      </c>
    </row>
    <row r="39" spans="2:18" x14ac:dyDescent="0.2">
      <c r="B39" s="67" t="s">
        <v>586</v>
      </c>
      <c r="D39" s="67" t="s">
        <v>813</v>
      </c>
      <c r="K39" t="s">
        <v>977</v>
      </c>
      <c r="R39" t="s">
        <v>813</v>
      </c>
    </row>
    <row r="40" spans="2:18" x14ac:dyDescent="0.2">
      <c r="B40" s="67" t="s">
        <v>587</v>
      </c>
      <c r="D40" t="s">
        <v>860</v>
      </c>
      <c r="K40" t="s">
        <v>978</v>
      </c>
      <c r="R40" t="s">
        <v>860</v>
      </c>
    </row>
    <row r="41" spans="2:18" x14ac:dyDescent="0.2">
      <c r="B41" s="67" t="s">
        <v>588</v>
      </c>
      <c r="D41" t="s">
        <v>793</v>
      </c>
      <c r="K41" t="s">
        <v>979</v>
      </c>
      <c r="R41" t="s">
        <v>793</v>
      </c>
    </row>
    <row r="42" spans="2:18" x14ac:dyDescent="0.2">
      <c r="B42" s="67" t="s">
        <v>589</v>
      </c>
      <c r="D42" t="s">
        <v>832</v>
      </c>
      <c r="K42" t="s">
        <v>980</v>
      </c>
      <c r="R42" t="s">
        <v>832</v>
      </c>
    </row>
    <row r="43" spans="2:18" x14ac:dyDescent="0.2">
      <c r="B43" s="67" t="s">
        <v>590</v>
      </c>
      <c r="D43" t="s">
        <v>841</v>
      </c>
      <c r="K43" t="s">
        <v>981</v>
      </c>
      <c r="R43" t="s">
        <v>841</v>
      </c>
    </row>
    <row r="44" spans="2:18" x14ac:dyDescent="0.2">
      <c r="B44" s="67" t="s">
        <v>591</v>
      </c>
      <c r="D44" t="s">
        <v>847</v>
      </c>
      <c r="K44" t="s">
        <v>982</v>
      </c>
      <c r="R44" t="s">
        <v>847</v>
      </c>
    </row>
    <row r="45" spans="2:18" x14ac:dyDescent="0.2">
      <c r="B45" s="67" t="s">
        <v>592</v>
      </c>
      <c r="D45" t="s">
        <v>863</v>
      </c>
      <c r="K45" t="s">
        <v>983</v>
      </c>
      <c r="R45" t="s">
        <v>863</v>
      </c>
    </row>
    <row r="46" spans="2:18" x14ac:dyDescent="0.2">
      <c r="B46" s="67" t="s">
        <v>593</v>
      </c>
      <c r="D46" t="s">
        <v>864</v>
      </c>
      <c r="K46" t="s">
        <v>984</v>
      </c>
      <c r="R46" t="s">
        <v>864</v>
      </c>
    </row>
    <row r="47" spans="2:18" x14ac:dyDescent="0.2">
      <c r="B47" s="67" t="s">
        <v>594</v>
      </c>
      <c r="D47" t="s">
        <v>865</v>
      </c>
      <c r="K47" t="s">
        <v>985</v>
      </c>
      <c r="R47" t="s">
        <v>865</v>
      </c>
    </row>
    <row r="48" spans="2:18" x14ac:dyDescent="0.2">
      <c r="B48" s="67" t="s">
        <v>595</v>
      </c>
      <c r="D48" t="s">
        <v>830</v>
      </c>
      <c r="K48" t="s">
        <v>986</v>
      </c>
      <c r="R48" t="s">
        <v>830</v>
      </c>
    </row>
    <row r="49" spans="2:18" x14ac:dyDescent="0.2">
      <c r="B49" s="67" t="s">
        <v>596</v>
      </c>
      <c r="D49" t="s">
        <v>852</v>
      </c>
      <c r="K49" t="s">
        <v>987</v>
      </c>
      <c r="R49" t="s">
        <v>852</v>
      </c>
    </row>
    <row r="50" spans="2:18" x14ac:dyDescent="0.2">
      <c r="B50" s="67" t="s">
        <v>597</v>
      </c>
      <c r="D50" t="s">
        <v>867</v>
      </c>
      <c r="K50" t="s">
        <v>988</v>
      </c>
      <c r="R50" t="s">
        <v>867</v>
      </c>
    </row>
    <row r="51" spans="2:18" x14ac:dyDescent="0.2">
      <c r="B51" s="67" t="s">
        <v>598</v>
      </c>
      <c r="D51" t="s">
        <v>866</v>
      </c>
      <c r="K51" t="s">
        <v>989</v>
      </c>
      <c r="R51" t="s">
        <v>866</v>
      </c>
    </row>
    <row r="52" spans="2:18" x14ac:dyDescent="0.2">
      <c r="B52" s="67" t="s">
        <v>599</v>
      </c>
      <c r="D52" t="s">
        <v>834</v>
      </c>
      <c r="K52" t="s">
        <v>990</v>
      </c>
      <c r="R52" t="s">
        <v>834</v>
      </c>
    </row>
    <row r="53" spans="2:18" x14ac:dyDescent="0.2">
      <c r="B53" s="67" t="s">
        <v>600</v>
      </c>
      <c r="D53" t="s">
        <v>844</v>
      </c>
      <c r="K53" t="s">
        <v>991</v>
      </c>
      <c r="R53" t="s">
        <v>844</v>
      </c>
    </row>
    <row r="54" spans="2:18" x14ac:dyDescent="0.2">
      <c r="B54" s="67" t="s">
        <v>601</v>
      </c>
      <c r="D54" t="s">
        <v>868</v>
      </c>
      <c r="K54" t="s">
        <v>992</v>
      </c>
      <c r="R54" t="s">
        <v>868</v>
      </c>
    </row>
    <row r="55" spans="2:18" x14ac:dyDescent="0.2">
      <c r="B55" s="67" t="s">
        <v>602</v>
      </c>
      <c r="D55" t="s">
        <v>849</v>
      </c>
      <c r="K55" t="s">
        <v>993</v>
      </c>
      <c r="R55" t="s">
        <v>849</v>
      </c>
    </row>
    <row r="56" spans="2:18" x14ac:dyDescent="0.2">
      <c r="B56" s="67" t="s">
        <v>603</v>
      </c>
      <c r="D56" t="s">
        <v>833</v>
      </c>
      <c r="K56" t="s">
        <v>994</v>
      </c>
      <c r="R56" t="s">
        <v>833</v>
      </c>
    </row>
    <row r="57" spans="2:18" x14ac:dyDescent="0.2">
      <c r="B57" s="67" t="s">
        <v>604</v>
      </c>
      <c r="D57" t="s">
        <v>836</v>
      </c>
      <c r="K57" t="s">
        <v>995</v>
      </c>
      <c r="R57" t="s">
        <v>836</v>
      </c>
    </row>
    <row r="58" spans="2:18" x14ac:dyDescent="0.2">
      <c r="B58" s="67" t="s">
        <v>605</v>
      </c>
      <c r="D58" t="s">
        <v>807</v>
      </c>
      <c r="K58" t="s">
        <v>996</v>
      </c>
      <c r="R58" t="s">
        <v>807</v>
      </c>
    </row>
    <row r="59" spans="2:18" x14ac:dyDescent="0.2">
      <c r="B59" s="67" t="s">
        <v>606</v>
      </c>
      <c r="D59" t="s">
        <v>835</v>
      </c>
      <c r="K59" t="s">
        <v>997</v>
      </c>
      <c r="R59" t="s">
        <v>835</v>
      </c>
    </row>
    <row r="60" spans="2:18" x14ac:dyDescent="0.2">
      <c r="B60" s="67" t="s">
        <v>607</v>
      </c>
      <c r="D60" t="s">
        <v>846</v>
      </c>
      <c r="K60" t="s">
        <v>998</v>
      </c>
      <c r="R60" t="s">
        <v>846</v>
      </c>
    </row>
    <row r="61" spans="2:18" x14ac:dyDescent="0.2">
      <c r="B61" s="67" t="s">
        <v>608</v>
      </c>
      <c r="D61" t="s">
        <v>845</v>
      </c>
      <c r="K61" t="s">
        <v>999</v>
      </c>
      <c r="R61" t="s">
        <v>845</v>
      </c>
    </row>
    <row r="62" spans="2:18" x14ac:dyDescent="0.2">
      <c r="B62" s="67" t="s">
        <v>609</v>
      </c>
      <c r="D62" t="s">
        <v>870</v>
      </c>
      <c r="K62" t="s">
        <v>1000</v>
      </c>
      <c r="R62" t="s">
        <v>870</v>
      </c>
    </row>
    <row r="63" spans="2:18" x14ac:dyDescent="0.2">
      <c r="B63" s="67" t="s">
        <v>610</v>
      </c>
      <c r="D63" t="s">
        <v>857</v>
      </c>
      <c r="K63" t="s">
        <v>1001</v>
      </c>
      <c r="R63" t="s">
        <v>857</v>
      </c>
    </row>
    <row r="64" spans="2:18" x14ac:dyDescent="0.2">
      <c r="B64" s="67" t="s">
        <v>611</v>
      </c>
      <c r="D64" t="s">
        <v>797</v>
      </c>
      <c r="K64" t="s">
        <v>1002</v>
      </c>
      <c r="R64" t="s">
        <v>797</v>
      </c>
    </row>
    <row r="65" spans="2:18" x14ac:dyDescent="0.2">
      <c r="B65" s="67" t="s">
        <v>612</v>
      </c>
      <c r="D65" t="s">
        <v>802</v>
      </c>
      <c r="K65" t="s">
        <v>1003</v>
      </c>
      <c r="R65" t="s">
        <v>802</v>
      </c>
    </row>
    <row r="66" spans="2:18" x14ac:dyDescent="0.2">
      <c r="B66" s="67" t="s">
        <v>613</v>
      </c>
      <c r="D66" t="s">
        <v>798</v>
      </c>
      <c r="K66" t="s">
        <v>1004</v>
      </c>
      <c r="R66" t="s">
        <v>798</v>
      </c>
    </row>
    <row r="67" spans="2:18" x14ac:dyDescent="0.2">
      <c r="B67" s="67" t="s">
        <v>614</v>
      </c>
      <c r="D67" t="s">
        <v>801</v>
      </c>
      <c r="K67" t="s">
        <v>1005</v>
      </c>
      <c r="R67" t="s">
        <v>801</v>
      </c>
    </row>
    <row r="68" spans="2:18" x14ac:dyDescent="0.2">
      <c r="B68" s="67" t="s">
        <v>615</v>
      </c>
      <c r="D68" t="s">
        <v>825</v>
      </c>
      <c r="K68" t="s">
        <v>1006</v>
      </c>
      <c r="R68" t="s">
        <v>825</v>
      </c>
    </row>
    <row r="69" spans="2:18" x14ac:dyDescent="0.2">
      <c r="B69" s="67" t="s">
        <v>616</v>
      </c>
      <c r="D69" t="s">
        <v>800</v>
      </c>
      <c r="K69" t="s">
        <v>1007</v>
      </c>
      <c r="R69" t="s">
        <v>800</v>
      </c>
    </row>
    <row r="70" spans="2:18" x14ac:dyDescent="0.2">
      <c r="B70" s="67" t="s">
        <v>617</v>
      </c>
      <c r="D70" t="s">
        <v>840</v>
      </c>
      <c r="K70" t="s">
        <v>1008</v>
      </c>
      <c r="R70" t="s">
        <v>840</v>
      </c>
    </row>
    <row r="71" spans="2:18" x14ac:dyDescent="0.2">
      <c r="B71" s="67" t="s">
        <v>618</v>
      </c>
      <c r="D71" t="s">
        <v>810</v>
      </c>
      <c r="K71" t="s">
        <v>1009</v>
      </c>
      <c r="R71" t="s">
        <v>810</v>
      </c>
    </row>
    <row r="72" spans="2:18" x14ac:dyDescent="0.2">
      <c r="B72" s="67" t="s">
        <v>619</v>
      </c>
      <c r="D72" t="s">
        <v>839</v>
      </c>
      <c r="K72" t="s">
        <v>1010</v>
      </c>
      <c r="R72" t="s">
        <v>839</v>
      </c>
    </row>
    <row r="73" spans="2:18" x14ac:dyDescent="0.2">
      <c r="B73" s="67" t="s">
        <v>620</v>
      </c>
      <c r="D73" t="s">
        <v>823</v>
      </c>
      <c r="K73" t="s">
        <v>1011</v>
      </c>
      <c r="R73" t="s">
        <v>823</v>
      </c>
    </row>
    <row r="74" spans="2:18" x14ac:dyDescent="0.2">
      <c r="B74" s="67" t="s">
        <v>621</v>
      </c>
      <c r="D74" t="s">
        <v>804</v>
      </c>
      <c r="K74" t="s">
        <v>1012</v>
      </c>
      <c r="R74" t="s">
        <v>804</v>
      </c>
    </row>
    <row r="75" spans="2:18" x14ac:dyDescent="0.2">
      <c r="B75" s="67" t="s">
        <v>622</v>
      </c>
      <c r="D75" t="s">
        <v>808</v>
      </c>
      <c r="K75" t="s">
        <v>1013</v>
      </c>
      <c r="R75" t="s">
        <v>808</v>
      </c>
    </row>
    <row r="76" spans="2:18" x14ac:dyDescent="0.2">
      <c r="B76" s="67" t="s">
        <v>623</v>
      </c>
      <c r="D76" t="s">
        <v>805</v>
      </c>
      <c r="K76" t="s">
        <v>1014</v>
      </c>
      <c r="R76" t="s">
        <v>805</v>
      </c>
    </row>
    <row r="77" spans="2:18" x14ac:dyDescent="0.2">
      <c r="B77" s="67" t="s">
        <v>624</v>
      </c>
      <c r="D77" t="s">
        <v>856</v>
      </c>
      <c r="K77" t="s">
        <v>1015</v>
      </c>
      <c r="R77" t="s">
        <v>856</v>
      </c>
    </row>
    <row r="78" spans="2:18" x14ac:dyDescent="0.2">
      <c r="B78" s="67" t="s">
        <v>625</v>
      </c>
      <c r="D78" t="s">
        <v>859</v>
      </c>
      <c r="K78" t="s">
        <v>1016</v>
      </c>
      <c r="R78" t="s">
        <v>859</v>
      </c>
    </row>
    <row r="79" spans="2:18" x14ac:dyDescent="0.2">
      <c r="B79" s="67" t="s">
        <v>626</v>
      </c>
      <c r="D79" t="s">
        <v>822</v>
      </c>
      <c r="K79" t="s">
        <v>1017</v>
      </c>
      <c r="R79" t="s">
        <v>822</v>
      </c>
    </row>
    <row r="80" spans="2:18" x14ac:dyDescent="0.2">
      <c r="B80" s="67" t="s">
        <v>627</v>
      </c>
      <c r="D80" t="s">
        <v>829</v>
      </c>
      <c r="K80" t="s">
        <v>1018</v>
      </c>
      <c r="R80" t="s">
        <v>829</v>
      </c>
    </row>
    <row r="81" spans="2:18" x14ac:dyDescent="0.2">
      <c r="B81" s="67" t="s">
        <v>628</v>
      </c>
      <c r="D81" t="s">
        <v>799</v>
      </c>
      <c r="K81" t="s">
        <v>1019</v>
      </c>
      <c r="R81" t="s">
        <v>799</v>
      </c>
    </row>
    <row r="82" spans="2:18" x14ac:dyDescent="0.2">
      <c r="B82" s="67" t="s">
        <v>629</v>
      </c>
      <c r="D82" t="s">
        <v>838</v>
      </c>
      <c r="K82" t="s">
        <v>1020</v>
      </c>
      <c r="R82" t="s">
        <v>838</v>
      </c>
    </row>
    <row r="83" spans="2:18" x14ac:dyDescent="0.2">
      <c r="B83" s="67" t="s">
        <v>630</v>
      </c>
      <c r="D83" t="s">
        <v>843</v>
      </c>
      <c r="K83" t="s">
        <v>1021</v>
      </c>
      <c r="R83" t="s">
        <v>843</v>
      </c>
    </row>
    <row r="84" spans="2:18" x14ac:dyDescent="0.2">
      <c r="B84" s="67" t="s">
        <v>631</v>
      </c>
      <c r="D84" t="s">
        <v>826</v>
      </c>
      <c r="K84" t="s">
        <v>1022</v>
      </c>
      <c r="R84" t="s">
        <v>826</v>
      </c>
    </row>
    <row r="85" spans="2:18" x14ac:dyDescent="0.2">
      <c r="B85" s="67" t="s">
        <v>632</v>
      </c>
      <c r="D85" t="s">
        <v>806</v>
      </c>
      <c r="K85" t="s">
        <v>1023</v>
      </c>
      <c r="R85" t="s">
        <v>806</v>
      </c>
    </row>
    <row r="86" spans="2:18" x14ac:dyDescent="0.2">
      <c r="B86" s="67" t="s">
        <v>633</v>
      </c>
      <c r="D86" t="s">
        <v>795</v>
      </c>
      <c r="K86" t="s">
        <v>1024</v>
      </c>
      <c r="R86" t="s">
        <v>795</v>
      </c>
    </row>
    <row r="87" spans="2:18" x14ac:dyDescent="0.2">
      <c r="B87" s="67" t="s">
        <v>634</v>
      </c>
      <c r="D87" t="s">
        <v>831</v>
      </c>
      <c r="K87" t="s">
        <v>1025</v>
      </c>
      <c r="R87" t="s">
        <v>831</v>
      </c>
    </row>
    <row r="88" spans="2:18" x14ac:dyDescent="0.2">
      <c r="B88" s="67" t="s">
        <v>635</v>
      </c>
      <c r="D88" t="s">
        <v>794</v>
      </c>
      <c r="K88" t="s">
        <v>1026</v>
      </c>
      <c r="R88" t="s">
        <v>794</v>
      </c>
    </row>
    <row r="89" spans="2:18" x14ac:dyDescent="0.2">
      <c r="B89" s="67" t="s">
        <v>636</v>
      </c>
      <c r="K89" t="s">
        <v>1027</v>
      </c>
    </row>
    <row r="90" spans="2:18" x14ac:dyDescent="0.2">
      <c r="B90" s="67" t="s">
        <v>637</v>
      </c>
      <c r="K90" t="s">
        <v>1028</v>
      </c>
    </row>
    <row r="91" spans="2:18" x14ac:dyDescent="0.2">
      <c r="B91" s="67" t="s">
        <v>638</v>
      </c>
      <c r="K91" t="s">
        <v>1029</v>
      </c>
    </row>
    <row r="92" spans="2:18" x14ac:dyDescent="0.2">
      <c r="B92" s="67" t="s">
        <v>639</v>
      </c>
      <c r="K92" t="s">
        <v>1030</v>
      </c>
    </row>
    <row r="93" spans="2:18" x14ac:dyDescent="0.2">
      <c r="B93" s="67" t="s">
        <v>640</v>
      </c>
      <c r="K93" t="s">
        <v>1031</v>
      </c>
    </row>
    <row r="94" spans="2:18" x14ac:dyDescent="0.2">
      <c r="B94" s="67" t="s">
        <v>641</v>
      </c>
      <c r="K94" t="s">
        <v>1032</v>
      </c>
    </row>
    <row r="95" spans="2:18" x14ac:dyDescent="0.2">
      <c r="B95" s="67" t="s">
        <v>642</v>
      </c>
      <c r="K95" t="s">
        <v>1033</v>
      </c>
    </row>
    <row r="96" spans="2:18" x14ac:dyDescent="0.2">
      <c r="B96" s="67" t="s">
        <v>643</v>
      </c>
      <c r="K96" t="s">
        <v>1034</v>
      </c>
    </row>
    <row r="97" spans="2:11" x14ac:dyDescent="0.2">
      <c r="B97" s="67" t="s">
        <v>644</v>
      </c>
      <c r="K97" t="s">
        <v>1035</v>
      </c>
    </row>
    <row r="98" spans="2:11" x14ac:dyDescent="0.2">
      <c r="B98" s="67" t="s">
        <v>645</v>
      </c>
      <c r="K98" t="s">
        <v>1036</v>
      </c>
    </row>
    <row r="99" spans="2:11" x14ac:dyDescent="0.2">
      <c r="B99" s="67" t="s">
        <v>646</v>
      </c>
      <c r="K99" t="s">
        <v>1037</v>
      </c>
    </row>
    <row r="100" spans="2:11" x14ac:dyDescent="0.2">
      <c r="B100" s="67" t="s">
        <v>647</v>
      </c>
      <c r="K100" t="s">
        <v>1038</v>
      </c>
    </row>
    <row r="101" spans="2:11" x14ac:dyDescent="0.2">
      <c r="B101" s="67" t="s">
        <v>648</v>
      </c>
      <c r="K101" t="s">
        <v>1039</v>
      </c>
    </row>
    <row r="102" spans="2:11" x14ac:dyDescent="0.2">
      <c r="B102" s="67" t="s">
        <v>649</v>
      </c>
      <c r="K102" t="s">
        <v>1040</v>
      </c>
    </row>
    <row r="103" spans="2:11" x14ac:dyDescent="0.2">
      <c r="B103" s="67" t="s">
        <v>650</v>
      </c>
      <c r="K103" t="s">
        <v>1041</v>
      </c>
    </row>
    <row r="104" spans="2:11" x14ac:dyDescent="0.2">
      <c r="B104" s="67" t="s">
        <v>651</v>
      </c>
      <c r="K104" t="s">
        <v>1042</v>
      </c>
    </row>
    <row r="105" spans="2:11" x14ac:dyDescent="0.2">
      <c r="B105" s="67" t="s">
        <v>652</v>
      </c>
      <c r="K105" t="s">
        <v>1043</v>
      </c>
    </row>
    <row r="106" spans="2:11" x14ac:dyDescent="0.2">
      <c r="B106" s="67" t="s">
        <v>653</v>
      </c>
      <c r="K106" t="s">
        <v>1044</v>
      </c>
    </row>
    <row r="107" spans="2:11" x14ac:dyDescent="0.2">
      <c r="B107" s="67" t="s">
        <v>654</v>
      </c>
      <c r="K107" t="s">
        <v>1045</v>
      </c>
    </row>
    <row r="108" spans="2:11" x14ac:dyDescent="0.2">
      <c r="B108" s="67" t="s">
        <v>655</v>
      </c>
      <c r="K108" t="s">
        <v>1046</v>
      </c>
    </row>
    <row r="109" spans="2:11" x14ac:dyDescent="0.2">
      <c r="B109" s="67" t="s">
        <v>656</v>
      </c>
      <c r="K109" t="s">
        <v>1047</v>
      </c>
    </row>
    <row r="110" spans="2:11" x14ac:dyDescent="0.2">
      <c r="B110" s="67" t="s">
        <v>657</v>
      </c>
      <c r="K110" t="s">
        <v>1048</v>
      </c>
    </row>
    <row r="111" spans="2:11" x14ac:dyDescent="0.2">
      <c r="B111" s="67" t="s">
        <v>658</v>
      </c>
      <c r="K111" t="s">
        <v>1049</v>
      </c>
    </row>
    <row r="112" spans="2:11" x14ac:dyDescent="0.2">
      <c r="B112" s="67" t="s">
        <v>659</v>
      </c>
      <c r="K112" t="s">
        <v>1050</v>
      </c>
    </row>
    <row r="113" spans="2:11" x14ac:dyDescent="0.2">
      <c r="B113" s="67" t="s">
        <v>660</v>
      </c>
      <c r="K113" t="s">
        <v>1051</v>
      </c>
    </row>
    <row r="114" spans="2:11" x14ac:dyDescent="0.2">
      <c r="B114" s="67" t="s">
        <v>661</v>
      </c>
      <c r="K114" t="s">
        <v>1052</v>
      </c>
    </row>
    <row r="115" spans="2:11" x14ac:dyDescent="0.2">
      <c r="B115" s="67" t="s">
        <v>662</v>
      </c>
      <c r="K115" t="s">
        <v>1053</v>
      </c>
    </row>
    <row r="116" spans="2:11" x14ac:dyDescent="0.2">
      <c r="B116" s="67" t="s">
        <v>663</v>
      </c>
      <c r="K116" t="s">
        <v>1054</v>
      </c>
    </row>
    <row r="117" spans="2:11" x14ac:dyDescent="0.2">
      <c r="B117" s="67" t="s">
        <v>664</v>
      </c>
      <c r="K117" t="s">
        <v>1055</v>
      </c>
    </row>
    <row r="118" spans="2:11" x14ac:dyDescent="0.2">
      <c r="B118" s="67" t="s">
        <v>665</v>
      </c>
      <c r="K118" t="s">
        <v>1056</v>
      </c>
    </row>
    <row r="119" spans="2:11" x14ac:dyDescent="0.2">
      <c r="B119" s="67" t="s">
        <v>666</v>
      </c>
      <c r="K119" t="s">
        <v>1057</v>
      </c>
    </row>
    <row r="120" spans="2:11" x14ac:dyDescent="0.2">
      <c r="B120" s="67" t="s">
        <v>667</v>
      </c>
      <c r="K120" t="s">
        <v>1058</v>
      </c>
    </row>
    <row r="121" spans="2:11" x14ac:dyDescent="0.2">
      <c r="B121" s="67" t="s">
        <v>668</v>
      </c>
      <c r="K121" t="s">
        <v>1059</v>
      </c>
    </row>
    <row r="122" spans="2:11" x14ac:dyDescent="0.2">
      <c r="B122" s="67" t="s">
        <v>669</v>
      </c>
      <c r="K122" t="s">
        <v>1060</v>
      </c>
    </row>
    <row r="123" spans="2:11" x14ac:dyDescent="0.2">
      <c r="B123" s="67" t="s">
        <v>670</v>
      </c>
      <c r="K123" t="s">
        <v>1061</v>
      </c>
    </row>
    <row r="124" spans="2:11" x14ac:dyDescent="0.2">
      <c r="B124" s="67" t="s">
        <v>671</v>
      </c>
      <c r="K124" t="s">
        <v>1062</v>
      </c>
    </row>
    <row r="125" spans="2:11" x14ac:dyDescent="0.2">
      <c r="B125" s="67" t="s">
        <v>672</v>
      </c>
      <c r="K125" t="s">
        <v>1063</v>
      </c>
    </row>
    <row r="126" spans="2:11" x14ac:dyDescent="0.2">
      <c r="B126" s="67" t="s">
        <v>673</v>
      </c>
      <c r="K126" t="s">
        <v>1064</v>
      </c>
    </row>
    <row r="127" spans="2:11" x14ac:dyDescent="0.2">
      <c r="B127" s="67" t="s">
        <v>674</v>
      </c>
      <c r="K127" t="s">
        <v>1065</v>
      </c>
    </row>
    <row r="128" spans="2:11" x14ac:dyDescent="0.2">
      <c r="B128" s="67" t="s">
        <v>675</v>
      </c>
      <c r="K128" t="s">
        <v>1066</v>
      </c>
    </row>
    <row r="129" spans="2:11" x14ac:dyDescent="0.2">
      <c r="B129" s="67" t="s">
        <v>676</v>
      </c>
      <c r="K129" t="s">
        <v>1067</v>
      </c>
    </row>
    <row r="130" spans="2:11" x14ac:dyDescent="0.2">
      <c r="B130" s="67" t="s">
        <v>677</v>
      </c>
      <c r="K130" t="s">
        <v>1068</v>
      </c>
    </row>
    <row r="131" spans="2:11" x14ac:dyDescent="0.2">
      <c r="B131" s="67" t="s">
        <v>678</v>
      </c>
      <c r="K131" t="s">
        <v>1069</v>
      </c>
    </row>
    <row r="132" spans="2:11" x14ac:dyDescent="0.2">
      <c r="B132" s="67" t="s">
        <v>679</v>
      </c>
      <c r="K132" t="s">
        <v>1070</v>
      </c>
    </row>
    <row r="133" spans="2:11" x14ac:dyDescent="0.2">
      <c r="B133" s="67" t="s">
        <v>680</v>
      </c>
      <c r="K133" t="s">
        <v>1071</v>
      </c>
    </row>
    <row r="134" spans="2:11" x14ac:dyDescent="0.2">
      <c r="B134" s="67" t="s">
        <v>681</v>
      </c>
      <c r="K134" t="s">
        <v>1072</v>
      </c>
    </row>
    <row r="135" spans="2:11" x14ac:dyDescent="0.2">
      <c r="B135" s="67" t="s">
        <v>682</v>
      </c>
      <c r="K135" t="s">
        <v>1073</v>
      </c>
    </row>
    <row r="136" spans="2:11" x14ac:dyDescent="0.2">
      <c r="B136" s="67" t="s">
        <v>683</v>
      </c>
      <c r="K136" t="s">
        <v>1074</v>
      </c>
    </row>
    <row r="137" spans="2:11" x14ac:dyDescent="0.2">
      <c r="B137" s="67" t="s">
        <v>684</v>
      </c>
      <c r="K137" t="s">
        <v>1075</v>
      </c>
    </row>
    <row r="138" spans="2:11" x14ac:dyDescent="0.2">
      <c r="B138" s="67" t="s">
        <v>685</v>
      </c>
      <c r="K138" t="s">
        <v>1076</v>
      </c>
    </row>
    <row r="139" spans="2:11" x14ac:dyDescent="0.2">
      <c r="B139" s="67" t="s">
        <v>686</v>
      </c>
      <c r="K139" t="s">
        <v>1077</v>
      </c>
    </row>
    <row r="140" spans="2:11" x14ac:dyDescent="0.2">
      <c r="B140" s="67" t="s">
        <v>687</v>
      </c>
      <c r="K140" t="s">
        <v>1078</v>
      </c>
    </row>
    <row r="141" spans="2:11" x14ac:dyDescent="0.2">
      <c r="B141" s="67" t="s">
        <v>688</v>
      </c>
      <c r="K141" t="s">
        <v>1079</v>
      </c>
    </row>
    <row r="142" spans="2:11" x14ac:dyDescent="0.2">
      <c r="B142" s="67" t="s">
        <v>689</v>
      </c>
      <c r="K142" t="s">
        <v>1080</v>
      </c>
    </row>
    <row r="143" spans="2:11" x14ac:dyDescent="0.2">
      <c r="B143" s="67" t="s">
        <v>690</v>
      </c>
      <c r="K143" t="s">
        <v>1081</v>
      </c>
    </row>
    <row r="144" spans="2:11" x14ac:dyDescent="0.2">
      <c r="B144" s="67" t="s">
        <v>691</v>
      </c>
      <c r="K144" t="s">
        <v>1082</v>
      </c>
    </row>
    <row r="145" spans="2:11" x14ac:dyDescent="0.2">
      <c r="B145" s="67" t="s">
        <v>692</v>
      </c>
      <c r="K145" t="s">
        <v>1083</v>
      </c>
    </row>
    <row r="146" spans="2:11" x14ac:dyDescent="0.2">
      <c r="B146" s="67" t="s">
        <v>693</v>
      </c>
      <c r="K146" t="s">
        <v>1084</v>
      </c>
    </row>
    <row r="147" spans="2:11" x14ac:dyDescent="0.2">
      <c r="B147" s="67" t="s">
        <v>694</v>
      </c>
      <c r="K147" t="s">
        <v>1085</v>
      </c>
    </row>
    <row r="148" spans="2:11" x14ac:dyDescent="0.2">
      <c r="B148" s="67" t="s">
        <v>695</v>
      </c>
      <c r="K148" t="s">
        <v>1086</v>
      </c>
    </row>
    <row r="149" spans="2:11" x14ac:dyDescent="0.2">
      <c r="B149" s="67" t="s">
        <v>696</v>
      </c>
      <c r="K149" t="s">
        <v>1087</v>
      </c>
    </row>
    <row r="150" spans="2:11" x14ac:dyDescent="0.2">
      <c r="B150" s="67" t="s">
        <v>697</v>
      </c>
      <c r="K150" t="s">
        <v>1088</v>
      </c>
    </row>
    <row r="151" spans="2:11" x14ac:dyDescent="0.2">
      <c r="B151" s="67" t="s">
        <v>698</v>
      </c>
      <c r="K151" t="s">
        <v>1089</v>
      </c>
    </row>
    <row r="152" spans="2:11" x14ac:dyDescent="0.2">
      <c r="B152" s="67" t="s">
        <v>699</v>
      </c>
      <c r="K152" t="s">
        <v>1090</v>
      </c>
    </row>
    <row r="153" spans="2:11" x14ac:dyDescent="0.2">
      <c r="B153" s="67" t="s">
        <v>700</v>
      </c>
      <c r="K153" t="s">
        <v>1091</v>
      </c>
    </row>
    <row r="154" spans="2:11" x14ac:dyDescent="0.2">
      <c r="B154" s="67" t="s">
        <v>701</v>
      </c>
      <c r="K154" t="s">
        <v>1092</v>
      </c>
    </row>
    <row r="155" spans="2:11" x14ac:dyDescent="0.2">
      <c r="B155" s="67" t="s">
        <v>702</v>
      </c>
      <c r="K155" t="s">
        <v>1093</v>
      </c>
    </row>
    <row r="156" spans="2:11" x14ac:dyDescent="0.2">
      <c r="B156" s="67" t="s">
        <v>703</v>
      </c>
      <c r="K156" t="s">
        <v>1094</v>
      </c>
    </row>
    <row r="157" spans="2:11" x14ac:dyDescent="0.2">
      <c r="B157" s="67" t="s">
        <v>704</v>
      </c>
      <c r="K157" t="s">
        <v>1095</v>
      </c>
    </row>
    <row r="158" spans="2:11" x14ac:dyDescent="0.2">
      <c r="B158" s="67" t="s">
        <v>705</v>
      </c>
      <c r="K158" t="s">
        <v>1096</v>
      </c>
    </row>
    <row r="159" spans="2:11" x14ac:dyDescent="0.2">
      <c r="B159" s="67" t="s">
        <v>706</v>
      </c>
      <c r="K159" t="s">
        <v>1097</v>
      </c>
    </row>
    <row r="160" spans="2:11" x14ac:dyDescent="0.2">
      <c r="B160" s="67" t="s">
        <v>707</v>
      </c>
      <c r="K160" t="s">
        <v>1098</v>
      </c>
    </row>
    <row r="161" spans="2:11" x14ac:dyDescent="0.2">
      <c r="B161" s="67" t="s">
        <v>708</v>
      </c>
      <c r="K161" t="s">
        <v>1099</v>
      </c>
    </row>
    <row r="162" spans="2:11" x14ac:dyDescent="0.2">
      <c r="B162" s="67" t="s">
        <v>709</v>
      </c>
    </row>
    <row r="163" spans="2:11" x14ac:dyDescent="0.2">
      <c r="B163" s="67" t="s">
        <v>710</v>
      </c>
    </row>
    <row r="164" spans="2:11" x14ac:dyDescent="0.2">
      <c r="B164" s="67" t="s">
        <v>711</v>
      </c>
    </row>
    <row r="165" spans="2:11" x14ac:dyDescent="0.2">
      <c r="B165" s="67" t="s">
        <v>712</v>
      </c>
    </row>
    <row r="166" spans="2:11" x14ac:dyDescent="0.2">
      <c r="B166" s="67" t="s">
        <v>713</v>
      </c>
    </row>
    <row r="167" spans="2:11" x14ac:dyDescent="0.2">
      <c r="B167" s="67" t="s">
        <v>714</v>
      </c>
    </row>
    <row r="168" spans="2:11" x14ac:dyDescent="0.2">
      <c r="B168" s="67" t="s">
        <v>715</v>
      </c>
    </row>
    <row r="169" spans="2:11" x14ac:dyDescent="0.2">
      <c r="B169" s="67" t="s">
        <v>716</v>
      </c>
    </row>
    <row r="170" spans="2:11" x14ac:dyDescent="0.2">
      <c r="B170" s="67" t="s">
        <v>717</v>
      </c>
    </row>
    <row r="171" spans="2:11" x14ac:dyDescent="0.2">
      <c r="B171" s="67" t="s">
        <v>718</v>
      </c>
    </row>
    <row r="172" spans="2:11" x14ac:dyDescent="0.2">
      <c r="B172" s="67" t="s">
        <v>719</v>
      </c>
    </row>
    <row r="173" spans="2:11" x14ac:dyDescent="0.2">
      <c r="B173" s="67" t="s">
        <v>720</v>
      </c>
    </row>
    <row r="174" spans="2:11" x14ac:dyDescent="0.2">
      <c r="B174" s="67" t="s">
        <v>721</v>
      </c>
    </row>
    <row r="175" spans="2:11" x14ac:dyDescent="0.2">
      <c r="B175" s="67" t="s">
        <v>722</v>
      </c>
    </row>
    <row r="176" spans="2:11" x14ac:dyDescent="0.2">
      <c r="B176" s="67" t="s">
        <v>723</v>
      </c>
    </row>
    <row r="177" spans="2:2" x14ac:dyDescent="0.2">
      <c r="B177" s="67" t="s">
        <v>724</v>
      </c>
    </row>
    <row r="178" spans="2:2" x14ac:dyDescent="0.2">
      <c r="B178" s="67" t="s">
        <v>725</v>
      </c>
    </row>
    <row r="179" spans="2:2" x14ac:dyDescent="0.2">
      <c r="B179" s="67" t="s">
        <v>726</v>
      </c>
    </row>
    <row r="180" spans="2:2" x14ac:dyDescent="0.2">
      <c r="B180" s="67" t="s">
        <v>727</v>
      </c>
    </row>
    <row r="181" spans="2:2" x14ac:dyDescent="0.2">
      <c r="B181" s="67" t="s">
        <v>728</v>
      </c>
    </row>
    <row r="182" spans="2:2" x14ac:dyDescent="0.2">
      <c r="B182" s="67" t="s">
        <v>729</v>
      </c>
    </row>
    <row r="183" spans="2:2" x14ac:dyDescent="0.2">
      <c r="B183" s="67" t="s">
        <v>730</v>
      </c>
    </row>
    <row r="184" spans="2:2" x14ac:dyDescent="0.2">
      <c r="B184" s="67" t="s">
        <v>731</v>
      </c>
    </row>
    <row r="185" spans="2:2" x14ac:dyDescent="0.2">
      <c r="B185" s="67" t="s">
        <v>732</v>
      </c>
    </row>
    <row r="186" spans="2:2" x14ac:dyDescent="0.2">
      <c r="B186" s="67" t="s">
        <v>733</v>
      </c>
    </row>
    <row r="187" spans="2:2" x14ac:dyDescent="0.2">
      <c r="B187" s="67" t="s">
        <v>734</v>
      </c>
    </row>
    <row r="188" spans="2:2" x14ac:dyDescent="0.2">
      <c r="B188" s="67" t="s">
        <v>735</v>
      </c>
    </row>
    <row r="189" spans="2:2" x14ac:dyDescent="0.2">
      <c r="B189" s="67" t="s">
        <v>736</v>
      </c>
    </row>
    <row r="190" spans="2:2" x14ac:dyDescent="0.2">
      <c r="B190" s="67" t="s">
        <v>737</v>
      </c>
    </row>
    <row r="191" spans="2:2" x14ac:dyDescent="0.2">
      <c r="B191" s="67" t="s">
        <v>738</v>
      </c>
    </row>
    <row r="192" spans="2:2" x14ac:dyDescent="0.2">
      <c r="B192" s="67" t="s">
        <v>739</v>
      </c>
    </row>
    <row r="193" spans="2:2" x14ac:dyDescent="0.2">
      <c r="B193" s="67" t="s">
        <v>740</v>
      </c>
    </row>
    <row r="194" spans="2:2" x14ac:dyDescent="0.2">
      <c r="B194" s="67" t="s">
        <v>741</v>
      </c>
    </row>
    <row r="195" spans="2:2" x14ac:dyDescent="0.2">
      <c r="B195" s="67" t="s">
        <v>742</v>
      </c>
    </row>
    <row r="196" spans="2:2" x14ac:dyDescent="0.2">
      <c r="B196" s="67" t="s">
        <v>743</v>
      </c>
    </row>
    <row r="197" spans="2:2" x14ac:dyDescent="0.2">
      <c r="B197" s="67" t="s">
        <v>744</v>
      </c>
    </row>
    <row r="198" spans="2:2" x14ac:dyDescent="0.2">
      <c r="B198" s="67" t="s">
        <v>745</v>
      </c>
    </row>
    <row r="199" spans="2:2" x14ac:dyDescent="0.2">
      <c r="B199" s="67" t="s">
        <v>746</v>
      </c>
    </row>
    <row r="200" spans="2:2" x14ac:dyDescent="0.2">
      <c r="B200" s="67" t="s">
        <v>747</v>
      </c>
    </row>
    <row r="201" spans="2:2" x14ac:dyDescent="0.2">
      <c r="B201" s="67" t="s">
        <v>748</v>
      </c>
    </row>
    <row r="202" spans="2:2" x14ac:dyDescent="0.2">
      <c r="B202" s="67" t="s">
        <v>749</v>
      </c>
    </row>
    <row r="203" spans="2:2" x14ac:dyDescent="0.2">
      <c r="B203" s="67" t="s">
        <v>750</v>
      </c>
    </row>
    <row r="204" spans="2:2" x14ac:dyDescent="0.2">
      <c r="B204" s="67" t="s">
        <v>751</v>
      </c>
    </row>
    <row r="205" spans="2:2" x14ac:dyDescent="0.2">
      <c r="B205" s="67" t="s">
        <v>752</v>
      </c>
    </row>
    <row r="206" spans="2:2" x14ac:dyDescent="0.2">
      <c r="B206" s="67" t="s">
        <v>753</v>
      </c>
    </row>
    <row r="207" spans="2:2" x14ac:dyDescent="0.2">
      <c r="B207" s="67" t="s">
        <v>754</v>
      </c>
    </row>
    <row r="208" spans="2:2" x14ac:dyDescent="0.2">
      <c r="B208" s="67" t="s">
        <v>755</v>
      </c>
    </row>
    <row r="209" spans="2:2" x14ac:dyDescent="0.2">
      <c r="B209" s="67" t="s">
        <v>756</v>
      </c>
    </row>
    <row r="210" spans="2:2" x14ac:dyDescent="0.2">
      <c r="B210" s="67" t="s">
        <v>757</v>
      </c>
    </row>
    <row r="211" spans="2:2" x14ac:dyDescent="0.2">
      <c r="B211" s="67" t="s">
        <v>758</v>
      </c>
    </row>
    <row r="212" spans="2:2" x14ac:dyDescent="0.2">
      <c r="B212" s="67" t="s">
        <v>759</v>
      </c>
    </row>
    <row r="213" spans="2:2" x14ac:dyDescent="0.2">
      <c r="B213" s="67" t="s">
        <v>760</v>
      </c>
    </row>
    <row r="214" spans="2:2" x14ac:dyDescent="0.2">
      <c r="B214" s="67" t="s">
        <v>761</v>
      </c>
    </row>
    <row r="215" spans="2:2" x14ac:dyDescent="0.2">
      <c r="B215" s="67" t="s">
        <v>762</v>
      </c>
    </row>
    <row r="216" spans="2:2" x14ac:dyDescent="0.2">
      <c r="B216" s="67" t="s">
        <v>763</v>
      </c>
    </row>
    <row r="217" spans="2:2" x14ac:dyDescent="0.2">
      <c r="B217" s="67" t="s">
        <v>764</v>
      </c>
    </row>
    <row r="218" spans="2:2" x14ac:dyDescent="0.2">
      <c r="B218" s="67" t="s">
        <v>765</v>
      </c>
    </row>
    <row r="219" spans="2:2" x14ac:dyDescent="0.2">
      <c r="B219" s="67" t="s">
        <v>766</v>
      </c>
    </row>
    <row r="220" spans="2:2" x14ac:dyDescent="0.2">
      <c r="B220" s="67" t="s">
        <v>767</v>
      </c>
    </row>
    <row r="221" spans="2:2" x14ac:dyDescent="0.2">
      <c r="B221" s="67" t="s">
        <v>768</v>
      </c>
    </row>
    <row r="222" spans="2:2" x14ac:dyDescent="0.2">
      <c r="B222" s="67" t="s">
        <v>769</v>
      </c>
    </row>
    <row r="223" spans="2:2" x14ac:dyDescent="0.2">
      <c r="B223" s="67" t="s">
        <v>770</v>
      </c>
    </row>
    <row r="224" spans="2:2" x14ac:dyDescent="0.2">
      <c r="B224" s="67" t="s">
        <v>771</v>
      </c>
    </row>
    <row r="225" spans="2:2" x14ac:dyDescent="0.2">
      <c r="B225" s="67" t="s">
        <v>772</v>
      </c>
    </row>
    <row r="226" spans="2:2" x14ac:dyDescent="0.2">
      <c r="B226" s="67" t="s">
        <v>773</v>
      </c>
    </row>
    <row r="227" spans="2:2" x14ac:dyDescent="0.2">
      <c r="B227" s="67" t="s">
        <v>774</v>
      </c>
    </row>
    <row r="228" spans="2:2" x14ac:dyDescent="0.2">
      <c r="B228" s="67" t="s">
        <v>775</v>
      </c>
    </row>
    <row r="229" spans="2:2" x14ac:dyDescent="0.2">
      <c r="B229" s="67" t="s">
        <v>776</v>
      </c>
    </row>
    <row r="230" spans="2:2" x14ac:dyDescent="0.2">
      <c r="B230" s="67" t="s">
        <v>777</v>
      </c>
    </row>
    <row r="231" spans="2:2" x14ac:dyDescent="0.2">
      <c r="B231" s="67" t="s">
        <v>778</v>
      </c>
    </row>
    <row r="232" spans="2:2" x14ac:dyDescent="0.2">
      <c r="B232" s="67" t="s">
        <v>779</v>
      </c>
    </row>
    <row r="233" spans="2:2" x14ac:dyDescent="0.2">
      <c r="B233" s="67" t="s">
        <v>780</v>
      </c>
    </row>
    <row r="234" spans="2:2" x14ac:dyDescent="0.2">
      <c r="B234" s="67" t="s">
        <v>781</v>
      </c>
    </row>
    <row r="235" spans="2:2" x14ac:dyDescent="0.2">
      <c r="B235" s="67" t="s">
        <v>782</v>
      </c>
    </row>
    <row r="236" spans="2:2" x14ac:dyDescent="0.2">
      <c r="B236" s="67" t="s">
        <v>783</v>
      </c>
    </row>
    <row r="237" spans="2:2" x14ac:dyDescent="0.2">
      <c r="B237" s="67" t="s">
        <v>784</v>
      </c>
    </row>
    <row r="238" spans="2:2" x14ac:dyDescent="0.2">
      <c r="B238" s="67" t="s">
        <v>785</v>
      </c>
    </row>
    <row r="239" spans="2:2" x14ac:dyDescent="0.2">
      <c r="B239" s="67" t="s">
        <v>786</v>
      </c>
    </row>
    <row r="240" spans="2:2" x14ac:dyDescent="0.2">
      <c r="B240" s="67" t="s">
        <v>787</v>
      </c>
    </row>
    <row r="241" spans="2:2" x14ac:dyDescent="0.2">
      <c r="B241" s="67" t="s">
        <v>788</v>
      </c>
    </row>
    <row r="242" spans="2:2" x14ac:dyDescent="0.2">
      <c r="B242" s="67" t="s">
        <v>789</v>
      </c>
    </row>
    <row r="243" spans="2:2" x14ac:dyDescent="0.2">
      <c r="B243" s="67" t="s">
        <v>790</v>
      </c>
    </row>
    <row r="244" spans="2:2" x14ac:dyDescent="0.2">
      <c r="B244" s="67" t="s">
        <v>791</v>
      </c>
    </row>
    <row r="245" spans="2:2" x14ac:dyDescent="0.2">
      <c r="B245" s="67" t="s">
        <v>792</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workbookViewId="0">
      <selection activeCell="H25" sqref="H25"/>
    </sheetView>
  </sheetViews>
  <sheetFormatPr defaultRowHeight="14.25" x14ac:dyDescent="0.2"/>
  <cols>
    <col min="6" max="6" width="11.25" bestFit="1" customWidth="1"/>
    <col min="11" max="11" width="28.25" customWidth="1"/>
    <col min="12" max="12" width="9.75" bestFit="1" customWidth="1"/>
    <col min="13" max="13" width="17.5" customWidth="1"/>
    <col min="16" max="16" width="10" bestFit="1" customWidth="1"/>
    <col min="17" max="17" width="11.25" bestFit="1" customWidth="1"/>
    <col min="19" max="19" width="12.25" bestFit="1" customWidth="1"/>
  </cols>
  <sheetData>
    <row r="1" spans="1:35" x14ac:dyDescent="0.2">
      <c r="A1" t="s">
        <v>26</v>
      </c>
      <c r="C1" t="s">
        <v>13</v>
      </c>
      <c r="E1" t="s">
        <v>14</v>
      </c>
      <c r="F1" t="s">
        <v>15</v>
      </c>
      <c r="H1" t="s">
        <v>16</v>
      </c>
      <c r="K1" t="s">
        <v>1184</v>
      </c>
      <c r="S1" t="s">
        <v>17</v>
      </c>
      <c r="V1" t="s">
        <v>18</v>
      </c>
      <c r="Y1" t="s">
        <v>207</v>
      </c>
      <c r="AE1" t="s">
        <v>297</v>
      </c>
      <c r="AI1" t="s">
        <v>327</v>
      </c>
    </row>
    <row r="2" spans="1:35" x14ac:dyDescent="0.2">
      <c r="A2">
        <v>0</v>
      </c>
      <c r="E2" t="s">
        <v>19</v>
      </c>
      <c r="F2">
        <v>1</v>
      </c>
      <c r="H2">
        <v>65</v>
      </c>
      <c r="I2">
        <v>0.65</v>
      </c>
      <c r="K2" s="317">
        <v>43892</v>
      </c>
      <c r="L2" s="317"/>
      <c r="M2" s="317"/>
      <c r="S2" s="7" t="str">
        <f>IF(Demand!$C$6="","",Demand!$C$6)</f>
        <v/>
      </c>
      <c r="V2">
        <v>1</v>
      </c>
      <c r="Y2" t="s">
        <v>210</v>
      </c>
      <c r="Z2" t="s">
        <v>208</v>
      </c>
      <c r="AA2" t="s">
        <v>209</v>
      </c>
      <c r="AE2" t="s">
        <v>57</v>
      </c>
      <c r="AI2" t="str">
        <f ca="1">"Baseline: "&amp;TEXT(MAX('SPC background (hide)'!$I$5:$I$11),"#")&amp;" wks"</f>
        <v>Baseline: -97 wks</v>
      </c>
    </row>
    <row r="3" spans="1:35" x14ac:dyDescent="0.2">
      <c r="A3">
        <v>1</v>
      </c>
      <c r="C3" t="s">
        <v>20</v>
      </c>
      <c r="E3" t="s">
        <v>21</v>
      </c>
      <c r="F3">
        <v>2</v>
      </c>
      <c r="H3">
        <v>70</v>
      </c>
      <c r="I3">
        <v>0.7</v>
      </c>
      <c r="K3" s="317">
        <f>K2+7</f>
        <v>43899</v>
      </c>
      <c r="S3" s="7" t="str">
        <f>IF($S$2="","",S2+7)</f>
        <v/>
      </c>
      <c r="V3">
        <v>1.5</v>
      </c>
      <c r="Y3" t="s">
        <v>32</v>
      </c>
      <c r="Z3" t="str">
        <f>Setup!C27</f>
        <v>Test name 1</v>
      </c>
      <c r="AA3" t="str">
        <f>IF(Z3="",Y3,Z3)</f>
        <v>Test name 1</v>
      </c>
      <c r="AE3" t="str">
        <f>IF(Capacity!B17="","",ROW(A1)&amp;". "&amp;Capacity!B17)</f>
        <v/>
      </c>
      <c r="AF3" s="67"/>
      <c r="AI3">
        <v>20</v>
      </c>
    </row>
    <row r="4" spans="1:35" x14ac:dyDescent="0.2">
      <c r="A4">
        <v>2</v>
      </c>
      <c r="C4" t="s">
        <v>22</v>
      </c>
      <c r="E4" t="s">
        <v>23</v>
      </c>
      <c r="F4">
        <v>3</v>
      </c>
      <c r="H4">
        <v>75</v>
      </c>
      <c r="I4">
        <v>0.75</v>
      </c>
      <c r="K4" s="317">
        <f t="shared" ref="K4:K54" si="0">K3+7</f>
        <v>43906</v>
      </c>
      <c r="S4" s="7" t="str">
        <f t="shared" ref="S4:S53" si="1">IF($S$2="","",S3+7)</f>
        <v/>
      </c>
      <c r="V4">
        <v>2</v>
      </c>
      <c r="Y4" t="s">
        <v>34</v>
      </c>
      <c r="Z4" t="str">
        <f>Setup!C28</f>
        <v>Test name 2</v>
      </c>
      <c r="AA4" t="str">
        <f t="shared" ref="AA4:AA12" si="2">IF(Z4="",Y4,Z4)</f>
        <v>Test name 2</v>
      </c>
      <c r="AE4" s="67" t="str">
        <f>IF(Capacity!B18="","",ROW(A2)&amp;". "&amp;Capacity!B18)</f>
        <v/>
      </c>
      <c r="AF4" s="67"/>
      <c r="AI4">
        <v>21</v>
      </c>
    </row>
    <row r="5" spans="1:35" x14ac:dyDescent="0.2">
      <c r="A5">
        <v>3</v>
      </c>
      <c r="H5">
        <v>80</v>
      </c>
      <c r="I5">
        <v>0.8</v>
      </c>
      <c r="K5" s="317">
        <f t="shared" si="0"/>
        <v>43913</v>
      </c>
      <c r="S5" s="7" t="str">
        <f t="shared" si="1"/>
        <v/>
      </c>
      <c r="V5">
        <v>2.5</v>
      </c>
      <c r="Y5" t="s">
        <v>36</v>
      </c>
      <c r="Z5" t="str">
        <f>Setup!C29</f>
        <v>Another modality</v>
      </c>
      <c r="AA5" t="str">
        <f t="shared" si="2"/>
        <v>Another modality</v>
      </c>
      <c r="AE5" s="67" t="str">
        <f>IF(Capacity!B19="","",ROW(A3)&amp;". "&amp;Capacity!B19)</f>
        <v/>
      </c>
      <c r="AF5" s="67"/>
      <c r="AI5" s="67">
        <v>22</v>
      </c>
    </row>
    <row r="6" spans="1:35" x14ac:dyDescent="0.2">
      <c r="A6">
        <v>4</v>
      </c>
      <c r="C6" t="s">
        <v>22</v>
      </c>
      <c r="E6" t="s">
        <v>19</v>
      </c>
      <c r="I6">
        <v>0.85</v>
      </c>
      <c r="K6" s="317">
        <f t="shared" si="0"/>
        <v>43920</v>
      </c>
      <c r="S6" s="7" t="str">
        <f t="shared" si="1"/>
        <v/>
      </c>
      <c r="V6">
        <v>3</v>
      </c>
      <c r="Y6" t="s">
        <v>38</v>
      </c>
      <c r="Z6" t="str">
        <f>Setup!C30</f>
        <v>Modality 4</v>
      </c>
      <c r="AA6" t="str">
        <f t="shared" si="2"/>
        <v>Modality 4</v>
      </c>
      <c r="AE6" s="67" t="str">
        <f>IF(Capacity!B20="","",ROW(A4)&amp;". "&amp;Capacity!B20)</f>
        <v/>
      </c>
      <c r="AF6" s="67"/>
      <c r="AI6" s="67">
        <v>23</v>
      </c>
    </row>
    <row r="7" spans="1:35" x14ac:dyDescent="0.2">
      <c r="A7">
        <v>5</v>
      </c>
      <c r="C7" t="s">
        <v>20</v>
      </c>
      <c r="E7" t="s">
        <v>23</v>
      </c>
      <c r="K7" s="317">
        <f t="shared" si="0"/>
        <v>43927</v>
      </c>
      <c r="S7" s="7" t="str">
        <f t="shared" si="1"/>
        <v/>
      </c>
      <c r="V7">
        <v>3.5</v>
      </c>
      <c r="Y7" t="s">
        <v>40</v>
      </c>
      <c r="Z7" t="str">
        <f>Setup!C31</f>
        <v>Modality 5</v>
      </c>
      <c r="AA7" t="str">
        <f t="shared" si="2"/>
        <v>Modality 5</v>
      </c>
      <c r="AE7" s="67" t="str">
        <f>IF(Capacity!B21="","",ROW(A5)&amp;". "&amp;Capacity!B21)</f>
        <v/>
      </c>
      <c r="AF7" s="67"/>
      <c r="AI7" s="67">
        <v>24</v>
      </c>
    </row>
    <row r="8" spans="1:35" x14ac:dyDescent="0.2">
      <c r="A8">
        <v>6</v>
      </c>
      <c r="K8" s="317">
        <f t="shared" si="0"/>
        <v>43934</v>
      </c>
      <c r="S8" s="7" t="str">
        <f t="shared" si="1"/>
        <v/>
      </c>
      <c r="V8">
        <v>4</v>
      </c>
      <c r="Y8" t="s">
        <v>42</v>
      </c>
      <c r="Z8" t="str">
        <f>Setup!C32</f>
        <v>Modality 6</v>
      </c>
      <c r="AA8" t="str">
        <f t="shared" si="2"/>
        <v>Modality 6</v>
      </c>
      <c r="AE8" s="67" t="str">
        <f>IF(Capacity!B22="","",ROW(A6)&amp;". "&amp;Capacity!B22)</f>
        <v/>
      </c>
      <c r="AF8" s="67"/>
      <c r="AI8" s="67">
        <v>25</v>
      </c>
    </row>
    <row r="9" spans="1:35" x14ac:dyDescent="0.2">
      <c r="A9">
        <v>7</v>
      </c>
      <c r="E9" t="s">
        <v>19</v>
      </c>
      <c r="H9" t="s">
        <v>137</v>
      </c>
      <c r="I9">
        <f>VLOOKUP(Setup!I19,'Control sheet (hide)'!H2:I5,2,0)</f>
        <v>0.65</v>
      </c>
      <c r="K9" s="317">
        <f t="shared" si="0"/>
        <v>43941</v>
      </c>
      <c r="S9" s="7" t="str">
        <f t="shared" si="1"/>
        <v/>
      </c>
      <c r="V9">
        <v>4.5</v>
      </c>
      <c r="Y9" t="s">
        <v>44</v>
      </c>
      <c r="Z9" t="str">
        <f>Setup!C33</f>
        <v>Modality 7</v>
      </c>
      <c r="AA9" t="str">
        <f t="shared" si="2"/>
        <v>Modality 7</v>
      </c>
      <c r="AE9" s="67" t="str">
        <f>IF(Capacity!B23="","",ROW(A7)&amp;". "&amp;Capacity!B23)</f>
        <v/>
      </c>
      <c r="AF9" s="67"/>
      <c r="AI9" s="67">
        <v>26</v>
      </c>
    </row>
    <row r="10" spans="1:35" x14ac:dyDescent="0.2">
      <c r="A10">
        <v>8</v>
      </c>
      <c r="E10" t="s">
        <v>21</v>
      </c>
      <c r="H10" t="s">
        <v>138</v>
      </c>
      <c r="I10">
        <f>I6</f>
        <v>0.85</v>
      </c>
      <c r="K10" s="317">
        <f t="shared" si="0"/>
        <v>43948</v>
      </c>
      <c r="S10" s="7" t="str">
        <f t="shared" si="1"/>
        <v/>
      </c>
      <c r="V10">
        <v>5</v>
      </c>
      <c r="Y10" t="s">
        <v>46</v>
      </c>
      <c r="Z10" t="str">
        <f>Setup!C34</f>
        <v>Modality 8</v>
      </c>
      <c r="AA10" t="str">
        <f t="shared" si="2"/>
        <v>Modality 8</v>
      </c>
      <c r="AE10" s="67" t="str">
        <f>IF(Capacity!B24="","",ROW(A8)&amp;". "&amp;Capacity!B24)</f>
        <v/>
      </c>
      <c r="AF10" s="67"/>
      <c r="AI10" s="67">
        <v>27</v>
      </c>
    </row>
    <row r="11" spans="1:35" x14ac:dyDescent="0.2">
      <c r="A11">
        <v>9</v>
      </c>
      <c r="C11" t="s">
        <v>1178</v>
      </c>
      <c r="K11" s="317">
        <f t="shared" si="0"/>
        <v>43955</v>
      </c>
      <c r="S11" s="7" t="str">
        <f t="shared" si="1"/>
        <v/>
      </c>
      <c r="V11">
        <v>5.5</v>
      </c>
      <c r="Y11" t="s">
        <v>48</v>
      </c>
      <c r="Z11" t="str">
        <f>Setup!C35</f>
        <v>Modality 9</v>
      </c>
      <c r="AA11" t="str">
        <f t="shared" si="2"/>
        <v>Modality 9</v>
      </c>
      <c r="AE11" s="67" t="str">
        <f>IF(Capacity!B25="","",ROW(A9)&amp;". "&amp;Capacity!B25)</f>
        <v/>
      </c>
      <c r="AF11" s="67"/>
      <c r="AI11" s="67">
        <v>28</v>
      </c>
    </row>
    <row r="12" spans="1:35" x14ac:dyDescent="0.2">
      <c r="A12">
        <v>10</v>
      </c>
      <c r="K12" s="317">
        <f t="shared" si="0"/>
        <v>43962</v>
      </c>
      <c r="S12" s="7" t="str">
        <f t="shared" si="1"/>
        <v/>
      </c>
      <c r="V12">
        <v>6</v>
      </c>
      <c r="Y12" t="s">
        <v>50</v>
      </c>
      <c r="Z12" t="str">
        <f>Setup!C36</f>
        <v>Modality 10</v>
      </c>
      <c r="AA12" t="str">
        <f t="shared" si="2"/>
        <v>Modality 10</v>
      </c>
      <c r="AE12" s="67" t="str">
        <f>IF(Capacity!B26="","",ROW(A10)&amp;". "&amp;Capacity!B26)</f>
        <v/>
      </c>
      <c r="AF12" s="67"/>
      <c r="AI12" s="67">
        <v>29</v>
      </c>
    </row>
    <row r="13" spans="1:35" x14ac:dyDescent="0.2">
      <c r="A13">
        <v>11</v>
      </c>
      <c r="E13" t="s">
        <v>24</v>
      </c>
      <c r="H13" t="s">
        <v>875</v>
      </c>
      <c r="K13" s="317">
        <f t="shared" si="0"/>
        <v>43969</v>
      </c>
      <c r="S13" s="7" t="str">
        <f t="shared" si="1"/>
        <v/>
      </c>
      <c r="V13">
        <v>6.5</v>
      </c>
      <c r="AA13" t="s">
        <v>211</v>
      </c>
      <c r="AE13" s="67" t="str">
        <f>IF(Capacity!B27="","",ROW(A11)&amp;". "&amp;Capacity!B27)</f>
        <v/>
      </c>
      <c r="AF13" s="67"/>
      <c r="AI13" s="67">
        <v>30</v>
      </c>
    </row>
    <row r="14" spans="1:35" x14ac:dyDescent="0.2">
      <c r="A14">
        <v>12</v>
      </c>
      <c r="E14" t="s">
        <v>25</v>
      </c>
      <c r="H14" t="s">
        <v>876</v>
      </c>
      <c r="K14" s="317">
        <f t="shared" si="0"/>
        <v>43976</v>
      </c>
      <c r="S14" s="7" t="str">
        <f t="shared" si="1"/>
        <v/>
      </c>
      <c r="V14">
        <v>7</v>
      </c>
      <c r="AE14" s="67" t="str">
        <f>IF(Capacity!B28="","",ROW(A12)&amp;". "&amp;Capacity!B28)</f>
        <v/>
      </c>
      <c r="AF14" s="67"/>
      <c r="AI14" s="67">
        <v>31</v>
      </c>
    </row>
    <row r="15" spans="1:35" x14ac:dyDescent="0.2">
      <c r="A15">
        <v>13</v>
      </c>
      <c r="K15" s="317">
        <f t="shared" si="0"/>
        <v>43983</v>
      </c>
      <c r="S15" s="7" t="str">
        <f t="shared" si="1"/>
        <v/>
      </c>
      <c r="V15">
        <v>7.5</v>
      </c>
      <c r="AE15" s="67" t="str">
        <f>IF(Capacity!B29="","",ROW(A13)&amp;". "&amp;Capacity!B29)</f>
        <v/>
      </c>
      <c r="AF15" s="67"/>
      <c r="AI15" s="67">
        <v>32</v>
      </c>
    </row>
    <row r="16" spans="1:35" x14ac:dyDescent="0.2">
      <c r="A16">
        <v>14</v>
      </c>
      <c r="E16" t="s">
        <v>88</v>
      </c>
      <c r="K16" s="317">
        <f t="shared" si="0"/>
        <v>43990</v>
      </c>
      <c r="S16" s="7" t="str">
        <f t="shared" si="1"/>
        <v/>
      </c>
      <c r="V16">
        <v>8</v>
      </c>
      <c r="AE16" s="67" t="str">
        <f>IF(Capacity!B30="","",ROW(A14)&amp;". "&amp;Capacity!B30)</f>
        <v/>
      </c>
      <c r="AF16" s="67"/>
      <c r="AI16" s="67">
        <v>33</v>
      </c>
    </row>
    <row r="17" spans="1:35" x14ac:dyDescent="0.2">
      <c r="A17">
        <v>15</v>
      </c>
      <c r="E17" t="s">
        <v>87</v>
      </c>
      <c r="K17" s="317">
        <f t="shared" si="0"/>
        <v>43997</v>
      </c>
      <c r="S17" s="7" t="str">
        <f t="shared" si="1"/>
        <v/>
      </c>
      <c r="V17">
        <v>8.5</v>
      </c>
      <c r="AE17" s="67" t="str">
        <f>IF(Capacity!B31="","",ROW(A15)&amp;". "&amp;Capacity!B31)</f>
        <v/>
      </c>
      <c r="AF17" s="67"/>
      <c r="AI17" s="67">
        <v>34</v>
      </c>
    </row>
    <row r="18" spans="1:35" x14ac:dyDescent="0.2">
      <c r="A18">
        <v>16</v>
      </c>
      <c r="K18" s="317">
        <f t="shared" si="0"/>
        <v>44004</v>
      </c>
      <c r="S18" s="7" t="str">
        <f t="shared" si="1"/>
        <v/>
      </c>
      <c r="V18">
        <v>9</v>
      </c>
      <c r="AE18" s="67" t="str">
        <f>IF(Capacity!B32="","",ROW(A16)&amp;". "&amp;Capacity!B32)</f>
        <v/>
      </c>
      <c r="AF18" s="67"/>
      <c r="AI18" s="67">
        <v>35</v>
      </c>
    </row>
    <row r="19" spans="1:35" x14ac:dyDescent="0.2">
      <c r="A19">
        <v>17</v>
      </c>
      <c r="E19" t="s">
        <v>402</v>
      </c>
      <c r="K19" s="317">
        <f t="shared" si="0"/>
        <v>44011</v>
      </c>
      <c r="S19" s="7" t="str">
        <f t="shared" si="1"/>
        <v/>
      </c>
      <c r="V19">
        <v>9.5</v>
      </c>
      <c r="AE19" s="67" t="str">
        <f>IF(Capacity!B33="","",ROW(A17)&amp;". "&amp;Capacity!B33)</f>
        <v/>
      </c>
      <c r="AF19" s="67"/>
      <c r="AI19" s="67">
        <v>36</v>
      </c>
    </row>
    <row r="20" spans="1:35" x14ac:dyDescent="0.2">
      <c r="A20">
        <v>18</v>
      </c>
      <c r="E20" t="s">
        <v>401</v>
      </c>
      <c r="K20" s="317">
        <f t="shared" si="0"/>
        <v>44018</v>
      </c>
      <c r="S20" s="7" t="str">
        <f t="shared" si="1"/>
        <v/>
      </c>
      <c r="V20">
        <v>10</v>
      </c>
      <c r="AE20" s="67" t="str">
        <f>IF(Capacity!B34="","",ROW(A18)&amp;". "&amp;Capacity!B34)</f>
        <v/>
      </c>
      <c r="AF20" s="67"/>
      <c r="AI20" s="67">
        <v>37</v>
      </c>
    </row>
    <row r="21" spans="1:35" x14ac:dyDescent="0.2">
      <c r="A21">
        <v>19</v>
      </c>
      <c r="K21" s="317">
        <f t="shared" si="0"/>
        <v>44025</v>
      </c>
      <c r="S21" s="7" t="str">
        <f t="shared" si="1"/>
        <v/>
      </c>
      <c r="V21">
        <v>10.5</v>
      </c>
      <c r="AE21" s="67" t="str">
        <f>IF(Capacity!B35="","",ROW(A19)&amp;". "&amp;Capacity!B35)</f>
        <v/>
      </c>
      <c r="AF21" s="67"/>
      <c r="AI21" s="67">
        <v>38</v>
      </c>
    </row>
    <row r="22" spans="1:35" x14ac:dyDescent="0.2">
      <c r="A22">
        <v>20</v>
      </c>
      <c r="E22" t="s">
        <v>24</v>
      </c>
      <c r="K22" s="317">
        <f t="shared" si="0"/>
        <v>44032</v>
      </c>
      <c r="S22" s="7" t="str">
        <f t="shared" si="1"/>
        <v/>
      </c>
      <c r="V22">
        <v>11</v>
      </c>
      <c r="AE22" s="67" t="str">
        <f>IF(Capacity!B36="","",ROW(A20)&amp;". "&amp;Capacity!B36)</f>
        <v/>
      </c>
      <c r="AF22" s="67"/>
      <c r="AI22" s="67">
        <v>39</v>
      </c>
    </row>
    <row r="23" spans="1:35" x14ac:dyDescent="0.2">
      <c r="A23">
        <v>21</v>
      </c>
      <c r="E23" t="s">
        <v>421</v>
      </c>
      <c r="K23" s="317">
        <f t="shared" si="0"/>
        <v>44039</v>
      </c>
      <c r="S23" s="7" t="str">
        <f t="shared" si="1"/>
        <v/>
      </c>
      <c r="V23">
        <v>11.5</v>
      </c>
      <c r="AE23" s="67" t="str">
        <f>IF(Capacity!B37="","",ROW(A21)&amp;". "&amp;Capacity!B37)</f>
        <v/>
      </c>
      <c r="AF23" s="67"/>
      <c r="AI23" s="67">
        <v>40</v>
      </c>
    </row>
    <row r="24" spans="1:35" x14ac:dyDescent="0.2">
      <c r="A24">
        <v>22</v>
      </c>
      <c r="H24" t="s">
        <v>249</v>
      </c>
      <c r="K24" s="317">
        <f t="shared" si="0"/>
        <v>44046</v>
      </c>
      <c r="S24" s="7" t="str">
        <f t="shared" si="1"/>
        <v/>
      </c>
      <c r="V24">
        <v>12</v>
      </c>
      <c r="AE24" s="67" t="str">
        <f>IF(Capacity!B38="","",ROW(A22)&amp;". "&amp;Capacity!B38)</f>
        <v/>
      </c>
      <c r="AF24" s="67"/>
      <c r="AI24" s="67">
        <v>41</v>
      </c>
    </row>
    <row r="25" spans="1:35" x14ac:dyDescent="0.2">
      <c r="A25">
        <v>23</v>
      </c>
      <c r="E25" t="s">
        <v>480</v>
      </c>
      <c r="H25" t="s">
        <v>1229</v>
      </c>
      <c r="K25" s="317">
        <f t="shared" si="0"/>
        <v>44053</v>
      </c>
      <c r="S25" s="7" t="str">
        <f t="shared" si="1"/>
        <v/>
      </c>
      <c r="AE25" s="67" t="str">
        <f>IF(Capacity!B39="","",ROW(A23)&amp;". "&amp;Capacity!B39)</f>
        <v/>
      </c>
      <c r="AF25" s="67"/>
      <c r="AI25" s="67">
        <v>42</v>
      </c>
    </row>
    <row r="26" spans="1:35" x14ac:dyDescent="0.2">
      <c r="A26">
        <v>24</v>
      </c>
      <c r="E26" t="s">
        <v>481</v>
      </c>
      <c r="K26" s="317">
        <f t="shared" si="0"/>
        <v>44060</v>
      </c>
      <c r="S26" s="7" t="str">
        <f t="shared" si="1"/>
        <v/>
      </c>
      <c r="AE26" s="67" t="str">
        <f>IF(Capacity!B40="","",ROW(A24)&amp;". "&amp;Capacity!B40)</f>
        <v/>
      </c>
      <c r="AF26" s="67"/>
      <c r="AI26" s="67">
        <v>43</v>
      </c>
    </row>
    <row r="27" spans="1:35" x14ac:dyDescent="0.2">
      <c r="A27">
        <v>25</v>
      </c>
      <c r="K27" s="317">
        <f t="shared" si="0"/>
        <v>44067</v>
      </c>
      <c r="S27" s="7" t="str">
        <f t="shared" si="1"/>
        <v/>
      </c>
      <c r="AE27" s="67" t="str">
        <f>IF(Capacity!B41="","",ROW(A25)&amp;". "&amp;Capacity!B41)</f>
        <v/>
      </c>
      <c r="AF27" s="67"/>
      <c r="AI27" s="67">
        <v>44</v>
      </c>
    </row>
    <row r="28" spans="1:35" x14ac:dyDescent="0.2">
      <c r="A28">
        <v>26</v>
      </c>
      <c r="K28" s="317">
        <f t="shared" si="0"/>
        <v>44074</v>
      </c>
      <c r="S28" s="7" t="str">
        <f t="shared" si="1"/>
        <v/>
      </c>
      <c r="AE28" s="67" t="str">
        <f>IF(Capacity!B42="","",ROW(A26)&amp;". "&amp;Capacity!B42)</f>
        <v/>
      </c>
      <c r="AF28" s="67"/>
      <c r="AI28" s="67">
        <v>45</v>
      </c>
    </row>
    <row r="29" spans="1:35" x14ac:dyDescent="0.2">
      <c r="A29">
        <v>27</v>
      </c>
      <c r="C29" t="s">
        <v>194</v>
      </c>
      <c r="E29" t="s">
        <v>482</v>
      </c>
      <c r="K29" s="317">
        <f t="shared" si="0"/>
        <v>44081</v>
      </c>
      <c r="S29" s="7" t="str">
        <f t="shared" si="1"/>
        <v/>
      </c>
      <c r="AE29" s="67" t="str">
        <f>IF(Capacity!B43="","",ROW(A27)&amp;". "&amp;Capacity!B43)</f>
        <v/>
      </c>
      <c r="AF29" s="67"/>
      <c r="AI29" s="67">
        <v>46</v>
      </c>
    </row>
    <row r="30" spans="1:35" x14ac:dyDescent="0.2">
      <c r="A30">
        <v>28</v>
      </c>
      <c r="C30" t="s">
        <v>192</v>
      </c>
      <c r="K30" s="317">
        <f t="shared" si="0"/>
        <v>44088</v>
      </c>
      <c r="S30" s="7" t="str">
        <f t="shared" si="1"/>
        <v/>
      </c>
      <c r="AE30" s="67" t="str">
        <f>IF(Capacity!B44="","",ROW(A28)&amp;". "&amp;Capacity!B44)</f>
        <v/>
      </c>
      <c r="AF30" s="67"/>
      <c r="AI30" s="67">
        <v>47</v>
      </c>
    </row>
    <row r="31" spans="1:35" x14ac:dyDescent="0.2">
      <c r="A31">
        <v>29</v>
      </c>
      <c r="C31" t="s">
        <v>193</v>
      </c>
      <c r="K31" s="317">
        <f t="shared" si="0"/>
        <v>44095</v>
      </c>
      <c r="S31" s="7" t="str">
        <f t="shared" si="1"/>
        <v/>
      </c>
      <c r="AE31" s="67" t="str">
        <f>IF(Capacity!B45="","",ROW(A29)&amp;". "&amp;Capacity!B45)</f>
        <v/>
      </c>
      <c r="AF31" s="67"/>
      <c r="AI31" s="67">
        <v>48</v>
      </c>
    </row>
    <row r="32" spans="1:35" x14ac:dyDescent="0.2">
      <c r="A32">
        <v>30</v>
      </c>
      <c r="K32" s="317">
        <f t="shared" si="0"/>
        <v>44102</v>
      </c>
      <c r="S32" s="7" t="str">
        <f t="shared" si="1"/>
        <v/>
      </c>
      <c r="AE32" s="67" t="str">
        <f>IF(Capacity!B46="","",ROW(A30)&amp;". "&amp;Capacity!B46)</f>
        <v/>
      </c>
      <c r="AF32" s="67"/>
      <c r="AI32" s="67">
        <v>49</v>
      </c>
    </row>
    <row r="33" spans="1:35" x14ac:dyDescent="0.2">
      <c r="A33">
        <v>31</v>
      </c>
      <c r="K33" s="317">
        <f t="shared" si="0"/>
        <v>44109</v>
      </c>
      <c r="S33" s="7" t="str">
        <f t="shared" si="1"/>
        <v/>
      </c>
      <c r="AE33" s="67" t="str">
        <f>IF(Capacity!B47="","",ROW(A31)&amp;". "&amp;Capacity!B47)</f>
        <v/>
      </c>
      <c r="AF33" s="67"/>
      <c r="AI33" s="67">
        <v>50</v>
      </c>
    </row>
    <row r="34" spans="1:35" x14ac:dyDescent="0.2">
      <c r="A34">
        <v>32</v>
      </c>
      <c r="C34" t="s">
        <v>24</v>
      </c>
      <c r="K34" s="317">
        <f t="shared" si="0"/>
        <v>44116</v>
      </c>
      <c r="S34" s="7" t="str">
        <f t="shared" si="1"/>
        <v/>
      </c>
      <c r="AE34" s="67" t="str">
        <f>IF(Capacity!B48="","",ROW(A32)&amp;". "&amp;Capacity!B48)</f>
        <v/>
      </c>
      <c r="AF34" s="67"/>
      <c r="AI34" s="67">
        <v>51</v>
      </c>
    </row>
    <row r="35" spans="1:35" x14ac:dyDescent="0.2">
      <c r="A35">
        <v>33</v>
      </c>
      <c r="C35" t="s">
        <v>102</v>
      </c>
      <c r="K35" s="317">
        <f t="shared" si="0"/>
        <v>44123</v>
      </c>
      <c r="S35" s="7" t="str">
        <f t="shared" si="1"/>
        <v/>
      </c>
      <c r="AE35" s="67" t="str">
        <f>IF(Capacity!B49="","",ROW(A33)&amp;". "&amp;Capacity!B49)</f>
        <v/>
      </c>
      <c r="AF35" s="67"/>
      <c r="AI35" s="67">
        <v>52</v>
      </c>
    </row>
    <row r="36" spans="1:35" x14ac:dyDescent="0.2">
      <c r="A36">
        <v>34</v>
      </c>
      <c r="K36" s="317">
        <f t="shared" si="0"/>
        <v>44130</v>
      </c>
      <c r="S36" s="7" t="str">
        <f t="shared" si="1"/>
        <v/>
      </c>
      <c r="AE36" s="67" t="str">
        <f>IF(Capacity!B50="","",ROW(A34)&amp;". "&amp;Capacity!B50)</f>
        <v/>
      </c>
      <c r="AF36" s="67"/>
    </row>
    <row r="37" spans="1:35" x14ac:dyDescent="0.2">
      <c r="A37">
        <v>35</v>
      </c>
      <c r="K37" s="317">
        <f t="shared" si="0"/>
        <v>44137</v>
      </c>
      <c r="S37" s="7" t="str">
        <f t="shared" si="1"/>
        <v/>
      </c>
      <c r="AE37" s="67" t="str">
        <f>IF(Capacity!B51="","",ROW(A35)&amp;". "&amp;Capacity!B51)</f>
        <v/>
      </c>
      <c r="AF37" s="67"/>
    </row>
    <row r="38" spans="1:35" x14ac:dyDescent="0.2">
      <c r="A38">
        <v>36</v>
      </c>
      <c r="K38" s="317">
        <f t="shared" si="0"/>
        <v>44144</v>
      </c>
      <c r="S38" s="7" t="str">
        <f t="shared" si="1"/>
        <v/>
      </c>
      <c r="AE38" s="67" t="str">
        <f>IF(Capacity!B52="","",ROW(A36)&amp;". "&amp;Capacity!B52)</f>
        <v/>
      </c>
      <c r="AF38" s="67"/>
    </row>
    <row r="39" spans="1:35" x14ac:dyDescent="0.2">
      <c r="A39">
        <v>37</v>
      </c>
      <c r="K39" s="317">
        <f t="shared" si="0"/>
        <v>44151</v>
      </c>
      <c r="S39" s="7" t="str">
        <f t="shared" si="1"/>
        <v/>
      </c>
      <c r="AE39" s="67" t="str">
        <f>IF(Capacity!B53="","",ROW(A37)&amp;". "&amp;Capacity!B53)</f>
        <v/>
      </c>
      <c r="AF39" s="67"/>
    </row>
    <row r="40" spans="1:35" x14ac:dyDescent="0.2">
      <c r="A40">
        <v>38</v>
      </c>
      <c r="K40" s="317">
        <f t="shared" si="0"/>
        <v>44158</v>
      </c>
      <c r="S40" s="7" t="str">
        <f t="shared" si="1"/>
        <v/>
      </c>
      <c r="AE40" s="67" t="str">
        <f>IF(Capacity!B54="","",ROW(A38)&amp;". "&amp;Capacity!B54)</f>
        <v/>
      </c>
      <c r="AF40" s="67"/>
    </row>
    <row r="41" spans="1:35" x14ac:dyDescent="0.2">
      <c r="A41">
        <v>39</v>
      </c>
      <c r="K41" s="317">
        <f t="shared" si="0"/>
        <v>44165</v>
      </c>
      <c r="S41" s="7" t="str">
        <f t="shared" si="1"/>
        <v/>
      </c>
      <c r="AE41" s="67" t="str">
        <f>IF(Capacity!B55="","",ROW(A39)&amp;". "&amp;Capacity!B55)</f>
        <v/>
      </c>
      <c r="AF41" s="67"/>
    </row>
    <row r="42" spans="1:35" x14ac:dyDescent="0.2">
      <c r="A42">
        <v>40</v>
      </c>
      <c r="K42" s="317">
        <f t="shared" si="0"/>
        <v>44172</v>
      </c>
      <c r="S42" s="7" t="str">
        <f t="shared" si="1"/>
        <v/>
      </c>
      <c r="AE42" s="67" t="str">
        <f>IF(Capacity!B56="","",ROW(A40)&amp;". "&amp;Capacity!B56)</f>
        <v/>
      </c>
      <c r="AF42" s="67"/>
    </row>
    <row r="43" spans="1:35" x14ac:dyDescent="0.2">
      <c r="A43">
        <v>41</v>
      </c>
      <c r="K43" s="317">
        <f t="shared" si="0"/>
        <v>44179</v>
      </c>
      <c r="S43" s="7" t="str">
        <f t="shared" si="1"/>
        <v/>
      </c>
      <c r="AE43" s="67" t="str">
        <f>IF(Capacity!B57="","",ROW(A41)&amp;". "&amp;Capacity!B57)</f>
        <v/>
      </c>
      <c r="AF43" s="67"/>
    </row>
    <row r="44" spans="1:35" x14ac:dyDescent="0.2">
      <c r="A44">
        <v>42</v>
      </c>
      <c r="K44" s="317">
        <f t="shared" si="0"/>
        <v>44186</v>
      </c>
      <c r="S44" s="7" t="str">
        <f t="shared" si="1"/>
        <v/>
      </c>
      <c r="AE44" s="67" t="str">
        <f>IF(Capacity!B58="","",ROW(A42)&amp;". "&amp;Capacity!B58)</f>
        <v/>
      </c>
      <c r="AF44" s="67"/>
    </row>
    <row r="45" spans="1:35" x14ac:dyDescent="0.2">
      <c r="A45">
        <v>43</v>
      </c>
      <c r="K45" s="317">
        <f t="shared" si="0"/>
        <v>44193</v>
      </c>
      <c r="S45" s="7" t="str">
        <f t="shared" si="1"/>
        <v/>
      </c>
      <c r="AE45" s="67" t="str">
        <f>IF(Capacity!B59="","",ROW(A43)&amp;". "&amp;Capacity!B59)</f>
        <v/>
      </c>
      <c r="AF45" s="67"/>
    </row>
    <row r="46" spans="1:35" x14ac:dyDescent="0.2">
      <c r="A46">
        <v>44</v>
      </c>
      <c r="K46" s="317">
        <f t="shared" si="0"/>
        <v>44200</v>
      </c>
      <c r="S46" s="7" t="str">
        <f t="shared" si="1"/>
        <v/>
      </c>
      <c r="AE46" s="67" t="str">
        <f>IF(Capacity!B60="","",ROW(A44)&amp;". "&amp;Capacity!B60)</f>
        <v/>
      </c>
      <c r="AF46" s="67"/>
    </row>
    <row r="47" spans="1:35" x14ac:dyDescent="0.2">
      <c r="A47">
        <v>45</v>
      </c>
      <c r="K47" s="317">
        <f t="shared" si="0"/>
        <v>44207</v>
      </c>
      <c r="S47" s="7" t="str">
        <f t="shared" si="1"/>
        <v/>
      </c>
      <c r="AE47" s="67" t="str">
        <f>IF(Capacity!B61="","",ROW(A45)&amp;". "&amp;Capacity!B61)</f>
        <v/>
      </c>
      <c r="AF47" s="67"/>
    </row>
    <row r="48" spans="1:35" x14ac:dyDescent="0.2">
      <c r="A48">
        <v>46</v>
      </c>
      <c r="K48" s="317">
        <f t="shared" si="0"/>
        <v>44214</v>
      </c>
      <c r="S48" s="7" t="str">
        <f t="shared" si="1"/>
        <v/>
      </c>
      <c r="AE48" s="67" t="str">
        <f>IF(Capacity!B62="","",ROW(A46)&amp;". "&amp;Capacity!B62)</f>
        <v/>
      </c>
      <c r="AF48" s="67"/>
    </row>
    <row r="49" spans="1:32" x14ac:dyDescent="0.2">
      <c r="A49">
        <v>47</v>
      </c>
      <c r="K49" s="317">
        <f t="shared" si="0"/>
        <v>44221</v>
      </c>
      <c r="S49" s="7" t="str">
        <f t="shared" si="1"/>
        <v/>
      </c>
      <c r="AE49" s="67" t="str">
        <f>IF(Capacity!B63="","",ROW(A47)&amp;". "&amp;Capacity!B63)</f>
        <v/>
      </c>
      <c r="AF49" s="67"/>
    </row>
    <row r="50" spans="1:32" x14ac:dyDescent="0.2">
      <c r="A50">
        <v>48</v>
      </c>
      <c r="K50" s="317">
        <f t="shared" si="0"/>
        <v>44228</v>
      </c>
      <c r="S50" s="7" t="str">
        <f t="shared" si="1"/>
        <v/>
      </c>
      <c r="AE50" s="67" t="str">
        <f>IF(Capacity!B64="","",ROW(A48)&amp;". "&amp;Capacity!B64)</f>
        <v/>
      </c>
      <c r="AF50" s="67"/>
    </row>
    <row r="51" spans="1:32" x14ac:dyDescent="0.2">
      <c r="A51">
        <v>49</v>
      </c>
      <c r="K51" s="317">
        <f t="shared" si="0"/>
        <v>44235</v>
      </c>
      <c r="S51" s="7" t="str">
        <f t="shared" si="1"/>
        <v/>
      </c>
      <c r="AE51" s="67" t="str">
        <f>IF(Capacity!B65="","",ROW(A49)&amp;". "&amp;Capacity!B65)</f>
        <v/>
      </c>
      <c r="AF51" s="67"/>
    </row>
    <row r="52" spans="1:32" x14ac:dyDescent="0.2">
      <c r="A52">
        <v>50</v>
      </c>
      <c r="K52" s="317">
        <f t="shared" si="0"/>
        <v>44242</v>
      </c>
      <c r="S52" s="7" t="str">
        <f t="shared" si="1"/>
        <v/>
      </c>
      <c r="AE52" s="67" t="str">
        <f>IF(Capacity!B66="","",ROW(A50)&amp;". "&amp;Capacity!B66)</f>
        <v/>
      </c>
      <c r="AF52" s="67"/>
    </row>
    <row r="53" spans="1:32" x14ac:dyDescent="0.2">
      <c r="A53">
        <v>51</v>
      </c>
      <c r="K53" s="317">
        <f t="shared" si="0"/>
        <v>44249</v>
      </c>
      <c r="S53" s="7" t="str">
        <f t="shared" si="1"/>
        <v/>
      </c>
      <c r="AE53" s="67" t="str">
        <f>IF(Capacity!B67="","",ROW(A51)&amp;". "&amp;Capacity!B67)</f>
        <v/>
      </c>
      <c r="AF53" s="67"/>
    </row>
    <row r="54" spans="1:32" x14ac:dyDescent="0.2">
      <c r="A54">
        <v>52</v>
      </c>
      <c r="K54" s="317">
        <f t="shared" si="0"/>
        <v>44256</v>
      </c>
      <c r="AE54" s="67" t="str">
        <f>IF(Capacity!B68="","",ROW(A52)&amp;". "&amp;Capacity!B68)</f>
        <v/>
      </c>
      <c r="AF54" s="67"/>
    </row>
    <row r="55" spans="1:32" x14ac:dyDescent="0.2">
      <c r="A55">
        <v>53</v>
      </c>
      <c r="AE55" s="67" t="str">
        <f>IF(Capacity!B69="","",ROW(A53)&amp;". "&amp;Capacity!B69)</f>
        <v/>
      </c>
      <c r="AF55" s="67"/>
    </row>
    <row r="56" spans="1:32" x14ac:dyDescent="0.2">
      <c r="A56">
        <v>54</v>
      </c>
      <c r="AE56" s="67" t="str">
        <f>IF(Capacity!B70="","",ROW(A54)&amp;". "&amp;Capacity!B70)</f>
        <v/>
      </c>
      <c r="AF56" s="67"/>
    </row>
    <row r="57" spans="1:32" x14ac:dyDescent="0.2">
      <c r="A57">
        <v>55</v>
      </c>
      <c r="AE57" s="67" t="str">
        <f>IF(Capacity!B71="","",ROW(A55)&amp;". "&amp;Capacity!B71)</f>
        <v/>
      </c>
      <c r="AF57" s="67"/>
    </row>
    <row r="58" spans="1:32" x14ac:dyDescent="0.2">
      <c r="A58">
        <v>56</v>
      </c>
      <c r="AE58" s="67" t="str">
        <f>IF(Capacity!B72="","",ROW(A56)&amp;". "&amp;Capacity!B72)</f>
        <v/>
      </c>
      <c r="AF58" s="67"/>
    </row>
    <row r="59" spans="1:32" x14ac:dyDescent="0.2">
      <c r="A59">
        <v>57</v>
      </c>
      <c r="AE59" s="67" t="str">
        <f>IF(Capacity!B73="","",ROW(A57)&amp;". "&amp;Capacity!B73)</f>
        <v/>
      </c>
      <c r="AF59" s="67"/>
    </row>
    <row r="60" spans="1:32" x14ac:dyDescent="0.2">
      <c r="A60">
        <v>58</v>
      </c>
      <c r="AE60" s="67" t="str">
        <f>IF(Capacity!B74="","",ROW(A58)&amp;". "&amp;Capacity!B74)</f>
        <v/>
      </c>
      <c r="AF60" s="67"/>
    </row>
    <row r="61" spans="1:32" x14ac:dyDescent="0.2">
      <c r="A61">
        <v>59</v>
      </c>
      <c r="AE61" s="67" t="str">
        <f>IF(Capacity!B75="","",ROW(A59)&amp;". "&amp;Capacity!B75)</f>
        <v/>
      </c>
      <c r="AF61" s="67"/>
    </row>
    <row r="62" spans="1:32" x14ac:dyDescent="0.2">
      <c r="A62">
        <v>60</v>
      </c>
      <c r="AE62" s="67" t="str">
        <f>IF(Capacity!B76="","",ROW(A60)&amp;". "&amp;Capacity!B76)</f>
        <v/>
      </c>
      <c r="AF62" s="67"/>
    </row>
    <row r="63" spans="1:32" x14ac:dyDescent="0.2">
      <c r="A63">
        <v>61</v>
      </c>
      <c r="AE63" s="67" t="str">
        <f>IF(Capacity!B77="","",ROW(A61)&amp;". "&amp;Capacity!B77)</f>
        <v/>
      </c>
      <c r="AF63" s="67"/>
    </row>
    <row r="64" spans="1:32" x14ac:dyDescent="0.2">
      <c r="A64">
        <v>62</v>
      </c>
      <c r="AE64" s="67" t="str">
        <f>IF(Capacity!B78="","",ROW(A62)&amp;". "&amp;Capacity!B78)</f>
        <v/>
      </c>
      <c r="AF64" s="67"/>
    </row>
    <row r="65" spans="1:32" x14ac:dyDescent="0.2">
      <c r="A65">
        <v>63</v>
      </c>
      <c r="AE65" s="67" t="str">
        <f>IF(Capacity!B79="","",ROW(A63)&amp;". "&amp;Capacity!B79)</f>
        <v/>
      </c>
      <c r="AF65" s="67"/>
    </row>
    <row r="66" spans="1:32" x14ac:dyDescent="0.2">
      <c r="A66">
        <v>64</v>
      </c>
      <c r="AE66" s="67" t="str">
        <f>IF(Capacity!B80="","",ROW(A64)&amp;". "&amp;Capacity!B80)</f>
        <v/>
      </c>
      <c r="AF66" s="67"/>
    </row>
    <row r="67" spans="1:32" x14ac:dyDescent="0.2">
      <c r="A67">
        <v>65</v>
      </c>
      <c r="AE67" s="67" t="str">
        <f>IF(Capacity!B81="","",ROW(A65)&amp;". "&amp;Capacity!B81)</f>
        <v/>
      </c>
      <c r="AF67" s="67"/>
    </row>
    <row r="68" spans="1:32" x14ac:dyDescent="0.2">
      <c r="A68">
        <v>66</v>
      </c>
      <c r="AE68" s="67" t="str">
        <f>IF(Capacity!B82="","",ROW(A66)&amp;". "&amp;Capacity!B82)</f>
        <v/>
      </c>
      <c r="AF68" s="67"/>
    </row>
    <row r="69" spans="1:32" x14ac:dyDescent="0.2">
      <c r="A69">
        <v>67</v>
      </c>
      <c r="AE69" s="67" t="str">
        <f>IF(Capacity!B83="","",ROW(A67)&amp;". "&amp;Capacity!B83)</f>
        <v/>
      </c>
      <c r="AF69" s="67"/>
    </row>
    <row r="70" spans="1:32" x14ac:dyDescent="0.2">
      <c r="A70">
        <v>68</v>
      </c>
      <c r="AE70" s="67" t="str">
        <f>IF(Capacity!B84="","",ROW(A68)&amp;". "&amp;Capacity!B84)</f>
        <v/>
      </c>
      <c r="AF70" s="67"/>
    </row>
    <row r="71" spans="1:32" x14ac:dyDescent="0.2">
      <c r="A71">
        <v>69</v>
      </c>
      <c r="AE71" s="67" t="str">
        <f>IF(Capacity!B85="","",ROW(A69)&amp;". "&amp;Capacity!B85)</f>
        <v/>
      </c>
      <c r="AF71" s="67"/>
    </row>
    <row r="72" spans="1:32" x14ac:dyDescent="0.2">
      <c r="A72">
        <v>70</v>
      </c>
      <c r="AE72" s="67" t="str">
        <f>IF(Capacity!B86="","",ROW(A70)&amp;". "&amp;Capacity!B86)</f>
        <v/>
      </c>
      <c r="AF72" s="67"/>
    </row>
    <row r="73" spans="1:32" x14ac:dyDescent="0.2">
      <c r="A73">
        <v>71</v>
      </c>
      <c r="AE73" s="67" t="str">
        <f>IF(Capacity!B87="","",ROW(A71)&amp;". "&amp;Capacity!B87)</f>
        <v/>
      </c>
      <c r="AF73" s="67"/>
    </row>
    <row r="74" spans="1:32" x14ac:dyDescent="0.2">
      <c r="A74">
        <v>72</v>
      </c>
      <c r="AE74" s="67" t="str">
        <f>IF(Capacity!B88="","",ROW(A72)&amp;". "&amp;Capacity!B88)</f>
        <v/>
      </c>
      <c r="AF74" s="67"/>
    </row>
    <row r="75" spans="1:32" x14ac:dyDescent="0.2">
      <c r="A75">
        <v>73</v>
      </c>
      <c r="AE75" s="67" t="str">
        <f>IF(Capacity!B89="","",ROW(A73)&amp;". "&amp;Capacity!B89)</f>
        <v/>
      </c>
      <c r="AF75" s="67"/>
    </row>
    <row r="76" spans="1:32" x14ac:dyDescent="0.2">
      <c r="A76">
        <v>74</v>
      </c>
      <c r="AE76" s="67" t="str">
        <f>IF(Capacity!B90="","",ROW(A74)&amp;". "&amp;Capacity!B90)</f>
        <v/>
      </c>
      <c r="AF76" s="67"/>
    </row>
    <row r="77" spans="1:32" x14ac:dyDescent="0.2">
      <c r="A77">
        <v>75</v>
      </c>
      <c r="AE77" s="67" t="str">
        <f>IF(Capacity!B91="","",ROW(A75)&amp;". "&amp;Capacity!B91)</f>
        <v/>
      </c>
      <c r="AF77" s="67"/>
    </row>
    <row r="78" spans="1:32" x14ac:dyDescent="0.2">
      <c r="A78">
        <v>76</v>
      </c>
      <c r="AE78" s="67" t="str">
        <f>IF(Capacity!B92="","",ROW(A76)&amp;". "&amp;Capacity!B92)</f>
        <v/>
      </c>
      <c r="AF78" s="67"/>
    </row>
    <row r="79" spans="1:32" x14ac:dyDescent="0.2">
      <c r="A79">
        <v>77</v>
      </c>
      <c r="AE79" s="67" t="str">
        <f>IF(Capacity!B93="","",ROW(A77)&amp;". "&amp;Capacity!B93)</f>
        <v/>
      </c>
      <c r="AF79" s="67"/>
    </row>
    <row r="80" spans="1:32" x14ac:dyDescent="0.2">
      <c r="A80">
        <v>78</v>
      </c>
      <c r="AE80" s="67" t="str">
        <f>IF(Capacity!B94="","",ROW(A78)&amp;". "&amp;Capacity!B94)</f>
        <v/>
      </c>
      <c r="AF80" s="67"/>
    </row>
    <row r="81" spans="1:32" x14ac:dyDescent="0.2">
      <c r="A81">
        <v>79</v>
      </c>
      <c r="AE81" s="67" t="str">
        <f>IF(Capacity!B95="","",ROW(A79)&amp;". "&amp;Capacity!B95)</f>
        <v/>
      </c>
      <c r="AF81" s="67"/>
    </row>
    <row r="82" spans="1:32" x14ac:dyDescent="0.2">
      <c r="A82">
        <v>80</v>
      </c>
      <c r="AE82" s="67" t="str">
        <f>IF(Capacity!B96="","",ROW(A80)&amp;". "&amp;Capacity!B96)</f>
        <v/>
      </c>
      <c r="AF82" s="67"/>
    </row>
    <row r="83" spans="1:32" x14ac:dyDescent="0.2">
      <c r="A83">
        <v>81</v>
      </c>
      <c r="AE83" s="67" t="str">
        <f>IF(Capacity!B97="","",ROW(A81)&amp;". "&amp;Capacity!B97)</f>
        <v/>
      </c>
      <c r="AF83" s="67"/>
    </row>
    <row r="84" spans="1:32" x14ac:dyDescent="0.2">
      <c r="A84">
        <v>82</v>
      </c>
      <c r="AE84" s="67" t="str">
        <f>IF(Capacity!B98="","",ROW(A82)&amp;". "&amp;Capacity!B98)</f>
        <v/>
      </c>
      <c r="AF84" s="67"/>
    </row>
    <row r="85" spans="1:32" x14ac:dyDescent="0.2">
      <c r="A85">
        <v>83</v>
      </c>
      <c r="AE85" s="67" t="str">
        <f>IF(Capacity!B99="","",ROW(A83)&amp;". "&amp;Capacity!B99)</f>
        <v/>
      </c>
      <c r="AF85" s="67"/>
    </row>
    <row r="86" spans="1:32" x14ac:dyDescent="0.2">
      <c r="A86">
        <v>84</v>
      </c>
      <c r="AE86" s="67" t="str">
        <f>IF(Capacity!B100="","",ROW(A84)&amp;". "&amp;Capacity!B100)</f>
        <v/>
      </c>
      <c r="AF86" s="67"/>
    </row>
    <row r="87" spans="1:32" x14ac:dyDescent="0.2">
      <c r="A87">
        <v>85</v>
      </c>
      <c r="AE87" s="67" t="str">
        <f>IF(Capacity!B101="","",ROW(A85)&amp;". "&amp;Capacity!B101)</f>
        <v/>
      </c>
      <c r="AF87" s="67"/>
    </row>
    <row r="88" spans="1:32" x14ac:dyDescent="0.2">
      <c r="A88">
        <v>86</v>
      </c>
      <c r="AE88" s="67" t="str">
        <f>IF(Capacity!B102="","",ROW(A86)&amp;". "&amp;Capacity!B102)</f>
        <v/>
      </c>
      <c r="AF88" s="67"/>
    </row>
    <row r="89" spans="1:32" x14ac:dyDescent="0.2">
      <c r="A89">
        <v>87</v>
      </c>
      <c r="AE89" s="67" t="str">
        <f>IF(Capacity!B103="","",ROW(A87)&amp;". "&amp;Capacity!B103)</f>
        <v/>
      </c>
      <c r="AF89" s="67"/>
    </row>
    <row r="90" spans="1:32" x14ac:dyDescent="0.2">
      <c r="A90">
        <v>88</v>
      </c>
      <c r="AE90" s="67" t="str">
        <f>IF(Capacity!B104="","",ROW(A88)&amp;". "&amp;Capacity!B104)</f>
        <v/>
      </c>
      <c r="AF90" s="67"/>
    </row>
    <row r="91" spans="1:32" x14ac:dyDescent="0.2">
      <c r="A91">
        <v>89</v>
      </c>
      <c r="AE91" s="67" t="str">
        <f>IF(Capacity!B105="","",ROW(A89)&amp;". "&amp;Capacity!B105)</f>
        <v/>
      </c>
      <c r="AF91" s="67"/>
    </row>
    <row r="92" spans="1:32" x14ac:dyDescent="0.2">
      <c r="A92">
        <v>90</v>
      </c>
      <c r="AE92" s="67" t="str">
        <f>IF(Capacity!B106="","",ROW(A90)&amp;". "&amp;Capacity!B106)</f>
        <v/>
      </c>
      <c r="AF92" s="67"/>
    </row>
    <row r="93" spans="1:32" x14ac:dyDescent="0.2">
      <c r="A93">
        <v>91</v>
      </c>
      <c r="AE93" s="67" t="str">
        <f>IF(Capacity!B107="","",ROW(A91)&amp;". "&amp;Capacity!B107)</f>
        <v/>
      </c>
      <c r="AF93" s="67"/>
    </row>
    <row r="94" spans="1:32" x14ac:dyDescent="0.2">
      <c r="A94">
        <v>92</v>
      </c>
      <c r="AE94" s="67" t="str">
        <f>IF(Capacity!B108="","",ROW(A92)&amp;". "&amp;Capacity!B108)</f>
        <v/>
      </c>
      <c r="AF94" s="67"/>
    </row>
    <row r="95" spans="1:32" x14ac:dyDescent="0.2">
      <c r="A95">
        <v>93</v>
      </c>
      <c r="AE95" s="67" t="str">
        <f>IF(Capacity!B109="","",ROW(A93)&amp;". "&amp;Capacity!B109)</f>
        <v/>
      </c>
      <c r="AF95" s="67"/>
    </row>
    <row r="96" spans="1:32" x14ac:dyDescent="0.2">
      <c r="A96">
        <v>94</v>
      </c>
      <c r="AE96" s="67" t="str">
        <f>IF(Capacity!B110="","",ROW(A94)&amp;". "&amp;Capacity!B110)</f>
        <v/>
      </c>
      <c r="AF96" s="67"/>
    </row>
    <row r="97" spans="1:32" x14ac:dyDescent="0.2">
      <c r="A97">
        <v>95</v>
      </c>
      <c r="AE97" s="67" t="str">
        <f>IF(Capacity!B111="","",ROW(A95)&amp;". "&amp;Capacity!B111)</f>
        <v/>
      </c>
      <c r="AF97" s="67"/>
    </row>
    <row r="98" spans="1:32" x14ac:dyDescent="0.2">
      <c r="A98">
        <v>96</v>
      </c>
      <c r="AE98" s="67" t="str">
        <f>IF(Capacity!B112="","",ROW(A96)&amp;". "&amp;Capacity!B112)</f>
        <v/>
      </c>
      <c r="AF98" s="67"/>
    </row>
    <row r="99" spans="1:32" x14ac:dyDescent="0.2">
      <c r="A99">
        <v>97</v>
      </c>
      <c r="AE99" s="67" t="str">
        <f>IF(Capacity!B113="","",ROW(A97)&amp;". "&amp;Capacity!B113)</f>
        <v/>
      </c>
      <c r="AF99" s="67"/>
    </row>
    <row r="100" spans="1:32" x14ac:dyDescent="0.2">
      <c r="A100">
        <v>98</v>
      </c>
      <c r="AE100" s="67" t="str">
        <f>IF(Capacity!B114="","",ROW(A98)&amp;". "&amp;Capacity!B114)</f>
        <v/>
      </c>
      <c r="AF100" s="67"/>
    </row>
    <row r="101" spans="1:32" x14ac:dyDescent="0.2">
      <c r="A101">
        <v>99</v>
      </c>
      <c r="AE101" s="67" t="str">
        <f>IF(Capacity!B115="","",ROW(A99)&amp;". "&amp;Capacity!B115)</f>
        <v/>
      </c>
      <c r="AF101" s="67"/>
    </row>
    <row r="102" spans="1:32" x14ac:dyDescent="0.2">
      <c r="A102">
        <v>100</v>
      </c>
      <c r="AE102" s="67" t="str">
        <f>IF(Capacity!B116="","",ROW(A100)&amp;". "&amp;Capacity!B116)</f>
        <v/>
      </c>
      <c r="AF102" s="67"/>
    </row>
    <row r="103" spans="1:32" x14ac:dyDescent="0.2">
      <c r="A103">
        <v>101</v>
      </c>
      <c r="AE103" s="67" t="e">
        <f>IF(Capacity!#REF!="","",ROW(A101)&amp;". "&amp;Capacity!#REF!)</f>
        <v>#REF!</v>
      </c>
      <c r="AF103" s="67"/>
    </row>
    <row r="104" spans="1:32" x14ac:dyDescent="0.2">
      <c r="A104">
        <v>102</v>
      </c>
      <c r="AE104" s="67" t="e">
        <f>IF(Capacity!#REF!="","",ROW(A102)&amp;". "&amp;Capacity!#REF!)</f>
        <v>#REF!</v>
      </c>
      <c r="AF104" s="67"/>
    </row>
    <row r="105" spans="1:32" x14ac:dyDescent="0.2">
      <c r="A105">
        <v>103</v>
      </c>
    </row>
    <row r="106" spans="1:32" x14ac:dyDescent="0.2">
      <c r="A106">
        <v>104</v>
      </c>
    </row>
    <row r="107" spans="1:32" x14ac:dyDescent="0.2">
      <c r="A107">
        <v>105</v>
      </c>
    </row>
    <row r="108" spans="1:32" x14ac:dyDescent="0.2">
      <c r="A108">
        <v>106</v>
      </c>
    </row>
    <row r="109" spans="1:32" x14ac:dyDescent="0.2">
      <c r="A109">
        <v>107</v>
      </c>
    </row>
    <row r="110" spans="1:32" x14ac:dyDescent="0.2">
      <c r="A110">
        <v>108</v>
      </c>
    </row>
    <row r="111" spans="1:32" x14ac:dyDescent="0.2">
      <c r="A111">
        <v>109</v>
      </c>
    </row>
    <row r="112" spans="1:32" x14ac:dyDescent="0.2">
      <c r="A112">
        <v>110</v>
      </c>
    </row>
    <row r="113" spans="1:1" x14ac:dyDescent="0.2">
      <c r="A113">
        <v>111</v>
      </c>
    </row>
    <row r="114" spans="1:1" x14ac:dyDescent="0.2">
      <c r="A114">
        <v>112</v>
      </c>
    </row>
    <row r="115" spans="1:1" x14ac:dyDescent="0.2">
      <c r="A115">
        <v>113</v>
      </c>
    </row>
    <row r="116" spans="1:1" x14ac:dyDescent="0.2">
      <c r="A116">
        <v>114</v>
      </c>
    </row>
    <row r="117" spans="1:1" x14ac:dyDescent="0.2">
      <c r="A117">
        <v>115</v>
      </c>
    </row>
    <row r="118" spans="1:1" x14ac:dyDescent="0.2">
      <c r="A118">
        <v>116</v>
      </c>
    </row>
    <row r="119" spans="1:1" x14ac:dyDescent="0.2">
      <c r="A119">
        <v>117</v>
      </c>
    </row>
    <row r="120" spans="1:1" x14ac:dyDescent="0.2">
      <c r="A120">
        <v>118</v>
      </c>
    </row>
    <row r="121" spans="1:1" x14ac:dyDescent="0.2">
      <c r="A121">
        <v>119</v>
      </c>
    </row>
    <row r="122" spans="1:1" x14ac:dyDescent="0.2">
      <c r="A122">
        <v>120</v>
      </c>
    </row>
    <row r="123" spans="1:1" x14ac:dyDescent="0.2">
      <c r="A123">
        <v>121</v>
      </c>
    </row>
    <row r="124" spans="1:1" x14ac:dyDescent="0.2">
      <c r="A124">
        <v>122</v>
      </c>
    </row>
    <row r="125" spans="1:1" x14ac:dyDescent="0.2">
      <c r="A125">
        <v>123</v>
      </c>
    </row>
    <row r="126" spans="1:1" x14ac:dyDescent="0.2">
      <c r="A126">
        <v>124</v>
      </c>
    </row>
    <row r="127" spans="1:1" x14ac:dyDescent="0.2">
      <c r="A127">
        <v>125</v>
      </c>
    </row>
    <row r="128" spans="1:1" x14ac:dyDescent="0.2">
      <c r="A128">
        <v>126</v>
      </c>
    </row>
    <row r="129" spans="1:1" x14ac:dyDescent="0.2">
      <c r="A129">
        <v>127</v>
      </c>
    </row>
    <row r="130" spans="1:1" x14ac:dyDescent="0.2">
      <c r="A130">
        <v>128</v>
      </c>
    </row>
    <row r="131" spans="1:1" x14ac:dyDescent="0.2">
      <c r="A131">
        <v>129</v>
      </c>
    </row>
    <row r="132" spans="1:1" x14ac:dyDescent="0.2">
      <c r="A132">
        <v>130</v>
      </c>
    </row>
    <row r="133" spans="1:1" x14ac:dyDescent="0.2">
      <c r="A133">
        <v>131</v>
      </c>
    </row>
    <row r="134" spans="1:1" x14ac:dyDescent="0.2">
      <c r="A134">
        <v>132</v>
      </c>
    </row>
    <row r="135" spans="1:1" x14ac:dyDescent="0.2">
      <c r="A135">
        <v>133</v>
      </c>
    </row>
    <row r="136" spans="1:1" x14ac:dyDescent="0.2">
      <c r="A136">
        <v>134</v>
      </c>
    </row>
    <row r="137" spans="1:1" x14ac:dyDescent="0.2">
      <c r="A137">
        <v>135</v>
      </c>
    </row>
    <row r="138" spans="1:1" x14ac:dyDescent="0.2">
      <c r="A138">
        <v>136</v>
      </c>
    </row>
    <row r="139" spans="1:1" x14ac:dyDescent="0.2">
      <c r="A139">
        <v>137</v>
      </c>
    </row>
    <row r="140" spans="1:1" x14ac:dyDescent="0.2">
      <c r="A140">
        <v>138</v>
      </c>
    </row>
    <row r="141" spans="1:1" x14ac:dyDescent="0.2">
      <c r="A141">
        <v>139</v>
      </c>
    </row>
    <row r="142" spans="1:1" x14ac:dyDescent="0.2">
      <c r="A142">
        <v>140</v>
      </c>
    </row>
    <row r="143" spans="1:1" x14ac:dyDescent="0.2">
      <c r="A143">
        <v>141</v>
      </c>
    </row>
    <row r="144" spans="1:1" x14ac:dyDescent="0.2">
      <c r="A144">
        <v>142</v>
      </c>
    </row>
    <row r="145" spans="1:1" x14ac:dyDescent="0.2">
      <c r="A145">
        <v>143</v>
      </c>
    </row>
    <row r="146" spans="1:1" x14ac:dyDescent="0.2">
      <c r="A146">
        <v>144</v>
      </c>
    </row>
    <row r="147" spans="1:1" x14ac:dyDescent="0.2">
      <c r="A147">
        <v>145</v>
      </c>
    </row>
    <row r="148" spans="1:1" x14ac:dyDescent="0.2">
      <c r="A148">
        <v>146</v>
      </c>
    </row>
    <row r="149" spans="1:1" x14ac:dyDescent="0.2">
      <c r="A149">
        <v>147</v>
      </c>
    </row>
    <row r="150" spans="1:1" x14ac:dyDescent="0.2">
      <c r="A150">
        <v>148</v>
      </c>
    </row>
    <row r="151" spans="1:1" x14ac:dyDescent="0.2">
      <c r="A151">
        <v>149</v>
      </c>
    </row>
    <row r="152" spans="1:1" x14ac:dyDescent="0.2">
      <c r="A152">
        <v>150</v>
      </c>
    </row>
    <row r="153" spans="1:1" x14ac:dyDescent="0.2">
      <c r="A153">
        <v>151</v>
      </c>
    </row>
    <row r="154" spans="1:1" x14ac:dyDescent="0.2">
      <c r="A154">
        <v>152</v>
      </c>
    </row>
    <row r="155" spans="1:1" x14ac:dyDescent="0.2">
      <c r="A155">
        <v>153</v>
      </c>
    </row>
    <row r="156" spans="1:1" x14ac:dyDescent="0.2">
      <c r="A156">
        <v>154</v>
      </c>
    </row>
    <row r="157" spans="1:1" x14ac:dyDescent="0.2">
      <c r="A157">
        <v>155</v>
      </c>
    </row>
    <row r="158" spans="1:1" x14ac:dyDescent="0.2">
      <c r="A158">
        <v>156</v>
      </c>
    </row>
    <row r="159" spans="1:1" x14ac:dyDescent="0.2">
      <c r="A159">
        <v>157</v>
      </c>
    </row>
    <row r="160" spans="1:1" x14ac:dyDescent="0.2">
      <c r="A160">
        <v>158</v>
      </c>
    </row>
    <row r="161" spans="1:1" x14ac:dyDescent="0.2">
      <c r="A161">
        <v>159</v>
      </c>
    </row>
    <row r="162" spans="1:1" x14ac:dyDescent="0.2">
      <c r="A162">
        <v>160</v>
      </c>
    </row>
    <row r="163" spans="1:1" x14ac:dyDescent="0.2">
      <c r="A163">
        <v>161</v>
      </c>
    </row>
    <row r="164" spans="1:1" x14ac:dyDescent="0.2">
      <c r="A164">
        <v>162</v>
      </c>
    </row>
    <row r="165" spans="1:1" x14ac:dyDescent="0.2">
      <c r="A165">
        <v>163</v>
      </c>
    </row>
    <row r="166" spans="1:1" x14ac:dyDescent="0.2">
      <c r="A166">
        <v>164</v>
      </c>
    </row>
    <row r="167" spans="1:1" x14ac:dyDescent="0.2">
      <c r="A167">
        <v>165</v>
      </c>
    </row>
    <row r="168" spans="1:1" x14ac:dyDescent="0.2">
      <c r="A168">
        <v>166</v>
      </c>
    </row>
    <row r="169" spans="1:1" x14ac:dyDescent="0.2">
      <c r="A169">
        <v>167</v>
      </c>
    </row>
    <row r="170" spans="1:1" x14ac:dyDescent="0.2">
      <c r="A170">
        <v>168</v>
      </c>
    </row>
    <row r="171" spans="1:1" x14ac:dyDescent="0.2">
      <c r="A171">
        <v>169</v>
      </c>
    </row>
    <row r="172" spans="1:1" x14ac:dyDescent="0.2">
      <c r="A172">
        <v>170</v>
      </c>
    </row>
    <row r="173" spans="1:1" x14ac:dyDescent="0.2">
      <c r="A173">
        <v>171</v>
      </c>
    </row>
    <row r="174" spans="1:1" x14ac:dyDescent="0.2">
      <c r="A174">
        <v>172</v>
      </c>
    </row>
    <row r="175" spans="1:1" x14ac:dyDescent="0.2">
      <c r="A175">
        <v>173</v>
      </c>
    </row>
    <row r="176" spans="1:1" x14ac:dyDescent="0.2">
      <c r="A176">
        <v>174</v>
      </c>
    </row>
    <row r="177" spans="1:1" x14ac:dyDescent="0.2">
      <c r="A177">
        <v>175</v>
      </c>
    </row>
    <row r="178" spans="1:1" x14ac:dyDescent="0.2">
      <c r="A178">
        <v>176</v>
      </c>
    </row>
    <row r="179" spans="1:1" x14ac:dyDescent="0.2">
      <c r="A179">
        <v>177</v>
      </c>
    </row>
    <row r="180" spans="1:1" x14ac:dyDescent="0.2">
      <c r="A180">
        <v>178</v>
      </c>
    </row>
    <row r="181" spans="1:1" x14ac:dyDescent="0.2">
      <c r="A181">
        <v>179</v>
      </c>
    </row>
    <row r="182" spans="1:1" x14ac:dyDescent="0.2">
      <c r="A182">
        <v>180</v>
      </c>
    </row>
    <row r="183" spans="1:1" x14ac:dyDescent="0.2">
      <c r="A183">
        <v>181</v>
      </c>
    </row>
    <row r="184" spans="1:1" x14ac:dyDescent="0.2">
      <c r="A184">
        <v>182</v>
      </c>
    </row>
    <row r="185" spans="1:1" x14ac:dyDescent="0.2">
      <c r="A185">
        <v>183</v>
      </c>
    </row>
    <row r="186" spans="1:1" x14ac:dyDescent="0.2">
      <c r="A186">
        <v>184</v>
      </c>
    </row>
    <row r="187" spans="1:1" x14ac:dyDescent="0.2">
      <c r="A187">
        <v>185</v>
      </c>
    </row>
    <row r="188" spans="1:1" x14ac:dyDescent="0.2">
      <c r="A188">
        <v>186</v>
      </c>
    </row>
    <row r="189" spans="1:1" x14ac:dyDescent="0.2">
      <c r="A189">
        <v>187</v>
      </c>
    </row>
    <row r="190" spans="1:1" x14ac:dyDescent="0.2">
      <c r="A190">
        <v>188</v>
      </c>
    </row>
    <row r="191" spans="1:1" x14ac:dyDescent="0.2">
      <c r="A191">
        <v>189</v>
      </c>
    </row>
    <row r="192" spans="1:1" x14ac:dyDescent="0.2">
      <c r="A192">
        <v>190</v>
      </c>
    </row>
    <row r="193" spans="1:1" x14ac:dyDescent="0.2">
      <c r="A193">
        <v>191</v>
      </c>
    </row>
    <row r="194" spans="1:1" x14ac:dyDescent="0.2">
      <c r="A194">
        <v>192</v>
      </c>
    </row>
    <row r="195" spans="1:1" x14ac:dyDescent="0.2">
      <c r="A195">
        <v>193</v>
      </c>
    </row>
    <row r="196" spans="1:1" x14ac:dyDescent="0.2">
      <c r="A196">
        <v>194</v>
      </c>
    </row>
    <row r="197" spans="1:1" x14ac:dyDescent="0.2">
      <c r="A197">
        <v>195</v>
      </c>
    </row>
    <row r="198" spans="1:1" x14ac:dyDescent="0.2">
      <c r="A198">
        <v>196</v>
      </c>
    </row>
    <row r="199" spans="1:1" x14ac:dyDescent="0.2">
      <c r="A199">
        <v>197</v>
      </c>
    </row>
    <row r="200" spans="1:1" x14ac:dyDescent="0.2">
      <c r="A200">
        <v>198</v>
      </c>
    </row>
    <row r="201" spans="1:1" x14ac:dyDescent="0.2">
      <c r="A201">
        <v>199</v>
      </c>
    </row>
    <row r="202" spans="1:1" x14ac:dyDescent="0.2">
      <c r="A202">
        <v>200</v>
      </c>
    </row>
    <row r="203" spans="1:1" x14ac:dyDescent="0.2">
      <c r="A203">
        <v>201</v>
      </c>
    </row>
    <row r="204" spans="1:1" x14ac:dyDescent="0.2">
      <c r="A204">
        <v>202</v>
      </c>
    </row>
    <row r="205" spans="1:1" x14ac:dyDescent="0.2">
      <c r="A205">
        <v>203</v>
      </c>
    </row>
    <row r="206" spans="1:1" x14ac:dyDescent="0.2">
      <c r="A206">
        <v>204</v>
      </c>
    </row>
    <row r="207" spans="1:1" x14ac:dyDescent="0.2">
      <c r="A207">
        <v>205</v>
      </c>
    </row>
    <row r="208" spans="1:1" x14ac:dyDescent="0.2">
      <c r="A208">
        <v>206</v>
      </c>
    </row>
    <row r="209" spans="1:1" x14ac:dyDescent="0.2">
      <c r="A209">
        <v>207</v>
      </c>
    </row>
    <row r="210" spans="1:1" x14ac:dyDescent="0.2">
      <c r="A210">
        <v>208</v>
      </c>
    </row>
    <row r="211" spans="1:1" x14ac:dyDescent="0.2">
      <c r="A211">
        <v>209</v>
      </c>
    </row>
    <row r="212" spans="1:1" x14ac:dyDescent="0.2">
      <c r="A212">
        <v>210</v>
      </c>
    </row>
    <row r="213" spans="1:1" x14ac:dyDescent="0.2">
      <c r="A213">
        <v>211</v>
      </c>
    </row>
    <row r="214" spans="1:1" x14ac:dyDescent="0.2">
      <c r="A214">
        <v>212</v>
      </c>
    </row>
    <row r="215" spans="1:1" x14ac:dyDescent="0.2">
      <c r="A215">
        <v>213</v>
      </c>
    </row>
    <row r="216" spans="1:1" x14ac:dyDescent="0.2">
      <c r="A216">
        <v>214</v>
      </c>
    </row>
    <row r="217" spans="1:1" x14ac:dyDescent="0.2">
      <c r="A217">
        <v>215</v>
      </c>
    </row>
    <row r="218" spans="1:1" x14ac:dyDescent="0.2">
      <c r="A218">
        <v>216</v>
      </c>
    </row>
    <row r="219" spans="1:1" x14ac:dyDescent="0.2">
      <c r="A219">
        <v>217</v>
      </c>
    </row>
    <row r="220" spans="1:1" x14ac:dyDescent="0.2">
      <c r="A220">
        <v>218</v>
      </c>
    </row>
    <row r="221" spans="1:1" x14ac:dyDescent="0.2">
      <c r="A221">
        <v>219</v>
      </c>
    </row>
    <row r="222" spans="1:1" x14ac:dyDescent="0.2">
      <c r="A222">
        <v>220</v>
      </c>
    </row>
    <row r="223" spans="1:1" x14ac:dyDescent="0.2">
      <c r="A223">
        <v>221</v>
      </c>
    </row>
    <row r="224" spans="1:1" x14ac:dyDescent="0.2">
      <c r="A224">
        <v>222</v>
      </c>
    </row>
    <row r="225" spans="1:1" x14ac:dyDescent="0.2">
      <c r="A225">
        <v>223</v>
      </c>
    </row>
    <row r="226" spans="1:1" x14ac:dyDescent="0.2">
      <c r="A226">
        <v>224</v>
      </c>
    </row>
    <row r="227" spans="1:1" x14ac:dyDescent="0.2">
      <c r="A227">
        <v>225</v>
      </c>
    </row>
    <row r="228" spans="1:1" x14ac:dyDescent="0.2">
      <c r="A228">
        <v>226</v>
      </c>
    </row>
    <row r="229" spans="1:1" x14ac:dyDescent="0.2">
      <c r="A229">
        <v>227</v>
      </c>
    </row>
    <row r="230" spans="1:1" x14ac:dyDescent="0.2">
      <c r="A230">
        <v>228</v>
      </c>
    </row>
    <row r="231" spans="1:1" x14ac:dyDescent="0.2">
      <c r="A231">
        <v>229</v>
      </c>
    </row>
    <row r="232" spans="1:1" x14ac:dyDescent="0.2">
      <c r="A232">
        <v>230</v>
      </c>
    </row>
    <row r="233" spans="1:1" x14ac:dyDescent="0.2">
      <c r="A233">
        <v>231</v>
      </c>
    </row>
    <row r="234" spans="1:1" x14ac:dyDescent="0.2">
      <c r="A234">
        <v>232</v>
      </c>
    </row>
    <row r="235" spans="1:1" x14ac:dyDescent="0.2">
      <c r="A235">
        <v>233</v>
      </c>
    </row>
    <row r="236" spans="1:1" x14ac:dyDescent="0.2">
      <c r="A236">
        <v>234</v>
      </c>
    </row>
    <row r="237" spans="1:1" x14ac:dyDescent="0.2">
      <c r="A237">
        <v>235</v>
      </c>
    </row>
    <row r="238" spans="1:1" x14ac:dyDescent="0.2">
      <c r="A238">
        <v>236</v>
      </c>
    </row>
    <row r="239" spans="1:1" x14ac:dyDescent="0.2">
      <c r="A239">
        <v>237</v>
      </c>
    </row>
    <row r="240" spans="1:1" x14ac:dyDescent="0.2">
      <c r="A240">
        <v>238</v>
      </c>
    </row>
    <row r="241" spans="1:1" x14ac:dyDescent="0.2">
      <c r="A241">
        <v>239</v>
      </c>
    </row>
    <row r="242" spans="1:1" x14ac:dyDescent="0.2">
      <c r="A242">
        <v>240</v>
      </c>
    </row>
    <row r="243" spans="1:1" x14ac:dyDescent="0.2">
      <c r="A243">
        <v>241</v>
      </c>
    </row>
    <row r="244" spans="1:1" x14ac:dyDescent="0.2">
      <c r="A244">
        <v>242</v>
      </c>
    </row>
    <row r="245" spans="1:1" x14ac:dyDescent="0.2">
      <c r="A245">
        <v>243</v>
      </c>
    </row>
    <row r="246" spans="1:1" x14ac:dyDescent="0.2">
      <c r="A246">
        <v>244</v>
      </c>
    </row>
    <row r="247" spans="1:1" x14ac:dyDescent="0.2">
      <c r="A247">
        <v>245</v>
      </c>
    </row>
    <row r="248" spans="1:1" x14ac:dyDescent="0.2">
      <c r="A248">
        <v>246</v>
      </c>
    </row>
    <row r="249" spans="1:1" x14ac:dyDescent="0.2">
      <c r="A249">
        <v>247</v>
      </c>
    </row>
    <row r="250" spans="1:1" x14ac:dyDescent="0.2">
      <c r="A250">
        <v>248</v>
      </c>
    </row>
    <row r="251" spans="1:1" x14ac:dyDescent="0.2">
      <c r="A251">
        <v>249</v>
      </c>
    </row>
    <row r="252" spans="1:1" x14ac:dyDescent="0.2">
      <c r="A252">
        <v>250</v>
      </c>
    </row>
    <row r="253" spans="1:1" x14ac:dyDescent="0.2">
      <c r="A253">
        <v>251</v>
      </c>
    </row>
    <row r="254" spans="1:1" x14ac:dyDescent="0.2">
      <c r="A254">
        <v>252</v>
      </c>
    </row>
    <row r="255" spans="1:1" x14ac:dyDescent="0.2">
      <c r="A255">
        <v>253</v>
      </c>
    </row>
    <row r="256" spans="1:1" x14ac:dyDescent="0.2">
      <c r="A256">
        <v>254</v>
      </c>
    </row>
    <row r="257" spans="1:1" x14ac:dyDescent="0.2">
      <c r="A257">
        <v>255</v>
      </c>
    </row>
    <row r="258" spans="1:1" x14ac:dyDescent="0.2">
      <c r="A258">
        <v>256</v>
      </c>
    </row>
    <row r="259" spans="1:1" x14ac:dyDescent="0.2">
      <c r="A259">
        <v>257</v>
      </c>
    </row>
    <row r="260" spans="1:1" x14ac:dyDescent="0.2">
      <c r="A260">
        <v>258</v>
      </c>
    </row>
    <row r="261" spans="1:1" x14ac:dyDescent="0.2">
      <c r="A261">
        <v>259</v>
      </c>
    </row>
    <row r="262" spans="1:1" x14ac:dyDescent="0.2">
      <c r="A262">
        <v>260</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workbookViewId="0">
      <selection activeCell="B5" sqref="B5"/>
    </sheetView>
  </sheetViews>
  <sheetFormatPr defaultRowHeight="14.25" x14ac:dyDescent="0.2"/>
  <cols>
    <col min="2" max="2" width="129.125" customWidth="1"/>
  </cols>
  <sheetData>
    <row r="2" spans="2:17" ht="15" x14ac:dyDescent="0.25">
      <c r="B2" s="284" t="str">
        <f>"Demand and capacity analysis notes for "&amp;Setup!C5&amp;", "&amp;Setup!C7</f>
        <v>Demand and capacity analysis notes for A. N. Other Trust, Test Service</v>
      </c>
    </row>
    <row r="4" spans="2:17" x14ac:dyDescent="0.2">
      <c r="B4" s="151"/>
      <c r="C4" s="67"/>
      <c r="D4" s="67"/>
      <c r="E4" s="67"/>
      <c r="F4" s="67"/>
      <c r="G4" s="67"/>
      <c r="H4" s="67"/>
      <c r="I4" s="67"/>
      <c r="J4" s="67"/>
      <c r="K4" s="67"/>
      <c r="L4" s="67"/>
      <c r="M4" s="67"/>
      <c r="N4" s="67"/>
      <c r="O4" s="67"/>
      <c r="P4" s="67"/>
      <c r="Q4" s="67"/>
    </row>
    <row r="5" spans="2:17" s="1" customFormat="1" ht="15" x14ac:dyDescent="0.2">
      <c r="B5" s="321"/>
    </row>
    <row r="6" spans="2:17" s="1" customFormat="1" x14ac:dyDescent="0.2">
      <c r="B6" s="318"/>
    </row>
    <row r="7" spans="2:17" s="1" customFormat="1" ht="15" x14ac:dyDescent="0.2">
      <c r="B7" s="322"/>
    </row>
    <row r="8" spans="2:17" s="1" customFormat="1" x14ac:dyDescent="0.2">
      <c r="B8" s="318"/>
    </row>
    <row r="9" spans="2:17" s="1" customFormat="1" x14ac:dyDescent="0.2">
      <c r="B9" s="318"/>
    </row>
    <row r="10" spans="2:17" s="1" customFormat="1" ht="15" x14ac:dyDescent="0.2">
      <c r="B10" s="322"/>
    </row>
    <row r="11" spans="2:17" s="1" customFormat="1" x14ac:dyDescent="0.2">
      <c r="B11" s="318"/>
    </row>
    <row r="12" spans="2:17" s="1" customFormat="1" x14ac:dyDescent="0.2">
      <c r="B12" s="318"/>
    </row>
    <row r="13" spans="2:17" s="1" customFormat="1" ht="15" x14ac:dyDescent="0.2">
      <c r="B13" s="322"/>
    </row>
    <row r="14" spans="2:17" s="1" customFormat="1" x14ac:dyDescent="0.2">
      <c r="B14" s="318"/>
    </row>
    <row r="15" spans="2:17" s="1" customFormat="1" x14ac:dyDescent="0.2">
      <c r="B15" s="318"/>
    </row>
    <row r="16" spans="2:17" s="1" customFormat="1" x14ac:dyDescent="0.2">
      <c r="B16" s="318"/>
    </row>
    <row r="17" spans="2:2" s="1" customFormat="1" x14ac:dyDescent="0.2">
      <c r="B17" s="318"/>
    </row>
    <row r="18" spans="2:2" s="1" customFormat="1" x14ac:dyDescent="0.2">
      <c r="B18" s="318"/>
    </row>
    <row r="19" spans="2:2" s="1" customFormat="1" x14ac:dyDescent="0.2">
      <c r="B19" s="318"/>
    </row>
    <row r="20" spans="2:2" s="1" customFormat="1" x14ac:dyDescent="0.2">
      <c r="B20" s="318"/>
    </row>
    <row r="21" spans="2:2" s="1" customFormat="1" x14ac:dyDescent="0.2">
      <c r="B21" s="318"/>
    </row>
    <row r="22" spans="2:2" s="1" customFormat="1" x14ac:dyDescent="0.2">
      <c r="B22" s="318"/>
    </row>
    <row r="23" spans="2:2" s="1" customFormat="1" x14ac:dyDescent="0.2">
      <c r="B23" s="318"/>
    </row>
    <row r="24" spans="2:2" s="1" customFormat="1" x14ac:dyDescent="0.2">
      <c r="B24" s="318"/>
    </row>
    <row r="25" spans="2:2" s="1" customFormat="1" x14ac:dyDescent="0.2">
      <c r="B25" s="318"/>
    </row>
    <row r="26" spans="2:2" s="1" customFormat="1" x14ac:dyDescent="0.2">
      <c r="B26" s="318"/>
    </row>
    <row r="27" spans="2:2" s="1" customFormat="1" x14ac:dyDescent="0.2">
      <c r="B27" s="318"/>
    </row>
    <row r="28" spans="2:2" s="1" customFormat="1" x14ac:dyDescent="0.2">
      <c r="B28" s="318"/>
    </row>
    <row r="29" spans="2:2" s="1" customFormat="1" x14ac:dyDescent="0.2">
      <c r="B29" s="318"/>
    </row>
    <row r="30" spans="2:2" s="1" customFormat="1" x14ac:dyDescent="0.2">
      <c r="B30" s="318"/>
    </row>
    <row r="31" spans="2:2" s="1" customFormat="1" x14ac:dyDescent="0.2">
      <c r="B31" s="318"/>
    </row>
    <row r="32" spans="2:2" s="1" customFormat="1" x14ac:dyDescent="0.2">
      <c r="B32" s="318"/>
    </row>
    <row r="33" spans="2:17" s="1" customFormat="1" x14ac:dyDescent="0.2">
      <c r="B33" s="318"/>
    </row>
    <row r="34" spans="2:17" s="1" customFormat="1" x14ac:dyDescent="0.2">
      <c r="B34" s="318"/>
    </row>
    <row r="35" spans="2:17" s="1" customFormat="1" x14ac:dyDescent="0.2">
      <c r="B35" s="318"/>
    </row>
    <row r="36" spans="2:17" s="1" customFormat="1" x14ac:dyDescent="0.2">
      <c r="B36" s="318"/>
    </row>
    <row r="37" spans="2:17" s="1" customFormat="1" x14ac:dyDescent="0.2">
      <c r="B37" s="318"/>
    </row>
    <row r="38" spans="2:17" s="1" customFormat="1" x14ac:dyDescent="0.2">
      <c r="B38" s="318"/>
    </row>
    <row r="39" spans="2:17" s="1" customFormat="1" x14ac:dyDescent="0.2">
      <c r="B39" s="318"/>
    </row>
    <row r="40" spans="2:17" s="1" customFormat="1" x14ac:dyDescent="0.2">
      <c r="B40" s="318"/>
    </row>
    <row r="41" spans="2:17" s="1" customFormat="1" x14ac:dyDescent="0.2">
      <c r="B41" s="318"/>
    </row>
    <row r="42" spans="2:17" s="1" customFormat="1" x14ac:dyDescent="0.2">
      <c r="B42" s="318"/>
    </row>
    <row r="43" spans="2:17" s="1" customFormat="1" x14ac:dyDescent="0.2">
      <c r="B43" s="318"/>
    </row>
    <row r="44" spans="2:17" x14ac:dyDescent="0.2">
      <c r="B44" s="318"/>
      <c r="C44" s="67"/>
      <c r="D44" s="67"/>
      <c r="E44" s="67"/>
      <c r="F44" s="67"/>
      <c r="G44" s="67"/>
      <c r="H44" s="67"/>
      <c r="I44" s="67"/>
      <c r="J44" s="67"/>
      <c r="K44" s="67"/>
      <c r="L44" s="67"/>
      <c r="M44" s="67"/>
      <c r="N44" s="67"/>
      <c r="O44" s="67"/>
      <c r="P44" s="67"/>
      <c r="Q44" s="67"/>
    </row>
    <row r="45" spans="2:17" x14ac:dyDescent="0.2">
      <c r="B45" s="318"/>
    </row>
    <row r="46" spans="2:17" x14ac:dyDescent="0.2">
      <c r="B46" s="318"/>
    </row>
    <row r="47" spans="2:17" x14ac:dyDescent="0.2">
      <c r="B47" s="318"/>
    </row>
    <row r="48" spans="2:17" x14ac:dyDescent="0.2">
      <c r="B48" s="318"/>
    </row>
    <row r="49" spans="2:2" x14ac:dyDescent="0.2">
      <c r="B49" s="318"/>
    </row>
    <row r="50" spans="2:2" x14ac:dyDescent="0.2">
      <c r="B50" s="318"/>
    </row>
    <row r="51" spans="2:2" x14ac:dyDescent="0.2">
      <c r="B51" s="318"/>
    </row>
    <row r="52" spans="2:2" x14ac:dyDescent="0.2">
      <c r="B52" s="318"/>
    </row>
    <row r="53" spans="2:2" x14ac:dyDescent="0.2">
      <c r="B53" s="318"/>
    </row>
    <row r="54" spans="2:2" x14ac:dyDescent="0.2">
      <c r="B54" s="318"/>
    </row>
    <row r="55" spans="2:2" x14ac:dyDescent="0.2">
      <c r="B55" s="318"/>
    </row>
    <row r="56" spans="2:2" x14ac:dyDescent="0.2">
      <c r="B56" s="318"/>
    </row>
    <row r="57" spans="2:2" x14ac:dyDescent="0.2">
      <c r="B57" s="316"/>
    </row>
    <row r="58" spans="2:2" x14ac:dyDescent="0.2">
      <c r="B58" s="316"/>
    </row>
    <row r="59" spans="2:2" x14ac:dyDescent="0.2">
      <c r="B59" s="316"/>
    </row>
    <row r="60" spans="2:2" x14ac:dyDescent="0.2">
      <c r="B60" s="316"/>
    </row>
    <row r="61" spans="2:2" x14ac:dyDescent="0.2">
      <c r="B61" s="316"/>
    </row>
    <row r="62" spans="2:2" x14ac:dyDescent="0.2">
      <c r="B62" s="316"/>
    </row>
    <row r="63" spans="2:2" x14ac:dyDescent="0.2">
      <c r="B63" s="316"/>
    </row>
    <row r="64" spans="2:2" x14ac:dyDescent="0.2">
      <c r="B64" s="316"/>
    </row>
    <row r="65" spans="2:2" x14ac:dyDescent="0.2">
      <c r="B65" s="316"/>
    </row>
    <row r="66" spans="2:2" x14ac:dyDescent="0.2">
      <c r="B66" s="316"/>
    </row>
    <row r="67" spans="2:2" x14ac:dyDescent="0.2">
      <c r="B67" s="316"/>
    </row>
    <row r="68" spans="2:2" x14ac:dyDescent="0.2">
      <c r="B68" s="316"/>
    </row>
    <row r="69" spans="2:2" x14ac:dyDescent="0.2">
      <c r="B69" s="316"/>
    </row>
    <row r="70" spans="2:2" x14ac:dyDescent="0.2">
      <c r="B70" s="316"/>
    </row>
    <row r="71" spans="2:2" x14ac:dyDescent="0.2">
      <c r="B71" s="316"/>
    </row>
    <row r="72" spans="2:2" x14ac:dyDescent="0.2">
      <c r="B72" s="316"/>
    </row>
    <row r="73" spans="2:2" x14ac:dyDescent="0.2">
      <c r="B73" s="316"/>
    </row>
    <row r="74" spans="2:2" x14ac:dyDescent="0.2">
      <c r="B74" s="316"/>
    </row>
    <row r="75" spans="2:2" x14ac:dyDescent="0.2">
      <c r="B75" s="316"/>
    </row>
    <row r="76" spans="2:2" x14ac:dyDescent="0.2">
      <c r="B76" s="316"/>
    </row>
    <row r="77" spans="2:2" x14ac:dyDescent="0.2">
      <c r="B77" s="316"/>
    </row>
    <row r="78" spans="2:2" x14ac:dyDescent="0.2">
      <c r="B78" s="316"/>
    </row>
    <row r="79" spans="2:2" x14ac:dyDescent="0.2">
      <c r="B79" s="316"/>
    </row>
    <row r="80" spans="2:2" x14ac:dyDescent="0.2">
      <c r="B80" s="316"/>
    </row>
    <row r="81" spans="2:2" x14ac:dyDescent="0.2">
      <c r="B81" s="316"/>
    </row>
    <row r="82" spans="2:2" x14ac:dyDescent="0.2">
      <c r="B82" s="316"/>
    </row>
    <row r="83" spans="2:2" x14ac:dyDescent="0.2">
      <c r="B83" s="316"/>
    </row>
    <row r="84" spans="2:2" x14ac:dyDescent="0.2">
      <c r="B84" s="316"/>
    </row>
    <row r="85" spans="2:2" x14ac:dyDescent="0.2">
      <c r="B85" s="316"/>
    </row>
    <row r="86" spans="2:2" x14ac:dyDescent="0.2">
      <c r="B86" s="316"/>
    </row>
    <row r="87" spans="2:2" x14ac:dyDescent="0.2">
      <c r="B87" s="316"/>
    </row>
    <row r="88" spans="2:2" x14ac:dyDescent="0.2">
      <c r="B88" s="316"/>
    </row>
    <row r="89" spans="2:2" x14ac:dyDescent="0.2">
      <c r="B89" s="316"/>
    </row>
    <row r="90" spans="2:2" x14ac:dyDescent="0.2">
      <c r="B90" s="316"/>
    </row>
    <row r="91" spans="2:2" x14ac:dyDescent="0.2">
      <c r="B91" s="316"/>
    </row>
    <row r="92" spans="2:2" x14ac:dyDescent="0.2">
      <c r="B92" s="316"/>
    </row>
    <row r="93" spans="2:2" x14ac:dyDescent="0.2">
      <c r="B93" s="316"/>
    </row>
    <row r="94" spans="2:2" x14ac:dyDescent="0.2">
      <c r="B94" s="316"/>
    </row>
    <row r="95" spans="2:2" x14ac:dyDescent="0.2">
      <c r="B95" s="316"/>
    </row>
    <row r="96" spans="2:2" x14ac:dyDescent="0.2">
      <c r="B96" s="316"/>
    </row>
    <row r="97" spans="2:2" x14ac:dyDescent="0.2">
      <c r="B97" s="316"/>
    </row>
    <row r="98" spans="2:2" x14ac:dyDescent="0.2">
      <c r="B98" s="316"/>
    </row>
    <row r="99" spans="2:2" x14ac:dyDescent="0.2">
      <c r="B99" s="316"/>
    </row>
    <row r="100" spans="2:2" x14ac:dyDescent="0.2">
      <c r="B100" s="316"/>
    </row>
    <row r="101" spans="2:2" x14ac:dyDescent="0.2">
      <c r="B101" s="316"/>
    </row>
    <row r="102" spans="2:2" x14ac:dyDescent="0.2">
      <c r="B102" s="316"/>
    </row>
    <row r="103" spans="2:2" x14ac:dyDescent="0.2">
      <c r="B103" s="316"/>
    </row>
    <row r="104" spans="2:2" x14ac:dyDescent="0.2">
      <c r="B104" s="316"/>
    </row>
    <row r="105" spans="2:2" x14ac:dyDescent="0.2">
      <c r="B105" s="316"/>
    </row>
    <row r="106" spans="2:2" x14ac:dyDescent="0.2">
      <c r="B106" s="316"/>
    </row>
    <row r="107" spans="2:2" x14ac:dyDescent="0.2">
      <c r="B107" s="316"/>
    </row>
    <row r="108" spans="2:2" x14ac:dyDescent="0.2">
      <c r="B108" s="316"/>
    </row>
    <row r="109" spans="2:2" x14ac:dyDescent="0.2">
      <c r="B109" s="319"/>
    </row>
    <row r="110" spans="2:2" x14ac:dyDescent="0.2">
      <c r="B110" s="319"/>
    </row>
    <row r="111" spans="2:2" x14ac:dyDescent="0.2">
      <c r="B111" s="319"/>
    </row>
    <row r="112" spans="2:2" x14ac:dyDescent="0.2">
      <c r="B112" s="319"/>
    </row>
    <row r="113" spans="2:2" x14ac:dyDescent="0.2">
      <c r="B113" s="319"/>
    </row>
    <row r="114" spans="2:2" x14ac:dyDescent="0.2">
      <c r="B114" s="319"/>
    </row>
    <row r="115" spans="2:2" x14ac:dyDescent="0.2">
      <c r="B115" s="319"/>
    </row>
    <row r="116" spans="2:2" x14ac:dyDescent="0.2">
      <c r="B116" s="319"/>
    </row>
    <row r="117" spans="2:2" x14ac:dyDescent="0.2">
      <c r="B117" s="319"/>
    </row>
    <row r="118" spans="2:2" x14ac:dyDescent="0.2">
      <c r="B118" s="319"/>
    </row>
    <row r="119" spans="2:2" x14ac:dyDescent="0.2">
      <c r="B119" s="319"/>
    </row>
    <row r="120" spans="2:2" x14ac:dyDescent="0.2">
      <c r="B120" s="319"/>
    </row>
    <row r="121" spans="2:2" x14ac:dyDescent="0.2">
      <c r="B121" s="319"/>
    </row>
    <row r="122" spans="2:2" x14ac:dyDescent="0.2">
      <c r="B122" s="319"/>
    </row>
    <row r="123" spans="2:2" x14ac:dyDescent="0.2">
      <c r="B123" s="319"/>
    </row>
    <row r="124" spans="2:2" x14ac:dyDescent="0.2">
      <c r="B124" s="319"/>
    </row>
    <row r="125" spans="2:2" x14ac:dyDescent="0.2">
      <c r="B125" s="319"/>
    </row>
    <row r="126" spans="2:2" x14ac:dyDescent="0.2">
      <c r="B126" s="319"/>
    </row>
    <row r="127" spans="2:2" x14ac:dyDescent="0.2">
      <c r="B127" s="319"/>
    </row>
    <row r="128" spans="2:2" x14ac:dyDescent="0.2">
      <c r="B128" s="319"/>
    </row>
    <row r="129" spans="2:2" x14ac:dyDescent="0.2">
      <c r="B129" s="319"/>
    </row>
    <row r="130" spans="2:2" x14ac:dyDescent="0.2">
      <c r="B130" s="319"/>
    </row>
    <row r="131" spans="2:2" x14ac:dyDescent="0.2">
      <c r="B131" s="319"/>
    </row>
    <row r="132" spans="2:2" x14ac:dyDescent="0.2">
      <c r="B132" s="319"/>
    </row>
    <row r="133" spans="2:2" x14ac:dyDescent="0.2">
      <c r="B133" s="319"/>
    </row>
    <row r="134" spans="2:2" x14ac:dyDescent="0.2">
      <c r="B134" s="319"/>
    </row>
    <row r="135" spans="2:2" x14ac:dyDescent="0.2">
      <c r="B135" s="319"/>
    </row>
    <row r="136" spans="2:2" x14ac:dyDescent="0.2">
      <c r="B136" s="319"/>
    </row>
    <row r="137" spans="2:2" x14ac:dyDescent="0.2">
      <c r="B137" s="319"/>
    </row>
    <row r="138" spans="2:2" x14ac:dyDescent="0.2">
      <c r="B138" s="319"/>
    </row>
    <row r="139" spans="2:2" x14ac:dyDescent="0.2">
      <c r="B139" s="319"/>
    </row>
    <row r="140" spans="2:2" x14ac:dyDescent="0.2">
      <c r="B140" s="319"/>
    </row>
    <row r="141" spans="2:2" x14ac:dyDescent="0.2">
      <c r="B141" s="319"/>
    </row>
    <row r="142" spans="2:2" x14ac:dyDescent="0.2">
      <c r="B142" s="319"/>
    </row>
    <row r="143" spans="2:2" x14ac:dyDescent="0.2">
      <c r="B143" s="319"/>
    </row>
    <row r="144" spans="2:2" x14ac:dyDescent="0.2">
      <c r="B144" s="319"/>
    </row>
    <row r="145" spans="2:2" x14ac:dyDescent="0.2">
      <c r="B145" s="319"/>
    </row>
    <row r="146" spans="2:2" x14ac:dyDescent="0.2">
      <c r="B146" s="319"/>
    </row>
    <row r="147" spans="2:2" x14ac:dyDescent="0.2">
      <c r="B147" s="319"/>
    </row>
    <row r="148" spans="2:2" x14ac:dyDescent="0.2">
      <c r="B148" s="319"/>
    </row>
    <row r="149" spans="2:2" x14ac:dyDescent="0.2">
      <c r="B149" s="319"/>
    </row>
    <row r="150" spans="2:2" x14ac:dyDescent="0.2">
      <c r="B150" s="319"/>
    </row>
    <row r="151" spans="2:2" x14ac:dyDescent="0.2">
      <c r="B151" s="319"/>
    </row>
    <row r="152" spans="2:2" x14ac:dyDescent="0.2">
      <c r="B152" s="319"/>
    </row>
    <row r="153" spans="2:2" x14ac:dyDescent="0.2">
      <c r="B153" s="319"/>
    </row>
    <row r="154" spans="2:2" x14ac:dyDescent="0.2">
      <c r="B154" s="319"/>
    </row>
    <row r="155" spans="2:2" x14ac:dyDescent="0.2">
      <c r="B155" s="319"/>
    </row>
    <row r="156" spans="2:2" x14ac:dyDescent="0.2">
      <c r="B156" s="319"/>
    </row>
    <row r="157" spans="2:2" x14ac:dyDescent="0.2">
      <c r="B157" s="319"/>
    </row>
    <row r="158" spans="2:2" x14ac:dyDescent="0.2">
      <c r="B158" s="319"/>
    </row>
    <row r="159" spans="2:2" x14ac:dyDescent="0.2">
      <c r="B159" s="319"/>
    </row>
    <row r="160" spans="2:2" x14ac:dyDescent="0.2">
      <c r="B160" s="319"/>
    </row>
    <row r="161" spans="2:2" x14ac:dyDescent="0.2">
      <c r="B161" s="319"/>
    </row>
    <row r="162" spans="2:2" x14ac:dyDescent="0.2">
      <c r="B162" s="319"/>
    </row>
    <row r="163" spans="2:2" x14ac:dyDescent="0.2">
      <c r="B163" s="319"/>
    </row>
    <row r="164" spans="2:2" x14ac:dyDescent="0.2">
      <c r="B164" s="319"/>
    </row>
    <row r="165" spans="2:2" x14ac:dyDescent="0.2">
      <c r="B165" s="319"/>
    </row>
    <row r="166" spans="2:2" x14ac:dyDescent="0.2">
      <c r="B166" s="319"/>
    </row>
    <row r="167" spans="2:2" x14ac:dyDescent="0.2">
      <c r="B167" s="319"/>
    </row>
    <row r="168" spans="2:2" x14ac:dyDescent="0.2">
      <c r="B168" s="319"/>
    </row>
    <row r="169" spans="2:2" x14ac:dyDescent="0.2">
      <c r="B169" s="319"/>
    </row>
    <row r="170" spans="2:2" x14ac:dyDescent="0.2">
      <c r="B170" s="319"/>
    </row>
    <row r="171" spans="2:2" x14ac:dyDescent="0.2">
      <c r="B171" s="319"/>
    </row>
    <row r="172" spans="2:2" x14ac:dyDescent="0.2">
      <c r="B172" s="319"/>
    </row>
    <row r="173" spans="2:2" x14ac:dyDescent="0.2">
      <c r="B173" s="319"/>
    </row>
    <row r="174" spans="2:2" x14ac:dyDescent="0.2">
      <c r="B174" s="319"/>
    </row>
    <row r="175" spans="2:2" x14ac:dyDescent="0.2">
      <c r="B175" s="319"/>
    </row>
    <row r="176" spans="2:2" x14ac:dyDescent="0.2">
      <c r="B176" s="319"/>
    </row>
    <row r="177" spans="2:2" x14ac:dyDescent="0.2">
      <c r="B177" s="319"/>
    </row>
    <row r="178" spans="2:2" x14ac:dyDescent="0.2">
      <c r="B178" s="319"/>
    </row>
    <row r="179" spans="2:2" x14ac:dyDescent="0.2">
      <c r="B179" s="319"/>
    </row>
    <row r="180" spans="2:2" x14ac:dyDescent="0.2">
      <c r="B180" s="319"/>
    </row>
    <row r="181" spans="2:2" x14ac:dyDescent="0.2">
      <c r="B181" s="319"/>
    </row>
    <row r="182" spans="2:2" x14ac:dyDescent="0.2">
      <c r="B182" s="319"/>
    </row>
    <row r="183" spans="2:2" x14ac:dyDescent="0.2">
      <c r="B183" s="319"/>
    </row>
    <row r="184" spans="2:2" x14ac:dyDescent="0.2">
      <c r="B184" s="319"/>
    </row>
    <row r="185" spans="2:2" x14ac:dyDescent="0.2">
      <c r="B185" s="319"/>
    </row>
    <row r="186" spans="2:2" x14ac:dyDescent="0.2">
      <c r="B186" s="319"/>
    </row>
    <row r="187" spans="2:2" x14ac:dyDescent="0.2">
      <c r="B187" s="319"/>
    </row>
    <row r="188" spans="2:2" x14ac:dyDescent="0.2">
      <c r="B188" s="319"/>
    </row>
    <row r="189" spans="2:2" x14ac:dyDescent="0.2">
      <c r="B189" s="319"/>
    </row>
    <row r="190" spans="2:2" x14ac:dyDescent="0.2">
      <c r="B190" s="319"/>
    </row>
    <row r="191" spans="2:2" x14ac:dyDescent="0.2">
      <c r="B191" s="319"/>
    </row>
    <row r="192" spans="2:2" x14ac:dyDescent="0.2">
      <c r="B192" s="319"/>
    </row>
    <row r="193" spans="2:2" x14ac:dyDescent="0.2">
      <c r="B193" s="319"/>
    </row>
    <row r="194" spans="2:2" x14ac:dyDescent="0.2">
      <c r="B194" s="319"/>
    </row>
    <row r="195" spans="2:2" x14ac:dyDescent="0.2">
      <c r="B195" s="319"/>
    </row>
    <row r="196" spans="2:2" x14ac:dyDescent="0.2">
      <c r="B196" s="319"/>
    </row>
    <row r="197" spans="2:2" x14ac:dyDescent="0.2">
      <c r="B197" s="319"/>
    </row>
    <row r="198" spans="2:2" x14ac:dyDescent="0.2">
      <c r="B198" s="319"/>
    </row>
    <row r="199" spans="2:2" x14ac:dyDescent="0.2">
      <c r="B199" s="319"/>
    </row>
    <row r="200" spans="2:2" x14ac:dyDescent="0.2">
      <c r="B200" s="319"/>
    </row>
    <row r="201" spans="2:2" x14ac:dyDescent="0.2">
      <c r="B201" s="319"/>
    </row>
    <row r="202" spans="2:2" x14ac:dyDescent="0.2">
      <c r="B202" s="319"/>
    </row>
    <row r="203" spans="2:2" x14ac:dyDescent="0.2">
      <c r="B203" s="319"/>
    </row>
    <row r="204" spans="2:2" x14ac:dyDescent="0.2">
      <c r="B204" s="319"/>
    </row>
    <row r="205" spans="2:2" x14ac:dyDescent="0.2">
      <c r="B205" s="319"/>
    </row>
    <row r="206" spans="2:2" x14ac:dyDescent="0.2">
      <c r="B206" s="319"/>
    </row>
    <row r="207" spans="2:2" x14ac:dyDescent="0.2">
      <c r="B207" s="319"/>
    </row>
    <row r="208" spans="2:2" x14ac:dyDescent="0.2">
      <c r="B208" s="319"/>
    </row>
    <row r="209" spans="2:2" x14ac:dyDescent="0.2">
      <c r="B209" s="319"/>
    </row>
    <row r="210" spans="2:2" x14ac:dyDescent="0.2">
      <c r="B210" s="319"/>
    </row>
    <row r="211" spans="2:2" x14ac:dyDescent="0.2">
      <c r="B211" s="319"/>
    </row>
    <row r="212" spans="2:2" x14ac:dyDescent="0.2">
      <c r="B212" s="319"/>
    </row>
    <row r="213" spans="2:2" x14ac:dyDescent="0.2">
      <c r="B213" s="319"/>
    </row>
    <row r="214" spans="2:2" x14ac:dyDescent="0.2">
      <c r="B214" s="319"/>
    </row>
    <row r="215" spans="2:2" x14ac:dyDescent="0.2">
      <c r="B215" s="319"/>
    </row>
    <row r="216" spans="2:2" x14ac:dyDescent="0.2">
      <c r="B216" s="319"/>
    </row>
    <row r="217" spans="2:2" x14ac:dyDescent="0.2">
      <c r="B217" s="319"/>
    </row>
    <row r="218" spans="2:2" x14ac:dyDescent="0.2">
      <c r="B218" s="319"/>
    </row>
    <row r="219" spans="2:2" x14ac:dyDescent="0.2">
      <c r="B219" s="319"/>
    </row>
    <row r="220" spans="2:2" x14ac:dyDescent="0.2">
      <c r="B220" s="319"/>
    </row>
    <row r="221" spans="2:2" x14ac:dyDescent="0.2">
      <c r="B221" s="319"/>
    </row>
    <row r="222" spans="2:2" x14ac:dyDescent="0.2">
      <c r="B222" s="319"/>
    </row>
    <row r="223" spans="2:2" x14ac:dyDescent="0.2">
      <c r="B223" s="319"/>
    </row>
    <row r="224" spans="2:2" x14ac:dyDescent="0.2">
      <c r="B224" s="319"/>
    </row>
    <row r="225" spans="2:2" x14ac:dyDescent="0.2">
      <c r="B225" s="319"/>
    </row>
    <row r="226" spans="2:2" x14ac:dyDescent="0.2">
      <c r="B226" s="319"/>
    </row>
    <row r="227" spans="2:2" x14ac:dyDescent="0.2">
      <c r="B227" s="319"/>
    </row>
    <row r="228" spans="2:2" x14ac:dyDescent="0.2">
      <c r="B228" s="319"/>
    </row>
    <row r="229" spans="2:2" x14ac:dyDescent="0.2">
      <c r="B229" s="319"/>
    </row>
    <row r="230" spans="2:2" x14ac:dyDescent="0.2">
      <c r="B230" s="319"/>
    </row>
    <row r="231" spans="2:2" x14ac:dyDescent="0.2">
      <c r="B231" s="319"/>
    </row>
    <row r="232" spans="2:2" x14ac:dyDescent="0.2">
      <c r="B232" s="319"/>
    </row>
    <row r="233" spans="2:2" x14ac:dyDescent="0.2">
      <c r="B233" s="319"/>
    </row>
    <row r="234" spans="2:2" x14ac:dyDescent="0.2">
      <c r="B234" s="319"/>
    </row>
    <row r="235" spans="2:2" x14ac:dyDescent="0.2">
      <c r="B235" s="319"/>
    </row>
    <row r="236" spans="2:2" x14ac:dyDescent="0.2">
      <c r="B236" s="319"/>
    </row>
    <row r="237" spans="2:2" x14ac:dyDescent="0.2">
      <c r="B237" s="319"/>
    </row>
    <row r="238" spans="2:2" x14ac:dyDescent="0.2">
      <c r="B238" s="319"/>
    </row>
    <row r="239" spans="2:2" x14ac:dyDescent="0.2">
      <c r="B239" s="319"/>
    </row>
    <row r="240" spans="2:2" x14ac:dyDescent="0.2">
      <c r="B240" s="319"/>
    </row>
    <row r="241" spans="2:2" x14ac:dyDescent="0.2">
      <c r="B241" s="319"/>
    </row>
    <row r="242" spans="2:2" x14ac:dyDescent="0.2">
      <c r="B242" s="319"/>
    </row>
    <row r="243" spans="2:2" x14ac:dyDescent="0.2">
      <c r="B243" s="319"/>
    </row>
    <row r="244" spans="2:2" x14ac:dyDescent="0.2">
      <c r="B244" s="319"/>
    </row>
    <row r="245" spans="2:2" x14ac:dyDescent="0.2">
      <c r="B245" s="319"/>
    </row>
    <row r="246" spans="2:2" x14ac:dyDescent="0.2">
      <c r="B246" s="319"/>
    </row>
    <row r="247" spans="2:2" x14ac:dyDescent="0.2">
      <c r="B247" s="319"/>
    </row>
    <row r="248" spans="2:2" x14ac:dyDescent="0.2">
      <c r="B248" s="319"/>
    </row>
    <row r="249" spans="2:2" x14ac:dyDescent="0.2">
      <c r="B249" s="319"/>
    </row>
    <row r="250" spans="2:2" x14ac:dyDescent="0.2">
      <c r="B250" s="319"/>
    </row>
    <row r="251" spans="2:2" x14ac:dyDescent="0.2">
      <c r="B251" s="319"/>
    </row>
    <row r="252" spans="2:2" x14ac:dyDescent="0.2">
      <c r="B252" s="319"/>
    </row>
    <row r="253" spans="2:2" x14ac:dyDescent="0.2">
      <c r="B253" s="319"/>
    </row>
    <row r="254" spans="2:2" x14ac:dyDescent="0.2">
      <c r="B254" s="319"/>
    </row>
    <row r="255" spans="2:2" x14ac:dyDescent="0.2">
      <c r="B255" s="319"/>
    </row>
    <row r="256" spans="2:2" x14ac:dyDescent="0.2">
      <c r="B256" s="319"/>
    </row>
    <row r="257" spans="2:2" x14ac:dyDescent="0.2">
      <c r="B257" s="319"/>
    </row>
    <row r="258" spans="2:2" x14ac:dyDescent="0.2">
      <c r="B258" s="319"/>
    </row>
    <row r="259" spans="2:2" x14ac:dyDescent="0.2">
      <c r="B259" s="319"/>
    </row>
    <row r="260" spans="2:2" x14ac:dyDescent="0.2">
      <c r="B260" s="319"/>
    </row>
    <row r="261" spans="2:2" x14ac:dyDescent="0.2">
      <c r="B261" s="319"/>
    </row>
    <row r="262" spans="2:2" x14ac:dyDescent="0.2">
      <c r="B262" s="319"/>
    </row>
    <row r="263" spans="2:2" x14ac:dyDescent="0.2">
      <c r="B263" s="319"/>
    </row>
    <row r="264" spans="2:2" x14ac:dyDescent="0.2">
      <c r="B264" s="319"/>
    </row>
    <row r="265" spans="2:2" x14ac:dyDescent="0.2">
      <c r="B265" s="319"/>
    </row>
    <row r="266" spans="2:2" x14ac:dyDescent="0.2">
      <c r="B266" s="319"/>
    </row>
    <row r="267" spans="2:2" x14ac:dyDescent="0.2">
      <c r="B267" s="319"/>
    </row>
    <row r="268" spans="2:2" x14ac:dyDescent="0.2">
      <c r="B268" s="319"/>
    </row>
    <row r="269" spans="2:2" x14ac:dyDescent="0.2">
      <c r="B269" s="319"/>
    </row>
    <row r="270" spans="2:2" x14ac:dyDescent="0.2">
      <c r="B270" s="319"/>
    </row>
    <row r="271" spans="2:2" x14ac:dyDescent="0.2">
      <c r="B271" s="319"/>
    </row>
    <row r="272" spans="2:2" x14ac:dyDescent="0.2">
      <c r="B272" s="319"/>
    </row>
    <row r="273" spans="2:2" x14ac:dyDescent="0.2">
      <c r="B273" s="319"/>
    </row>
    <row r="274" spans="2:2" x14ac:dyDescent="0.2">
      <c r="B274" s="319"/>
    </row>
    <row r="275" spans="2:2" x14ac:dyDescent="0.2">
      <c r="B275" s="319"/>
    </row>
    <row r="276" spans="2:2" x14ac:dyDescent="0.2">
      <c r="B276" s="319"/>
    </row>
    <row r="277" spans="2:2" x14ac:dyDescent="0.2">
      <c r="B277" s="319"/>
    </row>
    <row r="278" spans="2:2" x14ac:dyDescent="0.2">
      <c r="B278" s="319"/>
    </row>
    <row r="279" spans="2:2" x14ac:dyDescent="0.2">
      <c r="B279" s="319"/>
    </row>
    <row r="280" spans="2:2" x14ac:dyDescent="0.2">
      <c r="B280" s="319"/>
    </row>
    <row r="281" spans="2:2" x14ac:dyDescent="0.2">
      <c r="B281" s="319"/>
    </row>
    <row r="282" spans="2:2" x14ac:dyDescent="0.2">
      <c r="B282" s="319"/>
    </row>
    <row r="283" spans="2:2" x14ac:dyDescent="0.2">
      <c r="B283" s="319"/>
    </row>
    <row r="284" spans="2:2" x14ac:dyDescent="0.2">
      <c r="B284" s="319"/>
    </row>
    <row r="285" spans="2:2" x14ac:dyDescent="0.2">
      <c r="B285" s="319"/>
    </row>
    <row r="286" spans="2:2" x14ac:dyDescent="0.2">
      <c r="B286" s="319"/>
    </row>
    <row r="287" spans="2:2" x14ac:dyDescent="0.2">
      <c r="B287" s="319"/>
    </row>
    <row r="288" spans="2:2" x14ac:dyDescent="0.2">
      <c r="B288" s="319"/>
    </row>
    <row r="289" spans="2:2" x14ac:dyDescent="0.2">
      <c r="B289" s="319"/>
    </row>
    <row r="290" spans="2:2" x14ac:dyDescent="0.2">
      <c r="B290" s="319"/>
    </row>
    <row r="291" spans="2:2" x14ac:dyDescent="0.2">
      <c r="B291" s="319"/>
    </row>
    <row r="292" spans="2:2" x14ac:dyDescent="0.2">
      <c r="B292" s="319"/>
    </row>
    <row r="293" spans="2:2" x14ac:dyDescent="0.2">
      <c r="B293" s="319"/>
    </row>
    <row r="294" spans="2:2" x14ac:dyDescent="0.2">
      <c r="B294" s="319"/>
    </row>
    <row r="295" spans="2:2" x14ac:dyDescent="0.2">
      <c r="B295" s="319"/>
    </row>
    <row r="296" spans="2:2" x14ac:dyDescent="0.2">
      <c r="B296" s="319"/>
    </row>
    <row r="297" spans="2:2" x14ac:dyDescent="0.2">
      <c r="B297" s="319"/>
    </row>
    <row r="298" spans="2:2" x14ac:dyDescent="0.2">
      <c r="B298" s="319"/>
    </row>
    <row r="299" spans="2:2" x14ac:dyDescent="0.2">
      <c r="B299" s="319"/>
    </row>
    <row r="300" spans="2:2" x14ac:dyDescent="0.2">
      <c r="B300" s="319"/>
    </row>
    <row r="301" spans="2:2" x14ac:dyDescent="0.2">
      <c r="B301" s="319"/>
    </row>
    <row r="302" spans="2:2" x14ac:dyDescent="0.2">
      <c r="B302" s="319"/>
    </row>
    <row r="303" spans="2:2" x14ac:dyDescent="0.2">
      <c r="B303" s="319"/>
    </row>
    <row r="304" spans="2:2" x14ac:dyDescent="0.2">
      <c r="B304" s="319"/>
    </row>
    <row r="305" spans="2:2" x14ac:dyDescent="0.2">
      <c r="B305" s="319"/>
    </row>
    <row r="306" spans="2:2" x14ac:dyDescent="0.2">
      <c r="B306" s="319"/>
    </row>
    <row r="307" spans="2:2" x14ac:dyDescent="0.2">
      <c r="B307" s="319"/>
    </row>
    <row r="308" spans="2:2" x14ac:dyDescent="0.2">
      <c r="B308" s="319"/>
    </row>
    <row r="309" spans="2:2" x14ac:dyDescent="0.2">
      <c r="B309" s="319"/>
    </row>
    <row r="310" spans="2:2" x14ac:dyDescent="0.2">
      <c r="B310" s="319"/>
    </row>
    <row r="311" spans="2:2" x14ac:dyDescent="0.2">
      <c r="B311" s="319"/>
    </row>
    <row r="312" spans="2:2" x14ac:dyDescent="0.2">
      <c r="B312" s="319"/>
    </row>
    <row r="313" spans="2:2" x14ac:dyDescent="0.2">
      <c r="B313" s="319"/>
    </row>
    <row r="314" spans="2:2" x14ac:dyDescent="0.2">
      <c r="B314" s="319"/>
    </row>
    <row r="315" spans="2:2" x14ac:dyDescent="0.2">
      <c r="B315" s="319"/>
    </row>
    <row r="316" spans="2:2" x14ac:dyDescent="0.2">
      <c r="B316" s="319"/>
    </row>
    <row r="317" spans="2:2" x14ac:dyDescent="0.2">
      <c r="B317" s="319"/>
    </row>
    <row r="318" spans="2:2" x14ac:dyDescent="0.2">
      <c r="B318" s="319"/>
    </row>
    <row r="319" spans="2:2" x14ac:dyDescent="0.2">
      <c r="B319" s="319"/>
    </row>
    <row r="320" spans="2:2" x14ac:dyDescent="0.2">
      <c r="B320" s="319"/>
    </row>
    <row r="321" spans="2:2" x14ac:dyDescent="0.2">
      <c r="B321" s="319"/>
    </row>
    <row r="322" spans="2:2" x14ac:dyDescent="0.2">
      <c r="B322" s="319"/>
    </row>
    <row r="323" spans="2:2" x14ac:dyDescent="0.2">
      <c r="B323" s="319"/>
    </row>
    <row r="324" spans="2:2" x14ac:dyDescent="0.2">
      <c r="B324" s="319"/>
    </row>
    <row r="325" spans="2:2" x14ac:dyDescent="0.2">
      <c r="B325" s="319"/>
    </row>
    <row r="326" spans="2:2" x14ac:dyDescent="0.2">
      <c r="B326" s="319"/>
    </row>
    <row r="327" spans="2:2" x14ac:dyDescent="0.2">
      <c r="B327" s="319"/>
    </row>
    <row r="328" spans="2:2" x14ac:dyDescent="0.2">
      <c r="B328" s="319"/>
    </row>
    <row r="329" spans="2:2" x14ac:dyDescent="0.2">
      <c r="B329" s="319"/>
    </row>
    <row r="330" spans="2:2" x14ac:dyDescent="0.2">
      <c r="B330" s="319"/>
    </row>
    <row r="331" spans="2:2" x14ac:dyDescent="0.2">
      <c r="B331" s="319"/>
    </row>
    <row r="332" spans="2:2" x14ac:dyDescent="0.2">
      <c r="B332" s="319"/>
    </row>
    <row r="333" spans="2:2" x14ac:dyDescent="0.2">
      <c r="B333" s="319"/>
    </row>
    <row r="334" spans="2:2" x14ac:dyDescent="0.2">
      <c r="B334" s="319"/>
    </row>
    <row r="335" spans="2:2" x14ac:dyDescent="0.2">
      <c r="B335" s="319"/>
    </row>
    <row r="336" spans="2:2" x14ac:dyDescent="0.2">
      <c r="B336" s="319"/>
    </row>
    <row r="337" spans="2:2" x14ac:dyDescent="0.2">
      <c r="B337" s="319"/>
    </row>
    <row r="338" spans="2:2" x14ac:dyDescent="0.2">
      <c r="B338" s="319"/>
    </row>
    <row r="339" spans="2:2" x14ac:dyDescent="0.2">
      <c r="B339" s="319"/>
    </row>
    <row r="340" spans="2:2" x14ac:dyDescent="0.2">
      <c r="B340" s="319"/>
    </row>
    <row r="341" spans="2:2" x14ac:dyDescent="0.2">
      <c r="B341" s="319"/>
    </row>
    <row r="342" spans="2:2" x14ac:dyDescent="0.2">
      <c r="B342" s="319"/>
    </row>
    <row r="343" spans="2:2" x14ac:dyDescent="0.2">
      <c r="B343" s="319"/>
    </row>
    <row r="344" spans="2:2" x14ac:dyDescent="0.2">
      <c r="B344" s="319"/>
    </row>
    <row r="345" spans="2:2" x14ac:dyDescent="0.2">
      <c r="B345" s="319"/>
    </row>
    <row r="346" spans="2:2" x14ac:dyDescent="0.2">
      <c r="B346" s="319"/>
    </row>
    <row r="347" spans="2:2" x14ac:dyDescent="0.2">
      <c r="B347" s="319"/>
    </row>
    <row r="348" spans="2:2" x14ac:dyDescent="0.2">
      <c r="B348" s="319"/>
    </row>
    <row r="349" spans="2:2" x14ac:dyDescent="0.2">
      <c r="B349" s="319"/>
    </row>
    <row r="350" spans="2:2" x14ac:dyDescent="0.2">
      <c r="B350" s="319"/>
    </row>
    <row r="351" spans="2:2" x14ac:dyDescent="0.2">
      <c r="B351" s="319"/>
    </row>
    <row r="352" spans="2:2" x14ac:dyDescent="0.2">
      <c r="B352" s="319"/>
    </row>
    <row r="353" spans="2:2" x14ac:dyDescent="0.2">
      <c r="B353" s="319"/>
    </row>
    <row r="354" spans="2:2" x14ac:dyDescent="0.2">
      <c r="B354" s="319"/>
    </row>
    <row r="355" spans="2:2" x14ac:dyDescent="0.2">
      <c r="B355" s="319"/>
    </row>
    <row r="356" spans="2:2" x14ac:dyDescent="0.2">
      <c r="B356" s="319"/>
    </row>
    <row r="357" spans="2:2" x14ac:dyDescent="0.2">
      <c r="B357" s="319"/>
    </row>
    <row r="358" spans="2:2" x14ac:dyDescent="0.2">
      <c r="B358" s="319"/>
    </row>
    <row r="359" spans="2:2" x14ac:dyDescent="0.2">
      <c r="B359" s="319"/>
    </row>
    <row r="360" spans="2:2" x14ac:dyDescent="0.2">
      <c r="B360" s="319"/>
    </row>
    <row r="361" spans="2:2" x14ac:dyDescent="0.2">
      <c r="B361" s="319"/>
    </row>
    <row r="362" spans="2:2" x14ac:dyDescent="0.2">
      <c r="B362" s="319"/>
    </row>
    <row r="363" spans="2:2" x14ac:dyDescent="0.2">
      <c r="B363" s="319"/>
    </row>
    <row r="364" spans="2:2" x14ac:dyDescent="0.2">
      <c r="B364" s="319"/>
    </row>
    <row r="365" spans="2:2" x14ac:dyDescent="0.2">
      <c r="B365" s="319"/>
    </row>
    <row r="366" spans="2:2" x14ac:dyDescent="0.2">
      <c r="B366" s="319"/>
    </row>
    <row r="367" spans="2:2" x14ac:dyDescent="0.2">
      <c r="B367" s="319"/>
    </row>
    <row r="368" spans="2:2" x14ac:dyDescent="0.2">
      <c r="B368" s="319"/>
    </row>
    <row r="369" spans="2:2" x14ac:dyDescent="0.2">
      <c r="B369" s="319"/>
    </row>
    <row r="370" spans="2:2" x14ac:dyDescent="0.2">
      <c r="B370" s="319"/>
    </row>
    <row r="371" spans="2:2" x14ac:dyDescent="0.2">
      <c r="B371" s="319"/>
    </row>
    <row r="372" spans="2:2" x14ac:dyDescent="0.2">
      <c r="B372" s="319"/>
    </row>
    <row r="373" spans="2:2" x14ac:dyDescent="0.2">
      <c r="B373" s="319"/>
    </row>
    <row r="374" spans="2:2" x14ac:dyDescent="0.2">
      <c r="B374" s="319"/>
    </row>
    <row r="375" spans="2:2" x14ac:dyDescent="0.2">
      <c r="B375" s="319"/>
    </row>
    <row r="376" spans="2:2" x14ac:dyDescent="0.2">
      <c r="B376" s="319"/>
    </row>
    <row r="377" spans="2:2" x14ac:dyDescent="0.2">
      <c r="B377" s="319"/>
    </row>
    <row r="378" spans="2:2" x14ac:dyDescent="0.2">
      <c r="B378" s="319"/>
    </row>
    <row r="379" spans="2:2" x14ac:dyDescent="0.2">
      <c r="B379" s="319"/>
    </row>
    <row r="380" spans="2:2" x14ac:dyDescent="0.2">
      <c r="B380" s="319"/>
    </row>
    <row r="381" spans="2:2" x14ac:dyDescent="0.2">
      <c r="B381" s="319"/>
    </row>
    <row r="382" spans="2:2" x14ac:dyDescent="0.2">
      <c r="B382" s="319"/>
    </row>
    <row r="383" spans="2:2" x14ac:dyDescent="0.2">
      <c r="B383" s="319"/>
    </row>
    <row r="384" spans="2:2" x14ac:dyDescent="0.2">
      <c r="B384" s="319"/>
    </row>
    <row r="385" spans="2:2" x14ac:dyDescent="0.2">
      <c r="B385" s="319"/>
    </row>
    <row r="386" spans="2:2" x14ac:dyDescent="0.2">
      <c r="B386" s="319"/>
    </row>
    <row r="387" spans="2:2" x14ac:dyDescent="0.2">
      <c r="B387" s="319"/>
    </row>
    <row r="388" spans="2:2" x14ac:dyDescent="0.2">
      <c r="B388" s="319"/>
    </row>
    <row r="389" spans="2:2" x14ac:dyDescent="0.2">
      <c r="B389" s="319"/>
    </row>
    <row r="390" spans="2:2" x14ac:dyDescent="0.2">
      <c r="B390" s="319"/>
    </row>
    <row r="391" spans="2:2" x14ac:dyDescent="0.2">
      <c r="B391" s="319"/>
    </row>
    <row r="392" spans="2:2" x14ac:dyDescent="0.2">
      <c r="B392" s="319"/>
    </row>
    <row r="393" spans="2:2" x14ac:dyDescent="0.2">
      <c r="B393" s="319"/>
    </row>
    <row r="394" spans="2:2" x14ac:dyDescent="0.2">
      <c r="B394" s="319"/>
    </row>
    <row r="395" spans="2:2" x14ac:dyDescent="0.2">
      <c r="B395" s="319"/>
    </row>
    <row r="396" spans="2:2" x14ac:dyDescent="0.2">
      <c r="B396" s="319"/>
    </row>
    <row r="397" spans="2:2" x14ac:dyDescent="0.2">
      <c r="B397" s="319"/>
    </row>
    <row r="398" spans="2:2" x14ac:dyDescent="0.2">
      <c r="B398" s="319"/>
    </row>
    <row r="399" spans="2:2" x14ac:dyDescent="0.2">
      <c r="B399" s="319"/>
    </row>
    <row r="400" spans="2:2" x14ac:dyDescent="0.2">
      <c r="B400" s="319"/>
    </row>
    <row r="401" spans="2:2" x14ac:dyDescent="0.2">
      <c r="B401" s="319"/>
    </row>
    <row r="402" spans="2:2" x14ac:dyDescent="0.2">
      <c r="B402" s="319"/>
    </row>
    <row r="403" spans="2:2" x14ac:dyDescent="0.2">
      <c r="B403" s="319"/>
    </row>
    <row r="404" spans="2:2" x14ac:dyDescent="0.2">
      <c r="B404" s="319"/>
    </row>
    <row r="405" spans="2:2" x14ac:dyDescent="0.2">
      <c r="B405" s="319"/>
    </row>
    <row r="406" spans="2:2" x14ac:dyDescent="0.2">
      <c r="B406" s="319"/>
    </row>
    <row r="407" spans="2:2" x14ac:dyDescent="0.2">
      <c r="B407" s="319"/>
    </row>
    <row r="408" spans="2:2" x14ac:dyDescent="0.2">
      <c r="B408" s="319"/>
    </row>
    <row r="409" spans="2:2" x14ac:dyDescent="0.2">
      <c r="B409" s="319"/>
    </row>
    <row r="410" spans="2:2" x14ac:dyDescent="0.2">
      <c r="B410" s="319"/>
    </row>
    <row r="411" spans="2:2" x14ac:dyDescent="0.2">
      <c r="B411" s="319"/>
    </row>
    <row r="412" spans="2:2" x14ac:dyDescent="0.2">
      <c r="B412" s="319"/>
    </row>
    <row r="413" spans="2:2" x14ac:dyDescent="0.2">
      <c r="B413" s="319"/>
    </row>
    <row r="414" spans="2:2" x14ac:dyDescent="0.2">
      <c r="B414" s="319"/>
    </row>
    <row r="415" spans="2:2" x14ac:dyDescent="0.2">
      <c r="B415" s="319"/>
    </row>
    <row r="416" spans="2:2" x14ac:dyDescent="0.2">
      <c r="B416" s="319"/>
    </row>
    <row r="417" spans="2:2" x14ac:dyDescent="0.2">
      <c r="B417" s="319"/>
    </row>
    <row r="418" spans="2:2" x14ac:dyDescent="0.2">
      <c r="B418" s="319"/>
    </row>
    <row r="419" spans="2:2" x14ac:dyDescent="0.2">
      <c r="B419" s="319"/>
    </row>
    <row r="420" spans="2:2" x14ac:dyDescent="0.2">
      <c r="B420" s="319"/>
    </row>
    <row r="421" spans="2:2" x14ac:dyDescent="0.2">
      <c r="B421" s="319"/>
    </row>
    <row r="422" spans="2:2" x14ac:dyDescent="0.2">
      <c r="B422" s="319"/>
    </row>
    <row r="423" spans="2:2" x14ac:dyDescent="0.2">
      <c r="B423" s="319"/>
    </row>
    <row r="424" spans="2:2" x14ac:dyDescent="0.2">
      <c r="B424" s="319"/>
    </row>
    <row r="425" spans="2:2" x14ac:dyDescent="0.2">
      <c r="B425" s="319"/>
    </row>
    <row r="426" spans="2:2" x14ac:dyDescent="0.2">
      <c r="B426" s="319"/>
    </row>
    <row r="427" spans="2:2" x14ac:dyDescent="0.2">
      <c r="B427" s="319"/>
    </row>
    <row r="428" spans="2:2" x14ac:dyDescent="0.2">
      <c r="B428" s="319"/>
    </row>
    <row r="429" spans="2:2" x14ac:dyDescent="0.2">
      <c r="B429" s="319"/>
    </row>
    <row r="430" spans="2:2" x14ac:dyDescent="0.2">
      <c r="B430" s="152"/>
    </row>
    <row r="431" spans="2:2" x14ac:dyDescent="0.2">
      <c r="B431" s="152"/>
    </row>
    <row r="432" spans="2:2" x14ac:dyDescent="0.2">
      <c r="B432" s="152"/>
    </row>
    <row r="433" spans="2:2" x14ac:dyDescent="0.2">
      <c r="B433" s="152"/>
    </row>
    <row r="434" spans="2:2" x14ac:dyDescent="0.2">
      <c r="B434" s="152"/>
    </row>
    <row r="435" spans="2:2" x14ac:dyDescent="0.2">
      <c r="B435" s="152"/>
    </row>
    <row r="436" spans="2:2" x14ac:dyDescent="0.2">
      <c r="B436" s="152"/>
    </row>
    <row r="437" spans="2:2" x14ac:dyDescent="0.2">
      <c r="B437" s="152"/>
    </row>
    <row r="438" spans="2:2" x14ac:dyDescent="0.2">
      <c r="B438" s="152"/>
    </row>
    <row r="439" spans="2:2" x14ac:dyDescent="0.2">
      <c r="B439" s="152"/>
    </row>
    <row r="440" spans="2:2" x14ac:dyDescent="0.2">
      <c r="B440" s="152"/>
    </row>
    <row r="441" spans="2:2" x14ac:dyDescent="0.2">
      <c r="B441" s="152"/>
    </row>
    <row r="442" spans="2:2" x14ac:dyDescent="0.2">
      <c r="B442" s="152"/>
    </row>
    <row r="443" spans="2:2" x14ac:dyDescent="0.2">
      <c r="B443" s="152"/>
    </row>
    <row r="444" spans="2:2" x14ac:dyDescent="0.2">
      <c r="B444" s="152"/>
    </row>
    <row r="445" spans="2:2" x14ac:dyDescent="0.2">
      <c r="B445" s="152"/>
    </row>
    <row r="446" spans="2:2" x14ac:dyDescent="0.2">
      <c r="B446" s="152"/>
    </row>
    <row r="447" spans="2:2" x14ac:dyDescent="0.2">
      <c r="B447" s="152"/>
    </row>
    <row r="448" spans="2:2" x14ac:dyDescent="0.2">
      <c r="B448" s="152"/>
    </row>
    <row r="449" spans="2:2" x14ac:dyDescent="0.2">
      <c r="B449" s="152"/>
    </row>
    <row r="450" spans="2:2" x14ac:dyDescent="0.2">
      <c r="B450" s="152"/>
    </row>
    <row r="451" spans="2:2" x14ac:dyDescent="0.2">
      <c r="B451" s="152"/>
    </row>
    <row r="452" spans="2:2" x14ac:dyDescent="0.2">
      <c r="B452" s="152"/>
    </row>
    <row r="453" spans="2:2" x14ac:dyDescent="0.2">
      <c r="B453" s="152"/>
    </row>
    <row r="454" spans="2:2" x14ac:dyDescent="0.2">
      <c r="B454" s="152"/>
    </row>
    <row r="455" spans="2:2" x14ac:dyDescent="0.2">
      <c r="B455" s="152"/>
    </row>
    <row r="456" spans="2:2" x14ac:dyDescent="0.2">
      <c r="B456" s="152"/>
    </row>
    <row r="457" spans="2:2" x14ac:dyDescent="0.2">
      <c r="B457" s="152"/>
    </row>
    <row r="458" spans="2:2" x14ac:dyDescent="0.2">
      <c r="B458" s="152"/>
    </row>
    <row r="459" spans="2:2" x14ac:dyDescent="0.2">
      <c r="B459" s="152"/>
    </row>
    <row r="460" spans="2:2" x14ac:dyDescent="0.2">
      <c r="B460" s="152"/>
    </row>
    <row r="461" spans="2:2" x14ac:dyDescent="0.2">
      <c r="B461" s="152"/>
    </row>
    <row r="462" spans="2:2" x14ac:dyDescent="0.2">
      <c r="B462" s="152"/>
    </row>
    <row r="463" spans="2:2" x14ac:dyDescent="0.2">
      <c r="B463" s="152"/>
    </row>
    <row r="464" spans="2:2" x14ac:dyDescent="0.2">
      <c r="B464" s="152"/>
    </row>
    <row r="465" spans="2:2" x14ac:dyDescent="0.2">
      <c r="B465" s="152"/>
    </row>
    <row r="466" spans="2:2" x14ac:dyDescent="0.2">
      <c r="B466" s="152"/>
    </row>
    <row r="467" spans="2:2" x14ac:dyDescent="0.2">
      <c r="B467" s="152"/>
    </row>
    <row r="468" spans="2:2" x14ac:dyDescent="0.2">
      <c r="B468" s="152"/>
    </row>
    <row r="469" spans="2:2" x14ac:dyDescent="0.2">
      <c r="B469" s="152"/>
    </row>
    <row r="470" spans="2:2" x14ac:dyDescent="0.2">
      <c r="B470" s="152"/>
    </row>
    <row r="471" spans="2:2" x14ac:dyDescent="0.2">
      <c r="B471" s="152"/>
    </row>
    <row r="472" spans="2:2" x14ac:dyDescent="0.2">
      <c r="B472" s="152"/>
    </row>
    <row r="473" spans="2:2" x14ac:dyDescent="0.2">
      <c r="B473" s="152"/>
    </row>
    <row r="474" spans="2:2" x14ac:dyDescent="0.2">
      <c r="B474" s="152"/>
    </row>
    <row r="475" spans="2:2" x14ac:dyDescent="0.2">
      <c r="B475" s="152"/>
    </row>
    <row r="476" spans="2:2" x14ac:dyDescent="0.2">
      <c r="B476" s="152"/>
    </row>
    <row r="477" spans="2:2" x14ac:dyDescent="0.2">
      <c r="B477" s="152"/>
    </row>
    <row r="478" spans="2:2" x14ac:dyDescent="0.2">
      <c r="B478" s="152"/>
    </row>
    <row r="479" spans="2:2" x14ac:dyDescent="0.2">
      <c r="B479" s="152"/>
    </row>
    <row r="480" spans="2:2" x14ac:dyDescent="0.2">
      <c r="B480" s="152"/>
    </row>
    <row r="481" spans="2:2" x14ac:dyDescent="0.2">
      <c r="B481" s="152"/>
    </row>
    <row r="482" spans="2:2" x14ac:dyDescent="0.2">
      <c r="B482" s="152"/>
    </row>
    <row r="483" spans="2:2" x14ac:dyDescent="0.2">
      <c r="B483" s="152"/>
    </row>
    <row r="484" spans="2:2" x14ac:dyDescent="0.2">
      <c r="B484" s="152"/>
    </row>
    <row r="485" spans="2:2" x14ac:dyDescent="0.2">
      <c r="B485" s="152"/>
    </row>
    <row r="486" spans="2:2" x14ac:dyDescent="0.2">
      <c r="B486" s="152"/>
    </row>
    <row r="487" spans="2:2" x14ac:dyDescent="0.2">
      <c r="B487" s="152"/>
    </row>
    <row r="488" spans="2:2" x14ac:dyDescent="0.2">
      <c r="B488" s="152"/>
    </row>
    <row r="489" spans="2:2" x14ac:dyDescent="0.2">
      <c r="B489" s="152"/>
    </row>
    <row r="490" spans="2:2" x14ac:dyDescent="0.2">
      <c r="B490" s="152"/>
    </row>
    <row r="491" spans="2:2" x14ac:dyDescent="0.2">
      <c r="B491" s="152"/>
    </row>
    <row r="492" spans="2:2" x14ac:dyDescent="0.2">
      <c r="B492" s="152"/>
    </row>
    <row r="493" spans="2:2" x14ac:dyDescent="0.2">
      <c r="B493" s="152"/>
    </row>
    <row r="494" spans="2:2" x14ac:dyDescent="0.2">
      <c r="B494" s="152"/>
    </row>
    <row r="495" spans="2:2" x14ac:dyDescent="0.2">
      <c r="B495" s="152"/>
    </row>
    <row r="496" spans="2:2" x14ac:dyDescent="0.2">
      <c r="B496" s="152"/>
    </row>
    <row r="497" spans="2:2" x14ac:dyDescent="0.2">
      <c r="B497" s="152"/>
    </row>
    <row r="498" spans="2:2" x14ac:dyDescent="0.2">
      <c r="B498" s="152"/>
    </row>
    <row r="499" spans="2:2" x14ac:dyDescent="0.2">
      <c r="B499" s="152"/>
    </row>
    <row r="500" spans="2:2" x14ac:dyDescent="0.2">
      <c r="B500" s="152"/>
    </row>
    <row r="501" spans="2:2" x14ac:dyDescent="0.2">
      <c r="B501" s="152"/>
    </row>
    <row r="502" spans="2:2" x14ac:dyDescent="0.2">
      <c r="B502" s="152"/>
    </row>
    <row r="503" spans="2:2" x14ac:dyDescent="0.2">
      <c r="B503" s="152"/>
    </row>
    <row r="504" spans="2:2" x14ac:dyDescent="0.2">
      <c r="B504" s="152"/>
    </row>
    <row r="505" spans="2:2" x14ac:dyDescent="0.2">
      <c r="B505" s="152"/>
    </row>
    <row r="506" spans="2:2" x14ac:dyDescent="0.2">
      <c r="B506" s="152"/>
    </row>
    <row r="507" spans="2:2" x14ac:dyDescent="0.2">
      <c r="B507" s="152"/>
    </row>
    <row r="508" spans="2:2" x14ac:dyDescent="0.2">
      <c r="B508" s="152"/>
    </row>
    <row r="509" spans="2:2" x14ac:dyDescent="0.2">
      <c r="B509" s="152"/>
    </row>
    <row r="510" spans="2:2" x14ac:dyDescent="0.2">
      <c r="B510" s="152"/>
    </row>
    <row r="511" spans="2:2" x14ac:dyDescent="0.2">
      <c r="B511" s="152"/>
    </row>
    <row r="512" spans="2:2" x14ac:dyDescent="0.2">
      <c r="B512" s="152"/>
    </row>
    <row r="513" spans="2:2" x14ac:dyDescent="0.2">
      <c r="B513" s="152"/>
    </row>
    <row r="514" spans="2:2" x14ac:dyDescent="0.2">
      <c r="B514" s="152"/>
    </row>
    <row r="515" spans="2:2" x14ac:dyDescent="0.2">
      <c r="B515" s="152"/>
    </row>
    <row r="516" spans="2:2" x14ac:dyDescent="0.2">
      <c r="B516" s="152"/>
    </row>
    <row r="517" spans="2:2" x14ac:dyDescent="0.2">
      <c r="B517" s="152"/>
    </row>
    <row r="518" spans="2:2" x14ac:dyDescent="0.2">
      <c r="B518" s="152"/>
    </row>
    <row r="519" spans="2:2" x14ac:dyDescent="0.2">
      <c r="B519" s="152"/>
    </row>
    <row r="520" spans="2:2" x14ac:dyDescent="0.2">
      <c r="B520" s="152"/>
    </row>
    <row r="521" spans="2:2" x14ac:dyDescent="0.2">
      <c r="B521" s="152"/>
    </row>
    <row r="522" spans="2:2" x14ac:dyDescent="0.2">
      <c r="B522" s="152"/>
    </row>
    <row r="523" spans="2:2" x14ac:dyDescent="0.2">
      <c r="B523" s="152"/>
    </row>
    <row r="524" spans="2:2" x14ac:dyDescent="0.2">
      <c r="B524" s="152"/>
    </row>
    <row r="525" spans="2:2" x14ac:dyDescent="0.2">
      <c r="B525" s="152"/>
    </row>
    <row r="526" spans="2:2" x14ac:dyDescent="0.2">
      <c r="B526" s="152"/>
    </row>
    <row r="527" spans="2:2" x14ac:dyDescent="0.2">
      <c r="B527" s="152"/>
    </row>
    <row r="528" spans="2:2" x14ac:dyDescent="0.2">
      <c r="B528" s="152"/>
    </row>
    <row r="529" spans="2:2" x14ac:dyDescent="0.2">
      <c r="B529" s="152"/>
    </row>
    <row r="530" spans="2:2" x14ac:dyDescent="0.2">
      <c r="B530" s="152"/>
    </row>
    <row r="531" spans="2:2" x14ac:dyDescent="0.2">
      <c r="B531" s="152"/>
    </row>
    <row r="532" spans="2:2" x14ac:dyDescent="0.2">
      <c r="B532" s="152"/>
    </row>
    <row r="533" spans="2:2" x14ac:dyDescent="0.2">
      <c r="B533" s="152"/>
    </row>
    <row r="534" spans="2:2" x14ac:dyDescent="0.2">
      <c r="B534" s="152"/>
    </row>
    <row r="535" spans="2:2" x14ac:dyDescent="0.2">
      <c r="B535" s="152"/>
    </row>
    <row r="536" spans="2:2" x14ac:dyDescent="0.2">
      <c r="B536" s="152"/>
    </row>
    <row r="537" spans="2:2" x14ac:dyDescent="0.2">
      <c r="B537" s="152"/>
    </row>
    <row r="538" spans="2:2" x14ac:dyDescent="0.2">
      <c r="B538" s="152"/>
    </row>
    <row r="539" spans="2:2" x14ac:dyDescent="0.2">
      <c r="B539" s="152"/>
    </row>
    <row r="540" spans="2:2" x14ac:dyDescent="0.2">
      <c r="B540" s="152"/>
    </row>
    <row r="541" spans="2:2" x14ac:dyDescent="0.2">
      <c r="B541" s="152"/>
    </row>
    <row r="542" spans="2:2" x14ac:dyDescent="0.2">
      <c r="B542" s="152"/>
    </row>
    <row r="543" spans="2:2" x14ac:dyDescent="0.2">
      <c r="B543" s="152"/>
    </row>
    <row r="544" spans="2:2" x14ac:dyDescent="0.2">
      <c r="B544" s="152"/>
    </row>
    <row r="545" spans="2:2" x14ac:dyDescent="0.2">
      <c r="B545" s="152"/>
    </row>
    <row r="546" spans="2:2" x14ac:dyDescent="0.2">
      <c r="B546" s="152"/>
    </row>
    <row r="547" spans="2:2" x14ac:dyDescent="0.2">
      <c r="B547" s="152"/>
    </row>
    <row r="548" spans="2:2" x14ac:dyDescent="0.2">
      <c r="B548" s="152"/>
    </row>
    <row r="549" spans="2:2" x14ac:dyDescent="0.2">
      <c r="B549" s="152"/>
    </row>
    <row r="550" spans="2:2" x14ac:dyDescent="0.2">
      <c r="B550" s="152"/>
    </row>
    <row r="551" spans="2:2" x14ac:dyDescent="0.2">
      <c r="B551" s="152"/>
    </row>
    <row r="552" spans="2:2" x14ac:dyDescent="0.2">
      <c r="B552" s="152"/>
    </row>
    <row r="553" spans="2:2" x14ac:dyDescent="0.2">
      <c r="B553" s="152"/>
    </row>
    <row r="554" spans="2:2" x14ac:dyDescent="0.2">
      <c r="B554" s="152"/>
    </row>
    <row r="555" spans="2:2" x14ac:dyDescent="0.2">
      <c r="B555" s="152"/>
    </row>
    <row r="556" spans="2:2" x14ac:dyDescent="0.2">
      <c r="B556" s="152"/>
    </row>
    <row r="557" spans="2:2" x14ac:dyDescent="0.2">
      <c r="B557" s="152"/>
    </row>
    <row r="558" spans="2:2" x14ac:dyDescent="0.2">
      <c r="B558" s="152"/>
    </row>
    <row r="559" spans="2:2" x14ac:dyDescent="0.2">
      <c r="B559" s="152"/>
    </row>
    <row r="560" spans="2:2" x14ac:dyDescent="0.2">
      <c r="B560" s="152"/>
    </row>
    <row r="561" spans="2:2" x14ac:dyDescent="0.2">
      <c r="B561" s="152"/>
    </row>
    <row r="562" spans="2:2" x14ac:dyDescent="0.2">
      <c r="B562" s="152"/>
    </row>
    <row r="563" spans="2:2" x14ac:dyDescent="0.2">
      <c r="B563" s="152"/>
    </row>
    <row r="564" spans="2:2" x14ac:dyDescent="0.2">
      <c r="B564" s="152"/>
    </row>
    <row r="565" spans="2:2" x14ac:dyDescent="0.2">
      <c r="B565" s="152"/>
    </row>
    <row r="566" spans="2:2" x14ac:dyDescent="0.2">
      <c r="B566" s="152"/>
    </row>
    <row r="567" spans="2:2" x14ac:dyDescent="0.2">
      <c r="B567" s="152"/>
    </row>
    <row r="568" spans="2:2" x14ac:dyDescent="0.2">
      <c r="B568" s="152"/>
    </row>
    <row r="569" spans="2:2" x14ac:dyDescent="0.2">
      <c r="B569" s="152"/>
    </row>
    <row r="570" spans="2:2" x14ac:dyDescent="0.2">
      <c r="B570" s="152"/>
    </row>
    <row r="571" spans="2:2" x14ac:dyDescent="0.2">
      <c r="B571" s="152"/>
    </row>
    <row r="572" spans="2:2" x14ac:dyDescent="0.2">
      <c r="B572" s="152"/>
    </row>
    <row r="573" spans="2:2" x14ac:dyDescent="0.2">
      <c r="B573" s="152"/>
    </row>
    <row r="574" spans="2:2" x14ac:dyDescent="0.2">
      <c r="B574" s="152"/>
    </row>
    <row r="575" spans="2:2" x14ac:dyDescent="0.2">
      <c r="B575" s="152"/>
    </row>
    <row r="576" spans="2:2" x14ac:dyDescent="0.2">
      <c r="B576" s="152"/>
    </row>
    <row r="577" spans="2:2" x14ac:dyDescent="0.2">
      <c r="B577" s="152"/>
    </row>
    <row r="578" spans="2:2" x14ac:dyDescent="0.2">
      <c r="B578" s="152"/>
    </row>
    <row r="579" spans="2:2" x14ac:dyDescent="0.2">
      <c r="B579" s="152"/>
    </row>
    <row r="580" spans="2:2" x14ac:dyDescent="0.2">
      <c r="B580" s="152"/>
    </row>
    <row r="581" spans="2:2" x14ac:dyDescent="0.2">
      <c r="B581" s="152"/>
    </row>
    <row r="582" spans="2:2" x14ac:dyDescent="0.2">
      <c r="B582" s="152"/>
    </row>
    <row r="583" spans="2:2" x14ac:dyDescent="0.2">
      <c r="B583" s="152"/>
    </row>
    <row r="584" spans="2:2" x14ac:dyDescent="0.2">
      <c r="B584" s="152"/>
    </row>
    <row r="585" spans="2:2" x14ac:dyDescent="0.2">
      <c r="B585" s="152"/>
    </row>
    <row r="586" spans="2:2" x14ac:dyDescent="0.2">
      <c r="B586" s="152"/>
    </row>
    <row r="587" spans="2:2" x14ac:dyDescent="0.2">
      <c r="B587" s="152"/>
    </row>
    <row r="588" spans="2:2" x14ac:dyDescent="0.2">
      <c r="B588" s="152"/>
    </row>
    <row r="589" spans="2:2" x14ac:dyDescent="0.2">
      <c r="B589" s="152"/>
    </row>
    <row r="590" spans="2:2" x14ac:dyDescent="0.2">
      <c r="B590" s="152"/>
    </row>
    <row r="591" spans="2:2" x14ac:dyDescent="0.2">
      <c r="B591" s="152"/>
    </row>
    <row r="592" spans="2:2" x14ac:dyDescent="0.2">
      <c r="B592" s="152"/>
    </row>
    <row r="593" spans="2:2" x14ac:dyDescent="0.2">
      <c r="B593" s="152"/>
    </row>
    <row r="594" spans="2:2" x14ac:dyDescent="0.2">
      <c r="B594" s="152"/>
    </row>
    <row r="595" spans="2:2" x14ac:dyDescent="0.2">
      <c r="B595" s="152"/>
    </row>
    <row r="596" spans="2:2" x14ac:dyDescent="0.2">
      <c r="B596" s="152"/>
    </row>
    <row r="597" spans="2:2" x14ac:dyDescent="0.2">
      <c r="B597" s="152"/>
    </row>
    <row r="598" spans="2:2" x14ac:dyDescent="0.2">
      <c r="B598" s="152"/>
    </row>
    <row r="599" spans="2:2" x14ac:dyDescent="0.2">
      <c r="B599" s="152"/>
    </row>
    <row r="600" spans="2:2" x14ac:dyDescent="0.2">
      <c r="B600" s="152"/>
    </row>
    <row r="601" spans="2:2" x14ac:dyDescent="0.2">
      <c r="B601" s="152"/>
    </row>
    <row r="602" spans="2:2" x14ac:dyDescent="0.2">
      <c r="B602" s="152"/>
    </row>
    <row r="603" spans="2:2" x14ac:dyDescent="0.2">
      <c r="B603" s="152"/>
    </row>
    <row r="604" spans="2:2" x14ac:dyDescent="0.2">
      <c r="B604" s="152"/>
    </row>
    <row r="605" spans="2:2" x14ac:dyDescent="0.2">
      <c r="B605" s="152"/>
    </row>
    <row r="606" spans="2:2" x14ac:dyDescent="0.2">
      <c r="B606" s="152"/>
    </row>
    <row r="607" spans="2:2" x14ac:dyDescent="0.2">
      <c r="B607" s="152"/>
    </row>
    <row r="608" spans="2:2" x14ac:dyDescent="0.2">
      <c r="B608" s="152"/>
    </row>
    <row r="609" spans="2:2" x14ac:dyDescent="0.2">
      <c r="B609" s="152"/>
    </row>
    <row r="610" spans="2:2" x14ac:dyDescent="0.2">
      <c r="B610" s="152"/>
    </row>
    <row r="611" spans="2:2" x14ac:dyDescent="0.2">
      <c r="B611" s="152"/>
    </row>
    <row r="612" spans="2:2" x14ac:dyDescent="0.2">
      <c r="B612" s="152"/>
    </row>
    <row r="613" spans="2:2" x14ac:dyDescent="0.2">
      <c r="B613" s="152"/>
    </row>
    <row r="614" spans="2:2" x14ac:dyDescent="0.2">
      <c r="B614" s="152"/>
    </row>
    <row r="615" spans="2:2" x14ac:dyDescent="0.2">
      <c r="B615" s="152"/>
    </row>
    <row r="616" spans="2:2" x14ac:dyDescent="0.2">
      <c r="B616" s="152"/>
    </row>
    <row r="617" spans="2:2" x14ac:dyDescent="0.2">
      <c r="B617" s="152"/>
    </row>
    <row r="618" spans="2:2" x14ac:dyDescent="0.2">
      <c r="B618" s="152"/>
    </row>
    <row r="619" spans="2:2" x14ac:dyDescent="0.2">
      <c r="B619" s="152"/>
    </row>
    <row r="620" spans="2:2" x14ac:dyDescent="0.2">
      <c r="B620" s="152"/>
    </row>
    <row r="621" spans="2:2" x14ac:dyDescent="0.2">
      <c r="B621" s="152"/>
    </row>
    <row r="622" spans="2:2" x14ac:dyDescent="0.2">
      <c r="B622" s="152"/>
    </row>
    <row r="623" spans="2:2" x14ac:dyDescent="0.2">
      <c r="B623" s="152"/>
    </row>
    <row r="624" spans="2:2" x14ac:dyDescent="0.2">
      <c r="B624" s="152"/>
    </row>
    <row r="625" spans="2:2" x14ac:dyDescent="0.2">
      <c r="B625" s="152"/>
    </row>
    <row r="626" spans="2:2" x14ac:dyDescent="0.2">
      <c r="B626" s="152"/>
    </row>
    <row r="627" spans="2:2" x14ac:dyDescent="0.2">
      <c r="B627" s="152"/>
    </row>
    <row r="628" spans="2:2" x14ac:dyDescent="0.2">
      <c r="B628" s="152"/>
    </row>
    <row r="629" spans="2:2" x14ac:dyDescent="0.2">
      <c r="B629" s="152"/>
    </row>
    <row r="630" spans="2:2" x14ac:dyDescent="0.2">
      <c r="B630" s="152"/>
    </row>
    <row r="631" spans="2:2" x14ac:dyDescent="0.2">
      <c r="B631" s="152"/>
    </row>
    <row r="632" spans="2:2" x14ac:dyDescent="0.2">
      <c r="B632" s="152"/>
    </row>
    <row r="633" spans="2:2" x14ac:dyDescent="0.2">
      <c r="B633" s="152"/>
    </row>
    <row r="634" spans="2:2" x14ac:dyDescent="0.2">
      <c r="B634" s="152"/>
    </row>
    <row r="635" spans="2:2" x14ac:dyDescent="0.2">
      <c r="B635" s="152"/>
    </row>
    <row r="636" spans="2:2" x14ac:dyDescent="0.2">
      <c r="B636" s="152"/>
    </row>
    <row r="637" spans="2:2" x14ac:dyDescent="0.2">
      <c r="B637" s="152"/>
    </row>
    <row r="638" spans="2:2" x14ac:dyDescent="0.2">
      <c r="B638" s="152"/>
    </row>
    <row r="639" spans="2:2" x14ac:dyDescent="0.2">
      <c r="B639" s="152"/>
    </row>
    <row r="640" spans="2:2" x14ac:dyDescent="0.2">
      <c r="B640" s="152"/>
    </row>
    <row r="641" spans="2:2" x14ac:dyDescent="0.2">
      <c r="B641" s="152"/>
    </row>
    <row r="642" spans="2:2" x14ac:dyDescent="0.2">
      <c r="B642" s="152"/>
    </row>
    <row r="643" spans="2:2" x14ac:dyDescent="0.2">
      <c r="B643" s="152"/>
    </row>
    <row r="644" spans="2:2" x14ac:dyDescent="0.2">
      <c r="B644" s="152"/>
    </row>
    <row r="645" spans="2:2" x14ac:dyDescent="0.2">
      <c r="B645" s="152"/>
    </row>
    <row r="646" spans="2:2" x14ac:dyDescent="0.2">
      <c r="B646" s="152"/>
    </row>
    <row r="647" spans="2:2" x14ac:dyDescent="0.2">
      <c r="B647" s="152"/>
    </row>
    <row r="648" spans="2:2" x14ac:dyDescent="0.2">
      <c r="B648" s="152"/>
    </row>
    <row r="649" spans="2:2" x14ac:dyDescent="0.2">
      <c r="B649" s="152"/>
    </row>
    <row r="650" spans="2:2" x14ac:dyDescent="0.2">
      <c r="B650" s="152"/>
    </row>
    <row r="651" spans="2:2" x14ac:dyDescent="0.2">
      <c r="B651" s="152"/>
    </row>
    <row r="652" spans="2:2" x14ac:dyDescent="0.2">
      <c r="B652" s="152"/>
    </row>
    <row r="653" spans="2:2" x14ac:dyDescent="0.2">
      <c r="B653" s="152"/>
    </row>
    <row r="654" spans="2:2" x14ac:dyDescent="0.2">
      <c r="B654" s="152"/>
    </row>
    <row r="655" spans="2:2" x14ac:dyDescent="0.2">
      <c r="B655" s="152"/>
    </row>
    <row r="656" spans="2:2" x14ac:dyDescent="0.2">
      <c r="B656" s="152"/>
    </row>
    <row r="657" spans="2:2" x14ac:dyDescent="0.2">
      <c r="B657" s="152"/>
    </row>
    <row r="658" spans="2:2" x14ac:dyDescent="0.2">
      <c r="B658" s="152"/>
    </row>
    <row r="659" spans="2:2" x14ac:dyDescent="0.2">
      <c r="B659" s="152"/>
    </row>
    <row r="660" spans="2:2" x14ac:dyDescent="0.2">
      <c r="B660" s="152"/>
    </row>
    <row r="661" spans="2:2" x14ac:dyDescent="0.2">
      <c r="B661" s="152"/>
    </row>
    <row r="662" spans="2:2" x14ac:dyDescent="0.2">
      <c r="B662" s="152"/>
    </row>
    <row r="663" spans="2:2" x14ac:dyDescent="0.2">
      <c r="B663" s="152"/>
    </row>
    <row r="664" spans="2:2" x14ac:dyDescent="0.2">
      <c r="B664" s="152"/>
    </row>
    <row r="665" spans="2:2" x14ac:dyDescent="0.2">
      <c r="B665" s="152"/>
    </row>
    <row r="666" spans="2:2" x14ac:dyDescent="0.2">
      <c r="B666" s="152"/>
    </row>
    <row r="667" spans="2:2" x14ac:dyDescent="0.2">
      <c r="B667" s="152"/>
    </row>
    <row r="668" spans="2:2" x14ac:dyDescent="0.2">
      <c r="B668" s="152"/>
    </row>
    <row r="669" spans="2:2" x14ac:dyDescent="0.2">
      <c r="B669" s="152"/>
    </row>
    <row r="670" spans="2:2" x14ac:dyDescent="0.2">
      <c r="B670" s="152"/>
    </row>
    <row r="671" spans="2:2" x14ac:dyDescent="0.2">
      <c r="B671" s="152"/>
    </row>
    <row r="672" spans="2:2" x14ac:dyDescent="0.2">
      <c r="B672" s="152"/>
    </row>
    <row r="673" spans="2:2" x14ac:dyDescent="0.2">
      <c r="B673" s="152"/>
    </row>
    <row r="674" spans="2:2" x14ac:dyDescent="0.2">
      <c r="B674" s="152"/>
    </row>
    <row r="675" spans="2:2" x14ac:dyDescent="0.2">
      <c r="B675" s="152"/>
    </row>
    <row r="676" spans="2:2" x14ac:dyDescent="0.2">
      <c r="B676" s="152"/>
    </row>
    <row r="677" spans="2:2" x14ac:dyDescent="0.2">
      <c r="B677" s="152"/>
    </row>
    <row r="678" spans="2:2" x14ac:dyDescent="0.2">
      <c r="B678" s="152"/>
    </row>
    <row r="679" spans="2:2" x14ac:dyDescent="0.2">
      <c r="B679" s="152"/>
    </row>
    <row r="680" spans="2:2" x14ac:dyDescent="0.2">
      <c r="B680" s="152"/>
    </row>
    <row r="681" spans="2:2" x14ac:dyDescent="0.2">
      <c r="B681" s="152"/>
    </row>
    <row r="682" spans="2:2" x14ac:dyDescent="0.2">
      <c r="B682" s="152"/>
    </row>
    <row r="683" spans="2:2" x14ac:dyDescent="0.2">
      <c r="B683" s="152"/>
    </row>
    <row r="684" spans="2:2" x14ac:dyDescent="0.2">
      <c r="B684" s="152"/>
    </row>
    <row r="685" spans="2:2" x14ac:dyDescent="0.2">
      <c r="B685" s="152"/>
    </row>
    <row r="686" spans="2:2" x14ac:dyDescent="0.2">
      <c r="B686" s="152"/>
    </row>
    <row r="687" spans="2:2" x14ac:dyDescent="0.2">
      <c r="B687" s="152"/>
    </row>
    <row r="688" spans="2:2" x14ac:dyDescent="0.2">
      <c r="B688" s="152"/>
    </row>
    <row r="689" spans="2:2" x14ac:dyDescent="0.2">
      <c r="B689" s="152"/>
    </row>
    <row r="690" spans="2:2" x14ac:dyDescent="0.2">
      <c r="B690" s="152"/>
    </row>
    <row r="691" spans="2:2" x14ac:dyDescent="0.2">
      <c r="B691" s="152"/>
    </row>
    <row r="692" spans="2:2" x14ac:dyDescent="0.2">
      <c r="B692" s="152"/>
    </row>
    <row r="693" spans="2:2" x14ac:dyDescent="0.2">
      <c r="B693" s="152"/>
    </row>
    <row r="694" spans="2:2" x14ac:dyDescent="0.2">
      <c r="B694" s="152"/>
    </row>
    <row r="695" spans="2:2" x14ac:dyDescent="0.2">
      <c r="B695" s="152"/>
    </row>
    <row r="696" spans="2:2" x14ac:dyDescent="0.2">
      <c r="B696" s="152"/>
    </row>
    <row r="697" spans="2:2" x14ac:dyDescent="0.2">
      <c r="B697" s="152"/>
    </row>
    <row r="698" spans="2:2" x14ac:dyDescent="0.2">
      <c r="B698" s="152"/>
    </row>
    <row r="699" spans="2:2" x14ac:dyDescent="0.2">
      <c r="B699" s="152"/>
    </row>
    <row r="700" spans="2:2" x14ac:dyDescent="0.2">
      <c r="B700" s="152"/>
    </row>
    <row r="701" spans="2:2" x14ac:dyDescent="0.2">
      <c r="B701" s="152"/>
    </row>
    <row r="702" spans="2:2" x14ac:dyDescent="0.2">
      <c r="B702" s="152"/>
    </row>
    <row r="703" spans="2:2" x14ac:dyDescent="0.2">
      <c r="B703" s="152"/>
    </row>
    <row r="704" spans="2:2" x14ac:dyDescent="0.2">
      <c r="B704" s="152"/>
    </row>
    <row r="705" spans="2:2" x14ac:dyDescent="0.2">
      <c r="B705" s="152"/>
    </row>
    <row r="706" spans="2:2" x14ac:dyDescent="0.2">
      <c r="B706" s="152"/>
    </row>
    <row r="707" spans="2:2" x14ac:dyDescent="0.2">
      <c r="B707" s="152"/>
    </row>
    <row r="708" spans="2:2" x14ac:dyDescent="0.2">
      <c r="B708" s="152"/>
    </row>
    <row r="709" spans="2:2" x14ac:dyDescent="0.2">
      <c r="B709" s="152"/>
    </row>
    <row r="710" spans="2:2" x14ac:dyDescent="0.2">
      <c r="B710" s="152"/>
    </row>
    <row r="711" spans="2:2" x14ac:dyDescent="0.2">
      <c r="B711" s="152"/>
    </row>
    <row r="712" spans="2:2" x14ac:dyDescent="0.2">
      <c r="B712" s="152"/>
    </row>
    <row r="713" spans="2:2" x14ac:dyDescent="0.2">
      <c r="B713" s="152"/>
    </row>
    <row r="714" spans="2:2" x14ac:dyDescent="0.2">
      <c r="B714" s="152"/>
    </row>
    <row r="715" spans="2:2" x14ac:dyDescent="0.2">
      <c r="B715" s="152"/>
    </row>
    <row r="716" spans="2:2" x14ac:dyDescent="0.2">
      <c r="B716" s="152"/>
    </row>
    <row r="717" spans="2:2" x14ac:dyDescent="0.2">
      <c r="B717" s="152"/>
    </row>
    <row r="718" spans="2:2" x14ac:dyDescent="0.2">
      <c r="B718" s="152"/>
    </row>
    <row r="719" spans="2:2" x14ac:dyDescent="0.2">
      <c r="B719" s="152"/>
    </row>
    <row r="720" spans="2:2" x14ac:dyDescent="0.2">
      <c r="B720" s="152"/>
    </row>
    <row r="721" spans="2:2" x14ac:dyDescent="0.2">
      <c r="B721" s="152"/>
    </row>
    <row r="722" spans="2:2" x14ac:dyDescent="0.2">
      <c r="B722" s="152"/>
    </row>
    <row r="723" spans="2:2" x14ac:dyDescent="0.2">
      <c r="B723" s="152"/>
    </row>
    <row r="724" spans="2:2" x14ac:dyDescent="0.2">
      <c r="B724" s="152"/>
    </row>
    <row r="725" spans="2:2" x14ac:dyDescent="0.2">
      <c r="B725" s="152"/>
    </row>
    <row r="726" spans="2:2" x14ac:dyDescent="0.2">
      <c r="B726" s="152"/>
    </row>
    <row r="727" spans="2:2" x14ac:dyDescent="0.2">
      <c r="B727" s="152"/>
    </row>
    <row r="728" spans="2:2" x14ac:dyDescent="0.2">
      <c r="B728" s="152"/>
    </row>
    <row r="729" spans="2:2" x14ac:dyDescent="0.2">
      <c r="B729" s="152"/>
    </row>
    <row r="730" spans="2:2" x14ac:dyDescent="0.2">
      <c r="B730" s="152"/>
    </row>
    <row r="731" spans="2:2" x14ac:dyDescent="0.2">
      <c r="B731" s="152"/>
    </row>
    <row r="732" spans="2:2" x14ac:dyDescent="0.2">
      <c r="B732" s="152"/>
    </row>
    <row r="733" spans="2:2" x14ac:dyDescent="0.2">
      <c r="B733" s="152"/>
    </row>
    <row r="734" spans="2:2" x14ac:dyDescent="0.2">
      <c r="B734" s="152"/>
    </row>
    <row r="735" spans="2:2" x14ac:dyDescent="0.2">
      <c r="B735" s="152"/>
    </row>
    <row r="736" spans="2:2" x14ac:dyDescent="0.2">
      <c r="B736" s="152"/>
    </row>
    <row r="737" spans="2:2" x14ac:dyDescent="0.2">
      <c r="B737" s="152"/>
    </row>
    <row r="738" spans="2:2" x14ac:dyDescent="0.2">
      <c r="B738" s="152"/>
    </row>
    <row r="739" spans="2:2" x14ac:dyDescent="0.2">
      <c r="B739" s="152"/>
    </row>
    <row r="740" spans="2:2" x14ac:dyDescent="0.2">
      <c r="B740" s="152"/>
    </row>
    <row r="741" spans="2:2" x14ac:dyDescent="0.2">
      <c r="B741" s="152"/>
    </row>
    <row r="742" spans="2:2" x14ac:dyDescent="0.2">
      <c r="B742" s="152"/>
    </row>
    <row r="743" spans="2:2" x14ac:dyDescent="0.2">
      <c r="B743" s="152"/>
    </row>
    <row r="744" spans="2:2" x14ac:dyDescent="0.2">
      <c r="B744" s="152"/>
    </row>
    <row r="745" spans="2:2" x14ac:dyDescent="0.2">
      <c r="B745" s="152"/>
    </row>
    <row r="746" spans="2:2" x14ac:dyDescent="0.2">
      <c r="B746" s="152"/>
    </row>
    <row r="747" spans="2:2" x14ac:dyDescent="0.2">
      <c r="B747" s="152"/>
    </row>
    <row r="748" spans="2:2" x14ac:dyDescent="0.2">
      <c r="B748" s="152"/>
    </row>
    <row r="749" spans="2:2" x14ac:dyDescent="0.2">
      <c r="B749" s="152"/>
    </row>
    <row r="750" spans="2:2" x14ac:dyDescent="0.2">
      <c r="B750" s="152"/>
    </row>
    <row r="751" spans="2:2" x14ac:dyDescent="0.2">
      <c r="B751" s="152"/>
    </row>
    <row r="752" spans="2:2" x14ac:dyDescent="0.2">
      <c r="B752" s="152"/>
    </row>
    <row r="753" spans="2:2" x14ac:dyDescent="0.2">
      <c r="B753" s="152"/>
    </row>
    <row r="754" spans="2:2" x14ac:dyDescent="0.2">
      <c r="B754" s="152"/>
    </row>
    <row r="755" spans="2:2" x14ac:dyDescent="0.2">
      <c r="B755" s="152"/>
    </row>
    <row r="756" spans="2:2" x14ac:dyDescent="0.2">
      <c r="B756" s="152"/>
    </row>
    <row r="757" spans="2:2" x14ac:dyDescent="0.2">
      <c r="B757" s="152"/>
    </row>
    <row r="758" spans="2:2" x14ac:dyDescent="0.2">
      <c r="B758" s="152"/>
    </row>
    <row r="759" spans="2:2" x14ac:dyDescent="0.2">
      <c r="B759" s="152"/>
    </row>
    <row r="760" spans="2:2" x14ac:dyDescent="0.2">
      <c r="B760" s="152"/>
    </row>
    <row r="761" spans="2:2" x14ac:dyDescent="0.2">
      <c r="B761" s="152"/>
    </row>
    <row r="762" spans="2:2" x14ac:dyDescent="0.2">
      <c r="B762" s="152"/>
    </row>
    <row r="763" spans="2:2" x14ac:dyDescent="0.2">
      <c r="B763" s="152"/>
    </row>
    <row r="764" spans="2:2" x14ac:dyDescent="0.2">
      <c r="B764" s="152"/>
    </row>
    <row r="765" spans="2:2" x14ac:dyDescent="0.2">
      <c r="B765" s="152"/>
    </row>
    <row r="766" spans="2:2" x14ac:dyDescent="0.2">
      <c r="B766" s="152"/>
    </row>
    <row r="767" spans="2:2" x14ac:dyDescent="0.2">
      <c r="B767" s="152"/>
    </row>
    <row r="768" spans="2:2" x14ac:dyDescent="0.2">
      <c r="B768" s="152"/>
    </row>
    <row r="769" spans="2:2" x14ac:dyDescent="0.2">
      <c r="B769" s="152"/>
    </row>
    <row r="770" spans="2:2" x14ac:dyDescent="0.2">
      <c r="B770" s="152"/>
    </row>
    <row r="771" spans="2:2" x14ac:dyDescent="0.2">
      <c r="B771" s="152"/>
    </row>
    <row r="772" spans="2:2" x14ac:dyDescent="0.2">
      <c r="B772" s="152"/>
    </row>
    <row r="773" spans="2:2" x14ac:dyDescent="0.2">
      <c r="B773" s="152"/>
    </row>
    <row r="774" spans="2:2" x14ac:dyDescent="0.2">
      <c r="B774" s="152"/>
    </row>
    <row r="775" spans="2:2" x14ac:dyDescent="0.2">
      <c r="B775" s="152"/>
    </row>
    <row r="776" spans="2:2" x14ac:dyDescent="0.2">
      <c r="B776" s="152"/>
    </row>
    <row r="777" spans="2:2" x14ac:dyDescent="0.2">
      <c r="B777" s="152"/>
    </row>
    <row r="778" spans="2:2" x14ac:dyDescent="0.2">
      <c r="B778" s="152"/>
    </row>
    <row r="779" spans="2:2" x14ac:dyDescent="0.2">
      <c r="B779" s="152"/>
    </row>
    <row r="780" spans="2:2" x14ac:dyDescent="0.2">
      <c r="B780" s="152"/>
    </row>
    <row r="781" spans="2:2" x14ac:dyDescent="0.2">
      <c r="B781" s="152"/>
    </row>
    <row r="782" spans="2:2" x14ac:dyDescent="0.2">
      <c r="B782" s="152"/>
    </row>
    <row r="783" spans="2:2" x14ac:dyDescent="0.2">
      <c r="B783" s="152"/>
    </row>
    <row r="784" spans="2:2" x14ac:dyDescent="0.2">
      <c r="B784" s="152"/>
    </row>
    <row r="785" spans="2:2" x14ac:dyDescent="0.2">
      <c r="B785" s="152"/>
    </row>
    <row r="786" spans="2:2" x14ac:dyDescent="0.2">
      <c r="B786" s="152"/>
    </row>
    <row r="787" spans="2:2" x14ac:dyDescent="0.2">
      <c r="B787" s="152"/>
    </row>
    <row r="788" spans="2:2" x14ac:dyDescent="0.2">
      <c r="B788" s="152"/>
    </row>
    <row r="789" spans="2:2" x14ac:dyDescent="0.2">
      <c r="B789" s="152"/>
    </row>
    <row r="790" spans="2:2" x14ac:dyDescent="0.2">
      <c r="B790" s="152"/>
    </row>
    <row r="791" spans="2:2" x14ac:dyDescent="0.2">
      <c r="B791" s="152"/>
    </row>
    <row r="792" spans="2:2" x14ac:dyDescent="0.2">
      <c r="B792" s="152"/>
    </row>
    <row r="793" spans="2:2" x14ac:dyDescent="0.2">
      <c r="B793" s="152"/>
    </row>
    <row r="794" spans="2:2" x14ac:dyDescent="0.2">
      <c r="B794" s="152"/>
    </row>
    <row r="795" spans="2:2" x14ac:dyDescent="0.2">
      <c r="B795" s="152"/>
    </row>
    <row r="796" spans="2:2" x14ac:dyDescent="0.2">
      <c r="B796" s="152"/>
    </row>
    <row r="797" spans="2:2" x14ac:dyDescent="0.2">
      <c r="B797" s="152"/>
    </row>
    <row r="798" spans="2:2" x14ac:dyDescent="0.2">
      <c r="B798" s="152"/>
    </row>
    <row r="799" spans="2:2" x14ac:dyDescent="0.2">
      <c r="B799" s="152"/>
    </row>
    <row r="800" spans="2:2" x14ac:dyDescent="0.2">
      <c r="B800" s="152"/>
    </row>
    <row r="801" spans="2:2" x14ac:dyDescent="0.2">
      <c r="B801" s="152"/>
    </row>
    <row r="802" spans="2:2" x14ac:dyDescent="0.2">
      <c r="B802" s="152"/>
    </row>
    <row r="803" spans="2:2" x14ac:dyDescent="0.2">
      <c r="B803" s="152"/>
    </row>
    <row r="804" spans="2:2" x14ac:dyDescent="0.2">
      <c r="B804" s="152"/>
    </row>
    <row r="805" spans="2:2" x14ac:dyDescent="0.2">
      <c r="B805" s="152"/>
    </row>
    <row r="806" spans="2:2" x14ac:dyDescent="0.2">
      <c r="B806" s="152"/>
    </row>
    <row r="807" spans="2:2" x14ac:dyDescent="0.2">
      <c r="B807" s="152"/>
    </row>
    <row r="808" spans="2:2" x14ac:dyDescent="0.2">
      <c r="B808" s="152"/>
    </row>
    <row r="809" spans="2:2" x14ac:dyDescent="0.2">
      <c r="B809" s="152"/>
    </row>
    <row r="810" spans="2:2" x14ac:dyDescent="0.2">
      <c r="B810" s="152"/>
    </row>
    <row r="811" spans="2:2" x14ac:dyDescent="0.2">
      <c r="B811" s="152"/>
    </row>
    <row r="812" spans="2:2" x14ac:dyDescent="0.2">
      <c r="B812" s="152"/>
    </row>
    <row r="813" spans="2:2" x14ac:dyDescent="0.2">
      <c r="B813" s="152"/>
    </row>
    <row r="814" spans="2:2" x14ac:dyDescent="0.2">
      <c r="B814" s="152"/>
    </row>
    <row r="815" spans="2:2" x14ac:dyDescent="0.2">
      <c r="B815" s="152"/>
    </row>
    <row r="816" spans="2:2" x14ac:dyDescent="0.2">
      <c r="B816" s="152"/>
    </row>
    <row r="817" spans="2:2" x14ac:dyDescent="0.2">
      <c r="B817" s="152"/>
    </row>
    <row r="818" spans="2:2" x14ac:dyDescent="0.2">
      <c r="B818" s="152"/>
    </row>
    <row r="819" spans="2:2" x14ac:dyDescent="0.2">
      <c r="B819" s="152"/>
    </row>
    <row r="820" spans="2:2" x14ac:dyDescent="0.2">
      <c r="B820" s="152"/>
    </row>
    <row r="821" spans="2:2" x14ac:dyDescent="0.2">
      <c r="B821" s="152"/>
    </row>
    <row r="822" spans="2:2" x14ac:dyDescent="0.2">
      <c r="B822" s="152"/>
    </row>
    <row r="823" spans="2:2" x14ac:dyDescent="0.2">
      <c r="B823" s="152"/>
    </row>
    <row r="824" spans="2:2" x14ac:dyDescent="0.2">
      <c r="B824" s="152"/>
    </row>
    <row r="825" spans="2:2" x14ac:dyDescent="0.2">
      <c r="B825" s="152"/>
    </row>
    <row r="826" spans="2:2" x14ac:dyDescent="0.2">
      <c r="B826" s="152"/>
    </row>
    <row r="827" spans="2:2" x14ac:dyDescent="0.2">
      <c r="B827" s="152"/>
    </row>
    <row r="828" spans="2:2" x14ac:dyDescent="0.2">
      <c r="B828" s="152"/>
    </row>
    <row r="829" spans="2:2" x14ac:dyDescent="0.2">
      <c r="B829" s="152"/>
    </row>
    <row r="830" spans="2:2" x14ac:dyDescent="0.2">
      <c r="B830" s="152"/>
    </row>
    <row r="831" spans="2:2" x14ac:dyDescent="0.2">
      <c r="B831" s="152"/>
    </row>
    <row r="832" spans="2:2" x14ac:dyDescent="0.2">
      <c r="B832" s="152"/>
    </row>
    <row r="833" spans="2:2" x14ac:dyDescent="0.2">
      <c r="B833" s="152"/>
    </row>
    <row r="834" spans="2:2" x14ac:dyDescent="0.2">
      <c r="B834" s="152"/>
    </row>
    <row r="835" spans="2:2" x14ac:dyDescent="0.2">
      <c r="B835" s="152"/>
    </row>
    <row r="836" spans="2:2" x14ac:dyDescent="0.2">
      <c r="B836" s="152"/>
    </row>
    <row r="837" spans="2:2" x14ac:dyDescent="0.2">
      <c r="B837" s="152"/>
    </row>
    <row r="838" spans="2:2" x14ac:dyDescent="0.2">
      <c r="B838" s="152"/>
    </row>
    <row r="839" spans="2:2" x14ac:dyDescent="0.2">
      <c r="B839" s="152"/>
    </row>
    <row r="840" spans="2:2" x14ac:dyDescent="0.2">
      <c r="B840" s="152"/>
    </row>
    <row r="841" spans="2:2" x14ac:dyDescent="0.2">
      <c r="B841" s="152"/>
    </row>
    <row r="842" spans="2:2" x14ac:dyDescent="0.2">
      <c r="B842" s="152"/>
    </row>
    <row r="843" spans="2:2" x14ac:dyDescent="0.2">
      <c r="B843" s="152"/>
    </row>
    <row r="844" spans="2:2" x14ac:dyDescent="0.2">
      <c r="B844" s="152"/>
    </row>
    <row r="845" spans="2:2" x14ac:dyDescent="0.2">
      <c r="B845" s="152"/>
    </row>
    <row r="846" spans="2:2" x14ac:dyDescent="0.2">
      <c r="B846" s="152"/>
    </row>
    <row r="847" spans="2:2" x14ac:dyDescent="0.2">
      <c r="B847" s="152"/>
    </row>
    <row r="848" spans="2:2" x14ac:dyDescent="0.2">
      <c r="B848" s="152"/>
    </row>
    <row r="849" spans="2:2" x14ac:dyDescent="0.2">
      <c r="B849" s="152"/>
    </row>
    <row r="850" spans="2:2" x14ac:dyDescent="0.2">
      <c r="B850" s="152"/>
    </row>
    <row r="851" spans="2:2" x14ac:dyDescent="0.2">
      <c r="B851" s="152"/>
    </row>
    <row r="852" spans="2:2" x14ac:dyDescent="0.2">
      <c r="B852" s="152"/>
    </row>
    <row r="853" spans="2:2" x14ac:dyDescent="0.2">
      <c r="B853" s="152"/>
    </row>
    <row r="854" spans="2:2" x14ac:dyDescent="0.2">
      <c r="B854" s="152"/>
    </row>
    <row r="855" spans="2:2" x14ac:dyDescent="0.2">
      <c r="B855" s="152"/>
    </row>
    <row r="856" spans="2:2" x14ac:dyDescent="0.2">
      <c r="B856" s="152"/>
    </row>
    <row r="857" spans="2:2" x14ac:dyDescent="0.2">
      <c r="B857" s="152"/>
    </row>
    <row r="858" spans="2:2" x14ac:dyDescent="0.2">
      <c r="B858" s="152"/>
    </row>
    <row r="859" spans="2:2" x14ac:dyDescent="0.2">
      <c r="B859" s="152"/>
    </row>
    <row r="860" spans="2:2" x14ac:dyDescent="0.2">
      <c r="B860" s="152"/>
    </row>
    <row r="861" spans="2:2" x14ac:dyDescent="0.2">
      <c r="B861" s="152"/>
    </row>
    <row r="862" spans="2:2" x14ac:dyDescent="0.2">
      <c r="B862" s="152"/>
    </row>
    <row r="863" spans="2:2" x14ac:dyDescent="0.2">
      <c r="B863" s="152"/>
    </row>
    <row r="864" spans="2:2" x14ac:dyDescent="0.2">
      <c r="B864" s="152"/>
    </row>
    <row r="865" spans="2:2" x14ac:dyDescent="0.2">
      <c r="B865" s="152"/>
    </row>
    <row r="866" spans="2:2" x14ac:dyDescent="0.2">
      <c r="B866" s="152"/>
    </row>
    <row r="867" spans="2:2" x14ac:dyDescent="0.2">
      <c r="B867" s="152"/>
    </row>
    <row r="868" spans="2:2" x14ac:dyDescent="0.2">
      <c r="B868" s="152"/>
    </row>
    <row r="869" spans="2:2" x14ac:dyDescent="0.2">
      <c r="B869" s="152"/>
    </row>
    <row r="870" spans="2:2" x14ac:dyDescent="0.2">
      <c r="B870" s="152"/>
    </row>
    <row r="871" spans="2:2" x14ac:dyDescent="0.2">
      <c r="B871" s="152"/>
    </row>
    <row r="872" spans="2:2" x14ac:dyDescent="0.2">
      <c r="B872" s="152"/>
    </row>
    <row r="873" spans="2:2" x14ac:dyDescent="0.2">
      <c r="B873" s="152"/>
    </row>
    <row r="874" spans="2:2" x14ac:dyDescent="0.2">
      <c r="B874" s="152"/>
    </row>
    <row r="875" spans="2:2" x14ac:dyDescent="0.2">
      <c r="B875" s="152"/>
    </row>
    <row r="876" spans="2:2" x14ac:dyDescent="0.2">
      <c r="B876" s="152"/>
    </row>
    <row r="877" spans="2:2" x14ac:dyDescent="0.2">
      <c r="B877" s="152"/>
    </row>
    <row r="878" spans="2:2" x14ac:dyDescent="0.2">
      <c r="B878" s="152"/>
    </row>
    <row r="879" spans="2:2" x14ac:dyDescent="0.2">
      <c r="B879" s="152"/>
    </row>
    <row r="880" spans="2:2" x14ac:dyDescent="0.2">
      <c r="B880" s="152"/>
    </row>
    <row r="881" spans="2:2" x14ac:dyDescent="0.2">
      <c r="B881" s="152"/>
    </row>
    <row r="882" spans="2:2" x14ac:dyDescent="0.2">
      <c r="B882" s="152"/>
    </row>
    <row r="883" spans="2:2" x14ac:dyDescent="0.2">
      <c r="B883" s="152"/>
    </row>
    <row r="884" spans="2:2" x14ac:dyDescent="0.2">
      <c r="B884" s="152"/>
    </row>
    <row r="885" spans="2:2" x14ac:dyDescent="0.2">
      <c r="B885" s="152"/>
    </row>
    <row r="886" spans="2:2" x14ac:dyDescent="0.2">
      <c r="B886" s="152"/>
    </row>
    <row r="887" spans="2:2" x14ac:dyDescent="0.2">
      <c r="B887" s="152"/>
    </row>
    <row r="888" spans="2:2" x14ac:dyDescent="0.2">
      <c r="B888" s="152"/>
    </row>
    <row r="889" spans="2:2" x14ac:dyDescent="0.2">
      <c r="B889" s="152"/>
    </row>
    <row r="890" spans="2:2" x14ac:dyDescent="0.2">
      <c r="B890" s="152"/>
    </row>
    <row r="891" spans="2:2" x14ac:dyDescent="0.2">
      <c r="B891" s="152"/>
    </row>
    <row r="892" spans="2:2" x14ac:dyDescent="0.2">
      <c r="B892" s="152"/>
    </row>
    <row r="893" spans="2:2" x14ac:dyDescent="0.2">
      <c r="B893" s="152"/>
    </row>
    <row r="894" spans="2:2" x14ac:dyDescent="0.2">
      <c r="B894" s="152"/>
    </row>
    <row r="895" spans="2:2" x14ac:dyDescent="0.2">
      <c r="B895" s="152"/>
    </row>
    <row r="896" spans="2:2" x14ac:dyDescent="0.2">
      <c r="B896" s="152"/>
    </row>
    <row r="897" spans="2:2" x14ac:dyDescent="0.2">
      <c r="B897" s="152"/>
    </row>
    <row r="898" spans="2:2" x14ac:dyDescent="0.2">
      <c r="B898" s="152"/>
    </row>
    <row r="899" spans="2:2" x14ac:dyDescent="0.2">
      <c r="B899" s="152"/>
    </row>
    <row r="900" spans="2:2" x14ac:dyDescent="0.2">
      <c r="B900" s="152"/>
    </row>
    <row r="901" spans="2:2" x14ac:dyDescent="0.2">
      <c r="B901" s="152"/>
    </row>
    <row r="902" spans="2:2" x14ac:dyDescent="0.2">
      <c r="B902" s="152"/>
    </row>
    <row r="903" spans="2:2" x14ac:dyDescent="0.2">
      <c r="B903" s="152"/>
    </row>
    <row r="904" spans="2:2" x14ac:dyDescent="0.2">
      <c r="B904" s="152"/>
    </row>
    <row r="905" spans="2:2" x14ac:dyDescent="0.2">
      <c r="B905" s="152"/>
    </row>
    <row r="906" spans="2:2" x14ac:dyDescent="0.2">
      <c r="B906" s="152"/>
    </row>
    <row r="907" spans="2:2" x14ac:dyDescent="0.2">
      <c r="B907" s="152"/>
    </row>
    <row r="908" spans="2:2" x14ac:dyDescent="0.2">
      <c r="B908" s="152"/>
    </row>
    <row r="909" spans="2:2" x14ac:dyDescent="0.2">
      <c r="B909" s="152"/>
    </row>
    <row r="910" spans="2:2" x14ac:dyDescent="0.2">
      <c r="B910" s="152"/>
    </row>
    <row r="911" spans="2:2" x14ac:dyDescent="0.2">
      <c r="B911" s="152"/>
    </row>
    <row r="912" spans="2:2" x14ac:dyDescent="0.2">
      <c r="B912" s="152"/>
    </row>
    <row r="913" spans="2:2" x14ac:dyDescent="0.2">
      <c r="B913" s="152"/>
    </row>
    <row r="914" spans="2:2" x14ac:dyDescent="0.2">
      <c r="B914" s="152"/>
    </row>
    <row r="915" spans="2:2" x14ac:dyDescent="0.2">
      <c r="B915" s="152"/>
    </row>
    <row r="916" spans="2:2" x14ac:dyDescent="0.2">
      <c r="B916" s="152"/>
    </row>
    <row r="917" spans="2:2" x14ac:dyDescent="0.2">
      <c r="B917" s="152"/>
    </row>
    <row r="918" spans="2:2" x14ac:dyDescent="0.2">
      <c r="B918" s="152"/>
    </row>
    <row r="919" spans="2:2" x14ac:dyDescent="0.2">
      <c r="B919" s="152"/>
    </row>
    <row r="920" spans="2:2" x14ac:dyDescent="0.2">
      <c r="B920" s="152"/>
    </row>
    <row r="921" spans="2:2" x14ac:dyDescent="0.2">
      <c r="B921" s="152"/>
    </row>
    <row r="922" spans="2:2" x14ac:dyDescent="0.2">
      <c r="B922" s="152"/>
    </row>
    <row r="923" spans="2:2" x14ac:dyDescent="0.2">
      <c r="B923" s="152"/>
    </row>
    <row r="924" spans="2:2" x14ac:dyDescent="0.2">
      <c r="B924" s="152"/>
    </row>
    <row r="925" spans="2:2" x14ac:dyDescent="0.2">
      <c r="B925" s="152"/>
    </row>
    <row r="926" spans="2:2" x14ac:dyDescent="0.2">
      <c r="B926" s="152"/>
    </row>
    <row r="927" spans="2:2" x14ac:dyDescent="0.2">
      <c r="B927" s="152"/>
    </row>
    <row r="928" spans="2:2" x14ac:dyDescent="0.2">
      <c r="B928" s="152"/>
    </row>
    <row r="929" spans="2:2" x14ac:dyDescent="0.2">
      <c r="B929" s="152"/>
    </row>
    <row r="930" spans="2:2" x14ac:dyDescent="0.2">
      <c r="B930" s="152"/>
    </row>
    <row r="931" spans="2:2" x14ac:dyDescent="0.2">
      <c r="B931" s="152"/>
    </row>
    <row r="932" spans="2:2" x14ac:dyDescent="0.2">
      <c r="B932" s="152"/>
    </row>
    <row r="933" spans="2:2" x14ac:dyDescent="0.2">
      <c r="B933" s="152"/>
    </row>
    <row r="934" spans="2:2" x14ac:dyDescent="0.2">
      <c r="B934" s="152"/>
    </row>
    <row r="935" spans="2:2" x14ac:dyDescent="0.2">
      <c r="B935" s="152"/>
    </row>
    <row r="936" spans="2:2" x14ac:dyDescent="0.2">
      <c r="B936" s="152"/>
    </row>
    <row r="937" spans="2:2" x14ac:dyDescent="0.2">
      <c r="B937" s="152"/>
    </row>
    <row r="938" spans="2:2" x14ac:dyDescent="0.2">
      <c r="B938" s="152"/>
    </row>
    <row r="939" spans="2:2" x14ac:dyDescent="0.2">
      <c r="B939" s="152"/>
    </row>
    <row r="940" spans="2:2" x14ac:dyDescent="0.2">
      <c r="B940" s="152"/>
    </row>
    <row r="941" spans="2:2" x14ac:dyDescent="0.2">
      <c r="B941" s="152"/>
    </row>
    <row r="942" spans="2:2" x14ac:dyDescent="0.2">
      <c r="B942" s="152"/>
    </row>
    <row r="943" spans="2:2" x14ac:dyDescent="0.2">
      <c r="B943" s="152"/>
    </row>
    <row r="944" spans="2:2" x14ac:dyDescent="0.2">
      <c r="B944" s="152"/>
    </row>
    <row r="945" spans="2:2" x14ac:dyDescent="0.2">
      <c r="B945" s="152"/>
    </row>
    <row r="946" spans="2:2" x14ac:dyDescent="0.2">
      <c r="B946" s="152"/>
    </row>
    <row r="947" spans="2:2" x14ac:dyDescent="0.2">
      <c r="B947" s="152"/>
    </row>
    <row r="948" spans="2:2" x14ac:dyDescent="0.2">
      <c r="B948" s="152"/>
    </row>
    <row r="949" spans="2:2" x14ac:dyDescent="0.2">
      <c r="B949" s="152"/>
    </row>
    <row r="950" spans="2:2" x14ac:dyDescent="0.2">
      <c r="B950" s="152"/>
    </row>
    <row r="951" spans="2:2" x14ac:dyDescent="0.2">
      <c r="B951" s="152"/>
    </row>
    <row r="952" spans="2:2" x14ac:dyDescent="0.2">
      <c r="B952" s="152"/>
    </row>
    <row r="953" spans="2:2" x14ac:dyDescent="0.2">
      <c r="B953" s="152"/>
    </row>
    <row r="954" spans="2:2" x14ac:dyDescent="0.2">
      <c r="B954" s="152"/>
    </row>
    <row r="955" spans="2:2" x14ac:dyDescent="0.2">
      <c r="B955" s="152"/>
    </row>
    <row r="956" spans="2:2" x14ac:dyDescent="0.2">
      <c r="B956" s="152"/>
    </row>
    <row r="957" spans="2:2" x14ac:dyDescent="0.2">
      <c r="B957" s="152"/>
    </row>
    <row r="958" spans="2:2" x14ac:dyDescent="0.2">
      <c r="B958" s="152"/>
    </row>
    <row r="959" spans="2:2" x14ac:dyDescent="0.2">
      <c r="B959" s="152"/>
    </row>
    <row r="960" spans="2:2" x14ac:dyDescent="0.2">
      <c r="B960" s="152"/>
    </row>
    <row r="961" spans="2:2" x14ac:dyDescent="0.2">
      <c r="B961" s="152"/>
    </row>
    <row r="962" spans="2:2" x14ac:dyDescent="0.2">
      <c r="B962" s="152"/>
    </row>
    <row r="963" spans="2:2" x14ac:dyDescent="0.2">
      <c r="B963" s="152"/>
    </row>
    <row r="964" spans="2:2" x14ac:dyDescent="0.2">
      <c r="B964" s="152"/>
    </row>
    <row r="965" spans="2:2" x14ac:dyDescent="0.2">
      <c r="B965" s="152"/>
    </row>
    <row r="966" spans="2:2" x14ac:dyDescent="0.2">
      <c r="B966" s="152"/>
    </row>
    <row r="967" spans="2:2" x14ac:dyDescent="0.2">
      <c r="B967" s="152"/>
    </row>
    <row r="968" spans="2:2" x14ac:dyDescent="0.2">
      <c r="B968" s="152"/>
    </row>
    <row r="969" spans="2:2" x14ac:dyDescent="0.2">
      <c r="B969" s="152"/>
    </row>
    <row r="970" spans="2:2" x14ac:dyDescent="0.2">
      <c r="B970" s="152"/>
    </row>
    <row r="971" spans="2:2" x14ac:dyDescent="0.2">
      <c r="B971" s="152"/>
    </row>
    <row r="972" spans="2:2" x14ac:dyDescent="0.2">
      <c r="B972" s="152"/>
    </row>
    <row r="973" spans="2:2" x14ac:dyDescent="0.2">
      <c r="B973" s="152"/>
    </row>
    <row r="974" spans="2:2" x14ac:dyDescent="0.2">
      <c r="B974" s="152"/>
    </row>
    <row r="975" spans="2:2" x14ac:dyDescent="0.2">
      <c r="B975" s="152"/>
    </row>
    <row r="976" spans="2:2" x14ac:dyDescent="0.2">
      <c r="B976" s="152"/>
    </row>
    <row r="977" spans="2:2" x14ac:dyDescent="0.2">
      <c r="B977" s="152"/>
    </row>
    <row r="978" spans="2:2" x14ac:dyDescent="0.2">
      <c r="B978" s="152"/>
    </row>
    <row r="979" spans="2:2" x14ac:dyDescent="0.2">
      <c r="B979" s="152"/>
    </row>
    <row r="980" spans="2:2" x14ac:dyDescent="0.2">
      <c r="B980" s="152"/>
    </row>
    <row r="981" spans="2:2" x14ac:dyDescent="0.2">
      <c r="B981" s="152"/>
    </row>
    <row r="982" spans="2:2" x14ac:dyDescent="0.2">
      <c r="B982" s="152"/>
    </row>
    <row r="983" spans="2:2" x14ac:dyDescent="0.2">
      <c r="B983" s="152"/>
    </row>
    <row r="984" spans="2:2" x14ac:dyDescent="0.2">
      <c r="B984" s="152"/>
    </row>
    <row r="985" spans="2:2" x14ac:dyDescent="0.2">
      <c r="B985" s="152"/>
    </row>
    <row r="986" spans="2:2" x14ac:dyDescent="0.2">
      <c r="B986" s="152"/>
    </row>
    <row r="987" spans="2:2" x14ac:dyDescent="0.2">
      <c r="B987" s="152"/>
    </row>
    <row r="988" spans="2:2" x14ac:dyDescent="0.2">
      <c r="B988" s="152"/>
    </row>
    <row r="989" spans="2:2" x14ac:dyDescent="0.2">
      <c r="B989" s="152"/>
    </row>
    <row r="990" spans="2:2" x14ac:dyDescent="0.2">
      <c r="B990" s="152"/>
    </row>
    <row r="991" spans="2:2" x14ac:dyDescent="0.2">
      <c r="B991" s="152"/>
    </row>
    <row r="992" spans="2:2" x14ac:dyDescent="0.2">
      <c r="B992" s="152"/>
    </row>
    <row r="993" spans="2:2" x14ac:dyDescent="0.2">
      <c r="B993" s="152"/>
    </row>
    <row r="994" spans="2:2" x14ac:dyDescent="0.2">
      <c r="B994" s="152"/>
    </row>
    <row r="995" spans="2:2" x14ac:dyDescent="0.2">
      <c r="B995" s="152"/>
    </row>
    <row r="996" spans="2:2" x14ac:dyDescent="0.2">
      <c r="B996" s="152"/>
    </row>
    <row r="997" spans="2:2" x14ac:dyDescent="0.2">
      <c r="B997" s="152"/>
    </row>
    <row r="998" spans="2:2" x14ac:dyDescent="0.2">
      <c r="B998" s="152"/>
    </row>
    <row r="999" spans="2:2" x14ac:dyDescent="0.2">
      <c r="B999" s="152"/>
    </row>
    <row r="1000" spans="2:2" x14ac:dyDescent="0.2">
      <c r="B1000" s="152"/>
    </row>
    <row r="1001" spans="2:2" x14ac:dyDescent="0.2">
      <c r="B1001" s="152"/>
    </row>
    <row r="1002" spans="2:2" x14ac:dyDescent="0.2">
      <c r="B1002" s="152"/>
    </row>
    <row r="1003" spans="2:2" x14ac:dyDescent="0.2">
      <c r="B1003" s="152"/>
    </row>
  </sheetData>
  <conditionalFormatting sqref="B5:B7 B11:B12 B18:B108 B14:B16">
    <cfRule type="expression" dxfId="58" priority="7">
      <formula>IF(B5&lt;&gt;"",TRUE,FALSE)</formula>
    </cfRule>
  </conditionalFormatting>
  <conditionalFormatting sqref="B8">
    <cfRule type="expression" dxfId="57" priority="6">
      <formula>IF(B8&lt;&gt;"",TRUE,FALSE)</formula>
    </cfRule>
  </conditionalFormatting>
  <conditionalFormatting sqref="B17">
    <cfRule type="expression" dxfId="56" priority="4">
      <formula>IF(B17&lt;&gt;"",TRUE,FALSE)</formula>
    </cfRule>
  </conditionalFormatting>
  <conditionalFormatting sqref="B9">
    <cfRule type="expression" dxfId="55" priority="3">
      <formula>IF(B9&lt;&gt;"",TRUE,FALSE)</formula>
    </cfRule>
  </conditionalFormatting>
  <conditionalFormatting sqref="B10">
    <cfRule type="expression" dxfId="54" priority="2">
      <formula>IF(B10&lt;&gt;"",TRUE,FALSE)</formula>
    </cfRule>
  </conditionalFormatting>
  <conditionalFormatting sqref="B13">
    <cfRule type="expression" dxfId="53"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zoomScaleNormal="100" workbookViewId="0">
      <selection activeCell="A4" sqref="A4"/>
    </sheetView>
  </sheetViews>
  <sheetFormatPr defaultRowHeight="14.25" x14ac:dyDescent="0.2"/>
  <cols>
    <col min="57" max="57" width="0" hidden="1" customWidth="1"/>
  </cols>
  <sheetData>
    <row r="2" spans="1:9" ht="15" x14ac:dyDescent="0.25">
      <c r="A2" s="2" t="s">
        <v>879</v>
      </c>
    </row>
    <row r="3" spans="1:9" x14ac:dyDescent="0.2">
      <c r="A3" s="273" t="s">
        <v>1305</v>
      </c>
    </row>
    <row r="4" spans="1:9" x14ac:dyDescent="0.2">
      <c r="A4" s="8"/>
      <c r="B4" s="8"/>
      <c r="C4" s="8"/>
      <c r="D4" s="8"/>
      <c r="E4" s="8"/>
      <c r="F4" s="8"/>
      <c r="G4" s="8"/>
      <c r="H4" s="8"/>
      <c r="I4" s="8"/>
    </row>
    <row r="5" spans="1:9" ht="15" x14ac:dyDescent="0.25">
      <c r="A5" s="2" t="s">
        <v>27</v>
      </c>
      <c r="C5" s="407" t="s">
        <v>872</v>
      </c>
      <c r="D5" s="408"/>
      <c r="E5" s="408"/>
      <c r="F5" s="408"/>
      <c r="G5" s="409"/>
    </row>
    <row r="7" spans="1:9" ht="15" x14ac:dyDescent="0.25">
      <c r="A7" s="2" t="s">
        <v>28</v>
      </c>
      <c r="C7" s="407" t="s">
        <v>898</v>
      </c>
      <c r="D7" s="408"/>
      <c r="E7" s="408"/>
      <c r="F7" s="408"/>
      <c r="G7" s="409"/>
    </row>
    <row r="8" spans="1:9" x14ac:dyDescent="0.2">
      <c r="A8" s="8"/>
      <c r="B8" s="8"/>
      <c r="C8" s="8"/>
      <c r="D8" s="8"/>
      <c r="E8" s="8"/>
      <c r="F8" s="8"/>
      <c r="G8" s="8"/>
      <c r="H8" s="8"/>
      <c r="I8" s="8"/>
    </row>
    <row r="9" spans="1:9" x14ac:dyDescent="0.2">
      <c r="A9" s="3"/>
      <c r="B9" s="3"/>
      <c r="C9" s="3"/>
      <c r="D9" s="3"/>
      <c r="E9" s="3"/>
      <c r="F9" s="3"/>
      <c r="G9" s="3"/>
      <c r="H9" s="3"/>
      <c r="I9" s="3"/>
    </row>
    <row r="10" spans="1:9" ht="15" x14ac:dyDescent="0.25">
      <c r="A10" s="2" t="s">
        <v>51</v>
      </c>
      <c r="I10" s="4"/>
    </row>
    <row r="11" spans="1:9" x14ac:dyDescent="0.2">
      <c r="A11" s="399" t="s">
        <v>925</v>
      </c>
      <c r="B11" s="399"/>
      <c r="C11" s="399"/>
      <c r="D11" s="399"/>
      <c r="E11" s="399"/>
      <c r="F11" s="399"/>
      <c r="G11" s="399"/>
      <c r="H11" s="400"/>
      <c r="I11" s="209">
        <v>1</v>
      </c>
    </row>
    <row r="12" spans="1:9" x14ac:dyDescent="0.2">
      <c r="I12" s="4"/>
    </row>
    <row r="13" spans="1:9" ht="15" x14ac:dyDescent="0.25">
      <c r="A13" s="399" t="s">
        <v>424</v>
      </c>
      <c r="B13" s="399"/>
      <c r="C13" s="399"/>
      <c r="D13" s="399"/>
      <c r="E13" s="399"/>
      <c r="F13" s="399"/>
      <c r="G13" s="399"/>
      <c r="H13" s="400"/>
      <c r="I13" s="209" t="s">
        <v>22</v>
      </c>
    </row>
    <row r="14" spans="1:9" x14ac:dyDescent="0.2">
      <c r="I14" s="4"/>
    </row>
    <row r="15" spans="1:9" ht="15" x14ac:dyDescent="0.25">
      <c r="A15" s="399" t="s">
        <v>425</v>
      </c>
      <c r="B15" s="399"/>
      <c r="C15" s="399"/>
      <c r="D15" s="399"/>
      <c r="E15" s="399"/>
      <c r="F15" s="399"/>
      <c r="G15" s="399"/>
      <c r="H15" s="400"/>
      <c r="I15" s="209" t="s">
        <v>22</v>
      </c>
    </row>
    <row r="16" spans="1:9" x14ac:dyDescent="0.2">
      <c r="I16" s="4"/>
    </row>
    <row r="17" spans="1:9" x14ac:dyDescent="0.2">
      <c r="A17" s="399" t="s">
        <v>29</v>
      </c>
      <c r="B17" s="399"/>
      <c r="C17" s="399"/>
      <c r="D17" s="399"/>
      <c r="E17" s="399"/>
      <c r="F17" s="399"/>
      <c r="G17" s="399"/>
      <c r="H17" s="400"/>
      <c r="I17" s="209" t="s">
        <v>21</v>
      </c>
    </row>
    <row r="18" spans="1:9" x14ac:dyDescent="0.2">
      <c r="I18" s="4"/>
    </row>
    <row r="19" spans="1:9" x14ac:dyDescent="0.2">
      <c r="A19" s="399" t="s">
        <v>30</v>
      </c>
      <c r="B19" s="399"/>
      <c r="C19" s="399"/>
      <c r="D19" s="399"/>
      <c r="E19" s="399"/>
      <c r="F19" s="399"/>
      <c r="G19" s="399"/>
      <c r="H19" s="400"/>
      <c r="I19" s="209">
        <v>65</v>
      </c>
    </row>
    <row r="21" spans="1:9" x14ac:dyDescent="0.2">
      <c r="A21" t="s">
        <v>64</v>
      </c>
    </row>
    <row r="22" spans="1:9" x14ac:dyDescent="0.2">
      <c r="A22" s="141">
        <v>1</v>
      </c>
      <c r="B22" s="162" t="s">
        <v>58</v>
      </c>
    </row>
    <row r="23" spans="1:9" x14ac:dyDescent="0.2">
      <c r="A23" s="141">
        <v>2</v>
      </c>
      <c r="B23" s="162" t="s">
        <v>59</v>
      </c>
    </row>
    <row r="24" spans="1:9" x14ac:dyDescent="0.2">
      <c r="A24" s="141">
        <v>3</v>
      </c>
      <c r="B24" s="162" t="s">
        <v>60</v>
      </c>
    </row>
    <row r="26" spans="1:9" x14ac:dyDescent="0.2">
      <c r="G26" s="401" t="s">
        <v>926</v>
      </c>
      <c r="H26" s="402"/>
      <c r="I26" s="403"/>
    </row>
    <row r="27" spans="1:9" ht="19.5" customHeight="1" x14ac:dyDescent="0.2">
      <c r="A27" s="394" t="s">
        <v>31</v>
      </c>
      <c r="B27" s="395"/>
      <c r="C27" s="396" t="s">
        <v>1277</v>
      </c>
      <c r="D27" s="397"/>
      <c r="E27" s="397"/>
      <c r="F27" s="398"/>
      <c r="G27" s="404">
        <v>30</v>
      </c>
      <c r="H27" s="405"/>
      <c r="I27" s="406"/>
    </row>
    <row r="28" spans="1:9" ht="19.5" hidden="1" customHeight="1" x14ac:dyDescent="0.2">
      <c r="A28" s="394" t="s">
        <v>33</v>
      </c>
      <c r="B28" s="395"/>
      <c r="C28" s="396" t="s">
        <v>1278</v>
      </c>
      <c r="D28" s="397"/>
      <c r="E28" s="397"/>
      <c r="F28" s="398"/>
      <c r="G28" s="404">
        <v>30</v>
      </c>
      <c r="H28" s="405"/>
      <c r="I28" s="406"/>
    </row>
    <row r="29" spans="1:9" ht="19.5" hidden="1" customHeight="1" x14ac:dyDescent="0.2">
      <c r="A29" s="394" t="s">
        <v>35</v>
      </c>
      <c r="B29" s="395"/>
      <c r="C29" s="396" t="s">
        <v>1279</v>
      </c>
      <c r="D29" s="397"/>
      <c r="E29" s="397"/>
      <c r="F29" s="398"/>
      <c r="G29" s="404">
        <v>20</v>
      </c>
      <c r="H29" s="405"/>
      <c r="I29" s="406"/>
    </row>
    <row r="30" spans="1:9" ht="19.5" hidden="1" customHeight="1" x14ac:dyDescent="0.2">
      <c r="A30" s="394" t="s">
        <v>37</v>
      </c>
      <c r="B30" s="395"/>
      <c r="C30" s="396" t="s">
        <v>38</v>
      </c>
      <c r="D30" s="397"/>
      <c r="E30" s="397"/>
      <c r="F30" s="398"/>
      <c r="G30" s="404">
        <v>2</v>
      </c>
      <c r="H30" s="405"/>
      <c r="I30" s="406"/>
    </row>
    <row r="31" spans="1:9" ht="19.5" hidden="1" customHeight="1" x14ac:dyDescent="0.2">
      <c r="A31" s="394" t="s">
        <v>39</v>
      </c>
      <c r="B31" s="395"/>
      <c r="C31" s="396" t="s">
        <v>40</v>
      </c>
      <c r="D31" s="397"/>
      <c r="E31" s="397"/>
      <c r="F31" s="398"/>
      <c r="G31" s="404">
        <v>4</v>
      </c>
      <c r="H31" s="405"/>
      <c r="I31" s="406"/>
    </row>
    <row r="32" spans="1:9" ht="19.5" hidden="1" customHeight="1" x14ac:dyDescent="0.2">
      <c r="A32" s="394" t="s">
        <v>41</v>
      </c>
      <c r="B32" s="395"/>
      <c r="C32" s="396" t="s">
        <v>42</v>
      </c>
      <c r="D32" s="397"/>
      <c r="E32" s="397"/>
      <c r="F32" s="398"/>
      <c r="G32" s="404">
        <v>8</v>
      </c>
      <c r="H32" s="405"/>
      <c r="I32" s="406"/>
    </row>
    <row r="33" spans="1:9" ht="19.5" hidden="1" customHeight="1" x14ac:dyDescent="0.2">
      <c r="A33" s="394" t="s">
        <v>43</v>
      </c>
      <c r="B33" s="395"/>
      <c r="C33" s="396" t="s">
        <v>44</v>
      </c>
      <c r="D33" s="397"/>
      <c r="E33" s="397"/>
      <c r="F33" s="398"/>
      <c r="G33" s="404">
        <v>16</v>
      </c>
      <c r="H33" s="405"/>
      <c r="I33" s="406"/>
    </row>
    <row r="34" spans="1:9" ht="19.5" hidden="1" customHeight="1" x14ac:dyDescent="0.2">
      <c r="A34" s="394" t="s">
        <v>45</v>
      </c>
      <c r="B34" s="395"/>
      <c r="C34" s="396" t="s">
        <v>46</v>
      </c>
      <c r="D34" s="397"/>
      <c r="E34" s="397"/>
      <c r="F34" s="398"/>
      <c r="G34" s="404">
        <v>32</v>
      </c>
      <c r="H34" s="405"/>
      <c r="I34" s="406"/>
    </row>
    <row r="35" spans="1:9" ht="19.5" hidden="1" customHeight="1" x14ac:dyDescent="0.2">
      <c r="A35" s="394" t="s">
        <v>47</v>
      </c>
      <c r="B35" s="395"/>
      <c r="C35" s="396" t="s">
        <v>48</v>
      </c>
      <c r="D35" s="397"/>
      <c r="E35" s="397"/>
      <c r="F35" s="398"/>
      <c r="G35" s="404">
        <v>64</v>
      </c>
      <c r="H35" s="405"/>
      <c r="I35" s="406"/>
    </row>
    <row r="36" spans="1:9" ht="19.5" hidden="1" customHeight="1" x14ac:dyDescent="0.2">
      <c r="A36" s="394" t="s">
        <v>49</v>
      </c>
      <c r="B36" s="395"/>
      <c r="C36" s="396" t="s">
        <v>50</v>
      </c>
      <c r="D36" s="397"/>
      <c r="E36" s="397"/>
      <c r="F36" s="398"/>
      <c r="G36" s="404">
        <v>128</v>
      </c>
      <c r="H36" s="405"/>
      <c r="I36" s="406"/>
    </row>
  </sheetData>
  <sheetProtection algorithmName="SHA-512" hashValue="ZdyzncPJL2auMNmGkxN5HwKNtuuwyJz0qEO2a+3F40/g+cXi5/LMMILPY5J8oIvZe3oKLK8chFmoq2j6skm/NQ==" saltValue="KKtSWA5lNbQJOgGT2nFNpA=="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400050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xm:sqref>
        </x14:dataValidation>
        <x14:dataValidation type="list" allowBlank="1" showInputMessage="1" xr:uid="{00000000-0002-0000-0400-000005000000}">
          <x14:formula1>
            <xm:f>OFFSET(List!$D$10,0,0,List!$A$10,1)</xm:f>
          </x14:formula1>
          <xm:sqref>C7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C6" sqref="C6"/>
    </sheetView>
  </sheetViews>
  <sheetFormatPr defaultRowHeight="14.25" x14ac:dyDescent="0.2"/>
  <cols>
    <col min="1" max="1" width="9" hidden="1" customWidth="1"/>
    <col min="2" max="2" width="15.5" customWidth="1"/>
    <col min="3" max="3" width="14.125" bestFit="1" customWidth="1"/>
    <col min="4" max="4" width="15.75" hidden="1" customWidth="1"/>
    <col min="5" max="7" width="10.625" customWidth="1"/>
    <col min="8" max="53" width="10.625" hidden="1" customWidth="1"/>
    <col min="54" max="54" width="9" hidden="1" customWidth="1"/>
    <col min="55" max="56" width="9.125" customWidth="1"/>
    <col min="59" max="59" width="9.75" bestFit="1" customWidth="1"/>
  </cols>
  <sheetData>
    <row r="1" spans="1:57" x14ac:dyDescent="0.2">
      <c r="A1" t="s">
        <v>53</v>
      </c>
    </row>
    <row r="2" spans="1:57" x14ac:dyDescent="0.2">
      <c r="B2" t="s">
        <v>103</v>
      </c>
    </row>
    <row r="3" spans="1:57" x14ac:dyDescent="0.2">
      <c r="A3" t="s">
        <v>55</v>
      </c>
      <c r="B3" t="s">
        <v>112</v>
      </c>
    </row>
    <row r="5" spans="1:57" x14ac:dyDescent="0.2">
      <c r="A5" t="s">
        <v>54</v>
      </c>
    </row>
    <row r="6" spans="1:57" x14ac:dyDescent="0.2">
      <c r="A6">
        <f ca="1">IF(LEFT($C$8,1)="H",MAX(A13:A272),MAX(MAX(A13:A272),52))</f>
        <v>1</v>
      </c>
      <c r="B6" t="s">
        <v>1204</v>
      </c>
      <c r="C6" s="331"/>
      <c r="K6" s="72"/>
    </row>
    <row r="7" spans="1:57" ht="14.25" hidden="1" customHeight="1" x14ac:dyDescent="0.2">
      <c r="B7" t="s">
        <v>1176</v>
      </c>
      <c r="C7" s="162">
        <v>4</v>
      </c>
    </row>
    <row r="8" spans="1:57" x14ac:dyDescent="0.2">
      <c r="B8" t="s">
        <v>1177</v>
      </c>
      <c r="C8" s="333" t="s">
        <v>1299</v>
      </c>
    </row>
    <row r="9" spans="1:57" x14ac:dyDescent="0.2">
      <c r="B9" s="339" t="str">
        <f>IF(LEFT(C8,1)="M","Note: SPC Chart is disabled when using your own forecast.","")</f>
        <v/>
      </c>
    </row>
    <row r="10" spans="1:57" ht="13.9" customHeight="1" x14ac:dyDescent="0.2">
      <c r="B10" s="413" t="s">
        <v>128</v>
      </c>
      <c r="C10" s="413" t="s">
        <v>56</v>
      </c>
      <c r="D10" s="410" t="s">
        <v>1205</v>
      </c>
      <c r="E10" s="266" t="str">
        <f ca="1">OFFSET('Control sheet (hide)'!$AA$3,QUOTIENT(COLUMN(Demand!E9)-4,5),0,1,1)</f>
        <v>Test name 1</v>
      </c>
      <c r="F10" s="266"/>
      <c r="G10" s="266"/>
      <c r="H10" s="266"/>
      <c r="I10" s="266"/>
      <c r="J10" s="266" t="str">
        <f ca="1">OFFSET('Control sheet (hide)'!$AA$3,QUOTIENT(COLUMN(Demand!J9)-4,5),0,1,1)</f>
        <v>Test name 2</v>
      </c>
      <c r="K10" s="266"/>
      <c r="L10" s="266"/>
      <c r="M10" s="266"/>
      <c r="N10" s="266"/>
      <c r="O10" s="266" t="str">
        <f ca="1">OFFSET('Control sheet (hide)'!$AA$3,QUOTIENT(COLUMN(Demand!O9)-4,5),0,1,1)</f>
        <v>Another modality</v>
      </c>
      <c r="P10" s="266"/>
      <c r="Q10" s="266"/>
      <c r="R10" s="266"/>
      <c r="S10" s="266"/>
      <c r="T10" s="266" t="str">
        <f ca="1">OFFSET('Control sheet (hide)'!$AA$3,QUOTIENT(COLUMN(Demand!T9)-4,5),0,1,1)</f>
        <v>Modality 4</v>
      </c>
      <c r="U10" s="266"/>
      <c r="V10" s="266"/>
      <c r="W10" s="266"/>
      <c r="X10" s="266"/>
      <c r="Y10" s="266" t="str">
        <f ca="1">OFFSET('Control sheet (hide)'!$AA$3,QUOTIENT(COLUMN(Demand!Y9)-4,5),0,1,1)</f>
        <v>Modality 5</v>
      </c>
      <c r="Z10" s="266"/>
      <c r="AA10" s="266"/>
      <c r="AB10" s="266"/>
      <c r="AC10" s="266"/>
      <c r="AD10" s="266" t="str">
        <f ca="1">OFFSET('Control sheet (hide)'!$AA$3,QUOTIENT(COLUMN(Demand!AD9)-4,5),0,1,1)</f>
        <v>Modality 6</v>
      </c>
      <c r="AE10" s="266"/>
      <c r="AF10" s="266"/>
      <c r="AG10" s="266"/>
      <c r="AH10" s="266"/>
      <c r="AI10" s="266" t="str">
        <f ca="1">OFFSET('Control sheet (hide)'!$AA$3,QUOTIENT(COLUMN(Demand!AI9)-4,5),0,1,1)</f>
        <v>Modality 7</v>
      </c>
      <c r="AJ10" s="266"/>
      <c r="AK10" s="266"/>
      <c r="AL10" s="266"/>
      <c r="AM10" s="266"/>
      <c r="AN10" s="266" t="str">
        <f ca="1">OFFSET('Control sheet (hide)'!$AA$3,QUOTIENT(COLUMN(Demand!AN9)-4,5),0,1,1)</f>
        <v>Modality 8</v>
      </c>
      <c r="AO10" s="266"/>
      <c r="AP10" s="266"/>
      <c r="AQ10" s="266"/>
      <c r="AR10" s="266"/>
      <c r="AS10" s="266" t="str">
        <f ca="1">OFFSET('Control sheet (hide)'!$AA$3,QUOTIENT(COLUMN(Demand!AS9)-4,5),0,1,1)</f>
        <v>Modality 9</v>
      </c>
      <c r="AT10" s="266"/>
      <c r="AU10" s="266"/>
      <c r="AV10" s="266"/>
      <c r="AW10" s="266"/>
      <c r="AX10" s="266" t="str">
        <f ca="1">OFFSET('Control sheet (hide)'!$AA$3,QUOTIENT(COLUMN(Demand!AX9)-4,5),0,1,1)</f>
        <v>Modality 10</v>
      </c>
      <c r="AY10" s="266"/>
      <c r="AZ10" s="266"/>
      <c r="BA10" s="266"/>
      <c r="BB10" s="266"/>
      <c r="BC10" s="410" t="str">
        <f>"Total"&amp;IF(Setup!$I$17&lt;&gt;"Patients","
(Patients)","")</f>
        <v>Total
(Patients)</v>
      </c>
      <c r="BD10" s="410" t="str">
        <f>"Total
("&amp;Setup!$I$17&amp;")"</f>
        <v>Total
(Minutes)</v>
      </c>
      <c r="BE10" s="410" t="s">
        <v>111</v>
      </c>
    </row>
    <row r="11" spans="1:57" ht="14.25" customHeight="1" x14ac:dyDescent="0.2">
      <c r="B11" s="413"/>
      <c r="C11" s="413"/>
      <c r="D11" s="410"/>
      <c r="E11" s="6" t="str">
        <f>IF(Setup!$I$17&lt;&gt;"Patients",Setup!$I$17&amp;":","")</f>
        <v>Minutes:</v>
      </c>
      <c r="F11" s="340">
        <v>30</v>
      </c>
      <c r="G11" s="6"/>
      <c r="H11" s="6"/>
      <c r="I11" s="6"/>
      <c r="J11" s="6" t="str">
        <f>IF(Setup!$I$17&lt;&gt;"Patients",Setup!$I$17&amp;":","")</f>
        <v>Minutes:</v>
      </c>
      <c r="K11" s="340">
        <v>40</v>
      </c>
      <c r="L11" s="6"/>
      <c r="M11" s="6"/>
      <c r="N11" s="6"/>
      <c r="O11" s="6" t="str">
        <f>IF(Setup!$I$17&lt;&gt;"Patients",Setup!$I$17&amp;":","")</f>
        <v>Minutes:</v>
      </c>
      <c r="P11" s="340">
        <v>1</v>
      </c>
      <c r="Q11" s="6"/>
      <c r="R11" s="6"/>
      <c r="S11" s="6"/>
      <c r="T11" s="6" t="str">
        <f>IF(Setup!$I$17&lt;&gt;"Patients",Setup!$I$17&amp;":","")</f>
        <v>Minutes:</v>
      </c>
      <c r="U11" s="340">
        <v>1</v>
      </c>
      <c r="V11" s="6"/>
      <c r="W11" s="6"/>
      <c r="X11" s="6"/>
      <c r="Y11" s="6" t="str">
        <f>IF(Setup!$I$17&lt;&gt;"Patients",Setup!$I$17&amp;":","")</f>
        <v>Minutes:</v>
      </c>
      <c r="Z11" s="340">
        <v>1</v>
      </c>
      <c r="AA11" s="6"/>
      <c r="AB11" s="6"/>
      <c r="AC11" s="6"/>
      <c r="AD11" s="6" t="str">
        <f>IF(Setup!$I$17&lt;&gt;"Patients",Setup!$I$17&amp;":","")</f>
        <v>Minutes:</v>
      </c>
      <c r="AE11" s="340">
        <v>1</v>
      </c>
      <c r="AF11" s="6"/>
      <c r="AG11" s="6"/>
      <c r="AH11" s="6"/>
      <c r="AI11" s="6" t="str">
        <f>IF(Setup!$I$17&lt;&gt;"Patients",Setup!$I$17&amp;":","")</f>
        <v>Minutes:</v>
      </c>
      <c r="AJ11" s="340">
        <v>1</v>
      </c>
      <c r="AK11" s="6"/>
      <c r="AL11" s="6"/>
      <c r="AM11" s="6"/>
      <c r="AN11" s="6" t="str">
        <f>IF(Setup!$I$17&lt;&gt;"Patients",Setup!$I$17&amp;":","")</f>
        <v>Minutes:</v>
      </c>
      <c r="AO11" s="340">
        <v>1</v>
      </c>
      <c r="AP11" s="6"/>
      <c r="AQ11" s="6"/>
      <c r="AR11" s="6"/>
      <c r="AS11" s="6" t="str">
        <f>IF(Setup!$I$17&lt;&gt;"Patients",Setup!$I$17&amp;":","")</f>
        <v>Minutes:</v>
      </c>
      <c r="AT11" s="340">
        <v>1</v>
      </c>
      <c r="AU11" s="6"/>
      <c r="AV11" s="6"/>
      <c r="AW11" s="6"/>
      <c r="AX11" s="6" t="str">
        <f>IF(Setup!$I$17&lt;&gt;"Patients",Setup!$I$17&amp;":","")</f>
        <v>Minutes:</v>
      </c>
      <c r="AY11" s="340">
        <v>1</v>
      </c>
      <c r="AZ11" s="6"/>
      <c r="BA11" s="6"/>
      <c r="BB11" s="6"/>
      <c r="BC11" s="410"/>
      <c r="BD11" s="410"/>
      <c r="BE11" s="410"/>
    </row>
    <row r="12" spans="1:57" ht="15" thickBot="1" x14ac:dyDescent="0.25">
      <c r="B12" s="413"/>
      <c r="C12" s="414"/>
      <c r="D12" s="412"/>
      <c r="E12" s="6" t="str">
        <f ca="1">OFFSET(Setup!$B$21,MOD(COLUMN(A1),5),0,1,1)</f>
        <v>2WW</v>
      </c>
      <c r="F12" s="6" t="str">
        <f ca="1">OFFSET(Setup!$B$21,MOD(COLUMN(B1),5),0,1,1)</f>
        <v>Urgent</v>
      </c>
      <c r="G12" s="6" t="str">
        <f ca="1">OFFSET(Setup!$B$21,MOD(COLUMN(C1),5),0,1,1)</f>
        <v>Routine</v>
      </c>
      <c r="H12" s="6" t="s">
        <v>61</v>
      </c>
      <c r="I12" s="6" t="s">
        <v>57</v>
      </c>
      <c r="J12" s="6" t="str">
        <f ca="1">OFFSET(Setup!$B$21,MOD(COLUMN(F1),5),0,1,1)</f>
        <v>2WW</v>
      </c>
      <c r="K12" s="6" t="str">
        <f ca="1">OFFSET(Setup!$B$21,MOD(COLUMN(G1),5),0,1,1)</f>
        <v>Urgent</v>
      </c>
      <c r="L12" s="6" t="str">
        <f ca="1">OFFSET(Setup!$B$21,MOD(COLUMN(H1),5),0,1,1)</f>
        <v>Routine</v>
      </c>
      <c r="M12" s="6" t="s">
        <v>61</v>
      </c>
      <c r="N12" s="6" t="s">
        <v>57</v>
      </c>
      <c r="O12" s="6" t="str">
        <f ca="1">OFFSET(Setup!$B$21,MOD(COLUMN(K1),5),0,1,1)</f>
        <v>2WW</v>
      </c>
      <c r="P12" s="6" t="str">
        <f ca="1">OFFSET(Setup!$B$21,MOD(COLUMN(L1),5),0,1,1)</f>
        <v>Urgent</v>
      </c>
      <c r="Q12" s="6" t="str">
        <f ca="1">OFFSET(Setup!$B$21,MOD(COLUMN(M1),5),0,1,1)</f>
        <v>Routine</v>
      </c>
      <c r="R12" s="6" t="s">
        <v>61</v>
      </c>
      <c r="S12" s="6" t="s">
        <v>57</v>
      </c>
      <c r="T12" s="6" t="str">
        <f ca="1">OFFSET(Setup!$B$21,MOD(COLUMN(P1),5),0,1,1)</f>
        <v>2WW</v>
      </c>
      <c r="U12" s="6" t="str">
        <f ca="1">OFFSET(Setup!$B$21,MOD(COLUMN(Q1),5),0,1,1)</f>
        <v>Urgent</v>
      </c>
      <c r="V12" s="6" t="str">
        <f ca="1">OFFSET(Setup!$B$21,MOD(COLUMN(R1),5),0,1,1)</f>
        <v>Routine</v>
      </c>
      <c r="W12" s="6" t="s">
        <v>61</v>
      </c>
      <c r="X12" s="6" t="s">
        <v>57</v>
      </c>
      <c r="Y12" s="6" t="str">
        <f ca="1">OFFSET(Setup!$B$21,MOD(COLUMN(U1),5),0,1,1)</f>
        <v>2WW</v>
      </c>
      <c r="Z12" s="6" t="str">
        <f ca="1">OFFSET(Setup!$B$21,MOD(COLUMN(V1),5),0,1,1)</f>
        <v>Urgent</v>
      </c>
      <c r="AA12" s="6" t="str">
        <f ca="1">OFFSET(Setup!$B$21,MOD(COLUMN(W1),5),0,1,1)</f>
        <v>Routine</v>
      </c>
      <c r="AB12" s="6" t="s">
        <v>61</v>
      </c>
      <c r="AC12" s="6" t="s">
        <v>57</v>
      </c>
      <c r="AD12" s="6" t="str">
        <f ca="1">OFFSET(Setup!$B$21,MOD(COLUMN(Z1),5),0,1,1)</f>
        <v>2WW</v>
      </c>
      <c r="AE12" s="6" t="str">
        <f ca="1">OFFSET(Setup!$B$21,MOD(COLUMN(AA1),5),0,1,1)</f>
        <v>Urgent</v>
      </c>
      <c r="AF12" s="6" t="str">
        <f ca="1">OFFSET(Setup!$B$21,MOD(COLUMN(AB1),5),0,1,1)</f>
        <v>Routine</v>
      </c>
      <c r="AG12" s="6" t="s">
        <v>61</v>
      </c>
      <c r="AH12" s="6" t="s">
        <v>57</v>
      </c>
      <c r="AI12" s="6" t="str">
        <f ca="1">OFFSET(Setup!$B$21,MOD(COLUMN(AE1),5),0,1,1)</f>
        <v>2WW</v>
      </c>
      <c r="AJ12" s="6" t="str">
        <f ca="1">OFFSET(Setup!$B$21,MOD(COLUMN(AF1),5),0,1,1)</f>
        <v>Urgent</v>
      </c>
      <c r="AK12" s="6" t="str">
        <f ca="1">OFFSET(Setup!$B$21,MOD(COLUMN(AG1),5),0,1,1)</f>
        <v>Routine</v>
      </c>
      <c r="AL12" s="6" t="s">
        <v>61</v>
      </c>
      <c r="AM12" s="6" t="s">
        <v>57</v>
      </c>
      <c r="AN12" s="6" t="str">
        <f ca="1">OFFSET(Setup!$B$21,MOD(COLUMN(AJ1),5),0,1,1)</f>
        <v>2WW</v>
      </c>
      <c r="AO12" s="6" t="str">
        <f ca="1">OFFSET(Setup!$B$21,MOD(COLUMN(AK1),5),0,1,1)</f>
        <v>Urgent</v>
      </c>
      <c r="AP12" s="6" t="str">
        <f ca="1">OFFSET(Setup!$B$21,MOD(COLUMN(AL1),5),0,1,1)</f>
        <v>Routine</v>
      </c>
      <c r="AQ12" s="6" t="s">
        <v>61</v>
      </c>
      <c r="AR12" s="6" t="s">
        <v>57</v>
      </c>
      <c r="AS12" s="6" t="str">
        <f ca="1">OFFSET(Setup!$B$21,MOD(COLUMN(AO1),5),0,1,1)</f>
        <v>2WW</v>
      </c>
      <c r="AT12" s="6" t="str">
        <f ca="1">OFFSET(Setup!$B$21,MOD(COLUMN(AP1),5),0,1,1)</f>
        <v>Urgent</v>
      </c>
      <c r="AU12" s="6" t="str">
        <f ca="1">OFFSET(Setup!$B$21,MOD(COLUMN(AQ1),5),0,1,1)</f>
        <v>Routine</v>
      </c>
      <c r="AV12" s="6" t="s">
        <v>61</v>
      </c>
      <c r="AW12" s="6" t="s">
        <v>57</v>
      </c>
      <c r="AX12" s="6" t="str">
        <f ca="1">OFFSET(Setup!$B$21,MOD(COLUMN(AT1),5),0,1,1)</f>
        <v>2WW</v>
      </c>
      <c r="AY12" s="6" t="str">
        <f ca="1">OFFSET(Setup!$B$21,MOD(COLUMN(AU1),5),0,1,1)</f>
        <v>Urgent</v>
      </c>
      <c r="AZ12" s="6" t="str">
        <f ca="1">OFFSET(Setup!$B$21,MOD(COLUMN(AV1),5),0,1,1)</f>
        <v>Routine</v>
      </c>
      <c r="BA12" s="6" t="s">
        <v>61</v>
      </c>
      <c r="BB12" s="6" t="s">
        <v>57</v>
      </c>
      <c r="BC12" s="411"/>
      <c r="BD12" s="411"/>
      <c r="BE12" s="411"/>
    </row>
    <row r="13" spans="1:57" ht="15" x14ac:dyDescent="0.25">
      <c r="A13">
        <v>1</v>
      </c>
      <c r="B13" s="259">
        <f>IF(C6&lt;&gt;"",YEAR(D13),1)</f>
        <v>1</v>
      </c>
      <c r="C13" s="260">
        <f>IF(C$6&lt;&gt;"",WEEKNUM($C$6, 21),1)</f>
        <v>1</v>
      </c>
      <c r="D13" s="260" t="str">
        <f>IF($C$6&lt;&gt;"",$C$6-WEEKDAY($C$6,3),"")</f>
        <v/>
      </c>
      <c r="E13" s="179"/>
      <c r="F13" s="180"/>
      <c r="G13" s="181"/>
      <c r="H13" s="182"/>
      <c r="I13" s="247" t="str">
        <f>IF(COUNTBLANK(E13:H13)=4,"",SUM(E13:G13)+IF(Setup!$I$15="No",0,H13))</f>
        <v/>
      </c>
      <c r="J13" s="193"/>
      <c r="K13" s="194"/>
      <c r="L13" s="195"/>
      <c r="M13" s="196"/>
      <c r="N13" s="251" t="str">
        <f>IF(COUNTBLANK(J13:M13)=4,"",SUM(J13:L13)+IF(Setup!$I$15="No",0,M13))</f>
        <v/>
      </c>
      <c r="O13" s="179"/>
      <c r="P13" s="180"/>
      <c r="Q13" s="181"/>
      <c r="R13" s="182"/>
      <c r="S13" s="247" t="str">
        <f>IF(COUNTBLANK(O13:R13)=4,"",SUM(O13:Q13)+IF(Setup!$I$15="No",0,R13))</f>
        <v/>
      </c>
      <c r="T13" s="193"/>
      <c r="U13" s="194"/>
      <c r="V13" s="195"/>
      <c r="W13" s="196"/>
      <c r="X13" s="251" t="str">
        <f>IF(COUNTBLANK(T13:W13)=4,"",SUM(T13:V13)+IF(Setup!$I$15="No",0,W13))</f>
        <v/>
      </c>
      <c r="Y13" s="179"/>
      <c r="Z13" s="180"/>
      <c r="AA13" s="181"/>
      <c r="AB13" s="182"/>
      <c r="AC13" s="247" t="str">
        <f>IF(COUNTBLANK(Y13:AB13)=4,"",SUM(Y13:AA13)+IF(Setup!$I$15="No",0,AB13))</f>
        <v/>
      </c>
      <c r="AD13" s="193"/>
      <c r="AE13" s="194"/>
      <c r="AF13" s="195"/>
      <c r="AG13" s="196"/>
      <c r="AH13" s="251" t="str">
        <f>IF(COUNTBLANK(AD13:AG13)=4,"",SUM(AD13:AF13)+IF(Setup!$I$15="No",0,AG13))</f>
        <v/>
      </c>
      <c r="AI13" s="179"/>
      <c r="AJ13" s="180"/>
      <c r="AK13" s="181"/>
      <c r="AL13" s="182"/>
      <c r="AM13" s="247" t="str">
        <f>IF(COUNTBLANK(AI13:AL13)=4,"",SUM(AI13:AK13)+IF(Setup!$I$15="No",0,AL13))</f>
        <v/>
      </c>
      <c r="AN13" s="193"/>
      <c r="AO13" s="194"/>
      <c r="AP13" s="195"/>
      <c r="AQ13" s="196"/>
      <c r="AR13" s="251" t="str">
        <f>IF(COUNTBLANK(AN13:AQ13)=4,"",SUM(AN13:AP13)+IF(Setup!$I$15="No",0,AQ13))</f>
        <v/>
      </c>
      <c r="AS13" s="179"/>
      <c r="AT13" s="180"/>
      <c r="AU13" s="181"/>
      <c r="AV13" s="182"/>
      <c r="AW13" s="247" t="str">
        <f>IF(COUNTBLANK(AS13:AV13)=4,"",SUM(AS13:AU13)+IF(Setup!$I$15="No",0,AV13))</f>
        <v/>
      </c>
      <c r="AX13" s="193"/>
      <c r="AY13" s="194"/>
      <c r="AZ13" s="195"/>
      <c r="BA13" s="196"/>
      <c r="BB13" s="251" t="str">
        <f>IF(COUNTBLANK(AX13:BA13)=4,"",SUM(AX13:AZ13)+IF(Setup!$I$15="No",0,BA13))</f>
        <v/>
      </c>
      <c r="BC13" s="255" t="str">
        <f ca="1">IF('Demand background (hide)'!A4=Num_Modalities,"",SUM(Demand!I13))</f>
        <v/>
      </c>
      <c r="BD13" s="255">
        <f ca="1">IF(AND(A13&lt;=MaxRows,BE13&lt;&gt;"Yes"),'Demand background (hide)'!X4+IF(Setup!$I$15="Yes",'Demand background (hide)'!AJ4,0),"")</f>
        <v>0</v>
      </c>
      <c r="BE13" s="205"/>
    </row>
    <row r="14" spans="1:57" ht="15" x14ac:dyDescent="0.25">
      <c r="A14" t="str">
        <f t="shared" ref="A14:A76" ca="1" si="0">IF(BC14&lt;&gt;"",ROW(A2),"")</f>
        <v/>
      </c>
      <c r="B14" s="259" t="str">
        <f t="shared" ref="B14:B77" ca="1" si="1">IF(A14&lt;=MaxRows,IF($C$6&lt;&gt;"",IF(YEAR(D14)&lt;&gt;YEAR(D13),YEAR(D14)," "),IF(C14&lt;&gt;1,"",OFFSET(B14,-C13,0,1,1)+1))," ")</f>
        <v xml:space="preserve"> </v>
      </c>
      <c r="C14" s="261" t="str">
        <f t="shared" ref="C14:C77" ca="1" si="2">IF(ROW(A2)&lt;=MaxRows,IF($C$6&lt;&gt;"",WEEKNUM(D14,21),IF(MOD((C13+1),52)&gt;0,MOD((C13+1),52),52)),"")</f>
        <v/>
      </c>
      <c r="D14" s="261" t="str">
        <f t="shared" ref="D14:D77" ca="1" si="3">IF(OR(AND(ROW(A2)&lt;=MaxRows,$C$6&lt;&gt;""),AND(ROW(A14)&lt;=64,LEFT($C$8,1)&lt;&gt;"H")),D13+7,"")</f>
        <v/>
      </c>
      <c r="E14" s="183"/>
      <c r="F14" s="184"/>
      <c r="G14" s="185"/>
      <c r="H14" s="186"/>
      <c r="I14" s="248" t="str">
        <f>IF(COUNTBLANK(E14:H14)=4,"",SUM(E14:G14)+IF(Setup!$I$15="No",0,H14))</f>
        <v/>
      </c>
      <c r="J14" s="197"/>
      <c r="K14" s="198"/>
      <c r="L14" s="199"/>
      <c r="M14" s="200"/>
      <c r="N14" s="252" t="str">
        <f>IF(COUNTBLANK(J14:M14)=4,"",SUM(J14:L14)+IF(Setup!$I$15="No",0,M14))</f>
        <v/>
      </c>
      <c r="O14" s="183"/>
      <c r="P14" s="184"/>
      <c r="Q14" s="185"/>
      <c r="R14" s="186"/>
      <c r="S14" s="248" t="str">
        <f>IF(COUNTBLANK(O14:R14)=4,"",SUM(O14:Q14)+IF(Setup!$I$15="No",0,R14))</f>
        <v/>
      </c>
      <c r="T14" s="197"/>
      <c r="U14" s="198"/>
      <c r="V14" s="199"/>
      <c r="W14" s="200"/>
      <c r="X14" s="252" t="str">
        <f>IF(COUNTBLANK(T14:W14)=4,"",SUM(T14:V14)+IF(Setup!$I$15="No",0,W14))</f>
        <v/>
      </c>
      <c r="Y14" s="183"/>
      <c r="Z14" s="184"/>
      <c r="AA14" s="185"/>
      <c r="AB14" s="186"/>
      <c r="AC14" s="248" t="str">
        <f>IF(COUNTBLANK(Y14:AB14)=4,"",SUM(Y14:AA14)+IF(Setup!$I$15="No",0,AB14))</f>
        <v/>
      </c>
      <c r="AD14" s="197"/>
      <c r="AE14" s="198"/>
      <c r="AF14" s="199"/>
      <c r="AG14" s="200"/>
      <c r="AH14" s="252" t="str">
        <f>IF(COUNTBLANK(AD14:AG14)=4,"",SUM(AD14:AF14)+IF(Setup!$I$15="No",0,AG14))</f>
        <v/>
      </c>
      <c r="AI14" s="183"/>
      <c r="AJ14" s="184"/>
      <c r="AK14" s="185"/>
      <c r="AL14" s="186"/>
      <c r="AM14" s="248" t="str">
        <f>IF(COUNTBLANK(AI14:AL14)=4,"",SUM(AI14:AK14)+IF(Setup!$I$15="No",0,AL14))</f>
        <v/>
      </c>
      <c r="AN14" s="197"/>
      <c r="AO14" s="198"/>
      <c r="AP14" s="199"/>
      <c r="AQ14" s="200"/>
      <c r="AR14" s="252" t="str">
        <f>IF(COUNTBLANK(AN14:AQ14)=4,"",SUM(AN14:AP14)+IF(Setup!$I$15="No",0,AQ14))</f>
        <v/>
      </c>
      <c r="AS14" s="183"/>
      <c r="AT14" s="184"/>
      <c r="AU14" s="185"/>
      <c r="AV14" s="186"/>
      <c r="AW14" s="248" t="str">
        <f>IF(COUNTBLANK(AS14:AV14)=4,"",SUM(AS14:AU14)+IF(Setup!$I$15="No",0,AV14))</f>
        <v/>
      </c>
      <c r="AX14" s="197"/>
      <c r="AY14" s="198"/>
      <c r="AZ14" s="199"/>
      <c r="BA14" s="200"/>
      <c r="BB14" s="252" t="str">
        <f>IF(COUNTBLANK(AX14:BA14)=4,"",SUM(AX14:AZ14)+IF(Setup!$I$15="No",0,BA14))</f>
        <v/>
      </c>
      <c r="BC14" s="256" t="str">
        <f ca="1">IF('Demand background (hide)'!A5=Num_Modalities,"",SUM(Demand!I14))</f>
        <v/>
      </c>
      <c r="BD14" s="256" t="str">
        <f ca="1">IF(AND(A14&lt;=MaxRows,BE14&lt;&gt;"Yes"),'Demand background (hide)'!X5+IF(Setup!$I$15="Yes",'Demand background (hide)'!AJ5,0),"")</f>
        <v/>
      </c>
      <c r="BE14" s="206"/>
    </row>
    <row r="15" spans="1:57" ht="15" x14ac:dyDescent="0.25">
      <c r="A15" t="str">
        <f t="shared" ca="1" si="0"/>
        <v/>
      </c>
      <c r="B15" s="259" t="str">
        <f t="shared" ca="1" si="1"/>
        <v xml:space="preserve"> </v>
      </c>
      <c r="C15" s="261" t="str">
        <f t="shared" ca="1" si="2"/>
        <v/>
      </c>
      <c r="D15" s="261" t="str">
        <f t="shared" ca="1" si="3"/>
        <v/>
      </c>
      <c r="E15" s="183"/>
      <c r="F15" s="184"/>
      <c r="G15" s="185"/>
      <c r="H15" s="186"/>
      <c r="I15" s="248" t="str">
        <f>IF(COUNTBLANK(E15:H15)=4,"",SUM(E15:G15)+IF(Setup!$I$15="No",0,H15))</f>
        <v/>
      </c>
      <c r="J15" s="197"/>
      <c r="K15" s="198"/>
      <c r="L15" s="199"/>
      <c r="M15" s="200"/>
      <c r="N15" s="252" t="str">
        <f>IF(COUNTBLANK(J15:M15)=4,"",SUM(J15:L15)+IF(Setup!$I$15="No",0,M15))</f>
        <v/>
      </c>
      <c r="O15" s="183"/>
      <c r="P15" s="184"/>
      <c r="Q15" s="185"/>
      <c r="R15" s="186"/>
      <c r="S15" s="248" t="str">
        <f>IF(COUNTBLANK(O15:R15)=4,"",SUM(O15:Q15)+IF(Setup!$I$15="No",0,R15))</f>
        <v/>
      </c>
      <c r="T15" s="197"/>
      <c r="U15" s="198"/>
      <c r="V15" s="199"/>
      <c r="W15" s="200"/>
      <c r="X15" s="252" t="str">
        <f>IF(COUNTBLANK(T15:W15)=4,"",SUM(T15:V15)+IF(Setup!$I$15="No",0,W15))</f>
        <v/>
      </c>
      <c r="Y15" s="183"/>
      <c r="Z15" s="184"/>
      <c r="AA15" s="185"/>
      <c r="AB15" s="186"/>
      <c r="AC15" s="248" t="str">
        <f>IF(COUNTBLANK(Y15:AB15)=4,"",SUM(Y15:AA15)+IF(Setup!$I$15="No",0,AB15))</f>
        <v/>
      </c>
      <c r="AD15" s="197"/>
      <c r="AE15" s="198"/>
      <c r="AF15" s="199"/>
      <c r="AG15" s="200"/>
      <c r="AH15" s="252" t="str">
        <f>IF(COUNTBLANK(AD15:AG15)=4,"",SUM(AD15:AF15)+IF(Setup!$I$15="No",0,AG15))</f>
        <v/>
      </c>
      <c r="AI15" s="183"/>
      <c r="AJ15" s="184"/>
      <c r="AK15" s="185"/>
      <c r="AL15" s="186"/>
      <c r="AM15" s="248" t="str">
        <f>IF(COUNTBLANK(AI15:AL15)=4,"",SUM(AI15:AK15)+IF(Setup!$I$15="No",0,AL15))</f>
        <v/>
      </c>
      <c r="AN15" s="197"/>
      <c r="AO15" s="198"/>
      <c r="AP15" s="199"/>
      <c r="AQ15" s="200"/>
      <c r="AR15" s="252" t="str">
        <f>IF(COUNTBLANK(AN15:AQ15)=4,"",SUM(AN15:AP15)+IF(Setup!$I$15="No",0,AQ15))</f>
        <v/>
      </c>
      <c r="AS15" s="183"/>
      <c r="AT15" s="184"/>
      <c r="AU15" s="185"/>
      <c r="AV15" s="186"/>
      <c r="AW15" s="248" t="str">
        <f>IF(COUNTBLANK(AS15:AV15)=4,"",SUM(AS15:AU15)+IF(Setup!$I$15="No",0,AV15))</f>
        <v/>
      </c>
      <c r="AX15" s="197"/>
      <c r="AY15" s="198"/>
      <c r="AZ15" s="199"/>
      <c r="BA15" s="200"/>
      <c r="BB15" s="252" t="str">
        <f>IF(COUNTBLANK(AX15:BA15)=4,"",SUM(AX15:AZ15)+IF(Setup!$I$15="No",0,BA15))</f>
        <v/>
      </c>
      <c r="BC15" s="256" t="str">
        <f ca="1">IF('Demand background (hide)'!A6=Num_Modalities,"",SUM(Demand!I15))</f>
        <v/>
      </c>
      <c r="BD15" s="256" t="str">
        <f ca="1">IF(AND(A15&lt;=MaxRows,BE15&lt;&gt;"Yes"),'Demand background (hide)'!X6+IF(Setup!$I$15="Yes",'Demand background (hide)'!AJ6,0),"")</f>
        <v/>
      </c>
      <c r="BE15" s="206"/>
    </row>
    <row r="16" spans="1:57" ht="15" x14ac:dyDescent="0.25">
      <c r="A16" t="str">
        <f t="shared" ca="1" si="0"/>
        <v/>
      </c>
      <c r="B16" s="259" t="str">
        <f t="shared" ca="1" si="1"/>
        <v xml:space="preserve"> </v>
      </c>
      <c r="C16" s="261" t="str">
        <f t="shared" ca="1" si="2"/>
        <v/>
      </c>
      <c r="D16" s="261" t="str">
        <f t="shared" ca="1" si="3"/>
        <v/>
      </c>
      <c r="E16" s="183"/>
      <c r="F16" s="184"/>
      <c r="G16" s="185"/>
      <c r="H16" s="186"/>
      <c r="I16" s="248" t="str">
        <f>IF(COUNTBLANK(E16:H16)=4,"",SUM(E16:G16)+IF(Setup!$I$15="No",0,H16))</f>
        <v/>
      </c>
      <c r="J16" s="197"/>
      <c r="K16" s="198"/>
      <c r="L16" s="199"/>
      <c r="M16" s="200"/>
      <c r="N16" s="252" t="str">
        <f>IF(COUNTBLANK(J16:M16)=4,"",SUM(J16:L16)+IF(Setup!$I$15="No",0,M16))</f>
        <v/>
      </c>
      <c r="O16" s="183"/>
      <c r="P16" s="184"/>
      <c r="Q16" s="185"/>
      <c r="R16" s="186"/>
      <c r="S16" s="248" t="str">
        <f>IF(COUNTBLANK(O16:R16)=4,"",SUM(O16:Q16)+IF(Setup!$I$15="No",0,R16))</f>
        <v/>
      </c>
      <c r="T16" s="197"/>
      <c r="U16" s="198"/>
      <c r="V16" s="199"/>
      <c r="W16" s="200"/>
      <c r="X16" s="252" t="str">
        <f>IF(COUNTBLANK(T16:W16)=4,"",SUM(T16:V16)+IF(Setup!$I$15="No",0,W16))</f>
        <v/>
      </c>
      <c r="Y16" s="183"/>
      <c r="Z16" s="184"/>
      <c r="AA16" s="185"/>
      <c r="AB16" s="186"/>
      <c r="AC16" s="248" t="str">
        <f>IF(COUNTBLANK(Y16:AB16)=4,"",SUM(Y16:AA16)+IF(Setup!$I$15="No",0,AB16))</f>
        <v/>
      </c>
      <c r="AD16" s="197"/>
      <c r="AE16" s="198"/>
      <c r="AF16" s="199"/>
      <c r="AG16" s="200"/>
      <c r="AH16" s="252" t="str">
        <f>IF(COUNTBLANK(AD16:AG16)=4,"",SUM(AD16:AF16)+IF(Setup!$I$15="No",0,AG16))</f>
        <v/>
      </c>
      <c r="AI16" s="183"/>
      <c r="AJ16" s="184"/>
      <c r="AK16" s="185"/>
      <c r="AL16" s="186"/>
      <c r="AM16" s="248" t="str">
        <f>IF(COUNTBLANK(AI16:AL16)=4,"",SUM(AI16:AK16)+IF(Setup!$I$15="No",0,AL16))</f>
        <v/>
      </c>
      <c r="AN16" s="197"/>
      <c r="AO16" s="198"/>
      <c r="AP16" s="199"/>
      <c r="AQ16" s="200"/>
      <c r="AR16" s="252" t="str">
        <f>IF(COUNTBLANK(AN16:AQ16)=4,"",SUM(AN16:AP16)+IF(Setup!$I$15="No",0,AQ16))</f>
        <v/>
      </c>
      <c r="AS16" s="183"/>
      <c r="AT16" s="184"/>
      <c r="AU16" s="185"/>
      <c r="AV16" s="186"/>
      <c r="AW16" s="248" t="str">
        <f>IF(COUNTBLANK(AS16:AV16)=4,"",SUM(AS16:AU16)+IF(Setup!$I$15="No",0,AV16))</f>
        <v/>
      </c>
      <c r="AX16" s="197"/>
      <c r="AY16" s="198"/>
      <c r="AZ16" s="199"/>
      <c r="BA16" s="200"/>
      <c r="BB16" s="252" t="str">
        <f>IF(COUNTBLANK(AX16:BA16)=4,"",SUM(AX16:AZ16)+IF(Setup!$I$15="No",0,BA16))</f>
        <v/>
      </c>
      <c r="BC16" s="256" t="str">
        <f ca="1">IF('Demand background (hide)'!A7=Num_Modalities,"",SUM(Demand!I16))</f>
        <v/>
      </c>
      <c r="BD16" s="256" t="str">
        <f ca="1">IF(AND(A16&lt;=MaxRows,BE16&lt;&gt;"Yes"),'Demand background (hide)'!X7+IF(Setup!$I$15="Yes",'Demand background (hide)'!AJ7,0),"")</f>
        <v/>
      </c>
      <c r="BE16" s="206"/>
    </row>
    <row r="17" spans="1:57" ht="15" x14ac:dyDescent="0.25">
      <c r="A17" t="str">
        <f t="shared" ca="1" si="0"/>
        <v/>
      </c>
      <c r="B17" s="259" t="str">
        <f t="shared" ca="1" si="1"/>
        <v xml:space="preserve"> </v>
      </c>
      <c r="C17" s="261" t="str">
        <f t="shared" ca="1" si="2"/>
        <v/>
      </c>
      <c r="D17" s="261" t="str">
        <f t="shared" ca="1" si="3"/>
        <v/>
      </c>
      <c r="E17" s="183"/>
      <c r="F17" s="184"/>
      <c r="G17" s="185"/>
      <c r="H17" s="186"/>
      <c r="I17" s="248" t="str">
        <f>IF(COUNTBLANK(E17:H17)=4,"",SUM(E17:G17)+IF(Setup!$I$15="No",0,H17))</f>
        <v/>
      </c>
      <c r="J17" s="197"/>
      <c r="K17" s="198"/>
      <c r="L17" s="199"/>
      <c r="M17" s="200"/>
      <c r="N17" s="252" t="str">
        <f>IF(COUNTBLANK(J17:M17)=4,"",SUM(J17:L17)+IF(Setup!$I$15="No",0,M17))</f>
        <v/>
      </c>
      <c r="O17" s="183"/>
      <c r="P17" s="184"/>
      <c r="Q17" s="185"/>
      <c r="R17" s="186"/>
      <c r="S17" s="248" t="str">
        <f>IF(COUNTBLANK(O17:R17)=4,"",SUM(O17:Q17)+IF(Setup!$I$15="No",0,R17))</f>
        <v/>
      </c>
      <c r="T17" s="197"/>
      <c r="U17" s="198"/>
      <c r="V17" s="199"/>
      <c r="W17" s="200"/>
      <c r="X17" s="252" t="str">
        <f>IF(COUNTBLANK(T17:W17)=4,"",SUM(T17:V17)+IF(Setup!$I$15="No",0,W17))</f>
        <v/>
      </c>
      <c r="Y17" s="183"/>
      <c r="Z17" s="184"/>
      <c r="AA17" s="185"/>
      <c r="AB17" s="186"/>
      <c r="AC17" s="248" t="str">
        <f>IF(COUNTBLANK(Y17:AB17)=4,"",SUM(Y17:AA17)+IF(Setup!$I$15="No",0,AB17))</f>
        <v/>
      </c>
      <c r="AD17" s="197"/>
      <c r="AE17" s="198"/>
      <c r="AF17" s="199"/>
      <c r="AG17" s="200"/>
      <c r="AH17" s="252" t="str">
        <f>IF(COUNTBLANK(AD17:AG17)=4,"",SUM(AD17:AF17)+IF(Setup!$I$15="No",0,AG17))</f>
        <v/>
      </c>
      <c r="AI17" s="183"/>
      <c r="AJ17" s="184"/>
      <c r="AK17" s="185"/>
      <c r="AL17" s="186"/>
      <c r="AM17" s="248" t="str">
        <f>IF(COUNTBLANK(AI17:AL17)=4,"",SUM(AI17:AK17)+IF(Setup!$I$15="No",0,AL17))</f>
        <v/>
      </c>
      <c r="AN17" s="197"/>
      <c r="AO17" s="198"/>
      <c r="AP17" s="199"/>
      <c r="AQ17" s="200"/>
      <c r="AR17" s="252" t="str">
        <f>IF(COUNTBLANK(AN17:AQ17)=4,"",SUM(AN17:AP17)+IF(Setup!$I$15="No",0,AQ17))</f>
        <v/>
      </c>
      <c r="AS17" s="183"/>
      <c r="AT17" s="184"/>
      <c r="AU17" s="185"/>
      <c r="AV17" s="186"/>
      <c r="AW17" s="248" t="str">
        <f>IF(COUNTBLANK(AS17:AV17)=4,"",SUM(AS17:AU17)+IF(Setup!$I$15="No",0,AV17))</f>
        <v/>
      </c>
      <c r="AX17" s="197"/>
      <c r="AY17" s="198"/>
      <c r="AZ17" s="199"/>
      <c r="BA17" s="200"/>
      <c r="BB17" s="252" t="str">
        <f>IF(COUNTBLANK(AX17:BA17)=4,"",SUM(AX17:AZ17)+IF(Setup!$I$15="No",0,BA17))</f>
        <v/>
      </c>
      <c r="BC17" s="256" t="str">
        <f ca="1">IF('Demand background (hide)'!A8=Num_Modalities,"",SUM(Demand!I17))</f>
        <v/>
      </c>
      <c r="BD17" s="256" t="str">
        <f ca="1">IF(AND(A17&lt;=MaxRows,BE17&lt;&gt;"Yes"),'Demand background (hide)'!X8+IF(Setup!$I$15="Yes",'Demand background (hide)'!AJ8,0),"")</f>
        <v/>
      </c>
      <c r="BE17" s="206"/>
    </row>
    <row r="18" spans="1:57" ht="15" x14ac:dyDescent="0.25">
      <c r="A18" t="str">
        <f t="shared" ca="1" si="0"/>
        <v/>
      </c>
      <c r="B18" s="259" t="str">
        <f t="shared" ca="1" si="1"/>
        <v xml:space="preserve"> </v>
      </c>
      <c r="C18" s="261" t="str">
        <f t="shared" ca="1" si="2"/>
        <v/>
      </c>
      <c r="D18" s="261" t="str">
        <f t="shared" ca="1" si="3"/>
        <v/>
      </c>
      <c r="E18" s="183"/>
      <c r="F18" s="184"/>
      <c r="G18" s="185"/>
      <c r="H18" s="186"/>
      <c r="I18" s="248" t="str">
        <f>IF(COUNTBLANK(E18:H18)=4,"",SUM(E18:G18)+IF(Setup!$I$15="No",0,H18))</f>
        <v/>
      </c>
      <c r="J18" s="197"/>
      <c r="K18" s="198"/>
      <c r="L18" s="199"/>
      <c r="M18" s="200"/>
      <c r="N18" s="252" t="str">
        <f>IF(COUNTBLANK(J18:M18)=4,"",SUM(J18:L18)+IF(Setup!$I$15="No",0,M18))</f>
        <v/>
      </c>
      <c r="O18" s="183"/>
      <c r="P18" s="184"/>
      <c r="Q18" s="185"/>
      <c r="R18" s="186"/>
      <c r="S18" s="248" t="str">
        <f>IF(COUNTBLANK(O18:R18)=4,"",SUM(O18:Q18)+IF(Setup!$I$15="No",0,R18))</f>
        <v/>
      </c>
      <c r="T18" s="197"/>
      <c r="U18" s="198"/>
      <c r="V18" s="199"/>
      <c r="W18" s="200"/>
      <c r="X18" s="252" t="str">
        <f>IF(COUNTBLANK(T18:W18)=4,"",SUM(T18:V18)+IF(Setup!$I$15="No",0,W18))</f>
        <v/>
      </c>
      <c r="Y18" s="183"/>
      <c r="Z18" s="184"/>
      <c r="AA18" s="185"/>
      <c r="AB18" s="186"/>
      <c r="AC18" s="248" t="str">
        <f>IF(COUNTBLANK(Y18:AB18)=4,"",SUM(Y18:AA18)+IF(Setup!$I$15="No",0,AB18))</f>
        <v/>
      </c>
      <c r="AD18" s="197"/>
      <c r="AE18" s="198"/>
      <c r="AF18" s="199"/>
      <c r="AG18" s="200"/>
      <c r="AH18" s="252" t="str">
        <f>IF(COUNTBLANK(AD18:AG18)=4,"",SUM(AD18:AF18)+IF(Setup!$I$15="No",0,AG18))</f>
        <v/>
      </c>
      <c r="AI18" s="183"/>
      <c r="AJ18" s="184"/>
      <c r="AK18" s="185"/>
      <c r="AL18" s="186"/>
      <c r="AM18" s="248" t="str">
        <f>IF(COUNTBLANK(AI18:AL18)=4,"",SUM(AI18:AK18)+IF(Setup!$I$15="No",0,AL18))</f>
        <v/>
      </c>
      <c r="AN18" s="197"/>
      <c r="AO18" s="198"/>
      <c r="AP18" s="199"/>
      <c r="AQ18" s="200"/>
      <c r="AR18" s="252" t="str">
        <f>IF(COUNTBLANK(AN18:AQ18)=4,"",SUM(AN18:AP18)+IF(Setup!$I$15="No",0,AQ18))</f>
        <v/>
      </c>
      <c r="AS18" s="183"/>
      <c r="AT18" s="184"/>
      <c r="AU18" s="185"/>
      <c r="AV18" s="186"/>
      <c r="AW18" s="248" t="str">
        <f>IF(COUNTBLANK(AS18:AV18)=4,"",SUM(AS18:AU18)+IF(Setup!$I$15="No",0,AV18))</f>
        <v/>
      </c>
      <c r="AX18" s="197"/>
      <c r="AY18" s="198"/>
      <c r="AZ18" s="199"/>
      <c r="BA18" s="200"/>
      <c r="BB18" s="252" t="str">
        <f>IF(COUNTBLANK(AX18:BA18)=4,"",SUM(AX18:AZ18)+IF(Setup!$I$15="No",0,BA18))</f>
        <v/>
      </c>
      <c r="BC18" s="256" t="str">
        <f ca="1">IF('Demand background (hide)'!A9=Num_Modalities,"",SUM(Demand!I18))</f>
        <v/>
      </c>
      <c r="BD18" s="256" t="str">
        <f ca="1">IF(AND(A18&lt;=MaxRows,BE18&lt;&gt;"Yes"),'Demand background (hide)'!X9+IF(Setup!$I$15="Yes",'Demand background (hide)'!AJ9,0),"")</f>
        <v/>
      </c>
      <c r="BE18" s="206"/>
    </row>
    <row r="19" spans="1:57" ht="15" x14ac:dyDescent="0.25">
      <c r="A19" t="str">
        <f t="shared" ca="1" si="0"/>
        <v/>
      </c>
      <c r="B19" s="259" t="str">
        <f t="shared" ca="1" si="1"/>
        <v xml:space="preserve"> </v>
      </c>
      <c r="C19" s="261" t="str">
        <f t="shared" ca="1" si="2"/>
        <v/>
      </c>
      <c r="D19" s="261" t="str">
        <f t="shared" ca="1" si="3"/>
        <v/>
      </c>
      <c r="E19" s="183"/>
      <c r="F19" s="184"/>
      <c r="G19" s="185"/>
      <c r="H19" s="186"/>
      <c r="I19" s="248" t="str">
        <f>IF(COUNTBLANK(E19:H19)=4,"",SUM(E19:G19)+IF(Setup!$I$15="No",0,H19))</f>
        <v/>
      </c>
      <c r="J19" s="197"/>
      <c r="K19" s="198"/>
      <c r="L19" s="199"/>
      <c r="M19" s="200"/>
      <c r="N19" s="252" t="str">
        <f>IF(COUNTBLANK(J19:M19)=4,"",SUM(J19:L19)+IF(Setup!$I$15="No",0,M19))</f>
        <v/>
      </c>
      <c r="O19" s="183"/>
      <c r="P19" s="184"/>
      <c r="Q19" s="185"/>
      <c r="R19" s="186"/>
      <c r="S19" s="248" t="str">
        <f>IF(COUNTBLANK(O19:R19)=4,"",SUM(O19:Q19)+IF(Setup!$I$15="No",0,R19))</f>
        <v/>
      </c>
      <c r="T19" s="197"/>
      <c r="U19" s="198"/>
      <c r="V19" s="199"/>
      <c r="W19" s="200"/>
      <c r="X19" s="252" t="str">
        <f>IF(COUNTBLANK(T19:W19)=4,"",SUM(T19:V19)+IF(Setup!$I$15="No",0,W19))</f>
        <v/>
      </c>
      <c r="Y19" s="183"/>
      <c r="Z19" s="184"/>
      <c r="AA19" s="185"/>
      <c r="AB19" s="186"/>
      <c r="AC19" s="248" t="str">
        <f>IF(COUNTBLANK(Y19:AB19)=4,"",SUM(Y19:AA19)+IF(Setup!$I$15="No",0,AB19))</f>
        <v/>
      </c>
      <c r="AD19" s="197"/>
      <c r="AE19" s="198"/>
      <c r="AF19" s="199"/>
      <c r="AG19" s="200"/>
      <c r="AH19" s="252" t="str">
        <f>IF(COUNTBLANK(AD19:AG19)=4,"",SUM(AD19:AF19)+IF(Setup!$I$15="No",0,AG19))</f>
        <v/>
      </c>
      <c r="AI19" s="183"/>
      <c r="AJ19" s="184"/>
      <c r="AK19" s="185"/>
      <c r="AL19" s="186"/>
      <c r="AM19" s="248" t="str">
        <f>IF(COUNTBLANK(AI19:AL19)=4,"",SUM(AI19:AK19)+IF(Setup!$I$15="No",0,AL19))</f>
        <v/>
      </c>
      <c r="AN19" s="197"/>
      <c r="AO19" s="198"/>
      <c r="AP19" s="199"/>
      <c r="AQ19" s="200"/>
      <c r="AR19" s="252" t="str">
        <f>IF(COUNTBLANK(AN19:AQ19)=4,"",SUM(AN19:AP19)+IF(Setup!$I$15="No",0,AQ19))</f>
        <v/>
      </c>
      <c r="AS19" s="183"/>
      <c r="AT19" s="184"/>
      <c r="AU19" s="185"/>
      <c r="AV19" s="186"/>
      <c r="AW19" s="248" t="str">
        <f>IF(COUNTBLANK(AS19:AV19)=4,"",SUM(AS19:AU19)+IF(Setup!$I$15="No",0,AV19))</f>
        <v/>
      </c>
      <c r="AX19" s="197"/>
      <c r="AY19" s="198"/>
      <c r="AZ19" s="199"/>
      <c r="BA19" s="200"/>
      <c r="BB19" s="252" t="str">
        <f>IF(COUNTBLANK(AX19:BA19)=4,"",SUM(AX19:AZ19)+IF(Setup!$I$15="No",0,BA19))</f>
        <v/>
      </c>
      <c r="BC19" s="256" t="str">
        <f ca="1">IF('Demand background (hide)'!A10=Num_Modalities,"",SUM(Demand!I19))</f>
        <v/>
      </c>
      <c r="BD19" s="256" t="str">
        <f ca="1">IF(AND(A19&lt;=MaxRows,BE19&lt;&gt;"Yes"),'Demand background (hide)'!X10+IF(Setup!$I$15="Yes",'Demand background (hide)'!AJ10,0),"")</f>
        <v/>
      </c>
      <c r="BE19" s="206"/>
    </row>
    <row r="20" spans="1:57" ht="15" x14ac:dyDescent="0.25">
      <c r="A20" t="str">
        <f t="shared" ca="1" si="0"/>
        <v/>
      </c>
      <c r="B20" s="259" t="str">
        <f t="shared" ca="1" si="1"/>
        <v xml:space="preserve"> </v>
      </c>
      <c r="C20" s="261" t="str">
        <f t="shared" ca="1" si="2"/>
        <v/>
      </c>
      <c r="D20" s="261" t="str">
        <f t="shared" ca="1" si="3"/>
        <v/>
      </c>
      <c r="E20" s="183"/>
      <c r="F20" s="184"/>
      <c r="G20" s="185"/>
      <c r="H20" s="186"/>
      <c r="I20" s="248" t="str">
        <f>IF(COUNTBLANK(E20:H20)=4,"",SUM(E20:G20)+IF(Setup!$I$15="No",0,H20))</f>
        <v/>
      </c>
      <c r="J20" s="197"/>
      <c r="K20" s="198"/>
      <c r="L20" s="199"/>
      <c r="M20" s="200"/>
      <c r="N20" s="252" t="str">
        <f>IF(COUNTBLANK(J20:M20)=4,"",SUM(J20:L20)+IF(Setup!$I$15="No",0,M20))</f>
        <v/>
      </c>
      <c r="O20" s="183"/>
      <c r="P20" s="184"/>
      <c r="Q20" s="185"/>
      <c r="R20" s="186"/>
      <c r="S20" s="248" t="str">
        <f>IF(COUNTBLANK(O20:R20)=4,"",SUM(O20:Q20)+IF(Setup!$I$15="No",0,R20))</f>
        <v/>
      </c>
      <c r="T20" s="197"/>
      <c r="U20" s="198"/>
      <c r="V20" s="199"/>
      <c r="W20" s="200"/>
      <c r="X20" s="252" t="str">
        <f>IF(COUNTBLANK(T20:W20)=4,"",SUM(T20:V20)+IF(Setup!$I$15="No",0,W20))</f>
        <v/>
      </c>
      <c r="Y20" s="183"/>
      <c r="Z20" s="184"/>
      <c r="AA20" s="185"/>
      <c r="AB20" s="186"/>
      <c r="AC20" s="248" t="str">
        <f>IF(COUNTBLANK(Y20:AB20)=4,"",SUM(Y20:AA20)+IF(Setup!$I$15="No",0,AB20))</f>
        <v/>
      </c>
      <c r="AD20" s="197"/>
      <c r="AE20" s="198"/>
      <c r="AF20" s="199"/>
      <c r="AG20" s="200"/>
      <c r="AH20" s="252" t="str">
        <f>IF(COUNTBLANK(AD20:AG20)=4,"",SUM(AD20:AF20)+IF(Setup!$I$15="No",0,AG20))</f>
        <v/>
      </c>
      <c r="AI20" s="183"/>
      <c r="AJ20" s="184"/>
      <c r="AK20" s="185"/>
      <c r="AL20" s="186"/>
      <c r="AM20" s="248" t="str">
        <f>IF(COUNTBLANK(AI20:AL20)=4,"",SUM(AI20:AK20)+IF(Setup!$I$15="No",0,AL20))</f>
        <v/>
      </c>
      <c r="AN20" s="197"/>
      <c r="AO20" s="198"/>
      <c r="AP20" s="199"/>
      <c r="AQ20" s="200"/>
      <c r="AR20" s="252" t="str">
        <f>IF(COUNTBLANK(AN20:AQ20)=4,"",SUM(AN20:AP20)+IF(Setup!$I$15="No",0,AQ20))</f>
        <v/>
      </c>
      <c r="AS20" s="183"/>
      <c r="AT20" s="184"/>
      <c r="AU20" s="185"/>
      <c r="AV20" s="186"/>
      <c r="AW20" s="248" t="str">
        <f>IF(COUNTBLANK(AS20:AV20)=4,"",SUM(AS20:AU20)+IF(Setup!$I$15="No",0,AV20))</f>
        <v/>
      </c>
      <c r="AX20" s="197"/>
      <c r="AY20" s="198"/>
      <c r="AZ20" s="199"/>
      <c r="BA20" s="200"/>
      <c r="BB20" s="252" t="str">
        <f>IF(COUNTBLANK(AX20:BA20)=4,"",SUM(AX20:AZ20)+IF(Setup!$I$15="No",0,BA20))</f>
        <v/>
      </c>
      <c r="BC20" s="256" t="str">
        <f ca="1">IF('Demand background (hide)'!A11=Num_Modalities,"",SUM(Demand!I20))</f>
        <v/>
      </c>
      <c r="BD20" s="256" t="str">
        <f ca="1">IF(AND(A20&lt;=MaxRows,BE20&lt;&gt;"Yes"),'Demand background (hide)'!X11+IF(Setup!$I$15="Yes",'Demand background (hide)'!AJ11,0),"")</f>
        <v/>
      </c>
      <c r="BE20" s="206"/>
    </row>
    <row r="21" spans="1:57" ht="15" x14ac:dyDescent="0.25">
      <c r="A21" t="str">
        <f t="shared" ca="1" si="0"/>
        <v/>
      </c>
      <c r="B21" s="259" t="str">
        <f t="shared" ca="1" si="1"/>
        <v xml:space="preserve"> </v>
      </c>
      <c r="C21" s="261" t="str">
        <f t="shared" ca="1" si="2"/>
        <v/>
      </c>
      <c r="D21" s="261" t="str">
        <f t="shared" ca="1" si="3"/>
        <v/>
      </c>
      <c r="E21" s="183"/>
      <c r="F21" s="184"/>
      <c r="G21" s="185"/>
      <c r="H21" s="186"/>
      <c r="I21" s="248" t="str">
        <f>IF(COUNTBLANK(E21:H21)=4,"",SUM(E21:G21)+IF(Setup!$I$15="No",0,H21))</f>
        <v/>
      </c>
      <c r="J21" s="197"/>
      <c r="K21" s="198"/>
      <c r="L21" s="199"/>
      <c r="M21" s="200"/>
      <c r="N21" s="252" t="str">
        <f>IF(COUNTBLANK(J21:M21)=4,"",SUM(J21:L21)+IF(Setup!$I$15="No",0,M21))</f>
        <v/>
      </c>
      <c r="O21" s="183"/>
      <c r="P21" s="184"/>
      <c r="Q21" s="185"/>
      <c r="R21" s="186"/>
      <c r="S21" s="248" t="str">
        <f>IF(COUNTBLANK(O21:R21)=4,"",SUM(O21:Q21)+IF(Setup!$I$15="No",0,R21))</f>
        <v/>
      </c>
      <c r="T21" s="197"/>
      <c r="U21" s="198"/>
      <c r="V21" s="199"/>
      <c r="W21" s="200"/>
      <c r="X21" s="252" t="str">
        <f>IF(COUNTBLANK(T21:W21)=4,"",SUM(T21:V21)+IF(Setup!$I$15="No",0,W21))</f>
        <v/>
      </c>
      <c r="Y21" s="183"/>
      <c r="Z21" s="184"/>
      <c r="AA21" s="185"/>
      <c r="AB21" s="186"/>
      <c r="AC21" s="248" t="str">
        <f>IF(COUNTBLANK(Y21:AB21)=4,"",SUM(Y21:AA21)+IF(Setup!$I$15="No",0,AB21))</f>
        <v/>
      </c>
      <c r="AD21" s="197"/>
      <c r="AE21" s="198"/>
      <c r="AF21" s="199"/>
      <c r="AG21" s="200"/>
      <c r="AH21" s="252" t="str">
        <f>IF(COUNTBLANK(AD21:AG21)=4,"",SUM(AD21:AF21)+IF(Setup!$I$15="No",0,AG21))</f>
        <v/>
      </c>
      <c r="AI21" s="183"/>
      <c r="AJ21" s="184"/>
      <c r="AK21" s="185"/>
      <c r="AL21" s="186"/>
      <c r="AM21" s="248" t="str">
        <f>IF(COUNTBLANK(AI21:AL21)=4,"",SUM(AI21:AK21)+IF(Setup!$I$15="No",0,AL21))</f>
        <v/>
      </c>
      <c r="AN21" s="197"/>
      <c r="AO21" s="198"/>
      <c r="AP21" s="199"/>
      <c r="AQ21" s="200"/>
      <c r="AR21" s="252" t="str">
        <f>IF(COUNTBLANK(AN21:AQ21)=4,"",SUM(AN21:AP21)+IF(Setup!$I$15="No",0,AQ21))</f>
        <v/>
      </c>
      <c r="AS21" s="183"/>
      <c r="AT21" s="184"/>
      <c r="AU21" s="185"/>
      <c r="AV21" s="186"/>
      <c r="AW21" s="248" t="str">
        <f>IF(COUNTBLANK(AS21:AV21)=4,"",SUM(AS21:AU21)+IF(Setup!$I$15="No",0,AV21))</f>
        <v/>
      </c>
      <c r="AX21" s="197"/>
      <c r="AY21" s="198"/>
      <c r="AZ21" s="199"/>
      <c r="BA21" s="200"/>
      <c r="BB21" s="252" t="str">
        <f>IF(COUNTBLANK(AX21:BA21)=4,"",SUM(AX21:AZ21)+IF(Setup!$I$15="No",0,BA21))</f>
        <v/>
      </c>
      <c r="BC21" s="256" t="str">
        <f ca="1">IF('Demand background (hide)'!A12=Num_Modalities,"",SUM(Demand!I21))</f>
        <v/>
      </c>
      <c r="BD21" s="256" t="str">
        <f ca="1">IF(AND(A21&lt;=MaxRows,BE21&lt;&gt;"Yes"),'Demand background (hide)'!X12+IF(Setup!$I$15="Yes",'Demand background (hide)'!AJ12,0),"")</f>
        <v/>
      </c>
      <c r="BE21" s="206"/>
    </row>
    <row r="22" spans="1:57" ht="15" x14ac:dyDescent="0.25">
      <c r="A22" t="str">
        <f t="shared" ca="1" si="0"/>
        <v/>
      </c>
      <c r="B22" s="259" t="str">
        <f t="shared" ca="1" si="1"/>
        <v xml:space="preserve"> </v>
      </c>
      <c r="C22" s="261" t="str">
        <f t="shared" ca="1" si="2"/>
        <v/>
      </c>
      <c r="D22" s="261" t="str">
        <f t="shared" ca="1" si="3"/>
        <v/>
      </c>
      <c r="E22" s="183"/>
      <c r="F22" s="184"/>
      <c r="G22" s="185"/>
      <c r="H22" s="186"/>
      <c r="I22" s="248" t="str">
        <f>IF(COUNTBLANK(E22:H22)=4,"",SUM(E22:G22)+IF(Setup!$I$15="No",0,H22))</f>
        <v/>
      </c>
      <c r="J22" s="197"/>
      <c r="K22" s="198"/>
      <c r="L22" s="199"/>
      <c r="M22" s="200"/>
      <c r="N22" s="252" t="str">
        <f>IF(COUNTBLANK(J22:M22)=4,"",SUM(J22:L22)+IF(Setup!$I$15="No",0,M22))</f>
        <v/>
      </c>
      <c r="O22" s="183"/>
      <c r="P22" s="184"/>
      <c r="Q22" s="185"/>
      <c r="R22" s="186"/>
      <c r="S22" s="248" t="str">
        <f>IF(COUNTBLANK(O22:R22)=4,"",SUM(O22:Q22)+IF(Setup!$I$15="No",0,R22))</f>
        <v/>
      </c>
      <c r="T22" s="197"/>
      <c r="U22" s="198"/>
      <c r="V22" s="199"/>
      <c r="W22" s="200"/>
      <c r="X22" s="252" t="str">
        <f>IF(COUNTBLANK(T22:W22)=4,"",SUM(T22:V22)+IF(Setup!$I$15="No",0,W22))</f>
        <v/>
      </c>
      <c r="Y22" s="183"/>
      <c r="Z22" s="184"/>
      <c r="AA22" s="185"/>
      <c r="AB22" s="186"/>
      <c r="AC22" s="248" t="str">
        <f>IF(COUNTBLANK(Y22:AB22)=4,"",SUM(Y22:AA22)+IF(Setup!$I$15="No",0,AB22))</f>
        <v/>
      </c>
      <c r="AD22" s="197"/>
      <c r="AE22" s="198"/>
      <c r="AF22" s="199"/>
      <c r="AG22" s="200"/>
      <c r="AH22" s="252" t="str">
        <f>IF(COUNTBLANK(AD22:AG22)=4,"",SUM(AD22:AF22)+IF(Setup!$I$15="No",0,AG22))</f>
        <v/>
      </c>
      <c r="AI22" s="183"/>
      <c r="AJ22" s="184"/>
      <c r="AK22" s="185"/>
      <c r="AL22" s="186"/>
      <c r="AM22" s="248" t="str">
        <f>IF(COUNTBLANK(AI22:AL22)=4,"",SUM(AI22:AK22)+IF(Setup!$I$15="No",0,AL22))</f>
        <v/>
      </c>
      <c r="AN22" s="197"/>
      <c r="AO22" s="198"/>
      <c r="AP22" s="199"/>
      <c r="AQ22" s="200"/>
      <c r="AR22" s="252" t="str">
        <f>IF(COUNTBLANK(AN22:AQ22)=4,"",SUM(AN22:AP22)+IF(Setup!$I$15="No",0,AQ22))</f>
        <v/>
      </c>
      <c r="AS22" s="183"/>
      <c r="AT22" s="184"/>
      <c r="AU22" s="185"/>
      <c r="AV22" s="186"/>
      <c r="AW22" s="248" t="str">
        <f>IF(COUNTBLANK(AS22:AV22)=4,"",SUM(AS22:AU22)+IF(Setup!$I$15="No",0,AV22))</f>
        <v/>
      </c>
      <c r="AX22" s="197"/>
      <c r="AY22" s="198"/>
      <c r="AZ22" s="199"/>
      <c r="BA22" s="200"/>
      <c r="BB22" s="252" t="str">
        <f>IF(COUNTBLANK(AX22:BA22)=4,"",SUM(AX22:AZ22)+IF(Setup!$I$15="No",0,BA22))</f>
        <v/>
      </c>
      <c r="BC22" s="256" t="str">
        <f ca="1">IF('Demand background (hide)'!A13=Num_Modalities,"",SUM(Demand!I22))</f>
        <v/>
      </c>
      <c r="BD22" s="256" t="str">
        <f ca="1">IF(AND(A22&lt;=MaxRows,BE22&lt;&gt;"Yes"),'Demand background (hide)'!X13+IF(Setup!$I$15="Yes",'Demand background (hide)'!AJ13,0),"")</f>
        <v/>
      </c>
      <c r="BE22" s="206"/>
    </row>
    <row r="23" spans="1:57" ht="15" x14ac:dyDescent="0.25">
      <c r="A23" t="str">
        <f t="shared" ca="1" si="0"/>
        <v/>
      </c>
      <c r="B23" s="259" t="str">
        <f t="shared" ca="1" si="1"/>
        <v xml:space="preserve"> </v>
      </c>
      <c r="C23" s="261" t="str">
        <f t="shared" ca="1" si="2"/>
        <v/>
      </c>
      <c r="D23" s="261" t="str">
        <f t="shared" ca="1" si="3"/>
        <v/>
      </c>
      <c r="E23" s="183"/>
      <c r="F23" s="184"/>
      <c r="G23" s="185"/>
      <c r="H23" s="186"/>
      <c r="I23" s="248" t="str">
        <f>IF(COUNTBLANK(E23:H23)=4,"",SUM(E23:G23)+IF(Setup!$I$15="No",0,H23))</f>
        <v/>
      </c>
      <c r="J23" s="197"/>
      <c r="K23" s="198"/>
      <c r="L23" s="199"/>
      <c r="M23" s="200"/>
      <c r="N23" s="252" t="str">
        <f>IF(COUNTBLANK(J23:M23)=4,"",SUM(J23:L23)+IF(Setup!$I$15="No",0,M23))</f>
        <v/>
      </c>
      <c r="O23" s="183"/>
      <c r="P23" s="184"/>
      <c r="Q23" s="185"/>
      <c r="R23" s="186"/>
      <c r="S23" s="248" t="str">
        <f>IF(COUNTBLANK(O23:R23)=4,"",SUM(O23:Q23)+IF(Setup!$I$15="No",0,R23))</f>
        <v/>
      </c>
      <c r="T23" s="197"/>
      <c r="U23" s="198"/>
      <c r="V23" s="199"/>
      <c r="W23" s="200"/>
      <c r="X23" s="252" t="str">
        <f>IF(COUNTBLANK(T23:W23)=4,"",SUM(T23:V23)+IF(Setup!$I$15="No",0,W23))</f>
        <v/>
      </c>
      <c r="Y23" s="183"/>
      <c r="Z23" s="184"/>
      <c r="AA23" s="185"/>
      <c r="AB23" s="186"/>
      <c r="AC23" s="248" t="str">
        <f>IF(COUNTBLANK(Y23:AB23)=4,"",SUM(Y23:AA23)+IF(Setup!$I$15="No",0,AB23))</f>
        <v/>
      </c>
      <c r="AD23" s="197"/>
      <c r="AE23" s="198"/>
      <c r="AF23" s="199"/>
      <c r="AG23" s="200"/>
      <c r="AH23" s="252" t="str">
        <f>IF(COUNTBLANK(AD23:AG23)=4,"",SUM(AD23:AF23)+IF(Setup!$I$15="No",0,AG23))</f>
        <v/>
      </c>
      <c r="AI23" s="183"/>
      <c r="AJ23" s="184"/>
      <c r="AK23" s="185"/>
      <c r="AL23" s="186"/>
      <c r="AM23" s="248" t="str">
        <f>IF(COUNTBLANK(AI23:AL23)=4,"",SUM(AI23:AK23)+IF(Setup!$I$15="No",0,AL23))</f>
        <v/>
      </c>
      <c r="AN23" s="197"/>
      <c r="AO23" s="198"/>
      <c r="AP23" s="199"/>
      <c r="AQ23" s="200"/>
      <c r="AR23" s="252" t="str">
        <f>IF(COUNTBLANK(AN23:AQ23)=4,"",SUM(AN23:AP23)+IF(Setup!$I$15="No",0,AQ23))</f>
        <v/>
      </c>
      <c r="AS23" s="183"/>
      <c r="AT23" s="184"/>
      <c r="AU23" s="185"/>
      <c r="AV23" s="186"/>
      <c r="AW23" s="248" t="str">
        <f>IF(COUNTBLANK(AS23:AV23)=4,"",SUM(AS23:AU23)+IF(Setup!$I$15="No",0,AV23))</f>
        <v/>
      </c>
      <c r="AX23" s="197"/>
      <c r="AY23" s="198"/>
      <c r="AZ23" s="199"/>
      <c r="BA23" s="200"/>
      <c r="BB23" s="252" t="str">
        <f>IF(COUNTBLANK(AX23:BA23)=4,"",SUM(AX23:AZ23)+IF(Setup!$I$15="No",0,BA23))</f>
        <v/>
      </c>
      <c r="BC23" s="256" t="str">
        <f ca="1">IF('Demand background (hide)'!A14=Num_Modalities,"",SUM(Demand!I23))</f>
        <v/>
      </c>
      <c r="BD23" s="256" t="str">
        <f ca="1">IF(AND(A23&lt;=MaxRows,BE23&lt;&gt;"Yes"),'Demand background (hide)'!X14+IF(Setup!$I$15="Yes",'Demand background (hide)'!AJ14,0),"")</f>
        <v/>
      </c>
      <c r="BE23" s="206"/>
    </row>
    <row r="24" spans="1:57" ht="15" x14ac:dyDescent="0.25">
      <c r="A24" t="str">
        <f t="shared" ca="1" si="0"/>
        <v/>
      </c>
      <c r="B24" s="259" t="str">
        <f t="shared" ca="1" si="1"/>
        <v xml:space="preserve"> </v>
      </c>
      <c r="C24" s="261" t="str">
        <f t="shared" ca="1" si="2"/>
        <v/>
      </c>
      <c r="D24" s="261" t="str">
        <f t="shared" ca="1" si="3"/>
        <v/>
      </c>
      <c r="E24" s="183"/>
      <c r="F24" s="184"/>
      <c r="G24" s="185"/>
      <c r="H24" s="186"/>
      <c r="I24" s="248" t="str">
        <f>IF(COUNTBLANK(E24:H24)=4,"",SUM(E24:G24)+IF(Setup!$I$15="No",0,H24))</f>
        <v/>
      </c>
      <c r="J24" s="197"/>
      <c r="K24" s="198"/>
      <c r="L24" s="199"/>
      <c r="M24" s="200"/>
      <c r="N24" s="252" t="str">
        <f>IF(COUNTBLANK(J24:M24)=4,"",SUM(J24:L24)+IF(Setup!$I$15="No",0,M24))</f>
        <v/>
      </c>
      <c r="O24" s="183"/>
      <c r="P24" s="184"/>
      <c r="Q24" s="185"/>
      <c r="R24" s="186"/>
      <c r="S24" s="248" t="str">
        <f>IF(COUNTBLANK(O24:R24)=4,"",SUM(O24:Q24)+IF(Setup!$I$15="No",0,R24))</f>
        <v/>
      </c>
      <c r="T24" s="197"/>
      <c r="U24" s="198"/>
      <c r="V24" s="199"/>
      <c r="W24" s="200"/>
      <c r="X24" s="252" t="str">
        <f>IF(COUNTBLANK(T24:W24)=4,"",SUM(T24:V24)+IF(Setup!$I$15="No",0,W24))</f>
        <v/>
      </c>
      <c r="Y24" s="183"/>
      <c r="Z24" s="184"/>
      <c r="AA24" s="185"/>
      <c r="AB24" s="186"/>
      <c r="AC24" s="248" t="str">
        <f>IF(COUNTBLANK(Y24:AB24)=4,"",SUM(Y24:AA24)+IF(Setup!$I$15="No",0,AB24))</f>
        <v/>
      </c>
      <c r="AD24" s="197"/>
      <c r="AE24" s="198"/>
      <c r="AF24" s="199"/>
      <c r="AG24" s="200"/>
      <c r="AH24" s="252" t="str">
        <f>IF(COUNTBLANK(AD24:AG24)=4,"",SUM(AD24:AF24)+IF(Setup!$I$15="No",0,AG24))</f>
        <v/>
      </c>
      <c r="AI24" s="183"/>
      <c r="AJ24" s="184"/>
      <c r="AK24" s="185"/>
      <c r="AL24" s="186"/>
      <c r="AM24" s="248" t="str">
        <f>IF(COUNTBLANK(AI24:AL24)=4,"",SUM(AI24:AK24)+IF(Setup!$I$15="No",0,AL24))</f>
        <v/>
      </c>
      <c r="AN24" s="197"/>
      <c r="AO24" s="198"/>
      <c r="AP24" s="199"/>
      <c r="AQ24" s="200"/>
      <c r="AR24" s="252" t="str">
        <f>IF(COUNTBLANK(AN24:AQ24)=4,"",SUM(AN24:AP24)+IF(Setup!$I$15="No",0,AQ24))</f>
        <v/>
      </c>
      <c r="AS24" s="183"/>
      <c r="AT24" s="184"/>
      <c r="AU24" s="185"/>
      <c r="AV24" s="186"/>
      <c r="AW24" s="248" t="str">
        <f>IF(COUNTBLANK(AS24:AV24)=4,"",SUM(AS24:AU24)+IF(Setup!$I$15="No",0,AV24))</f>
        <v/>
      </c>
      <c r="AX24" s="197"/>
      <c r="AY24" s="198"/>
      <c r="AZ24" s="199"/>
      <c r="BA24" s="200"/>
      <c r="BB24" s="252" t="str">
        <f>IF(COUNTBLANK(AX24:BA24)=4,"",SUM(AX24:AZ24)+IF(Setup!$I$15="No",0,BA24))</f>
        <v/>
      </c>
      <c r="BC24" s="256" t="str">
        <f ca="1">IF('Demand background (hide)'!A15=Num_Modalities,"",SUM(Demand!I24))</f>
        <v/>
      </c>
      <c r="BD24" s="256" t="str">
        <f ca="1">IF(AND(A24&lt;=MaxRows,BE24&lt;&gt;"Yes"),'Demand background (hide)'!X15+IF(Setup!$I$15="Yes",'Demand background (hide)'!AJ15,0),"")</f>
        <v/>
      </c>
      <c r="BE24" s="206"/>
    </row>
    <row r="25" spans="1:57" ht="15" x14ac:dyDescent="0.25">
      <c r="A25" t="str">
        <f t="shared" ca="1" si="0"/>
        <v/>
      </c>
      <c r="B25" s="259" t="str">
        <f t="shared" ca="1" si="1"/>
        <v xml:space="preserve"> </v>
      </c>
      <c r="C25" s="261" t="str">
        <f t="shared" ca="1" si="2"/>
        <v/>
      </c>
      <c r="D25" s="261" t="str">
        <f t="shared" ca="1" si="3"/>
        <v/>
      </c>
      <c r="E25" s="183"/>
      <c r="F25" s="184"/>
      <c r="G25" s="185"/>
      <c r="H25" s="186"/>
      <c r="I25" s="248" t="str">
        <f>IF(COUNTBLANK(E25:H25)=4,"",SUM(E25:G25)+IF(Setup!$I$15="No",0,H25))</f>
        <v/>
      </c>
      <c r="J25" s="197"/>
      <c r="K25" s="198"/>
      <c r="L25" s="199"/>
      <c r="M25" s="200"/>
      <c r="N25" s="252" t="str">
        <f>IF(COUNTBLANK(J25:M25)=4,"",SUM(J25:L25)+IF(Setup!$I$15="No",0,M25))</f>
        <v/>
      </c>
      <c r="O25" s="183"/>
      <c r="P25" s="184"/>
      <c r="Q25" s="185"/>
      <c r="R25" s="186"/>
      <c r="S25" s="248" t="str">
        <f>IF(COUNTBLANK(O25:R25)=4,"",SUM(O25:Q25)+IF(Setup!$I$15="No",0,R25))</f>
        <v/>
      </c>
      <c r="T25" s="197"/>
      <c r="U25" s="198"/>
      <c r="V25" s="199"/>
      <c r="W25" s="200"/>
      <c r="X25" s="252" t="str">
        <f>IF(COUNTBLANK(T25:W25)=4,"",SUM(T25:V25)+IF(Setup!$I$15="No",0,W25))</f>
        <v/>
      </c>
      <c r="Y25" s="183"/>
      <c r="Z25" s="184"/>
      <c r="AA25" s="185"/>
      <c r="AB25" s="186"/>
      <c r="AC25" s="248" t="str">
        <f>IF(COUNTBLANK(Y25:AB25)=4,"",SUM(Y25:AA25)+IF(Setup!$I$15="No",0,AB25))</f>
        <v/>
      </c>
      <c r="AD25" s="197"/>
      <c r="AE25" s="198"/>
      <c r="AF25" s="199"/>
      <c r="AG25" s="200"/>
      <c r="AH25" s="252" t="str">
        <f>IF(COUNTBLANK(AD25:AG25)=4,"",SUM(AD25:AF25)+IF(Setup!$I$15="No",0,AG25))</f>
        <v/>
      </c>
      <c r="AI25" s="183"/>
      <c r="AJ25" s="184"/>
      <c r="AK25" s="185"/>
      <c r="AL25" s="186"/>
      <c r="AM25" s="248" t="str">
        <f>IF(COUNTBLANK(AI25:AL25)=4,"",SUM(AI25:AK25)+IF(Setup!$I$15="No",0,AL25))</f>
        <v/>
      </c>
      <c r="AN25" s="197"/>
      <c r="AO25" s="198"/>
      <c r="AP25" s="199"/>
      <c r="AQ25" s="200"/>
      <c r="AR25" s="252" t="str">
        <f>IF(COUNTBLANK(AN25:AQ25)=4,"",SUM(AN25:AP25)+IF(Setup!$I$15="No",0,AQ25))</f>
        <v/>
      </c>
      <c r="AS25" s="183"/>
      <c r="AT25" s="184"/>
      <c r="AU25" s="185"/>
      <c r="AV25" s="186"/>
      <c r="AW25" s="248" t="str">
        <f>IF(COUNTBLANK(AS25:AV25)=4,"",SUM(AS25:AU25)+IF(Setup!$I$15="No",0,AV25))</f>
        <v/>
      </c>
      <c r="AX25" s="197"/>
      <c r="AY25" s="198"/>
      <c r="AZ25" s="199"/>
      <c r="BA25" s="200"/>
      <c r="BB25" s="252" t="str">
        <f>IF(COUNTBLANK(AX25:BA25)=4,"",SUM(AX25:AZ25)+IF(Setup!$I$15="No",0,BA25))</f>
        <v/>
      </c>
      <c r="BC25" s="256" t="str">
        <f ca="1">IF('Demand background (hide)'!A16=Num_Modalities,"",SUM(Demand!I25))</f>
        <v/>
      </c>
      <c r="BD25" s="256" t="str">
        <f ca="1">IF(AND(A25&lt;=MaxRows,BE25&lt;&gt;"Yes"),'Demand background (hide)'!X16+IF(Setup!$I$15="Yes",'Demand background (hide)'!AJ16,0),"")</f>
        <v/>
      </c>
      <c r="BE25" s="206"/>
    </row>
    <row r="26" spans="1:57" ht="15" x14ac:dyDescent="0.25">
      <c r="A26" t="str">
        <f t="shared" ca="1" si="0"/>
        <v/>
      </c>
      <c r="B26" s="259" t="str">
        <f t="shared" ca="1" si="1"/>
        <v xml:space="preserve"> </v>
      </c>
      <c r="C26" s="261" t="str">
        <f t="shared" ca="1" si="2"/>
        <v/>
      </c>
      <c r="D26" s="261" t="str">
        <f t="shared" ca="1" si="3"/>
        <v/>
      </c>
      <c r="E26" s="183"/>
      <c r="F26" s="184"/>
      <c r="G26" s="185"/>
      <c r="H26" s="186"/>
      <c r="I26" s="248" t="str">
        <f>IF(COUNTBLANK(E26:H26)=4,"",SUM(E26:G26)+IF(Setup!$I$15="No",0,H26))</f>
        <v/>
      </c>
      <c r="J26" s="197"/>
      <c r="K26" s="198"/>
      <c r="L26" s="199"/>
      <c r="M26" s="200"/>
      <c r="N26" s="252" t="str">
        <f>IF(COUNTBLANK(J26:M26)=4,"",SUM(J26:L26)+IF(Setup!$I$15="No",0,M26))</f>
        <v/>
      </c>
      <c r="O26" s="183"/>
      <c r="P26" s="184"/>
      <c r="Q26" s="185"/>
      <c r="R26" s="186"/>
      <c r="S26" s="248" t="str">
        <f>IF(COUNTBLANK(O26:R26)=4,"",SUM(O26:Q26)+IF(Setup!$I$15="No",0,R26))</f>
        <v/>
      </c>
      <c r="T26" s="197"/>
      <c r="U26" s="198"/>
      <c r="V26" s="199"/>
      <c r="W26" s="200"/>
      <c r="X26" s="252" t="str">
        <f>IF(COUNTBLANK(T26:W26)=4,"",SUM(T26:V26)+IF(Setup!$I$15="No",0,W26))</f>
        <v/>
      </c>
      <c r="Y26" s="183"/>
      <c r="Z26" s="184"/>
      <c r="AA26" s="185"/>
      <c r="AB26" s="186"/>
      <c r="AC26" s="248" t="str">
        <f>IF(COUNTBLANK(Y26:AB26)=4,"",SUM(Y26:AA26)+IF(Setup!$I$15="No",0,AB26))</f>
        <v/>
      </c>
      <c r="AD26" s="197"/>
      <c r="AE26" s="198"/>
      <c r="AF26" s="199"/>
      <c r="AG26" s="200"/>
      <c r="AH26" s="252" t="str">
        <f>IF(COUNTBLANK(AD26:AG26)=4,"",SUM(AD26:AF26)+IF(Setup!$I$15="No",0,AG26))</f>
        <v/>
      </c>
      <c r="AI26" s="183"/>
      <c r="AJ26" s="184"/>
      <c r="AK26" s="185"/>
      <c r="AL26" s="186"/>
      <c r="AM26" s="248" t="str">
        <f>IF(COUNTBLANK(AI26:AL26)=4,"",SUM(AI26:AK26)+IF(Setup!$I$15="No",0,AL26))</f>
        <v/>
      </c>
      <c r="AN26" s="197"/>
      <c r="AO26" s="198"/>
      <c r="AP26" s="199"/>
      <c r="AQ26" s="200"/>
      <c r="AR26" s="252" t="str">
        <f>IF(COUNTBLANK(AN26:AQ26)=4,"",SUM(AN26:AP26)+IF(Setup!$I$15="No",0,AQ26))</f>
        <v/>
      </c>
      <c r="AS26" s="183"/>
      <c r="AT26" s="184"/>
      <c r="AU26" s="185"/>
      <c r="AV26" s="186"/>
      <c r="AW26" s="248" t="str">
        <f>IF(COUNTBLANK(AS26:AV26)=4,"",SUM(AS26:AU26)+IF(Setup!$I$15="No",0,AV26))</f>
        <v/>
      </c>
      <c r="AX26" s="197"/>
      <c r="AY26" s="198"/>
      <c r="AZ26" s="199"/>
      <c r="BA26" s="200"/>
      <c r="BB26" s="252" t="str">
        <f>IF(COUNTBLANK(AX26:BA26)=4,"",SUM(AX26:AZ26)+IF(Setup!$I$15="No",0,BA26))</f>
        <v/>
      </c>
      <c r="BC26" s="256" t="str">
        <f ca="1">IF('Demand background (hide)'!A17=Num_Modalities,"",SUM(Demand!I26))</f>
        <v/>
      </c>
      <c r="BD26" s="256" t="str">
        <f ca="1">IF(AND(A26&lt;=MaxRows,BE26&lt;&gt;"Yes"),'Demand background (hide)'!X17+IF(Setup!$I$15="Yes",'Demand background (hide)'!AJ17,0),"")</f>
        <v/>
      </c>
      <c r="BE26" s="206"/>
    </row>
    <row r="27" spans="1:57" ht="15" x14ac:dyDescent="0.25">
      <c r="A27" t="str">
        <f t="shared" ca="1" si="0"/>
        <v/>
      </c>
      <c r="B27" s="259" t="str">
        <f t="shared" ca="1" si="1"/>
        <v xml:space="preserve"> </v>
      </c>
      <c r="C27" s="261" t="str">
        <f t="shared" ca="1" si="2"/>
        <v/>
      </c>
      <c r="D27" s="261" t="str">
        <f t="shared" ca="1" si="3"/>
        <v/>
      </c>
      <c r="E27" s="183"/>
      <c r="F27" s="184"/>
      <c r="G27" s="185"/>
      <c r="H27" s="186"/>
      <c r="I27" s="248" t="str">
        <f>IF(COUNTBLANK(E27:H27)=4,"",SUM(E27:G27)+IF(Setup!$I$15="No",0,H27))</f>
        <v/>
      </c>
      <c r="J27" s="197"/>
      <c r="K27" s="198"/>
      <c r="L27" s="199"/>
      <c r="M27" s="200"/>
      <c r="N27" s="252" t="str">
        <f>IF(COUNTBLANK(J27:M27)=4,"",SUM(J27:L27)+IF(Setup!$I$15="No",0,M27))</f>
        <v/>
      </c>
      <c r="O27" s="183"/>
      <c r="P27" s="184"/>
      <c r="Q27" s="185"/>
      <c r="R27" s="186"/>
      <c r="S27" s="248" t="str">
        <f>IF(COUNTBLANK(O27:R27)=4,"",SUM(O27:Q27)+IF(Setup!$I$15="No",0,R27))</f>
        <v/>
      </c>
      <c r="T27" s="197"/>
      <c r="U27" s="198"/>
      <c r="V27" s="199"/>
      <c r="W27" s="200"/>
      <c r="X27" s="252" t="str">
        <f>IF(COUNTBLANK(T27:W27)=4,"",SUM(T27:V27)+IF(Setup!$I$15="No",0,W27))</f>
        <v/>
      </c>
      <c r="Y27" s="183"/>
      <c r="Z27" s="184"/>
      <c r="AA27" s="185"/>
      <c r="AB27" s="186"/>
      <c r="AC27" s="248" t="str">
        <f>IF(COUNTBLANK(Y27:AB27)=4,"",SUM(Y27:AA27)+IF(Setup!$I$15="No",0,AB27))</f>
        <v/>
      </c>
      <c r="AD27" s="197"/>
      <c r="AE27" s="198"/>
      <c r="AF27" s="199"/>
      <c r="AG27" s="200"/>
      <c r="AH27" s="252" t="str">
        <f>IF(COUNTBLANK(AD27:AG27)=4,"",SUM(AD27:AF27)+IF(Setup!$I$15="No",0,AG27))</f>
        <v/>
      </c>
      <c r="AI27" s="183"/>
      <c r="AJ27" s="184"/>
      <c r="AK27" s="185"/>
      <c r="AL27" s="186"/>
      <c r="AM27" s="248" t="str">
        <f>IF(COUNTBLANK(AI27:AL27)=4,"",SUM(AI27:AK27)+IF(Setup!$I$15="No",0,AL27))</f>
        <v/>
      </c>
      <c r="AN27" s="197"/>
      <c r="AO27" s="198"/>
      <c r="AP27" s="199"/>
      <c r="AQ27" s="200"/>
      <c r="AR27" s="252" t="str">
        <f>IF(COUNTBLANK(AN27:AQ27)=4,"",SUM(AN27:AP27)+IF(Setup!$I$15="No",0,AQ27))</f>
        <v/>
      </c>
      <c r="AS27" s="183"/>
      <c r="AT27" s="184"/>
      <c r="AU27" s="185"/>
      <c r="AV27" s="186"/>
      <c r="AW27" s="248" t="str">
        <f>IF(COUNTBLANK(AS27:AV27)=4,"",SUM(AS27:AU27)+IF(Setup!$I$15="No",0,AV27))</f>
        <v/>
      </c>
      <c r="AX27" s="197"/>
      <c r="AY27" s="198"/>
      <c r="AZ27" s="199"/>
      <c r="BA27" s="200"/>
      <c r="BB27" s="252" t="str">
        <f>IF(COUNTBLANK(AX27:BA27)=4,"",SUM(AX27:AZ27)+IF(Setup!$I$15="No",0,BA27))</f>
        <v/>
      </c>
      <c r="BC27" s="256" t="str">
        <f ca="1">IF('Demand background (hide)'!A18=Num_Modalities,"",SUM(Demand!I27))</f>
        <v/>
      </c>
      <c r="BD27" s="256" t="str">
        <f ca="1">IF(AND(A27&lt;=MaxRows,BE27&lt;&gt;"Yes"),'Demand background (hide)'!X18+IF(Setup!$I$15="Yes",'Demand background (hide)'!AJ18,0),"")</f>
        <v/>
      </c>
      <c r="BE27" s="206"/>
    </row>
    <row r="28" spans="1:57" ht="15" x14ac:dyDescent="0.25">
      <c r="A28" t="str">
        <f t="shared" ca="1" si="0"/>
        <v/>
      </c>
      <c r="B28" s="259" t="str">
        <f t="shared" ca="1" si="1"/>
        <v xml:space="preserve"> </v>
      </c>
      <c r="C28" s="261" t="str">
        <f t="shared" ca="1" si="2"/>
        <v/>
      </c>
      <c r="D28" s="261" t="str">
        <f t="shared" ca="1" si="3"/>
        <v/>
      </c>
      <c r="E28" s="183"/>
      <c r="F28" s="184"/>
      <c r="G28" s="185"/>
      <c r="H28" s="186"/>
      <c r="I28" s="248" t="str">
        <f>IF(COUNTBLANK(E28:H28)=4,"",SUM(E28:G28)+IF(Setup!$I$15="No",0,H28))</f>
        <v/>
      </c>
      <c r="J28" s="197"/>
      <c r="K28" s="198"/>
      <c r="L28" s="199"/>
      <c r="M28" s="200"/>
      <c r="N28" s="252" t="str">
        <f>IF(COUNTBLANK(J28:M28)=4,"",SUM(J28:L28)+IF(Setup!$I$15="No",0,M28))</f>
        <v/>
      </c>
      <c r="O28" s="183"/>
      <c r="P28" s="184"/>
      <c r="Q28" s="185"/>
      <c r="R28" s="186"/>
      <c r="S28" s="248" t="str">
        <f>IF(COUNTBLANK(O28:R28)=4,"",SUM(O28:Q28)+IF(Setup!$I$15="No",0,R28))</f>
        <v/>
      </c>
      <c r="T28" s="197"/>
      <c r="U28" s="198"/>
      <c r="V28" s="199"/>
      <c r="W28" s="200"/>
      <c r="X28" s="252" t="str">
        <f>IF(COUNTBLANK(T28:W28)=4,"",SUM(T28:V28)+IF(Setup!$I$15="No",0,W28))</f>
        <v/>
      </c>
      <c r="Y28" s="183"/>
      <c r="Z28" s="184"/>
      <c r="AA28" s="185"/>
      <c r="AB28" s="186"/>
      <c r="AC28" s="248" t="str">
        <f>IF(COUNTBLANK(Y28:AB28)=4,"",SUM(Y28:AA28)+IF(Setup!$I$15="No",0,AB28))</f>
        <v/>
      </c>
      <c r="AD28" s="197"/>
      <c r="AE28" s="198"/>
      <c r="AF28" s="199"/>
      <c r="AG28" s="200"/>
      <c r="AH28" s="252" t="str">
        <f>IF(COUNTBLANK(AD28:AG28)=4,"",SUM(AD28:AF28)+IF(Setup!$I$15="No",0,AG28))</f>
        <v/>
      </c>
      <c r="AI28" s="183"/>
      <c r="AJ28" s="184"/>
      <c r="AK28" s="185"/>
      <c r="AL28" s="186"/>
      <c r="AM28" s="248" t="str">
        <f>IF(COUNTBLANK(AI28:AL28)=4,"",SUM(AI28:AK28)+IF(Setup!$I$15="No",0,AL28))</f>
        <v/>
      </c>
      <c r="AN28" s="197"/>
      <c r="AO28" s="198"/>
      <c r="AP28" s="199"/>
      <c r="AQ28" s="200"/>
      <c r="AR28" s="252" t="str">
        <f>IF(COUNTBLANK(AN28:AQ28)=4,"",SUM(AN28:AP28)+IF(Setup!$I$15="No",0,AQ28))</f>
        <v/>
      </c>
      <c r="AS28" s="183"/>
      <c r="AT28" s="184"/>
      <c r="AU28" s="185"/>
      <c r="AV28" s="186"/>
      <c r="AW28" s="248" t="str">
        <f>IF(COUNTBLANK(AS28:AV28)=4,"",SUM(AS28:AU28)+IF(Setup!$I$15="No",0,AV28))</f>
        <v/>
      </c>
      <c r="AX28" s="197"/>
      <c r="AY28" s="198"/>
      <c r="AZ28" s="199"/>
      <c r="BA28" s="200"/>
      <c r="BB28" s="252" t="str">
        <f>IF(COUNTBLANK(AX28:BA28)=4,"",SUM(AX28:AZ28)+IF(Setup!$I$15="No",0,BA28))</f>
        <v/>
      </c>
      <c r="BC28" s="256" t="str">
        <f ca="1">IF('Demand background (hide)'!A19=Num_Modalities,"",SUM(Demand!I28))</f>
        <v/>
      </c>
      <c r="BD28" s="256" t="str">
        <f ca="1">IF(AND(A28&lt;=MaxRows,BE28&lt;&gt;"Yes"),'Demand background (hide)'!X19+IF(Setup!$I$15="Yes",'Demand background (hide)'!AJ19,0),"")</f>
        <v/>
      </c>
      <c r="BE28" s="206"/>
    </row>
    <row r="29" spans="1:57" ht="15" x14ac:dyDescent="0.25">
      <c r="A29" t="str">
        <f t="shared" ca="1" si="0"/>
        <v/>
      </c>
      <c r="B29" s="259" t="str">
        <f t="shared" ca="1" si="1"/>
        <v xml:space="preserve"> </v>
      </c>
      <c r="C29" s="261" t="str">
        <f t="shared" ca="1" si="2"/>
        <v/>
      </c>
      <c r="D29" s="261" t="str">
        <f t="shared" ca="1" si="3"/>
        <v/>
      </c>
      <c r="E29" s="183"/>
      <c r="F29" s="184"/>
      <c r="G29" s="185"/>
      <c r="H29" s="186"/>
      <c r="I29" s="248" t="str">
        <f>IF(COUNTBLANK(E29:H29)=4,"",SUM(E29:G29)+IF(Setup!$I$15="No",0,H29))</f>
        <v/>
      </c>
      <c r="J29" s="197"/>
      <c r="K29" s="198"/>
      <c r="L29" s="199"/>
      <c r="M29" s="200"/>
      <c r="N29" s="252" t="str">
        <f>IF(COUNTBLANK(J29:M29)=4,"",SUM(J29:L29)+IF(Setup!$I$15="No",0,M29))</f>
        <v/>
      </c>
      <c r="O29" s="183"/>
      <c r="P29" s="184"/>
      <c r="Q29" s="185"/>
      <c r="R29" s="186"/>
      <c r="S29" s="248" t="str">
        <f>IF(COUNTBLANK(O29:R29)=4,"",SUM(O29:Q29)+IF(Setup!$I$15="No",0,R29))</f>
        <v/>
      </c>
      <c r="T29" s="197"/>
      <c r="U29" s="198"/>
      <c r="V29" s="199"/>
      <c r="W29" s="200"/>
      <c r="X29" s="252" t="str">
        <f>IF(COUNTBLANK(T29:W29)=4,"",SUM(T29:V29)+IF(Setup!$I$15="No",0,W29))</f>
        <v/>
      </c>
      <c r="Y29" s="183"/>
      <c r="Z29" s="184"/>
      <c r="AA29" s="185"/>
      <c r="AB29" s="186"/>
      <c r="AC29" s="248" t="str">
        <f>IF(COUNTBLANK(Y29:AB29)=4,"",SUM(Y29:AA29)+IF(Setup!$I$15="No",0,AB29))</f>
        <v/>
      </c>
      <c r="AD29" s="197"/>
      <c r="AE29" s="198"/>
      <c r="AF29" s="199"/>
      <c r="AG29" s="200"/>
      <c r="AH29" s="252" t="str">
        <f>IF(COUNTBLANK(AD29:AG29)=4,"",SUM(AD29:AF29)+IF(Setup!$I$15="No",0,AG29))</f>
        <v/>
      </c>
      <c r="AI29" s="183"/>
      <c r="AJ29" s="184"/>
      <c r="AK29" s="185"/>
      <c r="AL29" s="186"/>
      <c r="AM29" s="248" t="str">
        <f>IF(COUNTBLANK(AI29:AL29)=4,"",SUM(AI29:AK29)+IF(Setup!$I$15="No",0,AL29))</f>
        <v/>
      </c>
      <c r="AN29" s="197"/>
      <c r="AO29" s="198"/>
      <c r="AP29" s="199"/>
      <c r="AQ29" s="200"/>
      <c r="AR29" s="252" t="str">
        <f>IF(COUNTBLANK(AN29:AQ29)=4,"",SUM(AN29:AP29)+IF(Setup!$I$15="No",0,AQ29))</f>
        <v/>
      </c>
      <c r="AS29" s="183"/>
      <c r="AT29" s="184"/>
      <c r="AU29" s="185"/>
      <c r="AV29" s="186"/>
      <c r="AW29" s="248" t="str">
        <f>IF(COUNTBLANK(AS29:AV29)=4,"",SUM(AS29:AU29)+IF(Setup!$I$15="No",0,AV29))</f>
        <v/>
      </c>
      <c r="AX29" s="197"/>
      <c r="AY29" s="198"/>
      <c r="AZ29" s="199"/>
      <c r="BA29" s="200"/>
      <c r="BB29" s="252" t="str">
        <f>IF(COUNTBLANK(AX29:BA29)=4,"",SUM(AX29:AZ29)+IF(Setup!$I$15="No",0,BA29))</f>
        <v/>
      </c>
      <c r="BC29" s="256" t="str">
        <f ca="1">IF('Demand background (hide)'!A20=Num_Modalities,"",SUM(Demand!I29))</f>
        <v/>
      </c>
      <c r="BD29" s="256" t="str">
        <f ca="1">IF(AND(A29&lt;=MaxRows,BE29&lt;&gt;"Yes"),'Demand background (hide)'!X20+IF(Setup!$I$15="Yes",'Demand background (hide)'!AJ20,0),"")</f>
        <v/>
      </c>
      <c r="BE29" s="206"/>
    </row>
    <row r="30" spans="1:57" ht="15" x14ac:dyDescent="0.25">
      <c r="A30" t="str">
        <f t="shared" ca="1" si="0"/>
        <v/>
      </c>
      <c r="B30" s="259" t="str">
        <f t="shared" ca="1" si="1"/>
        <v xml:space="preserve"> </v>
      </c>
      <c r="C30" s="261" t="str">
        <f t="shared" ca="1" si="2"/>
        <v/>
      </c>
      <c r="D30" s="261" t="str">
        <f t="shared" ca="1" si="3"/>
        <v/>
      </c>
      <c r="E30" s="183"/>
      <c r="F30" s="184"/>
      <c r="G30" s="185"/>
      <c r="H30" s="186"/>
      <c r="I30" s="248" t="str">
        <f>IF(COUNTBLANK(E30:H30)=4,"",SUM(E30:G30)+IF(Setup!$I$15="No",0,H30))</f>
        <v/>
      </c>
      <c r="J30" s="197"/>
      <c r="K30" s="198"/>
      <c r="L30" s="199"/>
      <c r="M30" s="200"/>
      <c r="N30" s="252" t="str">
        <f>IF(COUNTBLANK(J30:M30)=4,"",SUM(J30:L30)+IF(Setup!$I$15="No",0,M30))</f>
        <v/>
      </c>
      <c r="O30" s="183"/>
      <c r="P30" s="184"/>
      <c r="Q30" s="185"/>
      <c r="R30" s="186"/>
      <c r="S30" s="248" t="str">
        <f>IF(COUNTBLANK(O30:R30)=4,"",SUM(O30:Q30)+IF(Setup!$I$15="No",0,R30))</f>
        <v/>
      </c>
      <c r="T30" s="197"/>
      <c r="U30" s="198"/>
      <c r="V30" s="199"/>
      <c r="W30" s="200"/>
      <c r="X30" s="252" t="str">
        <f>IF(COUNTBLANK(T30:W30)=4,"",SUM(T30:V30)+IF(Setup!$I$15="No",0,W30))</f>
        <v/>
      </c>
      <c r="Y30" s="183"/>
      <c r="Z30" s="184"/>
      <c r="AA30" s="185"/>
      <c r="AB30" s="186"/>
      <c r="AC30" s="248" t="str">
        <f>IF(COUNTBLANK(Y30:AB30)=4,"",SUM(Y30:AA30)+IF(Setup!$I$15="No",0,AB30))</f>
        <v/>
      </c>
      <c r="AD30" s="197"/>
      <c r="AE30" s="198"/>
      <c r="AF30" s="199"/>
      <c r="AG30" s="200"/>
      <c r="AH30" s="252" t="str">
        <f>IF(COUNTBLANK(AD30:AG30)=4,"",SUM(AD30:AF30)+IF(Setup!$I$15="No",0,AG30))</f>
        <v/>
      </c>
      <c r="AI30" s="183"/>
      <c r="AJ30" s="184"/>
      <c r="AK30" s="185"/>
      <c r="AL30" s="186"/>
      <c r="AM30" s="248" t="str">
        <f>IF(COUNTBLANK(AI30:AL30)=4,"",SUM(AI30:AK30)+IF(Setup!$I$15="No",0,AL30))</f>
        <v/>
      </c>
      <c r="AN30" s="197"/>
      <c r="AO30" s="198"/>
      <c r="AP30" s="199"/>
      <c r="AQ30" s="200"/>
      <c r="AR30" s="252" t="str">
        <f>IF(COUNTBLANK(AN30:AQ30)=4,"",SUM(AN30:AP30)+IF(Setup!$I$15="No",0,AQ30))</f>
        <v/>
      </c>
      <c r="AS30" s="183"/>
      <c r="AT30" s="184"/>
      <c r="AU30" s="185"/>
      <c r="AV30" s="186"/>
      <c r="AW30" s="248" t="str">
        <f>IF(COUNTBLANK(AS30:AV30)=4,"",SUM(AS30:AU30)+IF(Setup!$I$15="No",0,AV30))</f>
        <v/>
      </c>
      <c r="AX30" s="197"/>
      <c r="AY30" s="198"/>
      <c r="AZ30" s="199"/>
      <c r="BA30" s="200"/>
      <c r="BB30" s="252" t="str">
        <f>IF(COUNTBLANK(AX30:BA30)=4,"",SUM(AX30:AZ30)+IF(Setup!$I$15="No",0,BA30))</f>
        <v/>
      </c>
      <c r="BC30" s="256" t="str">
        <f ca="1">IF('Demand background (hide)'!A21=Num_Modalities,"",SUM(Demand!I30))</f>
        <v/>
      </c>
      <c r="BD30" s="256" t="str">
        <f ca="1">IF(AND(A30&lt;=MaxRows,BE30&lt;&gt;"Yes"),'Demand background (hide)'!X21+IF(Setup!$I$15="Yes",'Demand background (hide)'!AJ21,0),"")</f>
        <v/>
      </c>
      <c r="BE30" s="206"/>
    </row>
    <row r="31" spans="1:57" ht="15" x14ac:dyDescent="0.25">
      <c r="A31" t="str">
        <f t="shared" ca="1" si="0"/>
        <v/>
      </c>
      <c r="B31" s="259" t="str">
        <f t="shared" ca="1" si="1"/>
        <v xml:space="preserve"> </v>
      </c>
      <c r="C31" s="261" t="str">
        <f t="shared" ca="1" si="2"/>
        <v/>
      </c>
      <c r="D31" s="261" t="str">
        <f t="shared" ca="1" si="3"/>
        <v/>
      </c>
      <c r="E31" s="183"/>
      <c r="F31" s="184"/>
      <c r="G31" s="185"/>
      <c r="H31" s="186"/>
      <c r="I31" s="248" t="str">
        <f>IF(COUNTBLANK(E31:H31)=4,"",SUM(E31:G31)+IF(Setup!$I$15="No",0,H31))</f>
        <v/>
      </c>
      <c r="J31" s="197"/>
      <c r="K31" s="198"/>
      <c r="L31" s="199"/>
      <c r="M31" s="200"/>
      <c r="N31" s="252" t="str">
        <f>IF(COUNTBLANK(J31:M31)=4,"",SUM(J31:L31)+IF(Setup!$I$15="No",0,M31))</f>
        <v/>
      </c>
      <c r="O31" s="183"/>
      <c r="P31" s="184"/>
      <c r="Q31" s="185"/>
      <c r="R31" s="186"/>
      <c r="S31" s="248" t="str">
        <f>IF(COUNTBLANK(O31:R31)=4,"",SUM(O31:Q31)+IF(Setup!$I$15="No",0,R31))</f>
        <v/>
      </c>
      <c r="T31" s="197"/>
      <c r="U31" s="198"/>
      <c r="V31" s="199"/>
      <c r="W31" s="200"/>
      <c r="X31" s="252" t="str">
        <f>IF(COUNTBLANK(T31:W31)=4,"",SUM(T31:V31)+IF(Setup!$I$15="No",0,W31))</f>
        <v/>
      </c>
      <c r="Y31" s="183"/>
      <c r="Z31" s="184"/>
      <c r="AA31" s="185"/>
      <c r="AB31" s="186"/>
      <c r="AC31" s="248" t="str">
        <f>IF(COUNTBLANK(Y31:AB31)=4,"",SUM(Y31:AA31)+IF(Setup!$I$15="No",0,AB31))</f>
        <v/>
      </c>
      <c r="AD31" s="197"/>
      <c r="AE31" s="198"/>
      <c r="AF31" s="199"/>
      <c r="AG31" s="200"/>
      <c r="AH31" s="252" t="str">
        <f>IF(COUNTBLANK(AD31:AG31)=4,"",SUM(AD31:AF31)+IF(Setup!$I$15="No",0,AG31))</f>
        <v/>
      </c>
      <c r="AI31" s="183"/>
      <c r="AJ31" s="184"/>
      <c r="AK31" s="185"/>
      <c r="AL31" s="186"/>
      <c r="AM31" s="248" t="str">
        <f>IF(COUNTBLANK(AI31:AL31)=4,"",SUM(AI31:AK31)+IF(Setup!$I$15="No",0,AL31))</f>
        <v/>
      </c>
      <c r="AN31" s="197"/>
      <c r="AO31" s="198"/>
      <c r="AP31" s="199"/>
      <c r="AQ31" s="200"/>
      <c r="AR31" s="252" t="str">
        <f>IF(COUNTBLANK(AN31:AQ31)=4,"",SUM(AN31:AP31)+IF(Setup!$I$15="No",0,AQ31))</f>
        <v/>
      </c>
      <c r="AS31" s="183"/>
      <c r="AT31" s="184"/>
      <c r="AU31" s="185"/>
      <c r="AV31" s="186"/>
      <c r="AW31" s="248" t="str">
        <f>IF(COUNTBLANK(AS31:AV31)=4,"",SUM(AS31:AU31)+IF(Setup!$I$15="No",0,AV31))</f>
        <v/>
      </c>
      <c r="AX31" s="197"/>
      <c r="AY31" s="198"/>
      <c r="AZ31" s="199"/>
      <c r="BA31" s="200"/>
      <c r="BB31" s="252" t="str">
        <f>IF(COUNTBLANK(AX31:BA31)=4,"",SUM(AX31:AZ31)+IF(Setup!$I$15="No",0,BA31))</f>
        <v/>
      </c>
      <c r="BC31" s="256" t="str">
        <f ca="1">IF('Demand background (hide)'!A22=Num_Modalities,"",SUM(Demand!I31))</f>
        <v/>
      </c>
      <c r="BD31" s="256" t="str">
        <f ca="1">IF(AND(A31&lt;=MaxRows,BE31&lt;&gt;"Yes"),'Demand background (hide)'!X22+IF(Setup!$I$15="Yes",'Demand background (hide)'!AJ22,0),"")</f>
        <v/>
      </c>
      <c r="BE31" s="206"/>
    </row>
    <row r="32" spans="1:57" ht="15" x14ac:dyDescent="0.25">
      <c r="A32" t="str">
        <f t="shared" ca="1" si="0"/>
        <v/>
      </c>
      <c r="B32" s="259" t="str">
        <f t="shared" ca="1" si="1"/>
        <v xml:space="preserve"> </v>
      </c>
      <c r="C32" s="261" t="str">
        <f t="shared" ca="1" si="2"/>
        <v/>
      </c>
      <c r="D32" s="261" t="str">
        <f t="shared" ca="1" si="3"/>
        <v/>
      </c>
      <c r="E32" s="183"/>
      <c r="F32" s="184"/>
      <c r="G32" s="185"/>
      <c r="H32" s="186"/>
      <c r="I32" s="248" t="str">
        <f>IF(COUNTBLANK(E32:H32)=4,"",SUM(E32:G32)+IF(Setup!$I$15="No",0,H32))</f>
        <v/>
      </c>
      <c r="J32" s="197"/>
      <c r="K32" s="198"/>
      <c r="L32" s="199"/>
      <c r="M32" s="200"/>
      <c r="N32" s="252" t="str">
        <f>IF(COUNTBLANK(J32:M32)=4,"",SUM(J32:L32)+IF(Setup!$I$15="No",0,M32))</f>
        <v/>
      </c>
      <c r="O32" s="183"/>
      <c r="P32" s="184"/>
      <c r="Q32" s="185"/>
      <c r="R32" s="186"/>
      <c r="S32" s="248" t="str">
        <f>IF(COUNTBLANK(O32:R32)=4,"",SUM(O32:Q32)+IF(Setup!$I$15="No",0,R32))</f>
        <v/>
      </c>
      <c r="T32" s="197"/>
      <c r="U32" s="198"/>
      <c r="V32" s="199"/>
      <c r="W32" s="200"/>
      <c r="X32" s="252" t="str">
        <f>IF(COUNTBLANK(T32:W32)=4,"",SUM(T32:V32)+IF(Setup!$I$15="No",0,W32))</f>
        <v/>
      </c>
      <c r="Y32" s="183"/>
      <c r="Z32" s="184"/>
      <c r="AA32" s="185"/>
      <c r="AB32" s="186"/>
      <c r="AC32" s="248" t="str">
        <f>IF(COUNTBLANK(Y32:AB32)=4,"",SUM(Y32:AA32)+IF(Setup!$I$15="No",0,AB32))</f>
        <v/>
      </c>
      <c r="AD32" s="197"/>
      <c r="AE32" s="198"/>
      <c r="AF32" s="199"/>
      <c r="AG32" s="200"/>
      <c r="AH32" s="252" t="str">
        <f>IF(COUNTBLANK(AD32:AG32)=4,"",SUM(AD32:AF32)+IF(Setup!$I$15="No",0,AG32))</f>
        <v/>
      </c>
      <c r="AI32" s="183"/>
      <c r="AJ32" s="184"/>
      <c r="AK32" s="185"/>
      <c r="AL32" s="186"/>
      <c r="AM32" s="248" t="str">
        <f>IF(COUNTBLANK(AI32:AL32)=4,"",SUM(AI32:AK32)+IF(Setup!$I$15="No",0,AL32))</f>
        <v/>
      </c>
      <c r="AN32" s="197"/>
      <c r="AO32" s="198"/>
      <c r="AP32" s="199"/>
      <c r="AQ32" s="200"/>
      <c r="AR32" s="252" t="str">
        <f>IF(COUNTBLANK(AN32:AQ32)=4,"",SUM(AN32:AP32)+IF(Setup!$I$15="No",0,AQ32))</f>
        <v/>
      </c>
      <c r="AS32" s="183"/>
      <c r="AT32" s="184"/>
      <c r="AU32" s="185"/>
      <c r="AV32" s="186"/>
      <c r="AW32" s="248" t="str">
        <f>IF(COUNTBLANK(AS32:AV32)=4,"",SUM(AS32:AU32)+IF(Setup!$I$15="No",0,AV32))</f>
        <v/>
      </c>
      <c r="AX32" s="197"/>
      <c r="AY32" s="198"/>
      <c r="AZ32" s="199"/>
      <c r="BA32" s="200"/>
      <c r="BB32" s="252" t="str">
        <f>IF(COUNTBLANK(AX32:BA32)=4,"",SUM(AX32:AZ32)+IF(Setup!$I$15="No",0,BA32))</f>
        <v/>
      </c>
      <c r="BC32" s="256" t="str">
        <f ca="1">IF('Demand background (hide)'!A23=Num_Modalities,"",SUM(Demand!I32))</f>
        <v/>
      </c>
      <c r="BD32" s="256" t="str">
        <f ca="1">IF(AND(A32&lt;=MaxRows,BE32&lt;&gt;"Yes"),'Demand background (hide)'!X23+IF(Setup!$I$15="Yes",'Demand background (hide)'!AJ23,0),"")</f>
        <v/>
      </c>
      <c r="BE32" s="206"/>
    </row>
    <row r="33" spans="1:57" ht="15" x14ac:dyDescent="0.25">
      <c r="A33" t="str">
        <f t="shared" ca="1" si="0"/>
        <v/>
      </c>
      <c r="B33" s="259" t="str">
        <f t="shared" ca="1" si="1"/>
        <v xml:space="preserve"> </v>
      </c>
      <c r="C33" s="261" t="str">
        <f t="shared" ca="1" si="2"/>
        <v/>
      </c>
      <c r="D33" s="261" t="str">
        <f t="shared" ca="1" si="3"/>
        <v/>
      </c>
      <c r="E33" s="183"/>
      <c r="F33" s="184"/>
      <c r="G33" s="185"/>
      <c r="H33" s="186"/>
      <c r="I33" s="248" t="str">
        <f>IF(COUNTBLANK(E33:H33)=4,"",SUM(E33:G33)+IF(Setup!$I$15="No",0,H33))</f>
        <v/>
      </c>
      <c r="J33" s="197"/>
      <c r="K33" s="198"/>
      <c r="L33" s="199"/>
      <c r="M33" s="200"/>
      <c r="N33" s="252" t="str">
        <f>IF(COUNTBLANK(J33:M33)=4,"",SUM(J33:L33)+IF(Setup!$I$15="No",0,M33))</f>
        <v/>
      </c>
      <c r="O33" s="183"/>
      <c r="P33" s="184"/>
      <c r="Q33" s="185"/>
      <c r="R33" s="186"/>
      <c r="S33" s="248" t="str">
        <f>IF(COUNTBLANK(O33:R33)=4,"",SUM(O33:Q33)+IF(Setup!$I$15="No",0,R33))</f>
        <v/>
      </c>
      <c r="T33" s="197"/>
      <c r="U33" s="198"/>
      <c r="V33" s="199"/>
      <c r="W33" s="200"/>
      <c r="X33" s="252" t="str">
        <f>IF(COUNTBLANK(T33:W33)=4,"",SUM(T33:V33)+IF(Setup!$I$15="No",0,W33))</f>
        <v/>
      </c>
      <c r="Y33" s="183"/>
      <c r="Z33" s="184"/>
      <c r="AA33" s="185"/>
      <c r="AB33" s="186"/>
      <c r="AC33" s="248" t="str">
        <f>IF(COUNTBLANK(Y33:AB33)=4,"",SUM(Y33:AA33)+IF(Setup!$I$15="No",0,AB33))</f>
        <v/>
      </c>
      <c r="AD33" s="197"/>
      <c r="AE33" s="198"/>
      <c r="AF33" s="199"/>
      <c r="AG33" s="200"/>
      <c r="AH33" s="252" t="str">
        <f>IF(COUNTBLANK(AD33:AG33)=4,"",SUM(AD33:AF33)+IF(Setup!$I$15="No",0,AG33))</f>
        <v/>
      </c>
      <c r="AI33" s="183"/>
      <c r="AJ33" s="184"/>
      <c r="AK33" s="185"/>
      <c r="AL33" s="186"/>
      <c r="AM33" s="248" t="str">
        <f>IF(COUNTBLANK(AI33:AL33)=4,"",SUM(AI33:AK33)+IF(Setup!$I$15="No",0,AL33))</f>
        <v/>
      </c>
      <c r="AN33" s="197"/>
      <c r="AO33" s="198"/>
      <c r="AP33" s="199"/>
      <c r="AQ33" s="200"/>
      <c r="AR33" s="252" t="str">
        <f>IF(COUNTBLANK(AN33:AQ33)=4,"",SUM(AN33:AP33)+IF(Setup!$I$15="No",0,AQ33))</f>
        <v/>
      </c>
      <c r="AS33" s="183"/>
      <c r="AT33" s="184"/>
      <c r="AU33" s="185"/>
      <c r="AV33" s="186"/>
      <c r="AW33" s="248" t="str">
        <f>IF(COUNTBLANK(AS33:AV33)=4,"",SUM(AS33:AU33)+IF(Setup!$I$15="No",0,AV33))</f>
        <v/>
      </c>
      <c r="AX33" s="197"/>
      <c r="AY33" s="198"/>
      <c r="AZ33" s="199"/>
      <c r="BA33" s="200"/>
      <c r="BB33" s="252" t="str">
        <f>IF(COUNTBLANK(AX33:BA33)=4,"",SUM(AX33:AZ33)+IF(Setup!$I$15="No",0,BA33))</f>
        <v/>
      </c>
      <c r="BC33" s="256" t="str">
        <f ca="1">IF('Demand background (hide)'!A24=Num_Modalities,"",SUM(Demand!I33))</f>
        <v/>
      </c>
      <c r="BD33" s="256" t="str">
        <f ca="1">IF(AND(A33&lt;=MaxRows,BE33&lt;&gt;"Yes"),'Demand background (hide)'!X24+IF(Setup!$I$15="Yes",'Demand background (hide)'!AJ24,0),"")</f>
        <v/>
      </c>
      <c r="BE33" s="206"/>
    </row>
    <row r="34" spans="1:57" ht="15" x14ac:dyDescent="0.25">
      <c r="A34" t="str">
        <f t="shared" ca="1" si="0"/>
        <v/>
      </c>
      <c r="B34" s="259" t="str">
        <f t="shared" ca="1" si="1"/>
        <v xml:space="preserve"> </v>
      </c>
      <c r="C34" s="261" t="str">
        <f t="shared" ca="1" si="2"/>
        <v/>
      </c>
      <c r="D34" s="261" t="str">
        <f t="shared" ca="1" si="3"/>
        <v/>
      </c>
      <c r="E34" s="183"/>
      <c r="F34" s="184"/>
      <c r="G34" s="185"/>
      <c r="H34" s="186"/>
      <c r="I34" s="248" t="str">
        <f>IF(COUNTBLANK(E34:H34)=4,"",SUM(E34:G34)+IF(Setup!$I$15="No",0,H34))</f>
        <v/>
      </c>
      <c r="J34" s="197"/>
      <c r="K34" s="198"/>
      <c r="L34" s="199"/>
      <c r="M34" s="200"/>
      <c r="N34" s="252" t="str">
        <f>IF(COUNTBLANK(J34:M34)=4,"",SUM(J34:L34)+IF(Setup!$I$15="No",0,M34))</f>
        <v/>
      </c>
      <c r="O34" s="183"/>
      <c r="P34" s="184"/>
      <c r="Q34" s="185"/>
      <c r="R34" s="186"/>
      <c r="S34" s="248" t="str">
        <f>IF(COUNTBLANK(O34:R34)=4,"",SUM(O34:Q34)+IF(Setup!$I$15="No",0,R34))</f>
        <v/>
      </c>
      <c r="T34" s="197"/>
      <c r="U34" s="198"/>
      <c r="V34" s="199"/>
      <c r="W34" s="200"/>
      <c r="X34" s="252" t="str">
        <f>IF(COUNTBLANK(T34:W34)=4,"",SUM(T34:V34)+IF(Setup!$I$15="No",0,W34))</f>
        <v/>
      </c>
      <c r="Y34" s="183"/>
      <c r="Z34" s="184"/>
      <c r="AA34" s="185"/>
      <c r="AB34" s="186"/>
      <c r="AC34" s="248" t="str">
        <f>IF(COUNTBLANK(Y34:AB34)=4,"",SUM(Y34:AA34)+IF(Setup!$I$15="No",0,AB34))</f>
        <v/>
      </c>
      <c r="AD34" s="197"/>
      <c r="AE34" s="198"/>
      <c r="AF34" s="199"/>
      <c r="AG34" s="200"/>
      <c r="AH34" s="252" t="str">
        <f>IF(COUNTBLANK(AD34:AG34)=4,"",SUM(AD34:AF34)+IF(Setup!$I$15="No",0,AG34))</f>
        <v/>
      </c>
      <c r="AI34" s="183"/>
      <c r="AJ34" s="184"/>
      <c r="AK34" s="185"/>
      <c r="AL34" s="186"/>
      <c r="AM34" s="248" t="str">
        <f>IF(COUNTBLANK(AI34:AL34)=4,"",SUM(AI34:AK34)+IF(Setup!$I$15="No",0,AL34))</f>
        <v/>
      </c>
      <c r="AN34" s="197"/>
      <c r="AO34" s="198"/>
      <c r="AP34" s="199"/>
      <c r="AQ34" s="200"/>
      <c r="AR34" s="252" t="str">
        <f>IF(COUNTBLANK(AN34:AQ34)=4,"",SUM(AN34:AP34)+IF(Setup!$I$15="No",0,AQ34))</f>
        <v/>
      </c>
      <c r="AS34" s="183"/>
      <c r="AT34" s="184"/>
      <c r="AU34" s="185"/>
      <c r="AV34" s="186"/>
      <c r="AW34" s="248" t="str">
        <f>IF(COUNTBLANK(AS34:AV34)=4,"",SUM(AS34:AU34)+IF(Setup!$I$15="No",0,AV34))</f>
        <v/>
      </c>
      <c r="AX34" s="197"/>
      <c r="AY34" s="198"/>
      <c r="AZ34" s="199"/>
      <c r="BA34" s="200"/>
      <c r="BB34" s="252" t="str">
        <f>IF(COUNTBLANK(AX34:BA34)=4,"",SUM(AX34:AZ34)+IF(Setup!$I$15="No",0,BA34))</f>
        <v/>
      </c>
      <c r="BC34" s="256" t="str">
        <f ca="1">IF('Demand background (hide)'!A25=Num_Modalities,"",SUM(Demand!I34))</f>
        <v/>
      </c>
      <c r="BD34" s="256" t="str">
        <f ca="1">IF(AND(A34&lt;=MaxRows,BE34&lt;&gt;"Yes"),'Demand background (hide)'!X25+IF(Setup!$I$15="Yes",'Demand background (hide)'!AJ25,0),"")</f>
        <v/>
      </c>
      <c r="BE34" s="206"/>
    </row>
    <row r="35" spans="1:57" ht="15" x14ac:dyDescent="0.25">
      <c r="A35" t="str">
        <f t="shared" ca="1" si="0"/>
        <v/>
      </c>
      <c r="B35" s="259" t="str">
        <f t="shared" ca="1" si="1"/>
        <v xml:space="preserve"> </v>
      </c>
      <c r="C35" s="261" t="str">
        <f t="shared" ca="1" si="2"/>
        <v/>
      </c>
      <c r="D35" s="261" t="str">
        <f t="shared" ca="1" si="3"/>
        <v/>
      </c>
      <c r="E35" s="183"/>
      <c r="F35" s="184"/>
      <c r="G35" s="185"/>
      <c r="H35" s="186"/>
      <c r="I35" s="248" t="str">
        <f>IF(COUNTBLANK(E35:H35)=4,"",SUM(E35:G35)+IF(Setup!$I$15="No",0,H35))</f>
        <v/>
      </c>
      <c r="J35" s="197"/>
      <c r="K35" s="198"/>
      <c r="L35" s="199"/>
      <c r="M35" s="200"/>
      <c r="N35" s="252" t="str">
        <f>IF(COUNTBLANK(J35:M35)=4,"",SUM(J35:L35)+IF(Setup!$I$15="No",0,M35))</f>
        <v/>
      </c>
      <c r="O35" s="183"/>
      <c r="P35" s="184"/>
      <c r="Q35" s="185"/>
      <c r="R35" s="186"/>
      <c r="S35" s="248" t="str">
        <f>IF(COUNTBLANK(O35:R35)=4,"",SUM(O35:Q35)+IF(Setup!$I$15="No",0,R35))</f>
        <v/>
      </c>
      <c r="T35" s="197"/>
      <c r="U35" s="198"/>
      <c r="V35" s="199"/>
      <c r="W35" s="200"/>
      <c r="X35" s="252" t="str">
        <f>IF(COUNTBLANK(T35:W35)=4,"",SUM(T35:V35)+IF(Setup!$I$15="No",0,W35))</f>
        <v/>
      </c>
      <c r="Y35" s="183"/>
      <c r="Z35" s="184"/>
      <c r="AA35" s="185"/>
      <c r="AB35" s="186"/>
      <c r="AC35" s="248" t="str">
        <f>IF(COUNTBLANK(Y35:AB35)=4,"",SUM(Y35:AA35)+IF(Setup!$I$15="No",0,AB35))</f>
        <v/>
      </c>
      <c r="AD35" s="197"/>
      <c r="AE35" s="198"/>
      <c r="AF35" s="199"/>
      <c r="AG35" s="200"/>
      <c r="AH35" s="252" t="str">
        <f>IF(COUNTBLANK(AD35:AG35)=4,"",SUM(AD35:AF35)+IF(Setup!$I$15="No",0,AG35))</f>
        <v/>
      </c>
      <c r="AI35" s="183"/>
      <c r="AJ35" s="184"/>
      <c r="AK35" s="185"/>
      <c r="AL35" s="186"/>
      <c r="AM35" s="248" t="str">
        <f>IF(COUNTBLANK(AI35:AL35)=4,"",SUM(AI35:AK35)+IF(Setup!$I$15="No",0,AL35))</f>
        <v/>
      </c>
      <c r="AN35" s="197"/>
      <c r="AO35" s="198"/>
      <c r="AP35" s="199"/>
      <c r="AQ35" s="200"/>
      <c r="AR35" s="252" t="str">
        <f>IF(COUNTBLANK(AN35:AQ35)=4,"",SUM(AN35:AP35)+IF(Setup!$I$15="No",0,AQ35))</f>
        <v/>
      </c>
      <c r="AS35" s="183"/>
      <c r="AT35" s="184"/>
      <c r="AU35" s="185"/>
      <c r="AV35" s="186"/>
      <c r="AW35" s="248" t="str">
        <f>IF(COUNTBLANK(AS35:AV35)=4,"",SUM(AS35:AU35)+IF(Setup!$I$15="No",0,AV35))</f>
        <v/>
      </c>
      <c r="AX35" s="197"/>
      <c r="AY35" s="198"/>
      <c r="AZ35" s="199"/>
      <c r="BA35" s="200"/>
      <c r="BB35" s="252" t="str">
        <f>IF(COUNTBLANK(AX35:BA35)=4,"",SUM(AX35:AZ35)+IF(Setup!$I$15="No",0,BA35))</f>
        <v/>
      </c>
      <c r="BC35" s="256" t="str">
        <f ca="1">IF('Demand background (hide)'!A26=Num_Modalities,"",SUM(Demand!I35))</f>
        <v/>
      </c>
      <c r="BD35" s="256" t="str">
        <f ca="1">IF(AND(A35&lt;=MaxRows,BE35&lt;&gt;"Yes"),'Demand background (hide)'!X26+IF(Setup!$I$15="Yes",'Demand background (hide)'!AJ26,0),"")</f>
        <v/>
      </c>
      <c r="BE35" s="206"/>
    </row>
    <row r="36" spans="1:57" ht="15" x14ac:dyDescent="0.25">
      <c r="A36" t="str">
        <f t="shared" ca="1" si="0"/>
        <v/>
      </c>
      <c r="B36" s="259" t="str">
        <f t="shared" ca="1" si="1"/>
        <v xml:space="preserve"> </v>
      </c>
      <c r="C36" s="261" t="str">
        <f t="shared" ca="1" si="2"/>
        <v/>
      </c>
      <c r="D36" s="261" t="str">
        <f t="shared" ca="1" si="3"/>
        <v/>
      </c>
      <c r="E36" s="183"/>
      <c r="F36" s="184"/>
      <c r="G36" s="185"/>
      <c r="H36" s="186"/>
      <c r="I36" s="248" t="str">
        <f>IF(COUNTBLANK(E36:H36)=4,"",SUM(E36:G36)+IF(Setup!$I$15="No",0,H36))</f>
        <v/>
      </c>
      <c r="J36" s="197"/>
      <c r="K36" s="198"/>
      <c r="L36" s="199"/>
      <c r="M36" s="200"/>
      <c r="N36" s="252" t="str">
        <f>IF(COUNTBLANK(J36:M36)=4,"",SUM(J36:L36)+IF(Setup!$I$15="No",0,M36))</f>
        <v/>
      </c>
      <c r="O36" s="183"/>
      <c r="P36" s="184"/>
      <c r="Q36" s="185"/>
      <c r="R36" s="186"/>
      <c r="S36" s="248" t="str">
        <f>IF(COUNTBLANK(O36:R36)=4,"",SUM(O36:Q36)+IF(Setup!$I$15="No",0,R36))</f>
        <v/>
      </c>
      <c r="T36" s="197"/>
      <c r="U36" s="198"/>
      <c r="V36" s="199"/>
      <c r="W36" s="200"/>
      <c r="X36" s="252" t="str">
        <f>IF(COUNTBLANK(T36:W36)=4,"",SUM(T36:V36)+IF(Setup!$I$15="No",0,W36))</f>
        <v/>
      </c>
      <c r="Y36" s="183"/>
      <c r="Z36" s="184"/>
      <c r="AA36" s="185"/>
      <c r="AB36" s="186"/>
      <c r="AC36" s="248" t="str">
        <f>IF(COUNTBLANK(Y36:AB36)=4,"",SUM(Y36:AA36)+IF(Setup!$I$15="No",0,AB36))</f>
        <v/>
      </c>
      <c r="AD36" s="197"/>
      <c r="AE36" s="198"/>
      <c r="AF36" s="199"/>
      <c r="AG36" s="200"/>
      <c r="AH36" s="252" t="str">
        <f>IF(COUNTBLANK(AD36:AG36)=4,"",SUM(AD36:AF36)+IF(Setup!$I$15="No",0,AG36))</f>
        <v/>
      </c>
      <c r="AI36" s="183"/>
      <c r="AJ36" s="184"/>
      <c r="AK36" s="185"/>
      <c r="AL36" s="186"/>
      <c r="AM36" s="248" t="str">
        <f>IF(COUNTBLANK(AI36:AL36)=4,"",SUM(AI36:AK36)+IF(Setup!$I$15="No",0,AL36))</f>
        <v/>
      </c>
      <c r="AN36" s="197"/>
      <c r="AO36" s="198"/>
      <c r="AP36" s="199"/>
      <c r="AQ36" s="200"/>
      <c r="AR36" s="252" t="str">
        <f>IF(COUNTBLANK(AN36:AQ36)=4,"",SUM(AN36:AP36)+IF(Setup!$I$15="No",0,AQ36))</f>
        <v/>
      </c>
      <c r="AS36" s="183"/>
      <c r="AT36" s="184"/>
      <c r="AU36" s="185"/>
      <c r="AV36" s="186"/>
      <c r="AW36" s="248" t="str">
        <f>IF(COUNTBLANK(AS36:AV36)=4,"",SUM(AS36:AU36)+IF(Setup!$I$15="No",0,AV36))</f>
        <v/>
      </c>
      <c r="AX36" s="197"/>
      <c r="AY36" s="198"/>
      <c r="AZ36" s="199"/>
      <c r="BA36" s="200"/>
      <c r="BB36" s="252" t="str">
        <f>IF(COUNTBLANK(AX36:BA36)=4,"",SUM(AX36:AZ36)+IF(Setup!$I$15="No",0,BA36))</f>
        <v/>
      </c>
      <c r="BC36" s="256" t="str">
        <f ca="1">IF('Demand background (hide)'!A27=Num_Modalities,"",SUM(Demand!I36))</f>
        <v/>
      </c>
      <c r="BD36" s="256" t="str">
        <f ca="1">IF(AND(A36&lt;=MaxRows,BE36&lt;&gt;"Yes"),'Demand background (hide)'!X27+IF(Setup!$I$15="Yes",'Demand background (hide)'!AJ27,0),"")</f>
        <v/>
      </c>
      <c r="BE36" s="206"/>
    </row>
    <row r="37" spans="1:57" ht="15" x14ac:dyDescent="0.25">
      <c r="A37" t="str">
        <f t="shared" ca="1" si="0"/>
        <v/>
      </c>
      <c r="B37" s="259" t="str">
        <f t="shared" ca="1" si="1"/>
        <v xml:space="preserve"> </v>
      </c>
      <c r="C37" s="261" t="str">
        <f t="shared" ca="1" si="2"/>
        <v/>
      </c>
      <c r="D37" s="261" t="str">
        <f t="shared" ca="1" si="3"/>
        <v/>
      </c>
      <c r="E37" s="183"/>
      <c r="F37" s="184"/>
      <c r="G37" s="185"/>
      <c r="H37" s="186"/>
      <c r="I37" s="248" t="str">
        <f>IF(COUNTBLANK(E37:H37)=4,"",SUM(E37:G37)+IF(Setup!$I$15="No",0,H37))</f>
        <v/>
      </c>
      <c r="J37" s="197"/>
      <c r="K37" s="198"/>
      <c r="L37" s="199"/>
      <c r="M37" s="200"/>
      <c r="N37" s="252" t="str">
        <f>IF(COUNTBLANK(J37:M37)=4,"",SUM(J37:L37)+IF(Setup!$I$15="No",0,M37))</f>
        <v/>
      </c>
      <c r="O37" s="183"/>
      <c r="P37" s="184"/>
      <c r="Q37" s="185"/>
      <c r="R37" s="186"/>
      <c r="S37" s="248" t="str">
        <f>IF(COUNTBLANK(O37:R37)=4,"",SUM(O37:Q37)+IF(Setup!$I$15="No",0,R37))</f>
        <v/>
      </c>
      <c r="T37" s="197"/>
      <c r="U37" s="198"/>
      <c r="V37" s="199"/>
      <c r="W37" s="200"/>
      <c r="X37" s="252" t="str">
        <f>IF(COUNTBLANK(T37:W37)=4,"",SUM(T37:V37)+IF(Setup!$I$15="No",0,W37))</f>
        <v/>
      </c>
      <c r="Y37" s="183"/>
      <c r="Z37" s="184"/>
      <c r="AA37" s="185"/>
      <c r="AB37" s="186"/>
      <c r="AC37" s="248" t="str">
        <f>IF(COUNTBLANK(Y37:AB37)=4,"",SUM(Y37:AA37)+IF(Setup!$I$15="No",0,AB37))</f>
        <v/>
      </c>
      <c r="AD37" s="197"/>
      <c r="AE37" s="198"/>
      <c r="AF37" s="199"/>
      <c r="AG37" s="200"/>
      <c r="AH37" s="252" t="str">
        <f>IF(COUNTBLANK(AD37:AG37)=4,"",SUM(AD37:AF37)+IF(Setup!$I$15="No",0,AG37))</f>
        <v/>
      </c>
      <c r="AI37" s="183"/>
      <c r="AJ37" s="184"/>
      <c r="AK37" s="185"/>
      <c r="AL37" s="186"/>
      <c r="AM37" s="248" t="str">
        <f>IF(COUNTBLANK(AI37:AL37)=4,"",SUM(AI37:AK37)+IF(Setup!$I$15="No",0,AL37))</f>
        <v/>
      </c>
      <c r="AN37" s="197"/>
      <c r="AO37" s="198"/>
      <c r="AP37" s="199"/>
      <c r="AQ37" s="200"/>
      <c r="AR37" s="252" t="str">
        <f>IF(COUNTBLANK(AN37:AQ37)=4,"",SUM(AN37:AP37)+IF(Setup!$I$15="No",0,AQ37))</f>
        <v/>
      </c>
      <c r="AS37" s="183"/>
      <c r="AT37" s="184"/>
      <c r="AU37" s="185"/>
      <c r="AV37" s="186"/>
      <c r="AW37" s="248" t="str">
        <f>IF(COUNTBLANK(AS37:AV37)=4,"",SUM(AS37:AU37)+IF(Setup!$I$15="No",0,AV37))</f>
        <v/>
      </c>
      <c r="AX37" s="197"/>
      <c r="AY37" s="198"/>
      <c r="AZ37" s="199"/>
      <c r="BA37" s="200"/>
      <c r="BB37" s="252" t="str">
        <f>IF(COUNTBLANK(AX37:BA37)=4,"",SUM(AX37:AZ37)+IF(Setup!$I$15="No",0,BA37))</f>
        <v/>
      </c>
      <c r="BC37" s="256" t="str">
        <f ca="1">IF('Demand background (hide)'!A28=Num_Modalities,"",SUM(Demand!I37))</f>
        <v/>
      </c>
      <c r="BD37" s="256" t="str">
        <f ca="1">IF(AND(A37&lt;=MaxRows,BE37&lt;&gt;"Yes"),'Demand background (hide)'!X28+IF(Setup!$I$15="Yes",'Demand background (hide)'!AJ28,0),"")</f>
        <v/>
      </c>
      <c r="BE37" s="206"/>
    </row>
    <row r="38" spans="1:57" ht="15" x14ac:dyDescent="0.25">
      <c r="A38" t="str">
        <f t="shared" ca="1" si="0"/>
        <v/>
      </c>
      <c r="B38" s="259" t="str">
        <f t="shared" ca="1" si="1"/>
        <v xml:space="preserve"> </v>
      </c>
      <c r="C38" s="261" t="str">
        <f t="shared" ca="1" si="2"/>
        <v/>
      </c>
      <c r="D38" s="261" t="str">
        <f t="shared" ca="1" si="3"/>
        <v/>
      </c>
      <c r="E38" s="183"/>
      <c r="F38" s="184"/>
      <c r="G38" s="185"/>
      <c r="H38" s="186"/>
      <c r="I38" s="248" t="str">
        <f>IF(COUNTBLANK(E38:H38)=4,"",SUM(E38:G38)+IF(Setup!$I$15="No",0,H38))</f>
        <v/>
      </c>
      <c r="J38" s="197"/>
      <c r="K38" s="198"/>
      <c r="L38" s="199"/>
      <c r="M38" s="200"/>
      <c r="N38" s="252" t="str">
        <f>IF(COUNTBLANK(J38:M38)=4,"",SUM(J38:L38)+IF(Setup!$I$15="No",0,M38))</f>
        <v/>
      </c>
      <c r="O38" s="183"/>
      <c r="P38" s="184"/>
      <c r="Q38" s="185"/>
      <c r="R38" s="186"/>
      <c r="S38" s="248" t="str">
        <f>IF(COUNTBLANK(O38:R38)=4,"",SUM(O38:Q38)+IF(Setup!$I$15="No",0,R38))</f>
        <v/>
      </c>
      <c r="T38" s="197"/>
      <c r="U38" s="198"/>
      <c r="V38" s="199"/>
      <c r="W38" s="200"/>
      <c r="X38" s="252" t="str">
        <f>IF(COUNTBLANK(T38:W38)=4,"",SUM(T38:V38)+IF(Setup!$I$15="No",0,W38))</f>
        <v/>
      </c>
      <c r="Y38" s="183"/>
      <c r="Z38" s="184"/>
      <c r="AA38" s="185"/>
      <c r="AB38" s="186"/>
      <c r="AC38" s="248" t="str">
        <f>IF(COUNTBLANK(Y38:AB38)=4,"",SUM(Y38:AA38)+IF(Setup!$I$15="No",0,AB38))</f>
        <v/>
      </c>
      <c r="AD38" s="197"/>
      <c r="AE38" s="198"/>
      <c r="AF38" s="199"/>
      <c r="AG38" s="200"/>
      <c r="AH38" s="252" t="str">
        <f>IF(COUNTBLANK(AD38:AG38)=4,"",SUM(AD38:AF38)+IF(Setup!$I$15="No",0,AG38))</f>
        <v/>
      </c>
      <c r="AI38" s="183"/>
      <c r="AJ38" s="184"/>
      <c r="AK38" s="185"/>
      <c r="AL38" s="186"/>
      <c r="AM38" s="248" t="str">
        <f>IF(COUNTBLANK(AI38:AL38)=4,"",SUM(AI38:AK38)+IF(Setup!$I$15="No",0,AL38))</f>
        <v/>
      </c>
      <c r="AN38" s="197"/>
      <c r="AO38" s="198"/>
      <c r="AP38" s="199"/>
      <c r="AQ38" s="200"/>
      <c r="AR38" s="252" t="str">
        <f>IF(COUNTBLANK(AN38:AQ38)=4,"",SUM(AN38:AP38)+IF(Setup!$I$15="No",0,AQ38))</f>
        <v/>
      </c>
      <c r="AS38" s="183"/>
      <c r="AT38" s="184"/>
      <c r="AU38" s="185"/>
      <c r="AV38" s="186"/>
      <c r="AW38" s="248" t="str">
        <f>IF(COUNTBLANK(AS38:AV38)=4,"",SUM(AS38:AU38)+IF(Setup!$I$15="No",0,AV38))</f>
        <v/>
      </c>
      <c r="AX38" s="197"/>
      <c r="AY38" s="198"/>
      <c r="AZ38" s="199"/>
      <c r="BA38" s="200"/>
      <c r="BB38" s="252" t="str">
        <f>IF(COUNTBLANK(AX38:BA38)=4,"",SUM(AX38:AZ38)+IF(Setup!$I$15="No",0,BA38))</f>
        <v/>
      </c>
      <c r="BC38" s="256" t="str">
        <f ca="1">IF('Demand background (hide)'!A29=Num_Modalities,"",SUM(Demand!I38))</f>
        <v/>
      </c>
      <c r="BD38" s="256" t="str">
        <f ca="1">IF(AND(A38&lt;=MaxRows,BE38&lt;&gt;"Yes"),'Demand background (hide)'!X29+IF(Setup!$I$15="Yes",'Demand background (hide)'!AJ29,0),"")</f>
        <v/>
      </c>
      <c r="BE38" s="206"/>
    </row>
    <row r="39" spans="1:57" ht="15" x14ac:dyDescent="0.25">
      <c r="A39" t="str">
        <f t="shared" ca="1" si="0"/>
        <v/>
      </c>
      <c r="B39" s="259" t="str">
        <f t="shared" ca="1" si="1"/>
        <v xml:space="preserve"> </v>
      </c>
      <c r="C39" s="261" t="str">
        <f t="shared" ca="1" si="2"/>
        <v/>
      </c>
      <c r="D39" s="261" t="str">
        <f t="shared" ca="1" si="3"/>
        <v/>
      </c>
      <c r="E39" s="183"/>
      <c r="F39" s="184"/>
      <c r="G39" s="185"/>
      <c r="H39" s="186"/>
      <c r="I39" s="248" t="str">
        <f>IF(COUNTBLANK(E39:H39)=4,"",SUM(E39:G39)+IF(Setup!$I$15="No",0,H39))</f>
        <v/>
      </c>
      <c r="J39" s="197"/>
      <c r="K39" s="198"/>
      <c r="L39" s="199"/>
      <c r="M39" s="200"/>
      <c r="N39" s="252" t="str">
        <f>IF(COUNTBLANK(J39:M39)=4,"",SUM(J39:L39)+IF(Setup!$I$15="No",0,M39))</f>
        <v/>
      </c>
      <c r="O39" s="183"/>
      <c r="P39" s="184"/>
      <c r="Q39" s="185"/>
      <c r="R39" s="186"/>
      <c r="S39" s="248" t="str">
        <f>IF(COUNTBLANK(O39:R39)=4,"",SUM(O39:Q39)+IF(Setup!$I$15="No",0,R39))</f>
        <v/>
      </c>
      <c r="T39" s="197"/>
      <c r="U39" s="198"/>
      <c r="V39" s="199"/>
      <c r="W39" s="200"/>
      <c r="X39" s="252" t="str">
        <f>IF(COUNTBLANK(T39:W39)=4,"",SUM(T39:V39)+IF(Setup!$I$15="No",0,W39))</f>
        <v/>
      </c>
      <c r="Y39" s="183"/>
      <c r="Z39" s="184"/>
      <c r="AA39" s="185"/>
      <c r="AB39" s="186"/>
      <c r="AC39" s="248" t="str">
        <f>IF(COUNTBLANK(Y39:AB39)=4,"",SUM(Y39:AA39)+IF(Setup!$I$15="No",0,AB39))</f>
        <v/>
      </c>
      <c r="AD39" s="197"/>
      <c r="AE39" s="198"/>
      <c r="AF39" s="199"/>
      <c r="AG39" s="200"/>
      <c r="AH39" s="252" t="str">
        <f>IF(COUNTBLANK(AD39:AG39)=4,"",SUM(AD39:AF39)+IF(Setup!$I$15="No",0,AG39))</f>
        <v/>
      </c>
      <c r="AI39" s="183"/>
      <c r="AJ39" s="184"/>
      <c r="AK39" s="185"/>
      <c r="AL39" s="186"/>
      <c r="AM39" s="248" t="str">
        <f>IF(COUNTBLANK(AI39:AL39)=4,"",SUM(AI39:AK39)+IF(Setup!$I$15="No",0,AL39))</f>
        <v/>
      </c>
      <c r="AN39" s="197"/>
      <c r="AO39" s="198"/>
      <c r="AP39" s="199"/>
      <c r="AQ39" s="200"/>
      <c r="AR39" s="252" t="str">
        <f>IF(COUNTBLANK(AN39:AQ39)=4,"",SUM(AN39:AP39)+IF(Setup!$I$15="No",0,AQ39))</f>
        <v/>
      </c>
      <c r="AS39" s="183"/>
      <c r="AT39" s="184"/>
      <c r="AU39" s="185"/>
      <c r="AV39" s="186"/>
      <c r="AW39" s="248" t="str">
        <f>IF(COUNTBLANK(AS39:AV39)=4,"",SUM(AS39:AU39)+IF(Setup!$I$15="No",0,AV39))</f>
        <v/>
      </c>
      <c r="AX39" s="197"/>
      <c r="AY39" s="198"/>
      <c r="AZ39" s="199"/>
      <c r="BA39" s="200"/>
      <c r="BB39" s="252" t="str">
        <f>IF(COUNTBLANK(AX39:BA39)=4,"",SUM(AX39:AZ39)+IF(Setup!$I$15="No",0,BA39))</f>
        <v/>
      </c>
      <c r="BC39" s="256" t="str">
        <f ca="1">IF('Demand background (hide)'!A30=Num_Modalities,"",SUM(Demand!I39))</f>
        <v/>
      </c>
      <c r="BD39" s="256" t="str">
        <f ca="1">IF(AND(A39&lt;=MaxRows,BE39&lt;&gt;"Yes"),'Demand background (hide)'!X30+IF(Setup!$I$15="Yes",'Demand background (hide)'!AJ30,0),"")</f>
        <v/>
      </c>
      <c r="BE39" s="206"/>
    </row>
    <row r="40" spans="1:57" ht="15" x14ac:dyDescent="0.25">
      <c r="A40" t="str">
        <f t="shared" ca="1" si="0"/>
        <v/>
      </c>
      <c r="B40" s="259" t="str">
        <f t="shared" ca="1" si="1"/>
        <v xml:space="preserve"> </v>
      </c>
      <c r="C40" s="261" t="str">
        <f t="shared" ca="1" si="2"/>
        <v/>
      </c>
      <c r="D40" s="261" t="str">
        <f t="shared" ca="1" si="3"/>
        <v/>
      </c>
      <c r="E40" s="183"/>
      <c r="F40" s="184"/>
      <c r="G40" s="185"/>
      <c r="H40" s="186"/>
      <c r="I40" s="248" t="str">
        <f>IF(COUNTBLANK(E40:H40)=4,"",SUM(E40:G40)+IF(Setup!$I$15="No",0,H40))</f>
        <v/>
      </c>
      <c r="J40" s="197"/>
      <c r="K40" s="198"/>
      <c r="L40" s="199"/>
      <c r="M40" s="200"/>
      <c r="N40" s="252" t="str">
        <f>IF(COUNTBLANK(J40:M40)=4,"",SUM(J40:L40)+IF(Setup!$I$15="No",0,M40))</f>
        <v/>
      </c>
      <c r="O40" s="183"/>
      <c r="P40" s="184"/>
      <c r="Q40" s="185"/>
      <c r="R40" s="186"/>
      <c r="S40" s="248" t="str">
        <f>IF(COUNTBLANK(O40:R40)=4,"",SUM(O40:Q40)+IF(Setup!$I$15="No",0,R40))</f>
        <v/>
      </c>
      <c r="T40" s="197"/>
      <c r="U40" s="198"/>
      <c r="V40" s="199"/>
      <c r="W40" s="200"/>
      <c r="X40" s="252" t="str">
        <f>IF(COUNTBLANK(T40:W40)=4,"",SUM(T40:V40)+IF(Setup!$I$15="No",0,W40))</f>
        <v/>
      </c>
      <c r="Y40" s="183"/>
      <c r="Z40" s="184"/>
      <c r="AA40" s="185"/>
      <c r="AB40" s="186"/>
      <c r="AC40" s="248" t="str">
        <f>IF(COUNTBLANK(Y40:AB40)=4,"",SUM(Y40:AA40)+IF(Setup!$I$15="No",0,AB40))</f>
        <v/>
      </c>
      <c r="AD40" s="197"/>
      <c r="AE40" s="198"/>
      <c r="AF40" s="199"/>
      <c r="AG40" s="200"/>
      <c r="AH40" s="252" t="str">
        <f>IF(COUNTBLANK(AD40:AG40)=4,"",SUM(AD40:AF40)+IF(Setup!$I$15="No",0,AG40))</f>
        <v/>
      </c>
      <c r="AI40" s="183"/>
      <c r="AJ40" s="184"/>
      <c r="AK40" s="185"/>
      <c r="AL40" s="186"/>
      <c r="AM40" s="248" t="str">
        <f>IF(COUNTBLANK(AI40:AL40)=4,"",SUM(AI40:AK40)+IF(Setup!$I$15="No",0,AL40))</f>
        <v/>
      </c>
      <c r="AN40" s="197"/>
      <c r="AO40" s="198"/>
      <c r="AP40" s="199"/>
      <c r="AQ40" s="200"/>
      <c r="AR40" s="252" t="str">
        <f>IF(COUNTBLANK(AN40:AQ40)=4,"",SUM(AN40:AP40)+IF(Setup!$I$15="No",0,AQ40))</f>
        <v/>
      </c>
      <c r="AS40" s="183"/>
      <c r="AT40" s="184"/>
      <c r="AU40" s="185"/>
      <c r="AV40" s="186"/>
      <c r="AW40" s="248" t="str">
        <f>IF(COUNTBLANK(AS40:AV40)=4,"",SUM(AS40:AU40)+IF(Setup!$I$15="No",0,AV40))</f>
        <v/>
      </c>
      <c r="AX40" s="197"/>
      <c r="AY40" s="198"/>
      <c r="AZ40" s="199"/>
      <c r="BA40" s="200"/>
      <c r="BB40" s="252" t="str">
        <f>IF(COUNTBLANK(AX40:BA40)=4,"",SUM(AX40:AZ40)+IF(Setup!$I$15="No",0,BA40))</f>
        <v/>
      </c>
      <c r="BC40" s="256" t="str">
        <f ca="1">IF('Demand background (hide)'!A31=Num_Modalities,"",SUM(Demand!I40))</f>
        <v/>
      </c>
      <c r="BD40" s="256" t="str">
        <f ca="1">IF(AND(A40&lt;=MaxRows,BE40&lt;&gt;"Yes"),'Demand background (hide)'!X31+IF(Setup!$I$15="Yes",'Demand background (hide)'!AJ31,0),"")</f>
        <v/>
      </c>
      <c r="BE40" s="206"/>
    </row>
    <row r="41" spans="1:57" ht="15" x14ac:dyDescent="0.25">
      <c r="A41" t="str">
        <f t="shared" ca="1" si="0"/>
        <v/>
      </c>
      <c r="B41" s="259" t="str">
        <f t="shared" ca="1" si="1"/>
        <v xml:space="preserve"> </v>
      </c>
      <c r="C41" s="261" t="str">
        <f t="shared" ca="1" si="2"/>
        <v/>
      </c>
      <c r="D41" s="261" t="str">
        <f t="shared" ca="1" si="3"/>
        <v/>
      </c>
      <c r="E41" s="183"/>
      <c r="F41" s="184"/>
      <c r="G41" s="185"/>
      <c r="H41" s="186"/>
      <c r="I41" s="248" t="str">
        <f>IF(COUNTBLANK(E41:H41)=4,"",SUM(E41:G41)+IF(Setup!$I$15="No",0,H41))</f>
        <v/>
      </c>
      <c r="J41" s="197"/>
      <c r="K41" s="198"/>
      <c r="L41" s="199"/>
      <c r="M41" s="200"/>
      <c r="N41" s="252" t="str">
        <f>IF(COUNTBLANK(J41:M41)=4,"",SUM(J41:L41)+IF(Setup!$I$15="No",0,M41))</f>
        <v/>
      </c>
      <c r="O41" s="183"/>
      <c r="P41" s="184"/>
      <c r="Q41" s="185"/>
      <c r="R41" s="186"/>
      <c r="S41" s="248" t="str">
        <f>IF(COUNTBLANK(O41:R41)=4,"",SUM(O41:Q41)+IF(Setup!$I$15="No",0,R41))</f>
        <v/>
      </c>
      <c r="T41" s="197"/>
      <c r="U41" s="198"/>
      <c r="V41" s="199"/>
      <c r="W41" s="200"/>
      <c r="X41" s="252" t="str">
        <f>IF(COUNTBLANK(T41:W41)=4,"",SUM(T41:V41)+IF(Setup!$I$15="No",0,W41))</f>
        <v/>
      </c>
      <c r="Y41" s="183"/>
      <c r="Z41" s="184"/>
      <c r="AA41" s="185"/>
      <c r="AB41" s="186"/>
      <c r="AC41" s="248" t="str">
        <f>IF(COUNTBLANK(Y41:AB41)=4,"",SUM(Y41:AA41)+IF(Setup!$I$15="No",0,AB41))</f>
        <v/>
      </c>
      <c r="AD41" s="197"/>
      <c r="AE41" s="198"/>
      <c r="AF41" s="199"/>
      <c r="AG41" s="200"/>
      <c r="AH41" s="252" t="str">
        <f>IF(COUNTBLANK(AD41:AG41)=4,"",SUM(AD41:AF41)+IF(Setup!$I$15="No",0,AG41))</f>
        <v/>
      </c>
      <c r="AI41" s="183"/>
      <c r="AJ41" s="184"/>
      <c r="AK41" s="185"/>
      <c r="AL41" s="186"/>
      <c r="AM41" s="248" t="str">
        <f>IF(COUNTBLANK(AI41:AL41)=4,"",SUM(AI41:AK41)+IF(Setup!$I$15="No",0,AL41))</f>
        <v/>
      </c>
      <c r="AN41" s="197"/>
      <c r="AO41" s="198"/>
      <c r="AP41" s="199"/>
      <c r="AQ41" s="200"/>
      <c r="AR41" s="252" t="str">
        <f>IF(COUNTBLANK(AN41:AQ41)=4,"",SUM(AN41:AP41)+IF(Setup!$I$15="No",0,AQ41))</f>
        <v/>
      </c>
      <c r="AS41" s="183"/>
      <c r="AT41" s="184"/>
      <c r="AU41" s="185"/>
      <c r="AV41" s="186"/>
      <c r="AW41" s="248" t="str">
        <f>IF(COUNTBLANK(AS41:AV41)=4,"",SUM(AS41:AU41)+IF(Setup!$I$15="No",0,AV41))</f>
        <v/>
      </c>
      <c r="AX41" s="197"/>
      <c r="AY41" s="198"/>
      <c r="AZ41" s="199"/>
      <c r="BA41" s="200"/>
      <c r="BB41" s="252" t="str">
        <f>IF(COUNTBLANK(AX41:BA41)=4,"",SUM(AX41:AZ41)+IF(Setup!$I$15="No",0,BA41))</f>
        <v/>
      </c>
      <c r="BC41" s="256" t="str">
        <f ca="1">IF('Demand background (hide)'!A32=Num_Modalities,"",SUM(Demand!I41))</f>
        <v/>
      </c>
      <c r="BD41" s="256" t="str">
        <f ca="1">IF(AND(A41&lt;=MaxRows,BE41&lt;&gt;"Yes"),'Demand background (hide)'!X32+IF(Setup!$I$15="Yes",'Demand background (hide)'!AJ32,0),"")</f>
        <v/>
      </c>
      <c r="BE41" s="206"/>
    </row>
    <row r="42" spans="1:57" ht="15" x14ac:dyDescent="0.25">
      <c r="A42" t="str">
        <f t="shared" ca="1" si="0"/>
        <v/>
      </c>
      <c r="B42" s="259" t="str">
        <f t="shared" ca="1" si="1"/>
        <v xml:space="preserve"> </v>
      </c>
      <c r="C42" s="261" t="str">
        <f t="shared" ca="1" si="2"/>
        <v/>
      </c>
      <c r="D42" s="261" t="str">
        <f t="shared" ca="1" si="3"/>
        <v/>
      </c>
      <c r="E42" s="183"/>
      <c r="F42" s="184"/>
      <c r="G42" s="185"/>
      <c r="H42" s="186"/>
      <c r="I42" s="248" t="str">
        <f>IF(COUNTBLANK(E42:H42)=4,"",SUM(E42:G42)+IF(Setup!$I$15="No",0,H42))</f>
        <v/>
      </c>
      <c r="J42" s="197"/>
      <c r="K42" s="198"/>
      <c r="L42" s="199"/>
      <c r="M42" s="200"/>
      <c r="N42" s="252" t="str">
        <f>IF(COUNTBLANK(J42:M42)=4,"",SUM(J42:L42)+IF(Setup!$I$15="No",0,M42))</f>
        <v/>
      </c>
      <c r="O42" s="183"/>
      <c r="P42" s="184"/>
      <c r="Q42" s="185"/>
      <c r="R42" s="186"/>
      <c r="S42" s="248" t="str">
        <f>IF(COUNTBLANK(O42:R42)=4,"",SUM(O42:Q42)+IF(Setup!$I$15="No",0,R42))</f>
        <v/>
      </c>
      <c r="T42" s="197"/>
      <c r="U42" s="198"/>
      <c r="V42" s="199"/>
      <c r="W42" s="200"/>
      <c r="X42" s="252" t="str">
        <f>IF(COUNTBLANK(T42:W42)=4,"",SUM(T42:V42)+IF(Setup!$I$15="No",0,W42))</f>
        <v/>
      </c>
      <c r="Y42" s="183"/>
      <c r="Z42" s="184"/>
      <c r="AA42" s="185"/>
      <c r="AB42" s="186"/>
      <c r="AC42" s="248" t="str">
        <f>IF(COUNTBLANK(Y42:AB42)=4,"",SUM(Y42:AA42)+IF(Setup!$I$15="No",0,AB42))</f>
        <v/>
      </c>
      <c r="AD42" s="197"/>
      <c r="AE42" s="198"/>
      <c r="AF42" s="199"/>
      <c r="AG42" s="200"/>
      <c r="AH42" s="252" t="str">
        <f>IF(COUNTBLANK(AD42:AG42)=4,"",SUM(AD42:AF42)+IF(Setup!$I$15="No",0,AG42))</f>
        <v/>
      </c>
      <c r="AI42" s="183"/>
      <c r="AJ42" s="184"/>
      <c r="AK42" s="185"/>
      <c r="AL42" s="186"/>
      <c r="AM42" s="248" t="str">
        <f>IF(COUNTBLANK(AI42:AL42)=4,"",SUM(AI42:AK42)+IF(Setup!$I$15="No",0,AL42))</f>
        <v/>
      </c>
      <c r="AN42" s="197"/>
      <c r="AO42" s="198"/>
      <c r="AP42" s="199"/>
      <c r="AQ42" s="200"/>
      <c r="AR42" s="252" t="str">
        <f>IF(COUNTBLANK(AN42:AQ42)=4,"",SUM(AN42:AP42)+IF(Setup!$I$15="No",0,AQ42))</f>
        <v/>
      </c>
      <c r="AS42" s="183"/>
      <c r="AT42" s="184"/>
      <c r="AU42" s="185"/>
      <c r="AV42" s="186"/>
      <c r="AW42" s="248" t="str">
        <f>IF(COUNTBLANK(AS42:AV42)=4,"",SUM(AS42:AU42)+IF(Setup!$I$15="No",0,AV42))</f>
        <v/>
      </c>
      <c r="AX42" s="197"/>
      <c r="AY42" s="198"/>
      <c r="AZ42" s="199"/>
      <c r="BA42" s="200"/>
      <c r="BB42" s="252" t="str">
        <f>IF(COUNTBLANK(AX42:BA42)=4,"",SUM(AX42:AZ42)+IF(Setup!$I$15="No",0,BA42))</f>
        <v/>
      </c>
      <c r="BC42" s="256" t="str">
        <f ca="1">IF('Demand background (hide)'!A33=Num_Modalities,"",SUM(Demand!I42))</f>
        <v/>
      </c>
      <c r="BD42" s="256" t="str">
        <f ca="1">IF(AND(A42&lt;=MaxRows,BE42&lt;&gt;"Yes"),'Demand background (hide)'!X33+IF(Setup!$I$15="Yes",'Demand background (hide)'!AJ33,0),"")</f>
        <v/>
      </c>
      <c r="BE42" s="206"/>
    </row>
    <row r="43" spans="1:57" ht="15" x14ac:dyDescent="0.25">
      <c r="A43" t="str">
        <f t="shared" ca="1" si="0"/>
        <v/>
      </c>
      <c r="B43" s="259" t="str">
        <f t="shared" ca="1" si="1"/>
        <v xml:space="preserve"> </v>
      </c>
      <c r="C43" s="261" t="str">
        <f t="shared" ca="1" si="2"/>
        <v/>
      </c>
      <c r="D43" s="261" t="str">
        <f t="shared" ca="1" si="3"/>
        <v/>
      </c>
      <c r="E43" s="183"/>
      <c r="F43" s="184"/>
      <c r="G43" s="185"/>
      <c r="H43" s="186"/>
      <c r="I43" s="248" t="str">
        <f>IF(COUNTBLANK(E43:H43)=4,"",SUM(E43:G43)+IF(Setup!$I$15="No",0,H43))</f>
        <v/>
      </c>
      <c r="J43" s="197"/>
      <c r="K43" s="198"/>
      <c r="L43" s="199"/>
      <c r="M43" s="200"/>
      <c r="N43" s="252" t="str">
        <f>IF(COUNTBLANK(J43:M43)=4,"",SUM(J43:L43)+IF(Setup!$I$15="No",0,M43))</f>
        <v/>
      </c>
      <c r="O43" s="183"/>
      <c r="P43" s="184"/>
      <c r="Q43" s="185"/>
      <c r="R43" s="186"/>
      <c r="S43" s="248" t="str">
        <f>IF(COUNTBLANK(O43:R43)=4,"",SUM(O43:Q43)+IF(Setup!$I$15="No",0,R43))</f>
        <v/>
      </c>
      <c r="T43" s="197"/>
      <c r="U43" s="198"/>
      <c r="V43" s="199"/>
      <c r="W43" s="200"/>
      <c r="X43" s="252" t="str">
        <f>IF(COUNTBLANK(T43:W43)=4,"",SUM(T43:V43)+IF(Setup!$I$15="No",0,W43))</f>
        <v/>
      </c>
      <c r="Y43" s="183"/>
      <c r="Z43" s="184"/>
      <c r="AA43" s="185"/>
      <c r="AB43" s="186"/>
      <c r="AC43" s="248" t="str">
        <f>IF(COUNTBLANK(Y43:AB43)=4,"",SUM(Y43:AA43)+IF(Setup!$I$15="No",0,AB43))</f>
        <v/>
      </c>
      <c r="AD43" s="197"/>
      <c r="AE43" s="198"/>
      <c r="AF43" s="199"/>
      <c r="AG43" s="200"/>
      <c r="AH43" s="252" t="str">
        <f>IF(COUNTBLANK(AD43:AG43)=4,"",SUM(AD43:AF43)+IF(Setup!$I$15="No",0,AG43))</f>
        <v/>
      </c>
      <c r="AI43" s="183"/>
      <c r="AJ43" s="184"/>
      <c r="AK43" s="185"/>
      <c r="AL43" s="186"/>
      <c r="AM43" s="248" t="str">
        <f>IF(COUNTBLANK(AI43:AL43)=4,"",SUM(AI43:AK43)+IF(Setup!$I$15="No",0,AL43))</f>
        <v/>
      </c>
      <c r="AN43" s="197"/>
      <c r="AO43" s="198"/>
      <c r="AP43" s="199"/>
      <c r="AQ43" s="200"/>
      <c r="AR43" s="252" t="str">
        <f>IF(COUNTBLANK(AN43:AQ43)=4,"",SUM(AN43:AP43)+IF(Setup!$I$15="No",0,AQ43))</f>
        <v/>
      </c>
      <c r="AS43" s="183"/>
      <c r="AT43" s="184"/>
      <c r="AU43" s="185"/>
      <c r="AV43" s="186"/>
      <c r="AW43" s="248" t="str">
        <f>IF(COUNTBLANK(AS43:AV43)=4,"",SUM(AS43:AU43)+IF(Setup!$I$15="No",0,AV43))</f>
        <v/>
      </c>
      <c r="AX43" s="197"/>
      <c r="AY43" s="198"/>
      <c r="AZ43" s="199"/>
      <c r="BA43" s="200"/>
      <c r="BB43" s="252" t="str">
        <f>IF(COUNTBLANK(AX43:BA43)=4,"",SUM(AX43:AZ43)+IF(Setup!$I$15="No",0,BA43))</f>
        <v/>
      </c>
      <c r="BC43" s="256" t="str">
        <f ca="1">IF('Demand background (hide)'!A34=Num_Modalities,"",SUM(Demand!I43))</f>
        <v/>
      </c>
      <c r="BD43" s="256" t="str">
        <f ca="1">IF(AND(A43&lt;=MaxRows,BE43&lt;&gt;"Yes"),'Demand background (hide)'!X34+IF(Setup!$I$15="Yes",'Demand background (hide)'!AJ34,0),"")</f>
        <v/>
      </c>
      <c r="BE43" s="206"/>
    </row>
    <row r="44" spans="1:57" ht="15" x14ac:dyDescent="0.25">
      <c r="A44" t="str">
        <f t="shared" ca="1" si="0"/>
        <v/>
      </c>
      <c r="B44" s="259" t="str">
        <f t="shared" ca="1" si="1"/>
        <v xml:space="preserve"> </v>
      </c>
      <c r="C44" s="261" t="str">
        <f t="shared" ca="1" si="2"/>
        <v/>
      </c>
      <c r="D44" s="261" t="str">
        <f t="shared" ca="1" si="3"/>
        <v/>
      </c>
      <c r="E44" s="183"/>
      <c r="F44" s="184"/>
      <c r="G44" s="185"/>
      <c r="H44" s="186"/>
      <c r="I44" s="248" t="str">
        <f>IF(COUNTBLANK(E44:H44)=4,"",SUM(E44:G44)+IF(Setup!$I$15="No",0,H44))</f>
        <v/>
      </c>
      <c r="J44" s="197"/>
      <c r="K44" s="198"/>
      <c r="L44" s="199"/>
      <c r="M44" s="200"/>
      <c r="N44" s="252" t="str">
        <f>IF(COUNTBLANK(J44:M44)=4,"",SUM(J44:L44)+IF(Setup!$I$15="No",0,M44))</f>
        <v/>
      </c>
      <c r="O44" s="183"/>
      <c r="P44" s="184"/>
      <c r="Q44" s="185"/>
      <c r="R44" s="186"/>
      <c r="S44" s="248" t="str">
        <f>IF(COUNTBLANK(O44:R44)=4,"",SUM(O44:Q44)+IF(Setup!$I$15="No",0,R44))</f>
        <v/>
      </c>
      <c r="T44" s="197"/>
      <c r="U44" s="198"/>
      <c r="V44" s="199"/>
      <c r="W44" s="200"/>
      <c r="X44" s="252" t="str">
        <f>IF(COUNTBLANK(T44:W44)=4,"",SUM(T44:V44)+IF(Setup!$I$15="No",0,W44))</f>
        <v/>
      </c>
      <c r="Y44" s="183"/>
      <c r="Z44" s="184"/>
      <c r="AA44" s="185"/>
      <c r="AB44" s="186"/>
      <c r="AC44" s="248" t="str">
        <f>IF(COUNTBLANK(Y44:AB44)=4,"",SUM(Y44:AA44)+IF(Setup!$I$15="No",0,AB44))</f>
        <v/>
      </c>
      <c r="AD44" s="197"/>
      <c r="AE44" s="198"/>
      <c r="AF44" s="199"/>
      <c r="AG44" s="200"/>
      <c r="AH44" s="252" t="str">
        <f>IF(COUNTBLANK(AD44:AG44)=4,"",SUM(AD44:AF44)+IF(Setup!$I$15="No",0,AG44))</f>
        <v/>
      </c>
      <c r="AI44" s="183"/>
      <c r="AJ44" s="184"/>
      <c r="AK44" s="185"/>
      <c r="AL44" s="186"/>
      <c r="AM44" s="248" t="str">
        <f>IF(COUNTBLANK(AI44:AL44)=4,"",SUM(AI44:AK44)+IF(Setup!$I$15="No",0,AL44))</f>
        <v/>
      </c>
      <c r="AN44" s="197"/>
      <c r="AO44" s="198"/>
      <c r="AP44" s="199"/>
      <c r="AQ44" s="200"/>
      <c r="AR44" s="252" t="str">
        <f>IF(COUNTBLANK(AN44:AQ44)=4,"",SUM(AN44:AP44)+IF(Setup!$I$15="No",0,AQ44))</f>
        <v/>
      </c>
      <c r="AS44" s="183"/>
      <c r="AT44" s="184"/>
      <c r="AU44" s="185"/>
      <c r="AV44" s="186"/>
      <c r="AW44" s="248" t="str">
        <f>IF(COUNTBLANK(AS44:AV44)=4,"",SUM(AS44:AU44)+IF(Setup!$I$15="No",0,AV44))</f>
        <v/>
      </c>
      <c r="AX44" s="197"/>
      <c r="AY44" s="198"/>
      <c r="AZ44" s="199"/>
      <c r="BA44" s="200"/>
      <c r="BB44" s="252" t="str">
        <f>IF(COUNTBLANK(AX44:BA44)=4,"",SUM(AX44:AZ44)+IF(Setup!$I$15="No",0,BA44))</f>
        <v/>
      </c>
      <c r="BC44" s="256" t="str">
        <f ca="1">IF('Demand background (hide)'!A35=Num_Modalities,"",SUM(Demand!I44))</f>
        <v/>
      </c>
      <c r="BD44" s="256" t="str">
        <f ca="1">IF(AND(A44&lt;=MaxRows,BE44&lt;&gt;"Yes"),'Demand background (hide)'!X35+IF(Setup!$I$15="Yes",'Demand background (hide)'!AJ35,0),"")</f>
        <v/>
      </c>
      <c r="BE44" s="206"/>
    </row>
    <row r="45" spans="1:57" ht="15" x14ac:dyDescent="0.25">
      <c r="A45" t="str">
        <f t="shared" ca="1" si="0"/>
        <v/>
      </c>
      <c r="B45" s="259" t="str">
        <f t="shared" ca="1" si="1"/>
        <v xml:space="preserve"> </v>
      </c>
      <c r="C45" s="261" t="str">
        <f t="shared" ca="1" si="2"/>
        <v/>
      </c>
      <c r="D45" s="261" t="str">
        <f t="shared" ca="1" si="3"/>
        <v/>
      </c>
      <c r="E45" s="183"/>
      <c r="F45" s="184"/>
      <c r="G45" s="185"/>
      <c r="H45" s="186"/>
      <c r="I45" s="248" t="str">
        <f>IF(COUNTBLANK(E45:H45)=4,"",SUM(E45:G45)+IF(Setup!$I$15="No",0,H45))</f>
        <v/>
      </c>
      <c r="J45" s="197"/>
      <c r="K45" s="198"/>
      <c r="L45" s="199"/>
      <c r="M45" s="200"/>
      <c r="N45" s="252" t="str">
        <f>IF(COUNTBLANK(J45:M45)=4,"",SUM(J45:L45)+IF(Setup!$I$15="No",0,M45))</f>
        <v/>
      </c>
      <c r="O45" s="183"/>
      <c r="P45" s="184"/>
      <c r="Q45" s="185"/>
      <c r="R45" s="186"/>
      <c r="S45" s="248" t="str">
        <f>IF(COUNTBLANK(O45:R45)=4,"",SUM(O45:Q45)+IF(Setup!$I$15="No",0,R45))</f>
        <v/>
      </c>
      <c r="T45" s="197"/>
      <c r="U45" s="198"/>
      <c r="V45" s="199"/>
      <c r="W45" s="200"/>
      <c r="X45" s="252" t="str">
        <f>IF(COUNTBLANK(T45:W45)=4,"",SUM(T45:V45)+IF(Setup!$I$15="No",0,W45))</f>
        <v/>
      </c>
      <c r="Y45" s="183"/>
      <c r="Z45" s="184"/>
      <c r="AA45" s="185"/>
      <c r="AB45" s="186"/>
      <c r="AC45" s="248" t="str">
        <f>IF(COUNTBLANK(Y45:AB45)=4,"",SUM(Y45:AA45)+IF(Setup!$I$15="No",0,AB45))</f>
        <v/>
      </c>
      <c r="AD45" s="197"/>
      <c r="AE45" s="198"/>
      <c r="AF45" s="199"/>
      <c r="AG45" s="200"/>
      <c r="AH45" s="252" t="str">
        <f>IF(COUNTBLANK(AD45:AG45)=4,"",SUM(AD45:AF45)+IF(Setup!$I$15="No",0,AG45))</f>
        <v/>
      </c>
      <c r="AI45" s="183"/>
      <c r="AJ45" s="184"/>
      <c r="AK45" s="185"/>
      <c r="AL45" s="186"/>
      <c r="AM45" s="248" t="str">
        <f>IF(COUNTBLANK(AI45:AL45)=4,"",SUM(AI45:AK45)+IF(Setup!$I$15="No",0,AL45))</f>
        <v/>
      </c>
      <c r="AN45" s="197"/>
      <c r="AO45" s="198"/>
      <c r="AP45" s="199"/>
      <c r="AQ45" s="200"/>
      <c r="AR45" s="252" t="str">
        <f>IF(COUNTBLANK(AN45:AQ45)=4,"",SUM(AN45:AP45)+IF(Setup!$I$15="No",0,AQ45))</f>
        <v/>
      </c>
      <c r="AS45" s="183"/>
      <c r="AT45" s="184"/>
      <c r="AU45" s="185"/>
      <c r="AV45" s="186"/>
      <c r="AW45" s="248" t="str">
        <f>IF(COUNTBLANK(AS45:AV45)=4,"",SUM(AS45:AU45)+IF(Setup!$I$15="No",0,AV45))</f>
        <v/>
      </c>
      <c r="AX45" s="197"/>
      <c r="AY45" s="198"/>
      <c r="AZ45" s="199"/>
      <c r="BA45" s="200"/>
      <c r="BB45" s="252" t="str">
        <f>IF(COUNTBLANK(AX45:BA45)=4,"",SUM(AX45:AZ45)+IF(Setup!$I$15="No",0,BA45))</f>
        <v/>
      </c>
      <c r="BC45" s="256" t="str">
        <f ca="1">IF('Demand background (hide)'!A36=Num_Modalities,"",SUM(Demand!I45))</f>
        <v/>
      </c>
      <c r="BD45" s="256" t="str">
        <f ca="1">IF(AND(A45&lt;=MaxRows,BE45&lt;&gt;"Yes"),'Demand background (hide)'!X36+IF(Setup!$I$15="Yes",'Demand background (hide)'!AJ36,0),"")</f>
        <v/>
      </c>
      <c r="BE45" s="206"/>
    </row>
    <row r="46" spans="1:57" ht="15" x14ac:dyDescent="0.25">
      <c r="A46" t="str">
        <f t="shared" ca="1" si="0"/>
        <v/>
      </c>
      <c r="B46" s="259" t="str">
        <f t="shared" ca="1" si="1"/>
        <v xml:space="preserve"> </v>
      </c>
      <c r="C46" s="261" t="str">
        <f t="shared" ca="1" si="2"/>
        <v/>
      </c>
      <c r="D46" s="261" t="str">
        <f t="shared" ca="1" si="3"/>
        <v/>
      </c>
      <c r="E46" s="183"/>
      <c r="F46" s="184"/>
      <c r="G46" s="185"/>
      <c r="H46" s="186"/>
      <c r="I46" s="248" t="str">
        <f>IF(COUNTBLANK(E46:H46)=4,"",SUM(E46:G46)+IF(Setup!$I$15="No",0,H46))</f>
        <v/>
      </c>
      <c r="J46" s="197"/>
      <c r="K46" s="198"/>
      <c r="L46" s="199"/>
      <c r="M46" s="200"/>
      <c r="N46" s="252" t="str">
        <f>IF(COUNTBLANK(J46:M46)=4,"",SUM(J46:L46)+IF(Setup!$I$15="No",0,M46))</f>
        <v/>
      </c>
      <c r="O46" s="183"/>
      <c r="P46" s="184"/>
      <c r="Q46" s="185"/>
      <c r="R46" s="186"/>
      <c r="S46" s="248" t="str">
        <f>IF(COUNTBLANK(O46:R46)=4,"",SUM(O46:Q46)+IF(Setup!$I$15="No",0,R46))</f>
        <v/>
      </c>
      <c r="T46" s="197"/>
      <c r="U46" s="198"/>
      <c r="V46" s="199"/>
      <c r="W46" s="200"/>
      <c r="X46" s="252" t="str">
        <f>IF(COUNTBLANK(T46:W46)=4,"",SUM(T46:V46)+IF(Setup!$I$15="No",0,W46))</f>
        <v/>
      </c>
      <c r="Y46" s="183"/>
      <c r="Z46" s="184"/>
      <c r="AA46" s="185"/>
      <c r="AB46" s="186"/>
      <c r="AC46" s="248" t="str">
        <f>IF(COUNTBLANK(Y46:AB46)=4,"",SUM(Y46:AA46)+IF(Setup!$I$15="No",0,AB46))</f>
        <v/>
      </c>
      <c r="AD46" s="197"/>
      <c r="AE46" s="198"/>
      <c r="AF46" s="199"/>
      <c r="AG46" s="200"/>
      <c r="AH46" s="252" t="str">
        <f>IF(COUNTBLANK(AD46:AG46)=4,"",SUM(AD46:AF46)+IF(Setup!$I$15="No",0,AG46))</f>
        <v/>
      </c>
      <c r="AI46" s="183"/>
      <c r="AJ46" s="184"/>
      <c r="AK46" s="185"/>
      <c r="AL46" s="186"/>
      <c r="AM46" s="248" t="str">
        <f>IF(COUNTBLANK(AI46:AL46)=4,"",SUM(AI46:AK46)+IF(Setup!$I$15="No",0,AL46))</f>
        <v/>
      </c>
      <c r="AN46" s="197"/>
      <c r="AO46" s="198"/>
      <c r="AP46" s="199"/>
      <c r="AQ46" s="200"/>
      <c r="AR46" s="252" t="str">
        <f>IF(COUNTBLANK(AN46:AQ46)=4,"",SUM(AN46:AP46)+IF(Setup!$I$15="No",0,AQ46))</f>
        <v/>
      </c>
      <c r="AS46" s="183"/>
      <c r="AT46" s="184"/>
      <c r="AU46" s="185"/>
      <c r="AV46" s="186"/>
      <c r="AW46" s="248" t="str">
        <f>IF(COUNTBLANK(AS46:AV46)=4,"",SUM(AS46:AU46)+IF(Setup!$I$15="No",0,AV46))</f>
        <v/>
      </c>
      <c r="AX46" s="197"/>
      <c r="AY46" s="198"/>
      <c r="AZ46" s="199"/>
      <c r="BA46" s="200"/>
      <c r="BB46" s="252" t="str">
        <f>IF(COUNTBLANK(AX46:BA46)=4,"",SUM(AX46:AZ46)+IF(Setup!$I$15="No",0,BA46))</f>
        <v/>
      </c>
      <c r="BC46" s="256" t="str">
        <f ca="1">IF('Demand background (hide)'!A37=Num_Modalities,"",SUM(Demand!I46))</f>
        <v/>
      </c>
      <c r="BD46" s="256" t="str">
        <f ca="1">IF(AND(A46&lt;=MaxRows,BE46&lt;&gt;"Yes"),'Demand background (hide)'!X37+IF(Setup!$I$15="Yes",'Demand background (hide)'!AJ37,0),"")</f>
        <v/>
      </c>
      <c r="BE46" s="206"/>
    </row>
    <row r="47" spans="1:57" ht="15" x14ac:dyDescent="0.25">
      <c r="A47" t="str">
        <f t="shared" ca="1" si="0"/>
        <v/>
      </c>
      <c r="B47" s="259" t="str">
        <f t="shared" ca="1" si="1"/>
        <v xml:space="preserve"> </v>
      </c>
      <c r="C47" s="261" t="str">
        <f t="shared" ca="1" si="2"/>
        <v/>
      </c>
      <c r="D47" s="261" t="str">
        <f t="shared" ca="1" si="3"/>
        <v/>
      </c>
      <c r="E47" s="183"/>
      <c r="F47" s="184"/>
      <c r="G47" s="185"/>
      <c r="H47" s="186"/>
      <c r="I47" s="248" t="str">
        <f>IF(COUNTBLANK(E47:H47)=4,"",SUM(E47:G47)+IF(Setup!$I$15="No",0,H47))</f>
        <v/>
      </c>
      <c r="J47" s="197"/>
      <c r="K47" s="198"/>
      <c r="L47" s="199"/>
      <c r="M47" s="200"/>
      <c r="N47" s="252" t="str">
        <f>IF(COUNTBLANK(J47:M47)=4,"",SUM(J47:L47)+IF(Setup!$I$15="No",0,M47))</f>
        <v/>
      </c>
      <c r="O47" s="183"/>
      <c r="P47" s="184"/>
      <c r="Q47" s="185"/>
      <c r="R47" s="186"/>
      <c r="S47" s="248" t="str">
        <f>IF(COUNTBLANK(O47:R47)=4,"",SUM(O47:Q47)+IF(Setup!$I$15="No",0,R47))</f>
        <v/>
      </c>
      <c r="T47" s="197"/>
      <c r="U47" s="198"/>
      <c r="V47" s="199"/>
      <c r="W47" s="200"/>
      <c r="X47" s="252" t="str">
        <f>IF(COUNTBLANK(T47:W47)=4,"",SUM(T47:V47)+IF(Setup!$I$15="No",0,W47))</f>
        <v/>
      </c>
      <c r="Y47" s="183"/>
      <c r="Z47" s="184"/>
      <c r="AA47" s="185"/>
      <c r="AB47" s="186"/>
      <c r="AC47" s="248" t="str">
        <f>IF(COUNTBLANK(Y47:AB47)=4,"",SUM(Y47:AA47)+IF(Setup!$I$15="No",0,AB47))</f>
        <v/>
      </c>
      <c r="AD47" s="197"/>
      <c r="AE47" s="198"/>
      <c r="AF47" s="199"/>
      <c r="AG47" s="200"/>
      <c r="AH47" s="252" t="str">
        <f>IF(COUNTBLANK(AD47:AG47)=4,"",SUM(AD47:AF47)+IF(Setup!$I$15="No",0,AG47))</f>
        <v/>
      </c>
      <c r="AI47" s="183"/>
      <c r="AJ47" s="184"/>
      <c r="AK47" s="185"/>
      <c r="AL47" s="186"/>
      <c r="AM47" s="248" t="str">
        <f>IF(COUNTBLANK(AI47:AL47)=4,"",SUM(AI47:AK47)+IF(Setup!$I$15="No",0,AL47))</f>
        <v/>
      </c>
      <c r="AN47" s="197"/>
      <c r="AO47" s="198"/>
      <c r="AP47" s="199"/>
      <c r="AQ47" s="200"/>
      <c r="AR47" s="252" t="str">
        <f>IF(COUNTBLANK(AN47:AQ47)=4,"",SUM(AN47:AP47)+IF(Setup!$I$15="No",0,AQ47))</f>
        <v/>
      </c>
      <c r="AS47" s="183"/>
      <c r="AT47" s="184"/>
      <c r="AU47" s="185"/>
      <c r="AV47" s="186"/>
      <c r="AW47" s="248" t="str">
        <f>IF(COUNTBLANK(AS47:AV47)=4,"",SUM(AS47:AU47)+IF(Setup!$I$15="No",0,AV47))</f>
        <v/>
      </c>
      <c r="AX47" s="197"/>
      <c r="AY47" s="198"/>
      <c r="AZ47" s="199"/>
      <c r="BA47" s="200"/>
      <c r="BB47" s="252" t="str">
        <f>IF(COUNTBLANK(AX47:BA47)=4,"",SUM(AX47:AZ47)+IF(Setup!$I$15="No",0,BA47))</f>
        <v/>
      </c>
      <c r="BC47" s="256" t="str">
        <f ca="1">IF('Demand background (hide)'!A38=Num_Modalities,"",SUM(Demand!I47))</f>
        <v/>
      </c>
      <c r="BD47" s="256" t="str">
        <f ca="1">IF(AND(A47&lt;=MaxRows,BE47&lt;&gt;"Yes"),'Demand background (hide)'!X38+IF(Setup!$I$15="Yes",'Demand background (hide)'!AJ38,0),"")</f>
        <v/>
      </c>
      <c r="BE47" s="206"/>
    </row>
    <row r="48" spans="1:57" ht="15" x14ac:dyDescent="0.25">
      <c r="A48" t="str">
        <f t="shared" ca="1" si="0"/>
        <v/>
      </c>
      <c r="B48" s="259" t="str">
        <f t="shared" ca="1" si="1"/>
        <v xml:space="preserve"> </v>
      </c>
      <c r="C48" s="261" t="str">
        <f t="shared" ca="1" si="2"/>
        <v/>
      </c>
      <c r="D48" s="261" t="str">
        <f t="shared" ca="1" si="3"/>
        <v/>
      </c>
      <c r="E48" s="183"/>
      <c r="F48" s="184"/>
      <c r="G48" s="185"/>
      <c r="H48" s="186"/>
      <c r="I48" s="248" t="str">
        <f>IF(COUNTBLANK(E48:H48)=4,"",SUM(E48:G48)+IF(Setup!$I$15="No",0,H48))</f>
        <v/>
      </c>
      <c r="J48" s="197"/>
      <c r="K48" s="198"/>
      <c r="L48" s="199"/>
      <c r="M48" s="200"/>
      <c r="N48" s="252" t="str">
        <f>IF(COUNTBLANK(J48:M48)=4,"",SUM(J48:L48)+IF(Setup!$I$15="No",0,M48))</f>
        <v/>
      </c>
      <c r="O48" s="183"/>
      <c r="P48" s="184"/>
      <c r="Q48" s="185"/>
      <c r="R48" s="186"/>
      <c r="S48" s="248" t="str">
        <f>IF(COUNTBLANK(O48:R48)=4,"",SUM(O48:Q48)+IF(Setup!$I$15="No",0,R48))</f>
        <v/>
      </c>
      <c r="T48" s="197"/>
      <c r="U48" s="198"/>
      <c r="V48" s="199"/>
      <c r="W48" s="200"/>
      <c r="X48" s="252" t="str">
        <f>IF(COUNTBLANK(T48:W48)=4,"",SUM(T48:V48)+IF(Setup!$I$15="No",0,W48))</f>
        <v/>
      </c>
      <c r="Y48" s="183"/>
      <c r="Z48" s="184"/>
      <c r="AA48" s="185"/>
      <c r="AB48" s="186"/>
      <c r="AC48" s="248" t="str">
        <f>IF(COUNTBLANK(Y48:AB48)=4,"",SUM(Y48:AA48)+IF(Setup!$I$15="No",0,AB48))</f>
        <v/>
      </c>
      <c r="AD48" s="197"/>
      <c r="AE48" s="198"/>
      <c r="AF48" s="199"/>
      <c r="AG48" s="200"/>
      <c r="AH48" s="252" t="str">
        <f>IF(COUNTBLANK(AD48:AG48)=4,"",SUM(AD48:AF48)+IF(Setup!$I$15="No",0,AG48))</f>
        <v/>
      </c>
      <c r="AI48" s="183"/>
      <c r="AJ48" s="184"/>
      <c r="AK48" s="185"/>
      <c r="AL48" s="186"/>
      <c r="AM48" s="248" t="str">
        <f>IF(COUNTBLANK(AI48:AL48)=4,"",SUM(AI48:AK48)+IF(Setup!$I$15="No",0,AL48))</f>
        <v/>
      </c>
      <c r="AN48" s="197"/>
      <c r="AO48" s="198"/>
      <c r="AP48" s="199"/>
      <c r="AQ48" s="200"/>
      <c r="AR48" s="252" t="str">
        <f>IF(COUNTBLANK(AN48:AQ48)=4,"",SUM(AN48:AP48)+IF(Setup!$I$15="No",0,AQ48))</f>
        <v/>
      </c>
      <c r="AS48" s="183"/>
      <c r="AT48" s="184"/>
      <c r="AU48" s="185"/>
      <c r="AV48" s="186"/>
      <c r="AW48" s="248" t="str">
        <f>IF(COUNTBLANK(AS48:AV48)=4,"",SUM(AS48:AU48)+IF(Setup!$I$15="No",0,AV48))</f>
        <v/>
      </c>
      <c r="AX48" s="197"/>
      <c r="AY48" s="198"/>
      <c r="AZ48" s="199"/>
      <c r="BA48" s="200"/>
      <c r="BB48" s="252" t="str">
        <f>IF(COUNTBLANK(AX48:BA48)=4,"",SUM(AX48:AZ48)+IF(Setup!$I$15="No",0,BA48))</f>
        <v/>
      </c>
      <c r="BC48" s="256" t="str">
        <f ca="1">IF('Demand background (hide)'!A39=Num_Modalities,"",SUM(Demand!I48))</f>
        <v/>
      </c>
      <c r="BD48" s="256" t="str">
        <f ca="1">IF(AND(A48&lt;=MaxRows,BE48&lt;&gt;"Yes"),'Demand background (hide)'!X39+IF(Setup!$I$15="Yes",'Demand background (hide)'!AJ39,0),"")</f>
        <v/>
      </c>
      <c r="BE48" s="206"/>
    </row>
    <row r="49" spans="1:57" ht="15" x14ac:dyDescent="0.25">
      <c r="A49" t="str">
        <f t="shared" ca="1" si="0"/>
        <v/>
      </c>
      <c r="B49" s="259" t="str">
        <f t="shared" ca="1" si="1"/>
        <v xml:space="preserve"> </v>
      </c>
      <c r="C49" s="261" t="str">
        <f t="shared" ca="1" si="2"/>
        <v/>
      </c>
      <c r="D49" s="261" t="str">
        <f t="shared" ca="1" si="3"/>
        <v/>
      </c>
      <c r="E49" s="183"/>
      <c r="F49" s="184"/>
      <c r="G49" s="185"/>
      <c r="H49" s="186"/>
      <c r="I49" s="248" t="str">
        <f>IF(COUNTBLANK(E49:H49)=4,"",SUM(E49:G49)+IF(Setup!$I$15="No",0,H49))</f>
        <v/>
      </c>
      <c r="J49" s="197"/>
      <c r="K49" s="198"/>
      <c r="L49" s="199"/>
      <c r="M49" s="200"/>
      <c r="N49" s="252" t="str">
        <f>IF(COUNTBLANK(J49:M49)=4,"",SUM(J49:L49)+IF(Setup!$I$15="No",0,M49))</f>
        <v/>
      </c>
      <c r="O49" s="183"/>
      <c r="P49" s="184"/>
      <c r="Q49" s="185"/>
      <c r="R49" s="186"/>
      <c r="S49" s="248" t="str">
        <f>IF(COUNTBLANK(O49:R49)=4,"",SUM(O49:Q49)+IF(Setup!$I$15="No",0,R49))</f>
        <v/>
      </c>
      <c r="T49" s="197"/>
      <c r="U49" s="198"/>
      <c r="V49" s="199"/>
      <c r="W49" s="200"/>
      <c r="X49" s="252" t="str">
        <f>IF(COUNTBLANK(T49:W49)=4,"",SUM(T49:V49)+IF(Setup!$I$15="No",0,W49))</f>
        <v/>
      </c>
      <c r="Y49" s="183"/>
      <c r="Z49" s="184"/>
      <c r="AA49" s="185"/>
      <c r="AB49" s="186"/>
      <c r="AC49" s="248" t="str">
        <f>IF(COUNTBLANK(Y49:AB49)=4,"",SUM(Y49:AA49)+IF(Setup!$I$15="No",0,AB49))</f>
        <v/>
      </c>
      <c r="AD49" s="197"/>
      <c r="AE49" s="198"/>
      <c r="AF49" s="199"/>
      <c r="AG49" s="200"/>
      <c r="AH49" s="252" t="str">
        <f>IF(COUNTBLANK(AD49:AG49)=4,"",SUM(AD49:AF49)+IF(Setup!$I$15="No",0,AG49))</f>
        <v/>
      </c>
      <c r="AI49" s="183"/>
      <c r="AJ49" s="184"/>
      <c r="AK49" s="185"/>
      <c r="AL49" s="186"/>
      <c r="AM49" s="248" t="str">
        <f>IF(COUNTBLANK(AI49:AL49)=4,"",SUM(AI49:AK49)+IF(Setup!$I$15="No",0,AL49))</f>
        <v/>
      </c>
      <c r="AN49" s="197"/>
      <c r="AO49" s="198"/>
      <c r="AP49" s="199"/>
      <c r="AQ49" s="200"/>
      <c r="AR49" s="252" t="str">
        <f>IF(COUNTBLANK(AN49:AQ49)=4,"",SUM(AN49:AP49)+IF(Setup!$I$15="No",0,AQ49))</f>
        <v/>
      </c>
      <c r="AS49" s="183"/>
      <c r="AT49" s="184"/>
      <c r="AU49" s="185"/>
      <c r="AV49" s="186"/>
      <c r="AW49" s="248" t="str">
        <f>IF(COUNTBLANK(AS49:AV49)=4,"",SUM(AS49:AU49)+IF(Setup!$I$15="No",0,AV49))</f>
        <v/>
      </c>
      <c r="AX49" s="197"/>
      <c r="AY49" s="198"/>
      <c r="AZ49" s="199"/>
      <c r="BA49" s="200"/>
      <c r="BB49" s="252" t="str">
        <f>IF(COUNTBLANK(AX49:BA49)=4,"",SUM(AX49:AZ49)+IF(Setup!$I$15="No",0,BA49))</f>
        <v/>
      </c>
      <c r="BC49" s="256" t="str">
        <f ca="1">IF('Demand background (hide)'!A40=Num_Modalities,"",SUM(Demand!I49))</f>
        <v/>
      </c>
      <c r="BD49" s="256" t="str">
        <f ca="1">IF(AND(A49&lt;=MaxRows,BE49&lt;&gt;"Yes"),'Demand background (hide)'!X40+IF(Setup!$I$15="Yes",'Demand background (hide)'!AJ40,0),"")</f>
        <v/>
      </c>
      <c r="BE49" s="206"/>
    </row>
    <row r="50" spans="1:57" ht="15" x14ac:dyDescent="0.25">
      <c r="A50" t="str">
        <f t="shared" ca="1" si="0"/>
        <v/>
      </c>
      <c r="B50" s="259" t="str">
        <f t="shared" ca="1" si="1"/>
        <v xml:space="preserve"> </v>
      </c>
      <c r="C50" s="261" t="str">
        <f t="shared" ca="1" si="2"/>
        <v/>
      </c>
      <c r="D50" s="261" t="str">
        <f t="shared" ca="1" si="3"/>
        <v/>
      </c>
      <c r="E50" s="183"/>
      <c r="F50" s="184"/>
      <c r="G50" s="185"/>
      <c r="H50" s="186"/>
      <c r="I50" s="248" t="str">
        <f>IF(COUNTBLANK(E50:H50)=4,"",SUM(E50:G50)+IF(Setup!$I$15="No",0,H50))</f>
        <v/>
      </c>
      <c r="J50" s="197"/>
      <c r="K50" s="198"/>
      <c r="L50" s="199"/>
      <c r="M50" s="200"/>
      <c r="N50" s="252" t="str">
        <f>IF(COUNTBLANK(J50:M50)=4,"",SUM(J50:L50)+IF(Setup!$I$15="No",0,M50))</f>
        <v/>
      </c>
      <c r="O50" s="183"/>
      <c r="P50" s="184"/>
      <c r="Q50" s="185"/>
      <c r="R50" s="186"/>
      <c r="S50" s="248" t="str">
        <f>IF(COUNTBLANK(O50:R50)=4,"",SUM(O50:Q50)+IF(Setup!$I$15="No",0,R50))</f>
        <v/>
      </c>
      <c r="T50" s="197"/>
      <c r="U50" s="198"/>
      <c r="V50" s="199"/>
      <c r="W50" s="200"/>
      <c r="X50" s="252" t="str">
        <f>IF(COUNTBLANK(T50:W50)=4,"",SUM(T50:V50)+IF(Setup!$I$15="No",0,W50))</f>
        <v/>
      </c>
      <c r="Y50" s="183"/>
      <c r="Z50" s="184"/>
      <c r="AA50" s="185"/>
      <c r="AB50" s="186"/>
      <c r="AC50" s="248" t="str">
        <f>IF(COUNTBLANK(Y50:AB50)=4,"",SUM(Y50:AA50)+IF(Setup!$I$15="No",0,AB50))</f>
        <v/>
      </c>
      <c r="AD50" s="197"/>
      <c r="AE50" s="198"/>
      <c r="AF50" s="199"/>
      <c r="AG50" s="200"/>
      <c r="AH50" s="252" t="str">
        <f>IF(COUNTBLANK(AD50:AG50)=4,"",SUM(AD50:AF50)+IF(Setup!$I$15="No",0,AG50))</f>
        <v/>
      </c>
      <c r="AI50" s="183"/>
      <c r="AJ50" s="184"/>
      <c r="AK50" s="185"/>
      <c r="AL50" s="186"/>
      <c r="AM50" s="248" t="str">
        <f>IF(COUNTBLANK(AI50:AL50)=4,"",SUM(AI50:AK50)+IF(Setup!$I$15="No",0,AL50))</f>
        <v/>
      </c>
      <c r="AN50" s="197"/>
      <c r="AO50" s="198"/>
      <c r="AP50" s="199"/>
      <c r="AQ50" s="200"/>
      <c r="AR50" s="252" t="str">
        <f>IF(COUNTBLANK(AN50:AQ50)=4,"",SUM(AN50:AP50)+IF(Setup!$I$15="No",0,AQ50))</f>
        <v/>
      </c>
      <c r="AS50" s="183"/>
      <c r="AT50" s="184"/>
      <c r="AU50" s="185"/>
      <c r="AV50" s="186"/>
      <c r="AW50" s="248" t="str">
        <f>IF(COUNTBLANK(AS50:AV50)=4,"",SUM(AS50:AU50)+IF(Setup!$I$15="No",0,AV50))</f>
        <v/>
      </c>
      <c r="AX50" s="197"/>
      <c r="AY50" s="198"/>
      <c r="AZ50" s="199"/>
      <c r="BA50" s="200"/>
      <c r="BB50" s="252" t="str">
        <f>IF(COUNTBLANK(AX50:BA50)=4,"",SUM(AX50:AZ50)+IF(Setup!$I$15="No",0,BA50))</f>
        <v/>
      </c>
      <c r="BC50" s="256" t="str">
        <f ca="1">IF('Demand background (hide)'!A41=Num_Modalities,"",SUM(Demand!I50))</f>
        <v/>
      </c>
      <c r="BD50" s="256" t="str">
        <f ca="1">IF(AND(A50&lt;=MaxRows,BE50&lt;&gt;"Yes"),'Demand background (hide)'!X41+IF(Setup!$I$15="Yes",'Demand background (hide)'!AJ41,0),"")</f>
        <v/>
      </c>
      <c r="BE50" s="206"/>
    </row>
    <row r="51" spans="1:57" ht="15" x14ac:dyDescent="0.25">
      <c r="A51" t="str">
        <f t="shared" ca="1" si="0"/>
        <v/>
      </c>
      <c r="B51" s="259" t="str">
        <f t="shared" ca="1" si="1"/>
        <v xml:space="preserve"> </v>
      </c>
      <c r="C51" s="261" t="str">
        <f t="shared" ca="1" si="2"/>
        <v/>
      </c>
      <c r="D51" s="261" t="str">
        <f t="shared" ca="1" si="3"/>
        <v/>
      </c>
      <c r="E51" s="183"/>
      <c r="F51" s="184"/>
      <c r="G51" s="185"/>
      <c r="H51" s="186"/>
      <c r="I51" s="248" t="str">
        <f>IF(COUNTBLANK(E51:H51)=4,"",SUM(E51:G51)+IF(Setup!$I$15="No",0,H51))</f>
        <v/>
      </c>
      <c r="J51" s="197"/>
      <c r="K51" s="198"/>
      <c r="L51" s="199"/>
      <c r="M51" s="200"/>
      <c r="N51" s="252" t="str">
        <f>IF(COUNTBLANK(J51:M51)=4,"",SUM(J51:L51)+IF(Setup!$I$15="No",0,M51))</f>
        <v/>
      </c>
      <c r="O51" s="183"/>
      <c r="P51" s="184"/>
      <c r="Q51" s="185"/>
      <c r="R51" s="186"/>
      <c r="S51" s="248" t="str">
        <f>IF(COUNTBLANK(O51:R51)=4,"",SUM(O51:Q51)+IF(Setup!$I$15="No",0,R51))</f>
        <v/>
      </c>
      <c r="T51" s="197"/>
      <c r="U51" s="198"/>
      <c r="V51" s="199"/>
      <c r="W51" s="200"/>
      <c r="X51" s="252" t="str">
        <f>IF(COUNTBLANK(T51:W51)=4,"",SUM(T51:V51)+IF(Setup!$I$15="No",0,W51))</f>
        <v/>
      </c>
      <c r="Y51" s="183"/>
      <c r="Z51" s="184"/>
      <c r="AA51" s="185"/>
      <c r="AB51" s="186"/>
      <c r="AC51" s="248" t="str">
        <f>IF(COUNTBLANK(Y51:AB51)=4,"",SUM(Y51:AA51)+IF(Setup!$I$15="No",0,AB51))</f>
        <v/>
      </c>
      <c r="AD51" s="197"/>
      <c r="AE51" s="198"/>
      <c r="AF51" s="199"/>
      <c r="AG51" s="200"/>
      <c r="AH51" s="252" t="str">
        <f>IF(COUNTBLANK(AD51:AG51)=4,"",SUM(AD51:AF51)+IF(Setup!$I$15="No",0,AG51))</f>
        <v/>
      </c>
      <c r="AI51" s="183"/>
      <c r="AJ51" s="184"/>
      <c r="AK51" s="185"/>
      <c r="AL51" s="186"/>
      <c r="AM51" s="248" t="str">
        <f>IF(COUNTBLANK(AI51:AL51)=4,"",SUM(AI51:AK51)+IF(Setup!$I$15="No",0,AL51))</f>
        <v/>
      </c>
      <c r="AN51" s="197"/>
      <c r="AO51" s="198"/>
      <c r="AP51" s="199"/>
      <c r="AQ51" s="200"/>
      <c r="AR51" s="252" t="str">
        <f>IF(COUNTBLANK(AN51:AQ51)=4,"",SUM(AN51:AP51)+IF(Setup!$I$15="No",0,AQ51))</f>
        <v/>
      </c>
      <c r="AS51" s="183"/>
      <c r="AT51" s="184"/>
      <c r="AU51" s="185"/>
      <c r="AV51" s="186"/>
      <c r="AW51" s="248" t="str">
        <f>IF(COUNTBLANK(AS51:AV51)=4,"",SUM(AS51:AU51)+IF(Setup!$I$15="No",0,AV51))</f>
        <v/>
      </c>
      <c r="AX51" s="197"/>
      <c r="AY51" s="198"/>
      <c r="AZ51" s="199"/>
      <c r="BA51" s="200"/>
      <c r="BB51" s="252" t="str">
        <f>IF(COUNTBLANK(AX51:BA51)=4,"",SUM(AX51:AZ51)+IF(Setup!$I$15="No",0,BA51))</f>
        <v/>
      </c>
      <c r="BC51" s="256" t="str">
        <f ca="1">IF('Demand background (hide)'!A42=Num_Modalities,"",SUM(Demand!I51))</f>
        <v/>
      </c>
      <c r="BD51" s="256" t="str">
        <f ca="1">IF(AND(A51&lt;=MaxRows,BE51&lt;&gt;"Yes"),'Demand background (hide)'!X42+IF(Setup!$I$15="Yes",'Demand background (hide)'!AJ42,0),"")</f>
        <v/>
      </c>
      <c r="BE51" s="206"/>
    </row>
    <row r="52" spans="1:57" ht="15" x14ac:dyDescent="0.25">
      <c r="A52" t="str">
        <f t="shared" ca="1" si="0"/>
        <v/>
      </c>
      <c r="B52" s="259" t="str">
        <f t="shared" ca="1" si="1"/>
        <v xml:space="preserve"> </v>
      </c>
      <c r="C52" s="261" t="str">
        <f t="shared" ca="1" si="2"/>
        <v/>
      </c>
      <c r="D52" s="261" t="str">
        <f t="shared" ca="1" si="3"/>
        <v/>
      </c>
      <c r="E52" s="183"/>
      <c r="F52" s="184"/>
      <c r="G52" s="185"/>
      <c r="H52" s="186"/>
      <c r="I52" s="248" t="str">
        <f>IF(COUNTBLANK(E52:H52)=4,"",SUM(E52:G52)+IF(Setup!$I$15="No",0,H52))</f>
        <v/>
      </c>
      <c r="J52" s="197"/>
      <c r="K52" s="198"/>
      <c r="L52" s="199"/>
      <c r="M52" s="200"/>
      <c r="N52" s="252" t="str">
        <f>IF(COUNTBLANK(J52:M52)=4,"",SUM(J52:L52)+IF(Setup!$I$15="No",0,M52))</f>
        <v/>
      </c>
      <c r="O52" s="183"/>
      <c r="P52" s="184"/>
      <c r="Q52" s="185"/>
      <c r="R52" s="186"/>
      <c r="S52" s="248" t="str">
        <f>IF(COUNTBLANK(O52:R52)=4,"",SUM(O52:Q52)+IF(Setup!$I$15="No",0,R52))</f>
        <v/>
      </c>
      <c r="T52" s="197"/>
      <c r="U52" s="198"/>
      <c r="V52" s="199"/>
      <c r="W52" s="200"/>
      <c r="X52" s="252" t="str">
        <f>IF(COUNTBLANK(T52:W52)=4,"",SUM(T52:V52)+IF(Setup!$I$15="No",0,W52))</f>
        <v/>
      </c>
      <c r="Y52" s="183"/>
      <c r="Z52" s="184"/>
      <c r="AA52" s="185"/>
      <c r="AB52" s="186"/>
      <c r="AC52" s="248" t="str">
        <f>IF(COUNTBLANK(Y52:AB52)=4,"",SUM(Y52:AA52)+IF(Setup!$I$15="No",0,AB52))</f>
        <v/>
      </c>
      <c r="AD52" s="197"/>
      <c r="AE52" s="198"/>
      <c r="AF52" s="199"/>
      <c r="AG52" s="200"/>
      <c r="AH52" s="252" t="str">
        <f>IF(COUNTBLANK(AD52:AG52)=4,"",SUM(AD52:AF52)+IF(Setup!$I$15="No",0,AG52))</f>
        <v/>
      </c>
      <c r="AI52" s="183"/>
      <c r="AJ52" s="184"/>
      <c r="AK52" s="185"/>
      <c r="AL52" s="186"/>
      <c r="AM52" s="248" t="str">
        <f>IF(COUNTBLANK(AI52:AL52)=4,"",SUM(AI52:AK52)+IF(Setup!$I$15="No",0,AL52))</f>
        <v/>
      </c>
      <c r="AN52" s="197"/>
      <c r="AO52" s="198"/>
      <c r="AP52" s="199"/>
      <c r="AQ52" s="200"/>
      <c r="AR52" s="252" t="str">
        <f>IF(COUNTBLANK(AN52:AQ52)=4,"",SUM(AN52:AP52)+IF(Setup!$I$15="No",0,AQ52))</f>
        <v/>
      </c>
      <c r="AS52" s="183"/>
      <c r="AT52" s="184"/>
      <c r="AU52" s="185"/>
      <c r="AV52" s="186"/>
      <c r="AW52" s="248" t="str">
        <f>IF(COUNTBLANK(AS52:AV52)=4,"",SUM(AS52:AU52)+IF(Setup!$I$15="No",0,AV52))</f>
        <v/>
      </c>
      <c r="AX52" s="197"/>
      <c r="AY52" s="198"/>
      <c r="AZ52" s="199"/>
      <c r="BA52" s="200"/>
      <c r="BB52" s="252" t="str">
        <f>IF(COUNTBLANK(AX52:BA52)=4,"",SUM(AX52:AZ52)+IF(Setup!$I$15="No",0,BA52))</f>
        <v/>
      </c>
      <c r="BC52" s="256" t="str">
        <f ca="1">IF('Demand background (hide)'!A43=Num_Modalities,"",SUM(Demand!I52))</f>
        <v/>
      </c>
      <c r="BD52" s="256" t="str">
        <f ca="1">IF(AND(A52&lt;=MaxRows,BE52&lt;&gt;"Yes"),'Demand background (hide)'!X43+IF(Setup!$I$15="Yes",'Demand background (hide)'!AJ43,0),"")</f>
        <v/>
      </c>
      <c r="BE52" s="206"/>
    </row>
    <row r="53" spans="1:57" ht="15" x14ac:dyDescent="0.25">
      <c r="A53" t="str">
        <f t="shared" ca="1" si="0"/>
        <v/>
      </c>
      <c r="B53" s="259" t="str">
        <f t="shared" ca="1" si="1"/>
        <v xml:space="preserve"> </v>
      </c>
      <c r="C53" s="261" t="str">
        <f t="shared" ca="1" si="2"/>
        <v/>
      </c>
      <c r="D53" s="261" t="str">
        <f t="shared" ca="1" si="3"/>
        <v/>
      </c>
      <c r="E53" s="183"/>
      <c r="F53" s="184"/>
      <c r="G53" s="185"/>
      <c r="H53" s="186"/>
      <c r="I53" s="248" t="str">
        <f>IF(COUNTBLANK(E53:H53)=4,"",SUM(E53:G53)+IF(Setup!$I$15="No",0,H53))</f>
        <v/>
      </c>
      <c r="J53" s="197"/>
      <c r="K53" s="198"/>
      <c r="L53" s="199"/>
      <c r="M53" s="200"/>
      <c r="N53" s="252" t="str">
        <f>IF(COUNTBLANK(J53:M53)=4,"",SUM(J53:L53)+IF(Setup!$I$15="No",0,M53))</f>
        <v/>
      </c>
      <c r="O53" s="183"/>
      <c r="P53" s="184"/>
      <c r="Q53" s="185"/>
      <c r="R53" s="186"/>
      <c r="S53" s="248" t="str">
        <f>IF(COUNTBLANK(O53:R53)=4,"",SUM(O53:Q53)+IF(Setup!$I$15="No",0,R53))</f>
        <v/>
      </c>
      <c r="T53" s="197"/>
      <c r="U53" s="198"/>
      <c r="V53" s="199"/>
      <c r="W53" s="200"/>
      <c r="X53" s="252" t="str">
        <f>IF(COUNTBLANK(T53:W53)=4,"",SUM(T53:V53)+IF(Setup!$I$15="No",0,W53))</f>
        <v/>
      </c>
      <c r="Y53" s="183"/>
      <c r="Z53" s="184"/>
      <c r="AA53" s="185"/>
      <c r="AB53" s="186"/>
      <c r="AC53" s="248" t="str">
        <f>IF(COUNTBLANK(Y53:AB53)=4,"",SUM(Y53:AA53)+IF(Setup!$I$15="No",0,AB53))</f>
        <v/>
      </c>
      <c r="AD53" s="197"/>
      <c r="AE53" s="198"/>
      <c r="AF53" s="199"/>
      <c r="AG53" s="200"/>
      <c r="AH53" s="252" t="str">
        <f>IF(COUNTBLANK(AD53:AG53)=4,"",SUM(AD53:AF53)+IF(Setup!$I$15="No",0,AG53))</f>
        <v/>
      </c>
      <c r="AI53" s="183"/>
      <c r="AJ53" s="184"/>
      <c r="AK53" s="185"/>
      <c r="AL53" s="186"/>
      <c r="AM53" s="248" t="str">
        <f>IF(COUNTBLANK(AI53:AL53)=4,"",SUM(AI53:AK53)+IF(Setup!$I$15="No",0,AL53))</f>
        <v/>
      </c>
      <c r="AN53" s="197"/>
      <c r="AO53" s="198"/>
      <c r="AP53" s="199"/>
      <c r="AQ53" s="200"/>
      <c r="AR53" s="252" t="str">
        <f>IF(COUNTBLANK(AN53:AQ53)=4,"",SUM(AN53:AP53)+IF(Setup!$I$15="No",0,AQ53))</f>
        <v/>
      </c>
      <c r="AS53" s="183"/>
      <c r="AT53" s="184"/>
      <c r="AU53" s="185"/>
      <c r="AV53" s="186"/>
      <c r="AW53" s="248" t="str">
        <f>IF(COUNTBLANK(AS53:AV53)=4,"",SUM(AS53:AU53)+IF(Setup!$I$15="No",0,AV53))</f>
        <v/>
      </c>
      <c r="AX53" s="197"/>
      <c r="AY53" s="198"/>
      <c r="AZ53" s="199"/>
      <c r="BA53" s="200"/>
      <c r="BB53" s="252" t="str">
        <f>IF(COUNTBLANK(AX53:BA53)=4,"",SUM(AX53:AZ53)+IF(Setup!$I$15="No",0,BA53))</f>
        <v/>
      </c>
      <c r="BC53" s="256" t="str">
        <f ca="1">IF('Demand background (hide)'!A44=Num_Modalities,"",SUM(Demand!I53))</f>
        <v/>
      </c>
      <c r="BD53" s="256" t="str">
        <f ca="1">IF(AND(A53&lt;=MaxRows,BE53&lt;&gt;"Yes"),'Demand background (hide)'!X44+IF(Setup!$I$15="Yes",'Demand background (hide)'!AJ44,0),"")</f>
        <v/>
      </c>
      <c r="BE53" s="206"/>
    </row>
    <row r="54" spans="1:57" ht="15" x14ac:dyDescent="0.25">
      <c r="A54" t="str">
        <f t="shared" ca="1" si="0"/>
        <v/>
      </c>
      <c r="B54" s="259" t="str">
        <f t="shared" ca="1" si="1"/>
        <v xml:space="preserve"> </v>
      </c>
      <c r="C54" s="261" t="str">
        <f t="shared" ca="1" si="2"/>
        <v/>
      </c>
      <c r="D54" s="261" t="str">
        <f t="shared" ca="1" si="3"/>
        <v/>
      </c>
      <c r="E54" s="183"/>
      <c r="F54" s="184"/>
      <c r="G54" s="185"/>
      <c r="H54" s="186"/>
      <c r="I54" s="248" t="str">
        <f>IF(COUNTBLANK(E54:H54)=4,"",SUM(E54:G54)+IF(Setup!$I$15="No",0,H54))</f>
        <v/>
      </c>
      <c r="J54" s="197"/>
      <c r="K54" s="198"/>
      <c r="L54" s="199"/>
      <c r="M54" s="200"/>
      <c r="N54" s="252" t="str">
        <f>IF(COUNTBLANK(J54:M54)=4,"",SUM(J54:L54)+IF(Setup!$I$15="No",0,M54))</f>
        <v/>
      </c>
      <c r="O54" s="183"/>
      <c r="P54" s="184"/>
      <c r="Q54" s="185"/>
      <c r="R54" s="186"/>
      <c r="S54" s="248" t="str">
        <f>IF(COUNTBLANK(O54:R54)=4,"",SUM(O54:Q54)+IF(Setup!$I$15="No",0,R54))</f>
        <v/>
      </c>
      <c r="T54" s="197"/>
      <c r="U54" s="198"/>
      <c r="V54" s="199"/>
      <c r="W54" s="200"/>
      <c r="X54" s="252" t="str">
        <f>IF(COUNTBLANK(T54:W54)=4,"",SUM(T54:V54)+IF(Setup!$I$15="No",0,W54))</f>
        <v/>
      </c>
      <c r="Y54" s="183"/>
      <c r="Z54" s="184"/>
      <c r="AA54" s="185"/>
      <c r="AB54" s="186"/>
      <c r="AC54" s="248" t="str">
        <f>IF(COUNTBLANK(Y54:AB54)=4,"",SUM(Y54:AA54)+IF(Setup!$I$15="No",0,AB54))</f>
        <v/>
      </c>
      <c r="AD54" s="197"/>
      <c r="AE54" s="198"/>
      <c r="AF54" s="199"/>
      <c r="AG54" s="200"/>
      <c r="AH54" s="252" t="str">
        <f>IF(COUNTBLANK(AD54:AG54)=4,"",SUM(AD54:AF54)+IF(Setup!$I$15="No",0,AG54))</f>
        <v/>
      </c>
      <c r="AI54" s="183"/>
      <c r="AJ54" s="184"/>
      <c r="AK54" s="185"/>
      <c r="AL54" s="186"/>
      <c r="AM54" s="248" t="str">
        <f>IF(COUNTBLANK(AI54:AL54)=4,"",SUM(AI54:AK54)+IF(Setup!$I$15="No",0,AL54))</f>
        <v/>
      </c>
      <c r="AN54" s="197"/>
      <c r="AO54" s="198"/>
      <c r="AP54" s="199"/>
      <c r="AQ54" s="200"/>
      <c r="AR54" s="252" t="str">
        <f>IF(COUNTBLANK(AN54:AQ54)=4,"",SUM(AN54:AP54)+IF(Setup!$I$15="No",0,AQ54))</f>
        <v/>
      </c>
      <c r="AS54" s="183"/>
      <c r="AT54" s="184"/>
      <c r="AU54" s="185"/>
      <c r="AV54" s="186"/>
      <c r="AW54" s="248" t="str">
        <f>IF(COUNTBLANK(AS54:AV54)=4,"",SUM(AS54:AU54)+IF(Setup!$I$15="No",0,AV54))</f>
        <v/>
      </c>
      <c r="AX54" s="197"/>
      <c r="AY54" s="198"/>
      <c r="AZ54" s="199"/>
      <c r="BA54" s="200"/>
      <c r="BB54" s="252" t="str">
        <f>IF(COUNTBLANK(AX54:BA54)=4,"",SUM(AX54:AZ54)+IF(Setup!$I$15="No",0,BA54))</f>
        <v/>
      </c>
      <c r="BC54" s="256" t="str">
        <f ca="1">IF('Demand background (hide)'!A45=Num_Modalities,"",SUM(Demand!I54))</f>
        <v/>
      </c>
      <c r="BD54" s="256" t="str">
        <f ca="1">IF(AND(A54&lt;=MaxRows,BE54&lt;&gt;"Yes"),'Demand background (hide)'!X45+IF(Setup!$I$15="Yes",'Demand background (hide)'!AJ45,0),"")</f>
        <v/>
      </c>
      <c r="BE54" s="206"/>
    </row>
    <row r="55" spans="1:57" ht="15" x14ac:dyDescent="0.25">
      <c r="A55" t="str">
        <f t="shared" ca="1" si="0"/>
        <v/>
      </c>
      <c r="B55" s="259" t="str">
        <f t="shared" ca="1" si="1"/>
        <v xml:space="preserve"> </v>
      </c>
      <c r="C55" s="261" t="str">
        <f t="shared" ca="1" si="2"/>
        <v/>
      </c>
      <c r="D55" s="261" t="str">
        <f t="shared" ca="1" si="3"/>
        <v/>
      </c>
      <c r="E55" s="183"/>
      <c r="F55" s="184"/>
      <c r="G55" s="185"/>
      <c r="H55" s="186"/>
      <c r="I55" s="248" t="str">
        <f>IF(COUNTBLANK(E55:H55)=4,"",SUM(E55:G55)+IF(Setup!$I$15="No",0,H55))</f>
        <v/>
      </c>
      <c r="J55" s="197"/>
      <c r="K55" s="198"/>
      <c r="L55" s="199"/>
      <c r="M55" s="200"/>
      <c r="N55" s="252" t="str">
        <f>IF(COUNTBLANK(J55:M55)=4,"",SUM(J55:L55)+IF(Setup!$I$15="No",0,M55))</f>
        <v/>
      </c>
      <c r="O55" s="183"/>
      <c r="P55" s="184"/>
      <c r="Q55" s="185"/>
      <c r="R55" s="186"/>
      <c r="S55" s="248" t="str">
        <f>IF(COUNTBLANK(O55:R55)=4,"",SUM(O55:Q55)+IF(Setup!$I$15="No",0,R55))</f>
        <v/>
      </c>
      <c r="T55" s="197"/>
      <c r="U55" s="198"/>
      <c r="V55" s="199"/>
      <c r="W55" s="200"/>
      <c r="X55" s="252" t="str">
        <f>IF(COUNTBLANK(T55:W55)=4,"",SUM(T55:V55)+IF(Setup!$I$15="No",0,W55))</f>
        <v/>
      </c>
      <c r="Y55" s="183"/>
      <c r="Z55" s="184"/>
      <c r="AA55" s="185"/>
      <c r="AB55" s="186"/>
      <c r="AC55" s="248" t="str">
        <f>IF(COUNTBLANK(Y55:AB55)=4,"",SUM(Y55:AA55)+IF(Setup!$I$15="No",0,AB55))</f>
        <v/>
      </c>
      <c r="AD55" s="197"/>
      <c r="AE55" s="198"/>
      <c r="AF55" s="199"/>
      <c r="AG55" s="200"/>
      <c r="AH55" s="252" t="str">
        <f>IF(COUNTBLANK(AD55:AG55)=4,"",SUM(AD55:AF55)+IF(Setup!$I$15="No",0,AG55))</f>
        <v/>
      </c>
      <c r="AI55" s="183"/>
      <c r="AJ55" s="184"/>
      <c r="AK55" s="185"/>
      <c r="AL55" s="186"/>
      <c r="AM55" s="248" t="str">
        <f>IF(COUNTBLANK(AI55:AL55)=4,"",SUM(AI55:AK55)+IF(Setup!$I$15="No",0,AL55))</f>
        <v/>
      </c>
      <c r="AN55" s="197"/>
      <c r="AO55" s="198"/>
      <c r="AP55" s="199"/>
      <c r="AQ55" s="200"/>
      <c r="AR55" s="252" t="str">
        <f>IF(COUNTBLANK(AN55:AQ55)=4,"",SUM(AN55:AP55)+IF(Setup!$I$15="No",0,AQ55))</f>
        <v/>
      </c>
      <c r="AS55" s="183"/>
      <c r="AT55" s="184"/>
      <c r="AU55" s="185"/>
      <c r="AV55" s="186"/>
      <c r="AW55" s="248" t="str">
        <f>IF(COUNTBLANK(AS55:AV55)=4,"",SUM(AS55:AU55)+IF(Setup!$I$15="No",0,AV55))</f>
        <v/>
      </c>
      <c r="AX55" s="197"/>
      <c r="AY55" s="198"/>
      <c r="AZ55" s="199"/>
      <c r="BA55" s="200"/>
      <c r="BB55" s="252" t="str">
        <f>IF(COUNTBLANK(AX55:BA55)=4,"",SUM(AX55:AZ55)+IF(Setup!$I$15="No",0,BA55))</f>
        <v/>
      </c>
      <c r="BC55" s="256" t="str">
        <f ca="1">IF('Demand background (hide)'!A46=Num_Modalities,"",SUM(Demand!I55))</f>
        <v/>
      </c>
      <c r="BD55" s="256" t="str">
        <f ca="1">IF(AND(A55&lt;=MaxRows,BE55&lt;&gt;"Yes"),'Demand background (hide)'!X46+IF(Setup!$I$15="Yes",'Demand background (hide)'!AJ46,0),"")</f>
        <v/>
      </c>
      <c r="BE55" s="206"/>
    </row>
    <row r="56" spans="1:57" ht="15" x14ac:dyDescent="0.25">
      <c r="A56" t="str">
        <f t="shared" ca="1" si="0"/>
        <v/>
      </c>
      <c r="B56" s="259" t="str">
        <f t="shared" ca="1" si="1"/>
        <v xml:space="preserve"> </v>
      </c>
      <c r="C56" s="261" t="str">
        <f t="shared" ca="1" si="2"/>
        <v/>
      </c>
      <c r="D56" s="261" t="str">
        <f t="shared" ca="1" si="3"/>
        <v/>
      </c>
      <c r="E56" s="183"/>
      <c r="F56" s="184"/>
      <c r="G56" s="185"/>
      <c r="H56" s="186"/>
      <c r="I56" s="248" t="str">
        <f>IF(COUNTBLANK(E56:H56)=4,"",SUM(E56:G56)+IF(Setup!$I$15="No",0,H56))</f>
        <v/>
      </c>
      <c r="J56" s="197"/>
      <c r="K56" s="198"/>
      <c r="L56" s="199"/>
      <c r="M56" s="200"/>
      <c r="N56" s="252" t="str">
        <f>IF(COUNTBLANK(J56:M56)=4,"",SUM(J56:L56)+IF(Setup!$I$15="No",0,M56))</f>
        <v/>
      </c>
      <c r="O56" s="183"/>
      <c r="P56" s="184"/>
      <c r="Q56" s="185"/>
      <c r="R56" s="186"/>
      <c r="S56" s="248" t="str">
        <f>IF(COUNTBLANK(O56:R56)=4,"",SUM(O56:Q56)+IF(Setup!$I$15="No",0,R56))</f>
        <v/>
      </c>
      <c r="T56" s="197"/>
      <c r="U56" s="198"/>
      <c r="V56" s="199"/>
      <c r="W56" s="200"/>
      <c r="X56" s="252" t="str">
        <f>IF(COUNTBLANK(T56:W56)=4,"",SUM(T56:V56)+IF(Setup!$I$15="No",0,W56))</f>
        <v/>
      </c>
      <c r="Y56" s="183"/>
      <c r="Z56" s="184"/>
      <c r="AA56" s="185"/>
      <c r="AB56" s="186"/>
      <c r="AC56" s="248" t="str">
        <f>IF(COUNTBLANK(Y56:AB56)=4,"",SUM(Y56:AA56)+IF(Setup!$I$15="No",0,AB56))</f>
        <v/>
      </c>
      <c r="AD56" s="197"/>
      <c r="AE56" s="198"/>
      <c r="AF56" s="199"/>
      <c r="AG56" s="200"/>
      <c r="AH56" s="252" t="str">
        <f>IF(COUNTBLANK(AD56:AG56)=4,"",SUM(AD56:AF56)+IF(Setup!$I$15="No",0,AG56))</f>
        <v/>
      </c>
      <c r="AI56" s="183"/>
      <c r="AJ56" s="184"/>
      <c r="AK56" s="185"/>
      <c r="AL56" s="186"/>
      <c r="AM56" s="248" t="str">
        <f>IF(COUNTBLANK(AI56:AL56)=4,"",SUM(AI56:AK56)+IF(Setup!$I$15="No",0,AL56))</f>
        <v/>
      </c>
      <c r="AN56" s="197"/>
      <c r="AO56" s="198"/>
      <c r="AP56" s="199"/>
      <c r="AQ56" s="200"/>
      <c r="AR56" s="252" t="str">
        <f>IF(COUNTBLANK(AN56:AQ56)=4,"",SUM(AN56:AP56)+IF(Setup!$I$15="No",0,AQ56))</f>
        <v/>
      </c>
      <c r="AS56" s="183"/>
      <c r="AT56" s="184"/>
      <c r="AU56" s="185"/>
      <c r="AV56" s="186"/>
      <c r="AW56" s="248" t="str">
        <f>IF(COUNTBLANK(AS56:AV56)=4,"",SUM(AS56:AU56)+IF(Setup!$I$15="No",0,AV56))</f>
        <v/>
      </c>
      <c r="AX56" s="197"/>
      <c r="AY56" s="198"/>
      <c r="AZ56" s="199"/>
      <c r="BA56" s="200"/>
      <c r="BB56" s="252" t="str">
        <f>IF(COUNTBLANK(AX56:BA56)=4,"",SUM(AX56:AZ56)+IF(Setup!$I$15="No",0,BA56))</f>
        <v/>
      </c>
      <c r="BC56" s="256" t="str">
        <f ca="1">IF('Demand background (hide)'!A47=Num_Modalities,"",SUM(Demand!I56))</f>
        <v/>
      </c>
      <c r="BD56" s="256" t="str">
        <f ca="1">IF(AND(A56&lt;=MaxRows,BE56&lt;&gt;"Yes"),'Demand background (hide)'!X47+IF(Setup!$I$15="Yes",'Demand background (hide)'!AJ47,0),"")</f>
        <v/>
      </c>
      <c r="BE56" s="206"/>
    </row>
    <row r="57" spans="1:57" ht="15" x14ac:dyDescent="0.25">
      <c r="A57" t="str">
        <f t="shared" ca="1" si="0"/>
        <v/>
      </c>
      <c r="B57" s="259" t="str">
        <f t="shared" ca="1" si="1"/>
        <v xml:space="preserve"> </v>
      </c>
      <c r="C57" s="261" t="str">
        <f t="shared" ca="1" si="2"/>
        <v/>
      </c>
      <c r="D57" s="261" t="str">
        <f t="shared" ca="1" si="3"/>
        <v/>
      </c>
      <c r="E57" s="183"/>
      <c r="F57" s="184"/>
      <c r="G57" s="185"/>
      <c r="H57" s="186"/>
      <c r="I57" s="248" t="str">
        <f>IF(COUNTBLANK(E57:H57)=4,"",SUM(E57:G57)+IF(Setup!$I$15="No",0,H57))</f>
        <v/>
      </c>
      <c r="J57" s="197"/>
      <c r="K57" s="198"/>
      <c r="L57" s="199"/>
      <c r="M57" s="200"/>
      <c r="N57" s="252" t="str">
        <f>IF(COUNTBLANK(J57:M57)=4,"",SUM(J57:L57)+IF(Setup!$I$15="No",0,M57))</f>
        <v/>
      </c>
      <c r="O57" s="183"/>
      <c r="P57" s="184"/>
      <c r="Q57" s="185"/>
      <c r="R57" s="186"/>
      <c r="S57" s="248" t="str">
        <f>IF(COUNTBLANK(O57:R57)=4,"",SUM(O57:Q57)+IF(Setup!$I$15="No",0,R57))</f>
        <v/>
      </c>
      <c r="T57" s="197"/>
      <c r="U57" s="198"/>
      <c r="V57" s="199"/>
      <c r="W57" s="200"/>
      <c r="X57" s="252" t="str">
        <f>IF(COUNTBLANK(T57:W57)=4,"",SUM(T57:V57)+IF(Setup!$I$15="No",0,W57))</f>
        <v/>
      </c>
      <c r="Y57" s="183"/>
      <c r="Z57" s="184"/>
      <c r="AA57" s="185"/>
      <c r="AB57" s="186"/>
      <c r="AC57" s="248" t="str">
        <f>IF(COUNTBLANK(Y57:AB57)=4,"",SUM(Y57:AA57)+IF(Setup!$I$15="No",0,AB57))</f>
        <v/>
      </c>
      <c r="AD57" s="197"/>
      <c r="AE57" s="198"/>
      <c r="AF57" s="199"/>
      <c r="AG57" s="200"/>
      <c r="AH57" s="252" t="str">
        <f>IF(COUNTBLANK(AD57:AG57)=4,"",SUM(AD57:AF57)+IF(Setup!$I$15="No",0,AG57))</f>
        <v/>
      </c>
      <c r="AI57" s="183"/>
      <c r="AJ57" s="184"/>
      <c r="AK57" s="185"/>
      <c r="AL57" s="186"/>
      <c r="AM57" s="248" t="str">
        <f>IF(COUNTBLANK(AI57:AL57)=4,"",SUM(AI57:AK57)+IF(Setup!$I$15="No",0,AL57))</f>
        <v/>
      </c>
      <c r="AN57" s="197"/>
      <c r="AO57" s="198"/>
      <c r="AP57" s="199"/>
      <c r="AQ57" s="200"/>
      <c r="AR57" s="252" t="str">
        <f>IF(COUNTBLANK(AN57:AQ57)=4,"",SUM(AN57:AP57)+IF(Setup!$I$15="No",0,AQ57))</f>
        <v/>
      </c>
      <c r="AS57" s="183"/>
      <c r="AT57" s="184"/>
      <c r="AU57" s="185"/>
      <c r="AV57" s="186"/>
      <c r="AW57" s="248" t="str">
        <f>IF(COUNTBLANK(AS57:AV57)=4,"",SUM(AS57:AU57)+IF(Setup!$I$15="No",0,AV57))</f>
        <v/>
      </c>
      <c r="AX57" s="197"/>
      <c r="AY57" s="198"/>
      <c r="AZ57" s="199"/>
      <c r="BA57" s="200"/>
      <c r="BB57" s="252" t="str">
        <f>IF(COUNTBLANK(AX57:BA57)=4,"",SUM(AX57:AZ57)+IF(Setup!$I$15="No",0,BA57))</f>
        <v/>
      </c>
      <c r="BC57" s="256" t="str">
        <f ca="1">IF('Demand background (hide)'!A48=Num_Modalities,"",SUM(Demand!I57))</f>
        <v/>
      </c>
      <c r="BD57" s="256" t="str">
        <f ca="1">IF(AND(A57&lt;=MaxRows,BE57&lt;&gt;"Yes"),'Demand background (hide)'!X48+IF(Setup!$I$15="Yes",'Demand background (hide)'!AJ48,0),"")</f>
        <v/>
      </c>
      <c r="BE57" s="206"/>
    </row>
    <row r="58" spans="1:57" ht="15" x14ac:dyDescent="0.25">
      <c r="A58" t="str">
        <f t="shared" ca="1" si="0"/>
        <v/>
      </c>
      <c r="B58" s="259" t="str">
        <f t="shared" ca="1" si="1"/>
        <v xml:space="preserve"> </v>
      </c>
      <c r="C58" s="261" t="str">
        <f t="shared" ca="1" si="2"/>
        <v/>
      </c>
      <c r="D58" s="261" t="str">
        <f t="shared" ca="1" si="3"/>
        <v/>
      </c>
      <c r="E58" s="183"/>
      <c r="F58" s="184"/>
      <c r="G58" s="185"/>
      <c r="H58" s="186"/>
      <c r="I58" s="248" t="str">
        <f>IF(COUNTBLANK(E58:H58)=4,"",SUM(E58:G58)+IF(Setup!$I$15="No",0,H58))</f>
        <v/>
      </c>
      <c r="J58" s="197"/>
      <c r="K58" s="198"/>
      <c r="L58" s="199"/>
      <c r="M58" s="200"/>
      <c r="N58" s="252" t="str">
        <f>IF(COUNTBLANK(J58:M58)=4,"",SUM(J58:L58)+IF(Setup!$I$15="No",0,M58))</f>
        <v/>
      </c>
      <c r="O58" s="183"/>
      <c r="P58" s="184"/>
      <c r="Q58" s="185"/>
      <c r="R58" s="186"/>
      <c r="S58" s="248" t="str">
        <f>IF(COUNTBLANK(O58:R58)=4,"",SUM(O58:Q58)+IF(Setup!$I$15="No",0,R58))</f>
        <v/>
      </c>
      <c r="T58" s="197"/>
      <c r="U58" s="198"/>
      <c r="V58" s="199"/>
      <c r="W58" s="200"/>
      <c r="X58" s="252" t="str">
        <f>IF(COUNTBLANK(T58:W58)=4,"",SUM(T58:V58)+IF(Setup!$I$15="No",0,W58))</f>
        <v/>
      </c>
      <c r="Y58" s="183"/>
      <c r="Z58" s="184"/>
      <c r="AA58" s="185"/>
      <c r="AB58" s="186"/>
      <c r="AC58" s="248" t="str">
        <f>IF(COUNTBLANK(Y58:AB58)=4,"",SUM(Y58:AA58)+IF(Setup!$I$15="No",0,AB58))</f>
        <v/>
      </c>
      <c r="AD58" s="197"/>
      <c r="AE58" s="198"/>
      <c r="AF58" s="199"/>
      <c r="AG58" s="200"/>
      <c r="AH58" s="252" t="str">
        <f>IF(COUNTBLANK(AD58:AG58)=4,"",SUM(AD58:AF58)+IF(Setup!$I$15="No",0,AG58))</f>
        <v/>
      </c>
      <c r="AI58" s="183"/>
      <c r="AJ58" s="184"/>
      <c r="AK58" s="185"/>
      <c r="AL58" s="186"/>
      <c r="AM58" s="248" t="str">
        <f>IF(COUNTBLANK(AI58:AL58)=4,"",SUM(AI58:AK58)+IF(Setup!$I$15="No",0,AL58))</f>
        <v/>
      </c>
      <c r="AN58" s="197"/>
      <c r="AO58" s="198"/>
      <c r="AP58" s="199"/>
      <c r="AQ58" s="200"/>
      <c r="AR58" s="252" t="str">
        <f>IF(COUNTBLANK(AN58:AQ58)=4,"",SUM(AN58:AP58)+IF(Setup!$I$15="No",0,AQ58))</f>
        <v/>
      </c>
      <c r="AS58" s="183"/>
      <c r="AT58" s="184"/>
      <c r="AU58" s="185"/>
      <c r="AV58" s="186"/>
      <c r="AW58" s="248" t="str">
        <f>IF(COUNTBLANK(AS58:AV58)=4,"",SUM(AS58:AU58)+IF(Setup!$I$15="No",0,AV58))</f>
        <v/>
      </c>
      <c r="AX58" s="197"/>
      <c r="AY58" s="198"/>
      <c r="AZ58" s="199"/>
      <c r="BA58" s="200"/>
      <c r="BB58" s="252" t="str">
        <f>IF(COUNTBLANK(AX58:BA58)=4,"",SUM(AX58:AZ58)+IF(Setup!$I$15="No",0,BA58))</f>
        <v/>
      </c>
      <c r="BC58" s="256" t="str">
        <f ca="1">IF('Demand background (hide)'!A49=Num_Modalities,"",SUM(Demand!I58))</f>
        <v/>
      </c>
      <c r="BD58" s="256" t="str">
        <f ca="1">IF(AND(A58&lt;=MaxRows,BE58&lt;&gt;"Yes"),'Demand background (hide)'!X49+IF(Setup!$I$15="Yes",'Demand background (hide)'!AJ49,0),"")</f>
        <v/>
      </c>
      <c r="BE58" s="206"/>
    </row>
    <row r="59" spans="1:57" ht="15" x14ac:dyDescent="0.25">
      <c r="A59" t="str">
        <f t="shared" ca="1" si="0"/>
        <v/>
      </c>
      <c r="B59" s="259" t="str">
        <f t="shared" ca="1" si="1"/>
        <v xml:space="preserve"> </v>
      </c>
      <c r="C59" s="261" t="str">
        <f t="shared" ca="1" si="2"/>
        <v/>
      </c>
      <c r="D59" s="261" t="str">
        <f t="shared" ca="1" si="3"/>
        <v/>
      </c>
      <c r="E59" s="183"/>
      <c r="F59" s="184"/>
      <c r="G59" s="185"/>
      <c r="H59" s="186"/>
      <c r="I59" s="248" t="str">
        <f>IF(COUNTBLANK(E59:H59)=4,"",SUM(E59:G59)+IF(Setup!$I$15="No",0,H59))</f>
        <v/>
      </c>
      <c r="J59" s="197"/>
      <c r="K59" s="198"/>
      <c r="L59" s="199"/>
      <c r="M59" s="200"/>
      <c r="N59" s="252" t="str">
        <f>IF(COUNTBLANK(J59:M59)=4,"",SUM(J59:L59)+IF(Setup!$I$15="No",0,M59))</f>
        <v/>
      </c>
      <c r="O59" s="183"/>
      <c r="P59" s="184"/>
      <c r="Q59" s="185"/>
      <c r="R59" s="186"/>
      <c r="S59" s="248" t="str">
        <f>IF(COUNTBLANK(O59:R59)=4,"",SUM(O59:Q59)+IF(Setup!$I$15="No",0,R59))</f>
        <v/>
      </c>
      <c r="T59" s="197"/>
      <c r="U59" s="198"/>
      <c r="V59" s="199"/>
      <c r="W59" s="200"/>
      <c r="X59" s="252" t="str">
        <f>IF(COUNTBLANK(T59:W59)=4,"",SUM(T59:V59)+IF(Setup!$I$15="No",0,W59))</f>
        <v/>
      </c>
      <c r="Y59" s="183"/>
      <c r="Z59" s="184"/>
      <c r="AA59" s="185"/>
      <c r="AB59" s="186"/>
      <c r="AC59" s="248" t="str">
        <f>IF(COUNTBLANK(Y59:AB59)=4,"",SUM(Y59:AA59)+IF(Setup!$I$15="No",0,AB59))</f>
        <v/>
      </c>
      <c r="AD59" s="197"/>
      <c r="AE59" s="198"/>
      <c r="AF59" s="199"/>
      <c r="AG59" s="200"/>
      <c r="AH59" s="252" t="str">
        <f>IF(COUNTBLANK(AD59:AG59)=4,"",SUM(AD59:AF59)+IF(Setup!$I$15="No",0,AG59))</f>
        <v/>
      </c>
      <c r="AI59" s="183"/>
      <c r="AJ59" s="184"/>
      <c r="AK59" s="185"/>
      <c r="AL59" s="186"/>
      <c r="AM59" s="248" t="str">
        <f>IF(COUNTBLANK(AI59:AL59)=4,"",SUM(AI59:AK59)+IF(Setup!$I$15="No",0,AL59))</f>
        <v/>
      </c>
      <c r="AN59" s="197"/>
      <c r="AO59" s="198"/>
      <c r="AP59" s="199"/>
      <c r="AQ59" s="200"/>
      <c r="AR59" s="252" t="str">
        <f>IF(COUNTBLANK(AN59:AQ59)=4,"",SUM(AN59:AP59)+IF(Setup!$I$15="No",0,AQ59))</f>
        <v/>
      </c>
      <c r="AS59" s="183"/>
      <c r="AT59" s="184"/>
      <c r="AU59" s="185"/>
      <c r="AV59" s="186"/>
      <c r="AW59" s="248" t="str">
        <f>IF(COUNTBLANK(AS59:AV59)=4,"",SUM(AS59:AU59)+IF(Setup!$I$15="No",0,AV59))</f>
        <v/>
      </c>
      <c r="AX59" s="197"/>
      <c r="AY59" s="198"/>
      <c r="AZ59" s="199"/>
      <c r="BA59" s="200"/>
      <c r="BB59" s="252" t="str">
        <f>IF(COUNTBLANK(AX59:BA59)=4,"",SUM(AX59:AZ59)+IF(Setup!$I$15="No",0,BA59))</f>
        <v/>
      </c>
      <c r="BC59" s="256" t="str">
        <f ca="1">IF('Demand background (hide)'!A50=Num_Modalities,"",SUM(Demand!I59))</f>
        <v/>
      </c>
      <c r="BD59" s="256" t="str">
        <f ca="1">IF(AND(A59&lt;=MaxRows,BE59&lt;&gt;"Yes"),'Demand background (hide)'!X50+IF(Setup!$I$15="Yes",'Demand background (hide)'!AJ50,0),"")</f>
        <v/>
      </c>
      <c r="BE59" s="206"/>
    </row>
    <row r="60" spans="1:57" ht="15" x14ac:dyDescent="0.25">
      <c r="A60" t="str">
        <f t="shared" ca="1" si="0"/>
        <v/>
      </c>
      <c r="B60" s="259" t="str">
        <f t="shared" ca="1" si="1"/>
        <v xml:space="preserve"> </v>
      </c>
      <c r="C60" s="261" t="str">
        <f t="shared" ca="1" si="2"/>
        <v/>
      </c>
      <c r="D60" s="261" t="str">
        <f t="shared" ca="1" si="3"/>
        <v/>
      </c>
      <c r="E60" s="183"/>
      <c r="F60" s="184"/>
      <c r="G60" s="185"/>
      <c r="H60" s="186"/>
      <c r="I60" s="248" t="str">
        <f>IF(COUNTBLANK(E60:H60)=4,"",SUM(E60:G60)+IF(Setup!$I$15="No",0,H60))</f>
        <v/>
      </c>
      <c r="J60" s="197"/>
      <c r="K60" s="198"/>
      <c r="L60" s="199"/>
      <c r="M60" s="200"/>
      <c r="N60" s="252" t="str">
        <f>IF(COUNTBLANK(J60:M60)=4,"",SUM(J60:L60)+IF(Setup!$I$15="No",0,M60))</f>
        <v/>
      </c>
      <c r="O60" s="183"/>
      <c r="P60" s="184"/>
      <c r="Q60" s="185"/>
      <c r="R60" s="186"/>
      <c r="S60" s="248" t="str">
        <f>IF(COUNTBLANK(O60:R60)=4,"",SUM(O60:Q60)+IF(Setup!$I$15="No",0,R60))</f>
        <v/>
      </c>
      <c r="T60" s="197"/>
      <c r="U60" s="198"/>
      <c r="V60" s="199"/>
      <c r="W60" s="200"/>
      <c r="X60" s="252" t="str">
        <f>IF(COUNTBLANK(T60:W60)=4,"",SUM(T60:V60)+IF(Setup!$I$15="No",0,W60))</f>
        <v/>
      </c>
      <c r="Y60" s="183"/>
      <c r="Z60" s="184"/>
      <c r="AA60" s="185"/>
      <c r="AB60" s="186"/>
      <c r="AC60" s="248" t="str">
        <f>IF(COUNTBLANK(Y60:AB60)=4,"",SUM(Y60:AA60)+IF(Setup!$I$15="No",0,AB60))</f>
        <v/>
      </c>
      <c r="AD60" s="197"/>
      <c r="AE60" s="198"/>
      <c r="AF60" s="199"/>
      <c r="AG60" s="200"/>
      <c r="AH60" s="252" t="str">
        <f>IF(COUNTBLANK(AD60:AG60)=4,"",SUM(AD60:AF60)+IF(Setup!$I$15="No",0,AG60))</f>
        <v/>
      </c>
      <c r="AI60" s="183"/>
      <c r="AJ60" s="184"/>
      <c r="AK60" s="185"/>
      <c r="AL60" s="186"/>
      <c r="AM60" s="248" t="str">
        <f>IF(COUNTBLANK(AI60:AL60)=4,"",SUM(AI60:AK60)+IF(Setup!$I$15="No",0,AL60))</f>
        <v/>
      </c>
      <c r="AN60" s="197"/>
      <c r="AO60" s="198"/>
      <c r="AP60" s="199"/>
      <c r="AQ60" s="200"/>
      <c r="AR60" s="252" t="str">
        <f>IF(COUNTBLANK(AN60:AQ60)=4,"",SUM(AN60:AP60)+IF(Setup!$I$15="No",0,AQ60))</f>
        <v/>
      </c>
      <c r="AS60" s="183"/>
      <c r="AT60" s="184"/>
      <c r="AU60" s="185"/>
      <c r="AV60" s="186"/>
      <c r="AW60" s="248" t="str">
        <f>IF(COUNTBLANK(AS60:AV60)=4,"",SUM(AS60:AU60)+IF(Setup!$I$15="No",0,AV60))</f>
        <v/>
      </c>
      <c r="AX60" s="197"/>
      <c r="AY60" s="198"/>
      <c r="AZ60" s="199"/>
      <c r="BA60" s="200"/>
      <c r="BB60" s="252" t="str">
        <f>IF(COUNTBLANK(AX60:BA60)=4,"",SUM(AX60:AZ60)+IF(Setup!$I$15="No",0,BA60))</f>
        <v/>
      </c>
      <c r="BC60" s="256" t="str">
        <f ca="1">IF('Demand background (hide)'!A51=Num_Modalities,"",SUM(Demand!I60))</f>
        <v/>
      </c>
      <c r="BD60" s="256" t="str">
        <f ca="1">IF(AND(A60&lt;=MaxRows,BE60&lt;&gt;"Yes"),'Demand background (hide)'!X51+IF(Setup!$I$15="Yes",'Demand background (hide)'!AJ51,0),"")</f>
        <v/>
      </c>
      <c r="BE60" s="206"/>
    </row>
    <row r="61" spans="1:57" ht="15" x14ac:dyDescent="0.25">
      <c r="A61" t="str">
        <f t="shared" ca="1" si="0"/>
        <v/>
      </c>
      <c r="B61" s="259" t="str">
        <f t="shared" ca="1" si="1"/>
        <v xml:space="preserve"> </v>
      </c>
      <c r="C61" s="261" t="str">
        <f t="shared" ca="1" si="2"/>
        <v/>
      </c>
      <c r="D61" s="261" t="str">
        <f t="shared" ca="1" si="3"/>
        <v/>
      </c>
      <c r="E61" s="183"/>
      <c r="F61" s="184"/>
      <c r="G61" s="185"/>
      <c r="H61" s="186"/>
      <c r="I61" s="248" t="str">
        <f>IF(COUNTBLANK(E61:H61)=4,"",SUM(E61:G61)+IF(Setup!$I$15="No",0,H61))</f>
        <v/>
      </c>
      <c r="J61" s="197"/>
      <c r="K61" s="198"/>
      <c r="L61" s="199"/>
      <c r="M61" s="200"/>
      <c r="N61" s="252" t="str">
        <f>IF(COUNTBLANK(J61:M61)=4,"",SUM(J61:L61)+IF(Setup!$I$15="No",0,M61))</f>
        <v/>
      </c>
      <c r="O61" s="183"/>
      <c r="P61" s="184"/>
      <c r="Q61" s="185"/>
      <c r="R61" s="186"/>
      <c r="S61" s="248" t="str">
        <f>IF(COUNTBLANK(O61:R61)=4,"",SUM(O61:Q61)+IF(Setup!$I$15="No",0,R61))</f>
        <v/>
      </c>
      <c r="T61" s="197"/>
      <c r="U61" s="198"/>
      <c r="V61" s="199"/>
      <c r="W61" s="200"/>
      <c r="X61" s="252" t="str">
        <f>IF(COUNTBLANK(T61:W61)=4,"",SUM(T61:V61)+IF(Setup!$I$15="No",0,W61))</f>
        <v/>
      </c>
      <c r="Y61" s="183"/>
      <c r="Z61" s="184"/>
      <c r="AA61" s="185"/>
      <c r="AB61" s="186"/>
      <c r="AC61" s="248" t="str">
        <f>IF(COUNTBLANK(Y61:AB61)=4,"",SUM(Y61:AA61)+IF(Setup!$I$15="No",0,AB61))</f>
        <v/>
      </c>
      <c r="AD61" s="197"/>
      <c r="AE61" s="198"/>
      <c r="AF61" s="199"/>
      <c r="AG61" s="200"/>
      <c r="AH61" s="252" t="str">
        <f>IF(COUNTBLANK(AD61:AG61)=4,"",SUM(AD61:AF61)+IF(Setup!$I$15="No",0,AG61))</f>
        <v/>
      </c>
      <c r="AI61" s="183"/>
      <c r="AJ61" s="184"/>
      <c r="AK61" s="185"/>
      <c r="AL61" s="186"/>
      <c r="AM61" s="248" t="str">
        <f>IF(COUNTBLANK(AI61:AL61)=4,"",SUM(AI61:AK61)+IF(Setup!$I$15="No",0,AL61))</f>
        <v/>
      </c>
      <c r="AN61" s="197"/>
      <c r="AO61" s="198"/>
      <c r="AP61" s="199"/>
      <c r="AQ61" s="200"/>
      <c r="AR61" s="252" t="str">
        <f>IF(COUNTBLANK(AN61:AQ61)=4,"",SUM(AN61:AP61)+IF(Setup!$I$15="No",0,AQ61))</f>
        <v/>
      </c>
      <c r="AS61" s="183"/>
      <c r="AT61" s="184"/>
      <c r="AU61" s="185"/>
      <c r="AV61" s="186"/>
      <c r="AW61" s="248" t="str">
        <f>IF(COUNTBLANK(AS61:AV61)=4,"",SUM(AS61:AU61)+IF(Setup!$I$15="No",0,AV61))</f>
        <v/>
      </c>
      <c r="AX61" s="197"/>
      <c r="AY61" s="198"/>
      <c r="AZ61" s="199"/>
      <c r="BA61" s="200"/>
      <c r="BB61" s="252" t="str">
        <f>IF(COUNTBLANK(AX61:BA61)=4,"",SUM(AX61:AZ61)+IF(Setup!$I$15="No",0,BA61))</f>
        <v/>
      </c>
      <c r="BC61" s="256" t="str">
        <f ca="1">IF('Demand background (hide)'!A52=Num_Modalities,"",SUM(Demand!I61))</f>
        <v/>
      </c>
      <c r="BD61" s="256" t="str">
        <f ca="1">IF(AND(A61&lt;=MaxRows,BE61&lt;&gt;"Yes"),'Demand background (hide)'!X52+IF(Setup!$I$15="Yes",'Demand background (hide)'!AJ52,0),"")</f>
        <v/>
      </c>
      <c r="BE61" s="206"/>
    </row>
    <row r="62" spans="1:57" ht="15" x14ac:dyDescent="0.25">
      <c r="A62" t="str">
        <f t="shared" ca="1" si="0"/>
        <v/>
      </c>
      <c r="B62" s="259" t="str">
        <f t="shared" ca="1" si="1"/>
        <v xml:space="preserve"> </v>
      </c>
      <c r="C62" s="261" t="str">
        <f t="shared" ca="1" si="2"/>
        <v/>
      </c>
      <c r="D62" s="261" t="str">
        <f t="shared" ca="1" si="3"/>
        <v/>
      </c>
      <c r="E62" s="183"/>
      <c r="F62" s="184"/>
      <c r="G62" s="185"/>
      <c r="H62" s="186"/>
      <c r="I62" s="248" t="str">
        <f>IF(COUNTBLANK(E62:H62)=4,"",SUM(E62:G62)+IF(Setup!$I$15="No",0,H62))</f>
        <v/>
      </c>
      <c r="J62" s="197"/>
      <c r="K62" s="198"/>
      <c r="L62" s="199"/>
      <c r="M62" s="200"/>
      <c r="N62" s="252" t="str">
        <f>IF(COUNTBLANK(J62:M62)=4,"",SUM(J62:L62)+IF(Setup!$I$15="No",0,M62))</f>
        <v/>
      </c>
      <c r="O62" s="183"/>
      <c r="P62" s="184"/>
      <c r="Q62" s="185"/>
      <c r="R62" s="186"/>
      <c r="S62" s="248" t="str">
        <f>IF(COUNTBLANK(O62:R62)=4,"",SUM(O62:Q62)+IF(Setup!$I$15="No",0,R62))</f>
        <v/>
      </c>
      <c r="T62" s="197"/>
      <c r="U62" s="198"/>
      <c r="V62" s="199"/>
      <c r="W62" s="200"/>
      <c r="X62" s="252" t="str">
        <f>IF(COUNTBLANK(T62:W62)=4,"",SUM(T62:V62)+IF(Setup!$I$15="No",0,W62))</f>
        <v/>
      </c>
      <c r="Y62" s="183"/>
      <c r="Z62" s="184"/>
      <c r="AA62" s="185"/>
      <c r="AB62" s="186"/>
      <c r="AC62" s="248" t="str">
        <f>IF(COUNTBLANK(Y62:AB62)=4,"",SUM(Y62:AA62)+IF(Setup!$I$15="No",0,AB62))</f>
        <v/>
      </c>
      <c r="AD62" s="197"/>
      <c r="AE62" s="198"/>
      <c r="AF62" s="199"/>
      <c r="AG62" s="200"/>
      <c r="AH62" s="252" t="str">
        <f>IF(COUNTBLANK(AD62:AG62)=4,"",SUM(AD62:AF62)+IF(Setup!$I$15="No",0,AG62))</f>
        <v/>
      </c>
      <c r="AI62" s="183"/>
      <c r="AJ62" s="184"/>
      <c r="AK62" s="185"/>
      <c r="AL62" s="186"/>
      <c r="AM62" s="248" t="str">
        <f>IF(COUNTBLANK(AI62:AL62)=4,"",SUM(AI62:AK62)+IF(Setup!$I$15="No",0,AL62))</f>
        <v/>
      </c>
      <c r="AN62" s="197"/>
      <c r="AO62" s="198"/>
      <c r="AP62" s="199"/>
      <c r="AQ62" s="200"/>
      <c r="AR62" s="252" t="str">
        <f>IF(COUNTBLANK(AN62:AQ62)=4,"",SUM(AN62:AP62)+IF(Setup!$I$15="No",0,AQ62))</f>
        <v/>
      </c>
      <c r="AS62" s="183"/>
      <c r="AT62" s="184"/>
      <c r="AU62" s="185"/>
      <c r="AV62" s="186"/>
      <c r="AW62" s="248" t="str">
        <f>IF(COUNTBLANK(AS62:AV62)=4,"",SUM(AS62:AU62)+IF(Setup!$I$15="No",0,AV62))</f>
        <v/>
      </c>
      <c r="AX62" s="197"/>
      <c r="AY62" s="198"/>
      <c r="AZ62" s="199"/>
      <c r="BA62" s="200"/>
      <c r="BB62" s="252" t="str">
        <f>IF(COUNTBLANK(AX62:BA62)=4,"",SUM(AX62:AZ62)+IF(Setup!$I$15="No",0,BA62))</f>
        <v/>
      </c>
      <c r="BC62" s="256" t="str">
        <f ca="1">IF('Demand background (hide)'!A53=Num_Modalities,"",SUM(Demand!I62))</f>
        <v/>
      </c>
      <c r="BD62" s="256" t="str">
        <f ca="1">IF(AND(A62&lt;=MaxRows,BE62&lt;&gt;"Yes"),'Demand background (hide)'!X53+IF(Setup!$I$15="Yes",'Demand background (hide)'!AJ53,0),"")</f>
        <v/>
      </c>
      <c r="BE62" s="206"/>
    </row>
    <row r="63" spans="1:57" ht="15" x14ac:dyDescent="0.25">
      <c r="A63" t="str">
        <f t="shared" ca="1" si="0"/>
        <v/>
      </c>
      <c r="B63" s="259" t="str">
        <f t="shared" ca="1" si="1"/>
        <v xml:space="preserve"> </v>
      </c>
      <c r="C63" s="261" t="str">
        <f t="shared" ca="1" si="2"/>
        <v/>
      </c>
      <c r="D63" s="261" t="str">
        <f t="shared" ca="1" si="3"/>
        <v/>
      </c>
      <c r="E63" s="183"/>
      <c r="F63" s="184"/>
      <c r="G63" s="185"/>
      <c r="H63" s="186"/>
      <c r="I63" s="248" t="str">
        <f>IF(COUNTBLANK(E63:H63)=4,"",SUM(E63:G63)+IF(Setup!$I$15="No",0,H63))</f>
        <v/>
      </c>
      <c r="J63" s="197"/>
      <c r="K63" s="198"/>
      <c r="L63" s="199"/>
      <c r="M63" s="200"/>
      <c r="N63" s="252" t="str">
        <f>IF(COUNTBLANK(J63:M63)=4,"",SUM(J63:L63)+IF(Setup!$I$15="No",0,M63))</f>
        <v/>
      </c>
      <c r="O63" s="183"/>
      <c r="P63" s="184"/>
      <c r="Q63" s="185"/>
      <c r="R63" s="186"/>
      <c r="S63" s="248" t="str">
        <f>IF(COUNTBLANK(O63:R63)=4,"",SUM(O63:Q63)+IF(Setup!$I$15="No",0,R63))</f>
        <v/>
      </c>
      <c r="T63" s="197"/>
      <c r="U63" s="198"/>
      <c r="V63" s="199"/>
      <c r="W63" s="200"/>
      <c r="X63" s="252" t="str">
        <f>IF(COUNTBLANK(T63:W63)=4,"",SUM(T63:V63)+IF(Setup!$I$15="No",0,W63))</f>
        <v/>
      </c>
      <c r="Y63" s="183"/>
      <c r="Z63" s="184"/>
      <c r="AA63" s="185"/>
      <c r="AB63" s="186"/>
      <c r="AC63" s="248" t="str">
        <f>IF(COUNTBLANK(Y63:AB63)=4,"",SUM(Y63:AA63)+IF(Setup!$I$15="No",0,AB63))</f>
        <v/>
      </c>
      <c r="AD63" s="197"/>
      <c r="AE63" s="198"/>
      <c r="AF63" s="199"/>
      <c r="AG63" s="200"/>
      <c r="AH63" s="252" t="str">
        <f>IF(COUNTBLANK(AD63:AG63)=4,"",SUM(AD63:AF63)+IF(Setup!$I$15="No",0,AG63))</f>
        <v/>
      </c>
      <c r="AI63" s="183"/>
      <c r="AJ63" s="184"/>
      <c r="AK63" s="185"/>
      <c r="AL63" s="186"/>
      <c r="AM63" s="248" t="str">
        <f>IF(COUNTBLANK(AI63:AL63)=4,"",SUM(AI63:AK63)+IF(Setup!$I$15="No",0,AL63))</f>
        <v/>
      </c>
      <c r="AN63" s="197"/>
      <c r="AO63" s="198"/>
      <c r="AP63" s="199"/>
      <c r="AQ63" s="200"/>
      <c r="AR63" s="252" t="str">
        <f>IF(COUNTBLANK(AN63:AQ63)=4,"",SUM(AN63:AP63)+IF(Setup!$I$15="No",0,AQ63))</f>
        <v/>
      </c>
      <c r="AS63" s="183"/>
      <c r="AT63" s="184"/>
      <c r="AU63" s="185"/>
      <c r="AV63" s="186"/>
      <c r="AW63" s="248" t="str">
        <f>IF(COUNTBLANK(AS63:AV63)=4,"",SUM(AS63:AU63)+IF(Setup!$I$15="No",0,AV63))</f>
        <v/>
      </c>
      <c r="AX63" s="197"/>
      <c r="AY63" s="198"/>
      <c r="AZ63" s="199"/>
      <c r="BA63" s="200"/>
      <c r="BB63" s="252" t="str">
        <f>IF(COUNTBLANK(AX63:BA63)=4,"",SUM(AX63:AZ63)+IF(Setup!$I$15="No",0,BA63))</f>
        <v/>
      </c>
      <c r="BC63" s="256" t="str">
        <f ca="1">IF('Demand background (hide)'!A54=Num_Modalities,"",SUM(Demand!I63))</f>
        <v/>
      </c>
      <c r="BD63" s="256" t="str">
        <f ca="1">IF(AND(A63&lt;=MaxRows,BE63&lt;&gt;"Yes"),'Demand background (hide)'!X54+IF(Setup!$I$15="Yes",'Demand background (hide)'!AJ54,0),"")</f>
        <v/>
      </c>
      <c r="BE63" s="206"/>
    </row>
    <row r="64" spans="1:57" ht="15.75" thickBot="1" x14ac:dyDescent="0.3">
      <c r="A64" t="str">
        <f t="shared" ca="1" si="0"/>
        <v/>
      </c>
      <c r="B64" s="259" t="str">
        <f t="shared" ca="1" si="1"/>
        <v xml:space="preserve"> </v>
      </c>
      <c r="C64" s="262" t="str">
        <f t="shared" ca="1" si="2"/>
        <v/>
      </c>
      <c r="D64" s="262" t="str">
        <f t="shared" ca="1" si="3"/>
        <v/>
      </c>
      <c r="E64" s="187"/>
      <c r="F64" s="188"/>
      <c r="G64" s="189"/>
      <c r="H64" s="190"/>
      <c r="I64" s="249" t="str">
        <f>IF(COUNTBLANK(E64:H64)=4,"",SUM(E64:G64)+IF(Setup!$I$15="No",0,H64))</f>
        <v/>
      </c>
      <c r="J64" s="201"/>
      <c r="K64" s="202"/>
      <c r="L64" s="203"/>
      <c r="M64" s="204"/>
      <c r="N64" s="253" t="str">
        <f>IF(COUNTBLANK(J64:M64)=4,"",SUM(J64:L64)+IF(Setup!$I$15="No",0,M64))</f>
        <v/>
      </c>
      <c r="O64" s="187"/>
      <c r="P64" s="188"/>
      <c r="Q64" s="189"/>
      <c r="R64" s="190"/>
      <c r="S64" s="249" t="str">
        <f>IF(COUNTBLANK(O64:R64)=4,"",SUM(O64:Q64)+IF(Setup!$I$15="No",0,R64))</f>
        <v/>
      </c>
      <c r="T64" s="201"/>
      <c r="U64" s="202"/>
      <c r="V64" s="203"/>
      <c r="W64" s="204"/>
      <c r="X64" s="253" t="str">
        <f>IF(COUNTBLANK(T64:W64)=4,"",SUM(T64:V64)+IF(Setup!$I$15="No",0,W64))</f>
        <v/>
      </c>
      <c r="Y64" s="187"/>
      <c r="Z64" s="188"/>
      <c r="AA64" s="189"/>
      <c r="AB64" s="190"/>
      <c r="AC64" s="249" t="str">
        <f>IF(COUNTBLANK(Y64:AB64)=4,"",SUM(Y64:AA64)+IF(Setup!$I$15="No",0,AB64))</f>
        <v/>
      </c>
      <c r="AD64" s="201"/>
      <c r="AE64" s="202"/>
      <c r="AF64" s="203"/>
      <c r="AG64" s="204"/>
      <c r="AH64" s="253" t="str">
        <f>IF(COUNTBLANK(AD64:AG64)=4,"",SUM(AD64:AF64)+IF(Setup!$I$15="No",0,AG64))</f>
        <v/>
      </c>
      <c r="AI64" s="187"/>
      <c r="AJ64" s="188"/>
      <c r="AK64" s="189"/>
      <c r="AL64" s="190"/>
      <c r="AM64" s="249" t="str">
        <f>IF(COUNTBLANK(AI64:AL64)=4,"",SUM(AI64:AK64)+IF(Setup!$I$15="No",0,AL64))</f>
        <v/>
      </c>
      <c r="AN64" s="201"/>
      <c r="AO64" s="202"/>
      <c r="AP64" s="203"/>
      <c r="AQ64" s="204"/>
      <c r="AR64" s="253" t="str">
        <f>IF(COUNTBLANK(AN64:AQ64)=4,"",SUM(AN64:AP64)+IF(Setup!$I$15="No",0,AQ64))</f>
        <v/>
      </c>
      <c r="AS64" s="187"/>
      <c r="AT64" s="188"/>
      <c r="AU64" s="189"/>
      <c r="AV64" s="190"/>
      <c r="AW64" s="249" t="str">
        <f>IF(COUNTBLANK(AS64:AV64)=4,"",SUM(AS64:AU64)+IF(Setup!$I$15="No",0,AV64))</f>
        <v/>
      </c>
      <c r="AX64" s="201"/>
      <c r="AY64" s="202"/>
      <c r="AZ64" s="203"/>
      <c r="BA64" s="204"/>
      <c r="BB64" s="253" t="str">
        <f>IF(COUNTBLANK(AX64:BA64)=4,"",SUM(AX64:AZ64)+IF(Setup!$I$15="No",0,BA64))</f>
        <v/>
      </c>
      <c r="BC64" s="257" t="str">
        <f ca="1">IF('Demand background (hide)'!A55=Num_Modalities,"",SUM(Demand!I64))</f>
        <v/>
      </c>
      <c r="BD64" s="257" t="str">
        <f ca="1">IF(AND(A64&lt;=MaxRows,BE64&lt;&gt;"Yes"),'Demand background (hide)'!X55+IF(Setup!$I$15="Yes",'Demand background (hide)'!AJ55,0),"")</f>
        <v/>
      </c>
      <c r="BE64" s="207"/>
    </row>
    <row r="65" spans="1:57" ht="15" x14ac:dyDescent="0.25">
      <c r="A65" t="str">
        <f t="shared" ca="1" si="0"/>
        <v/>
      </c>
      <c r="B65" s="263" t="str">
        <f t="shared" ca="1" si="1"/>
        <v xml:space="preserve"> </v>
      </c>
      <c r="C65" s="264" t="str">
        <f t="shared" ca="1" si="2"/>
        <v/>
      </c>
      <c r="D65" s="264" t="str">
        <f t="shared" ca="1" si="3"/>
        <v/>
      </c>
      <c r="E65" s="191"/>
      <c r="F65" s="191"/>
      <c r="G65" s="192"/>
      <c r="H65" s="191"/>
      <c r="I65" s="250" t="str">
        <f>IF(COUNTBLANK(E65:H65)=4,"",SUM(E65:G65)+IF(Setup!$I$15="No",0,H65))</f>
        <v/>
      </c>
      <c r="J65" s="191"/>
      <c r="K65" s="191"/>
      <c r="L65" s="191"/>
      <c r="M65" s="191"/>
      <c r="N65" s="254" t="str">
        <f>IF(COUNTBLANK(J65:M65)=4,"",SUM(J65:L65)+IF(Setup!$I$15="No",0,M65))</f>
        <v/>
      </c>
      <c r="O65" s="191"/>
      <c r="P65" s="191"/>
      <c r="Q65" s="191"/>
      <c r="R65" s="191"/>
      <c r="S65" s="254" t="str">
        <f>IF(COUNTBLANK(O65:R65)=4,"",SUM(O65:Q65)+IF(Setup!$I$15="No",0,R65))</f>
        <v/>
      </c>
      <c r="T65" s="191"/>
      <c r="U65" s="191"/>
      <c r="V65" s="191"/>
      <c r="W65" s="191"/>
      <c r="X65" s="254" t="str">
        <f>IF(COUNTBLANK(T65:W65)=4,"",SUM(T65:V65)+IF(Setup!$I$15="No",0,W65))</f>
        <v/>
      </c>
      <c r="Y65" s="191"/>
      <c r="Z65" s="191"/>
      <c r="AA65" s="191"/>
      <c r="AB65" s="191"/>
      <c r="AC65" s="254" t="str">
        <f>IF(COUNTBLANK(Y65:AB65)=4,"",SUM(Y65:AA65)+IF(Setup!$I$15="No",0,AB65))</f>
        <v/>
      </c>
      <c r="AD65" s="191"/>
      <c r="AE65" s="191"/>
      <c r="AF65" s="191"/>
      <c r="AG65" s="191"/>
      <c r="AH65" s="254" t="str">
        <f>IF(COUNTBLANK(AD65:AG65)=4,"",SUM(AD65:AF65)+IF(Setup!$I$15="No",0,AG65))</f>
        <v/>
      </c>
      <c r="AI65" s="191"/>
      <c r="AJ65" s="191"/>
      <c r="AK65" s="191"/>
      <c r="AL65" s="191"/>
      <c r="AM65" s="254" t="str">
        <f>IF(COUNTBLANK(AI65:AL65)=4,"",SUM(AI65:AK65)+IF(Setup!$I$15="No",0,AL65))</f>
        <v/>
      </c>
      <c r="AN65" s="191"/>
      <c r="AO65" s="191"/>
      <c r="AP65" s="191"/>
      <c r="AQ65" s="191"/>
      <c r="AR65" s="254" t="str">
        <f>IF(COUNTBLANK(AN65:AQ65)=4,"",SUM(AN65:AP65)+IF(Setup!$I$15="No",0,AQ65))</f>
        <v/>
      </c>
      <c r="AS65" s="191"/>
      <c r="AT65" s="191"/>
      <c r="AU65" s="191"/>
      <c r="AV65" s="191"/>
      <c r="AW65" s="254" t="str">
        <f>IF(COUNTBLANK(AS65:AV65)=4,"",SUM(AS65:AU65)+IF(Setup!$I$15="No",0,AV65))</f>
        <v/>
      </c>
      <c r="AX65" s="191"/>
      <c r="AY65" s="191"/>
      <c r="AZ65" s="191"/>
      <c r="BA65" s="191"/>
      <c r="BB65" s="254" t="str">
        <f>IF(COUNTBLANK(AX65:BA65)=4,"",SUM(AX65:AZ65)+IF(Setup!$I$15="No",0,BA65))</f>
        <v/>
      </c>
      <c r="BC65" s="258" t="str">
        <f ca="1">IF('Demand background (hide)'!A56=Num_Modalities,"",SUM(Demand!I65))</f>
        <v/>
      </c>
      <c r="BD65" s="258" t="str">
        <f ca="1">IF(AND(A65&lt;=MaxRows,BE65&lt;&gt;"Yes"),'Demand background (hide)'!X56+IF(Setup!$I$15="Yes",'Demand background (hide)'!AJ56,0),"")</f>
        <v/>
      </c>
      <c r="BE65" s="208"/>
    </row>
    <row r="66" spans="1:57" ht="15" x14ac:dyDescent="0.25">
      <c r="A66" t="str">
        <f t="shared" ca="1" si="0"/>
        <v/>
      </c>
      <c r="B66" s="263" t="str">
        <f t="shared" ca="1" si="1"/>
        <v xml:space="preserve"> </v>
      </c>
      <c r="C66" s="264" t="str">
        <f t="shared" ca="1" si="2"/>
        <v/>
      </c>
      <c r="D66" s="264" t="str">
        <f t="shared" ca="1" si="3"/>
        <v/>
      </c>
      <c r="E66" s="191"/>
      <c r="F66" s="191"/>
      <c r="G66" s="192"/>
      <c r="H66" s="191"/>
      <c r="I66" s="250" t="str">
        <f>IF(COUNTBLANK(E66:H66)=4,"",SUM(E66:G66)+IF(Setup!$I$15="No",0,H66))</f>
        <v/>
      </c>
      <c r="J66" s="191"/>
      <c r="K66" s="191"/>
      <c r="L66" s="191"/>
      <c r="M66" s="191"/>
      <c r="N66" s="254" t="str">
        <f>IF(COUNTBLANK(J66:M66)=4,"",SUM(J66:L66)+IF(Setup!$I$15="No",0,M66))</f>
        <v/>
      </c>
      <c r="O66" s="191"/>
      <c r="P66" s="191"/>
      <c r="Q66" s="191"/>
      <c r="R66" s="191"/>
      <c r="S66" s="254" t="str">
        <f>IF(COUNTBLANK(O66:R66)=4,"",SUM(O66:Q66)+IF(Setup!$I$15="No",0,R66))</f>
        <v/>
      </c>
      <c r="T66" s="191"/>
      <c r="U66" s="191"/>
      <c r="V66" s="191"/>
      <c r="W66" s="191"/>
      <c r="X66" s="254" t="str">
        <f>IF(COUNTBLANK(T66:W66)=4,"",SUM(T66:V66)+IF(Setup!$I$15="No",0,W66))</f>
        <v/>
      </c>
      <c r="Y66" s="191"/>
      <c r="Z66" s="191"/>
      <c r="AA66" s="191"/>
      <c r="AB66" s="191"/>
      <c r="AC66" s="254" t="str">
        <f>IF(COUNTBLANK(Y66:AB66)=4,"",SUM(Y66:AA66)+IF(Setup!$I$15="No",0,AB66))</f>
        <v/>
      </c>
      <c r="AD66" s="191"/>
      <c r="AE66" s="191"/>
      <c r="AF66" s="191"/>
      <c r="AG66" s="191"/>
      <c r="AH66" s="254" t="str">
        <f>IF(COUNTBLANK(AD66:AG66)=4,"",SUM(AD66:AF66)+IF(Setup!$I$15="No",0,AG66))</f>
        <v/>
      </c>
      <c r="AI66" s="191"/>
      <c r="AJ66" s="191"/>
      <c r="AK66" s="191"/>
      <c r="AL66" s="191"/>
      <c r="AM66" s="254" t="str">
        <f>IF(COUNTBLANK(AI66:AL66)=4,"",SUM(AI66:AK66)+IF(Setup!$I$15="No",0,AL66))</f>
        <v/>
      </c>
      <c r="AN66" s="191"/>
      <c r="AO66" s="191"/>
      <c r="AP66" s="191"/>
      <c r="AQ66" s="191"/>
      <c r="AR66" s="254" t="str">
        <f>IF(COUNTBLANK(AN66:AQ66)=4,"",SUM(AN66:AP66)+IF(Setup!$I$15="No",0,AQ66))</f>
        <v/>
      </c>
      <c r="AS66" s="191"/>
      <c r="AT66" s="191"/>
      <c r="AU66" s="191"/>
      <c r="AV66" s="191"/>
      <c r="AW66" s="254" t="str">
        <f>IF(COUNTBLANK(AS66:AV66)=4,"",SUM(AS66:AU66)+IF(Setup!$I$15="No",0,AV66))</f>
        <v/>
      </c>
      <c r="AX66" s="191"/>
      <c r="AY66" s="191"/>
      <c r="AZ66" s="191"/>
      <c r="BA66" s="191"/>
      <c r="BB66" s="254" t="str">
        <f>IF(COUNTBLANK(AX66:BA66)=4,"",SUM(AX66:AZ66)+IF(Setup!$I$15="No",0,BA66))</f>
        <v/>
      </c>
      <c r="BC66" s="258" t="str">
        <f ca="1">IF('Demand background (hide)'!A57=Num_Modalities,"",SUM(Demand!I66))</f>
        <v/>
      </c>
      <c r="BD66" s="258" t="str">
        <f ca="1">IF(AND(A66&lt;=MaxRows,BE66&lt;&gt;"Yes"),'Demand background (hide)'!X57+IF(Setup!$I$15="Yes",'Demand background (hide)'!AJ57,0),"")</f>
        <v/>
      </c>
      <c r="BE66" s="208"/>
    </row>
    <row r="67" spans="1:57" ht="15" x14ac:dyDescent="0.25">
      <c r="A67" t="str">
        <f t="shared" ca="1" si="0"/>
        <v/>
      </c>
      <c r="B67" s="263" t="str">
        <f t="shared" ca="1" si="1"/>
        <v xml:space="preserve"> </v>
      </c>
      <c r="C67" s="264" t="str">
        <f t="shared" ca="1" si="2"/>
        <v/>
      </c>
      <c r="D67" s="264" t="str">
        <f t="shared" ca="1" si="3"/>
        <v/>
      </c>
      <c r="E67" s="191"/>
      <c r="F67" s="191"/>
      <c r="G67" s="192"/>
      <c r="H67" s="191"/>
      <c r="I67" s="250" t="str">
        <f>IF(COUNTBLANK(E67:H67)=4,"",SUM(E67:G67)+IF(Setup!$I$15="No",0,H67))</f>
        <v/>
      </c>
      <c r="J67" s="191"/>
      <c r="K67" s="191"/>
      <c r="L67" s="191"/>
      <c r="M67" s="191"/>
      <c r="N67" s="254" t="str">
        <f>IF(COUNTBLANK(J67:M67)=4,"",SUM(J67:L67)+IF(Setup!$I$15="No",0,M67))</f>
        <v/>
      </c>
      <c r="O67" s="191"/>
      <c r="P67" s="191"/>
      <c r="Q67" s="191"/>
      <c r="R67" s="191"/>
      <c r="S67" s="254" t="str">
        <f>IF(COUNTBLANK(O67:R67)=4,"",SUM(O67:Q67)+IF(Setup!$I$15="No",0,R67))</f>
        <v/>
      </c>
      <c r="T67" s="191"/>
      <c r="U67" s="191"/>
      <c r="V67" s="191"/>
      <c r="W67" s="191"/>
      <c r="X67" s="254" t="str">
        <f>IF(COUNTBLANK(T67:W67)=4,"",SUM(T67:V67)+IF(Setup!$I$15="No",0,W67))</f>
        <v/>
      </c>
      <c r="Y67" s="191"/>
      <c r="Z67" s="191"/>
      <c r="AA67" s="191"/>
      <c r="AB67" s="191"/>
      <c r="AC67" s="254" t="str">
        <f>IF(COUNTBLANK(Y67:AB67)=4,"",SUM(Y67:AA67)+IF(Setup!$I$15="No",0,AB67))</f>
        <v/>
      </c>
      <c r="AD67" s="191"/>
      <c r="AE67" s="191"/>
      <c r="AF67" s="191"/>
      <c r="AG67" s="191"/>
      <c r="AH67" s="254" t="str">
        <f>IF(COUNTBLANK(AD67:AG67)=4,"",SUM(AD67:AF67)+IF(Setup!$I$15="No",0,AG67))</f>
        <v/>
      </c>
      <c r="AI67" s="191"/>
      <c r="AJ67" s="191"/>
      <c r="AK67" s="191"/>
      <c r="AL67" s="191"/>
      <c r="AM67" s="254" t="str">
        <f>IF(COUNTBLANK(AI67:AL67)=4,"",SUM(AI67:AK67)+IF(Setup!$I$15="No",0,AL67))</f>
        <v/>
      </c>
      <c r="AN67" s="191"/>
      <c r="AO67" s="191"/>
      <c r="AP67" s="191"/>
      <c r="AQ67" s="191"/>
      <c r="AR67" s="254" t="str">
        <f>IF(COUNTBLANK(AN67:AQ67)=4,"",SUM(AN67:AP67)+IF(Setup!$I$15="No",0,AQ67))</f>
        <v/>
      </c>
      <c r="AS67" s="191"/>
      <c r="AT67" s="191"/>
      <c r="AU67" s="191"/>
      <c r="AV67" s="191"/>
      <c r="AW67" s="254" t="str">
        <f>IF(COUNTBLANK(AS67:AV67)=4,"",SUM(AS67:AU67)+IF(Setup!$I$15="No",0,AV67))</f>
        <v/>
      </c>
      <c r="AX67" s="191"/>
      <c r="AY67" s="191"/>
      <c r="AZ67" s="191"/>
      <c r="BA67" s="191"/>
      <c r="BB67" s="254" t="str">
        <f>IF(COUNTBLANK(AX67:BA67)=4,"",SUM(AX67:AZ67)+IF(Setup!$I$15="No",0,BA67))</f>
        <v/>
      </c>
      <c r="BC67" s="258" t="str">
        <f ca="1">IF('Demand background (hide)'!A58=Num_Modalities,"",SUM(Demand!I67))</f>
        <v/>
      </c>
      <c r="BD67" s="258" t="str">
        <f ca="1">IF(AND(A67&lt;=MaxRows,BE67&lt;&gt;"Yes"),'Demand background (hide)'!X58+IF(Setup!$I$15="Yes",'Demand background (hide)'!AJ58,0),"")</f>
        <v/>
      </c>
      <c r="BE67" s="208"/>
    </row>
    <row r="68" spans="1:57" ht="15" x14ac:dyDescent="0.25">
      <c r="A68" t="str">
        <f t="shared" ca="1" si="0"/>
        <v/>
      </c>
      <c r="B68" s="263" t="str">
        <f t="shared" ca="1" si="1"/>
        <v xml:space="preserve"> </v>
      </c>
      <c r="C68" s="264" t="str">
        <f t="shared" ca="1" si="2"/>
        <v/>
      </c>
      <c r="D68" s="264" t="str">
        <f t="shared" ca="1" si="3"/>
        <v/>
      </c>
      <c r="E68" s="191"/>
      <c r="F68" s="191"/>
      <c r="G68" s="192"/>
      <c r="H68" s="191"/>
      <c r="I68" s="250" t="str">
        <f>IF(COUNTBLANK(E68:H68)=4,"",SUM(E68:G68)+IF(Setup!$I$15="No",0,H68))</f>
        <v/>
      </c>
      <c r="J68" s="191"/>
      <c r="K68" s="191"/>
      <c r="L68" s="191"/>
      <c r="M68" s="191"/>
      <c r="N68" s="254" t="str">
        <f>IF(COUNTBLANK(J68:M68)=4,"",SUM(J68:L68)+IF(Setup!$I$15="No",0,M68))</f>
        <v/>
      </c>
      <c r="O68" s="191"/>
      <c r="P68" s="191"/>
      <c r="Q68" s="191"/>
      <c r="R68" s="191"/>
      <c r="S68" s="254" t="str">
        <f>IF(COUNTBLANK(O68:R68)=4,"",SUM(O68:Q68)+IF(Setup!$I$15="No",0,R68))</f>
        <v/>
      </c>
      <c r="T68" s="191"/>
      <c r="U68" s="191"/>
      <c r="V68" s="191"/>
      <c r="W68" s="191"/>
      <c r="X68" s="254" t="str">
        <f>IF(COUNTBLANK(T68:W68)=4,"",SUM(T68:V68)+IF(Setup!$I$15="No",0,W68))</f>
        <v/>
      </c>
      <c r="Y68" s="191"/>
      <c r="Z68" s="191"/>
      <c r="AA68" s="191"/>
      <c r="AB68" s="191"/>
      <c r="AC68" s="254" t="str">
        <f>IF(COUNTBLANK(Y68:AB68)=4,"",SUM(Y68:AA68)+IF(Setup!$I$15="No",0,AB68))</f>
        <v/>
      </c>
      <c r="AD68" s="191"/>
      <c r="AE68" s="191"/>
      <c r="AF68" s="191"/>
      <c r="AG68" s="191"/>
      <c r="AH68" s="254" t="str">
        <f>IF(COUNTBLANK(AD68:AG68)=4,"",SUM(AD68:AF68)+IF(Setup!$I$15="No",0,AG68))</f>
        <v/>
      </c>
      <c r="AI68" s="191"/>
      <c r="AJ68" s="191"/>
      <c r="AK68" s="191"/>
      <c r="AL68" s="191"/>
      <c r="AM68" s="254" t="str">
        <f>IF(COUNTBLANK(AI68:AL68)=4,"",SUM(AI68:AK68)+IF(Setup!$I$15="No",0,AL68))</f>
        <v/>
      </c>
      <c r="AN68" s="191"/>
      <c r="AO68" s="191"/>
      <c r="AP68" s="191"/>
      <c r="AQ68" s="191"/>
      <c r="AR68" s="254" t="str">
        <f>IF(COUNTBLANK(AN68:AQ68)=4,"",SUM(AN68:AP68)+IF(Setup!$I$15="No",0,AQ68))</f>
        <v/>
      </c>
      <c r="AS68" s="191"/>
      <c r="AT68" s="191"/>
      <c r="AU68" s="191"/>
      <c r="AV68" s="191"/>
      <c r="AW68" s="254" t="str">
        <f>IF(COUNTBLANK(AS68:AV68)=4,"",SUM(AS68:AU68)+IF(Setup!$I$15="No",0,AV68))</f>
        <v/>
      </c>
      <c r="AX68" s="191"/>
      <c r="AY68" s="191"/>
      <c r="AZ68" s="191"/>
      <c r="BA68" s="191"/>
      <c r="BB68" s="254" t="str">
        <f>IF(COUNTBLANK(AX68:BA68)=4,"",SUM(AX68:AZ68)+IF(Setup!$I$15="No",0,BA68))</f>
        <v/>
      </c>
      <c r="BC68" s="258" t="str">
        <f ca="1">IF('Demand background (hide)'!A59=Num_Modalities,"",SUM(Demand!I68))</f>
        <v/>
      </c>
      <c r="BD68" s="258" t="str">
        <f ca="1">IF(AND(A68&lt;=MaxRows,BE68&lt;&gt;"Yes"),'Demand background (hide)'!X59+IF(Setup!$I$15="Yes",'Demand background (hide)'!AJ59,0),"")</f>
        <v/>
      </c>
      <c r="BE68" s="208"/>
    </row>
    <row r="69" spans="1:57" ht="15" x14ac:dyDescent="0.25">
      <c r="A69" t="str">
        <f t="shared" ca="1" si="0"/>
        <v/>
      </c>
      <c r="B69" s="263" t="str">
        <f t="shared" ca="1" si="1"/>
        <v xml:space="preserve"> </v>
      </c>
      <c r="C69" s="264" t="str">
        <f t="shared" ca="1" si="2"/>
        <v/>
      </c>
      <c r="D69" s="264" t="str">
        <f t="shared" ca="1" si="3"/>
        <v/>
      </c>
      <c r="E69" s="191"/>
      <c r="F69" s="191"/>
      <c r="G69" s="192"/>
      <c r="H69" s="191"/>
      <c r="I69" s="250" t="str">
        <f>IF(COUNTBLANK(E69:H69)=4,"",SUM(E69:G69)+IF(Setup!$I$15="No",0,H69))</f>
        <v/>
      </c>
      <c r="J69" s="191"/>
      <c r="K69" s="191"/>
      <c r="L69" s="191"/>
      <c r="M69" s="191"/>
      <c r="N69" s="254" t="str">
        <f>IF(COUNTBLANK(J69:M69)=4,"",SUM(J69:L69)+IF(Setup!$I$15="No",0,M69))</f>
        <v/>
      </c>
      <c r="O69" s="191"/>
      <c r="P69" s="191"/>
      <c r="Q69" s="191"/>
      <c r="R69" s="191"/>
      <c r="S69" s="254" t="str">
        <f>IF(COUNTBLANK(O69:R69)=4,"",SUM(O69:Q69)+IF(Setup!$I$15="No",0,R69))</f>
        <v/>
      </c>
      <c r="T69" s="191"/>
      <c r="U69" s="191"/>
      <c r="V69" s="191"/>
      <c r="W69" s="191"/>
      <c r="X69" s="254" t="str">
        <f>IF(COUNTBLANK(T69:W69)=4,"",SUM(T69:V69)+IF(Setup!$I$15="No",0,W69))</f>
        <v/>
      </c>
      <c r="Y69" s="191"/>
      <c r="Z69" s="191"/>
      <c r="AA69" s="191"/>
      <c r="AB69" s="191"/>
      <c r="AC69" s="254" t="str">
        <f>IF(COUNTBLANK(Y69:AB69)=4,"",SUM(Y69:AA69)+IF(Setup!$I$15="No",0,AB69))</f>
        <v/>
      </c>
      <c r="AD69" s="191"/>
      <c r="AE69" s="191"/>
      <c r="AF69" s="191"/>
      <c r="AG69" s="191"/>
      <c r="AH69" s="254" t="str">
        <f>IF(COUNTBLANK(AD69:AG69)=4,"",SUM(AD69:AF69)+IF(Setup!$I$15="No",0,AG69))</f>
        <v/>
      </c>
      <c r="AI69" s="191"/>
      <c r="AJ69" s="191"/>
      <c r="AK69" s="191"/>
      <c r="AL69" s="191"/>
      <c r="AM69" s="254" t="str">
        <f>IF(COUNTBLANK(AI69:AL69)=4,"",SUM(AI69:AK69)+IF(Setup!$I$15="No",0,AL69))</f>
        <v/>
      </c>
      <c r="AN69" s="191"/>
      <c r="AO69" s="191"/>
      <c r="AP69" s="191"/>
      <c r="AQ69" s="191"/>
      <c r="AR69" s="254" t="str">
        <f>IF(COUNTBLANK(AN69:AQ69)=4,"",SUM(AN69:AP69)+IF(Setup!$I$15="No",0,AQ69))</f>
        <v/>
      </c>
      <c r="AS69" s="191"/>
      <c r="AT69" s="191"/>
      <c r="AU69" s="191"/>
      <c r="AV69" s="191"/>
      <c r="AW69" s="254" t="str">
        <f>IF(COUNTBLANK(AS69:AV69)=4,"",SUM(AS69:AU69)+IF(Setup!$I$15="No",0,AV69))</f>
        <v/>
      </c>
      <c r="AX69" s="191"/>
      <c r="AY69" s="191"/>
      <c r="AZ69" s="191"/>
      <c r="BA69" s="191"/>
      <c r="BB69" s="254" t="str">
        <f>IF(COUNTBLANK(AX69:BA69)=4,"",SUM(AX69:AZ69)+IF(Setup!$I$15="No",0,BA69))</f>
        <v/>
      </c>
      <c r="BC69" s="258" t="str">
        <f ca="1">IF('Demand background (hide)'!A60=Num_Modalities,"",SUM(Demand!I69))</f>
        <v/>
      </c>
      <c r="BD69" s="258" t="str">
        <f ca="1">IF(AND(A69&lt;=MaxRows,BE69&lt;&gt;"Yes"),'Demand background (hide)'!X60+IF(Setup!$I$15="Yes",'Demand background (hide)'!AJ60,0),"")</f>
        <v/>
      </c>
      <c r="BE69" s="208"/>
    </row>
    <row r="70" spans="1:57" ht="15" x14ac:dyDescent="0.25">
      <c r="A70" t="str">
        <f t="shared" ca="1" si="0"/>
        <v/>
      </c>
      <c r="B70" s="263" t="str">
        <f t="shared" ca="1" si="1"/>
        <v xml:space="preserve"> </v>
      </c>
      <c r="C70" s="264" t="str">
        <f t="shared" ca="1" si="2"/>
        <v/>
      </c>
      <c r="D70" s="264" t="str">
        <f t="shared" ca="1" si="3"/>
        <v/>
      </c>
      <c r="E70" s="191"/>
      <c r="F70" s="191"/>
      <c r="G70" s="192"/>
      <c r="H70" s="191"/>
      <c r="I70" s="250" t="str">
        <f>IF(COUNTBLANK(E70:H70)=4,"",SUM(E70:G70)+IF(Setup!$I$15="No",0,H70))</f>
        <v/>
      </c>
      <c r="J70" s="191"/>
      <c r="K70" s="191"/>
      <c r="L70" s="191"/>
      <c r="M70" s="191"/>
      <c r="N70" s="254" t="str">
        <f>IF(COUNTBLANK(J70:M70)=4,"",SUM(J70:L70)+IF(Setup!$I$15="No",0,M70))</f>
        <v/>
      </c>
      <c r="O70" s="191"/>
      <c r="P70" s="191"/>
      <c r="Q70" s="191"/>
      <c r="R70" s="191"/>
      <c r="S70" s="254" t="str">
        <f>IF(COUNTBLANK(O70:R70)=4,"",SUM(O70:Q70)+IF(Setup!$I$15="No",0,R70))</f>
        <v/>
      </c>
      <c r="T70" s="191"/>
      <c r="U70" s="191"/>
      <c r="V70" s="191"/>
      <c r="W70" s="191"/>
      <c r="X70" s="254" t="str">
        <f>IF(COUNTBLANK(T70:W70)=4,"",SUM(T70:V70)+IF(Setup!$I$15="No",0,W70))</f>
        <v/>
      </c>
      <c r="Y70" s="191"/>
      <c r="Z70" s="191"/>
      <c r="AA70" s="191"/>
      <c r="AB70" s="191"/>
      <c r="AC70" s="254" t="str">
        <f>IF(COUNTBLANK(Y70:AB70)=4,"",SUM(Y70:AA70)+IF(Setup!$I$15="No",0,AB70))</f>
        <v/>
      </c>
      <c r="AD70" s="191"/>
      <c r="AE70" s="191"/>
      <c r="AF70" s="191"/>
      <c r="AG70" s="191"/>
      <c r="AH70" s="254" t="str">
        <f>IF(COUNTBLANK(AD70:AG70)=4,"",SUM(AD70:AF70)+IF(Setup!$I$15="No",0,AG70))</f>
        <v/>
      </c>
      <c r="AI70" s="191"/>
      <c r="AJ70" s="191"/>
      <c r="AK70" s="191"/>
      <c r="AL70" s="191"/>
      <c r="AM70" s="254" t="str">
        <f>IF(COUNTBLANK(AI70:AL70)=4,"",SUM(AI70:AK70)+IF(Setup!$I$15="No",0,AL70))</f>
        <v/>
      </c>
      <c r="AN70" s="191"/>
      <c r="AO70" s="191"/>
      <c r="AP70" s="191"/>
      <c r="AQ70" s="191"/>
      <c r="AR70" s="254" t="str">
        <f>IF(COUNTBLANK(AN70:AQ70)=4,"",SUM(AN70:AP70)+IF(Setup!$I$15="No",0,AQ70))</f>
        <v/>
      </c>
      <c r="AS70" s="191"/>
      <c r="AT70" s="191"/>
      <c r="AU70" s="191"/>
      <c r="AV70" s="191"/>
      <c r="AW70" s="254" t="str">
        <f>IF(COUNTBLANK(AS70:AV70)=4,"",SUM(AS70:AU70)+IF(Setup!$I$15="No",0,AV70))</f>
        <v/>
      </c>
      <c r="AX70" s="191"/>
      <c r="AY70" s="191"/>
      <c r="AZ70" s="191"/>
      <c r="BA70" s="191"/>
      <c r="BB70" s="254" t="str">
        <f>IF(COUNTBLANK(AX70:BA70)=4,"",SUM(AX70:AZ70)+IF(Setup!$I$15="No",0,BA70))</f>
        <v/>
      </c>
      <c r="BC70" s="258" t="str">
        <f ca="1">IF('Demand background (hide)'!A61=Num_Modalities,"",SUM(Demand!I70))</f>
        <v/>
      </c>
      <c r="BD70" s="258" t="str">
        <f ca="1">IF(AND(A70&lt;=MaxRows,BE70&lt;&gt;"Yes"),'Demand background (hide)'!X61+IF(Setup!$I$15="Yes",'Demand background (hide)'!AJ61,0),"")</f>
        <v/>
      </c>
      <c r="BE70" s="208"/>
    </row>
    <row r="71" spans="1:57" ht="15" x14ac:dyDescent="0.25">
      <c r="A71" t="str">
        <f t="shared" ca="1" si="0"/>
        <v/>
      </c>
      <c r="B71" s="263" t="str">
        <f t="shared" ca="1" si="1"/>
        <v xml:space="preserve"> </v>
      </c>
      <c r="C71" s="264" t="str">
        <f t="shared" ca="1" si="2"/>
        <v/>
      </c>
      <c r="D71" s="264" t="str">
        <f t="shared" ca="1" si="3"/>
        <v/>
      </c>
      <c r="E71" s="191"/>
      <c r="F71" s="191"/>
      <c r="G71" s="192"/>
      <c r="H71" s="191"/>
      <c r="I71" s="250" t="str">
        <f>IF(COUNTBLANK(E71:H71)=4,"",SUM(E71:G71)+IF(Setup!$I$15="No",0,H71))</f>
        <v/>
      </c>
      <c r="J71" s="191"/>
      <c r="K71" s="191"/>
      <c r="L71" s="191"/>
      <c r="M71" s="191"/>
      <c r="N71" s="254" t="str">
        <f>IF(COUNTBLANK(J71:M71)=4,"",SUM(J71:L71)+IF(Setup!$I$15="No",0,M71))</f>
        <v/>
      </c>
      <c r="O71" s="191"/>
      <c r="P71" s="191"/>
      <c r="Q71" s="191"/>
      <c r="R71" s="191"/>
      <c r="S71" s="254" t="str">
        <f>IF(COUNTBLANK(O71:R71)=4,"",SUM(O71:Q71)+IF(Setup!$I$15="No",0,R71))</f>
        <v/>
      </c>
      <c r="T71" s="191"/>
      <c r="U71" s="191"/>
      <c r="V71" s="191"/>
      <c r="W71" s="191"/>
      <c r="X71" s="254" t="str">
        <f>IF(COUNTBLANK(T71:W71)=4,"",SUM(T71:V71)+IF(Setup!$I$15="No",0,W71))</f>
        <v/>
      </c>
      <c r="Y71" s="191"/>
      <c r="Z71" s="191"/>
      <c r="AA71" s="191"/>
      <c r="AB71" s="191"/>
      <c r="AC71" s="254" t="str">
        <f>IF(COUNTBLANK(Y71:AB71)=4,"",SUM(Y71:AA71)+IF(Setup!$I$15="No",0,AB71))</f>
        <v/>
      </c>
      <c r="AD71" s="191"/>
      <c r="AE71" s="191"/>
      <c r="AF71" s="191"/>
      <c r="AG71" s="191"/>
      <c r="AH71" s="254" t="str">
        <f>IF(COUNTBLANK(AD71:AG71)=4,"",SUM(AD71:AF71)+IF(Setup!$I$15="No",0,AG71))</f>
        <v/>
      </c>
      <c r="AI71" s="191"/>
      <c r="AJ71" s="191"/>
      <c r="AK71" s="191"/>
      <c r="AL71" s="191"/>
      <c r="AM71" s="254" t="str">
        <f>IF(COUNTBLANK(AI71:AL71)=4,"",SUM(AI71:AK71)+IF(Setup!$I$15="No",0,AL71))</f>
        <v/>
      </c>
      <c r="AN71" s="191"/>
      <c r="AO71" s="191"/>
      <c r="AP71" s="191"/>
      <c r="AQ71" s="191"/>
      <c r="AR71" s="254" t="str">
        <f>IF(COUNTBLANK(AN71:AQ71)=4,"",SUM(AN71:AP71)+IF(Setup!$I$15="No",0,AQ71))</f>
        <v/>
      </c>
      <c r="AS71" s="191"/>
      <c r="AT71" s="191"/>
      <c r="AU71" s="191"/>
      <c r="AV71" s="191"/>
      <c r="AW71" s="254" t="str">
        <f>IF(COUNTBLANK(AS71:AV71)=4,"",SUM(AS71:AU71)+IF(Setup!$I$15="No",0,AV71))</f>
        <v/>
      </c>
      <c r="AX71" s="191"/>
      <c r="AY71" s="191"/>
      <c r="AZ71" s="191"/>
      <c r="BA71" s="191"/>
      <c r="BB71" s="254" t="str">
        <f>IF(COUNTBLANK(AX71:BA71)=4,"",SUM(AX71:AZ71)+IF(Setup!$I$15="No",0,BA71))</f>
        <v/>
      </c>
      <c r="BC71" s="258" t="str">
        <f ca="1">IF('Demand background (hide)'!A62=Num_Modalities,"",SUM(Demand!I71))</f>
        <v/>
      </c>
      <c r="BD71" s="258" t="str">
        <f ca="1">IF(AND(A71&lt;=MaxRows,BE71&lt;&gt;"Yes"),'Demand background (hide)'!X62+IF(Setup!$I$15="Yes",'Demand background (hide)'!AJ62,0),"")</f>
        <v/>
      </c>
      <c r="BE71" s="208"/>
    </row>
    <row r="72" spans="1:57" ht="15" x14ac:dyDescent="0.25">
      <c r="A72" t="str">
        <f t="shared" ca="1" si="0"/>
        <v/>
      </c>
      <c r="B72" s="263" t="str">
        <f t="shared" ca="1" si="1"/>
        <v xml:space="preserve"> </v>
      </c>
      <c r="C72" s="264" t="str">
        <f t="shared" ca="1" si="2"/>
        <v/>
      </c>
      <c r="D72" s="264" t="str">
        <f t="shared" ca="1" si="3"/>
        <v/>
      </c>
      <c r="E72" s="191"/>
      <c r="F72" s="191"/>
      <c r="G72" s="192"/>
      <c r="H72" s="191"/>
      <c r="I72" s="250" t="str">
        <f>IF(COUNTBLANK(E72:H72)=4,"",SUM(E72:G72)+IF(Setup!$I$15="No",0,H72))</f>
        <v/>
      </c>
      <c r="J72" s="191"/>
      <c r="K72" s="191"/>
      <c r="L72" s="191"/>
      <c r="M72" s="191"/>
      <c r="N72" s="254" t="str">
        <f>IF(COUNTBLANK(J72:M72)=4,"",SUM(J72:L72)+IF(Setup!$I$15="No",0,M72))</f>
        <v/>
      </c>
      <c r="O72" s="191"/>
      <c r="P72" s="191"/>
      <c r="Q72" s="191"/>
      <c r="R72" s="191"/>
      <c r="S72" s="254" t="str">
        <f>IF(COUNTBLANK(O72:R72)=4,"",SUM(O72:Q72)+IF(Setup!$I$15="No",0,R72))</f>
        <v/>
      </c>
      <c r="T72" s="191"/>
      <c r="U72" s="191"/>
      <c r="V72" s="191"/>
      <c r="W72" s="191"/>
      <c r="X72" s="254" t="str">
        <f>IF(COUNTBLANK(T72:W72)=4,"",SUM(T72:V72)+IF(Setup!$I$15="No",0,W72))</f>
        <v/>
      </c>
      <c r="Y72" s="191"/>
      <c r="Z72" s="191"/>
      <c r="AA72" s="191"/>
      <c r="AB72" s="191"/>
      <c r="AC72" s="254" t="str">
        <f>IF(COUNTBLANK(Y72:AB72)=4,"",SUM(Y72:AA72)+IF(Setup!$I$15="No",0,AB72))</f>
        <v/>
      </c>
      <c r="AD72" s="191"/>
      <c r="AE72" s="191"/>
      <c r="AF72" s="191"/>
      <c r="AG72" s="191"/>
      <c r="AH72" s="254" t="str">
        <f>IF(COUNTBLANK(AD72:AG72)=4,"",SUM(AD72:AF72)+IF(Setup!$I$15="No",0,AG72))</f>
        <v/>
      </c>
      <c r="AI72" s="191"/>
      <c r="AJ72" s="191"/>
      <c r="AK72" s="191"/>
      <c r="AL72" s="191"/>
      <c r="AM72" s="254" t="str">
        <f>IF(COUNTBLANK(AI72:AL72)=4,"",SUM(AI72:AK72)+IF(Setup!$I$15="No",0,AL72))</f>
        <v/>
      </c>
      <c r="AN72" s="191"/>
      <c r="AO72" s="191"/>
      <c r="AP72" s="191"/>
      <c r="AQ72" s="191"/>
      <c r="AR72" s="254" t="str">
        <f>IF(COUNTBLANK(AN72:AQ72)=4,"",SUM(AN72:AP72)+IF(Setup!$I$15="No",0,AQ72))</f>
        <v/>
      </c>
      <c r="AS72" s="191"/>
      <c r="AT72" s="191"/>
      <c r="AU72" s="191"/>
      <c r="AV72" s="191"/>
      <c r="AW72" s="254" t="str">
        <f>IF(COUNTBLANK(AS72:AV72)=4,"",SUM(AS72:AU72)+IF(Setup!$I$15="No",0,AV72))</f>
        <v/>
      </c>
      <c r="AX72" s="191"/>
      <c r="AY72" s="191"/>
      <c r="AZ72" s="191"/>
      <c r="BA72" s="191"/>
      <c r="BB72" s="254" t="str">
        <f>IF(COUNTBLANK(AX72:BA72)=4,"",SUM(AX72:AZ72)+IF(Setup!$I$15="No",0,BA72))</f>
        <v/>
      </c>
      <c r="BC72" s="258" t="str">
        <f ca="1">IF('Demand background (hide)'!A63=Num_Modalities,"",SUM(Demand!I72))</f>
        <v/>
      </c>
      <c r="BD72" s="258" t="str">
        <f ca="1">IF(AND(A72&lt;=MaxRows,BE72&lt;&gt;"Yes"),'Demand background (hide)'!X63+IF(Setup!$I$15="Yes",'Demand background (hide)'!AJ63,0),"")</f>
        <v/>
      </c>
      <c r="BE72" s="208"/>
    </row>
    <row r="73" spans="1:57" ht="15" x14ac:dyDescent="0.25">
      <c r="A73" t="str">
        <f t="shared" ca="1" si="0"/>
        <v/>
      </c>
      <c r="B73" s="263" t="str">
        <f t="shared" ca="1" si="1"/>
        <v xml:space="preserve"> </v>
      </c>
      <c r="C73" s="264" t="str">
        <f t="shared" ca="1" si="2"/>
        <v/>
      </c>
      <c r="D73" s="264" t="str">
        <f t="shared" ca="1" si="3"/>
        <v/>
      </c>
      <c r="E73" s="191"/>
      <c r="F73" s="191"/>
      <c r="G73" s="192"/>
      <c r="H73" s="191"/>
      <c r="I73" s="250" t="str">
        <f>IF(COUNTBLANK(E73:H73)=4,"",SUM(E73:G73)+IF(Setup!$I$15="No",0,H73))</f>
        <v/>
      </c>
      <c r="J73" s="191"/>
      <c r="K73" s="191"/>
      <c r="L73" s="191"/>
      <c r="M73" s="191"/>
      <c r="N73" s="254" t="str">
        <f>IF(COUNTBLANK(J73:M73)=4,"",SUM(J73:L73)+IF(Setup!$I$15="No",0,M73))</f>
        <v/>
      </c>
      <c r="O73" s="191"/>
      <c r="P73" s="191"/>
      <c r="Q73" s="191"/>
      <c r="R73" s="191"/>
      <c r="S73" s="254" t="str">
        <f>IF(COUNTBLANK(O73:R73)=4,"",SUM(O73:Q73)+IF(Setup!$I$15="No",0,R73))</f>
        <v/>
      </c>
      <c r="T73" s="191"/>
      <c r="U73" s="191"/>
      <c r="V73" s="191"/>
      <c r="W73" s="191"/>
      <c r="X73" s="254" t="str">
        <f>IF(COUNTBLANK(T73:W73)=4,"",SUM(T73:V73)+IF(Setup!$I$15="No",0,W73))</f>
        <v/>
      </c>
      <c r="Y73" s="191"/>
      <c r="Z73" s="191"/>
      <c r="AA73" s="191"/>
      <c r="AB73" s="191"/>
      <c r="AC73" s="254" t="str">
        <f>IF(COUNTBLANK(Y73:AB73)=4,"",SUM(Y73:AA73)+IF(Setup!$I$15="No",0,AB73))</f>
        <v/>
      </c>
      <c r="AD73" s="191"/>
      <c r="AE73" s="191"/>
      <c r="AF73" s="191"/>
      <c r="AG73" s="191"/>
      <c r="AH73" s="254" t="str">
        <f>IF(COUNTBLANK(AD73:AG73)=4,"",SUM(AD73:AF73)+IF(Setup!$I$15="No",0,AG73))</f>
        <v/>
      </c>
      <c r="AI73" s="191"/>
      <c r="AJ73" s="191"/>
      <c r="AK73" s="191"/>
      <c r="AL73" s="191"/>
      <c r="AM73" s="254" t="str">
        <f>IF(COUNTBLANK(AI73:AL73)=4,"",SUM(AI73:AK73)+IF(Setup!$I$15="No",0,AL73))</f>
        <v/>
      </c>
      <c r="AN73" s="191"/>
      <c r="AO73" s="191"/>
      <c r="AP73" s="191"/>
      <c r="AQ73" s="191"/>
      <c r="AR73" s="254" t="str">
        <f>IF(COUNTBLANK(AN73:AQ73)=4,"",SUM(AN73:AP73)+IF(Setup!$I$15="No",0,AQ73))</f>
        <v/>
      </c>
      <c r="AS73" s="191"/>
      <c r="AT73" s="191"/>
      <c r="AU73" s="191"/>
      <c r="AV73" s="191"/>
      <c r="AW73" s="254" t="str">
        <f>IF(COUNTBLANK(AS73:AV73)=4,"",SUM(AS73:AU73)+IF(Setup!$I$15="No",0,AV73))</f>
        <v/>
      </c>
      <c r="AX73" s="191"/>
      <c r="AY73" s="191"/>
      <c r="AZ73" s="191"/>
      <c r="BA73" s="191"/>
      <c r="BB73" s="254" t="str">
        <f>IF(COUNTBLANK(AX73:BA73)=4,"",SUM(AX73:AZ73)+IF(Setup!$I$15="No",0,BA73))</f>
        <v/>
      </c>
      <c r="BC73" s="258" t="str">
        <f ca="1">IF('Demand background (hide)'!A64=Num_Modalities,"",SUM(Demand!I73))</f>
        <v/>
      </c>
      <c r="BD73" s="258" t="str">
        <f ca="1">IF(AND(A73&lt;=MaxRows,BE73&lt;&gt;"Yes"),'Demand background (hide)'!X64+IF(Setup!$I$15="Yes",'Demand background (hide)'!AJ64,0),"")</f>
        <v/>
      </c>
      <c r="BE73" s="208"/>
    </row>
    <row r="74" spans="1:57" ht="15" x14ac:dyDescent="0.25">
      <c r="A74" t="str">
        <f t="shared" ca="1" si="0"/>
        <v/>
      </c>
      <c r="B74" s="263" t="str">
        <f t="shared" ca="1" si="1"/>
        <v xml:space="preserve"> </v>
      </c>
      <c r="C74" s="264" t="str">
        <f t="shared" ca="1" si="2"/>
        <v/>
      </c>
      <c r="D74" s="264" t="str">
        <f t="shared" ca="1" si="3"/>
        <v/>
      </c>
      <c r="E74" s="191"/>
      <c r="F74" s="191"/>
      <c r="G74" s="192"/>
      <c r="H74" s="191"/>
      <c r="I74" s="250" t="str">
        <f>IF(COUNTBLANK(E74:H74)=4,"",SUM(E74:G74)+IF(Setup!$I$15="No",0,H74))</f>
        <v/>
      </c>
      <c r="J74" s="191"/>
      <c r="K74" s="191"/>
      <c r="L74" s="191"/>
      <c r="M74" s="191"/>
      <c r="N74" s="254" t="str">
        <f>IF(COUNTBLANK(J74:M74)=4,"",SUM(J74:L74)+IF(Setup!$I$15="No",0,M74))</f>
        <v/>
      </c>
      <c r="O74" s="191"/>
      <c r="P74" s="191"/>
      <c r="Q74" s="191"/>
      <c r="R74" s="191"/>
      <c r="S74" s="254" t="str">
        <f>IF(COUNTBLANK(O74:R74)=4,"",SUM(O74:Q74)+IF(Setup!$I$15="No",0,R74))</f>
        <v/>
      </c>
      <c r="T74" s="191"/>
      <c r="U74" s="191"/>
      <c r="V74" s="191"/>
      <c r="W74" s="191"/>
      <c r="X74" s="254" t="str">
        <f>IF(COUNTBLANK(T74:W74)=4,"",SUM(T74:V74)+IF(Setup!$I$15="No",0,W74))</f>
        <v/>
      </c>
      <c r="Y74" s="191"/>
      <c r="Z74" s="191"/>
      <c r="AA74" s="191"/>
      <c r="AB74" s="191"/>
      <c r="AC74" s="254" t="str">
        <f>IF(COUNTBLANK(Y74:AB74)=4,"",SUM(Y74:AA74)+IF(Setup!$I$15="No",0,AB74))</f>
        <v/>
      </c>
      <c r="AD74" s="191"/>
      <c r="AE74" s="191"/>
      <c r="AF74" s="191"/>
      <c r="AG74" s="191"/>
      <c r="AH74" s="254" t="str">
        <f>IF(COUNTBLANK(AD74:AG74)=4,"",SUM(AD74:AF74)+IF(Setup!$I$15="No",0,AG74))</f>
        <v/>
      </c>
      <c r="AI74" s="191"/>
      <c r="AJ74" s="191"/>
      <c r="AK74" s="191"/>
      <c r="AL74" s="191"/>
      <c r="AM74" s="254" t="str">
        <f>IF(COUNTBLANK(AI74:AL74)=4,"",SUM(AI74:AK74)+IF(Setup!$I$15="No",0,AL74))</f>
        <v/>
      </c>
      <c r="AN74" s="191"/>
      <c r="AO74" s="191"/>
      <c r="AP74" s="191"/>
      <c r="AQ74" s="191"/>
      <c r="AR74" s="254" t="str">
        <f>IF(COUNTBLANK(AN74:AQ74)=4,"",SUM(AN74:AP74)+IF(Setup!$I$15="No",0,AQ74))</f>
        <v/>
      </c>
      <c r="AS74" s="191"/>
      <c r="AT74" s="191"/>
      <c r="AU74" s="191"/>
      <c r="AV74" s="191"/>
      <c r="AW74" s="254" t="str">
        <f>IF(COUNTBLANK(AS74:AV74)=4,"",SUM(AS74:AU74)+IF(Setup!$I$15="No",0,AV74))</f>
        <v/>
      </c>
      <c r="AX74" s="191"/>
      <c r="AY74" s="191"/>
      <c r="AZ74" s="191"/>
      <c r="BA74" s="191"/>
      <c r="BB74" s="254" t="str">
        <f>IF(COUNTBLANK(AX74:BA74)=4,"",SUM(AX74:AZ74)+IF(Setup!$I$15="No",0,BA74))</f>
        <v/>
      </c>
      <c r="BC74" s="258" t="str">
        <f ca="1">IF('Demand background (hide)'!A65=Num_Modalities,"",SUM(Demand!I74))</f>
        <v/>
      </c>
      <c r="BD74" s="258" t="str">
        <f ca="1">IF(AND(A74&lt;=MaxRows,BE74&lt;&gt;"Yes"),'Demand background (hide)'!X65+IF(Setup!$I$15="Yes",'Demand background (hide)'!AJ65,0),"")</f>
        <v/>
      </c>
      <c r="BE74" s="208"/>
    </row>
    <row r="75" spans="1:57" ht="15" x14ac:dyDescent="0.25">
      <c r="A75" t="str">
        <f t="shared" ca="1" si="0"/>
        <v/>
      </c>
      <c r="B75" s="263" t="str">
        <f t="shared" ca="1" si="1"/>
        <v xml:space="preserve"> </v>
      </c>
      <c r="C75" s="264" t="str">
        <f t="shared" ca="1" si="2"/>
        <v/>
      </c>
      <c r="D75" s="264" t="str">
        <f t="shared" ca="1" si="3"/>
        <v/>
      </c>
      <c r="E75" s="191"/>
      <c r="F75" s="191"/>
      <c r="G75" s="192"/>
      <c r="H75" s="191"/>
      <c r="I75" s="250" t="str">
        <f>IF(COUNTBLANK(E75:H75)=4,"",SUM(E75:G75)+IF(Setup!$I$15="No",0,H75))</f>
        <v/>
      </c>
      <c r="J75" s="191"/>
      <c r="K75" s="191"/>
      <c r="L75" s="191"/>
      <c r="M75" s="191"/>
      <c r="N75" s="254" t="str">
        <f>IF(COUNTBLANK(J75:M75)=4,"",SUM(J75:L75)+IF(Setup!$I$15="No",0,M75))</f>
        <v/>
      </c>
      <c r="O75" s="191"/>
      <c r="P75" s="191"/>
      <c r="Q75" s="191"/>
      <c r="R75" s="191"/>
      <c r="S75" s="254" t="str">
        <f>IF(COUNTBLANK(O75:R75)=4,"",SUM(O75:Q75)+IF(Setup!$I$15="No",0,R75))</f>
        <v/>
      </c>
      <c r="T75" s="191"/>
      <c r="U75" s="191"/>
      <c r="V75" s="191"/>
      <c r="W75" s="191"/>
      <c r="X75" s="254" t="str">
        <f>IF(COUNTBLANK(T75:W75)=4,"",SUM(T75:V75)+IF(Setup!$I$15="No",0,W75))</f>
        <v/>
      </c>
      <c r="Y75" s="191"/>
      <c r="Z75" s="191"/>
      <c r="AA75" s="191"/>
      <c r="AB75" s="191"/>
      <c r="AC75" s="254" t="str">
        <f>IF(COUNTBLANK(Y75:AB75)=4,"",SUM(Y75:AA75)+IF(Setup!$I$15="No",0,AB75))</f>
        <v/>
      </c>
      <c r="AD75" s="191"/>
      <c r="AE75" s="191"/>
      <c r="AF75" s="191"/>
      <c r="AG75" s="191"/>
      <c r="AH75" s="254" t="str">
        <f>IF(COUNTBLANK(AD75:AG75)=4,"",SUM(AD75:AF75)+IF(Setup!$I$15="No",0,AG75))</f>
        <v/>
      </c>
      <c r="AI75" s="191"/>
      <c r="AJ75" s="191"/>
      <c r="AK75" s="191"/>
      <c r="AL75" s="191"/>
      <c r="AM75" s="254" t="str">
        <f>IF(COUNTBLANK(AI75:AL75)=4,"",SUM(AI75:AK75)+IF(Setup!$I$15="No",0,AL75))</f>
        <v/>
      </c>
      <c r="AN75" s="191"/>
      <c r="AO75" s="191"/>
      <c r="AP75" s="191"/>
      <c r="AQ75" s="191"/>
      <c r="AR75" s="254" t="str">
        <f>IF(COUNTBLANK(AN75:AQ75)=4,"",SUM(AN75:AP75)+IF(Setup!$I$15="No",0,AQ75))</f>
        <v/>
      </c>
      <c r="AS75" s="191"/>
      <c r="AT75" s="191"/>
      <c r="AU75" s="191"/>
      <c r="AV75" s="191"/>
      <c r="AW75" s="254" t="str">
        <f>IF(COUNTBLANK(AS75:AV75)=4,"",SUM(AS75:AU75)+IF(Setup!$I$15="No",0,AV75))</f>
        <v/>
      </c>
      <c r="AX75" s="191"/>
      <c r="AY75" s="191"/>
      <c r="AZ75" s="191"/>
      <c r="BA75" s="191"/>
      <c r="BB75" s="254" t="str">
        <f>IF(COUNTBLANK(AX75:BA75)=4,"",SUM(AX75:AZ75)+IF(Setup!$I$15="No",0,BA75))</f>
        <v/>
      </c>
      <c r="BC75" s="258" t="str">
        <f ca="1">IF('Demand background (hide)'!A66=Num_Modalities,"",SUM(Demand!I75))</f>
        <v/>
      </c>
      <c r="BD75" s="258" t="str">
        <f ca="1">IF(AND(A75&lt;=MaxRows,BE75&lt;&gt;"Yes"),'Demand background (hide)'!X66+IF(Setup!$I$15="Yes",'Demand background (hide)'!AJ66,0),"")</f>
        <v/>
      </c>
      <c r="BE75" s="208"/>
    </row>
    <row r="76" spans="1:57" ht="15" x14ac:dyDescent="0.25">
      <c r="A76" t="str">
        <f t="shared" ca="1" si="0"/>
        <v/>
      </c>
      <c r="B76" s="263" t="str">
        <f t="shared" ca="1" si="1"/>
        <v xml:space="preserve"> </v>
      </c>
      <c r="C76" s="264" t="str">
        <f t="shared" ca="1" si="2"/>
        <v/>
      </c>
      <c r="D76" s="264" t="str">
        <f t="shared" ca="1" si="3"/>
        <v/>
      </c>
      <c r="E76" s="191"/>
      <c r="F76" s="191"/>
      <c r="G76" s="192"/>
      <c r="H76" s="191"/>
      <c r="I76" s="250" t="str">
        <f>IF(COUNTBLANK(E76:H76)=4,"",SUM(E76:G76)+IF(Setup!$I$15="No",0,H76))</f>
        <v/>
      </c>
      <c r="J76" s="191"/>
      <c r="K76" s="191"/>
      <c r="L76" s="191"/>
      <c r="M76" s="191"/>
      <c r="N76" s="254" t="str">
        <f>IF(COUNTBLANK(J76:M76)=4,"",SUM(J76:L76)+IF(Setup!$I$15="No",0,M76))</f>
        <v/>
      </c>
      <c r="O76" s="191"/>
      <c r="P76" s="191"/>
      <c r="Q76" s="191"/>
      <c r="R76" s="191"/>
      <c r="S76" s="254" t="str">
        <f>IF(COUNTBLANK(O76:R76)=4,"",SUM(O76:Q76)+IF(Setup!$I$15="No",0,R76))</f>
        <v/>
      </c>
      <c r="T76" s="191"/>
      <c r="U76" s="191"/>
      <c r="V76" s="191"/>
      <c r="W76" s="191"/>
      <c r="X76" s="254" t="str">
        <f>IF(COUNTBLANK(T76:W76)=4,"",SUM(T76:V76)+IF(Setup!$I$15="No",0,W76))</f>
        <v/>
      </c>
      <c r="Y76" s="191"/>
      <c r="Z76" s="191"/>
      <c r="AA76" s="191"/>
      <c r="AB76" s="191"/>
      <c r="AC76" s="254" t="str">
        <f>IF(COUNTBLANK(Y76:AB76)=4,"",SUM(Y76:AA76)+IF(Setup!$I$15="No",0,AB76))</f>
        <v/>
      </c>
      <c r="AD76" s="191"/>
      <c r="AE76" s="191"/>
      <c r="AF76" s="191"/>
      <c r="AG76" s="191"/>
      <c r="AH76" s="254" t="str">
        <f>IF(COUNTBLANK(AD76:AG76)=4,"",SUM(AD76:AF76)+IF(Setup!$I$15="No",0,AG76))</f>
        <v/>
      </c>
      <c r="AI76" s="191"/>
      <c r="AJ76" s="191"/>
      <c r="AK76" s="191"/>
      <c r="AL76" s="191"/>
      <c r="AM76" s="254" t="str">
        <f>IF(COUNTBLANK(AI76:AL76)=4,"",SUM(AI76:AK76)+IF(Setup!$I$15="No",0,AL76))</f>
        <v/>
      </c>
      <c r="AN76" s="191"/>
      <c r="AO76" s="191"/>
      <c r="AP76" s="191"/>
      <c r="AQ76" s="191"/>
      <c r="AR76" s="254" t="str">
        <f>IF(COUNTBLANK(AN76:AQ76)=4,"",SUM(AN76:AP76)+IF(Setup!$I$15="No",0,AQ76))</f>
        <v/>
      </c>
      <c r="AS76" s="191"/>
      <c r="AT76" s="191"/>
      <c r="AU76" s="191"/>
      <c r="AV76" s="191"/>
      <c r="AW76" s="254" t="str">
        <f>IF(COUNTBLANK(AS76:AV76)=4,"",SUM(AS76:AU76)+IF(Setup!$I$15="No",0,AV76))</f>
        <v/>
      </c>
      <c r="AX76" s="191"/>
      <c r="AY76" s="191"/>
      <c r="AZ76" s="191"/>
      <c r="BA76" s="191"/>
      <c r="BB76" s="254" t="str">
        <f>IF(COUNTBLANK(AX76:BA76)=4,"",SUM(AX76:AZ76)+IF(Setup!$I$15="No",0,BA76))</f>
        <v/>
      </c>
      <c r="BC76" s="258" t="str">
        <f ca="1">IF('Demand background (hide)'!A67=Num_Modalities,"",SUM(Demand!I76))</f>
        <v/>
      </c>
      <c r="BD76" s="258" t="str">
        <f ca="1">IF(AND(A76&lt;=MaxRows,BE76&lt;&gt;"Yes"),'Demand background (hide)'!X67+IF(Setup!$I$15="Yes",'Demand background (hide)'!AJ67,0),"")</f>
        <v/>
      </c>
      <c r="BE76" s="208"/>
    </row>
    <row r="77" spans="1:57" ht="15" x14ac:dyDescent="0.25">
      <c r="A77" t="str">
        <f t="shared" ref="A77:A140" ca="1" si="4">IF(BC77&lt;&gt;"",ROW(A65),"")</f>
        <v/>
      </c>
      <c r="B77" s="263" t="str">
        <f t="shared" ca="1" si="1"/>
        <v xml:space="preserve"> </v>
      </c>
      <c r="C77" s="264" t="str">
        <f t="shared" ca="1" si="2"/>
        <v/>
      </c>
      <c r="D77" s="264" t="str">
        <f t="shared" ca="1" si="3"/>
        <v/>
      </c>
      <c r="E77" s="191"/>
      <c r="F77" s="191"/>
      <c r="G77" s="192"/>
      <c r="H77" s="191"/>
      <c r="I77" s="250" t="str">
        <f>IF(COUNTBLANK(E77:H77)=4,"",SUM(E77:G77)+IF(Setup!$I$15="No",0,H77))</f>
        <v/>
      </c>
      <c r="J77" s="191"/>
      <c r="K77" s="191"/>
      <c r="L77" s="191"/>
      <c r="M77" s="191"/>
      <c r="N77" s="254" t="str">
        <f>IF(COUNTBLANK(J77:M77)=4,"",SUM(J77:L77)+IF(Setup!$I$15="No",0,M77))</f>
        <v/>
      </c>
      <c r="O77" s="191"/>
      <c r="P77" s="191"/>
      <c r="Q77" s="191"/>
      <c r="R77" s="191"/>
      <c r="S77" s="254" t="str">
        <f>IF(COUNTBLANK(O77:R77)=4,"",SUM(O77:Q77)+IF(Setup!$I$15="No",0,R77))</f>
        <v/>
      </c>
      <c r="T77" s="191"/>
      <c r="U77" s="191"/>
      <c r="V77" s="191"/>
      <c r="W77" s="191"/>
      <c r="X77" s="254" t="str">
        <f>IF(COUNTBLANK(T77:W77)=4,"",SUM(T77:V77)+IF(Setup!$I$15="No",0,W77))</f>
        <v/>
      </c>
      <c r="Y77" s="191"/>
      <c r="Z77" s="191"/>
      <c r="AA77" s="191"/>
      <c r="AB77" s="191"/>
      <c r="AC77" s="254" t="str">
        <f>IF(COUNTBLANK(Y77:AB77)=4,"",SUM(Y77:AA77)+IF(Setup!$I$15="No",0,AB77))</f>
        <v/>
      </c>
      <c r="AD77" s="191"/>
      <c r="AE77" s="191"/>
      <c r="AF77" s="191"/>
      <c r="AG77" s="191"/>
      <c r="AH77" s="254" t="str">
        <f>IF(COUNTBLANK(AD77:AG77)=4,"",SUM(AD77:AF77)+IF(Setup!$I$15="No",0,AG77))</f>
        <v/>
      </c>
      <c r="AI77" s="191"/>
      <c r="AJ77" s="191"/>
      <c r="AK77" s="191"/>
      <c r="AL77" s="191"/>
      <c r="AM77" s="254" t="str">
        <f>IF(COUNTBLANK(AI77:AL77)=4,"",SUM(AI77:AK77)+IF(Setup!$I$15="No",0,AL77))</f>
        <v/>
      </c>
      <c r="AN77" s="191"/>
      <c r="AO77" s="191"/>
      <c r="AP77" s="191"/>
      <c r="AQ77" s="191"/>
      <c r="AR77" s="254" t="str">
        <f>IF(COUNTBLANK(AN77:AQ77)=4,"",SUM(AN77:AP77)+IF(Setup!$I$15="No",0,AQ77))</f>
        <v/>
      </c>
      <c r="AS77" s="191"/>
      <c r="AT77" s="191"/>
      <c r="AU77" s="191"/>
      <c r="AV77" s="191"/>
      <c r="AW77" s="254" t="str">
        <f>IF(COUNTBLANK(AS77:AV77)=4,"",SUM(AS77:AU77)+IF(Setup!$I$15="No",0,AV77))</f>
        <v/>
      </c>
      <c r="AX77" s="191"/>
      <c r="AY77" s="191"/>
      <c r="AZ77" s="191"/>
      <c r="BA77" s="191"/>
      <c r="BB77" s="254" t="str">
        <f>IF(COUNTBLANK(AX77:BA77)=4,"",SUM(AX77:AZ77)+IF(Setup!$I$15="No",0,BA77))</f>
        <v/>
      </c>
      <c r="BC77" s="258" t="str">
        <f ca="1">IF('Demand background (hide)'!A68=Num_Modalities,"",SUM(Demand!I77))</f>
        <v/>
      </c>
      <c r="BD77" s="258" t="str">
        <f ca="1">IF(AND(A77&lt;=MaxRows,BE77&lt;&gt;"Yes"),'Demand background (hide)'!X68+IF(Setup!$I$15="Yes",'Demand background (hide)'!AJ68,0),"")</f>
        <v/>
      </c>
      <c r="BE77" s="208"/>
    </row>
    <row r="78" spans="1:57" ht="15" x14ac:dyDescent="0.25">
      <c r="A78" t="str">
        <f t="shared" ca="1" si="4"/>
        <v/>
      </c>
      <c r="B78" s="263" t="str">
        <f t="shared" ref="B78:B141" ca="1" si="5">IF(A78&lt;=MaxRows,IF($C$6&lt;&gt;"",IF(YEAR(D78)&lt;&gt;YEAR(D77),YEAR(D78)," "),IF(C78&lt;&gt;1,"",OFFSET(B78,-C77,0,1,1)+1))," ")</f>
        <v xml:space="preserve"> </v>
      </c>
      <c r="C78" s="264" t="str">
        <f t="shared" ref="C78:C141" ca="1" si="6">IF(ROW(A66)&lt;=MaxRows,IF($C$6&lt;&gt;"",WEEKNUM(D78,21),IF(MOD((C77+1),52)&gt;0,MOD((C77+1),52),52)),"")</f>
        <v/>
      </c>
      <c r="D78" s="264" t="str">
        <f t="shared" ref="D78:D141" ca="1" si="7">IF(OR(AND(ROW(A66)&lt;=MaxRows,$C$6&lt;&gt;""),AND(ROW(A78)&lt;=64,LEFT($C$8,1)&lt;&gt;"H")),D77+7,"")</f>
        <v/>
      </c>
      <c r="E78" s="191"/>
      <c r="F78" s="191"/>
      <c r="G78" s="192"/>
      <c r="H78" s="191"/>
      <c r="I78" s="250" t="str">
        <f>IF(COUNTBLANK(E78:H78)=4,"",SUM(E78:G78)+IF(Setup!$I$15="No",0,H78))</f>
        <v/>
      </c>
      <c r="J78" s="191"/>
      <c r="K78" s="191"/>
      <c r="L78" s="191"/>
      <c r="M78" s="191"/>
      <c r="N78" s="254" t="str">
        <f>IF(COUNTBLANK(J78:M78)=4,"",SUM(J78:L78)+IF(Setup!$I$15="No",0,M78))</f>
        <v/>
      </c>
      <c r="O78" s="191"/>
      <c r="P78" s="191"/>
      <c r="Q78" s="191"/>
      <c r="R78" s="191"/>
      <c r="S78" s="254" t="str">
        <f>IF(COUNTBLANK(O78:R78)=4,"",SUM(O78:Q78)+IF(Setup!$I$15="No",0,R78))</f>
        <v/>
      </c>
      <c r="T78" s="191"/>
      <c r="U78" s="191"/>
      <c r="V78" s="191"/>
      <c r="W78" s="191"/>
      <c r="X78" s="254" t="str">
        <f>IF(COUNTBLANK(T78:W78)=4,"",SUM(T78:V78)+IF(Setup!$I$15="No",0,W78))</f>
        <v/>
      </c>
      <c r="Y78" s="191"/>
      <c r="Z78" s="191"/>
      <c r="AA78" s="191"/>
      <c r="AB78" s="191"/>
      <c r="AC78" s="254" t="str">
        <f>IF(COUNTBLANK(Y78:AB78)=4,"",SUM(Y78:AA78)+IF(Setup!$I$15="No",0,AB78))</f>
        <v/>
      </c>
      <c r="AD78" s="191"/>
      <c r="AE78" s="191"/>
      <c r="AF78" s="191"/>
      <c r="AG78" s="191"/>
      <c r="AH78" s="254" t="str">
        <f>IF(COUNTBLANK(AD78:AG78)=4,"",SUM(AD78:AF78)+IF(Setup!$I$15="No",0,AG78))</f>
        <v/>
      </c>
      <c r="AI78" s="191"/>
      <c r="AJ78" s="191"/>
      <c r="AK78" s="191"/>
      <c r="AL78" s="191"/>
      <c r="AM78" s="254" t="str">
        <f>IF(COUNTBLANK(AI78:AL78)=4,"",SUM(AI78:AK78)+IF(Setup!$I$15="No",0,AL78))</f>
        <v/>
      </c>
      <c r="AN78" s="191"/>
      <c r="AO78" s="191"/>
      <c r="AP78" s="191"/>
      <c r="AQ78" s="191"/>
      <c r="AR78" s="254" t="str">
        <f>IF(COUNTBLANK(AN78:AQ78)=4,"",SUM(AN78:AP78)+IF(Setup!$I$15="No",0,AQ78))</f>
        <v/>
      </c>
      <c r="AS78" s="191"/>
      <c r="AT78" s="191"/>
      <c r="AU78" s="191"/>
      <c r="AV78" s="191"/>
      <c r="AW78" s="254" t="str">
        <f>IF(COUNTBLANK(AS78:AV78)=4,"",SUM(AS78:AU78)+IF(Setup!$I$15="No",0,AV78))</f>
        <v/>
      </c>
      <c r="AX78" s="191"/>
      <c r="AY78" s="191"/>
      <c r="AZ78" s="191"/>
      <c r="BA78" s="191"/>
      <c r="BB78" s="254" t="str">
        <f>IF(COUNTBLANK(AX78:BA78)=4,"",SUM(AX78:AZ78)+IF(Setup!$I$15="No",0,BA78))</f>
        <v/>
      </c>
      <c r="BC78" s="258" t="str">
        <f ca="1">IF('Demand background (hide)'!A69=Num_Modalities,"",SUM(Demand!I78))</f>
        <v/>
      </c>
      <c r="BD78" s="258" t="str">
        <f ca="1">IF(AND(A78&lt;=MaxRows,BE78&lt;&gt;"Yes"),'Demand background (hide)'!X69+IF(Setup!$I$15="Yes",'Demand background (hide)'!AJ69,0),"")</f>
        <v/>
      </c>
      <c r="BE78" s="208"/>
    </row>
    <row r="79" spans="1:57" ht="15" x14ac:dyDescent="0.25">
      <c r="A79" t="str">
        <f t="shared" ca="1" si="4"/>
        <v/>
      </c>
      <c r="B79" s="263" t="str">
        <f t="shared" ca="1" si="5"/>
        <v xml:space="preserve"> </v>
      </c>
      <c r="C79" s="264" t="str">
        <f t="shared" ca="1" si="6"/>
        <v/>
      </c>
      <c r="D79" s="264" t="str">
        <f t="shared" ca="1" si="7"/>
        <v/>
      </c>
      <c r="E79" s="191"/>
      <c r="F79" s="191"/>
      <c r="G79" s="192"/>
      <c r="H79" s="191"/>
      <c r="I79" s="250" t="str">
        <f>IF(COUNTBLANK(E79:H79)=4,"",SUM(E79:G79)+IF(Setup!$I$15="No",0,H79))</f>
        <v/>
      </c>
      <c r="J79" s="191"/>
      <c r="K79" s="191"/>
      <c r="L79" s="191"/>
      <c r="M79" s="191"/>
      <c r="N79" s="254" t="str">
        <f>IF(COUNTBLANK(J79:M79)=4,"",SUM(J79:L79)+IF(Setup!$I$15="No",0,M79))</f>
        <v/>
      </c>
      <c r="O79" s="191"/>
      <c r="P79" s="191"/>
      <c r="Q79" s="191"/>
      <c r="R79" s="191"/>
      <c r="S79" s="254" t="str">
        <f>IF(COUNTBLANK(O79:R79)=4,"",SUM(O79:Q79)+IF(Setup!$I$15="No",0,R79))</f>
        <v/>
      </c>
      <c r="T79" s="191"/>
      <c r="U79" s="191"/>
      <c r="V79" s="191"/>
      <c r="W79" s="191"/>
      <c r="X79" s="254" t="str">
        <f>IF(COUNTBLANK(T79:W79)=4,"",SUM(T79:V79)+IF(Setup!$I$15="No",0,W79))</f>
        <v/>
      </c>
      <c r="Y79" s="191"/>
      <c r="Z79" s="191"/>
      <c r="AA79" s="191"/>
      <c r="AB79" s="191"/>
      <c r="AC79" s="254" t="str">
        <f>IF(COUNTBLANK(Y79:AB79)=4,"",SUM(Y79:AA79)+IF(Setup!$I$15="No",0,AB79))</f>
        <v/>
      </c>
      <c r="AD79" s="191"/>
      <c r="AE79" s="191"/>
      <c r="AF79" s="191"/>
      <c r="AG79" s="191"/>
      <c r="AH79" s="254" t="str">
        <f>IF(COUNTBLANK(AD79:AG79)=4,"",SUM(AD79:AF79)+IF(Setup!$I$15="No",0,AG79))</f>
        <v/>
      </c>
      <c r="AI79" s="191"/>
      <c r="AJ79" s="191"/>
      <c r="AK79" s="191"/>
      <c r="AL79" s="191"/>
      <c r="AM79" s="254" t="str">
        <f>IF(COUNTBLANK(AI79:AL79)=4,"",SUM(AI79:AK79)+IF(Setup!$I$15="No",0,AL79))</f>
        <v/>
      </c>
      <c r="AN79" s="191"/>
      <c r="AO79" s="191"/>
      <c r="AP79" s="191"/>
      <c r="AQ79" s="191"/>
      <c r="AR79" s="254" t="str">
        <f>IF(COUNTBLANK(AN79:AQ79)=4,"",SUM(AN79:AP79)+IF(Setup!$I$15="No",0,AQ79))</f>
        <v/>
      </c>
      <c r="AS79" s="191"/>
      <c r="AT79" s="191"/>
      <c r="AU79" s="191"/>
      <c r="AV79" s="191"/>
      <c r="AW79" s="254" t="str">
        <f>IF(COUNTBLANK(AS79:AV79)=4,"",SUM(AS79:AU79)+IF(Setup!$I$15="No",0,AV79))</f>
        <v/>
      </c>
      <c r="AX79" s="191"/>
      <c r="AY79" s="191"/>
      <c r="AZ79" s="191"/>
      <c r="BA79" s="191"/>
      <c r="BB79" s="254" t="str">
        <f>IF(COUNTBLANK(AX79:BA79)=4,"",SUM(AX79:AZ79)+IF(Setup!$I$15="No",0,BA79))</f>
        <v/>
      </c>
      <c r="BC79" s="258" t="str">
        <f ca="1">IF('Demand background (hide)'!A70=Num_Modalities,"",SUM(Demand!I79))</f>
        <v/>
      </c>
      <c r="BD79" s="258" t="str">
        <f ca="1">IF(AND(A79&lt;=MaxRows,BE79&lt;&gt;"Yes"),'Demand background (hide)'!X70+IF(Setup!$I$15="Yes",'Demand background (hide)'!AJ70,0),"")</f>
        <v/>
      </c>
      <c r="BE79" s="208"/>
    </row>
    <row r="80" spans="1:57" ht="15" x14ac:dyDescent="0.25">
      <c r="A80" t="str">
        <f t="shared" ca="1" si="4"/>
        <v/>
      </c>
      <c r="B80" s="263" t="str">
        <f t="shared" ca="1" si="5"/>
        <v xml:space="preserve"> </v>
      </c>
      <c r="C80" s="264" t="str">
        <f t="shared" ca="1" si="6"/>
        <v/>
      </c>
      <c r="D80" s="264" t="str">
        <f t="shared" ca="1" si="7"/>
        <v/>
      </c>
      <c r="E80" s="191"/>
      <c r="F80" s="191"/>
      <c r="G80" s="192"/>
      <c r="H80" s="191"/>
      <c r="I80" s="250" t="str">
        <f>IF(COUNTBLANK(E80:H80)=4,"",SUM(E80:G80)+IF(Setup!$I$15="No",0,H80))</f>
        <v/>
      </c>
      <c r="J80" s="191"/>
      <c r="K80" s="191"/>
      <c r="L80" s="191"/>
      <c r="M80" s="191"/>
      <c r="N80" s="254" t="str">
        <f>IF(COUNTBLANK(J80:M80)=4,"",SUM(J80:L80)+IF(Setup!$I$15="No",0,M80))</f>
        <v/>
      </c>
      <c r="O80" s="191"/>
      <c r="P80" s="191"/>
      <c r="Q80" s="191"/>
      <c r="R80" s="191"/>
      <c r="S80" s="254" t="str">
        <f>IF(COUNTBLANK(O80:R80)=4,"",SUM(O80:Q80)+IF(Setup!$I$15="No",0,R80))</f>
        <v/>
      </c>
      <c r="T80" s="191"/>
      <c r="U80" s="191"/>
      <c r="V80" s="191"/>
      <c r="W80" s="191"/>
      <c r="X80" s="254" t="str">
        <f>IF(COUNTBLANK(T80:W80)=4,"",SUM(T80:V80)+IF(Setup!$I$15="No",0,W80))</f>
        <v/>
      </c>
      <c r="Y80" s="191"/>
      <c r="Z80" s="191"/>
      <c r="AA80" s="191"/>
      <c r="AB80" s="191"/>
      <c r="AC80" s="254" t="str">
        <f>IF(COUNTBLANK(Y80:AB80)=4,"",SUM(Y80:AA80)+IF(Setup!$I$15="No",0,AB80))</f>
        <v/>
      </c>
      <c r="AD80" s="191"/>
      <c r="AE80" s="191"/>
      <c r="AF80" s="191"/>
      <c r="AG80" s="191"/>
      <c r="AH80" s="254" t="str">
        <f>IF(COUNTBLANK(AD80:AG80)=4,"",SUM(AD80:AF80)+IF(Setup!$I$15="No",0,AG80))</f>
        <v/>
      </c>
      <c r="AI80" s="191"/>
      <c r="AJ80" s="191"/>
      <c r="AK80" s="191"/>
      <c r="AL80" s="191"/>
      <c r="AM80" s="254" t="str">
        <f>IF(COUNTBLANK(AI80:AL80)=4,"",SUM(AI80:AK80)+IF(Setup!$I$15="No",0,AL80))</f>
        <v/>
      </c>
      <c r="AN80" s="191"/>
      <c r="AO80" s="191"/>
      <c r="AP80" s="191"/>
      <c r="AQ80" s="191"/>
      <c r="AR80" s="254" t="str">
        <f>IF(COUNTBLANK(AN80:AQ80)=4,"",SUM(AN80:AP80)+IF(Setup!$I$15="No",0,AQ80))</f>
        <v/>
      </c>
      <c r="AS80" s="191"/>
      <c r="AT80" s="191"/>
      <c r="AU80" s="191"/>
      <c r="AV80" s="191"/>
      <c r="AW80" s="254" t="str">
        <f>IF(COUNTBLANK(AS80:AV80)=4,"",SUM(AS80:AU80)+IF(Setup!$I$15="No",0,AV80))</f>
        <v/>
      </c>
      <c r="AX80" s="191"/>
      <c r="AY80" s="191"/>
      <c r="AZ80" s="191"/>
      <c r="BA80" s="191"/>
      <c r="BB80" s="254" t="str">
        <f>IF(COUNTBLANK(AX80:BA80)=4,"",SUM(AX80:AZ80)+IF(Setup!$I$15="No",0,BA80))</f>
        <v/>
      </c>
      <c r="BC80" s="258" t="str">
        <f ca="1">IF('Demand background (hide)'!A71=Num_Modalities,"",SUM(Demand!I80))</f>
        <v/>
      </c>
      <c r="BD80" s="258" t="str">
        <f ca="1">IF(AND(A80&lt;=MaxRows,BE80&lt;&gt;"Yes"),'Demand background (hide)'!X71+IF(Setup!$I$15="Yes",'Demand background (hide)'!AJ71,0),"")</f>
        <v/>
      </c>
      <c r="BE80" s="208"/>
    </row>
    <row r="81" spans="1:57" ht="15" x14ac:dyDescent="0.25">
      <c r="A81" t="str">
        <f t="shared" ca="1" si="4"/>
        <v/>
      </c>
      <c r="B81" s="263" t="str">
        <f t="shared" ca="1" si="5"/>
        <v xml:space="preserve"> </v>
      </c>
      <c r="C81" s="264" t="str">
        <f t="shared" ca="1" si="6"/>
        <v/>
      </c>
      <c r="D81" s="264" t="str">
        <f t="shared" ca="1" si="7"/>
        <v/>
      </c>
      <c r="E81" s="191"/>
      <c r="F81" s="191"/>
      <c r="G81" s="192"/>
      <c r="H81" s="191"/>
      <c r="I81" s="250" t="str">
        <f>IF(COUNTBLANK(E81:H81)=4,"",SUM(E81:G81)+IF(Setup!$I$15="No",0,H81))</f>
        <v/>
      </c>
      <c r="J81" s="191"/>
      <c r="K81" s="191"/>
      <c r="L81" s="191"/>
      <c r="M81" s="191"/>
      <c r="N81" s="254" t="str">
        <f>IF(COUNTBLANK(J81:M81)=4,"",SUM(J81:L81)+IF(Setup!$I$15="No",0,M81))</f>
        <v/>
      </c>
      <c r="O81" s="191"/>
      <c r="P81" s="191"/>
      <c r="Q81" s="191"/>
      <c r="R81" s="191"/>
      <c r="S81" s="254" t="str">
        <f>IF(COUNTBLANK(O81:R81)=4,"",SUM(O81:Q81)+IF(Setup!$I$15="No",0,R81))</f>
        <v/>
      </c>
      <c r="T81" s="191"/>
      <c r="U81" s="191"/>
      <c r="V81" s="191"/>
      <c r="W81" s="191"/>
      <c r="X81" s="254" t="str">
        <f>IF(COUNTBLANK(T81:W81)=4,"",SUM(T81:V81)+IF(Setup!$I$15="No",0,W81))</f>
        <v/>
      </c>
      <c r="Y81" s="191"/>
      <c r="Z81" s="191"/>
      <c r="AA81" s="191"/>
      <c r="AB81" s="191"/>
      <c r="AC81" s="254" t="str">
        <f>IF(COUNTBLANK(Y81:AB81)=4,"",SUM(Y81:AA81)+IF(Setup!$I$15="No",0,AB81))</f>
        <v/>
      </c>
      <c r="AD81" s="191"/>
      <c r="AE81" s="191"/>
      <c r="AF81" s="191"/>
      <c r="AG81" s="191"/>
      <c r="AH81" s="254" t="str">
        <f>IF(COUNTBLANK(AD81:AG81)=4,"",SUM(AD81:AF81)+IF(Setup!$I$15="No",0,AG81))</f>
        <v/>
      </c>
      <c r="AI81" s="191"/>
      <c r="AJ81" s="191"/>
      <c r="AK81" s="191"/>
      <c r="AL81" s="191"/>
      <c r="AM81" s="254" t="str">
        <f>IF(COUNTBLANK(AI81:AL81)=4,"",SUM(AI81:AK81)+IF(Setup!$I$15="No",0,AL81))</f>
        <v/>
      </c>
      <c r="AN81" s="191"/>
      <c r="AO81" s="191"/>
      <c r="AP81" s="191"/>
      <c r="AQ81" s="191"/>
      <c r="AR81" s="254" t="str">
        <f>IF(COUNTBLANK(AN81:AQ81)=4,"",SUM(AN81:AP81)+IF(Setup!$I$15="No",0,AQ81))</f>
        <v/>
      </c>
      <c r="AS81" s="191"/>
      <c r="AT81" s="191"/>
      <c r="AU81" s="191"/>
      <c r="AV81" s="191"/>
      <c r="AW81" s="254" t="str">
        <f>IF(COUNTBLANK(AS81:AV81)=4,"",SUM(AS81:AU81)+IF(Setup!$I$15="No",0,AV81))</f>
        <v/>
      </c>
      <c r="AX81" s="191"/>
      <c r="AY81" s="191"/>
      <c r="AZ81" s="191"/>
      <c r="BA81" s="191"/>
      <c r="BB81" s="254" t="str">
        <f>IF(COUNTBLANK(AX81:BA81)=4,"",SUM(AX81:AZ81)+IF(Setup!$I$15="No",0,BA81))</f>
        <v/>
      </c>
      <c r="BC81" s="258" t="str">
        <f ca="1">IF('Demand background (hide)'!A72=Num_Modalities,"",SUM(Demand!I81))</f>
        <v/>
      </c>
      <c r="BD81" s="258" t="str">
        <f ca="1">IF(AND(A81&lt;=MaxRows,BE81&lt;&gt;"Yes"),'Demand background (hide)'!X72+IF(Setup!$I$15="Yes",'Demand background (hide)'!AJ72,0),"")</f>
        <v/>
      </c>
      <c r="BE81" s="208"/>
    </row>
    <row r="82" spans="1:57" ht="15" x14ac:dyDescent="0.25">
      <c r="A82" t="str">
        <f t="shared" ca="1" si="4"/>
        <v/>
      </c>
      <c r="B82" s="263" t="str">
        <f t="shared" ca="1" si="5"/>
        <v xml:space="preserve"> </v>
      </c>
      <c r="C82" s="264" t="str">
        <f t="shared" ca="1" si="6"/>
        <v/>
      </c>
      <c r="D82" s="264" t="str">
        <f t="shared" ca="1" si="7"/>
        <v/>
      </c>
      <c r="E82" s="191"/>
      <c r="F82" s="191"/>
      <c r="G82" s="192"/>
      <c r="H82" s="191"/>
      <c r="I82" s="250" t="str">
        <f>IF(COUNTBLANK(E82:H82)=4,"",SUM(E82:G82)+IF(Setup!$I$15="No",0,H82))</f>
        <v/>
      </c>
      <c r="J82" s="191"/>
      <c r="K82" s="191"/>
      <c r="L82" s="191"/>
      <c r="M82" s="191"/>
      <c r="N82" s="254" t="str">
        <f>IF(COUNTBLANK(J82:M82)=4,"",SUM(J82:L82)+IF(Setup!$I$15="No",0,M82))</f>
        <v/>
      </c>
      <c r="O82" s="191"/>
      <c r="P82" s="191"/>
      <c r="Q82" s="191"/>
      <c r="R82" s="191"/>
      <c r="S82" s="254" t="str">
        <f>IF(COUNTBLANK(O82:R82)=4,"",SUM(O82:Q82)+IF(Setup!$I$15="No",0,R82))</f>
        <v/>
      </c>
      <c r="T82" s="191"/>
      <c r="U82" s="191"/>
      <c r="V82" s="191"/>
      <c r="W82" s="191"/>
      <c r="X82" s="254" t="str">
        <f>IF(COUNTBLANK(T82:W82)=4,"",SUM(T82:V82)+IF(Setup!$I$15="No",0,W82))</f>
        <v/>
      </c>
      <c r="Y82" s="191"/>
      <c r="Z82" s="191"/>
      <c r="AA82" s="191"/>
      <c r="AB82" s="191"/>
      <c r="AC82" s="254" t="str">
        <f>IF(COUNTBLANK(Y82:AB82)=4,"",SUM(Y82:AA82)+IF(Setup!$I$15="No",0,AB82))</f>
        <v/>
      </c>
      <c r="AD82" s="191"/>
      <c r="AE82" s="191"/>
      <c r="AF82" s="191"/>
      <c r="AG82" s="191"/>
      <c r="AH82" s="254" t="str">
        <f>IF(COUNTBLANK(AD82:AG82)=4,"",SUM(AD82:AF82)+IF(Setup!$I$15="No",0,AG82))</f>
        <v/>
      </c>
      <c r="AI82" s="191"/>
      <c r="AJ82" s="191"/>
      <c r="AK82" s="191"/>
      <c r="AL82" s="191"/>
      <c r="AM82" s="254" t="str">
        <f>IF(COUNTBLANK(AI82:AL82)=4,"",SUM(AI82:AK82)+IF(Setup!$I$15="No",0,AL82))</f>
        <v/>
      </c>
      <c r="AN82" s="191"/>
      <c r="AO82" s="191"/>
      <c r="AP82" s="191"/>
      <c r="AQ82" s="191"/>
      <c r="AR82" s="254" t="str">
        <f>IF(COUNTBLANK(AN82:AQ82)=4,"",SUM(AN82:AP82)+IF(Setup!$I$15="No",0,AQ82))</f>
        <v/>
      </c>
      <c r="AS82" s="191"/>
      <c r="AT82" s="191"/>
      <c r="AU82" s="191"/>
      <c r="AV82" s="191"/>
      <c r="AW82" s="254" t="str">
        <f>IF(COUNTBLANK(AS82:AV82)=4,"",SUM(AS82:AU82)+IF(Setup!$I$15="No",0,AV82))</f>
        <v/>
      </c>
      <c r="AX82" s="191"/>
      <c r="AY82" s="191"/>
      <c r="AZ82" s="191"/>
      <c r="BA82" s="191"/>
      <c r="BB82" s="254" t="str">
        <f>IF(COUNTBLANK(AX82:BA82)=4,"",SUM(AX82:AZ82)+IF(Setup!$I$15="No",0,BA82))</f>
        <v/>
      </c>
      <c r="BC82" s="258" t="str">
        <f ca="1">IF('Demand background (hide)'!A73=Num_Modalities,"",SUM(Demand!I82))</f>
        <v/>
      </c>
      <c r="BD82" s="258" t="str">
        <f ca="1">IF(AND(A82&lt;=MaxRows,BE82&lt;&gt;"Yes"),'Demand background (hide)'!X73+IF(Setup!$I$15="Yes",'Demand background (hide)'!AJ73,0),"")</f>
        <v/>
      </c>
      <c r="BE82" s="208"/>
    </row>
    <row r="83" spans="1:57" ht="15" x14ac:dyDescent="0.25">
      <c r="A83" t="str">
        <f t="shared" ca="1" si="4"/>
        <v/>
      </c>
      <c r="B83" s="263" t="str">
        <f t="shared" ca="1" si="5"/>
        <v xml:space="preserve"> </v>
      </c>
      <c r="C83" s="264" t="str">
        <f t="shared" ca="1" si="6"/>
        <v/>
      </c>
      <c r="D83" s="264" t="str">
        <f t="shared" ca="1" si="7"/>
        <v/>
      </c>
      <c r="E83" s="191"/>
      <c r="F83" s="191"/>
      <c r="G83" s="192"/>
      <c r="H83" s="191"/>
      <c r="I83" s="250" t="str">
        <f>IF(COUNTBLANK(E83:H83)=4,"",SUM(E83:G83)+IF(Setup!$I$15="No",0,H83))</f>
        <v/>
      </c>
      <c r="J83" s="191"/>
      <c r="K83" s="191"/>
      <c r="L83" s="191"/>
      <c r="M83" s="191"/>
      <c r="N83" s="254" t="str">
        <f>IF(COUNTBLANK(J83:M83)=4,"",SUM(J83:L83)+IF(Setup!$I$15="No",0,M83))</f>
        <v/>
      </c>
      <c r="O83" s="191"/>
      <c r="P83" s="191"/>
      <c r="Q83" s="191"/>
      <c r="R83" s="191"/>
      <c r="S83" s="254" t="str">
        <f>IF(COUNTBLANK(O83:R83)=4,"",SUM(O83:Q83)+IF(Setup!$I$15="No",0,R83))</f>
        <v/>
      </c>
      <c r="T83" s="191"/>
      <c r="U83" s="191"/>
      <c r="V83" s="191"/>
      <c r="W83" s="191"/>
      <c r="X83" s="254" t="str">
        <f>IF(COUNTBLANK(T83:W83)=4,"",SUM(T83:V83)+IF(Setup!$I$15="No",0,W83))</f>
        <v/>
      </c>
      <c r="Y83" s="191"/>
      <c r="Z83" s="191"/>
      <c r="AA83" s="191"/>
      <c r="AB83" s="191"/>
      <c r="AC83" s="254" t="str">
        <f>IF(COUNTBLANK(Y83:AB83)=4,"",SUM(Y83:AA83)+IF(Setup!$I$15="No",0,AB83))</f>
        <v/>
      </c>
      <c r="AD83" s="191"/>
      <c r="AE83" s="191"/>
      <c r="AF83" s="191"/>
      <c r="AG83" s="191"/>
      <c r="AH83" s="254" t="str">
        <f>IF(COUNTBLANK(AD83:AG83)=4,"",SUM(AD83:AF83)+IF(Setup!$I$15="No",0,AG83))</f>
        <v/>
      </c>
      <c r="AI83" s="191"/>
      <c r="AJ83" s="191"/>
      <c r="AK83" s="191"/>
      <c r="AL83" s="191"/>
      <c r="AM83" s="254" t="str">
        <f>IF(COUNTBLANK(AI83:AL83)=4,"",SUM(AI83:AK83)+IF(Setup!$I$15="No",0,AL83))</f>
        <v/>
      </c>
      <c r="AN83" s="191"/>
      <c r="AO83" s="191"/>
      <c r="AP83" s="191"/>
      <c r="AQ83" s="191"/>
      <c r="AR83" s="254" t="str">
        <f>IF(COUNTBLANK(AN83:AQ83)=4,"",SUM(AN83:AP83)+IF(Setup!$I$15="No",0,AQ83))</f>
        <v/>
      </c>
      <c r="AS83" s="191"/>
      <c r="AT83" s="191"/>
      <c r="AU83" s="191"/>
      <c r="AV83" s="191"/>
      <c r="AW83" s="254" t="str">
        <f>IF(COUNTBLANK(AS83:AV83)=4,"",SUM(AS83:AU83)+IF(Setup!$I$15="No",0,AV83))</f>
        <v/>
      </c>
      <c r="AX83" s="191"/>
      <c r="AY83" s="191"/>
      <c r="AZ83" s="191"/>
      <c r="BA83" s="191"/>
      <c r="BB83" s="254" t="str">
        <f>IF(COUNTBLANK(AX83:BA83)=4,"",SUM(AX83:AZ83)+IF(Setup!$I$15="No",0,BA83))</f>
        <v/>
      </c>
      <c r="BC83" s="258" t="str">
        <f ca="1">IF('Demand background (hide)'!A74=Num_Modalities,"",SUM(Demand!I83))</f>
        <v/>
      </c>
      <c r="BD83" s="258" t="str">
        <f ca="1">IF(AND(A83&lt;=MaxRows,BE83&lt;&gt;"Yes"),'Demand background (hide)'!X74+IF(Setup!$I$15="Yes",'Demand background (hide)'!AJ74,0),"")</f>
        <v/>
      </c>
      <c r="BE83" s="208"/>
    </row>
    <row r="84" spans="1:57" ht="15" x14ac:dyDescent="0.25">
      <c r="A84" t="str">
        <f t="shared" ca="1" si="4"/>
        <v/>
      </c>
      <c r="B84" s="263" t="str">
        <f t="shared" ca="1" si="5"/>
        <v xml:space="preserve"> </v>
      </c>
      <c r="C84" s="264" t="str">
        <f t="shared" ca="1" si="6"/>
        <v/>
      </c>
      <c r="D84" s="264" t="str">
        <f t="shared" ca="1" si="7"/>
        <v/>
      </c>
      <c r="E84" s="191"/>
      <c r="F84" s="191"/>
      <c r="G84" s="192"/>
      <c r="H84" s="191"/>
      <c r="I84" s="250" t="str">
        <f>IF(COUNTBLANK(E84:H84)=4,"",SUM(E84:G84)+IF(Setup!$I$15="No",0,H84))</f>
        <v/>
      </c>
      <c r="J84" s="191"/>
      <c r="K84" s="191"/>
      <c r="L84" s="191"/>
      <c r="M84" s="191"/>
      <c r="N84" s="254" t="str">
        <f>IF(COUNTBLANK(J84:M84)=4,"",SUM(J84:L84)+IF(Setup!$I$15="No",0,M84))</f>
        <v/>
      </c>
      <c r="O84" s="191"/>
      <c r="P84" s="191"/>
      <c r="Q84" s="191"/>
      <c r="R84" s="191"/>
      <c r="S84" s="254" t="str">
        <f>IF(COUNTBLANK(O84:R84)=4,"",SUM(O84:Q84)+IF(Setup!$I$15="No",0,R84))</f>
        <v/>
      </c>
      <c r="T84" s="191"/>
      <c r="U84" s="191"/>
      <c r="V84" s="191"/>
      <c r="W84" s="191"/>
      <c r="X84" s="254" t="str">
        <f>IF(COUNTBLANK(T84:W84)=4,"",SUM(T84:V84)+IF(Setup!$I$15="No",0,W84))</f>
        <v/>
      </c>
      <c r="Y84" s="191"/>
      <c r="Z84" s="191"/>
      <c r="AA84" s="191"/>
      <c r="AB84" s="191"/>
      <c r="AC84" s="254" t="str">
        <f>IF(COUNTBLANK(Y84:AB84)=4,"",SUM(Y84:AA84)+IF(Setup!$I$15="No",0,AB84))</f>
        <v/>
      </c>
      <c r="AD84" s="191"/>
      <c r="AE84" s="191"/>
      <c r="AF84" s="191"/>
      <c r="AG84" s="191"/>
      <c r="AH84" s="254" t="str">
        <f>IF(COUNTBLANK(AD84:AG84)=4,"",SUM(AD84:AF84)+IF(Setup!$I$15="No",0,AG84))</f>
        <v/>
      </c>
      <c r="AI84" s="191"/>
      <c r="AJ84" s="191"/>
      <c r="AK84" s="191"/>
      <c r="AL84" s="191"/>
      <c r="AM84" s="254" t="str">
        <f>IF(COUNTBLANK(AI84:AL84)=4,"",SUM(AI84:AK84)+IF(Setup!$I$15="No",0,AL84))</f>
        <v/>
      </c>
      <c r="AN84" s="191"/>
      <c r="AO84" s="191"/>
      <c r="AP84" s="191"/>
      <c r="AQ84" s="191"/>
      <c r="AR84" s="254" t="str">
        <f>IF(COUNTBLANK(AN84:AQ84)=4,"",SUM(AN84:AP84)+IF(Setup!$I$15="No",0,AQ84))</f>
        <v/>
      </c>
      <c r="AS84" s="191"/>
      <c r="AT84" s="191"/>
      <c r="AU84" s="191"/>
      <c r="AV84" s="191"/>
      <c r="AW84" s="254" t="str">
        <f>IF(COUNTBLANK(AS84:AV84)=4,"",SUM(AS84:AU84)+IF(Setup!$I$15="No",0,AV84))</f>
        <v/>
      </c>
      <c r="AX84" s="191"/>
      <c r="AY84" s="191"/>
      <c r="AZ84" s="191"/>
      <c r="BA84" s="191"/>
      <c r="BB84" s="254" t="str">
        <f>IF(COUNTBLANK(AX84:BA84)=4,"",SUM(AX84:AZ84)+IF(Setup!$I$15="No",0,BA84))</f>
        <v/>
      </c>
      <c r="BC84" s="258" t="str">
        <f ca="1">IF('Demand background (hide)'!A75=Num_Modalities,"",SUM(Demand!I84))</f>
        <v/>
      </c>
      <c r="BD84" s="258" t="str">
        <f ca="1">IF(AND(A84&lt;=MaxRows,BE84&lt;&gt;"Yes"),'Demand background (hide)'!X75+IF(Setup!$I$15="Yes",'Demand background (hide)'!AJ75,0),"")</f>
        <v/>
      </c>
      <c r="BE84" s="208"/>
    </row>
    <row r="85" spans="1:57" ht="15" x14ac:dyDescent="0.25">
      <c r="A85" t="str">
        <f t="shared" ca="1" si="4"/>
        <v/>
      </c>
      <c r="B85" s="263" t="str">
        <f t="shared" ca="1" si="5"/>
        <v xml:space="preserve"> </v>
      </c>
      <c r="C85" s="264" t="str">
        <f t="shared" ca="1" si="6"/>
        <v/>
      </c>
      <c r="D85" s="264" t="str">
        <f t="shared" ca="1" si="7"/>
        <v/>
      </c>
      <c r="E85" s="191"/>
      <c r="F85" s="191"/>
      <c r="G85" s="192"/>
      <c r="H85" s="191"/>
      <c r="I85" s="250" t="str">
        <f>IF(COUNTBLANK(E85:H85)=4,"",SUM(E85:G85)+IF(Setup!$I$15="No",0,H85))</f>
        <v/>
      </c>
      <c r="J85" s="191"/>
      <c r="K85" s="191"/>
      <c r="L85" s="191"/>
      <c r="M85" s="191"/>
      <c r="N85" s="254" t="str">
        <f>IF(COUNTBLANK(J85:M85)=4,"",SUM(J85:L85)+IF(Setup!$I$15="No",0,M85))</f>
        <v/>
      </c>
      <c r="O85" s="191"/>
      <c r="P85" s="191"/>
      <c r="Q85" s="191"/>
      <c r="R85" s="191"/>
      <c r="S85" s="254" t="str">
        <f>IF(COUNTBLANK(O85:R85)=4,"",SUM(O85:Q85)+IF(Setup!$I$15="No",0,R85))</f>
        <v/>
      </c>
      <c r="T85" s="191"/>
      <c r="U85" s="191"/>
      <c r="V85" s="191"/>
      <c r="W85" s="191"/>
      <c r="X85" s="254" t="str">
        <f>IF(COUNTBLANK(T85:W85)=4,"",SUM(T85:V85)+IF(Setup!$I$15="No",0,W85))</f>
        <v/>
      </c>
      <c r="Y85" s="191"/>
      <c r="Z85" s="191"/>
      <c r="AA85" s="191"/>
      <c r="AB85" s="191"/>
      <c r="AC85" s="254" t="str">
        <f>IF(COUNTBLANK(Y85:AB85)=4,"",SUM(Y85:AA85)+IF(Setup!$I$15="No",0,AB85))</f>
        <v/>
      </c>
      <c r="AD85" s="191"/>
      <c r="AE85" s="191"/>
      <c r="AF85" s="191"/>
      <c r="AG85" s="191"/>
      <c r="AH85" s="254" t="str">
        <f>IF(COUNTBLANK(AD85:AG85)=4,"",SUM(AD85:AF85)+IF(Setup!$I$15="No",0,AG85))</f>
        <v/>
      </c>
      <c r="AI85" s="191"/>
      <c r="AJ85" s="191"/>
      <c r="AK85" s="191"/>
      <c r="AL85" s="191"/>
      <c r="AM85" s="254" t="str">
        <f>IF(COUNTBLANK(AI85:AL85)=4,"",SUM(AI85:AK85)+IF(Setup!$I$15="No",0,AL85))</f>
        <v/>
      </c>
      <c r="AN85" s="191"/>
      <c r="AO85" s="191"/>
      <c r="AP85" s="191"/>
      <c r="AQ85" s="191"/>
      <c r="AR85" s="254" t="str">
        <f>IF(COUNTBLANK(AN85:AQ85)=4,"",SUM(AN85:AP85)+IF(Setup!$I$15="No",0,AQ85))</f>
        <v/>
      </c>
      <c r="AS85" s="191"/>
      <c r="AT85" s="191"/>
      <c r="AU85" s="191"/>
      <c r="AV85" s="191"/>
      <c r="AW85" s="254" t="str">
        <f>IF(COUNTBLANK(AS85:AV85)=4,"",SUM(AS85:AU85)+IF(Setup!$I$15="No",0,AV85))</f>
        <v/>
      </c>
      <c r="AX85" s="191"/>
      <c r="AY85" s="191"/>
      <c r="AZ85" s="191"/>
      <c r="BA85" s="191"/>
      <c r="BB85" s="254" t="str">
        <f>IF(COUNTBLANK(AX85:BA85)=4,"",SUM(AX85:AZ85)+IF(Setup!$I$15="No",0,BA85))</f>
        <v/>
      </c>
      <c r="BC85" s="258" t="str">
        <f ca="1">IF('Demand background (hide)'!A76=Num_Modalities,"",SUM(Demand!I85))</f>
        <v/>
      </c>
      <c r="BD85" s="258" t="str">
        <f ca="1">IF(AND(A85&lt;=MaxRows,BE85&lt;&gt;"Yes"),'Demand background (hide)'!X76+IF(Setup!$I$15="Yes",'Demand background (hide)'!AJ76,0),"")</f>
        <v/>
      </c>
      <c r="BE85" s="208"/>
    </row>
    <row r="86" spans="1:57" ht="15" x14ac:dyDescent="0.25">
      <c r="A86" t="str">
        <f t="shared" ca="1" si="4"/>
        <v/>
      </c>
      <c r="B86" s="263" t="str">
        <f t="shared" ca="1" si="5"/>
        <v xml:space="preserve"> </v>
      </c>
      <c r="C86" s="264" t="str">
        <f t="shared" ca="1" si="6"/>
        <v/>
      </c>
      <c r="D86" s="264" t="str">
        <f t="shared" ca="1" si="7"/>
        <v/>
      </c>
      <c r="E86" s="191"/>
      <c r="F86" s="191"/>
      <c r="G86" s="192"/>
      <c r="H86" s="191"/>
      <c r="I86" s="250" t="str">
        <f>IF(COUNTBLANK(E86:H86)=4,"",SUM(E86:G86)+IF(Setup!$I$15="No",0,H86))</f>
        <v/>
      </c>
      <c r="J86" s="191"/>
      <c r="K86" s="191"/>
      <c r="L86" s="191"/>
      <c r="M86" s="191"/>
      <c r="N86" s="254" t="str">
        <f>IF(COUNTBLANK(J86:M86)=4,"",SUM(J86:L86)+IF(Setup!$I$15="No",0,M86))</f>
        <v/>
      </c>
      <c r="O86" s="191"/>
      <c r="P86" s="191"/>
      <c r="Q86" s="191"/>
      <c r="R86" s="191"/>
      <c r="S86" s="254" t="str">
        <f>IF(COUNTBLANK(O86:R86)=4,"",SUM(O86:Q86)+IF(Setup!$I$15="No",0,R86))</f>
        <v/>
      </c>
      <c r="T86" s="191"/>
      <c r="U86" s="191"/>
      <c r="V86" s="191"/>
      <c r="W86" s="191"/>
      <c r="X86" s="254" t="str">
        <f>IF(COUNTBLANK(T86:W86)=4,"",SUM(T86:V86)+IF(Setup!$I$15="No",0,W86))</f>
        <v/>
      </c>
      <c r="Y86" s="191"/>
      <c r="Z86" s="191"/>
      <c r="AA86" s="191"/>
      <c r="AB86" s="191"/>
      <c r="AC86" s="254" t="str">
        <f>IF(COUNTBLANK(Y86:AB86)=4,"",SUM(Y86:AA86)+IF(Setup!$I$15="No",0,AB86))</f>
        <v/>
      </c>
      <c r="AD86" s="191"/>
      <c r="AE86" s="191"/>
      <c r="AF86" s="191"/>
      <c r="AG86" s="191"/>
      <c r="AH86" s="254" t="str">
        <f>IF(COUNTBLANK(AD86:AG86)=4,"",SUM(AD86:AF86)+IF(Setup!$I$15="No",0,AG86))</f>
        <v/>
      </c>
      <c r="AI86" s="191"/>
      <c r="AJ86" s="191"/>
      <c r="AK86" s="191"/>
      <c r="AL86" s="191"/>
      <c r="AM86" s="254" t="str">
        <f>IF(COUNTBLANK(AI86:AL86)=4,"",SUM(AI86:AK86)+IF(Setup!$I$15="No",0,AL86))</f>
        <v/>
      </c>
      <c r="AN86" s="191"/>
      <c r="AO86" s="191"/>
      <c r="AP86" s="191"/>
      <c r="AQ86" s="191"/>
      <c r="AR86" s="254" t="str">
        <f>IF(COUNTBLANK(AN86:AQ86)=4,"",SUM(AN86:AP86)+IF(Setup!$I$15="No",0,AQ86))</f>
        <v/>
      </c>
      <c r="AS86" s="191"/>
      <c r="AT86" s="191"/>
      <c r="AU86" s="191"/>
      <c r="AV86" s="191"/>
      <c r="AW86" s="254" t="str">
        <f>IF(COUNTBLANK(AS86:AV86)=4,"",SUM(AS86:AU86)+IF(Setup!$I$15="No",0,AV86))</f>
        <v/>
      </c>
      <c r="AX86" s="191"/>
      <c r="AY86" s="191"/>
      <c r="AZ86" s="191"/>
      <c r="BA86" s="191"/>
      <c r="BB86" s="254" t="str">
        <f>IF(COUNTBLANK(AX86:BA86)=4,"",SUM(AX86:AZ86)+IF(Setup!$I$15="No",0,BA86))</f>
        <v/>
      </c>
      <c r="BC86" s="258" t="str">
        <f ca="1">IF('Demand background (hide)'!A77=Num_Modalities,"",SUM(Demand!I86))</f>
        <v/>
      </c>
      <c r="BD86" s="258" t="str">
        <f ca="1">IF(AND(A86&lt;=MaxRows,BE86&lt;&gt;"Yes"),'Demand background (hide)'!X77+IF(Setup!$I$15="Yes",'Demand background (hide)'!AJ77,0),"")</f>
        <v/>
      </c>
      <c r="BE86" s="208"/>
    </row>
    <row r="87" spans="1:57" ht="15" x14ac:dyDescent="0.25">
      <c r="A87" t="str">
        <f t="shared" ca="1" si="4"/>
        <v/>
      </c>
      <c r="B87" s="263" t="str">
        <f t="shared" ca="1" si="5"/>
        <v xml:space="preserve"> </v>
      </c>
      <c r="C87" s="264" t="str">
        <f t="shared" ca="1" si="6"/>
        <v/>
      </c>
      <c r="D87" s="264" t="str">
        <f t="shared" ca="1" si="7"/>
        <v/>
      </c>
      <c r="E87" s="191"/>
      <c r="F87" s="191"/>
      <c r="G87" s="192"/>
      <c r="H87" s="191"/>
      <c r="I87" s="250" t="str">
        <f>IF(COUNTBLANK(E87:H87)=4,"",SUM(E87:G87)+IF(Setup!$I$15="No",0,H87))</f>
        <v/>
      </c>
      <c r="J87" s="191"/>
      <c r="K87" s="191"/>
      <c r="L87" s="191"/>
      <c r="M87" s="191"/>
      <c r="N87" s="254" t="str">
        <f>IF(COUNTBLANK(J87:M87)=4,"",SUM(J87:L87)+IF(Setup!$I$15="No",0,M87))</f>
        <v/>
      </c>
      <c r="O87" s="191"/>
      <c r="P87" s="191"/>
      <c r="Q87" s="191"/>
      <c r="R87" s="191"/>
      <c r="S87" s="254" t="str">
        <f>IF(COUNTBLANK(O87:R87)=4,"",SUM(O87:Q87)+IF(Setup!$I$15="No",0,R87))</f>
        <v/>
      </c>
      <c r="T87" s="191"/>
      <c r="U87" s="191"/>
      <c r="V87" s="191"/>
      <c r="W87" s="191"/>
      <c r="X87" s="254" t="str">
        <f>IF(COUNTBLANK(T87:W87)=4,"",SUM(T87:V87)+IF(Setup!$I$15="No",0,W87))</f>
        <v/>
      </c>
      <c r="Y87" s="191"/>
      <c r="Z87" s="191"/>
      <c r="AA87" s="191"/>
      <c r="AB87" s="191"/>
      <c r="AC87" s="254" t="str">
        <f>IF(COUNTBLANK(Y87:AB87)=4,"",SUM(Y87:AA87)+IF(Setup!$I$15="No",0,AB87))</f>
        <v/>
      </c>
      <c r="AD87" s="191"/>
      <c r="AE87" s="191"/>
      <c r="AF87" s="191"/>
      <c r="AG87" s="191"/>
      <c r="AH87" s="254" t="str">
        <f>IF(COUNTBLANK(AD87:AG87)=4,"",SUM(AD87:AF87)+IF(Setup!$I$15="No",0,AG87))</f>
        <v/>
      </c>
      <c r="AI87" s="191"/>
      <c r="AJ87" s="191"/>
      <c r="AK87" s="191"/>
      <c r="AL87" s="191"/>
      <c r="AM87" s="254" t="str">
        <f>IF(COUNTBLANK(AI87:AL87)=4,"",SUM(AI87:AK87)+IF(Setup!$I$15="No",0,AL87))</f>
        <v/>
      </c>
      <c r="AN87" s="191"/>
      <c r="AO87" s="191"/>
      <c r="AP87" s="191"/>
      <c r="AQ87" s="191"/>
      <c r="AR87" s="254" t="str">
        <f>IF(COUNTBLANK(AN87:AQ87)=4,"",SUM(AN87:AP87)+IF(Setup!$I$15="No",0,AQ87))</f>
        <v/>
      </c>
      <c r="AS87" s="191"/>
      <c r="AT87" s="191"/>
      <c r="AU87" s="191"/>
      <c r="AV87" s="191"/>
      <c r="AW87" s="254" t="str">
        <f>IF(COUNTBLANK(AS87:AV87)=4,"",SUM(AS87:AU87)+IF(Setup!$I$15="No",0,AV87))</f>
        <v/>
      </c>
      <c r="AX87" s="191"/>
      <c r="AY87" s="191"/>
      <c r="AZ87" s="191"/>
      <c r="BA87" s="191"/>
      <c r="BB87" s="254" t="str">
        <f>IF(COUNTBLANK(AX87:BA87)=4,"",SUM(AX87:AZ87)+IF(Setup!$I$15="No",0,BA87))</f>
        <v/>
      </c>
      <c r="BC87" s="258" t="str">
        <f ca="1">IF('Demand background (hide)'!A78=Num_Modalities,"",SUM(Demand!I87))</f>
        <v/>
      </c>
      <c r="BD87" s="258" t="str">
        <f ca="1">IF(AND(A87&lt;=MaxRows,BE87&lt;&gt;"Yes"),'Demand background (hide)'!X78+IF(Setup!$I$15="Yes",'Demand background (hide)'!AJ78,0),"")</f>
        <v/>
      </c>
      <c r="BE87" s="208"/>
    </row>
    <row r="88" spans="1:57" ht="15" x14ac:dyDescent="0.25">
      <c r="A88" t="str">
        <f t="shared" ca="1" si="4"/>
        <v/>
      </c>
      <c r="B88" s="263" t="str">
        <f t="shared" ca="1" si="5"/>
        <v xml:space="preserve"> </v>
      </c>
      <c r="C88" s="264" t="str">
        <f t="shared" ca="1" si="6"/>
        <v/>
      </c>
      <c r="D88" s="264" t="str">
        <f t="shared" ca="1" si="7"/>
        <v/>
      </c>
      <c r="E88" s="191"/>
      <c r="F88" s="191"/>
      <c r="G88" s="192"/>
      <c r="H88" s="191"/>
      <c r="I88" s="250" t="str">
        <f>IF(COUNTBLANK(E88:H88)=4,"",SUM(E88:G88)+IF(Setup!$I$15="No",0,H88))</f>
        <v/>
      </c>
      <c r="J88" s="191"/>
      <c r="K88" s="191"/>
      <c r="L88" s="191"/>
      <c r="M88" s="191"/>
      <c r="N88" s="254" t="str">
        <f>IF(COUNTBLANK(J88:M88)=4,"",SUM(J88:L88)+IF(Setup!$I$15="No",0,M88))</f>
        <v/>
      </c>
      <c r="O88" s="191"/>
      <c r="P88" s="191"/>
      <c r="Q88" s="191"/>
      <c r="R88" s="191"/>
      <c r="S88" s="254" t="str">
        <f>IF(COUNTBLANK(O88:R88)=4,"",SUM(O88:Q88)+IF(Setup!$I$15="No",0,R88))</f>
        <v/>
      </c>
      <c r="T88" s="191"/>
      <c r="U88" s="191"/>
      <c r="V88" s="191"/>
      <c r="W88" s="191"/>
      <c r="X88" s="254" t="str">
        <f>IF(COUNTBLANK(T88:W88)=4,"",SUM(T88:V88)+IF(Setup!$I$15="No",0,W88))</f>
        <v/>
      </c>
      <c r="Y88" s="191"/>
      <c r="Z88" s="191"/>
      <c r="AA88" s="191"/>
      <c r="AB88" s="191"/>
      <c r="AC88" s="254" t="str">
        <f>IF(COUNTBLANK(Y88:AB88)=4,"",SUM(Y88:AA88)+IF(Setup!$I$15="No",0,AB88))</f>
        <v/>
      </c>
      <c r="AD88" s="191"/>
      <c r="AE88" s="191"/>
      <c r="AF88" s="191"/>
      <c r="AG88" s="191"/>
      <c r="AH88" s="254" t="str">
        <f>IF(COUNTBLANK(AD88:AG88)=4,"",SUM(AD88:AF88)+IF(Setup!$I$15="No",0,AG88))</f>
        <v/>
      </c>
      <c r="AI88" s="191"/>
      <c r="AJ88" s="191"/>
      <c r="AK88" s="191"/>
      <c r="AL88" s="191"/>
      <c r="AM88" s="254" t="str">
        <f>IF(COUNTBLANK(AI88:AL88)=4,"",SUM(AI88:AK88)+IF(Setup!$I$15="No",0,AL88))</f>
        <v/>
      </c>
      <c r="AN88" s="191"/>
      <c r="AO88" s="191"/>
      <c r="AP88" s="191"/>
      <c r="AQ88" s="191"/>
      <c r="AR88" s="254" t="str">
        <f>IF(COUNTBLANK(AN88:AQ88)=4,"",SUM(AN88:AP88)+IF(Setup!$I$15="No",0,AQ88))</f>
        <v/>
      </c>
      <c r="AS88" s="191"/>
      <c r="AT88" s="191"/>
      <c r="AU88" s="191"/>
      <c r="AV88" s="191"/>
      <c r="AW88" s="254" t="str">
        <f>IF(COUNTBLANK(AS88:AV88)=4,"",SUM(AS88:AU88)+IF(Setup!$I$15="No",0,AV88))</f>
        <v/>
      </c>
      <c r="AX88" s="191"/>
      <c r="AY88" s="191"/>
      <c r="AZ88" s="191"/>
      <c r="BA88" s="191"/>
      <c r="BB88" s="254" t="str">
        <f>IF(COUNTBLANK(AX88:BA88)=4,"",SUM(AX88:AZ88)+IF(Setup!$I$15="No",0,BA88))</f>
        <v/>
      </c>
      <c r="BC88" s="258" t="str">
        <f ca="1">IF('Demand background (hide)'!A79=Num_Modalities,"",SUM(Demand!I88))</f>
        <v/>
      </c>
      <c r="BD88" s="258" t="str">
        <f ca="1">IF(AND(A88&lt;=MaxRows,BE88&lt;&gt;"Yes"),'Demand background (hide)'!X79+IF(Setup!$I$15="Yes",'Demand background (hide)'!AJ79,0),"")</f>
        <v/>
      </c>
      <c r="BE88" s="208"/>
    </row>
    <row r="89" spans="1:57" ht="15" x14ac:dyDescent="0.25">
      <c r="A89" t="str">
        <f t="shared" ca="1" si="4"/>
        <v/>
      </c>
      <c r="B89" s="263" t="str">
        <f t="shared" ca="1" si="5"/>
        <v xml:space="preserve"> </v>
      </c>
      <c r="C89" s="264" t="str">
        <f t="shared" ca="1" si="6"/>
        <v/>
      </c>
      <c r="D89" s="264" t="str">
        <f t="shared" ca="1" si="7"/>
        <v/>
      </c>
      <c r="E89" s="191"/>
      <c r="F89" s="191"/>
      <c r="G89" s="192"/>
      <c r="H89" s="191"/>
      <c r="I89" s="250" t="str">
        <f>IF(COUNTBLANK(E89:H89)=4,"",SUM(E89:G89)+IF(Setup!$I$15="No",0,H89))</f>
        <v/>
      </c>
      <c r="J89" s="191"/>
      <c r="K89" s="191"/>
      <c r="L89" s="191"/>
      <c r="M89" s="191"/>
      <c r="N89" s="254" t="str">
        <f>IF(COUNTBLANK(J89:M89)=4,"",SUM(J89:L89)+IF(Setup!$I$15="No",0,M89))</f>
        <v/>
      </c>
      <c r="O89" s="191"/>
      <c r="P89" s="191"/>
      <c r="Q89" s="191"/>
      <c r="R89" s="191"/>
      <c r="S89" s="254" t="str">
        <f>IF(COUNTBLANK(O89:R89)=4,"",SUM(O89:Q89)+IF(Setup!$I$15="No",0,R89))</f>
        <v/>
      </c>
      <c r="T89" s="191"/>
      <c r="U89" s="191"/>
      <c r="V89" s="191"/>
      <c r="W89" s="191"/>
      <c r="X89" s="254" t="str">
        <f>IF(COUNTBLANK(T89:W89)=4,"",SUM(T89:V89)+IF(Setup!$I$15="No",0,W89))</f>
        <v/>
      </c>
      <c r="Y89" s="191"/>
      <c r="Z89" s="191"/>
      <c r="AA89" s="191"/>
      <c r="AB89" s="191"/>
      <c r="AC89" s="254" t="str">
        <f>IF(COUNTBLANK(Y89:AB89)=4,"",SUM(Y89:AA89)+IF(Setup!$I$15="No",0,AB89))</f>
        <v/>
      </c>
      <c r="AD89" s="191"/>
      <c r="AE89" s="191"/>
      <c r="AF89" s="191"/>
      <c r="AG89" s="191"/>
      <c r="AH89" s="254" t="str">
        <f>IF(COUNTBLANK(AD89:AG89)=4,"",SUM(AD89:AF89)+IF(Setup!$I$15="No",0,AG89))</f>
        <v/>
      </c>
      <c r="AI89" s="191"/>
      <c r="AJ89" s="191"/>
      <c r="AK89" s="191"/>
      <c r="AL89" s="191"/>
      <c r="AM89" s="254" t="str">
        <f>IF(COUNTBLANK(AI89:AL89)=4,"",SUM(AI89:AK89)+IF(Setup!$I$15="No",0,AL89))</f>
        <v/>
      </c>
      <c r="AN89" s="191"/>
      <c r="AO89" s="191"/>
      <c r="AP89" s="191"/>
      <c r="AQ89" s="191"/>
      <c r="AR89" s="254" t="str">
        <f>IF(COUNTBLANK(AN89:AQ89)=4,"",SUM(AN89:AP89)+IF(Setup!$I$15="No",0,AQ89))</f>
        <v/>
      </c>
      <c r="AS89" s="191"/>
      <c r="AT89" s="191"/>
      <c r="AU89" s="191"/>
      <c r="AV89" s="191"/>
      <c r="AW89" s="254" t="str">
        <f>IF(COUNTBLANK(AS89:AV89)=4,"",SUM(AS89:AU89)+IF(Setup!$I$15="No",0,AV89))</f>
        <v/>
      </c>
      <c r="AX89" s="191"/>
      <c r="AY89" s="191"/>
      <c r="AZ89" s="191"/>
      <c r="BA89" s="191"/>
      <c r="BB89" s="254" t="str">
        <f>IF(COUNTBLANK(AX89:BA89)=4,"",SUM(AX89:AZ89)+IF(Setup!$I$15="No",0,BA89))</f>
        <v/>
      </c>
      <c r="BC89" s="258" t="str">
        <f ca="1">IF('Demand background (hide)'!A80=Num_Modalities,"",SUM(Demand!I89))</f>
        <v/>
      </c>
      <c r="BD89" s="258" t="str">
        <f ca="1">IF(AND(A89&lt;=MaxRows,BE89&lt;&gt;"Yes"),'Demand background (hide)'!X80+IF(Setup!$I$15="Yes",'Demand background (hide)'!AJ80,0),"")</f>
        <v/>
      </c>
      <c r="BE89" s="208"/>
    </row>
    <row r="90" spans="1:57" ht="15" x14ac:dyDescent="0.25">
      <c r="A90" t="str">
        <f t="shared" ca="1" si="4"/>
        <v/>
      </c>
      <c r="B90" s="263" t="str">
        <f t="shared" ca="1" si="5"/>
        <v xml:space="preserve"> </v>
      </c>
      <c r="C90" s="264" t="str">
        <f t="shared" ca="1" si="6"/>
        <v/>
      </c>
      <c r="D90" s="264" t="str">
        <f t="shared" ca="1" si="7"/>
        <v/>
      </c>
      <c r="E90" s="191"/>
      <c r="F90" s="191"/>
      <c r="G90" s="192"/>
      <c r="H90" s="191"/>
      <c r="I90" s="250" t="str">
        <f>IF(COUNTBLANK(E90:H90)=4,"",SUM(E90:G90)+IF(Setup!$I$15="No",0,H90))</f>
        <v/>
      </c>
      <c r="J90" s="191"/>
      <c r="K90" s="191"/>
      <c r="L90" s="191"/>
      <c r="M90" s="191"/>
      <c r="N90" s="254" t="str">
        <f>IF(COUNTBLANK(J90:M90)=4,"",SUM(J90:L90)+IF(Setup!$I$15="No",0,M90))</f>
        <v/>
      </c>
      <c r="O90" s="191"/>
      <c r="P90" s="191"/>
      <c r="Q90" s="191"/>
      <c r="R90" s="191"/>
      <c r="S90" s="254" t="str">
        <f>IF(COUNTBLANK(O90:R90)=4,"",SUM(O90:Q90)+IF(Setup!$I$15="No",0,R90))</f>
        <v/>
      </c>
      <c r="T90" s="191"/>
      <c r="U90" s="191"/>
      <c r="V90" s="191"/>
      <c r="W90" s="191"/>
      <c r="X90" s="254" t="str">
        <f>IF(COUNTBLANK(T90:W90)=4,"",SUM(T90:V90)+IF(Setup!$I$15="No",0,W90))</f>
        <v/>
      </c>
      <c r="Y90" s="191"/>
      <c r="Z90" s="191"/>
      <c r="AA90" s="191"/>
      <c r="AB90" s="191"/>
      <c r="AC90" s="254" t="str">
        <f>IF(COUNTBLANK(Y90:AB90)=4,"",SUM(Y90:AA90)+IF(Setup!$I$15="No",0,AB90))</f>
        <v/>
      </c>
      <c r="AD90" s="191"/>
      <c r="AE90" s="191"/>
      <c r="AF90" s="191"/>
      <c r="AG90" s="191"/>
      <c r="AH90" s="254" t="str">
        <f>IF(COUNTBLANK(AD90:AG90)=4,"",SUM(AD90:AF90)+IF(Setup!$I$15="No",0,AG90))</f>
        <v/>
      </c>
      <c r="AI90" s="191"/>
      <c r="AJ90" s="191"/>
      <c r="AK90" s="191"/>
      <c r="AL90" s="191"/>
      <c r="AM90" s="254" t="str">
        <f>IF(COUNTBLANK(AI90:AL90)=4,"",SUM(AI90:AK90)+IF(Setup!$I$15="No",0,AL90))</f>
        <v/>
      </c>
      <c r="AN90" s="191"/>
      <c r="AO90" s="191"/>
      <c r="AP90" s="191"/>
      <c r="AQ90" s="191"/>
      <c r="AR90" s="254" t="str">
        <f>IF(COUNTBLANK(AN90:AQ90)=4,"",SUM(AN90:AP90)+IF(Setup!$I$15="No",0,AQ90))</f>
        <v/>
      </c>
      <c r="AS90" s="191"/>
      <c r="AT90" s="191"/>
      <c r="AU90" s="191"/>
      <c r="AV90" s="191"/>
      <c r="AW90" s="254" t="str">
        <f>IF(COUNTBLANK(AS90:AV90)=4,"",SUM(AS90:AU90)+IF(Setup!$I$15="No",0,AV90))</f>
        <v/>
      </c>
      <c r="AX90" s="191"/>
      <c r="AY90" s="191"/>
      <c r="AZ90" s="191"/>
      <c r="BA90" s="191"/>
      <c r="BB90" s="254" t="str">
        <f>IF(COUNTBLANK(AX90:BA90)=4,"",SUM(AX90:AZ90)+IF(Setup!$I$15="No",0,BA90))</f>
        <v/>
      </c>
      <c r="BC90" s="258" t="str">
        <f ca="1">IF('Demand background (hide)'!A81=Num_Modalities,"",SUM(Demand!I90))</f>
        <v/>
      </c>
      <c r="BD90" s="258" t="str">
        <f ca="1">IF(AND(A90&lt;=MaxRows,BE90&lt;&gt;"Yes"),'Demand background (hide)'!X81+IF(Setup!$I$15="Yes",'Demand background (hide)'!AJ81,0),"")</f>
        <v/>
      </c>
      <c r="BE90" s="208"/>
    </row>
    <row r="91" spans="1:57" ht="15" x14ac:dyDescent="0.25">
      <c r="A91" t="str">
        <f t="shared" ca="1" si="4"/>
        <v/>
      </c>
      <c r="B91" s="263" t="str">
        <f t="shared" ca="1" si="5"/>
        <v xml:space="preserve"> </v>
      </c>
      <c r="C91" s="264" t="str">
        <f t="shared" ca="1" si="6"/>
        <v/>
      </c>
      <c r="D91" s="264" t="str">
        <f t="shared" ca="1" si="7"/>
        <v/>
      </c>
      <c r="E91" s="191"/>
      <c r="F91" s="191"/>
      <c r="G91" s="192"/>
      <c r="H91" s="191"/>
      <c r="I91" s="250" t="str">
        <f>IF(COUNTBLANK(E91:H91)=4,"",SUM(E91:G91)+IF(Setup!$I$15="No",0,H91))</f>
        <v/>
      </c>
      <c r="J91" s="191"/>
      <c r="K91" s="191"/>
      <c r="L91" s="191"/>
      <c r="M91" s="191"/>
      <c r="N91" s="254" t="str">
        <f>IF(COUNTBLANK(J91:M91)=4,"",SUM(J91:L91)+IF(Setup!$I$15="No",0,M91))</f>
        <v/>
      </c>
      <c r="O91" s="191"/>
      <c r="P91" s="191"/>
      <c r="Q91" s="191"/>
      <c r="R91" s="191"/>
      <c r="S91" s="254" t="str">
        <f>IF(COUNTBLANK(O91:R91)=4,"",SUM(O91:Q91)+IF(Setup!$I$15="No",0,R91))</f>
        <v/>
      </c>
      <c r="T91" s="191"/>
      <c r="U91" s="191"/>
      <c r="V91" s="191"/>
      <c r="W91" s="191"/>
      <c r="X91" s="254" t="str">
        <f>IF(COUNTBLANK(T91:W91)=4,"",SUM(T91:V91)+IF(Setup!$I$15="No",0,W91))</f>
        <v/>
      </c>
      <c r="Y91" s="191"/>
      <c r="Z91" s="191"/>
      <c r="AA91" s="191"/>
      <c r="AB91" s="191"/>
      <c r="AC91" s="254" t="str">
        <f>IF(COUNTBLANK(Y91:AB91)=4,"",SUM(Y91:AA91)+IF(Setup!$I$15="No",0,AB91))</f>
        <v/>
      </c>
      <c r="AD91" s="191"/>
      <c r="AE91" s="191"/>
      <c r="AF91" s="191"/>
      <c r="AG91" s="191"/>
      <c r="AH91" s="254" t="str">
        <f>IF(COUNTBLANK(AD91:AG91)=4,"",SUM(AD91:AF91)+IF(Setup!$I$15="No",0,AG91))</f>
        <v/>
      </c>
      <c r="AI91" s="191"/>
      <c r="AJ91" s="191"/>
      <c r="AK91" s="191"/>
      <c r="AL91" s="191"/>
      <c r="AM91" s="254" t="str">
        <f>IF(COUNTBLANK(AI91:AL91)=4,"",SUM(AI91:AK91)+IF(Setup!$I$15="No",0,AL91))</f>
        <v/>
      </c>
      <c r="AN91" s="191"/>
      <c r="AO91" s="191"/>
      <c r="AP91" s="191"/>
      <c r="AQ91" s="191"/>
      <c r="AR91" s="254" t="str">
        <f>IF(COUNTBLANK(AN91:AQ91)=4,"",SUM(AN91:AP91)+IF(Setup!$I$15="No",0,AQ91))</f>
        <v/>
      </c>
      <c r="AS91" s="191"/>
      <c r="AT91" s="191"/>
      <c r="AU91" s="191"/>
      <c r="AV91" s="191"/>
      <c r="AW91" s="254" t="str">
        <f>IF(COUNTBLANK(AS91:AV91)=4,"",SUM(AS91:AU91)+IF(Setup!$I$15="No",0,AV91))</f>
        <v/>
      </c>
      <c r="AX91" s="191"/>
      <c r="AY91" s="191"/>
      <c r="AZ91" s="191"/>
      <c r="BA91" s="191"/>
      <c r="BB91" s="254" t="str">
        <f>IF(COUNTBLANK(AX91:BA91)=4,"",SUM(AX91:AZ91)+IF(Setup!$I$15="No",0,BA91))</f>
        <v/>
      </c>
      <c r="BC91" s="258" t="str">
        <f ca="1">IF('Demand background (hide)'!A82=Num_Modalities,"",SUM(Demand!I91))</f>
        <v/>
      </c>
      <c r="BD91" s="258" t="str">
        <f ca="1">IF(AND(A91&lt;=MaxRows,BE91&lt;&gt;"Yes"),'Demand background (hide)'!X82+IF(Setup!$I$15="Yes",'Demand background (hide)'!AJ82,0),"")</f>
        <v/>
      </c>
      <c r="BE91" s="208"/>
    </row>
    <row r="92" spans="1:57" ht="15" x14ac:dyDescent="0.25">
      <c r="A92" t="str">
        <f t="shared" ca="1" si="4"/>
        <v/>
      </c>
      <c r="B92" s="263" t="str">
        <f t="shared" ca="1" si="5"/>
        <v xml:space="preserve"> </v>
      </c>
      <c r="C92" s="264" t="str">
        <f t="shared" ca="1" si="6"/>
        <v/>
      </c>
      <c r="D92" s="264" t="str">
        <f t="shared" ca="1" si="7"/>
        <v/>
      </c>
      <c r="E92" s="191"/>
      <c r="F92" s="191"/>
      <c r="G92" s="192"/>
      <c r="H92" s="191"/>
      <c r="I92" s="250" t="str">
        <f>IF(COUNTBLANK(E92:H92)=4,"",SUM(E92:G92)+IF(Setup!$I$15="No",0,H92))</f>
        <v/>
      </c>
      <c r="J92" s="191"/>
      <c r="K92" s="191"/>
      <c r="L92" s="191"/>
      <c r="M92" s="191"/>
      <c r="N92" s="254" t="str">
        <f>IF(COUNTBLANK(J92:M92)=4,"",SUM(J92:L92)+IF(Setup!$I$15="No",0,M92))</f>
        <v/>
      </c>
      <c r="O92" s="191"/>
      <c r="P92" s="191"/>
      <c r="Q92" s="191"/>
      <c r="R92" s="191"/>
      <c r="S92" s="254" t="str">
        <f>IF(COUNTBLANK(O92:R92)=4,"",SUM(O92:Q92)+IF(Setup!$I$15="No",0,R92))</f>
        <v/>
      </c>
      <c r="T92" s="191"/>
      <c r="U92" s="191"/>
      <c r="V92" s="191"/>
      <c r="W92" s="191"/>
      <c r="X92" s="254" t="str">
        <f>IF(COUNTBLANK(T92:W92)=4,"",SUM(T92:V92)+IF(Setup!$I$15="No",0,W92))</f>
        <v/>
      </c>
      <c r="Y92" s="191"/>
      <c r="Z92" s="191"/>
      <c r="AA92" s="191"/>
      <c r="AB92" s="191"/>
      <c r="AC92" s="254" t="str">
        <f>IF(COUNTBLANK(Y92:AB92)=4,"",SUM(Y92:AA92)+IF(Setup!$I$15="No",0,AB92))</f>
        <v/>
      </c>
      <c r="AD92" s="191"/>
      <c r="AE92" s="191"/>
      <c r="AF92" s="191"/>
      <c r="AG92" s="191"/>
      <c r="AH92" s="254" t="str">
        <f>IF(COUNTBLANK(AD92:AG92)=4,"",SUM(AD92:AF92)+IF(Setup!$I$15="No",0,AG92))</f>
        <v/>
      </c>
      <c r="AI92" s="191"/>
      <c r="AJ92" s="191"/>
      <c r="AK92" s="191"/>
      <c r="AL92" s="191"/>
      <c r="AM92" s="254" t="str">
        <f>IF(COUNTBLANK(AI92:AL92)=4,"",SUM(AI92:AK92)+IF(Setup!$I$15="No",0,AL92))</f>
        <v/>
      </c>
      <c r="AN92" s="191"/>
      <c r="AO92" s="191"/>
      <c r="AP92" s="191"/>
      <c r="AQ92" s="191"/>
      <c r="AR92" s="254" t="str">
        <f>IF(COUNTBLANK(AN92:AQ92)=4,"",SUM(AN92:AP92)+IF(Setup!$I$15="No",0,AQ92))</f>
        <v/>
      </c>
      <c r="AS92" s="191"/>
      <c r="AT92" s="191"/>
      <c r="AU92" s="191"/>
      <c r="AV92" s="191"/>
      <c r="AW92" s="254" t="str">
        <f>IF(COUNTBLANK(AS92:AV92)=4,"",SUM(AS92:AU92)+IF(Setup!$I$15="No",0,AV92))</f>
        <v/>
      </c>
      <c r="AX92" s="191"/>
      <c r="AY92" s="191"/>
      <c r="AZ92" s="191"/>
      <c r="BA92" s="191"/>
      <c r="BB92" s="254" t="str">
        <f>IF(COUNTBLANK(AX92:BA92)=4,"",SUM(AX92:AZ92)+IF(Setup!$I$15="No",0,BA92))</f>
        <v/>
      </c>
      <c r="BC92" s="258" t="str">
        <f ca="1">IF('Demand background (hide)'!A83=Num_Modalities,"",SUM(Demand!I92))</f>
        <v/>
      </c>
      <c r="BD92" s="258" t="str">
        <f ca="1">IF(AND(A92&lt;=MaxRows,BE92&lt;&gt;"Yes"),'Demand background (hide)'!X83+IF(Setup!$I$15="Yes",'Demand background (hide)'!AJ83,0),"")</f>
        <v/>
      </c>
      <c r="BE92" s="208"/>
    </row>
    <row r="93" spans="1:57" ht="15" x14ac:dyDescent="0.25">
      <c r="A93" t="str">
        <f t="shared" ca="1" si="4"/>
        <v/>
      </c>
      <c r="B93" s="263" t="str">
        <f t="shared" ca="1" si="5"/>
        <v xml:space="preserve"> </v>
      </c>
      <c r="C93" s="264" t="str">
        <f t="shared" ca="1" si="6"/>
        <v/>
      </c>
      <c r="D93" s="264" t="str">
        <f t="shared" ca="1" si="7"/>
        <v/>
      </c>
      <c r="E93" s="191"/>
      <c r="F93" s="191"/>
      <c r="G93" s="192"/>
      <c r="H93" s="191"/>
      <c r="I93" s="250" t="str">
        <f>IF(COUNTBLANK(E93:H93)=4,"",SUM(E93:G93)+IF(Setup!$I$15="No",0,H93))</f>
        <v/>
      </c>
      <c r="J93" s="191"/>
      <c r="K93" s="191"/>
      <c r="L93" s="191"/>
      <c r="M93" s="191"/>
      <c r="N93" s="254" t="str">
        <f>IF(COUNTBLANK(J93:M93)=4,"",SUM(J93:L93)+IF(Setup!$I$15="No",0,M93))</f>
        <v/>
      </c>
      <c r="O93" s="191"/>
      <c r="P93" s="191"/>
      <c r="Q93" s="191"/>
      <c r="R93" s="191"/>
      <c r="S93" s="254" t="str">
        <f>IF(COUNTBLANK(O93:R93)=4,"",SUM(O93:Q93)+IF(Setup!$I$15="No",0,R93))</f>
        <v/>
      </c>
      <c r="T93" s="191"/>
      <c r="U93" s="191"/>
      <c r="V93" s="191"/>
      <c r="W93" s="191"/>
      <c r="X93" s="254" t="str">
        <f>IF(COUNTBLANK(T93:W93)=4,"",SUM(T93:V93)+IF(Setup!$I$15="No",0,W93))</f>
        <v/>
      </c>
      <c r="Y93" s="191"/>
      <c r="Z93" s="191"/>
      <c r="AA93" s="191"/>
      <c r="AB93" s="191"/>
      <c r="AC93" s="254" t="str">
        <f>IF(COUNTBLANK(Y93:AB93)=4,"",SUM(Y93:AA93)+IF(Setup!$I$15="No",0,AB93))</f>
        <v/>
      </c>
      <c r="AD93" s="191"/>
      <c r="AE93" s="191"/>
      <c r="AF93" s="191"/>
      <c r="AG93" s="191"/>
      <c r="AH93" s="254" t="str">
        <f>IF(COUNTBLANK(AD93:AG93)=4,"",SUM(AD93:AF93)+IF(Setup!$I$15="No",0,AG93))</f>
        <v/>
      </c>
      <c r="AI93" s="191"/>
      <c r="AJ93" s="191"/>
      <c r="AK93" s="191"/>
      <c r="AL93" s="191"/>
      <c r="AM93" s="254" t="str">
        <f>IF(COUNTBLANK(AI93:AL93)=4,"",SUM(AI93:AK93)+IF(Setup!$I$15="No",0,AL93))</f>
        <v/>
      </c>
      <c r="AN93" s="191"/>
      <c r="AO93" s="191"/>
      <c r="AP93" s="191"/>
      <c r="AQ93" s="191"/>
      <c r="AR93" s="254" t="str">
        <f>IF(COUNTBLANK(AN93:AQ93)=4,"",SUM(AN93:AP93)+IF(Setup!$I$15="No",0,AQ93))</f>
        <v/>
      </c>
      <c r="AS93" s="191"/>
      <c r="AT93" s="191"/>
      <c r="AU93" s="191"/>
      <c r="AV93" s="191"/>
      <c r="AW93" s="254" t="str">
        <f>IF(COUNTBLANK(AS93:AV93)=4,"",SUM(AS93:AU93)+IF(Setup!$I$15="No",0,AV93))</f>
        <v/>
      </c>
      <c r="AX93" s="191"/>
      <c r="AY93" s="191"/>
      <c r="AZ93" s="191"/>
      <c r="BA93" s="191"/>
      <c r="BB93" s="254" t="str">
        <f>IF(COUNTBLANK(AX93:BA93)=4,"",SUM(AX93:AZ93)+IF(Setup!$I$15="No",0,BA93))</f>
        <v/>
      </c>
      <c r="BC93" s="258" t="str">
        <f ca="1">IF('Demand background (hide)'!A84=Num_Modalities,"",SUM(Demand!I93))</f>
        <v/>
      </c>
      <c r="BD93" s="258" t="str">
        <f ca="1">IF(AND(A93&lt;=MaxRows,BE93&lt;&gt;"Yes"),'Demand background (hide)'!X84+IF(Setup!$I$15="Yes",'Demand background (hide)'!AJ84,0),"")</f>
        <v/>
      </c>
      <c r="BE93" s="208"/>
    </row>
    <row r="94" spans="1:57" ht="15" x14ac:dyDescent="0.25">
      <c r="A94" t="str">
        <f t="shared" ca="1" si="4"/>
        <v/>
      </c>
      <c r="B94" s="263" t="str">
        <f t="shared" ca="1" si="5"/>
        <v xml:space="preserve"> </v>
      </c>
      <c r="C94" s="264" t="str">
        <f t="shared" ca="1" si="6"/>
        <v/>
      </c>
      <c r="D94" s="264" t="str">
        <f t="shared" ca="1" si="7"/>
        <v/>
      </c>
      <c r="E94" s="191"/>
      <c r="F94" s="191"/>
      <c r="G94" s="192"/>
      <c r="H94" s="191"/>
      <c r="I94" s="250" t="str">
        <f>IF(COUNTBLANK(E94:H94)=4,"",SUM(E94:G94)+IF(Setup!$I$15="No",0,H94))</f>
        <v/>
      </c>
      <c r="J94" s="191"/>
      <c r="K94" s="191"/>
      <c r="L94" s="191"/>
      <c r="M94" s="191"/>
      <c r="N94" s="254" t="str">
        <f>IF(COUNTBLANK(J94:M94)=4,"",SUM(J94:L94)+IF(Setup!$I$15="No",0,M94))</f>
        <v/>
      </c>
      <c r="O94" s="191"/>
      <c r="P94" s="191"/>
      <c r="Q94" s="191"/>
      <c r="R94" s="191"/>
      <c r="S94" s="254" t="str">
        <f>IF(COUNTBLANK(O94:R94)=4,"",SUM(O94:Q94)+IF(Setup!$I$15="No",0,R94))</f>
        <v/>
      </c>
      <c r="T94" s="191"/>
      <c r="U94" s="191"/>
      <c r="V94" s="191"/>
      <c r="W94" s="191"/>
      <c r="X94" s="254" t="str">
        <f>IF(COUNTBLANK(T94:W94)=4,"",SUM(T94:V94)+IF(Setup!$I$15="No",0,W94))</f>
        <v/>
      </c>
      <c r="Y94" s="191"/>
      <c r="Z94" s="191"/>
      <c r="AA94" s="191"/>
      <c r="AB94" s="191"/>
      <c r="AC94" s="254" t="str">
        <f>IF(COUNTBLANK(Y94:AB94)=4,"",SUM(Y94:AA94)+IF(Setup!$I$15="No",0,AB94))</f>
        <v/>
      </c>
      <c r="AD94" s="191"/>
      <c r="AE94" s="191"/>
      <c r="AF94" s="191"/>
      <c r="AG94" s="191"/>
      <c r="AH94" s="254" t="str">
        <f>IF(COUNTBLANK(AD94:AG94)=4,"",SUM(AD94:AF94)+IF(Setup!$I$15="No",0,AG94))</f>
        <v/>
      </c>
      <c r="AI94" s="191"/>
      <c r="AJ94" s="191"/>
      <c r="AK94" s="191"/>
      <c r="AL94" s="191"/>
      <c r="AM94" s="254" t="str">
        <f>IF(COUNTBLANK(AI94:AL94)=4,"",SUM(AI94:AK94)+IF(Setup!$I$15="No",0,AL94))</f>
        <v/>
      </c>
      <c r="AN94" s="191"/>
      <c r="AO94" s="191"/>
      <c r="AP94" s="191"/>
      <c r="AQ94" s="191"/>
      <c r="AR94" s="254" t="str">
        <f>IF(COUNTBLANK(AN94:AQ94)=4,"",SUM(AN94:AP94)+IF(Setup!$I$15="No",0,AQ94))</f>
        <v/>
      </c>
      <c r="AS94" s="191"/>
      <c r="AT94" s="191"/>
      <c r="AU94" s="191"/>
      <c r="AV94" s="191"/>
      <c r="AW94" s="254" t="str">
        <f>IF(COUNTBLANK(AS94:AV94)=4,"",SUM(AS94:AU94)+IF(Setup!$I$15="No",0,AV94))</f>
        <v/>
      </c>
      <c r="AX94" s="191"/>
      <c r="AY94" s="191"/>
      <c r="AZ94" s="191"/>
      <c r="BA94" s="191"/>
      <c r="BB94" s="254" t="str">
        <f>IF(COUNTBLANK(AX94:BA94)=4,"",SUM(AX94:AZ94)+IF(Setup!$I$15="No",0,BA94))</f>
        <v/>
      </c>
      <c r="BC94" s="258" t="str">
        <f ca="1">IF('Demand background (hide)'!A85=Num_Modalities,"",SUM(Demand!I94))</f>
        <v/>
      </c>
      <c r="BD94" s="258" t="str">
        <f ca="1">IF(AND(A94&lt;=MaxRows,BE94&lt;&gt;"Yes"),'Demand background (hide)'!X85+IF(Setup!$I$15="Yes",'Demand background (hide)'!AJ85,0),"")</f>
        <v/>
      </c>
      <c r="BE94" s="208"/>
    </row>
    <row r="95" spans="1:57" ht="15" x14ac:dyDescent="0.25">
      <c r="A95" t="str">
        <f t="shared" ca="1" si="4"/>
        <v/>
      </c>
      <c r="B95" s="263" t="str">
        <f t="shared" ca="1" si="5"/>
        <v xml:space="preserve"> </v>
      </c>
      <c r="C95" s="264" t="str">
        <f t="shared" ca="1" si="6"/>
        <v/>
      </c>
      <c r="D95" s="264" t="str">
        <f t="shared" ca="1" si="7"/>
        <v/>
      </c>
      <c r="E95" s="191"/>
      <c r="F95" s="191"/>
      <c r="G95" s="192"/>
      <c r="H95" s="191"/>
      <c r="I95" s="250" t="str">
        <f>IF(COUNTBLANK(E95:H95)=4,"",SUM(E95:G95)+IF(Setup!$I$15="No",0,H95))</f>
        <v/>
      </c>
      <c r="J95" s="191"/>
      <c r="K95" s="191"/>
      <c r="L95" s="191"/>
      <c r="M95" s="191"/>
      <c r="N95" s="254" t="str">
        <f>IF(COUNTBLANK(J95:M95)=4,"",SUM(J95:L95)+IF(Setup!$I$15="No",0,M95))</f>
        <v/>
      </c>
      <c r="O95" s="191"/>
      <c r="P95" s="191"/>
      <c r="Q95" s="191"/>
      <c r="R95" s="191"/>
      <c r="S95" s="254" t="str">
        <f>IF(COUNTBLANK(O95:R95)=4,"",SUM(O95:Q95)+IF(Setup!$I$15="No",0,R95))</f>
        <v/>
      </c>
      <c r="T95" s="191"/>
      <c r="U95" s="191"/>
      <c r="V95" s="191"/>
      <c r="W95" s="191"/>
      <c r="X95" s="254" t="str">
        <f>IF(COUNTBLANK(T95:W95)=4,"",SUM(T95:V95)+IF(Setup!$I$15="No",0,W95))</f>
        <v/>
      </c>
      <c r="Y95" s="191"/>
      <c r="Z95" s="191"/>
      <c r="AA95" s="191"/>
      <c r="AB95" s="191"/>
      <c r="AC95" s="254" t="str">
        <f>IF(COUNTBLANK(Y95:AB95)=4,"",SUM(Y95:AA95)+IF(Setup!$I$15="No",0,AB95))</f>
        <v/>
      </c>
      <c r="AD95" s="191"/>
      <c r="AE95" s="191"/>
      <c r="AF95" s="191"/>
      <c r="AG95" s="191"/>
      <c r="AH95" s="254" t="str">
        <f>IF(COUNTBLANK(AD95:AG95)=4,"",SUM(AD95:AF95)+IF(Setup!$I$15="No",0,AG95))</f>
        <v/>
      </c>
      <c r="AI95" s="191"/>
      <c r="AJ95" s="191"/>
      <c r="AK95" s="191"/>
      <c r="AL95" s="191"/>
      <c r="AM95" s="254" t="str">
        <f>IF(COUNTBLANK(AI95:AL95)=4,"",SUM(AI95:AK95)+IF(Setup!$I$15="No",0,AL95))</f>
        <v/>
      </c>
      <c r="AN95" s="191"/>
      <c r="AO95" s="191"/>
      <c r="AP95" s="191"/>
      <c r="AQ95" s="191"/>
      <c r="AR95" s="254" t="str">
        <f>IF(COUNTBLANK(AN95:AQ95)=4,"",SUM(AN95:AP95)+IF(Setup!$I$15="No",0,AQ95))</f>
        <v/>
      </c>
      <c r="AS95" s="191"/>
      <c r="AT95" s="191"/>
      <c r="AU95" s="191"/>
      <c r="AV95" s="191"/>
      <c r="AW95" s="254" t="str">
        <f>IF(COUNTBLANK(AS95:AV95)=4,"",SUM(AS95:AU95)+IF(Setup!$I$15="No",0,AV95))</f>
        <v/>
      </c>
      <c r="AX95" s="191"/>
      <c r="AY95" s="191"/>
      <c r="AZ95" s="191"/>
      <c r="BA95" s="191"/>
      <c r="BB95" s="254" t="str">
        <f>IF(COUNTBLANK(AX95:BA95)=4,"",SUM(AX95:AZ95)+IF(Setup!$I$15="No",0,BA95))</f>
        <v/>
      </c>
      <c r="BC95" s="258" t="str">
        <f ca="1">IF('Demand background (hide)'!A86=Num_Modalities,"",SUM(Demand!I95))</f>
        <v/>
      </c>
      <c r="BD95" s="258" t="str">
        <f ca="1">IF(AND(A95&lt;=MaxRows,BE95&lt;&gt;"Yes"),'Demand background (hide)'!X86+IF(Setup!$I$15="Yes",'Demand background (hide)'!AJ86,0),"")</f>
        <v/>
      </c>
      <c r="BE95" s="208"/>
    </row>
    <row r="96" spans="1:57" ht="15" x14ac:dyDescent="0.25">
      <c r="A96" t="str">
        <f t="shared" ca="1" si="4"/>
        <v/>
      </c>
      <c r="B96" s="263" t="str">
        <f t="shared" ca="1" si="5"/>
        <v xml:space="preserve"> </v>
      </c>
      <c r="C96" s="264" t="str">
        <f t="shared" ca="1" si="6"/>
        <v/>
      </c>
      <c r="D96" s="264" t="str">
        <f t="shared" ca="1" si="7"/>
        <v/>
      </c>
      <c r="E96" s="191"/>
      <c r="F96" s="191"/>
      <c r="G96" s="192"/>
      <c r="H96" s="191"/>
      <c r="I96" s="250" t="str">
        <f>IF(COUNTBLANK(E96:H96)=4,"",SUM(E96:G96)+IF(Setup!$I$15="No",0,H96))</f>
        <v/>
      </c>
      <c r="J96" s="191"/>
      <c r="K96" s="191"/>
      <c r="L96" s="191"/>
      <c r="M96" s="191"/>
      <c r="N96" s="254" t="str">
        <f>IF(COUNTBLANK(J96:M96)=4,"",SUM(J96:L96)+IF(Setup!$I$15="No",0,M96))</f>
        <v/>
      </c>
      <c r="O96" s="191"/>
      <c r="P96" s="191"/>
      <c r="Q96" s="191"/>
      <c r="R96" s="191"/>
      <c r="S96" s="254" t="str">
        <f>IF(COUNTBLANK(O96:R96)=4,"",SUM(O96:Q96)+IF(Setup!$I$15="No",0,R96))</f>
        <v/>
      </c>
      <c r="T96" s="191"/>
      <c r="U96" s="191"/>
      <c r="V96" s="191"/>
      <c r="W96" s="191"/>
      <c r="X96" s="254" t="str">
        <f>IF(COUNTBLANK(T96:W96)=4,"",SUM(T96:V96)+IF(Setup!$I$15="No",0,W96))</f>
        <v/>
      </c>
      <c r="Y96" s="191"/>
      <c r="Z96" s="191"/>
      <c r="AA96" s="191"/>
      <c r="AB96" s="191"/>
      <c r="AC96" s="254" t="str">
        <f>IF(COUNTBLANK(Y96:AB96)=4,"",SUM(Y96:AA96)+IF(Setup!$I$15="No",0,AB96))</f>
        <v/>
      </c>
      <c r="AD96" s="191"/>
      <c r="AE96" s="191"/>
      <c r="AF96" s="191"/>
      <c r="AG96" s="191"/>
      <c r="AH96" s="254" t="str">
        <f>IF(COUNTBLANK(AD96:AG96)=4,"",SUM(AD96:AF96)+IF(Setup!$I$15="No",0,AG96))</f>
        <v/>
      </c>
      <c r="AI96" s="191"/>
      <c r="AJ96" s="191"/>
      <c r="AK96" s="191"/>
      <c r="AL96" s="191"/>
      <c r="AM96" s="254" t="str">
        <f>IF(COUNTBLANK(AI96:AL96)=4,"",SUM(AI96:AK96)+IF(Setup!$I$15="No",0,AL96))</f>
        <v/>
      </c>
      <c r="AN96" s="191"/>
      <c r="AO96" s="191"/>
      <c r="AP96" s="191"/>
      <c r="AQ96" s="191"/>
      <c r="AR96" s="254" t="str">
        <f>IF(COUNTBLANK(AN96:AQ96)=4,"",SUM(AN96:AP96)+IF(Setup!$I$15="No",0,AQ96))</f>
        <v/>
      </c>
      <c r="AS96" s="191"/>
      <c r="AT96" s="191"/>
      <c r="AU96" s="191"/>
      <c r="AV96" s="191"/>
      <c r="AW96" s="254" t="str">
        <f>IF(COUNTBLANK(AS96:AV96)=4,"",SUM(AS96:AU96)+IF(Setup!$I$15="No",0,AV96))</f>
        <v/>
      </c>
      <c r="AX96" s="191"/>
      <c r="AY96" s="191"/>
      <c r="AZ96" s="191"/>
      <c r="BA96" s="191"/>
      <c r="BB96" s="254" t="str">
        <f>IF(COUNTBLANK(AX96:BA96)=4,"",SUM(AX96:AZ96)+IF(Setup!$I$15="No",0,BA96))</f>
        <v/>
      </c>
      <c r="BC96" s="258" t="str">
        <f ca="1">IF('Demand background (hide)'!A87=Num_Modalities,"",SUM(Demand!I96))</f>
        <v/>
      </c>
      <c r="BD96" s="258" t="str">
        <f ca="1">IF(AND(A96&lt;=MaxRows,BE96&lt;&gt;"Yes"),'Demand background (hide)'!X87+IF(Setup!$I$15="Yes",'Demand background (hide)'!AJ87,0),"")</f>
        <v/>
      </c>
      <c r="BE96" s="208"/>
    </row>
    <row r="97" spans="1:57" ht="15" x14ac:dyDescent="0.25">
      <c r="A97" t="str">
        <f t="shared" ca="1" si="4"/>
        <v/>
      </c>
      <c r="B97" s="263" t="str">
        <f t="shared" ca="1" si="5"/>
        <v xml:space="preserve"> </v>
      </c>
      <c r="C97" s="264" t="str">
        <f t="shared" ca="1" si="6"/>
        <v/>
      </c>
      <c r="D97" s="264" t="str">
        <f t="shared" ca="1" si="7"/>
        <v/>
      </c>
      <c r="E97" s="191"/>
      <c r="F97" s="191"/>
      <c r="G97" s="192"/>
      <c r="H97" s="191"/>
      <c r="I97" s="250" t="str">
        <f>IF(COUNTBLANK(E97:H97)=4,"",SUM(E97:G97)+IF(Setup!$I$15="No",0,H97))</f>
        <v/>
      </c>
      <c r="J97" s="191"/>
      <c r="K97" s="191"/>
      <c r="L97" s="191"/>
      <c r="M97" s="191"/>
      <c r="N97" s="254" t="str">
        <f>IF(COUNTBLANK(J97:M97)=4,"",SUM(J97:L97)+IF(Setup!$I$15="No",0,M97))</f>
        <v/>
      </c>
      <c r="O97" s="191"/>
      <c r="P97" s="191"/>
      <c r="Q97" s="191"/>
      <c r="R97" s="191"/>
      <c r="S97" s="254" t="str">
        <f>IF(COUNTBLANK(O97:R97)=4,"",SUM(O97:Q97)+IF(Setup!$I$15="No",0,R97))</f>
        <v/>
      </c>
      <c r="T97" s="191"/>
      <c r="U97" s="191"/>
      <c r="V97" s="191"/>
      <c r="W97" s="191"/>
      <c r="X97" s="254" t="str">
        <f>IF(COUNTBLANK(T97:W97)=4,"",SUM(T97:V97)+IF(Setup!$I$15="No",0,W97))</f>
        <v/>
      </c>
      <c r="Y97" s="191"/>
      <c r="Z97" s="191"/>
      <c r="AA97" s="191"/>
      <c r="AB97" s="191"/>
      <c r="AC97" s="254" t="str">
        <f>IF(COUNTBLANK(Y97:AB97)=4,"",SUM(Y97:AA97)+IF(Setup!$I$15="No",0,AB97))</f>
        <v/>
      </c>
      <c r="AD97" s="191"/>
      <c r="AE97" s="191"/>
      <c r="AF97" s="191"/>
      <c r="AG97" s="191"/>
      <c r="AH97" s="254" t="str">
        <f>IF(COUNTBLANK(AD97:AG97)=4,"",SUM(AD97:AF97)+IF(Setup!$I$15="No",0,AG97))</f>
        <v/>
      </c>
      <c r="AI97" s="191"/>
      <c r="AJ97" s="191"/>
      <c r="AK97" s="191"/>
      <c r="AL97" s="191"/>
      <c r="AM97" s="254" t="str">
        <f>IF(COUNTBLANK(AI97:AL97)=4,"",SUM(AI97:AK97)+IF(Setup!$I$15="No",0,AL97))</f>
        <v/>
      </c>
      <c r="AN97" s="191"/>
      <c r="AO97" s="191"/>
      <c r="AP97" s="191"/>
      <c r="AQ97" s="191"/>
      <c r="AR97" s="254" t="str">
        <f>IF(COUNTBLANK(AN97:AQ97)=4,"",SUM(AN97:AP97)+IF(Setup!$I$15="No",0,AQ97))</f>
        <v/>
      </c>
      <c r="AS97" s="191"/>
      <c r="AT97" s="191"/>
      <c r="AU97" s="191"/>
      <c r="AV97" s="191"/>
      <c r="AW97" s="254" t="str">
        <f>IF(COUNTBLANK(AS97:AV97)=4,"",SUM(AS97:AU97)+IF(Setup!$I$15="No",0,AV97))</f>
        <v/>
      </c>
      <c r="AX97" s="191"/>
      <c r="AY97" s="191"/>
      <c r="AZ97" s="191"/>
      <c r="BA97" s="191"/>
      <c r="BB97" s="254" t="str">
        <f>IF(COUNTBLANK(AX97:BA97)=4,"",SUM(AX97:AZ97)+IF(Setup!$I$15="No",0,BA97))</f>
        <v/>
      </c>
      <c r="BC97" s="258" t="str">
        <f ca="1">IF('Demand background (hide)'!A88=Num_Modalities,"",SUM(Demand!I97))</f>
        <v/>
      </c>
      <c r="BD97" s="258" t="str">
        <f ca="1">IF(AND(A97&lt;=MaxRows,BE97&lt;&gt;"Yes"),'Demand background (hide)'!X88+IF(Setup!$I$15="Yes",'Demand background (hide)'!AJ88,0),"")</f>
        <v/>
      </c>
      <c r="BE97" s="208"/>
    </row>
    <row r="98" spans="1:57" ht="15" x14ac:dyDescent="0.25">
      <c r="A98" t="str">
        <f t="shared" ca="1" si="4"/>
        <v/>
      </c>
      <c r="B98" s="263" t="str">
        <f t="shared" ca="1" si="5"/>
        <v xml:space="preserve"> </v>
      </c>
      <c r="C98" s="264" t="str">
        <f t="shared" ca="1" si="6"/>
        <v/>
      </c>
      <c r="D98" s="264" t="str">
        <f t="shared" ca="1" si="7"/>
        <v/>
      </c>
      <c r="E98" s="191"/>
      <c r="F98" s="191"/>
      <c r="G98" s="192"/>
      <c r="H98" s="191"/>
      <c r="I98" s="250" t="str">
        <f>IF(COUNTBLANK(E98:H98)=4,"",SUM(E98:G98)+IF(Setup!$I$15="No",0,H98))</f>
        <v/>
      </c>
      <c r="J98" s="191"/>
      <c r="K98" s="191"/>
      <c r="L98" s="191"/>
      <c r="M98" s="191"/>
      <c r="N98" s="254" t="str">
        <f>IF(COUNTBLANK(J98:M98)=4,"",SUM(J98:L98)+IF(Setup!$I$15="No",0,M98))</f>
        <v/>
      </c>
      <c r="O98" s="191"/>
      <c r="P98" s="191"/>
      <c r="Q98" s="191"/>
      <c r="R98" s="191"/>
      <c r="S98" s="254" t="str">
        <f>IF(COUNTBLANK(O98:R98)=4,"",SUM(O98:Q98)+IF(Setup!$I$15="No",0,R98))</f>
        <v/>
      </c>
      <c r="T98" s="191"/>
      <c r="U98" s="191"/>
      <c r="V98" s="191"/>
      <c r="W98" s="191"/>
      <c r="X98" s="254" t="str">
        <f>IF(COUNTBLANK(T98:W98)=4,"",SUM(T98:V98)+IF(Setup!$I$15="No",0,W98))</f>
        <v/>
      </c>
      <c r="Y98" s="191"/>
      <c r="Z98" s="191"/>
      <c r="AA98" s="191"/>
      <c r="AB98" s="191"/>
      <c r="AC98" s="254" t="str">
        <f>IF(COUNTBLANK(Y98:AB98)=4,"",SUM(Y98:AA98)+IF(Setup!$I$15="No",0,AB98))</f>
        <v/>
      </c>
      <c r="AD98" s="191"/>
      <c r="AE98" s="191"/>
      <c r="AF98" s="191"/>
      <c r="AG98" s="191"/>
      <c r="AH98" s="254" t="str">
        <f>IF(COUNTBLANK(AD98:AG98)=4,"",SUM(AD98:AF98)+IF(Setup!$I$15="No",0,AG98))</f>
        <v/>
      </c>
      <c r="AI98" s="191"/>
      <c r="AJ98" s="191"/>
      <c r="AK98" s="191"/>
      <c r="AL98" s="191"/>
      <c r="AM98" s="254" t="str">
        <f>IF(COUNTBLANK(AI98:AL98)=4,"",SUM(AI98:AK98)+IF(Setup!$I$15="No",0,AL98))</f>
        <v/>
      </c>
      <c r="AN98" s="191"/>
      <c r="AO98" s="191"/>
      <c r="AP98" s="191"/>
      <c r="AQ98" s="191"/>
      <c r="AR98" s="254" t="str">
        <f>IF(COUNTBLANK(AN98:AQ98)=4,"",SUM(AN98:AP98)+IF(Setup!$I$15="No",0,AQ98))</f>
        <v/>
      </c>
      <c r="AS98" s="191"/>
      <c r="AT98" s="191"/>
      <c r="AU98" s="191"/>
      <c r="AV98" s="191"/>
      <c r="AW98" s="254" t="str">
        <f>IF(COUNTBLANK(AS98:AV98)=4,"",SUM(AS98:AU98)+IF(Setup!$I$15="No",0,AV98))</f>
        <v/>
      </c>
      <c r="AX98" s="191"/>
      <c r="AY98" s="191"/>
      <c r="AZ98" s="191"/>
      <c r="BA98" s="191"/>
      <c r="BB98" s="254" t="str">
        <f>IF(COUNTBLANK(AX98:BA98)=4,"",SUM(AX98:AZ98)+IF(Setup!$I$15="No",0,BA98))</f>
        <v/>
      </c>
      <c r="BC98" s="258" t="str">
        <f ca="1">IF('Demand background (hide)'!A89=Num_Modalities,"",SUM(Demand!I98))</f>
        <v/>
      </c>
      <c r="BD98" s="258" t="str">
        <f ca="1">IF(AND(A98&lt;=MaxRows,BE98&lt;&gt;"Yes"),'Demand background (hide)'!X89+IF(Setup!$I$15="Yes",'Demand background (hide)'!AJ89,0),"")</f>
        <v/>
      </c>
      <c r="BE98" s="208"/>
    </row>
    <row r="99" spans="1:57" ht="15" x14ac:dyDescent="0.25">
      <c r="A99" t="str">
        <f t="shared" ca="1" si="4"/>
        <v/>
      </c>
      <c r="B99" s="263" t="str">
        <f t="shared" ca="1" si="5"/>
        <v xml:space="preserve"> </v>
      </c>
      <c r="C99" s="264" t="str">
        <f t="shared" ca="1" si="6"/>
        <v/>
      </c>
      <c r="D99" s="264" t="str">
        <f t="shared" ca="1" si="7"/>
        <v/>
      </c>
      <c r="E99" s="191"/>
      <c r="F99" s="191"/>
      <c r="G99" s="192"/>
      <c r="H99" s="191"/>
      <c r="I99" s="250" t="str">
        <f>IF(COUNTBLANK(E99:H99)=4,"",SUM(E99:G99)+IF(Setup!$I$15="No",0,H99))</f>
        <v/>
      </c>
      <c r="J99" s="191"/>
      <c r="K99" s="191"/>
      <c r="L99" s="191"/>
      <c r="M99" s="191"/>
      <c r="N99" s="254" t="str">
        <f>IF(COUNTBLANK(J99:M99)=4,"",SUM(J99:L99)+IF(Setup!$I$15="No",0,M99))</f>
        <v/>
      </c>
      <c r="O99" s="191"/>
      <c r="P99" s="191"/>
      <c r="Q99" s="191"/>
      <c r="R99" s="191"/>
      <c r="S99" s="254" t="str">
        <f>IF(COUNTBLANK(O99:R99)=4,"",SUM(O99:Q99)+IF(Setup!$I$15="No",0,R99))</f>
        <v/>
      </c>
      <c r="T99" s="191"/>
      <c r="U99" s="191"/>
      <c r="V99" s="191"/>
      <c r="W99" s="191"/>
      <c r="X99" s="254" t="str">
        <f>IF(COUNTBLANK(T99:W99)=4,"",SUM(T99:V99)+IF(Setup!$I$15="No",0,W99))</f>
        <v/>
      </c>
      <c r="Y99" s="191"/>
      <c r="Z99" s="191"/>
      <c r="AA99" s="191"/>
      <c r="AB99" s="191"/>
      <c r="AC99" s="254" t="str">
        <f>IF(COUNTBLANK(Y99:AB99)=4,"",SUM(Y99:AA99)+IF(Setup!$I$15="No",0,AB99))</f>
        <v/>
      </c>
      <c r="AD99" s="191"/>
      <c r="AE99" s="191"/>
      <c r="AF99" s="191"/>
      <c r="AG99" s="191"/>
      <c r="AH99" s="254" t="str">
        <f>IF(COUNTBLANK(AD99:AG99)=4,"",SUM(AD99:AF99)+IF(Setup!$I$15="No",0,AG99))</f>
        <v/>
      </c>
      <c r="AI99" s="191"/>
      <c r="AJ99" s="191"/>
      <c r="AK99" s="191"/>
      <c r="AL99" s="191"/>
      <c r="AM99" s="254" t="str">
        <f>IF(COUNTBLANK(AI99:AL99)=4,"",SUM(AI99:AK99)+IF(Setup!$I$15="No",0,AL99))</f>
        <v/>
      </c>
      <c r="AN99" s="191"/>
      <c r="AO99" s="191"/>
      <c r="AP99" s="191"/>
      <c r="AQ99" s="191"/>
      <c r="AR99" s="254" t="str">
        <f>IF(COUNTBLANK(AN99:AQ99)=4,"",SUM(AN99:AP99)+IF(Setup!$I$15="No",0,AQ99))</f>
        <v/>
      </c>
      <c r="AS99" s="191"/>
      <c r="AT99" s="191"/>
      <c r="AU99" s="191"/>
      <c r="AV99" s="191"/>
      <c r="AW99" s="254" t="str">
        <f>IF(COUNTBLANK(AS99:AV99)=4,"",SUM(AS99:AU99)+IF(Setup!$I$15="No",0,AV99))</f>
        <v/>
      </c>
      <c r="AX99" s="191"/>
      <c r="AY99" s="191"/>
      <c r="AZ99" s="191"/>
      <c r="BA99" s="191"/>
      <c r="BB99" s="254" t="str">
        <f>IF(COUNTBLANK(AX99:BA99)=4,"",SUM(AX99:AZ99)+IF(Setup!$I$15="No",0,BA99))</f>
        <v/>
      </c>
      <c r="BC99" s="258" t="str">
        <f ca="1">IF('Demand background (hide)'!A90=Num_Modalities,"",SUM(Demand!I99))</f>
        <v/>
      </c>
      <c r="BD99" s="258" t="str">
        <f ca="1">IF(AND(A99&lt;=MaxRows,BE99&lt;&gt;"Yes"),'Demand background (hide)'!X90+IF(Setup!$I$15="Yes",'Demand background (hide)'!AJ90,0),"")</f>
        <v/>
      </c>
      <c r="BE99" s="208"/>
    </row>
    <row r="100" spans="1:57" ht="15" x14ac:dyDescent="0.25">
      <c r="A100" t="str">
        <f t="shared" ca="1" si="4"/>
        <v/>
      </c>
      <c r="B100" s="263" t="str">
        <f t="shared" ca="1" si="5"/>
        <v xml:space="preserve"> </v>
      </c>
      <c r="C100" s="264" t="str">
        <f t="shared" ca="1" si="6"/>
        <v/>
      </c>
      <c r="D100" s="264" t="str">
        <f t="shared" ca="1" si="7"/>
        <v/>
      </c>
      <c r="E100" s="191"/>
      <c r="F100" s="191"/>
      <c r="G100" s="192"/>
      <c r="H100" s="191"/>
      <c r="I100" s="250" t="str">
        <f>IF(COUNTBLANK(E100:H100)=4,"",SUM(E100:G100)+IF(Setup!$I$15="No",0,H100))</f>
        <v/>
      </c>
      <c r="J100" s="191"/>
      <c r="K100" s="191"/>
      <c r="L100" s="191"/>
      <c r="M100" s="191"/>
      <c r="N100" s="254" t="str">
        <f>IF(COUNTBLANK(J100:M100)=4,"",SUM(J100:L100)+IF(Setup!$I$15="No",0,M100))</f>
        <v/>
      </c>
      <c r="O100" s="191"/>
      <c r="P100" s="191"/>
      <c r="Q100" s="191"/>
      <c r="R100" s="191"/>
      <c r="S100" s="254" t="str">
        <f>IF(COUNTBLANK(O100:R100)=4,"",SUM(O100:Q100)+IF(Setup!$I$15="No",0,R100))</f>
        <v/>
      </c>
      <c r="T100" s="191"/>
      <c r="U100" s="191"/>
      <c r="V100" s="191"/>
      <c r="W100" s="191"/>
      <c r="X100" s="254" t="str">
        <f>IF(COUNTBLANK(T100:W100)=4,"",SUM(T100:V100)+IF(Setup!$I$15="No",0,W100))</f>
        <v/>
      </c>
      <c r="Y100" s="191"/>
      <c r="Z100" s="191"/>
      <c r="AA100" s="191"/>
      <c r="AB100" s="191"/>
      <c r="AC100" s="254" t="str">
        <f>IF(COUNTBLANK(Y100:AB100)=4,"",SUM(Y100:AA100)+IF(Setup!$I$15="No",0,AB100))</f>
        <v/>
      </c>
      <c r="AD100" s="191"/>
      <c r="AE100" s="191"/>
      <c r="AF100" s="191"/>
      <c r="AG100" s="191"/>
      <c r="AH100" s="254" t="str">
        <f>IF(COUNTBLANK(AD100:AG100)=4,"",SUM(AD100:AF100)+IF(Setup!$I$15="No",0,AG100))</f>
        <v/>
      </c>
      <c r="AI100" s="191"/>
      <c r="AJ100" s="191"/>
      <c r="AK100" s="191"/>
      <c r="AL100" s="191"/>
      <c r="AM100" s="254" t="str">
        <f>IF(COUNTBLANK(AI100:AL100)=4,"",SUM(AI100:AK100)+IF(Setup!$I$15="No",0,AL100))</f>
        <v/>
      </c>
      <c r="AN100" s="191"/>
      <c r="AO100" s="191"/>
      <c r="AP100" s="191"/>
      <c r="AQ100" s="191"/>
      <c r="AR100" s="254" t="str">
        <f>IF(COUNTBLANK(AN100:AQ100)=4,"",SUM(AN100:AP100)+IF(Setup!$I$15="No",0,AQ100))</f>
        <v/>
      </c>
      <c r="AS100" s="191"/>
      <c r="AT100" s="191"/>
      <c r="AU100" s="191"/>
      <c r="AV100" s="191"/>
      <c r="AW100" s="254" t="str">
        <f>IF(COUNTBLANK(AS100:AV100)=4,"",SUM(AS100:AU100)+IF(Setup!$I$15="No",0,AV100))</f>
        <v/>
      </c>
      <c r="AX100" s="191"/>
      <c r="AY100" s="191"/>
      <c r="AZ100" s="191"/>
      <c r="BA100" s="191"/>
      <c r="BB100" s="254" t="str">
        <f>IF(COUNTBLANK(AX100:BA100)=4,"",SUM(AX100:AZ100)+IF(Setup!$I$15="No",0,BA100))</f>
        <v/>
      </c>
      <c r="BC100" s="258" t="str">
        <f ca="1">IF('Demand background (hide)'!A91=Num_Modalities,"",SUM(Demand!I100))</f>
        <v/>
      </c>
      <c r="BD100" s="258" t="str">
        <f ca="1">IF(AND(A100&lt;=MaxRows,BE100&lt;&gt;"Yes"),'Demand background (hide)'!X91+IF(Setup!$I$15="Yes",'Demand background (hide)'!AJ91,0),"")</f>
        <v/>
      </c>
      <c r="BE100" s="208"/>
    </row>
    <row r="101" spans="1:57" ht="15" x14ac:dyDescent="0.25">
      <c r="A101" t="str">
        <f t="shared" ca="1" si="4"/>
        <v/>
      </c>
      <c r="B101" s="263" t="str">
        <f t="shared" ca="1" si="5"/>
        <v xml:space="preserve"> </v>
      </c>
      <c r="C101" s="264" t="str">
        <f t="shared" ca="1" si="6"/>
        <v/>
      </c>
      <c r="D101" s="264" t="str">
        <f t="shared" ca="1" si="7"/>
        <v/>
      </c>
      <c r="E101" s="191"/>
      <c r="F101" s="191"/>
      <c r="G101" s="192"/>
      <c r="H101" s="191"/>
      <c r="I101" s="250" t="str">
        <f>IF(COUNTBLANK(E101:H101)=4,"",SUM(E101:G101)+IF(Setup!$I$15="No",0,H101))</f>
        <v/>
      </c>
      <c r="J101" s="191"/>
      <c r="K101" s="191"/>
      <c r="L101" s="191"/>
      <c r="M101" s="191"/>
      <c r="N101" s="254" t="str">
        <f>IF(COUNTBLANK(J101:M101)=4,"",SUM(J101:L101)+IF(Setup!$I$15="No",0,M101))</f>
        <v/>
      </c>
      <c r="O101" s="191"/>
      <c r="P101" s="191"/>
      <c r="Q101" s="191"/>
      <c r="R101" s="191"/>
      <c r="S101" s="254" t="str">
        <f>IF(COUNTBLANK(O101:R101)=4,"",SUM(O101:Q101)+IF(Setup!$I$15="No",0,R101))</f>
        <v/>
      </c>
      <c r="T101" s="191"/>
      <c r="U101" s="191"/>
      <c r="V101" s="191"/>
      <c r="W101" s="191"/>
      <c r="X101" s="254" t="str">
        <f>IF(COUNTBLANK(T101:W101)=4,"",SUM(T101:V101)+IF(Setup!$I$15="No",0,W101))</f>
        <v/>
      </c>
      <c r="Y101" s="191"/>
      <c r="Z101" s="191"/>
      <c r="AA101" s="191"/>
      <c r="AB101" s="191"/>
      <c r="AC101" s="254" t="str">
        <f>IF(COUNTBLANK(Y101:AB101)=4,"",SUM(Y101:AA101)+IF(Setup!$I$15="No",0,AB101))</f>
        <v/>
      </c>
      <c r="AD101" s="191"/>
      <c r="AE101" s="191"/>
      <c r="AF101" s="191"/>
      <c r="AG101" s="191"/>
      <c r="AH101" s="254" t="str">
        <f>IF(COUNTBLANK(AD101:AG101)=4,"",SUM(AD101:AF101)+IF(Setup!$I$15="No",0,AG101))</f>
        <v/>
      </c>
      <c r="AI101" s="191"/>
      <c r="AJ101" s="191"/>
      <c r="AK101" s="191"/>
      <c r="AL101" s="191"/>
      <c r="AM101" s="254" t="str">
        <f>IF(COUNTBLANK(AI101:AL101)=4,"",SUM(AI101:AK101)+IF(Setup!$I$15="No",0,AL101))</f>
        <v/>
      </c>
      <c r="AN101" s="191"/>
      <c r="AO101" s="191"/>
      <c r="AP101" s="191"/>
      <c r="AQ101" s="191"/>
      <c r="AR101" s="254" t="str">
        <f>IF(COUNTBLANK(AN101:AQ101)=4,"",SUM(AN101:AP101)+IF(Setup!$I$15="No",0,AQ101))</f>
        <v/>
      </c>
      <c r="AS101" s="191"/>
      <c r="AT101" s="191"/>
      <c r="AU101" s="191"/>
      <c r="AV101" s="191"/>
      <c r="AW101" s="254" t="str">
        <f>IF(COUNTBLANK(AS101:AV101)=4,"",SUM(AS101:AU101)+IF(Setup!$I$15="No",0,AV101))</f>
        <v/>
      </c>
      <c r="AX101" s="191"/>
      <c r="AY101" s="191"/>
      <c r="AZ101" s="191"/>
      <c r="BA101" s="191"/>
      <c r="BB101" s="254" t="str">
        <f>IF(COUNTBLANK(AX101:BA101)=4,"",SUM(AX101:AZ101)+IF(Setup!$I$15="No",0,BA101))</f>
        <v/>
      </c>
      <c r="BC101" s="258" t="str">
        <f ca="1">IF('Demand background (hide)'!A92=Num_Modalities,"",SUM(Demand!I101))</f>
        <v/>
      </c>
      <c r="BD101" s="258" t="str">
        <f ca="1">IF(AND(A101&lt;=MaxRows,BE101&lt;&gt;"Yes"),'Demand background (hide)'!X92+IF(Setup!$I$15="Yes",'Demand background (hide)'!AJ92,0),"")</f>
        <v/>
      </c>
      <c r="BE101" s="208"/>
    </row>
    <row r="102" spans="1:57" ht="15" x14ac:dyDescent="0.25">
      <c r="A102" t="str">
        <f t="shared" ca="1" si="4"/>
        <v/>
      </c>
      <c r="B102" s="263" t="str">
        <f t="shared" ca="1" si="5"/>
        <v xml:space="preserve"> </v>
      </c>
      <c r="C102" s="264" t="str">
        <f t="shared" ca="1" si="6"/>
        <v/>
      </c>
      <c r="D102" s="264" t="str">
        <f t="shared" ca="1" si="7"/>
        <v/>
      </c>
      <c r="E102" s="191"/>
      <c r="F102" s="191"/>
      <c r="G102" s="192"/>
      <c r="H102" s="191"/>
      <c r="I102" s="250" t="str">
        <f>IF(COUNTBLANK(E102:H102)=4,"",SUM(E102:G102)+IF(Setup!$I$15="No",0,H102))</f>
        <v/>
      </c>
      <c r="J102" s="191"/>
      <c r="K102" s="191"/>
      <c r="L102" s="191"/>
      <c r="M102" s="191"/>
      <c r="N102" s="254" t="str">
        <f>IF(COUNTBLANK(J102:M102)=4,"",SUM(J102:L102)+IF(Setup!$I$15="No",0,M102))</f>
        <v/>
      </c>
      <c r="O102" s="191"/>
      <c r="P102" s="191"/>
      <c r="Q102" s="191"/>
      <c r="R102" s="191"/>
      <c r="S102" s="254" t="str">
        <f>IF(COUNTBLANK(O102:R102)=4,"",SUM(O102:Q102)+IF(Setup!$I$15="No",0,R102))</f>
        <v/>
      </c>
      <c r="T102" s="191"/>
      <c r="U102" s="191"/>
      <c r="V102" s="191"/>
      <c r="W102" s="191"/>
      <c r="X102" s="254" t="str">
        <f>IF(COUNTBLANK(T102:W102)=4,"",SUM(T102:V102)+IF(Setup!$I$15="No",0,W102))</f>
        <v/>
      </c>
      <c r="Y102" s="191"/>
      <c r="Z102" s="191"/>
      <c r="AA102" s="191"/>
      <c r="AB102" s="191"/>
      <c r="AC102" s="254" t="str">
        <f>IF(COUNTBLANK(Y102:AB102)=4,"",SUM(Y102:AA102)+IF(Setup!$I$15="No",0,AB102))</f>
        <v/>
      </c>
      <c r="AD102" s="191"/>
      <c r="AE102" s="191"/>
      <c r="AF102" s="191"/>
      <c r="AG102" s="191"/>
      <c r="AH102" s="254" t="str">
        <f>IF(COUNTBLANK(AD102:AG102)=4,"",SUM(AD102:AF102)+IF(Setup!$I$15="No",0,AG102))</f>
        <v/>
      </c>
      <c r="AI102" s="191"/>
      <c r="AJ102" s="191"/>
      <c r="AK102" s="191"/>
      <c r="AL102" s="191"/>
      <c r="AM102" s="254" t="str">
        <f>IF(COUNTBLANK(AI102:AL102)=4,"",SUM(AI102:AK102)+IF(Setup!$I$15="No",0,AL102))</f>
        <v/>
      </c>
      <c r="AN102" s="191"/>
      <c r="AO102" s="191"/>
      <c r="AP102" s="191"/>
      <c r="AQ102" s="191"/>
      <c r="AR102" s="254" t="str">
        <f>IF(COUNTBLANK(AN102:AQ102)=4,"",SUM(AN102:AP102)+IF(Setup!$I$15="No",0,AQ102))</f>
        <v/>
      </c>
      <c r="AS102" s="191"/>
      <c r="AT102" s="191"/>
      <c r="AU102" s="191"/>
      <c r="AV102" s="191"/>
      <c r="AW102" s="254" t="str">
        <f>IF(COUNTBLANK(AS102:AV102)=4,"",SUM(AS102:AU102)+IF(Setup!$I$15="No",0,AV102))</f>
        <v/>
      </c>
      <c r="AX102" s="191"/>
      <c r="AY102" s="191"/>
      <c r="AZ102" s="191"/>
      <c r="BA102" s="191"/>
      <c r="BB102" s="254" t="str">
        <f>IF(COUNTBLANK(AX102:BA102)=4,"",SUM(AX102:AZ102)+IF(Setup!$I$15="No",0,BA102))</f>
        <v/>
      </c>
      <c r="BC102" s="258" t="str">
        <f ca="1">IF('Demand background (hide)'!A93=Num_Modalities,"",SUM(Demand!I102))</f>
        <v/>
      </c>
      <c r="BD102" s="258" t="str">
        <f ca="1">IF(AND(A102&lt;=MaxRows,BE102&lt;&gt;"Yes"),'Demand background (hide)'!X93+IF(Setup!$I$15="Yes",'Demand background (hide)'!AJ93,0),"")</f>
        <v/>
      </c>
      <c r="BE102" s="208"/>
    </row>
    <row r="103" spans="1:57" ht="15" x14ac:dyDescent="0.25">
      <c r="A103" t="str">
        <f t="shared" ca="1" si="4"/>
        <v/>
      </c>
      <c r="B103" s="263" t="str">
        <f t="shared" ca="1" si="5"/>
        <v xml:space="preserve"> </v>
      </c>
      <c r="C103" s="264" t="str">
        <f t="shared" ca="1" si="6"/>
        <v/>
      </c>
      <c r="D103" s="264" t="str">
        <f t="shared" ca="1" si="7"/>
        <v/>
      </c>
      <c r="E103" s="191"/>
      <c r="F103" s="191"/>
      <c r="G103" s="192"/>
      <c r="H103" s="191"/>
      <c r="I103" s="250" t="str">
        <f>IF(COUNTBLANK(E103:H103)=4,"",SUM(E103:G103)+IF(Setup!$I$15="No",0,H103))</f>
        <v/>
      </c>
      <c r="J103" s="191"/>
      <c r="K103" s="191"/>
      <c r="L103" s="191"/>
      <c r="M103" s="191"/>
      <c r="N103" s="254" t="str">
        <f>IF(COUNTBLANK(J103:M103)=4,"",SUM(J103:L103)+IF(Setup!$I$15="No",0,M103))</f>
        <v/>
      </c>
      <c r="O103" s="191"/>
      <c r="P103" s="191"/>
      <c r="Q103" s="191"/>
      <c r="R103" s="191"/>
      <c r="S103" s="254" t="str">
        <f>IF(COUNTBLANK(O103:R103)=4,"",SUM(O103:Q103)+IF(Setup!$I$15="No",0,R103))</f>
        <v/>
      </c>
      <c r="T103" s="191"/>
      <c r="U103" s="191"/>
      <c r="V103" s="191"/>
      <c r="W103" s="191"/>
      <c r="X103" s="254" t="str">
        <f>IF(COUNTBLANK(T103:W103)=4,"",SUM(T103:V103)+IF(Setup!$I$15="No",0,W103))</f>
        <v/>
      </c>
      <c r="Y103" s="191"/>
      <c r="Z103" s="191"/>
      <c r="AA103" s="191"/>
      <c r="AB103" s="191"/>
      <c r="AC103" s="254" t="str">
        <f>IF(COUNTBLANK(Y103:AB103)=4,"",SUM(Y103:AA103)+IF(Setup!$I$15="No",0,AB103))</f>
        <v/>
      </c>
      <c r="AD103" s="191"/>
      <c r="AE103" s="191"/>
      <c r="AF103" s="191"/>
      <c r="AG103" s="191"/>
      <c r="AH103" s="254" t="str">
        <f>IF(COUNTBLANK(AD103:AG103)=4,"",SUM(AD103:AF103)+IF(Setup!$I$15="No",0,AG103))</f>
        <v/>
      </c>
      <c r="AI103" s="191"/>
      <c r="AJ103" s="191"/>
      <c r="AK103" s="191"/>
      <c r="AL103" s="191"/>
      <c r="AM103" s="254" t="str">
        <f>IF(COUNTBLANK(AI103:AL103)=4,"",SUM(AI103:AK103)+IF(Setup!$I$15="No",0,AL103))</f>
        <v/>
      </c>
      <c r="AN103" s="191"/>
      <c r="AO103" s="191"/>
      <c r="AP103" s="191"/>
      <c r="AQ103" s="191"/>
      <c r="AR103" s="254" t="str">
        <f>IF(COUNTBLANK(AN103:AQ103)=4,"",SUM(AN103:AP103)+IF(Setup!$I$15="No",0,AQ103))</f>
        <v/>
      </c>
      <c r="AS103" s="191"/>
      <c r="AT103" s="191"/>
      <c r="AU103" s="191"/>
      <c r="AV103" s="191"/>
      <c r="AW103" s="254" t="str">
        <f>IF(COUNTBLANK(AS103:AV103)=4,"",SUM(AS103:AU103)+IF(Setup!$I$15="No",0,AV103))</f>
        <v/>
      </c>
      <c r="AX103" s="191"/>
      <c r="AY103" s="191"/>
      <c r="AZ103" s="191"/>
      <c r="BA103" s="191"/>
      <c r="BB103" s="254" t="str">
        <f>IF(COUNTBLANK(AX103:BA103)=4,"",SUM(AX103:AZ103)+IF(Setup!$I$15="No",0,BA103))</f>
        <v/>
      </c>
      <c r="BC103" s="258" t="str">
        <f ca="1">IF('Demand background (hide)'!A94=Num_Modalities,"",SUM(Demand!I103))</f>
        <v/>
      </c>
      <c r="BD103" s="258" t="str">
        <f ca="1">IF(AND(A103&lt;=MaxRows,BE103&lt;&gt;"Yes"),'Demand background (hide)'!X94+IF(Setup!$I$15="Yes",'Demand background (hide)'!AJ94,0),"")</f>
        <v/>
      </c>
      <c r="BE103" s="208"/>
    </row>
    <row r="104" spans="1:57" ht="15" x14ac:dyDescent="0.25">
      <c r="A104" t="str">
        <f t="shared" ca="1" si="4"/>
        <v/>
      </c>
      <c r="B104" s="263" t="str">
        <f t="shared" ca="1" si="5"/>
        <v xml:space="preserve"> </v>
      </c>
      <c r="C104" s="264" t="str">
        <f t="shared" ca="1" si="6"/>
        <v/>
      </c>
      <c r="D104" s="264" t="str">
        <f t="shared" ca="1" si="7"/>
        <v/>
      </c>
      <c r="E104" s="191"/>
      <c r="F104" s="191"/>
      <c r="G104" s="192"/>
      <c r="H104" s="191"/>
      <c r="I104" s="250" t="str">
        <f>IF(COUNTBLANK(E104:H104)=4,"",SUM(E104:G104)+IF(Setup!$I$15="No",0,H104))</f>
        <v/>
      </c>
      <c r="J104" s="191"/>
      <c r="K104" s="191"/>
      <c r="L104" s="191"/>
      <c r="M104" s="191"/>
      <c r="N104" s="254" t="str">
        <f>IF(COUNTBLANK(J104:M104)=4,"",SUM(J104:L104)+IF(Setup!$I$15="No",0,M104))</f>
        <v/>
      </c>
      <c r="O104" s="191"/>
      <c r="P104" s="191"/>
      <c r="Q104" s="191"/>
      <c r="R104" s="191"/>
      <c r="S104" s="254" t="str">
        <f>IF(COUNTBLANK(O104:R104)=4,"",SUM(O104:Q104)+IF(Setup!$I$15="No",0,R104))</f>
        <v/>
      </c>
      <c r="T104" s="191"/>
      <c r="U104" s="191"/>
      <c r="V104" s="191"/>
      <c r="W104" s="191"/>
      <c r="X104" s="254" t="str">
        <f>IF(COUNTBLANK(T104:W104)=4,"",SUM(T104:V104)+IF(Setup!$I$15="No",0,W104))</f>
        <v/>
      </c>
      <c r="Y104" s="191"/>
      <c r="Z104" s="191"/>
      <c r="AA104" s="191"/>
      <c r="AB104" s="191"/>
      <c r="AC104" s="254" t="str">
        <f>IF(COUNTBLANK(Y104:AB104)=4,"",SUM(Y104:AA104)+IF(Setup!$I$15="No",0,AB104))</f>
        <v/>
      </c>
      <c r="AD104" s="191"/>
      <c r="AE104" s="191"/>
      <c r="AF104" s="191"/>
      <c r="AG104" s="191"/>
      <c r="AH104" s="254" t="str">
        <f>IF(COUNTBLANK(AD104:AG104)=4,"",SUM(AD104:AF104)+IF(Setup!$I$15="No",0,AG104))</f>
        <v/>
      </c>
      <c r="AI104" s="191"/>
      <c r="AJ104" s="191"/>
      <c r="AK104" s="191"/>
      <c r="AL104" s="191"/>
      <c r="AM104" s="254" t="str">
        <f>IF(COUNTBLANK(AI104:AL104)=4,"",SUM(AI104:AK104)+IF(Setup!$I$15="No",0,AL104))</f>
        <v/>
      </c>
      <c r="AN104" s="191"/>
      <c r="AO104" s="191"/>
      <c r="AP104" s="191"/>
      <c r="AQ104" s="191"/>
      <c r="AR104" s="254" t="str">
        <f>IF(COUNTBLANK(AN104:AQ104)=4,"",SUM(AN104:AP104)+IF(Setup!$I$15="No",0,AQ104))</f>
        <v/>
      </c>
      <c r="AS104" s="191"/>
      <c r="AT104" s="191"/>
      <c r="AU104" s="191"/>
      <c r="AV104" s="191"/>
      <c r="AW104" s="254" t="str">
        <f>IF(COUNTBLANK(AS104:AV104)=4,"",SUM(AS104:AU104)+IF(Setup!$I$15="No",0,AV104))</f>
        <v/>
      </c>
      <c r="AX104" s="191"/>
      <c r="AY104" s="191"/>
      <c r="AZ104" s="191"/>
      <c r="BA104" s="191"/>
      <c r="BB104" s="254" t="str">
        <f>IF(COUNTBLANK(AX104:BA104)=4,"",SUM(AX104:AZ104)+IF(Setup!$I$15="No",0,BA104))</f>
        <v/>
      </c>
      <c r="BC104" s="258" t="str">
        <f ca="1">IF('Demand background (hide)'!A95=Num_Modalities,"",SUM(Demand!I104))</f>
        <v/>
      </c>
      <c r="BD104" s="258" t="str">
        <f ca="1">IF(AND(A104&lt;=MaxRows,BE104&lt;&gt;"Yes"),'Demand background (hide)'!X95+IF(Setup!$I$15="Yes",'Demand background (hide)'!AJ95,0),"")</f>
        <v/>
      </c>
      <c r="BE104" s="208"/>
    </row>
    <row r="105" spans="1:57" ht="15" x14ac:dyDescent="0.25">
      <c r="A105" t="str">
        <f t="shared" ca="1" si="4"/>
        <v/>
      </c>
      <c r="B105" s="263" t="str">
        <f t="shared" ca="1" si="5"/>
        <v xml:space="preserve"> </v>
      </c>
      <c r="C105" s="264" t="str">
        <f t="shared" ca="1" si="6"/>
        <v/>
      </c>
      <c r="D105" s="264" t="str">
        <f t="shared" ca="1" si="7"/>
        <v/>
      </c>
      <c r="E105" s="191"/>
      <c r="F105" s="191"/>
      <c r="G105" s="192"/>
      <c r="H105" s="191"/>
      <c r="I105" s="250" t="str">
        <f>IF(COUNTBLANK(E105:H105)=4,"",SUM(E105:G105)+IF(Setup!$I$15="No",0,H105))</f>
        <v/>
      </c>
      <c r="J105" s="191"/>
      <c r="K105" s="191"/>
      <c r="L105" s="191"/>
      <c r="M105" s="191"/>
      <c r="N105" s="254" t="str">
        <f>IF(COUNTBLANK(J105:M105)=4,"",SUM(J105:L105)+IF(Setup!$I$15="No",0,M105))</f>
        <v/>
      </c>
      <c r="O105" s="191"/>
      <c r="P105" s="191"/>
      <c r="Q105" s="191"/>
      <c r="R105" s="191"/>
      <c r="S105" s="254" t="str">
        <f>IF(COUNTBLANK(O105:R105)=4,"",SUM(O105:Q105)+IF(Setup!$I$15="No",0,R105))</f>
        <v/>
      </c>
      <c r="T105" s="191"/>
      <c r="U105" s="191"/>
      <c r="V105" s="191"/>
      <c r="W105" s="191"/>
      <c r="X105" s="254" t="str">
        <f>IF(COUNTBLANK(T105:W105)=4,"",SUM(T105:V105)+IF(Setup!$I$15="No",0,W105))</f>
        <v/>
      </c>
      <c r="Y105" s="191"/>
      <c r="Z105" s="191"/>
      <c r="AA105" s="191"/>
      <c r="AB105" s="191"/>
      <c r="AC105" s="254" t="str">
        <f>IF(COUNTBLANK(Y105:AB105)=4,"",SUM(Y105:AA105)+IF(Setup!$I$15="No",0,AB105))</f>
        <v/>
      </c>
      <c r="AD105" s="191"/>
      <c r="AE105" s="191"/>
      <c r="AF105" s="191"/>
      <c r="AG105" s="191"/>
      <c r="AH105" s="254" t="str">
        <f>IF(COUNTBLANK(AD105:AG105)=4,"",SUM(AD105:AF105)+IF(Setup!$I$15="No",0,AG105))</f>
        <v/>
      </c>
      <c r="AI105" s="191"/>
      <c r="AJ105" s="191"/>
      <c r="AK105" s="191"/>
      <c r="AL105" s="191"/>
      <c r="AM105" s="254" t="str">
        <f>IF(COUNTBLANK(AI105:AL105)=4,"",SUM(AI105:AK105)+IF(Setup!$I$15="No",0,AL105))</f>
        <v/>
      </c>
      <c r="AN105" s="191"/>
      <c r="AO105" s="191"/>
      <c r="AP105" s="191"/>
      <c r="AQ105" s="191"/>
      <c r="AR105" s="254" t="str">
        <f>IF(COUNTBLANK(AN105:AQ105)=4,"",SUM(AN105:AP105)+IF(Setup!$I$15="No",0,AQ105))</f>
        <v/>
      </c>
      <c r="AS105" s="191"/>
      <c r="AT105" s="191"/>
      <c r="AU105" s="191"/>
      <c r="AV105" s="191"/>
      <c r="AW105" s="254" t="str">
        <f>IF(COUNTBLANK(AS105:AV105)=4,"",SUM(AS105:AU105)+IF(Setup!$I$15="No",0,AV105))</f>
        <v/>
      </c>
      <c r="AX105" s="191"/>
      <c r="AY105" s="191"/>
      <c r="AZ105" s="191"/>
      <c r="BA105" s="191"/>
      <c r="BB105" s="254" t="str">
        <f>IF(COUNTBLANK(AX105:BA105)=4,"",SUM(AX105:AZ105)+IF(Setup!$I$15="No",0,BA105))</f>
        <v/>
      </c>
      <c r="BC105" s="258" t="str">
        <f ca="1">IF('Demand background (hide)'!A96=Num_Modalities,"",SUM(Demand!I105))</f>
        <v/>
      </c>
      <c r="BD105" s="258" t="str">
        <f ca="1">IF(AND(A105&lt;=MaxRows,BE105&lt;&gt;"Yes"),'Demand background (hide)'!X96+IF(Setup!$I$15="Yes",'Demand background (hide)'!AJ96,0),"")</f>
        <v/>
      </c>
      <c r="BE105" s="208"/>
    </row>
    <row r="106" spans="1:57" ht="15" x14ac:dyDescent="0.25">
      <c r="A106" t="str">
        <f t="shared" ca="1" si="4"/>
        <v/>
      </c>
      <c r="B106" s="263" t="str">
        <f t="shared" ca="1" si="5"/>
        <v xml:space="preserve"> </v>
      </c>
      <c r="C106" s="264" t="str">
        <f t="shared" ca="1" si="6"/>
        <v/>
      </c>
      <c r="D106" s="264" t="str">
        <f t="shared" ca="1" si="7"/>
        <v/>
      </c>
      <c r="E106" s="191"/>
      <c r="F106" s="191"/>
      <c r="G106" s="192"/>
      <c r="H106" s="191"/>
      <c r="I106" s="250" t="str">
        <f>IF(COUNTBLANK(E106:H106)=4,"",SUM(E106:G106)+IF(Setup!$I$15="No",0,H106))</f>
        <v/>
      </c>
      <c r="J106" s="191"/>
      <c r="K106" s="191"/>
      <c r="L106" s="191"/>
      <c r="M106" s="191"/>
      <c r="N106" s="254" t="str">
        <f>IF(COUNTBLANK(J106:M106)=4,"",SUM(J106:L106)+IF(Setup!$I$15="No",0,M106))</f>
        <v/>
      </c>
      <c r="O106" s="191"/>
      <c r="P106" s="191"/>
      <c r="Q106" s="191"/>
      <c r="R106" s="191"/>
      <c r="S106" s="254" t="str">
        <f>IF(COUNTBLANK(O106:R106)=4,"",SUM(O106:Q106)+IF(Setup!$I$15="No",0,R106))</f>
        <v/>
      </c>
      <c r="T106" s="191"/>
      <c r="U106" s="191"/>
      <c r="V106" s="191"/>
      <c r="W106" s="191"/>
      <c r="X106" s="254" t="str">
        <f>IF(COUNTBLANK(T106:W106)=4,"",SUM(T106:V106)+IF(Setup!$I$15="No",0,W106))</f>
        <v/>
      </c>
      <c r="Y106" s="191"/>
      <c r="Z106" s="191"/>
      <c r="AA106" s="191"/>
      <c r="AB106" s="191"/>
      <c r="AC106" s="254" t="str">
        <f>IF(COUNTBLANK(Y106:AB106)=4,"",SUM(Y106:AA106)+IF(Setup!$I$15="No",0,AB106))</f>
        <v/>
      </c>
      <c r="AD106" s="191"/>
      <c r="AE106" s="191"/>
      <c r="AF106" s="191"/>
      <c r="AG106" s="191"/>
      <c r="AH106" s="254" t="str">
        <f>IF(COUNTBLANK(AD106:AG106)=4,"",SUM(AD106:AF106)+IF(Setup!$I$15="No",0,AG106))</f>
        <v/>
      </c>
      <c r="AI106" s="191"/>
      <c r="AJ106" s="191"/>
      <c r="AK106" s="191"/>
      <c r="AL106" s="191"/>
      <c r="AM106" s="254" t="str">
        <f>IF(COUNTBLANK(AI106:AL106)=4,"",SUM(AI106:AK106)+IF(Setup!$I$15="No",0,AL106))</f>
        <v/>
      </c>
      <c r="AN106" s="191"/>
      <c r="AO106" s="191"/>
      <c r="AP106" s="191"/>
      <c r="AQ106" s="191"/>
      <c r="AR106" s="254" t="str">
        <f>IF(COUNTBLANK(AN106:AQ106)=4,"",SUM(AN106:AP106)+IF(Setup!$I$15="No",0,AQ106))</f>
        <v/>
      </c>
      <c r="AS106" s="191"/>
      <c r="AT106" s="191"/>
      <c r="AU106" s="191"/>
      <c r="AV106" s="191"/>
      <c r="AW106" s="254" t="str">
        <f>IF(COUNTBLANK(AS106:AV106)=4,"",SUM(AS106:AU106)+IF(Setup!$I$15="No",0,AV106))</f>
        <v/>
      </c>
      <c r="AX106" s="191"/>
      <c r="AY106" s="191"/>
      <c r="AZ106" s="191"/>
      <c r="BA106" s="191"/>
      <c r="BB106" s="254" t="str">
        <f>IF(COUNTBLANK(AX106:BA106)=4,"",SUM(AX106:AZ106)+IF(Setup!$I$15="No",0,BA106))</f>
        <v/>
      </c>
      <c r="BC106" s="258" t="str">
        <f ca="1">IF('Demand background (hide)'!A97=Num_Modalities,"",SUM(Demand!I106))</f>
        <v/>
      </c>
      <c r="BD106" s="258" t="str">
        <f ca="1">IF(AND(A106&lt;=MaxRows,BE106&lt;&gt;"Yes"),'Demand background (hide)'!X97+IF(Setup!$I$15="Yes",'Demand background (hide)'!AJ97,0),"")</f>
        <v/>
      </c>
      <c r="BE106" s="208"/>
    </row>
    <row r="107" spans="1:57" ht="15" x14ac:dyDescent="0.25">
      <c r="A107" t="str">
        <f t="shared" ca="1" si="4"/>
        <v/>
      </c>
      <c r="B107" s="263" t="str">
        <f t="shared" ca="1" si="5"/>
        <v xml:space="preserve"> </v>
      </c>
      <c r="C107" s="264" t="str">
        <f t="shared" ca="1" si="6"/>
        <v/>
      </c>
      <c r="D107" s="264" t="str">
        <f t="shared" ca="1" si="7"/>
        <v/>
      </c>
      <c r="E107" s="191"/>
      <c r="F107" s="191"/>
      <c r="G107" s="192"/>
      <c r="H107" s="191"/>
      <c r="I107" s="250" t="str">
        <f>IF(COUNTBLANK(E107:H107)=4,"",SUM(E107:G107)+IF(Setup!$I$15="No",0,H107))</f>
        <v/>
      </c>
      <c r="J107" s="191"/>
      <c r="K107" s="191"/>
      <c r="L107" s="191"/>
      <c r="M107" s="191"/>
      <c r="N107" s="254" t="str">
        <f>IF(COUNTBLANK(J107:M107)=4,"",SUM(J107:L107)+IF(Setup!$I$15="No",0,M107))</f>
        <v/>
      </c>
      <c r="O107" s="191"/>
      <c r="P107" s="191"/>
      <c r="Q107" s="191"/>
      <c r="R107" s="191"/>
      <c r="S107" s="254" t="str">
        <f>IF(COUNTBLANK(O107:R107)=4,"",SUM(O107:Q107)+IF(Setup!$I$15="No",0,R107))</f>
        <v/>
      </c>
      <c r="T107" s="191"/>
      <c r="U107" s="191"/>
      <c r="V107" s="191"/>
      <c r="W107" s="191"/>
      <c r="X107" s="254" t="str">
        <f>IF(COUNTBLANK(T107:W107)=4,"",SUM(T107:V107)+IF(Setup!$I$15="No",0,W107))</f>
        <v/>
      </c>
      <c r="Y107" s="191"/>
      <c r="Z107" s="191"/>
      <c r="AA107" s="191"/>
      <c r="AB107" s="191"/>
      <c r="AC107" s="254" t="str">
        <f>IF(COUNTBLANK(Y107:AB107)=4,"",SUM(Y107:AA107)+IF(Setup!$I$15="No",0,AB107))</f>
        <v/>
      </c>
      <c r="AD107" s="191"/>
      <c r="AE107" s="191"/>
      <c r="AF107" s="191"/>
      <c r="AG107" s="191"/>
      <c r="AH107" s="254" t="str">
        <f>IF(COUNTBLANK(AD107:AG107)=4,"",SUM(AD107:AF107)+IF(Setup!$I$15="No",0,AG107))</f>
        <v/>
      </c>
      <c r="AI107" s="191"/>
      <c r="AJ107" s="191"/>
      <c r="AK107" s="191"/>
      <c r="AL107" s="191"/>
      <c r="AM107" s="254" t="str">
        <f>IF(COUNTBLANK(AI107:AL107)=4,"",SUM(AI107:AK107)+IF(Setup!$I$15="No",0,AL107))</f>
        <v/>
      </c>
      <c r="AN107" s="191"/>
      <c r="AO107" s="191"/>
      <c r="AP107" s="191"/>
      <c r="AQ107" s="191"/>
      <c r="AR107" s="254" t="str">
        <f>IF(COUNTBLANK(AN107:AQ107)=4,"",SUM(AN107:AP107)+IF(Setup!$I$15="No",0,AQ107))</f>
        <v/>
      </c>
      <c r="AS107" s="191"/>
      <c r="AT107" s="191"/>
      <c r="AU107" s="191"/>
      <c r="AV107" s="191"/>
      <c r="AW107" s="254" t="str">
        <f>IF(COUNTBLANK(AS107:AV107)=4,"",SUM(AS107:AU107)+IF(Setup!$I$15="No",0,AV107))</f>
        <v/>
      </c>
      <c r="AX107" s="191"/>
      <c r="AY107" s="191"/>
      <c r="AZ107" s="191"/>
      <c r="BA107" s="191"/>
      <c r="BB107" s="254" t="str">
        <f>IF(COUNTBLANK(AX107:BA107)=4,"",SUM(AX107:AZ107)+IF(Setup!$I$15="No",0,BA107))</f>
        <v/>
      </c>
      <c r="BC107" s="258" t="str">
        <f ca="1">IF('Demand background (hide)'!A98=Num_Modalities,"",SUM(Demand!I107))</f>
        <v/>
      </c>
      <c r="BD107" s="258" t="str">
        <f ca="1">IF(AND(A107&lt;=MaxRows,BE107&lt;&gt;"Yes"),'Demand background (hide)'!X98+IF(Setup!$I$15="Yes",'Demand background (hide)'!AJ98,0),"")</f>
        <v/>
      </c>
      <c r="BE107" s="208"/>
    </row>
    <row r="108" spans="1:57" ht="15" x14ac:dyDescent="0.25">
      <c r="A108" t="str">
        <f t="shared" ca="1" si="4"/>
        <v/>
      </c>
      <c r="B108" s="263" t="str">
        <f t="shared" ca="1" si="5"/>
        <v xml:space="preserve"> </v>
      </c>
      <c r="C108" s="264" t="str">
        <f t="shared" ca="1" si="6"/>
        <v/>
      </c>
      <c r="D108" s="264" t="str">
        <f t="shared" ca="1" si="7"/>
        <v/>
      </c>
      <c r="E108" s="191"/>
      <c r="F108" s="191"/>
      <c r="G108" s="192"/>
      <c r="H108" s="191"/>
      <c r="I108" s="250" t="str">
        <f>IF(COUNTBLANK(E108:H108)=4,"",SUM(E108:G108)+IF(Setup!$I$15="No",0,H108))</f>
        <v/>
      </c>
      <c r="J108" s="191"/>
      <c r="K108" s="191"/>
      <c r="L108" s="191"/>
      <c r="M108" s="191"/>
      <c r="N108" s="254" t="str">
        <f>IF(COUNTBLANK(J108:M108)=4,"",SUM(J108:L108)+IF(Setup!$I$15="No",0,M108))</f>
        <v/>
      </c>
      <c r="O108" s="191"/>
      <c r="P108" s="191"/>
      <c r="Q108" s="191"/>
      <c r="R108" s="191"/>
      <c r="S108" s="254" t="str">
        <f>IF(COUNTBLANK(O108:R108)=4,"",SUM(O108:Q108)+IF(Setup!$I$15="No",0,R108))</f>
        <v/>
      </c>
      <c r="T108" s="191"/>
      <c r="U108" s="191"/>
      <c r="V108" s="191"/>
      <c r="W108" s="191"/>
      <c r="X108" s="254" t="str">
        <f>IF(COUNTBLANK(T108:W108)=4,"",SUM(T108:V108)+IF(Setup!$I$15="No",0,W108))</f>
        <v/>
      </c>
      <c r="Y108" s="191"/>
      <c r="Z108" s="191"/>
      <c r="AA108" s="191"/>
      <c r="AB108" s="191"/>
      <c r="AC108" s="254" t="str">
        <f>IF(COUNTBLANK(Y108:AB108)=4,"",SUM(Y108:AA108)+IF(Setup!$I$15="No",0,AB108))</f>
        <v/>
      </c>
      <c r="AD108" s="191"/>
      <c r="AE108" s="191"/>
      <c r="AF108" s="191"/>
      <c r="AG108" s="191"/>
      <c r="AH108" s="254" t="str">
        <f>IF(COUNTBLANK(AD108:AG108)=4,"",SUM(AD108:AF108)+IF(Setup!$I$15="No",0,AG108))</f>
        <v/>
      </c>
      <c r="AI108" s="191"/>
      <c r="AJ108" s="191"/>
      <c r="AK108" s="191"/>
      <c r="AL108" s="191"/>
      <c r="AM108" s="254" t="str">
        <f>IF(COUNTBLANK(AI108:AL108)=4,"",SUM(AI108:AK108)+IF(Setup!$I$15="No",0,AL108))</f>
        <v/>
      </c>
      <c r="AN108" s="191"/>
      <c r="AO108" s="191"/>
      <c r="AP108" s="191"/>
      <c r="AQ108" s="191"/>
      <c r="AR108" s="254" t="str">
        <f>IF(COUNTBLANK(AN108:AQ108)=4,"",SUM(AN108:AP108)+IF(Setup!$I$15="No",0,AQ108))</f>
        <v/>
      </c>
      <c r="AS108" s="191"/>
      <c r="AT108" s="191"/>
      <c r="AU108" s="191"/>
      <c r="AV108" s="191"/>
      <c r="AW108" s="254" t="str">
        <f>IF(COUNTBLANK(AS108:AV108)=4,"",SUM(AS108:AU108)+IF(Setup!$I$15="No",0,AV108))</f>
        <v/>
      </c>
      <c r="AX108" s="191"/>
      <c r="AY108" s="191"/>
      <c r="AZ108" s="191"/>
      <c r="BA108" s="191"/>
      <c r="BB108" s="254" t="str">
        <f>IF(COUNTBLANK(AX108:BA108)=4,"",SUM(AX108:AZ108)+IF(Setup!$I$15="No",0,BA108))</f>
        <v/>
      </c>
      <c r="BC108" s="258" t="str">
        <f ca="1">IF('Demand background (hide)'!A99=Num_Modalities,"",SUM(Demand!I108))</f>
        <v/>
      </c>
      <c r="BD108" s="258" t="str">
        <f ca="1">IF(AND(A108&lt;=MaxRows,BE108&lt;&gt;"Yes"),'Demand background (hide)'!X99+IF(Setup!$I$15="Yes",'Demand background (hide)'!AJ99,0),"")</f>
        <v/>
      </c>
      <c r="BE108" s="208"/>
    </row>
    <row r="109" spans="1:57" ht="15" x14ac:dyDescent="0.25">
      <c r="A109" t="str">
        <f t="shared" ca="1" si="4"/>
        <v/>
      </c>
      <c r="B109" s="263" t="str">
        <f t="shared" ca="1" si="5"/>
        <v xml:space="preserve"> </v>
      </c>
      <c r="C109" s="264" t="str">
        <f t="shared" ca="1" si="6"/>
        <v/>
      </c>
      <c r="D109" s="264" t="str">
        <f t="shared" ca="1" si="7"/>
        <v/>
      </c>
      <c r="E109" s="191"/>
      <c r="F109" s="191"/>
      <c r="G109" s="192"/>
      <c r="H109" s="191"/>
      <c r="I109" s="250" t="str">
        <f>IF(COUNTBLANK(E109:H109)=4,"",SUM(E109:G109)+IF(Setup!$I$15="No",0,H109))</f>
        <v/>
      </c>
      <c r="J109" s="191"/>
      <c r="K109" s="191"/>
      <c r="L109" s="191"/>
      <c r="M109" s="191"/>
      <c r="N109" s="254" t="str">
        <f>IF(COUNTBLANK(J109:M109)=4,"",SUM(J109:L109)+IF(Setup!$I$15="No",0,M109))</f>
        <v/>
      </c>
      <c r="O109" s="191"/>
      <c r="P109" s="191"/>
      <c r="Q109" s="191"/>
      <c r="R109" s="191"/>
      <c r="S109" s="254" t="str">
        <f>IF(COUNTBLANK(O109:R109)=4,"",SUM(O109:Q109)+IF(Setup!$I$15="No",0,R109))</f>
        <v/>
      </c>
      <c r="T109" s="191"/>
      <c r="U109" s="191"/>
      <c r="V109" s="191"/>
      <c r="W109" s="191"/>
      <c r="X109" s="254" t="str">
        <f>IF(COUNTBLANK(T109:W109)=4,"",SUM(T109:V109)+IF(Setup!$I$15="No",0,W109))</f>
        <v/>
      </c>
      <c r="Y109" s="191"/>
      <c r="Z109" s="191"/>
      <c r="AA109" s="191"/>
      <c r="AB109" s="191"/>
      <c r="AC109" s="254" t="str">
        <f>IF(COUNTBLANK(Y109:AB109)=4,"",SUM(Y109:AA109)+IF(Setup!$I$15="No",0,AB109))</f>
        <v/>
      </c>
      <c r="AD109" s="191"/>
      <c r="AE109" s="191"/>
      <c r="AF109" s="191"/>
      <c r="AG109" s="191"/>
      <c r="AH109" s="254" t="str">
        <f>IF(COUNTBLANK(AD109:AG109)=4,"",SUM(AD109:AF109)+IF(Setup!$I$15="No",0,AG109))</f>
        <v/>
      </c>
      <c r="AI109" s="191"/>
      <c r="AJ109" s="191"/>
      <c r="AK109" s="191"/>
      <c r="AL109" s="191"/>
      <c r="AM109" s="254" t="str">
        <f>IF(COUNTBLANK(AI109:AL109)=4,"",SUM(AI109:AK109)+IF(Setup!$I$15="No",0,AL109))</f>
        <v/>
      </c>
      <c r="AN109" s="191"/>
      <c r="AO109" s="191"/>
      <c r="AP109" s="191"/>
      <c r="AQ109" s="191"/>
      <c r="AR109" s="254" t="str">
        <f>IF(COUNTBLANK(AN109:AQ109)=4,"",SUM(AN109:AP109)+IF(Setup!$I$15="No",0,AQ109))</f>
        <v/>
      </c>
      <c r="AS109" s="191"/>
      <c r="AT109" s="191"/>
      <c r="AU109" s="191"/>
      <c r="AV109" s="191"/>
      <c r="AW109" s="254" t="str">
        <f>IF(COUNTBLANK(AS109:AV109)=4,"",SUM(AS109:AU109)+IF(Setup!$I$15="No",0,AV109))</f>
        <v/>
      </c>
      <c r="AX109" s="191"/>
      <c r="AY109" s="191"/>
      <c r="AZ109" s="191"/>
      <c r="BA109" s="191"/>
      <c r="BB109" s="254" t="str">
        <f>IF(COUNTBLANK(AX109:BA109)=4,"",SUM(AX109:AZ109)+IF(Setup!$I$15="No",0,BA109))</f>
        <v/>
      </c>
      <c r="BC109" s="258" t="str">
        <f ca="1">IF('Demand background (hide)'!A100=Num_Modalities,"",SUM(Demand!I109))</f>
        <v/>
      </c>
      <c r="BD109" s="258" t="str">
        <f ca="1">IF(AND(A109&lt;=MaxRows,BE109&lt;&gt;"Yes"),'Demand background (hide)'!X100+IF(Setup!$I$15="Yes",'Demand background (hide)'!AJ100,0),"")</f>
        <v/>
      </c>
      <c r="BE109" s="208"/>
    </row>
    <row r="110" spans="1:57" ht="15" x14ac:dyDescent="0.25">
      <c r="A110" t="str">
        <f t="shared" ca="1" si="4"/>
        <v/>
      </c>
      <c r="B110" s="263" t="str">
        <f t="shared" ca="1" si="5"/>
        <v xml:space="preserve"> </v>
      </c>
      <c r="C110" s="264" t="str">
        <f t="shared" ca="1" si="6"/>
        <v/>
      </c>
      <c r="D110" s="264" t="str">
        <f t="shared" ca="1" si="7"/>
        <v/>
      </c>
      <c r="E110" s="191"/>
      <c r="F110" s="191"/>
      <c r="G110" s="192"/>
      <c r="H110" s="191"/>
      <c r="I110" s="250" t="str">
        <f>IF(COUNTBLANK(E110:H110)=4,"",SUM(E110:G110)+IF(Setup!$I$15="No",0,H110))</f>
        <v/>
      </c>
      <c r="J110" s="191"/>
      <c r="K110" s="191"/>
      <c r="L110" s="191"/>
      <c r="M110" s="191"/>
      <c r="N110" s="254" t="str">
        <f>IF(COUNTBLANK(J110:M110)=4,"",SUM(J110:L110)+IF(Setup!$I$15="No",0,M110))</f>
        <v/>
      </c>
      <c r="O110" s="191"/>
      <c r="P110" s="191"/>
      <c r="Q110" s="191"/>
      <c r="R110" s="191"/>
      <c r="S110" s="254" t="str">
        <f>IF(COUNTBLANK(O110:R110)=4,"",SUM(O110:Q110)+IF(Setup!$I$15="No",0,R110))</f>
        <v/>
      </c>
      <c r="T110" s="191"/>
      <c r="U110" s="191"/>
      <c r="V110" s="191"/>
      <c r="W110" s="191"/>
      <c r="X110" s="254" t="str">
        <f>IF(COUNTBLANK(T110:W110)=4,"",SUM(T110:V110)+IF(Setup!$I$15="No",0,W110))</f>
        <v/>
      </c>
      <c r="Y110" s="191"/>
      <c r="Z110" s="191"/>
      <c r="AA110" s="191"/>
      <c r="AB110" s="191"/>
      <c r="AC110" s="254" t="str">
        <f>IF(COUNTBLANK(Y110:AB110)=4,"",SUM(Y110:AA110)+IF(Setup!$I$15="No",0,AB110))</f>
        <v/>
      </c>
      <c r="AD110" s="191"/>
      <c r="AE110" s="191"/>
      <c r="AF110" s="191"/>
      <c r="AG110" s="191"/>
      <c r="AH110" s="254" t="str">
        <f>IF(COUNTBLANK(AD110:AG110)=4,"",SUM(AD110:AF110)+IF(Setup!$I$15="No",0,AG110))</f>
        <v/>
      </c>
      <c r="AI110" s="191"/>
      <c r="AJ110" s="191"/>
      <c r="AK110" s="191"/>
      <c r="AL110" s="191"/>
      <c r="AM110" s="254" t="str">
        <f>IF(COUNTBLANK(AI110:AL110)=4,"",SUM(AI110:AK110)+IF(Setup!$I$15="No",0,AL110))</f>
        <v/>
      </c>
      <c r="AN110" s="191"/>
      <c r="AO110" s="191"/>
      <c r="AP110" s="191"/>
      <c r="AQ110" s="191"/>
      <c r="AR110" s="254" t="str">
        <f>IF(COUNTBLANK(AN110:AQ110)=4,"",SUM(AN110:AP110)+IF(Setup!$I$15="No",0,AQ110))</f>
        <v/>
      </c>
      <c r="AS110" s="191"/>
      <c r="AT110" s="191"/>
      <c r="AU110" s="191"/>
      <c r="AV110" s="191"/>
      <c r="AW110" s="254" t="str">
        <f>IF(COUNTBLANK(AS110:AV110)=4,"",SUM(AS110:AU110)+IF(Setup!$I$15="No",0,AV110))</f>
        <v/>
      </c>
      <c r="AX110" s="191"/>
      <c r="AY110" s="191"/>
      <c r="AZ110" s="191"/>
      <c r="BA110" s="191"/>
      <c r="BB110" s="254" t="str">
        <f>IF(COUNTBLANK(AX110:BA110)=4,"",SUM(AX110:AZ110)+IF(Setup!$I$15="No",0,BA110))</f>
        <v/>
      </c>
      <c r="BC110" s="258" t="str">
        <f ca="1">IF('Demand background (hide)'!A101=Num_Modalities,"",SUM(Demand!I110))</f>
        <v/>
      </c>
      <c r="BD110" s="258" t="str">
        <f ca="1">IF(AND(A110&lt;=MaxRows,BE110&lt;&gt;"Yes"),'Demand background (hide)'!X101+IF(Setup!$I$15="Yes",'Demand background (hide)'!AJ101,0),"")</f>
        <v/>
      </c>
      <c r="BE110" s="208"/>
    </row>
    <row r="111" spans="1:57" ht="15" x14ac:dyDescent="0.25">
      <c r="A111" t="str">
        <f t="shared" ca="1" si="4"/>
        <v/>
      </c>
      <c r="B111" s="263" t="str">
        <f t="shared" ca="1" si="5"/>
        <v xml:space="preserve"> </v>
      </c>
      <c r="C111" s="264" t="str">
        <f t="shared" ca="1" si="6"/>
        <v/>
      </c>
      <c r="D111" s="264" t="str">
        <f t="shared" ca="1" si="7"/>
        <v/>
      </c>
      <c r="E111" s="191"/>
      <c r="F111" s="191"/>
      <c r="G111" s="192"/>
      <c r="H111" s="191"/>
      <c r="I111" s="250" t="str">
        <f>IF(COUNTBLANK(E111:H111)=4,"",SUM(E111:G111)+IF(Setup!$I$15="No",0,H111))</f>
        <v/>
      </c>
      <c r="J111" s="191"/>
      <c r="K111" s="191"/>
      <c r="L111" s="191"/>
      <c r="M111" s="191"/>
      <c r="N111" s="254" t="str">
        <f>IF(COUNTBLANK(J111:M111)=4,"",SUM(J111:L111)+IF(Setup!$I$15="No",0,M111))</f>
        <v/>
      </c>
      <c r="O111" s="191"/>
      <c r="P111" s="191"/>
      <c r="Q111" s="191"/>
      <c r="R111" s="191"/>
      <c r="S111" s="254" t="str">
        <f>IF(COUNTBLANK(O111:R111)=4,"",SUM(O111:Q111)+IF(Setup!$I$15="No",0,R111))</f>
        <v/>
      </c>
      <c r="T111" s="191"/>
      <c r="U111" s="191"/>
      <c r="V111" s="191"/>
      <c r="W111" s="191"/>
      <c r="X111" s="254" t="str">
        <f>IF(COUNTBLANK(T111:W111)=4,"",SUM(T111:V111)+IF(Setup!$I$15="No",0,W111))</f>
        <v/>
      </c>
      <c r="Y111" s="191"/>
      <c r="Z111" s="191"/>
      <c r="AA111" s="191"/>
      <c r="AB111" s="191"/>
      <c r="AC111" s="254" t="str">
        <f>IF(COUNTBLANK(Y111:AB111)=4,"",SUM(Y111:AA111)+IF(Setup!$I$15="No",0,AB111))</f>
        <v/>
      </c>
      <c r="AD111" s="191"/>
      <c r="AE111" s="191"/>
      <c r="AF111" s="191"/>
      <c r="AG111" s="191"/>
      <c r="AH111" s="254" t="str">
        <f>IF(COUNTBLANK(AD111:AG111)=4,"",SUM(AD111:AF111)+IF(Setup!$I$15="No",0,AG111))</f>
        <v/>
      </c>
      <c r="AI111" s="191"/>
      <c r="AJ111" s="191"/>
      <c r="AK111" s="191"/>
      <c r="AL111" s="191"/>
      <c r="AM111" s="254" t="str">
        <f>IF(COUNTBLANK(AI111:AL111)=4,"",SUM(AI111:AK111)+IF(Setup!$I$15="No",0,AL111))</f>
        <v/>
      </c>
      <c r="AN111" s="191"/>
      <c r="AO111" s="191"/>
      <c r="AP111" s="191"/>
      <c r="AQ111" s="191"/>
      <c r="AR111" s="254" t="str">
        <f>IF(COUNTBLANK(AN111:AQ111)=4,"",SUM(AN111:AP111)+IF(Setup!$I$15="No",0,AQ111))</f>
        <v/>
      </c>
      <c r="AS111" s="191"/>
      <c r="AT111" s="191"/>
      <c r="AU111" s="191"/>
      <c r="AV111" s="191"/>
      <c r="AW111" s="254" t="str">
        <f>IF(COUNTBLANK(AS111:AV111)=4,"",SUM(AS111:AU111)+IF(Setup!$I$15="No",0,AV111))</f>
        <v/>
      </c>
      <c r="AX111" s="191"/>
      <c r="AY111" s="191"/>
      <c r="AZ111" s="191"/>
      <c r="BA111" s="191"/>
      <c r="BB111" s="254" t="str">
        <f>IF(COUNTBLANK(AX111:BA111)=4,"",SUM(AX111:AZ111)+IF(Setup!$I$15="No",0,BA111))</f>
        <v/>
      </c>
      <c r="BC111" s="258" t="str">
        <f ca="1">IF('Demand background (hide)'!A102=Num_Modalities,"",SUM(Demand!I111))</f>
        <v/>
      </c>
      <c r="BD111" s="258" t="str">
        <f ca="1">IF(AND(A111&lt;=MaxRows,BE111&lt;&gt;"Yes"),'Demand background (hide)'!X102+IF(Setup!$I$15="Yes",'Demand background (hide)'!AJ102,0),"")</f>
        <v/>
      </c>
      <c r="BE111" s="208"/>
    </row>
    <row r="112" spans="1:57" ht="15" x14ac:dyDescent="0.25">
      <c r="A112" t="str">
        <f t="shared" ca="1" si="4"/>
        <v/>
      </c>
      <c r="B112" s="263" t="str">
        <f t="shared" ca="1" si="5"/>
        <v xml:space="preserve"> </v>
      </c>
      <c r="C112" s="264" t="str">
        <f t="shared" ca="1" si="6"/>
        <v/>
      </c>
      <c r="D112" s="264" t="str">
        <f t="shared" ca="1" si="7"/>
        <v/>
      </c>
      <c r="E112" s="191"/>
      <c r="F112" s="191"/>
      <c r="G112" s="192"/>
      <c r="H112" s="191"/>
      <c r="I112" s="250" t="str">
        <f>IF(COUNTBLANK(E112:H112)=4,"",SUM(E112:G112)+IF(Setup!$I$15="No",0,H112))</f>
        <v/>
      </c>
      <c r="J112" s="191"/>
      <c r="K112" s="191"/>
      <c r="L112" s="191"/>
      <c r="M112" s="191"/>
      <c r="N112" s="254" t="str">
        <f>IF(COUNTBLANK(J112:M112)=4,"",SUM(J112:L112)+IF(Setup!$I$15="No",0,M112))</f>
        <v/>
      </c>
      <c r="O112" s="191"/>
      <c r="P112" s="191"/>
      <c r="Q112" s="191"/>
      <c r="R112" s="191"/>
      <c r="S112" s="254" t="str">
        <f>IF(COUNTBLANK(O112:R112)=4,"",SUM(O112:Q112)+IF(Setup!$I$15="No",0,R112))</f>
        <v/>
      </c>
      <c r="T112" s="191"/>
      <c r="U112" s="191"/>
      <c r="V112" s="191"/>
      <c r="W112" s="191"/>
      <c r="X112" s="254" t="str">
        <f>IF(COUNTBLANK(T112:W112)=4,"",SUM(T112:V112)+IF(Setup!$I$15="No",0,W112))</f>
        <v/>
      </c>
      <c r="Y112" s="191"/>
      <c r="Z112" s="191"/>
      <c r="AA112" s="191"/>
      <c r="AB112" s="191"/>
      <c r="AC112" s="254" t="str">
        <f>IF(COUNTBLANK(Y112:AB112)=4,"",SUM(Y112:AA112)+IF(Setup!$I$15="No",0,AB112))</f>
        <v/>
      </c>
      <c r="AD112" s="191"/>
      <c r="AE112" s="191"/>
      <c r="AF112" s="191"/>
      <c r="AG112" s="191"/>
      <c r="AH112" s="254" t="str">
        <f>IF(COUNTBLANK(AD112:AG112)=4,"",SUM(AD112:AF112)+IF(Setup!$I$15="No",0,AG112))</f>
        <v/>
      </c>
      <c r="AI112" s="191"/>
      <c r="AJ112" s="191"/>
      <c r="AK112" s="191"/>
      <c r="AL112" s="191"/>
      <c r="AM112" s="254" t="str">
        <f>IF(COUNTBLANK(AI112:AL112)=4,"",SUM(AI112:AK112)+IF(Setup!$I$15="No",0,AL112))</f>
        <v/>
      </c>
      <c r="AN112" s="191"/>
      <c r="AO112" s="191"/>
      <c r="AP112" s="191"/>
      <c r="AQ112" s="191"/>
      <c r="AR112" s="254" t="str">
        <f>IF(COUNTBLANK(AN112:AQ112)=4,"",SUM(AN112:AP112)+IF(Setup!$I$15="No",0,AQ112))</f>
        <v/>
      </c>
      <c r="AS112" s="191"/>
      <c r="AT112" s="191"/>
      <c r="AU112" s="191"/>
      <c r="AV112" s="191"/>
      <c r="AW112" s="254" t="str">
        <f>IF(COUNTBLANK(AS112:AV112)=4,"",SUM(AS112:AU112)+IF(Setup!$I$15="No",0,AV112))</f>
        <v/>
      </c>
      <c r="AX112" s="191"/>
      <c r="AY112" s="191"/>
      <c r="AZ112" s="191"/>
      <c r="BA112" s="191"/>
      <c r="BB112" s="254" t="str">
        <f>IF(COUNTBLANK(AX112:BA112)=4,"",SUM(AX112:AZ112)+IF(Setup!$I$15="No",0,BA112))</f>
        <v/>
      </c>
      <c r="BC112" s="258" t="str">
        <f ca="1">IF('Demand background (hide)'!A103=Num_Modalities,"",SUM(Demand!I112))</f>
        <v/>
      </c>
      <c r="BD112" s="258" t="str">
        <f ca="1">IF(AND(A112&lt;=MaxRows,BE112&lt;&gt;"Yes"),'Demand background (hide)'!X103+IF(Setup!$I$15="Yes",'Demand background (hide)'!AJ103,0),"")</f>
        <v/>
      </c>
      <c r="BE112" s="208"/>
    </row>
    <row r="113" spans="1:59" ht="15" x14ac:dyDescent="0.25">
      <c r="A113" t="str">
        <f t="shared" ca="1" si="4"/>
        <v/>
      </c>
      <c r="B113" s="263" t="str">
        <f t="shared" ca="1" si="5"/>
        <v xml:space="preserve"> </v>
      </c>
      <c r="C113" s="264" t="str">
        <f t="shared" ca="1" si="6"/>
        <v/>
      </c>
      <c r="D113" s="264" t="str">
        <f t="shared" ca="1" si="7"/>
        <v/>
      </c>
      <c r="E113" s="191"/>
      <c r="F113" s="191"/>
      <c r="G113" s="192"/>
      <c r="H113" s="191"/>
      <c r="I113" s="250" t="str">
        <f>IF(COUNTBLANK(E113:H113)=4,"",SUM(E113:G113)+IF(Setup!$I$15="No",0,H113))</f>
        <v/>
      </c>
      <c r="J113" s="191"/>
      <c r="K113" s="191"/>
      <c r="L113" s="191"/>
      <c r="M113" s="191"/>
      <c r="N113" s="254" t="str">
        <f>IF(COUNTBLANK(J113:M113)=4,"",SUM(J113:L113)+IF(Setup!$I$15="No",0,M113))</f>
        <v/>
      </c>
      <c r="O113" s="191"/>
      <c r="P113" s="191"/>
      <c r="Q113" s="191"/>
      <c r="R113" s="191"/>
      <c r="S113" s="254" t="str">
        <f>IF(COUNTBLANK(O113:R113)=4,"",SUM(O113:Q113)+IF(Setup!$I$15="No",0,R113))</f>
        <v/>
      </c>
      <c r="T113" s="191"/>
      <c r="U113" s="191"/>
      <c r="V113" s="191"/>
      <c r="W113" s="191"/>
      <c r="X113" s="254" t="str">
        <f>IF(COUNTBLANK(T113:W113)=4,"",SUM(T113:V113)+IF(Setup!$I$15="No",0,W113))</f>
        <v/>
      </c>
      <c r="Y113" s="191"/>
      <c r="Z113" s="191"/>
      <c r="AA113" s="191"/>
      <c r="AB113" s="191"/>
      <c r="AC113" s="254" t="str">
        <f>IF(COUNTBLANK(Y113:AB113)=4,"",SUM(Y113:AA113)+IF(Setup!$I$15="No",0,AB113))</f>
        <v/>
      </c>
      <c r="AD113" s="191"/>
      <c r="AE113" s="191"/>
      <c r="AF113" s="191"/>
      <c r="AG113" s="191"/>
      <c r="AH113" s="254" t="str">
        <f>IF(COUNTBLANK(AD113:AG113)=4,"",SUM(AD113:AF113)+IF(Setup!$I$15="No",0,AG113))</f>
        <v/>
      </c>
      <c r="AI113" s="191"/>
      <c r="AJ113" s="191"/>
      <c r="AK113" s="191"/>
      <c r="AL113" s="191"/>
      <c r="AM113" s="254" t="str">
        <f>IF(COUNTBLANK(AI113:AL113)=4,"",SUM(AI113:AK113)+IF(Setup!$I$15="No",0,AL113))</f>
        <v/>
      </c>
      <c r="AN113" s="191"/>
      <c r="AO113" s="191"/>
      <c r="AP113" s="191"/>
      <c r="AQ113" s="191"/>
      <c r="AR113" s="254" t="str">
        <f>IF(COUNTBLANK(AN113:AQ113)=4,"",SUM(AN113:AP113)+IF(Setup!$I$15="No",0,AQ113))</f>
        <v/>
      </c>
      <c r="AS113" s="191"/>
      <c r="AT113" s="191"/>
      <c r="AU113" s="191"/>
      <c r="AV113" s="191"/>
      <c r="AW113" s="254" t="str">
        <f>IF(COUNTBLANK(AS113:AV113)=4,"",SUM(AS113:AU113)+IF(Setup!$I$15="No",0,AV113))</f>
        <v/>
      </c>
      <c r="AX113" s="191"/>
      <c r="AY113" s="191"/>
      <c r="AZ113" s="191"/>
      <c r="BA113" s="191"/>
      <c r="BB113" s="254" t="str">
        <f>IF(COUNTBLANK(AX113:BA113)=4,"",SUM(AX113:AZ113)+IF(Setup!$I$15="No",0,BA113))</f>
        <v/>
      </c>
      <c r="BC113" s="258" t="str">
        <f ca="1">IF('Demand background (hide)'!A104=Num_Modalities,"",SUM(Demand!I113))</f>
        <v/>
      </c>
      <c r="BD113" s="258" t="str">
        <f ca="1">IF(AND(A113&lt;=MaxRows,BE113&lt;&gt;"Yes"),'Demand background (hide)'!X104+IF(Setup!$I$15="Yes",'Demand background (hide)'!AJ104,0),"")</f>
        <v/>
      </c>
      <c r="BE113" s="208"/>
    </row>
    <row r="114" spans="1:59" ht="15" x14ac:dyDescent="0.25">
      <c r="A114" t="str">
        <f t="shared" ca="1" si="4"/>
        <v/>
      </c>
      <c r="B114" s="263" t="str">
        <f t="shared" ca="1" si="5"/>
        <v xml:space="preserve"> </v>
      </c>
      <c r="C114" s="264" t="str">
        <f t="shared" ca="1" si="6"/>
        <v/>
      </c>
      <c r="D114" s="264" t="str">
        <f t="shared" ca="1" si="7"/>
        <v/>
      </c>
      <c r="E114" s="191"/>
      <c r="F114" s="191"/>
      <c r="G114" s="192"/>
      <c r="H114" s="191"/>
      <c r="I114" s="250" t="str">
        <f>IF(COUNTBLANK(E114:H114)=4,"",SUM(E114:G114)+IF(Setup!$I$15="No",0,H114))</f>
        <v/>
      </c>
      <c r="J114" s="191"/>
      <c r="K114" s="191"/>
      <c r="L114" s="191"/>
      <c r="M114" s="191"/>
      <c r="N114" s="254" t="str">
        <f>IF(COUNTBLANK(J114:M114)=4,"",SUM(J114:L114)+IF(Setup!$I$15="No",0,M114))</f>
        <v/>
      </c>
      <c r="O114" s="191"/>
      <c r="P114" s="191"/>
      <c r="Q114" s="191"/>
      <c r="R114" s="191"/>
      <c r="S114" s="254" t="str">
        <f>IF(COUNTBLANK(O114:R114)=4,"",SUM(O114:Q114)+IF(Setup!$I$15="No",0,R114))</f>
        <v/>
      </c>
      <c r="T114" s="191"/>
      <c r="U114" s="191"/>
      <c r="V114" s="191"/>
      <c r="W114" s="191"/>
      <c r="X114" s="254" t="str">
        <f>IF(COUNTBLANK(T114:W114)=4,"",SUM(T114:V114)+IF(Setup!$I$15="No",0,W114))</f>
        <v/>
      </c>
      <c r="Y114" s="191"/>
      <c r="Z114" s="191"/>
      <c r="AA114" s="191"/>
      <c r="AB114" s="191"/>
      <c r="AC114" s="254" t="str">
        <f>IF(COUNTBLANK(Y114:AB114)=4,"",SUM(Y114:AA114)+IF(Setup!$I$15="No",0,AB114))</f>
        <v/>
      </c>
      <c r="AD114" s="191"/>
      <c r="AE114" s="191"/>
      <c r="AF114" s="191"/>
      <c r="AG114" s="191"/>
      <c r="AH114" s="254" t="str">
        <f>IF(COUNTBLANK(AD114:AG114)=4,"",SUM(AD114:AF114)+IF(Setup!$I$15="No",0,AG114))</f>
        <v/>
      </c>
      <c r="AI114" s="191"/>
      <c r="AJ114" s="191"/>
      <c r="AK114" s="191"/>
      <c r="AL114" s="191"/>
      <c r="AM114" s="254" t="str">
        <f>IF(COUNTBLANK(AI114:AL114)=4,"",SUM(AI114:AK114)+IF(Setup!$I$15="No",0,AL114))</f>
        <v/>
      </c>
      <c r="AN114" s="191"/>
      <c r="AO114" s="191"/>
      <c r="AP114" s="191"/>
      <c r="AQ114" s="191"/>
      <c r="AR114" s="254" t="str">
        <f>IF(COUNTBLANK(AN114:AQ114)=4,"",SUM(AN114:AP114)+IF(Setup!$I$15="No",0,AQ114))</f>
        <v/>
      </c>
      <c r="AS114" s="191"/>
      <c r="AT114" s="191"/>
      <c r="AU114" s="191"/>
      <c r="AV114" s="191"/>
      <c r="AW114" s="254" t="str">
        <f>IF(COUNTBLANK(AS114:AV114)=4,"",SUM(AS114:AU114)+IF(Setup!$I$15="No",0,AV114))</f>
        <v/>
      </c>
      <c r="AX114" s="191"/>
      <c r="AY114" s="191"/>
      <c r="AZ114" s="191"/>
      <c r="BA114" s="191"/>
      <c r="BB114" s="254" t="str">
        <f>IF(COUNTBLANK(AX114:BA114)=4,"",SUM(AX114:AZ114)+IF(Setup!$I$15="No",0,BA114))</f>
        <v/>
      </c>
      <c r="BC114" s="258" t="str">
        <f ca="1">IF('Demand background (hide)'!A105=Num_Modalities,"",SUM(Demand!I114))</f>
        <v/>
      </c>
      <c r="BD114" s="258" t="str">
        <f ca="1">IF(AND(A114&lt;=MaxRows,BE114&lt;&gt;"Yes"),'Demand background (hide)'!X105+IF(Setup!$I$15="Yes",'Demand background (hide)'!AJ105,0),"")</f>
        <v/>
      </c>
      <c r="BE114" s="208"/>
    </row>
    <row r="115" spans="1:59" ht="15" x14ac:dyDescent="0.25">
      <c r="A115" t="str">
        <f t="shared" ca="1" si="4"/>
        <v/>
      </c>
      <c r="B115" s="263" t="str">
        <f t="shared" ca="1" si="5"/>
        <v xml:space="preserve"> </v>
      </c>
      <c r="C115" s="264" t="str">
        <f t="shared" ca="1" si="6"/>
        <v/>
      </c>
      <c r="D115" s="264" t="str">
        <f t="shared" ca="1" si="7"/>
        <v/>
      </c>
      <c r="E115" s="191"/>
      <c r="F115" s="191"/>
      <c r="G115" s="192"/>
      <c r="H115" s="191"/>
      <c r="I115" s="250" t="str">
        <f>IF(COUNTBLANK(E115:H115)=4,"",SUM(E115:G115)+IF(Setup!$I$15="No",0,H115))</f>
        <v/>
      </c>
      <c r="J115" s="191"/>
      <c r="K115" s="191"/>
      <c r="L115" s="191"/>
      <c r="M115" s="191"/>
      <c r="N115" s="254" t="str">
        <f>IF(COUNTBLANK(J115:M115)=4,"",SUM(J115:L115)+IF(Setup!$I$15="No",0,M115))</f>
        <v/>
      </c>
      <c r="O115" s="191"/>
      <c r="P115" s="191"/>
      <c r="Q115" s="191"/>
      <c r="R115" s="191"/>
      <c r="S115" s="254" t="str">
        <f>IF(COUNTBLANK(O115:R115)=4,"",SUM(O115:Q115)+IF(Setup!$I$15="No",0,R115))</f>
        <v/>
      </c>
      <c r="T115" s="191"/>
      <c r="U115" s="191"/>
      <c r="V115" s="191"/>
      <c r="W115" s="191"/>
      <c r="X115" s="254" t="str">
        <f>IF(COUNTBLANK(T115:W115)=4,"",SUM(T115:V115)+IF(Setup!$I$15="No",0,W115))</f>
        <v/>
      </c>
      <c r="Y115" s="191"/>
      <c r="Z115" s="191"/>
      <c r="AA115" s="191"/>
      <c r="AB115" s="191"/>
      <c r="AC115" s="254" t="str">
        <f>IF(COUNTBLANK(Y115:AB115)=4,"",SUM(Y115:AA115)+IF(Setup!$I$15="No",0,AB115))</f>
        <v/>
      </c>
      <c r="AD115" s="191"/>
      <c r="AE115" s="191"/>
      <c r="AF115" s="191"/>
      <c r="AG115" s="191"/>
      <c r="AH115" s="254" t="str">
        <f>IF(COUNTBLANK(AD115:AG115)=4,"",SUM(AD115:AF115)+IF(Setup!$I$15="No",0,AG115))</f>
        <v/>
      </c>
      <c r="AI115" s="191"/>
      <c r="AJ115" s="191"/>
      <c r="AK115" s="191"/>
      <c r="AL115" s="191"/>
      <c r="AM115" s="254" t="str">
        <f>IF(COUNTBLANK(AI115:AL115)=4,"",SUM(AI115:AK115)+IF(Setup!$I$15="No",0,AL115))</f>
        <v/>
      </c>
      <c r="AN115" s="191"/>
      <c r="AO115" s="191"/>
      <c r="AP115" s="191"/>
      <c r="AQ115" s="191"/>
      <c r="AR115" s="254" t="str">
        <f>IF(COUNTBLANK(AN115:AQ115)=4,"",SUM(AN115:AP115)+IF(Setup!$I$15="No",0,AQ115))</f>
        <v/>
      </c>
      <c r="AS115" s="191"/>
      <c r="AT115" s="191"/>
      <c r="AU115" s="191"/>
      <c r="AV115" s="191"/>
      <c r="AW115" s="254" t="str">
        <f>IF(COUNTBLANK(AS115:AV115)=4,"",SUM(AS115:AU115)+IF(Setup!$I$15="No",0,AV115))</f>
        <v/>
      </c>
      <c r="AX115" s="191"/>
      <c r="AY115" s="191"/>
      <c r="AZ115" s="191"/>
      <c r="BA115" s="191"/>
      <c r="BB115" s="254" t="str">
        <f>IF(COUNTBLANK(AX115:BA115)=4,"",SUM(AX115:AZ115)+IF(Setup!$I$15="No",0,BA115))</f>
        <v/>
      </c>
      <c r="BC115" s="258" t="str">
        <f ca="1">IF('Demand background (hide)'!A106=Num_Modalities,"",SUM(Demand!I115))</f>
        <v/>
      </c>
      <c r="BD115" s="258" t="str">
        <f ca="1">IF(AND(A115&lt;=MaxRows,BE115&lt;&gt;"Yes"),'Demand background (hide)'!X106+IF(Setup!$I$15="Yes",'Demand background (hide)'!AJ106,0),"")</f>
        <v/>
      </c>
      <c r="BE115" s="208"/>
    </row>
    <row r="116" spans="1:59" ht="15" x14ac:dyDescent="0.25">
      <c r="A116" t="str">
        <f t="shared" ca="1" si="4"/>
        <v/>
      </c>
      <c r="B116" s="263" t="str">
        <f t="shared" ca="1" si="5"/>
        <v xml:space="preserve"> </v>
      </c>
      <c r="C116" s="264" t="str">
        <f t="shared" ca="1" si="6"/>
        <v/>
      </c>
      <c r="D116" s="264" t="str">
        <f t="shared" ca="1" si="7"/>
        <v/>
      </c>
      <c r="E116" s="191"/>
      <c r="F116" s="191"/>
      <c r="G116" s="192"/>
      <c r="H116" s="191"/>
      <c r="I116" s="250" t="str">
        <f>IF(COUNTBLANK(E116:H116)=4,"",SUM(E116:G116)+IF(Setup!$I$15="No",0,H116))</f>
        <v/>
      </c>
      <c r="J116" s="191"/>
      <c r="K116" s="191"/>
      <c r="L116" s="191"/>
      <c r="M116" s="191"/>
      <c r="N116" s="254" t="str">
        <f>IF(COUNTBLANK(J116:M116)=4,"",SUM(J116:L116)+IF(Setup!$I$15="No",0,M116))</f>
        <v/>
      </c>
      <c r="O116" s="191"/>
      <c r="P116" s="191"/>
      <c r="Q116" s="191"/>
      <c r="R116" s="191"/>
      <c r="S116" s="254" t="str">
        <f>IF(COUNTBLANK(O116:R116)=4,"",SUM(O116:Q116)+IF(Setup!$I$15="No",0,R116))</f>
        <v/>
      </c>
      <c r="T116" s="191"/>
      <c r="U116" s="191"/>
      <c r="V116" s="191"/>
      <c r="W116" s="191"/>
      <c r="X116" s="254" t="str">
        <f>IF(COUNTBLANK(T116:W116)=4,"",SUM(T116:V116)+IF(Setup!$I$15="No",0,W116))</f>
        <v/>
      </c>
      <c r="Y116" s="191"/>
      <c r="Z116" s="191"/>
      <c r="AA116" s="191"/>
      <c r="AB116" s="191"/>
      <c r="AC116" s="254" t="str">
        <f>IF(COUNTBLANK(Y116:AB116)=4,"",SUM(Y116:AA116)+IF(Setup!$I$15="No",0,AB116))</f>
        <v/>
      </c>
      <c r="AD116" s="191"/>
      <c r="AE116" s="191"/>
      <c r="AF116" s="191"/>
      <c r="AG116" s="191"/>
      <c r="AH116" s="254" t="str">
        <f>IF(COUNTBLANK(AD116:AG116)=4,"",SUM(AD116:AF116)+IF(Setup!$I$15="No",0,AG116))</f>
        <v/>
      </c>
      <c r="AI116" s="191"/>
      <c r="AJ116" s="191"/>
      <c r="AK116" s="191"/>
      <c r="AL116" s="191"/>
      <c r="AM116" s="254" t="str">
        <f>IF(COUNTBLANK(AI116:AL116)=4,"",SUM(AI116:AK116)+IF(Setup!$I$15="No",0,AL116))</f>
        <v/>
      </c>
      <c r="AN116" s="191"/>
      <c r="AO116" s="191"/>
      <c r="AP116" s="191"/>
      <c r="AQ116" s="191"/>
      <c r="AR116" s="254" t="str">
        <f>IF(COUNTBLANK(AN116:AQ116)=4,"",SUM(AN116:AP116)+IF(Setup!$I$15="No",0,AQ116))</f>
        <v/>
      </c>
      <c r="AS116" s="191"/>
      <c r="AT116" s="191"/>
      <c r="AU116" s="191"/>
      <c r="AV116" s="191"/>
      <c r="AW116" s="254" t="str">
        <f>IF(COUNTBLANK(AS116:AV116)=4,"",SUM(AS116:AU116)+IF(Setup!$I$15="No",0,AV116))</f>
        <v/>
      </c>
      <c r="AX116" s="191"/>
      <c r="AY116" s="191"/>
      <c r="AZ116" s="191"/>
      <c r="BA116" s="191"/>
      <c r="BB116" s="254" t="str">
        <f>IF(COUNTBLANK(AX116:BA116)=4,"",SUM(AX116:AZ116)+IF(Setup!$I$15="No",0,BA116))</f>
        <v/>
      </c>
      <c r="BC116" s="258" t="str">
        <f ca="1">IF('Demand background (hide)'!A107=Num_Modalities,"",SUM(Demand!I116))</f>
        <v/>
      </c>
      <c r="BD116" s="258" t="str">
        <f ca="1">IF(AND(A116&lt;=MaxRows,BE116&lt;&gt;"Yes"),'Demand background (hide)'!X107+IF(Setup!$I$15="Yes",'Demand background (hide)'!AJ107,0),"")</f>
        <v/>
      </c>
      <c r="BE116" s="208"/>
    </row>
    <row r="117" spans="1:59" ht="15" x14ac:dyDescent="0.25">
      <c r="A117" t="str">
        <f t="shared" ca="1" si="4"/>
        <v/>
      </c>
      <c r="B117" s="263" t="str">
        <f t="shared" ca="1" si="5"/>
        <v xml:space="preserve"> </v>
      </c>
      <c r="C117" s="264" t="str">
        <f t="shared" ca="1" si="6"/>
        <v/>
      </c>
      <c r="D117" s="264" t="str">
        <f t="shared" ca="1" si="7"/>
        <v/>
      </c>
      <c r="E117" s="191"/>
      <c r="F117" s="191"/>
      <c r="G117" s="191"/>
      <c r="H117" s="191"/>
      <c r="I117" s="250" t="str">
        <f>IF(COUNTBLANK(E117:H117)=4,"",SUM(E117:G117)+IF(Setup!$I$15="No",0,H117))</f>
        <v/>
      </c>
      <c r="J117" s="191"/>
      <c r="K117" s="191"/>
      <c r="L117" s="191"/>
      <c r="M117" s="191"/>
      <c r="N117" s="254" t="str">
        <f>IF(COUNTBLANK(J117:M117)=4,"",SUM(J117:L117)+IF(Setup!$I$15="No",0,M117))</f>
        <v/>
      </c>
      <c r="O117" s="191"/>
      <c r="P117" s="191"/>
      <c r="Q117" s="191"/>
      <c r="R117" s="191"/>
      <c r="S117" s="254" t="str">
        <f>IF(COUNTBLANK(O117:R117)=4,"",SUM(O117:Q117)+IF(Setup!$I$15="No",0,R117))</f>
        <v/>
      </c>
      <c r="T117" s="191"/>
      <c r="U117" s="191"/>
      <c r="V117" s="191"/>
      <c r="W117" s="191"/>
      <c r="X117" s="254" t="str">
        <f>IF(COUNTBLANK(T117:W117)=4,"",SUM(T117:V117)+IF(Setup!$I$15="No",0,W117))</f>
        <v/>
      </c>
      <c r="Y117" s="191"/>
      <c r="Z117" s="191"/>
      <c r="AA117" s="191"/>
      <c r="AB117" s="191"/>
      <c r="AC117" s="254" t="str">
        <f>IF(COUNTBLANK(Y117:AB117)=4,"",SUM(Y117:AA117)+IF(Setup!$I$15="No",0,AB117))</f>
        <v/>
      </c>
      <c r="AD117" s="191"/>
      <c r="AE117" s="191"/>
      <c r="AF117" s="191"/>
      <c r="AG117" s="191"/>
      <c r="AH117" s="254" t="str">
        <f>IF(COUNTBLANK(AD117:AG117)=4,"",SUM(AD117:AF117)+IF(Setup!$I$15="No",0,AG117))</f>
        <v/>
      </c>
      <c r="AI117" s="191"/>
      <c r="AJ117" s="191"/>
      <c r="AK117" s="191"/>
      <c r="AL117" s="191"/>
      <c r="AM117" s="254" t="str">
        <f>IF(COUNTBLANK(AI117:AL117)=4,"",SUM(AI117:AK117)+IF(Setup!$I$15="No",0,AL117))</f>
        <v/>
      </c>
      <c r="AN117" s="191"/>
      <c r="AO117" s="191"/>
      <c r="AP117" s="191"/>
      <c r="AQ117" s="191"/>
      <c r="AR117" s="254" t="str">
        <f>IF(COUNTBLANK(AN117:AQ117)=4,"",SUM(AN117:AP117)+IF(Setup!$I$15="No",0,AQ117))</f>
        <v/>
      </c>
      <c r="AS117" s="191"/>
      <c r="AT117" s="191"/>
      <c r="AU117" s="191"/>
      <c r="AV117" s="191"/>
      <c r="AW117" s="254" t="str">
        <f>IF(COUNTBLANK(AS117:AV117)=4,"",SUM(AS117:AU117)+IF(Setup!$I$15="No",0,AV117))</f>
        <v/>
      </c>
      <c r="AX117" s="191"/>
      <c r="AY117" s="191"/>
      <c r="AZ117" s="191"/>
      <c r="BA117" s="191"/>
      <c r="BB117" s="254" t="str">
        <f>IF(COUNTBLANK(AX117:BA117)=4,"",SUM(AX117:AZ117)+IF(Setup!$I$15="No",0,BA117))</f>
        <v/>
      </c>
      <c r="BC117" s="258" t="str">
        <f ca="1">IF('Demand background (hide)'!A108=Num_Modalities,"",SUM(Demand!I117))</f>
        <v/>
      </c>
      <c r="BD117" s="258" t="str">
        <f ca="1">IF(AND(A117&lt;=MaxRows,BE117&lt;&gt;"Yes"),'Demand background (hide)'!X108+IF(Setup!$I$15="Yes",'Demand background (hide)'!AJ108,0),"")</f>
        <v/>
      </c>
      <c r="BE117" s="208"/>
      <c r="BG117" s="50"/>
    </row>
    <row r="118" spans="1:59" ht="15" x14ac:dyDescent="0.25">
      <c r="A118" t="str">
        <f t="shared" ca="1" si="4"/>
        <v/>
      </c>
      <c r="B118" s="263" t="str">
        <f t="shared" ca="1" si="5"/>
        <v xml:space="preserve"> </v>
      </c>
      <c r="C118" s="264" t="str">
        <f t="shared" ca="1" si="6"/>
        <v/>
      </c>
      <c r="D118" s="264" t="str">
        <f t="shared" ca="1" si="7"/>
        <v/>
      </c>
      <c r="E118" s="191"/>
      <c r="F118" s="191"/>
      <c r="G118" s="191"/>
      <c r="H118" s="191"/>
      <c r="I118" s="250" t="str">
        <f>IF(COUNTBLANK(E118:H118)=4,"",SUM(E118:G118)+IF(Setup!$I$15="No",0,H118))</f>
        <v/>
      </c>
      <c r="J118" s="191"/>
      <c r="K118" s="191"/>
      <c r="L118" s="191"/>
      <c r="M118" s="191"/>
      <c r="N118" s="254" t="str">
        <f>IF(COUNTBLANK(J118:M118)=4,"",SUM(J118:L118)+IF(Setup!$I$15="No",0,M118))</f>
        <v/>
      </c>
      <c r="O118" s="191"/>
      <c r="P118" s="191"/>
      <c r="Q118" s="191"/>
      <c r="R118" s="191"/>
      <c r="S118" s="254" t="str">
        <f>IF(COUNTBLANK(O118:R118)=4,"",SUM(O118:Q118)+IF(Setup!$I$15="No",0,R118))</f>
        <v/>
      </c>
      <c r="T118" s="191"/>
      <c r="U118" s="191"/>
      <c r="V118" s="191"/>
      <c r="W118" s="191"/>
      <c r="X118" s="254" t="str">
        <f>IF(COUNTBLANK(T118:W118)=4,"",SUM(T118:V118)+IF(Setup!$I$15="No",0,W118))</f>
        <v/>
      </c>
      <c r="Y118" s="191"/>
      <c r="Z118" s="191"/>
      <c r="AA118" s="191"/>
      <c r="AB118" s="191"/>
      <c r="AC118" s="254" t="str">
        <f>IF(COUNTBLANK(Y118:AB118)=4,"",SUM(Y118:AA118)+IF(Setup!$I$15="No",0,AB118))</f>
        <v/>
      </c>
      <c r="AD118" s="191"/>
      <c r="AE118" s="191"/>
      <c r="AF118" s="191"/>
      <c r="AG118" s="191"/>
      <c r="AH118" s="254" t="str">
        <f>IF(COUNTBLANK(AD118:AG118)=4,"",SUM(AD118:AF118)+IF(Setup!$I$15="No",0,AG118))</f>
        <v/>
      </c>
      <c r="AI118" s="191"/>
      <c r="AJ118" s="191"/>
      <c r="AK118" s="191"/>
      <c r="AL118" s="191"/>
      <c r="AM118" s="254" t="str">
        <f>IF(COUNTBLANK(AI118:AL118)=4,"",SUM(AI118:AK118)+IF(Setup!$I$15="No",0,AL118))</f>
        <v/>
      </c>
      <c r="AN118" s="191"/>
      <c r="AO118" s="191"/>
      <c r="AP118" s="191"/>
      <c r="AQ118" s="191"/>
      <c r="AR118" s="254" t="str">
        <f>IF(COUNTBLANK(AN118:AQ118)=4,"",SUM(AN118:AP118)+IF(Setup!$I$15="No",0,AQ118))</f>
        <v/>
      </c>
      <c r="AS118" s="191"/>
      <c r="AT118" s="191"/>
      <c r="AU118" s="191"/>
      <c r="AV118" s="191"/>
      <c r="AW118" s="254" t="str">
        <f>IF(COUNTBLANK(AS118:AV118)=4,"",SUM(AS118:AU118)+IF(Setup!$I$15="No",0,AV118))</f>
        <v/>
      </c>
      <c r="AX118" s="191"/>
      <c r="AY118" s="191"/>
      <c r="AZ118" s="191"/>
      <c r="BA118" s="191"/>
      <c r="BB118" s="254" t="str">
        <f>IF(COUNTBLANK(AX118:BA118)=4,"",SUM(AX118:AZ118)+IF(Setup!$I$15="No",0,BA118))</f>
        <v/>
      </c>
      <c r="BC118" s="258" t="str">
        <f ca="1">IF('Demand background (hide)'!A109=Num_Modalities,"",SUM(Demand!I118))</f>
        <v/>
      </c>
      <c r="BD118" s="258" t="str">
        <f ca="1">IF(AND(A118&lt;=MaxRows,BE118&lt;&gt;"Yes"),'Demand background (hide)'!X109+IF(Setup!$I$15="Yes",'Demand background (hide)'!AJ109,0),"")</f>
        <v/>
      </c>
      <c r="BE118" s="208"/>
    </row>
    <row r="119" spans="1:59" ht="15" x14ac:dyDescent="0.25">
      <c r="A119" t="str">
        <f t="shared" ca="1" si="4"/>
        <v/>
      </c>
      <c r="B119" s="263" t="str">
        <f t="shared" ca="1" si="5"/>
        <v xml:space="preserve"> </v>
      </c>
      <c r="C119" s="264" t="str">
        <f t="shared" ca="1" si="6"/>
        <v/>
      </c>
      <c r="D119" s="264" t="str">
        <f t="shared" ca="1" si="7"/>
        <v/>
      </c>
      <c r="E119" s="191"/>
      <c r="F119" s="191"/>
      <c r="G119" s="191"/>
      <c r="H119" s="191"/>
      <c r="I119" s="250" t="str">
        <f>IF(COUNTBLANK(E119:H119)=4,"",SUM(E119:G119)+IF(Setup!$I$15="No",0,H119))</f>
        <v/>
      </c>
      <c r="J119" s="191"/>
      <c r="K119" s="191"/>
      <c r="L119" s="191"/>
      <c r="M119" s="191"/>
      <c r="N119" s="254" t="str">
        <f>IF(COUNTBLANK(J119:M119)=4,"",SUM(J119:L119)+IF(Setup!$I$15="No",0,M119))</f>
        <v/>
      </c>
      <c r="O119" s="191"/>
      <c r="P119" s="191"/>
      <c r="Q119" s="191"/>
      <c r="R119" s="191"/>
      <c r="S119" s="254" t="str">
        <f>IF(COUNTBLANK(O119:R119)=4,"",SUM(O119:Q119)+IF(Setup!$I$15="No",0,R119))</f>
        <v/>
      </c>
      <c r="T119" s="191"/>
      <c r="U119" s="191"/>
      <c r="V119" s="191"/>
      <c r="W119" s="191"/>
      <c r="X119" s="254" t="str">
        <f>IF(COUNTBLANK(T119:W119)=4,"",SUM(T119:V119)+IF(Setup!$I$15="No",0,W119))</f>
        <v/>
      </c>
      <c r="Y119" s="191"/>
      <c r="Z119" s="191"/>
      <c r="AA119" s="191"/>
      <c r="AB119" s="191"/>
      <c r="AC119" s="254" t="str">
        <f>IF(COUNTBLANK(Y119:AB119)=4,"",SUM(Y119:AA119)+IF(Setup!$I$15="No",0,AB119))</f>
        <v/>
      </c>
      <c r="AD119" s="191"/>
      <c r="AE119" s="191"/>
      <c r="AF119" s="191"/>
      <c r="AG119" s="191"/>
      <c r="AH119" s="254" t="str">
        <f>IF(COUNTBLANK(AD119:AG119)=4,"",SUM(AD119:AF119)+IF(Setup!$I$15="No",0,AG119))</f>
        <v/>
      </c>
      <c r="AI119" s="191"/>
      <c r="AJ119" s="191"/>
      <c r="AK119" s="191"/>
      <c r="AL119" s="191"/>
      <c r="AM119" s="254" t="str">
        <f>IF(COUNTBLANK(AI119:AL119)=4,"",SUM(AI119:AK119)+IF(Setup!$I$15="No",0,AL119))</f>
        <v/>
      </c>
      <c r="AN119" s="191"/>
      <c r="AO119" s="191"/>
      <c r="AP119" s="191"/>
      <c r="AQ119" s="191"/>
      <c r="AR119" s="254" t="str">
        <f>IF(COUNTBLANK(AN119:AQ119)=4,"",SUM(AN119:AP119)+IF(Setup!$I$15="No",0,AQ119))</f>
        <v/>
      </c>
      <c r="AS119" s="191"/>
      <c r="AT119" s="191"/>
      <c r="AU119" s="191"/>
      <c r="AV119" s="191"/>
      <c r="AW119" s="254" t="str">
        <f>IF(COUNTBLANK(AS119:AV119)=4,"",SUM(AS119:AU119)+IF(Setup!$I$15="No",0,AV119))</f>
        <v/>
      </c>
      <c r="AX119" s="191"/>
      <c r="AY119" s="191"/>
      <c r="AZ119" s="191"/>
      <c r="BA119" s="191"/>
      <c r="BB119" s="254" t="str">
        <f>IF(COUNTBLANK(AX119:BA119)=4,"",SUM(AX119:AZ119)+IF(Setup!$I$15="No",0,BA119))</f>
        <v/>
      </c>
      <c r="BC119" s="258" t="str">
        <f ca="1">IF('Demand background (hide)'!A110=Num_Modalities,"",SUM(Demand!I119))</f>
        <v/>
      </c>
      <c r="BD119" s="258" t="str">
        <f ca="1">IF(AND(A119&lt;=MaxRows,BE119&lt;&gt;"Yes"),'Demand background (hide)'!X110+IF(Setup!$I$15="Yes",'Demand background (hide)'!AJ110,0),"")</f>
        <v/>
      </c>
      <c r="BE119" s="208"/>
    </row>
    <row r="120" spans="1:59" ht="15" x14ac:dyDescent="0.25">
      <c r="A120" t="str">
        <f t="shared" ca="1" si="4"/>
        <v/>
      </c>
      <c r="B120" s="263" t="str">
        <f t="shared" ca="1" si="5"/>
        <v xml:space="preserve"> </v>
      </c>
      <c r="C120" s="264" t="str">
        <f t="shared" ca="1" si="6"/>
        <v/>
      </c>
      <c r="D120" s="264" t="str">
        <f t="shared" ca="1" si="7"/>
        <v/>
      </c>
      <c r="E120" s="191"/>
      <c r="F120" s="191"/>
      <c r="G120" s="191"/>
      <c r="H120" s="191"/>
      <c r="I120" s="250" t="str">
        <f>IF(COUNTBLANK(E120:H120)=4,"",SUM(E120:G120)+IF(Setup!$I$15="No",0,H120))</f>
        <v/>
      </c>
      <c r="J120" s="191"/>
      <c r="K120" s="191"/>
      <c r="L120" s="191"/>
      <c r="M120" s="191"/>
      <c r="N120" s="254" t="str">
        <f>IF(COUNTBLANK(J120:M120)=4,"",SUM(J120:L120)+IF(Setup!$I$15="No",0,M120))</f>
        <v/>
      </c>
      <c r="O120" s="191"/>
      <c r="P120" s="191"/>
      <c r="Q120" s="191"/>
      <c r="R120" s="191"/>
      <c r="S120" s="254" t="str">
        <f>IF(COUNTBLANK(O120:R120)=4,"",SUM(O120:Q120)+IF(Setup!$I$15="No",0,R120))</f>
        <v/>
      </c>
      <c r="T120" s="191"/>
      <c r="U120" s="191"/>
      <c r="V120" s="191"/>
      <c r="W120" s="191"/>
      <c r="X120" s="254" t="str">
        <f>IF(COUNTBLANK(T120:W120)=4,"",SUM(T120:V120)+IF(Setup!$I$15="No",0,W120))</f>
        <v/>
      </c>
      <c r="Y120" s="191"/>
      <c r="Z120" s="191"/>
      <c r="AA120" s="191"/>
      <c r="AB120" s="191"/>
      <c r="AC120" s="254" t="str">
        <f>IF(COUNTBLANK(Y120:AB120)=4,"",SUM(Y120:AA120)+IF(Setup!$I$15="No",0,AB120))</f>
        <v/>
      </c>
      <c r="AD120" s="191"/>
      <c r="AE120" s="191"/>
      <c r="AF120" s="191"/>
      <c r="AG120" s="191"/>
      <c r="AH120" s="254" t="str">
        <f>IF(COUNTBLANK(AD120:AG120)=4,"",SUM(AD120:AF120)+IF(Setup!$I$15="No",0,AG120))</f>
        <v/>
      </c>
      <c r="AI120" s="191"/>
      <c r="AJ120" s="191"/>
      <c r="AK120" s="191"/>
      <c r="AL120" s="191"/>
      <c r="AM120" s="254" t="str">
        <f>IF(COUNTBLANK(AI120:AL120)=4,"",SUM(AI120:AK120)+IF(Setup!$I$15="No",0,AL120))</f>
        <v/>
      </c>
      <c r="AN120" s="191"/>
      <c r="AO120" s="191"/>
      <c r="AP120" s="191"/>
      <c r="AQ120" s="191"/>
      <c r="AR120" s="254" t="str">
        <f>IF(COUNTBLANK(AN120:AQ120)=4,"",SUM(AN120:AP120)+IF(Setup!$I$15="No",0,AQ120))</f>
        <v/>
      </c>
      <c r="AS120" s="191"/>
      <c r="AT120" s="191"/>
      <c r="AU120" s="191"/>
      <c r="AV120" s="191"/>
      <c r="AW120" s="254" t="str">
        <f>IF(COUNTBLANK(AS120:AV120)=4,"",SUM(AS120:AU120)+IF(Setup!$I$15="No",0,AV120))</f>
        <v/>
      </c>
      <c r="AX120" s="191"/>
      <c r="AY120" s="191"/>
      <c r="AZ120" s="191"/>
      <c r="BA120" s="191"/>
      <c r="BB120" s="254" t="str">
        <f>IF(COUNTBLANK(AX120:BA120)=4,"",SUM(AX120:AZ120)+IF(Setup!$I$15="No",0,BA120))</f>
        <v/>
      </c>
      <c r="BC120" s="258" t="str">
        <f ca="1">IF('Demand background (hide)'!A111=Num_Modalities,"",SUM(Demand!I120))</f>
        <v/>
      </c>
      <c r="BD120" s="258" t="str">
        <f ca="1">IF(AND(A120&lt;=MaxRows,BE120&lt;&gt;"Yes"),'Demand background (hide)'!X111+IF(Setup!$I$15="Yes",'Demand background (hide)'!AJ111,0),"")</f>
        <v/>
      </c>
      <c r="BE120" s="208"/>
    </row>
    <row r="121" spans="1:59" ht="15" x14ac:dyDescent="0.25">
      <c r="A121" t="str">
        <f t="shared" ca="1" si="4"/>
        <v/>
      </c>
      <c r="B121" s="263" t="str">
        <f t="shared" ca="1" si="5"/>
        <v xml:space="preserve"> </v>
      </c>
      <c r="C121" s="264" t="str">
        <f t="shared" ca="1" si="6"/>
        <v/>
      </c>
      <c r="D121" s="264" t="str">
        <f t="shared" ca="1" si="7"/>
        <v/>
      </c>
      <c r="E121" s="191"/>
      <c r="F121" s="191"/>
      <c r="G121" s="191"/>
      <c r="H121" s="191"/>
      <c r="I121" s="250" t="str">
        <f>IF(COUNTBLANK(E121:H121)=4,"",SUM(E121:G121)+IF(Setup!$I$15="No",0,H121))</f>
        <v/>
      </c>
      <c r="J121" s="191"/>
      <c r="K121" s="191"/>
      <c r="L121" s="191"/>
      <c r="M121" s="191"/>
      <c r="N121" s="254" t="str">
        <f>IF(COUNTBLANK(J121:M121)=4,"",SUM(J121:L121)+IF(Setup!$I$15="No",0,M121))</f>
        <v/>
      </c>
      <c r="O121" s="191"/>
      <c r="P121" s="191"/>
      <c r="Q121" s="191"/>
      <c r="R121" s="191"/>
      <c r="S121" s="254" t="str">
        <f>IF(COUNTBLANK(O121:R121)=4,"",SUM(O121:Q121)+IF(Setup!$I$15="No",0,R121))</f>
        <v/>
      </c>
      <c r="T121" s="191"/>
      <c r="U121" s="191"/>
      <c r="V121" s="191"/>
      <c r="W121" s="191"/>
      <c r="X121" s="254" t="str">
        <f>IF(COUNTBLANK(T121:W121)=4,"",SUM(T121:V121)+IF(Setup!$I$15="No",0,W121))</f>
        <v/>
      </c>
      <c r="Y121" s="191"/>
      <c r="Z121" s="191"/>
      <c r="AA121" s="191"/>
      <c r="AB121" s="191"/>
      <c r="AC121" s="254" t="str">
        <f>IF(COUNTBLANK(Y121:AB121)=4,"",SUM(Y121:AA121)+IF(Setup!$I$15="No",0,AB121))</f>
        <v/>
      </c>
      <c r="AD121" s="191"/>
      <c r="AE121" s="191"/>
      <c r="AF121" s="191"/>
      <c r="AG121" s="191"/>
      <c r="AH121" s="254" t="str">
        <f>IF(COUNTBLANK(AD121:AG121)=4,"",SUM(AD121:AF121)+IF(Setup!$I$15="No",0,AG121))</f>
        <v/>
      </c>
      <c r="AI121" s="191"/>
      <c r="AJ121" s="191"/>
      <c r="AK121" s="191"/>
      <c r="AL121" s="191"/>
      <c r="AM121" s="254" t="str">
        <f>IF(COUNTBLANK(AI121:AL121)=4,"",SUM(AI121:AK121)+IF(Setup!$I$15="No",0,AL121))</f>
        <v/>
      </c>
      <c r="AN121" s="191"/>
      <c r="AO121" s="191"/>
      <c r="AP121" s="191"/>
      <c r="AQ121" s="191"/>
      <c r="AR121" s="254" t="str">
        <f>IF(COUNTBLANK(AN121:AQ121)=4,"",SUM(AN121:AP121)+IF(Setup!$I$15="No",0,AQ121))</f>
        <v/>
      </c>
      <c r="AS121" s="191"/>
      <c r="AT121" s="191"/>
      <c r="AU121" s="191"/>
      <c r="AV121" s="191"/>
      <c r="AW121" s="254" t="str">
        <f>IF(COUNTBLANK(AS121:AV121)=4,"",SUM(AS121:AU121)+IF(Setup!$I$15="No",0,AV121))</f>
        <v/>
      </c>
      <c r="AX121" s="191"/>
      <c r="AY121" s="191"/>
      <c r="AZ121" s="191"/>
      <c r="BA121" s="191"/>
      <c r="BB121" s="254" t="str">
        <f>IF(COUNTBLANK(AX121:BA121)=4,"",SUM(AX121:AZ121)+IF(Setup!$I$15="No",0,BA121))</f>
        <v/>
      </c>
      <c r="BC121" s="258" t="str">
        <f ca="1">IF('Demand background (hide)'!A112=Num_Modalities,"",SUM(Demand!I121))</f>
        <v/>
      </c>
      <c r="BD121" s="258" t="str">
        <f ca="1">IF(AND(A121&lt;=MaxRows,BE121&lt;&gt;"Yes"),'Demand background (hide)'!X112+IF(Setup!$I$15="Yes",'Demand background (hide)'!AJ112,0),"")</f>
        <v/>
      </c>
      <c r="BE121" s="208"/>
    </row>
    <row r="122" spans="1:59" ht="15" x14ac:dyDescent="0.25">
      <c r="A122" t="str">
        <f t="shared" ca="1" si="4"/>
        <v/>
      </c>
      <c r="B122" s="263" t="str">
        <f t="shared" ca="1" si="5"/>
        <v xml:space="preserve"> </v>
      </c>
      <c r="C122" s="264" t="str">
        <f t="shared" ca="1" si="6"/>
        <v/>
      </c>
      <c r="D122" s="264" t="str">
        <f t="shared" ca="1" si="7"/>
        <v/>
      </c>
      <c r="E122" s="191"/>
      <c r="F122" s="191"/>
      <c r="G122" s="191"/>
      <c r="H122" s="191"/>
      <c r="I122" s="250" t="str">
        <f>IF(COUNTBLANK(E122:H122)=4,"",SUM(E122:G122)+IF(Setup!$I$15="No",0,H122))</f>
        <v/>
      </c>
      <c r="J122" s="191"/>
      <c r="K122" s="191"/>
      <c r="L122" s="191"/>
      <c r="M122" s="191"/>
      <c r="N122" s="254" t="str">
        <f>IF(COUNTBLANK(J122:M122)=4,"",SUM(J122:L122)+IF(Setup!$I$15="No",0,M122))</f>
        <v/>
      </c>
      <c r="O122" s="191"/>
      <c r="P122" s="191"/>
      <c r="Q122" s="191"/>
      <c r="R122" s="191"/>
      <c r="S122" s="254" t="str">
        <f>IF(COUNTBLANK(O122:R122)=4,"",SUM(O122:Q122)+IF(Setup!$I$15="No",0,R122))</f>
        <v/>
      </c>
      <c r="T122" s="191"/>
      <c r="U122" s="191"/>
      <c r="V122" s="191"/>
      <c r="W122" s="191"/>
      <c r="X122" s="254" t="str">
        <f>IF(COUNTBLANK(T122:W122)=4,"",SUM(T122:V122)+IF(Setup!$I$15="No",0,W122))</f>
        <v/>
      </c>
      <c r="Y122" s="191"/>
      <c r="Z122" s="191"/>
      <c r="AA122" s="191"/>
      <c r="AB122" s="191"/>
      <c r="AC122" s="254" t="str">
        <f>IF(COUNTBLANK(Y122:AB122)=4,"",SUM(Y122:AA122)+IF(Setup!$I$15="No",0,AB122))</f>
        <v/>
      </c>
      <c r="AD122" s="191"/>
      <c r="AE122" s="191"/>
      <c r="AF122" s="191"/>
      <c r="AG122" s="191"/>
      <c r="AH122" s="254" t="str">
        <f>IF(COUNTBLANK(AD122:AG122)=4,"",SUM(AD122:AF122)+IF(Setup!$I$15="No",0,AG122))</f>
        <v/>
      </c>
      <c r="AI122" s="191"/>
      <c r="AJ122" s="191"/>
      <c r="AK122" s="191"/>
      <c r="AL122" s="191"/>
      <c r="AM122" s="254" t="str">
        <f>IF(COUNTBLANK(AI122:AL122)=4,"",SUM(AI122:AK122)+IF(Setup!$I$15="No",0,AL122))</f>
        <v/>
      </c>
      <c r="AN122" s="191"/>
      <c r="AO122" s="191"/>
      <c r="AP122" s="191"/>
      <c r="AQ122" s="191"/>
      <c r="AR122" s="254" t="str">
        <f>IF(COUNTBLANK(AN122:AQ122)=4,"",SUM(AN122:AP122)+IF(Setup!$I$15="No",0,AQ122))</f>
        <v/>
      </c>
      <c r="AS122" s="191"/>
      <c r="AT122" s="191"/>
      <c r="AU122" s="191"/>
      <c r="AV122" s="191"/>
      <c r="AW122" s="254" t="str">
        <f>IF(COUNTBLANK(AS122:AV122)=4,"",SUM(AS122:AU122)+IF(Setup!$I$15="No",0,AV122))</f>
        <v/>
      </c>
      <c r="AX122" s="191"/>
      <c r="AY122" s="191"/>
      <c r="AZ122" s="191"/>
      <c r="BA122" s="191"/>
      <c r="BB122" s="254" t="str">
        <f>IF(COUNTBLANK(AX122:BA122)=4,"",SUM(AX122:AZ122)+IF(Setup!$I$15="No",0,BA122))</f>
        <v/>
      </c>
      <c r="BC122" s="258" t="str">
        <f ca="1">IF('Demand background (hide)'!A113=Num_Modalities,"",SUM(Demand!I122))</f>
        <v/>
      </c>
      <c r="BD122" s="258" t="str">
        <f ca="1">IF(AND(A122&lt;=MaxRows,BE122&lt;&gt;"Yes"),'Demand background (hide)'!X113+IF(Setup!$I$15="Yes",'Demand background (hide)'!AJ113,0),"")</f>
        <v/>
      </c>
      <c r="BE122" s="208"/>
    </row>
    <row r="123" spans="1:59" ht="15" x14ac:dyDescent="0.25">
      <c r="A123" t="str">
        <f t="shared" ca="1" si="4"/>
        <v/>
      </c>
      <c r="B123" s="263" t="str">
        <f t="shared" ca="1" si="5"/>
        <v xml:space="preserve"> </v>
      </c>
      <c r="C123" s="264" t="str">
        <f t="shared" ca="1" si="6"/>
        <v/>
      </c>
      <c r="D123" s="264" t="str">
        <f t="shared" ca="1" si="7"/>
        <v/>
      </c>
      <c r="E123" s="191"/>
      <c r="F123" s="191"/>
      <c r="G123" s="191"/>
      <c r="H123" s="191"/>
      <c r="I123" s="250" t="str">
        <f>IF(COUNTBLANK(E123:H123)=4,"",SUM(E123:G123)+IF(Setup!$I$15="No",0,H123))</f>
        <v/>
      </c>
      <c r="J123" s="191"/>
      <c r="K123" s="191"/>
      <c r="L123" s="191"/>
      <c r="M123" s="191"/>
      <c r="N123" s="254" t="str">
        <f>IF(COUNTBLANK(J123:M123)=4,"",SUM(J123:L123)+IF(Setup!$I$15="No",0,M123))</f>
        <v/>
      </c>
      <c r="O123" s="191"/>
      <c r="P123" s="191"/>
      <c r="Q123" s="191"/>
      <c r="R123" s="191"/>
      <c r="S123" s="254" t="str">
        <f>IF(COUNTBLANK(O123:R123)=4,"",SUM(O123:Q123)+IF(Setup!$I$15="No",0,R123))</f>
        <v/>
      </c>
      <c r="T123" s="191"/>
      <c r="U123" s="191"/>
      <c r="V123" s="191"/>
      <c r="W123" s="191"/>
      <c r="X123" s="254" t="str">
        <f>IF(COUNTBLANK(T123:W123)=4,"",SUM(T123:V123)+IF(Setup!$I$15="No",0,W123))</f>
        <v/>
      </c>
      <c r="Y123" s="191"/>
      <c r="Z123" s="191"/>
      <c r="AA123" s="191"/>
      <c r="AB123" s="191"/>
      <c r="AC123" s="254" t="str">
        <f>IF(COUNTBLANK(Y123:AB123)=4,"",SUM(Y123:AA123)+IF(Setup!$I$15="No",0,AB123))</f>
        <v/>
      </c>
      <c r="AD123" s="191"/>
      <c r="AE123" s="191"/>
      <c r="AF123" s="191"/>
      <c r="AG123" s="191"/>
      <c r="AH123" s="254" t="str">
        <f>IF(COUNTBLANK(AD123:AG123)=4,"",SUM(AD123:AF123)+IF(Setup!$I$15="No",0,AG123))</f>
        <v/>
      </c>
      <c r="AI123" s="191"/>
      <c r="AJ123" s="191"/>
      <c r="AK123" s="191"/>
      <c r="AL123" s="191"/>
      <c r="AM123" s="254" t="str">
        <f>IF(COUNTBLANK(AI123:AL123)=4,"",SUM(AI123:AK123)+IF(Setup!$I$15="No",0,AL123))</f>
        <v/>
      </c>
      <c r="AN123" s="191"/>
      <c r="AO123" s="191"/>
      <c r="AP123" s="191"/>
      <c r="AQ123" s="191"/>
      <c r="AR123" s="254" t="str">
        <f>IF(COUNTBLANK(AN123:AQ123)=4,"",SUM(AN123:AP123)+IF(Setup!$I$15="No",0,AQ123))</f>
        <v/>
      </c>
      <c r="AS123" s="191"/>
      <c r="AT123" s="191"/>
      <c r="AU123" s="191"/>
      <c r="AV123" s="191"/>
      <c r="AW123" s="254" t="str">
        <f>IF(COUNTBLANK(AS123:AV123)=4,"",SUM(AS123:AU123)+IF(Setup!$I$15="No",0,AV123))</f>
        <v/>
      </c>
      <c r="AX123" s="191"/>
      <c r="AY123" s="191"/>
      <c r="AZ123" s="191"/>
      <c r="BA123" s="191"/>
      <c r="BB123" s="254" t="str">
        <f>IF(COUNTBLANK(AX123:BA123)=4,"",SUM(AX123:AZ123)+IF(Setup!$I$15="No",0,BA123))</f>
        <v/>
      </c>
      <c r="BC123" s="258" t="str">
        <f ca="1">IF('Demand background (hide)'!A114=Num_Modalities,"",SUM(Demand!I123))</f>
        <v/>
      </c>
      <c r="BD123" s="258" t="str">
        <f ca="1">IF(AND(A123&lt;=MaxRows,BE123&lt;&gt;"Yes"),'Demand background (hide)'!X114+IF(Setup!$I$15="Yes",'Demand background (hide)'!AJ114,0),"")</f>
        <v/>
      </c>
      <c r="BE123" s="208"/>
    </row>
    <row r="124" spans="1:59" ht="15" x14ac:dyDescent="0.25">
      <c r="A124" t="str">
        <f t="shared" ca="1" si="4"/>
        <v/>
      </c>
      <c r="B124" s="263" t="str">
        <f t="shared" ca="1" si="5"/>
        <v xml:space="preserve"> </v>
      </c>
      <c r="C124" s="264" t="str">
        <f t="shared" ca="1" si="6"/>
        <v/>
      </c>
      <c r="D124" s="264" t="str">
        <f t="shared" ca="1" si="7"/>
        <v/>
      </c>
      <c r="E124" s="191"/>
      <c r="F124" s="191"/>
      <c r="G124" s="191"/>
      <c r="H124" s="191"/>
      <c r="I124" s="250" t="str">
        <f>IF(COUNTBLANK(E124:H124)=4,"",SUM(E124:G124)+IF(Setup!$I$15="No",0,H124))</f>
        <v/>
      </c>
      <c r="J124" s="191"/>
      <c r="K124" s="191"/>
      <c r="L124" s="191"/>
      <c r="M124" s="191"/>
      <c r="N124" s="254" t="str">
        <f>IF(COUNTBLANK(J124:M124)=4,"",SUM(J124:L124)+IF(Setup!$I$15="No",0,M124))</f>
        <v/>
      </c>
      <c r="O124" s="191"/>
      <c r="P124" s="191"/>
      <c r="Q124" s="191"/>
      <c r="R124" s="191"/>
      <c r="S124" s="254" t="str">
        <f>IF(COUNTBLANK(O124:R124)=4,"",SUM(O124:Q124)+IF(Setup!$I$15="No",0,R124))</f>
        <v/>
      </c>
      <c r="T124" s="191"/>
      <c r="U124" s="191"/>
      <c r="V124" s="191"/>
      <c r="W124" s="191"/>
      <c r="X124" s="254" t="str">
        <f>IF(COUNTBLANK(T124:W124)=4,"",SUM(T124:V124)+IF(Setup!$I$15="No",0,W124))</f>
        <v/>
      </c>
      <c r="Y124" s="191"/>
      <c r="Z124" s="191"/>
      <c r="AA124" s="191"/>
      <c r="AB124" s="191"/>
      <c r="AC124" s="254" t="str">
        <f>IF(COUNTBLANK(Y124:AB124)=4,"",SUM(Y124:AA124)+IF(Setup!$I$15="No",0,AB124))</f>
        <v/>
      </c>
      <c r="AD124" s="191"/>
      <c r="AE124" s="191"/>
      <c r="AF124" s="191"/>
      <c r="AG124" s="191"/>
      <c r="AH124" s="254" t="str">
        <f>IF(COUNTBLANK(AD124:AG124)=4,"",SUM(AD124:AF124)+IF(Setup!$I$15="No",0,AG124))</f>
        <v/>
      </c>
      <c r="AI124" s="191"/>
      <c r="AJ124" s="191"/>
      <c r="AK124" s="191"/>
      <c r="AL124" s="191"/>
      <c r="AM124" s="254" t="str">
        <f>IF(COUNTBLANK(AI124:AL124)=4,"",SUM(AI124:AK124)+IF(Setup!$I$15="No",0,AL124))</f>
        <v/>
      </c>
      <c r="AN124" s="191"/>
      <c r="AO124" s="191"/>
      <c r="AP124" s="191"/>
      <c r="AQ124" s="191"/>
      <c r="AR124" s="254" t="str">
        <f>IF(COUNTBLANK(AN124:AQ124)=4,"",SUM(AN124:AP124)+IF(Setup!$I$15="No",0,AQ124))</f>
        <v/>
      </c>
      <c r="AS124" s="191"/>
      <c r="AT124" s="191"/>
      <c r="AU124" s="191"/>
      <c r="AV124" s="191"/>
      <c r="AW124" s="254" t="str">
        <f>IF(COUNTBLANK(AS124:AV124)=4,"",SUM(AS124:AU124)+IF(Setup!$I$15="No",0,AV124))</f>
        <v/>
      </c>
      <c r="AX124" s="191"/>
      <c r="AY124" s="191"/>
      <c r="AZ124" s="191"/>
      <c r="BA124" s="191"/>
      <c r="BB124" s="254" t="str">
        <f>IF(COUNTBLANK(AX124:BA124)=4,"",SUM(AX124:AZ124)+IF(Setup!$I$15="No",0,BA124))</f>
        <v/>
      </c>
      <c r="BC124" s="258" t="str">
        <f ca="1">IF('Demand background (hide)'!A115=Num_Modalities,"",SUM(Demand!I124))</f>
        <v/>
      </c>
      <c r="BD124" s="258" t="str">
        <f ca="1">IF(AND(A124&lt;=MaxRows,BE124&lt;&gt;"Yes"),'Demand background (hide)'!X115+IF(Setup!$I$15="Yes",'Demand background (hide)'!AJ115,0),"")</f>
        <v/>
      </c>
      <c r="BE124" s="208"/>
    </row>
    <row r="125" spans="1:59" ht="15" x14ac:dyDescent="0.25">
      <c r="A125" t="str">
        <f t="shared" ca="1" si="4"/>
        <v/>
      </c>
      <c r="B125" s="263" t="str">
        <f t="shared" ca="1" si="5"/>
        <v xml:space="preserve"> </v>
      </c>
      <c r="C125" s="264" t="str">
        <f t="shared" ca="1" si="6"/>
        <v/>
      </c>
      <c r="D125" s="264" t="str">
        <f t="shared" ca="1" si="7"/>
        <v/>
      </c>
      <c r="E125" s="191"/>
      <c r="F125" s="191"/>
      <c r="G125" s="191"/>
      <c r="H125" s="191"/>
      <c r="I125" s="250" t="str">
        <f>IF(COUNTBLANK(E125:H125)=4,"",SUM(E125:G125)+IF(Setup!$I$15="No",0,H125))</f>
        <v/>
      </c>
      <c r="J125" s="191"/>
      <c r="K125" s="191"/>
      <c r="L125" s="191"/>
      <c r="M125" s="191"/>
      <c r="N125" s="254" t="str">
        <f>IF(COUNTBLANK(J125:M125)=4,"",SUM(J125:L125)+IF(Setup!$I$15="No",0,M125))</f>
        <v/>
      </c>
      <c r="O125" s="191"/>
      <c r="P125" s="191"/>
      <c r="Q125" s="191"/>
      <c r="R125" s="191"/>
      <c r="S125" s="254" t="str">
        <f>IF(COUNTBLANK(O125:R125)=4,"",SUM(O125:Q125)+IF(Setup!$I$15="No",0,R125))</f>
        <v/>
      </c>
      <c r="T125" s="191"/>
      <c r="U125" s="191"/>
      <c r="V125" s="191"/>
      <c r="W125" s="191"/>
      <c r="X125" s="254" t="str">
        <f>IF(COUNTBLANK(T125:W125)=4,"",SUM(T125:V125)+IF(Setup!$I$15="No",0,W125))</f>
        <v/>
      </c>
      <c r="Y125" s="191"/>
      <c r="Z125" s="191"/>
      <c r="AA125" s="191"/>
      <c r="AB125" s="191"/>
      <c r="AC125" s="254" t="str">
        <f>IF(COUNTBLANK(Y125:AB125)=4,"",SUM(Y125:AA125)+IF(Setup!$I$15="No",0,AB125))</f>
        <v/>
      </c>
      <c r="AD125" s="191"/>
      <c r="AE125" s="191"/>
      <c r="AF125" s="191"/>
      <c r="AG125" s="191"/>
      <c r="AH125" s="254" t="str">
        <f>IF(COUNTBLANK(AD125:AG125)=4,"",SUM(AD125:AF125)+IF(Setup!$I$15="No",0,AG125))</f>
        <v/>
      </c>
      <c r="AI125" s="191"/>
      <c r="AJ125" s="191"/>
      <c r="AK125" s="191"/>
      <c r="AL125" s="191"/>
      <c r="AM125" s="254" t="str">
        <f>IF(COUNTBLANK(AI125:AL125)=4,"",SUM(AI125:AK125)+IF(Setup!$I$15="No",0,AL125))</f>
        <v/>
      </c>
      <c r="AN125" s="191"/>
      <c r="AO125" s="191"/>
      <c r="AP125" s="191"/>
      <c r="AQ125" s="191"/>
      <c r="AR125" s="254" t="str">
        <f>IF(COUNTBLANK(AN125:AQ125)=4,"",SUM(AN125:AP125)+IF(Setup!$I$15="No",0,AQ125))</f>
        <v/>
      </c>
      <c r="AS125" s="191"/>
      <c r="AT125" s="191"/>
      <c r="AU125" s="191"/>
      <c r="AV125" s="191"/>
      <c r="AW125" s="254" t="str">
        <f>IF(COUNTBLANK(AS125:AV125)=4,"",SUM(AS125:AU125)+IF(Setup!$I$15="No",0,AV125))</f>
        <v/>
      </c>
      <c r="AX125" s="191"/>
      <c r="AY125" s="191"/>
      <c r="AZ125" s="191"/>
      <c r="BA125" s="191"/>
      <c r="BB125" s="254" t="str">
        <f>IF(COUNTBLANK(AX125:BA125)=4,"",SUM(AX125:AZ125)+IF(Setup!$I$15="No",0,BA125))</f>
        <v/>
      </c>
      <c r="BC125" s="258" t="str">
        <f ca="1">IF('Demand background (hide)'!A116=Num_Modalities,"",SUM(Demand!I125))</f>
        <v/>
      </c>
      <c r="BD125" s="258" t="str">
        <f ca="1">IF(AND(A125&lt;=MaxRows,BE125&lt;&gt;"Yes"),'Demand background (hide)'!X116+IF(Setup!$I$15="Yes",'Demand background (hide)'!AJ116,0),"")</f>
        <v/>
      </c>
      <c r="BE125" s="208"/>
    </row>
    <row r="126" spans="1:59" ht="15" x14ac:dyDescent="0.25">
      <c r="A126" t="str">
        <f t="shared" ca="1" si="4"/>
        <v/>
      </c>
      <c r="B126" s="263" t="str">
        <f t="shared" ca="1" si="5"/>
        <v xml:space="preserve"> </v>
      </c>
      <c r="C126" s="264" t="str">
        <f t="shared" ca="1" si="6"/>
        <v/>
      </c>
      <c r="D126" s="264" t="str">
        <f t="shared" ca="1" si="7"/>
        <v/>
      </c>
      <c r="E126" s="191"/>
      <c r="F126" s="191"/>
      <c r="G126" s="191"/>
      <c r="H126" s="191"/>
      <c r="I126" s="250" t="str">
        <f>IF(COUNTBLANK(E126:H126)=4,"",SUM(E126:G126)+IF(Setup!$I$15="No",0,H126))</f>
        <v/>
      </c>
      <c r="J126" s="191"/>
      <c r="K126" s="191"/>
      <c r="L126" s="191"/>
      <c r="M126" s="191"/>
      <c r="N126" s="254" t="str">
        <f>IF(COUNTBLANK(J126:M126)=4,"",SUM(J126:L126)+IF(Setup!$I$15="No",0,M126))</f>
        <v/>
      </c>
      <c r="O126" s="191"/>
      <c r="P126" s="191"/>
      <c r="Q126" s="191"/>
      <c r="R126" s="191"/>
      <c r="S126" s="254" t="str">
        <f>IF(COUNTBLANK(O126:R126)=4,"",SUM(O126:Q126)+IF(Setup!$I$15="No",0,R126))</f>
        <v/>
      </c>
      <c r="T126" s="191"/>
      <c r="U126" s="191"/>
      <c r="V126" s="191"/>
      <c r="W126" s="191"/>
      <c r="X126" s="254" t="str">
        <f>IF(COUNTBLANK(T126:W126)=4,"",SUM(T126:V126)+IF(Setup!$I$15="No",0,W126))</f>
        <v/>
      </c>
      <c r="Y126" s="191"/>
      <c r="Z126" s="191"/>
      <c r="AA126" s="191"/>
      <c r="AB126" s="191"/>
      <c r="AC126" s="254" t="str">
        <f>IF(COUNTBLANK(Y126:AB126)=4,"",SUM(Y126:AA126)+IF(Setup!$I$15="No",0,AB126))</f>
        <v/>
      </c>
      <c r="AD126" s="191"/>
      <c r="AE126" s="191"/>
      <c r="AF126" s="191"/>
      <c r="AG126" s="191"/>
      <c r="AH126" s="254" t="str">
        <f>IF(COUNTBLANK(AD126:AG126)=4,"",SUM(AD126:AF126)+IF(Setup!$I$15="No",0,AG126))</f>
        <v/>
      </c>
      <c r="AI126" s="191"/>
      <c r="AJ126" s="191"/>
      <c r="AK126" s="191"/>
      <c r="AL126" s="191"/>
      <c r="AM126" s="254" t="str">
        <f>IF(COUNTBLANK(AI126:AL126)=4,"",SUM(AI126:AK126)+IF(Setup!$I$15="No",0,AL126))</f>
        <v/>
      </c>
      <c r="AN126" s="191"/>
      <c r="AO126" s="191"/>
      <c r="AP126" s="191"/>
      <c r="AQ126" s="191"/>
      <c r="AR126" s="254" t="str">
        <f>IF(COUNTBLANK(AN126:AQ126)=4,"",SUM(AN126:AP126)+IF(Setup!$I$15="No",0,AQ126))</f>
        <v/>
      </c>
      <c r="AS126" s="191"/>
      <c r="AT126" s="191"/>
      <c r="AU126" s="191"/>
      <c r="AV126" s="191"/>
      <c r="AW126" s="254" t="str">
        <f>IF(COUNTBLANK(AS126:AV126)=4,"",SUM(AS126:AU126)+IF(Setup!$I$15="No",0,AV126))</f>
        <v/>
      </c>
      <c r="AX126" s="191"/>
      <c r="AY126" s="191"/>
      <c r="AZ126" s="191"/>
      <c r="BA126" s="191"/>
      <c r="BB126" s="254" t="str">
        <f>IF(COUNTBLANK(AX126:BA126)=4,"",SUM(AX126:AZ126)+IF(Setup!$I$15="No",0,BA126))</f>
        <v/>
      </c>
      <c r="BC126" s="258" t="str">
        <f ca="1">IF('Demand background (hide)'!A117=Num_Modalities,"",SUM(Demand!I126))</f>
        <v/>
      </c>
      <c r="BD126" s="258" t="str">
        <f ca="1">IF(AND(A126&lt;=MaxRows,BE126&lt;&gt;"Yes"),'Demand background (hide)'!X117+IF(Setup!$I$15="Yes",'Demand background (hide)'!AJ117,0),"")</f>
        <v/>
      </c>
      <c r="BE126" s="208"/>
    </row>
    <row r="127" spans="1:59" ht="15" x14ac:dyDescent="0.25">
      <c r="A127" t="str">
        <f t="shared" ca="1" si="4"/>
        <v/>
      </c>
      <c r="B127" s="263" t="str">
        <f t="shared" ca="1" si="5"/>
        <v xml:space="preserve"> </v>
      </c>
      <c r="C127" s="264" t="str">
        <f t="shared" ca="1" si="6"/>
        <v/>
      </c>
      <c r="D127" s="264" t="str">
        <f t="shared" ca="1" si="7"/>
        <v/>
      </c>
      <c r="E127" s="191"/>
      <c r="F127" s="191"/>
      <c r="G127" s="191"/>
      <c r="H127" s="191"/>
      <c r="I127" s="250" t="str">
        <f>IF(COUNTBLANK(E127:H127)=4,"",SUM(E127:G127)+IF(Setup!$I$15="No",0,H127))</f>
        <v/>
      </c>
      <c r="J127" s="191"/>
      <c r="K127" s="191"/>
      <c r="L127" s="191"/>
      <c r="M127" s="191"/>
      <c r="N127" s="254" t="str">
        <f>IF(COUNTBLANK(J127:M127)=4,"",SUM(J127:L127)+IF(Setup!$I$15="No",0,M127))</f>
        <v/>
      </c>
      <c r="O127" s="191"/>
      <c r="P127" s="191"/>
      <c r="Q127" s="191"/>
      <c r="R127" s="191"/>
      <c r="S127" s="254" t="str">
        <f>IF(COUNTBLANK(O127:R127)=4,"",SUM(O127:Q127)+IF(Setup!$I$15="No",0,R127))</f>
        <v/>
      </c>
      <c r="T127" s="191"/>
      <c r="U127" s="191"/>
      <c r="V127" s="191"/>
      <c r="W127" s="191"/>
      <c r="X127" s="254" t="str">
        <f>IF(COUNTBLANK(T127:W127)=4,"",SUM(T127:V127)+IF(Setup!$I$15="No",0,W127))</f>
        <v/>
      </c>
      <c r="Y127" s="191"/>
      <c r="Z127" s="191"/>
      <c r="AA127" s="191"/>
      <c r="AB127" s="191"/>
      <c r="AC127" s="254" t="str">
        <f>IF(COUNTBLANK(Y127:AB127)=4,"",SUM(Y127:AA127)+IF(Setup!$I$15="No",0,AB127))</f>
        <v/>
      </c>
      <c r="AD127" s="191"/>
      <c r="AE127" s="191"/>
      <c r="AF127" s="191"/>
      <c r="AG127" s="191"/>
      <c r="AH127" s="254" t="str">
        <f>IF(COUNTBLANK(AD127:AG127)=4,"",SUM(AD127:AF127)+IF(Setup!$I$15="No",0,AG127))</f>
        <v/>
      </c>
      <c r="AI127" s="191"/>
      <c r="AJ127" s="191"/>
      <c r="AK127" s="191"/>
      <c r="AL127" s="191"/>
      <c r="AM127" s="254" t="str">
        <f>IF(COUNTBLANK(AI127:AL127)=4,"",SUM(AI127:AK127)+IF(Setup!$I$15="No",0,AL127))</f>
        <v/>
      </c>
      <c r="AN127" s="191"/>
      <c r="AO127" s="191"/>
      <c r="AP127" s="191"/>
      <c r="AQ127" s="191"/>
      <c r="AR127" s="254" t="str">
        <f>IF(COUNTBLANK(AN127:AQ127)=4,"",SUM(AN127:AP127)+IF(Setup!$I$15="No",0,AQ127))</f>
        <v/>
      </c>
      <c r="AS127" s="191"/>
      <c r="AT127" s="191"/>
      <c r="AU127" s="191"/>
      <c r="AV127" s="191"/>
      <c r="AW127" s="254" t="str">
        <f>IF(COUNTBLANK(AS127:AV127)=4,"",SUM(AS127:AU127)+IF(Setup!$I$15="No",0,AV127))</f>
        <v/>
      </c>
      <c r="AX127" s="191"/>
      <c r="AY127" s="191"/>
      <c r="AZ127" s="191"/>
      <c r="BA127" s="191"/>
      <c r="BB127" s="254" t="str">
        <f>IF(COUNTBLANK(AX127:BA127)=4,"",SUM(AX127:AZ127)+IF(Setup!$I$15="No",0,BA127))</f>
        <v/>
      </c>
      <c r="BC127" s="258" t="str">
        <f ca="1">IF('Demand background (hide)'!A118=Num_Modalities,"",SUM(Demand!I127))</f>
        <v/>
      </c>
      <c r="BD127" s="258" t="str">
        <f ca="1">IF(AND(A127&lt;=MaxRows,BE127&lt;&gt;"Yes"),'Demand background (hide)'!X118+IF(Setup!$I$15="Yes",'Demand background (hide)'!AJ118,0),"")</f>
        <v/>
      </c>
      <c r="BE127" s="208"/>
    </row>
    <row r="128" spans="1:59" ht="15" x14ac:dyDescent="0.25">
      <c r="A128" t="str">
        <f t="shared" ca="1" si="4"/>
        <v/>
      </c>
      <c r="B128" s="263" t="str">
        <f t="shared" ca="1" si="5"/>
        <v xml:space="preserve"> </v>
      </c>
      <c r="C128" s="264" t="str">
        <f t="shared" ca="1" si="6"/>
        <v/>
      </c>
      <c r="D128" s="264" t="str">
        <f t="shared" ca="1" si="7"/>
        <v/>
      </c>
      <c r="E128" s="191"/>
      <c r="F128" s="191"/>
      <c r="G128" s="191"/>
      <c r="H128" s="191"/>
      <c r="I128" s="250" t="str">
        <f>IF(COUNTBLANK(E128:H128)=4,"",SUM(E128:G128)+IF(Setup!$I$15="No",0,H128))</f>
        <v/>
      </c>
      <c r="J128" s="191"/>
      <c r="K128" s="191"/>
      <c r="L128" s="191"/>
      <c r="M128" s="191"/>
      <c r="N128" s="254" t="str">
        <f>IF(COUNTBLANK(J128:M128)=4,"",SUM(J128:L128)+IF(Setup!$I$15="No",0,M128))</f>
        <v/>
      </c>
      <c r="O128" s="191"/>
      <c r="P128" s="191"/>
      <c r="Q128" s="191"/>
      <c r="R128" s="191"/>
      <c r="S128" s="254" t="str">
        <f>IF(COUNTBLANK(O128:R128)=4,"",SUM(O128:Q128)+IF(Setup!$I$15="No",0,R128))</f>
        <v/>
      </c>
      <c r="T128" s="191"/>
      <c r="U128" s="191"/>
      <c r="V128" s="191"/>
      <c r="W128" s="191"/>
      <c r="X128" s="254" t="str">
        <f>IF(COUNTBLANK(T128:W128)=4,"",SUM(T128:V128)+IF(Setup!$I$15="No",0,W128))</f>
        <v/>
      </c>
      <c r="Y128" s="191"/>
      <c r="Z128" s="191"/>
      <c r="AA128" s="191"/>
      <c r="AB128" s="191"/>
      <c r="AC128" s="254" t="str">
        <f>IF(COUNTBLANK(Y128:AB128)=4,"",SUM(Y128:AA128)+IF(Setup!$I$15="No",0,AB128))</f>
        <v/>
      </c>
      <c r="AD128" s="191"/>
      <c r="AE128" s="191"/>
      <c r="AF128" s="191"/>
      <c r="AG128" s="191"/>
      <c r="AH128" s="254" t="str">
        <f>IF(COUNTBLANK(AD128:AG128)=4,"",SUM(AD128:AF128)+IF(Setup!$I$15="No",0,AG128))</f>
        <v/>
      </c>
      <c r="AI128" s="191"/>
      <c r="AJ128" s="191"/>
      <c r="AK128" s="191"/>
      <c r="AL128" s="191"/>
      <c r="AM128" s="254" t="str">
        <f>IF(COUNTBLANK(AI128:AL128)=4,"",SUM(AI128:AK128)+IF(Setup!$I$15="No",0,AL128))</f>
        <v/>
      </c>
      <c r="AN128" s="191"/>
      <c r="AO128" s="191"/>
      <c r="AP128" s="191"/>
      <c r="AQ128" s="191"/>
      <c r="AR128" s="254" t="str">
        <f>IF(COUNTBLANK(AN128:AQ128)=4,"",SUM(AN128:AP128)+IF(Setup!$I$15="No",0,AQ128))</f>
        <v/>
      </c>
      <c r="AS128" s="191"/>
      <c r="AT128" s="191"/>
      <c r="AU128" s="191"/>
      <c r="AV128" s="191"/>
      <c r="AW128" s="254" t="str">
        <f>IF(COUNTBLANK(AS128:AV128)=4,"",SUM(AS128:AU128)+IF(Setup!$I$15="No",0,AV128))</f>
        <v/>
      </c>
      <c r="AX128" s="191"/>
      <c r="AY128" s="191"/>
      <c r="AZ128" s="191"/>
      <c r="BA128" s="191"/>
      <c r="BB128" s="254" t="str">
        <f>IF(COUNTBLANK(AX128:BA128)=4,"",SUM(AX128:AZ128)+IF(Setup!$I$15="No",0,BA128))</f>
        <v/>
      </c>
      <c r="BC128" s="258" t="str">
        <f ca="1">IF('Demand background (hide)'!A119=Num_Modalities,"",SUM(Demand!I128))</f>
        <v/>
      </c>
      <c r="BD128" s="258" t="str">
        <f ca="1">IF(AND(A128&lt;=MaxRows,BE128&lt;&gt;"Yes"),'Demand background (hide)'!X119+IF(Setup!$I$15="Yes",'Demand background (hide)'!AJ119,0),"")</f>
        <v/>
      </c>
      <c r="BE128" s="208"/>
    </row>
    <row r="129" spans="1:57" ht="15" x14ac:dyDescent="0.25">
      <c r="A129" t="str">
        <f t="shared" ca="1" si="4"/>
        <v/>
      </c>
      <c r="B129" s="263" t="str">
        <f t="shared" ca="1" si="5"/>
        <v xml:space="preserve"> </v>
      </c>
      <c r="C129" s="264" t="str">
        <f t="shared" ca="1" si="6"/>
        <v/>
      </c>
      <c r="D129" s="264" t="str">
        <f t="shared" ca="1" si="7"/>
        <v/>
      </c>
      <c r="E129" s="191"/>
      <c r="F129" s="191"/>
      <c r="G129" s="191"/>
      <c r="H129" s="191"/>
      <c r="I129" s="250" t="str">
        <f>IF(COUNTBLANK(E129:H129)=4,"",SUM(E129:G129)+IF(Setup!$I$15="No",0,H129))</f>
        <v/>
      </c>
      <c r="J129" s="191"/>
      <c r="K129" s="191"/>
      <c r="L129" s="191"/>
      <c r="M129" s="191"/>
      <c r="N129" s="254" t="str">
        <f>IF(COUNTBLANK(J129:M129)=4,"",SUM(J129:L129)+IF(Setup!$I$15="No",0,M129))</f>
        <v/>
      </c>
      <c r="O129" s="191"/>
      <c r="P129" s="191"/>
      <c r="Q129" s="191"/>
      <c r="R129" s="191"/>
      <c r="S129" s="254" t="str">
        <f>IF(COUNTBLANK(O129:R129)=4,"",SUM(O129:Q129)+IF(Setup!$I$15="No",0,R129))</f>
        <v/>
      </c>
      <c r="T129" s="191"/>
      <c r="U129" s="191"/>
      <c r="V129" s="191"/>
      <c r="W129" s="191"/>
      <c r="X129" s="254" t="str">
        <f>IF(COUNTBLANK(T129:W129)=4,"",SUM(T129:V129)+IF(Setup!$I$15="No",0,W129))</f>
        <v/>
      </c>
      <c r="Y129" s="191"/>
      <c r="Z129" s="191"/>
      <c r="AA129" s="191"/>
      <c r="AB129" s="191"/>
      <c r="AC129" s="254" t="str">
        <f>IF(COUNTBLANK(Y129:AB129)=4,"",SUM(Y129:AA129)+IF(Setup!$I$15="No",0,AB129))</f>
        <v/>
      </c>
      <c r="AD129" s="191"/>
      <c r="AE129" s="191"/>
      <c r="AF129" s="191"/>
      <c r="AG129" s="191"/>
      <c r="AH129" s="254" t="str">
        <f>IF(COUNTBLANK(AD129:AG129)=4,"",SUM(AD129:AF129)+IF(Setup!$I$15="No",0,AG129))</f>
        <v/>
      </c>
      <c r="AI129" s="191"/>
      <c r="AJ129" s="191"/>
      <c r="AK129" s="191"/>
      <c r="AL129" s="191"/>
      <c r="AM129" s="254" t="str">
        <f>IF(COUNTBLANK(AI129:AL129)=4,"",SUM(AI129:AK129)+IF(Setup!$I$15="No",0,AL129))</f>
        <v/>
      </c>
      <c r="AN129" s="191"/>
      <c r="AO129" s="191"/>
      <c r="AP129" s="191"/>
      <c r="AQ129" s="191"/>
      <c r="AR129" s="254" t="str">
        <f>IF(COUNTBLANK(AN129:AQ129)=4,"",SUM(AN129:AP129)+IF(Setup!$I$15="No",0,AQ129))</f>
        <v/>
      </c>
      <c r="AS129" s="191"/>
      <c r="AT129" s="191"/>
      <c r="AU129" s="191"/>
      <c r="AV129" s="191"/>
      <c r="AW129" s="254" t="str">
        <f>IF(COUNTBLANK(AS129:AV129)=4,"",SUM(AS129:AU129)+IF(Setup!$I$15="No",0,AV129))</f>
        <v/>
      </c>
      <c r="AX129" s="191"/>
      <c r="AY129" s="191"/>
      <c r="AZ129" s="191"/>
      <c r="BA129" s="191"/>
      <c r="BB129" s="254" t="str">
        <f>IF(COUNTBLANK(AX129:BA129)=4,"",SUM(AX129:AZ129)+IF(Setup!$I$15="No",0,BA129))</f>
        <v/>
      </c>
      <c r="BC129" s="258" t="str">
        <f ca="1">IF('Demand background (hide)'!A120=Num_Modalities,"",SUM(Demand!I129))</f>
        <v/>
      </c>
      <c r="BD129" s="258" t="str">
        <f ca="1">IF(AND(A129&lt;=MaxRows,BE129&lt;&gt;"Yes"),'Demand background (hide)'!X120+IF(Setup!$I$15="Yes",'Demand background (hide)'!AJ120,0),"")</f>
        <v/>
      </c>
      <c r="BE129" s="208"/>
    </row>
    <row r="130" spans="1:57" ht="15" x14ac:dyDescent="0.25">
      <c r="A130" t="str">
        <f t="shared" ca="1" si="4"/>
        <v/>
      </c>
      <c r="B130" s="263" t="str">
        <f t="shared" ca="1" si="5"/>
        <v xml:space="preserve"> </v>
      </c>
      <c r="C130" s="264" t="str">
        <f t="shared" ca="1" si="6"/>
        <v/>
      </c>
      <c r="D130" s="264" t="str">
        <f t="shared" ca="1" si="7"/>
        <v/>
      </c>
      <c r="E130" s="191"/>
      <c r="F130" s="191"/>
      <c r="G130" s="191"/>
      <c r="H130" s="191"/>
      <c r="I130" s="250" t="str">
        <f>IF(COUNTBLANK(E130:H130)=4,"",SUM(E130:G130)+IF(Setup!$I$15="No",0,H130))</f>
        <v/>
      </c>
      <c r="J130" s="191"/>
      <c r="K130" s="191"/>
      <c r="L130" s="191"/>
      <c r="M130" s="191"/>
      <c r="N130" s="254" t="str">
        <f>IF(COUNTBLANK(J130:M130)=4,"",SUM(J130:L130)+IF(Setup!$I$15="No",0,M130))</f>
        <v/>
      </c>
      <c r="O130" s="191"/>
      <c r="P130" s="191"/>
      <c r="Q130" s="191"/>
      <c r="R130" s="191"/>
      <c r="S130" s="254" t="str">
        <f>IF(COUNTBLANK(O130:R130)=4,"",SUM(O130:Q130)+IF(Setup!$I$15="No",0,R130))</f>
        <v/>
      </c>
      <c r="T130" s="191"/>
      <c r="U130" s="191"/>
      <c r="V130" s="191"/>
      <c r="W130" s="191"/>
      <c r="X130" s="254" t="str">
        <f>IF(COUNTBLANK(T130:W130)=4,"",SUM(T130:V130)+IF(Setup!$I$15="No",0,W130))</f>
        <v/>
      </c>
      <c r="Y130" s="191"/>
      <c r="Z130" s="191"/>
      <c r="AA130" s="191"/>
      <c r="AB130" s="191"/>
      <c r="AC130" s="254" t="str">
        <f>IF(COUNTBLANK(Y130:AB130)=4,"",SUM(Y130:AA130)+IF(Setup!$I$15="No",0,AB130))</f>
        <v/>
      </c>
      <c r="AD130" s="191"/>
      <c r="AE130" s="191"/>
      <c r="AF130" s="191"/>
      <c r="AG130" s="191"/>
      <c r="AH130" s="254" t="str">
        <f>IF(COUNTBLANK(AD130:AG130)=4,"",SUM(AD130:AF130)+IF(Setup!$I$15="No",0,AG130))</f>
        <v/>
      </c>
      <c r="AI130" s="191"/>
      <c r="AJ130" s="191"/>
      <c r="AK130" s="191"/>
      <c r="AL130" s="191"/>
      <c r="AM130" s="254" t="str">
        <f>IF(COUNTBLANK(AI130:AL130)=4,"",SUM(AI130:AK130)+IF(Setup!$I$15="No",0,AL130))</f>
        <v/>
      </c>
      <c r="AN130" s="191"/>
      <c r="AO130" s="191"/>
      <c r="AP130" s="191"/>
      <c r="AQ130" s="191"/>
      <c r="AR130" s="254" t="str">
        <f>IF(COUNTBLANK(AN130:AQ130)=4,"",SUM(AN130:AP130)+IF(Setup!$I$15="No",0,AQ130))</f>
        <v/>
      </c>
      <c r="AS130" s="191"/>
      <c r="AT130" s="191"/>
      <c r="AU130" s="191"/>
      <c r="AV130" s="191"/>
      <c r="AW130" s="254" t="str">
        <f>IF(COUNTBLANK(AS130:AV130)=4,"",SUM(AS130:AU130)+IF(Setup!$I$15="No",0,AV130))</f>
        <v/>
      </c>
      <c r="AX130" s="191"/>
      <c r="AY130" s="191"/>
      <c r="AZ130" s="191"/>
      <c r="BA130" s="191"/>
      <c r="BB130" s="254" t="str">
        <f>IF(COUNTBLANK(AX130:BA130)=4,"",SUM(AX130:AZ130)+IF(Setup!$I$15="No",0,BA130))</f>
        <v/>
      </c>
      <c r="BC130" s="258" t="str">
        <f ca="1">IF('Demand background (hide)'!A121=Num_Modalities,"",SUM(Demand!I130))</f>
        <v/>
      </c>
      <c r="BD130" s="258" t="str">
        <f ca="1">IF(AND(A130&lt;=MaxRows,BE130&lt;&gt;"Yes"),'Demand background (hide)'!X121+IF(Setup!$I$15="Yes",'Demand background (hide)'!AJ121,0),"")</f>
        <v/>
      </c>
      <c r="BE130" s="208"/>
    </row>
    <row r="131" spans="1:57" ht="15" x14ac:dyDescent="0.25">
      <c r="A131" t="str">
        <f t="shared" ca="1" si="4"/>
        <v/>
      </c>
      <c r="B131" s="263" t="str">
        <f t="shared" ca="1" si="5"/>
        <v xml:space="preserve"> </v>
      </c>
      <c r="C131" s="264" t="str">
        <f t="shared" ca="1" si="6"/>
        <v/>
      </c>
      <c r="D131" s="264" t="str">
        <f t="shared" ca="1" si="7"/>
        <v/>
      </c>
      <c r="E131" s="191"/>
      <c r="F131" s="191"/>
      <c r="G131" s="191"/>
      <c r="H131" s="191"/>
      <c r="I131" s="250" t="str">
        <f>IF(COUNTBLANK(E131:H131)=4,"",SUM(E131:G131)+IF(Setup!$I$15="No",0,H131))</f>
        <v/>
      </c>
      <c r="J131" s="191"/>
      <c r="K131" s="191"/>
      <c r="L131" s="191"/>
      <c r="M131" s="191"/>
      <c r="N131" s="254" t="str">
        <f>IF(COUNTBLANK(J131:M131)=4,"",SUM(J131:L131)+IF(Setup!$I$15="No",0,M131))</f>
        <v/>
      </c>
      <c r="O131" s="191"/>
      <c r="P131" s="191"/>
      <c r="Q131" s="191"/>
      <c r="R131" s="191"/>
      <c r="S131" s="254" t="str">
        <f>IF(COUNTBLANK(O131:R131)=4,"",SUM(O131:Q131)+IF(Setup!$I$15="No",0,R131))</f>
        <v/>
      </c>
      <c r="T131" s="191"/>
      <c r="U131" s="191"/>
      <c r="V131" s="191"/>
      <c r="W131" s="191"/>
      <c r="X131" s="254" t="str">
        <f>IF(COUNTBLANK(T131:W131)=4,"",SUM(T131:V131)+IF(Setup!$I$15="No",0,W131))</f>
        <v/>
      </c>
      <c r="Y131" s="191"/>
      <c r="Z131" s="191"/>
      <c r="AA131" s="191"/>
      <c r="AB131" s="191"/>
      <c r="AC131" s="254" t="str">
        <f>IF(COUNTBLANK(Y131:AB131)=4,"",SUM(Y131:AA131)+IF(Setup!$I$15="No",0,AB131))</f>
        <v/>
      </c>
      <c r="AD131" s="191"/>
      <c r="AE131" s="191"/>
      <c r="AF131" s="191"/>
      <c r="AG131" s="191"/>
      <c r="AH131" s="254" t="str">
        <f>IF(COUNTBLANK(AD131:AG131)=4,"",SUM(AD131:AF131)+IF(Setup!$I$15="No",0,AG131))</f>
        <v/>
      </c>
      <c r="AI131" s="191"/>
      <c r="AJ131" s="191"/>
      <c r="AK131" s="191"/>
      <c r="AL131" s="191"/>
      <c r="AM131" s="254" t="str">
        <f>IF(COUNTBLANK(AI131:AL131)=4,"",SUM(AI131:AK131)+IF(Setup!$I$15="No",0,AL131))</f>
        <v/>
      </c>
      <c r="AN131" s="191"/>
      <c r="AO131" s="191"/>
      <c r="AP131" s="191"/>
      <c r="AQ131" s="191"/>
      <c r="AR131" s="254" t="str">
        <f>IF(COUNTBLANK(AN131:AQ131)=4,"",SUM(AN131:AP131)+IF(Setup!$I$15="No",0,AQ131))</f>
        <v/>
      </c>
      <c r="AS131" s="191"/>
      <c r="AT131" s="191"/>
      <c r="AU131" s="191"/>
      <c r="AV131" s="191"/>
      <c r="AW131" s="254" t="str">
        <f>IF(COUNTBLANK(AS131:AV131)=4,"",SUM(AS131:AU131)+IF(Setup!$I$15="No",0,AV131))</f>
        <v/>
      </c>
      <c r="AX131" s="191"/>
      <c r="AY131" s="191"/>
      <c r="AZ131" s="191"/>
      <c r="BA131" s="191"/>
      <c r="BB131" s="254" t="str">
        <f>IF(COUNTBLANK(AX131:BA131)=4,"",SUM(AX131:AZ131)+IF(Setup!$I$15="No",0,BA131))</f>
        <v/>
      </c>
      <c r="BC131" s="258" t="str">
        <f ca="1">IF('Demand background (hide)'!A122=Num_Modalities,"",SUM(Demand!I131))</f>
        <v/>
      </c>
      <c r="BD131" s="258" t="str">
        <f ca="1">IF(AND(A131&lt;=MaxRows,BE131&lt;&gt;"Yes"),'Demand background (hide)'!X122+IF(Setup!$I$15="Yes",'Demand background (hide)'!AJ122,0),"")</f>
        <v/>
      </c>
      <c r="BE131" s="208"/>
    </row>
    <row r="132" spans="1:57" ht="15" x14ac:dyDescent="0.25">
      <c r="A132" t="str">
        <f t="shared" ca="1" si="4"/>
        <v/>
      </c>
      <c r="B132" s="263" t="str">
        <f t="shared" ca="1" si="5"/>
        <v xml:space="preserve"> </v>
      </c>
      <c r="C132" s="264" t="str">
        <f t="shared" ca="1" si="6"/>
        <v/>
      </c>
      <c r="D132" s="264" t="str">
        <f t="shared" ca="1" si="7"/>
        <v/>
      </c>
      <c r="E132" s="191"/>
      <c r="F132" s="191"/>
      <c r="G132" s="191"/>
      <c r="H132" s="191"/>
      <c r="I132" s="250" t="str">
        <f>IF(COUNTBLANK(E132:H132)=4,"",SUM(E132:G132)+IF(Setup!$I$15="No",0,H132))</f>
        <v/>
      </c>
      <c r="J132" s="191"/>
      <c r="K132" s="191"/>
      <c r="L132" s="191"/>
      <c r="M132" s="191"/>
      <c r="N132" s="254" t="str">
        <f>IF(COUNTBLANK(J132:M132)=4,"",SUM(J132:L132)+IF(Setup!$I$15="No",0,M132))</f>
        <v/>
      </c>
      <c r="O132" s="191"/>
      <c r="P132" s="191"/>
      <c r="Q132" s="191"/>
      <c r="R132" s="191"/>
      <c r="S132" s="254" t="str">
        <f>IF(COUNTBLANK(O132:R132)=4,"",SUM(O132:Q132)+IF(Setup!$I$15="No",0,R132))</f>
        <v/>
      </c>
      <c r="T132" s="191"/>
      <c r="U132" s="191"/>
      <c r="V132" s="191"/>
      <c r="W132" s="191"/>
      <c r="X132" s="254" t="str">
        <f>IF(COUNTBLANK(T132:W132)=4,"",SUM(T132:V132)+IF(Setup!$I$15="No",0,W132))</f>
        <v/>
      </c>
      <c r="Y132" s="191"/>
      <c r="Z132" s="191"/>
      <c r="AA132" s="191"/>
      <c r="AB132" s="191"/>
      <c r="AC132" s="254" t="str">
        <f>IF(COUNTBLANK(Y132:AB132)=4,"",SUM(Y132:AA132)+IF(Setup!$I$15="No",0,AB132))</f>
        <v/>
      </c>
      <c r="AD132" s="191"/>
      <c r="AE132" s="191"/>
      <c r="AF132" s="191"/>
      <c r="AG132" s="191"/>
      <c r="AH132" s="254" t="str">
        <f>IF(COUNTBLANK(AD132:AG132)=4,"",SUM(AD132:AF132)+IF(Setup!$I$15="No",0,AG132))</f>
        <v/>
      </c>
      <c r="AI132" s="191"/>
      <c r="AJ132" s="191"/>
      <c r="AK132" s="191"/>
      <c r="AL132" s="191"/>
      <c r="AM132" s="254" t="str">
        <f>IF(COUNTBLANK(AI132:AL132)=4,"",SUM(AI132:AK132)+IF(Setup!$I$15="No",0,AL132))</f>
        <v/>
      </c>
      <c r="AN132" s="191"/>
      <c r="AO132" s="191"/>
      <c r="AP132" s="191"/>
      <c r="AQ132" s="191"/>
      <c r="AR132" s="254" t="str">
        <f>IF(COUNTBLANK(AN132:AQ132)=4,"",SUM(AN132:AP132)+IF(Setup!$I$15="No",0,AQ132))</f>
        <v/>
      </c>
      <c r="AS132" s="191"/>
      <c r="AT132" s="191"/>
      <c r="AU132" s="191"/>
      <c r="AV132" s="191"/>
      <c r="AW132" s="254" t="str">
        <f>IF(COUNTBLANK(AS132:AV132)=4,"",SUM(AS132:AU132)+IF(Setup!$I$15="No",0,AV132))</f>
        <v/>
      </c>
      <c r="AX132" s="191"/>
      <c r="AY132" s="191"/>
      <c r="AZ132" s="191"/>
      <c r="BA132" s="191"/>
      <c r="BB132" s="254" t="str">
        <f>IF(COUNTBLANK(AX132:BA132)=4,"",SUM(AX132:AZ132)+IF(Setup!$I$15="No",0,BA132))</f>
        <v/>
      </c>
      <c r="BC132" s="258" t="str">
        <f ca="1">IF('Demand background (hide)'!A123=Num_Modalities,"",SUM(Demand!I132))</f>
        <v/>
      </c>
      <c r="BD132" s="258" t="str">
        <f ca="1">IF(AND(A132&lt;=MaxRows,BE132&lt;&gt;"Yes"),'Demand background (hide)'!X123+IF(Setup!$I$15="Yes",'Demand background (hide)'!AJ123,0),"")</f>
        <v/>
      </c>
      <c r="BE132" s="208"/>
    </row>
    <row r="133" spans="1:57" ht="15" x14ac:dyDescent="0.25">
      <c r="A133" t="str">
        <f t="shared" ca="1" si="4"/>
        <v/>
      </c>
      <c r="B133" s="263" t="str">
        <f t="shared" ca="1" si="5"/>
        <v xml:space="preserve"> </v>
      </c>
      <c r="C133" s="264" t="str">
        <f t="shared" ca="1" si="6"/>
        <v/>
      </c>
      <c r="D133" s="264" t="str">
        <f t="shared" ca="1" si="7"/>
        <v/>
      </c>
      <c r="E133" s="191"/>
      <c r="F133" s="191"/>
      <c r="G133" s="191"/>
      <c r="H133" s="191"/>
      <c r="I133" s="250" t="str">
        <f>IF(COUNTBLANK(E133:H133)=4,"",SUM(E133:G133)+IF(Setup!$I$15="No",0,H133))</f>
        <v/>
      </c>
      <c r="J133" s="191"/>
      <c r="K133" s="191"/>
      <c r="L133" s="191"/>
      <c r="M133" s="191"/>
      <c r="N133" s="254" t="str">
        <f>IF(COUNTBLANK(J133:M133)=4,"",SUM(J133:L133)+IF(Setup!$I$15="No",0,M133))</f>
        <v/>
      </c>
      <c r="O133" s="191"/>
      <c r="P133" s="191"/>
      <c r="Q133" s="191"/>
      <c r="R133" s="191"/>
      <c r="S133" s="254" t="str">
        <f>IF(COUNTBLANK(O133:R133)=4,"",SUM(O133:Q133)+IF(Setup!$I$15="No",0,R133))</f>
        <v/>
      </c>
      <c r="T133" s="191"/>
      <c r="U133" s="191"/>
      <c r="V133" s="191"/>
      <c r="W133" s="191"/>
      <c r="X133" s="254" t="str">
        <f>IF(COUNTBLANK(T133:W133)=4,"",SUM(T133:V133)+IF(Setup!$I$15="No",0,W133))</f>
        <v/>
      </c>
      <c r="Y133" s="191"/>
      <c r="Z133" s="191"/>
      <c r="AA133" s="191"/>
      <c r="AB133" s="191"/>
      <c r="AC133" s="254" t="str">
        <f>IF(COUNTBLANK(Y133:AB133)=4,"",SUM(Y133:AA133)+IF(Setup!$I$15="No",0,AB133))</f>
        <v/>
      </c>
      <c r="AD133" s="191"/>
      <c r="AE133" s="191"/>
      <c r="AF133" s="191"/>
      <c r="AG133" s="191"/>
      <c r="AH133" s="254" t="str">
        <f>IF(COUNTBLANK(AD133:AG133)=4,"",SUM(AD133:AF133)+IF(Setup!$I$15="No",0,AG133))</f>
        <v/>
      </c>
      <c r="AI133" s="191"/>
      <c r="AJ133" s="191"/>
      <c r="AK133" s="191"/>
      <c r="AL133" s="191"/>
      <c r="AM133" s="254" t="str">
        <f>IF(COUNTBLANK(AI133:AL133)=4,"",SUM(AI133:AK133)+IF(Setup!$I$15="No",0,AL133))</f>
        <v/>
      </c>
      <c r="AN133" s="191"/>
      <c r="AO133" s="191"/>
      <c r="AP133" s="191"/>
      <c r="AQ133" s="191"/>
      <c r="AR133" s="254" t="str">
        <f>IF(COUNTBLANK(AN133:AQ133)=4,"",SUM(AN133:AP133)+IF(Setup!$I$15="No",0,AQ133))</f>
        <v/>
      </c>
      <c r="AS133" s="191"/>
      <c r="AT133" s="191"/>
      <c r="AU133" s="191"/>
      <c r="AV133" s="191"/>
      <c r="AW133" s="254" t="str">
        <f>IF(COUNTBLANK(AS133:AV133)=4,"",SUM(AS133:AU133)+IF(Setup!$I$15="No",0,AV133))</f>
        <v/>
      </c>
      <c r="AX133" s="191"/>
      <c r="AY133" s="191"/>
      <c r="AZ133" s="191"/>
      <c r="BA133" s="191"/>
      <c r="BB133" s="254" t="str">
        <f>IF(COUNTBLANK(AX133:BA133)=4,"",SUM(AX133:AZ133)+IF(Setup!$I$15="No",0,BA133))</f>
        <v/>
      </c>
      <c r="BC133" s="258" t="str">
        <f ca="1">IF('Demand background (hide)'!A124=Num_Modalities,"",SUM(Demand!I133))</f>
        <v/>
      </c>
      <c r="BD133" s="258" t="str">
        <f ca="1">IF(AND(A133&lt;=MaxRows,BE133&lt;&gt;"Yes"),'Demand background (hide)'!X124+IF(Setup!$I$15="Yes",'Demand background (hide)'!AJ124,0),"")</f>
        <v/>
      </c>
      <c r="BE133" s="208"/>
    </row>
    <row r="134" spans="1:57" ht="15" x14ac:dyDescent="0.25">
      <c r="A134" t="str">
        <f t="shared" ca="1" si="4"/>
        <v/>
      </c>
      <c r="B134" s="263" t="str">
        <f t="shared" ca="1" si="5"/>
        <v xml:space="preserve"> </v>
      </c>
      <c r="C134" s="264" t="str">
        <f t="shared" ca="1" si="6"/>
        <v/>
      </c>
      <c r="D134" s="264" t="str">
        <f t="shared" ca="1" si="7"/>
        <v/>
      </c>
      <c r="E134" s="191"/>
      <c r="F134" s="191"/>
      <c r="G134" s="191"/>
      <c r="H134" s="191"/>
      <c r="I134" s="250" t="str">
        <f>IF(COUNTBLANK(E134:H134)=4,"",SUM(E134:G134)+IF(Setup!$I$15="No",0,H134))</f>
        <v/>
      </c>
      <c r="J134" s="191"/>
      <c r="K134" s="191"/>
      <c r="L134" s="191"/>
      <c r="M134" s="191"/>
      <c r="N134" s="254" t="str">
        <f>IF(COUNTBLANK(J134:M134)=4,"",SUM(J134:L134)+IF(Setup!$I$15="No",0,M134))</f>
        <v/>
      </c>
      <c r="O134" s="191"/>
      <c r="P134" s="191"/>
      <c r="Q134" s="191"/>
      <c r="R134" s="191"/>
      <c r="S134" s="254" t="str">
        <f>IF(COUNTBLANK(O134:R134)=4,"",SUM(O134:Q134)+IF(Setup!$I$15="No",0,R134))</f>
        <v/>
      </c>
      <c r="T134" s="191"/>
      <c r="U134" s="191"/>
      <c r="V134" s="191"/>
      <c r="W134" s="191"/>
      <c r="X134" s="254" t="str">
        <f>IF(COUNTBLANK(T134:W134)=4,"",SUM(T134:V134)+IF(Setup!$I$15="No",0,W134))</f>
        <v/>
      </c>
      <c r="Y134" s="191"/>
      <c r="Z134" s="191"/>
      <c r="AA134" s="191"/>
      <c r="AB134" s="191"/>
      <c r="AC134" s="254" t="str">
        <f>IF(COUNTBLANK(Y134:AB134)=4,"",SUM(Y134:AA134)+IF(Setup!$I$15="No",0,AB134))</f>
        <v/>
      </c>
      <c r="AD134" s="191"/>
      <c r="AE134" s="191"/>
      <c r="AF134" s="191"/>
      <c r="AG134" s="191"/>
      <c r="AH134" s="254" t="str">
        <f>IF(COUNTBLANK(AD134:AG134)=4,"",SUM(AD134:AF134)+IF(Setup!$I$15="No",0,AG134))</f>
        <v/>
      </c>
      <c r="AI134" s="191"/>
      <c r="AJ134" s="191"/>
      <c r="AK134" s="191"/>
      <c r="AL134" s="191"/>
      <c r="AM134" s="254" t="str">
        <f>IF(COUNTBLANK(AI134:AL134)=4,"",SUM(AI134:AK134)+IF(Setup!$I$15="No",0,AL134))</f>
        <v/>
      </c>
      <c r="AN134" s="191"/>
      <c r="AO134" s="191"/>
      <c r="AP134" s="191"/>
      <c r="AQ134" s="191"/>
      <c r="AR134" s="254" t="str">
        <f>IF(COUNTBLANK(AN134:AQ134)=4,"",SUM(AN134:AP134)+IF(Setup!$I$15="No",0,AQ134))</f>
        <v/>
      </c>
      <c r="AS134" s="191"/>
      <c r="AT134" s="191"/>
      <c r="AU134" s="191"/>
      <c r="AV134" s="191"/>
      <c r="AW134" s="254" t="str">
        <f>IF(COUNTBLANK(AS134:AV134)=4,"",SUM(AS134:AU134)+IF(Setup!$I$15="No",0,AV134))</f>
        <v/>
      </c>
      <c r="AX134" s="191"/>
      <c r="AY134" s="191"/>
      <c r="AZ134" s="191"/>
      <c r="BA134" s="191"/>
      <c r="BB134" s="254" t="str">
        <f>IF(COUNTBLANK(AX134:BA134)=4,"",SUM(AX134:AZ134)+IF(Setup!$I$15="No",0,BA134))</f>
        <v/>
      </c>
      <c r="BC134" s="258" t="str">
        <f ca="1">IF('Demand background (hide)'!A125=Num_Modalities,"",SUM(Demand!I134))</f>
        <v/>
      </c>
      <c r="BD134" s="258" t="str">
        <f ca="1">IF(AND(A134&lt;=MaxRows,BE134&lt;&gt;"Yes"),'Demand background (hide)'!X125+IF(Setup!$I$15="Yes",'Demand background (hide)'!AJ125,0),"")</f>
        <v/>
      </c>
      <c r="BE134" s="208"/>
    </row>
    <row r="135" spans="1:57" ht="15" x14ac:dyDescent="0.25">
      <c r="A135" t="str">
        <f t="shared" ca="1" si="4"/>
        <v/>
      </c>
      <c r="B135" s="263" t="str">
        <f t="shared" ca="1" si="5"/>
        <v xml:space="preserve"> </v>
      </c>
      <c r="C135" s="264" t="str">
        <f t="shared" ca="1" si="6"/>
        <v/>
      </c>
      <c r="D135" s="264" t="str">
        <f t="shared" ca="1" si="7"/>
        <v/>
      </c>
      <c r="E135" s="191"/>
      <c r="F135" s="191"/>
      <c r="G135" s="191"/>
      <c r="H135" s="191"/>
      <c r="I135" s="250" t="str">
        <f>IF(COUNTBLANK(E135:H135)=4,"",SUM(E135:G135)+IF(Setup!$I$15="No",0,H135))</f>
        <v/>
      </c>
      <c r="J135" s="191"/>
      <c r="K135" s="191"/>
      <c r="L135" s="191"/>
      <c r="M135" s="191"/>
      <c r="N135" s="254" t="str">
        <f>IF(COUNTBLANK(J135:M135)=4,"",SUM(J135:L135)+IF(Setup!$I$15="No",0,M135))</f>
        <v/>
      </c>
      <c r="O135" s="191"/>
      <c r="P135" s="191"/>
      <c r="Q135" s="191"/>
      <c r="R135" s="191"/>
      <c r="S135" s="254" t="str">
        <f>IF(COUNTBLANK(O135:R135)=4,"",SUM(O135:Q135)+IF(Setup!$I$15="No",0,R135))</f>
        <v/>
      </c>
      <c r="T135" s="191"/>
      <c r="U135" s="191"/>
      <c r="V135" s="191"/>
      <c r="W135" s="191"/>
      <c r="X135" s="254" t="str">
        <f>IF(COUNTBLANK(T135:W135)=4,"",SUM(T135:V135)+IF(Setup!$I$15="No",0,W135))</f>
        <v/>
      </c>
      <c r="Y135" s="191"/>
      <c r="Z135" s="191"/>
      <c r="AA135" s="191"/>
      <c r="AB135" s="191"/>
      <c r="AC135" s="254" t="str">
        <f>IF(COUNTBLANK(Y135:AB135)=4,"",SUM(Y135:AA135)+IF(Setup!$I$15="No",0,AB135))</f>
        <v/>
      </c>
      <c r="AD135" s="191"/>
      <c r="AE135" s="191"/>
      <c r="AF135" s="191"/>
      <c r="AG135" s="191"/>
      <c r="AH135" s="254" t="str">
        <f>IF(COUNTBLANK(AD135:AG135)=4,"",SUM(AD135:AF135)+IF(Setup!$I$15="No",0,AG135))</f>
        <v/>
      </c>
      <c r="AI135" s="191"/>
      <c r="AJ135" s="191"/>
      <c r="AK135" s="191"/>
      <c r="AL135" s="191"/>
      <c r="AM135" s="254" t="str">
        <f>IF(COUNTBLANK(AI135:AL135)=4,"",SUM(AI135:AK135)+IF(Setup!$I$15="No",0,AL135))</f>
        <v/>
      </c>
      <c r="AN135" s="191"/>
      <c r="AO135" s="191"/>
      <c r="AP135" s="191"/>
      <c r="AQ135" s="191"/>
      <c r="AR135" s="254" t="str">
        <f>IF(COUNTBLANK(AN135:AQ135)=4,"",SUM(AN135:AP135)+IF(Setup!$I$15="No",0,AQ135))</f>
        <v/>
      </c>
      <c r="AS135" s="191"/>
      <c r="AT135" s="191"/>
      <c r="AU135" s="191"/>
      <c r="AV135" s="191"/>
      <c r="AW135" s="254" t="str">
        <f>IF(COUNTBLANK(AS135:AV135)=4,"",SUM(AS135:AU135)+IF(Setup!$I$15="No",0,AV135))</f>
        <v/>
      </c>
      <c r="AX135" s="191"/>
      <c r="AY135" s="191"/>
      <c r="AZ135" s="191"/>
      <c r="BA135" s="191"/>
      <c r="BB135" s="254" t="str">
        <f>IF(COUNTBLANK(AX135:BA135)=4,"",SUM(AX135:AZ135)+IF(Setup!$I$15="No",0,BA135))</f>
        <v/>
      </c>
      <c r="BC135" s="258" t="str">
        <f ca="1">IF('Demand background (hide)'!A126=Num_Modalities,"",SUM(Demand!I135))</f>
        <v/>
      </c>
      <c r="BD135" s="258" t="str">
        <f ca="1">IF(AND(A135&lt;=MaxRows,BE135&lt;&gt;"Yes"),'Demand background (hide)'!X126+IF(Setup!$I$15="Yes",'Demand background (hide)'!AJ126,0),"")</f>
        <v/>
      </c>
      <c r="BE135" s="208"/>
    </row>
    <row r="136" spans="1:57" ht="15" x14ac:dyDescent="0.25">
      <c r="A136" t="str">
        <f t="shared" ca="1" si="4"/>
        <v/>
      </c>
      <c r="B136" s="263" t="str">
        <f t="shared" ca="1" si="5"/>
        <v xml:space="preserve"> </v>
      </c>
      <c r="C136" s="264" t="str">
        <f t="shared" ca="1" si="6"/>
        <v/>
      </c>
      <c r="D136" s="264" t="str">
        <f t="shared" ca="1" si="7"/>
        <v/>
      </c>
      <c r="E136" s="191"/>
      <c r="F136" s="191"/>
      <c r="G136" s="191"/>
      <c r="H136" s="191"/>
      <c r="I136" s="250" t="str">
        <f>IF(COUNTBLANK(E136:H136)=4,"",SUM(E136:G136)+IF(Setup!$I$15="No",0,H136))</f>
        <v/>
      </c>
      <c r="J136" s="191"/>
      <c r="K136" s="191"/>
      <c r="L136" s="191"/>
      <c r="M136" s="191"/>
      <c r="N136" s="254" t="str">
        <f>IF(COUNTBLANK(J136:M136)=4,"",SUM(J136:L136)+IF(Setup!$I$15="No",0,M136))</f>
        <v/>
      </c>
      <c r="O136" s="191"/>
      <c r="P136" s="191"/>
      <c r="Q136" s="191"/>
      <c r="R136" s="191"/>
      <c r="S136" s="254" t="str">
        <f>IF(COUNTBLANK(O136:R136)=4,"",SUM(O136:Q136)+IF(Setup!$I$15="No",0,R136))</f>
        <v/>
      </c>
      <c r="T136" s="191"/>
      <c r="U136" s="191"/>
      <c r="V136" s="191"/>
      <c r="W136" s="191"/>
      <c r="X136" s="254" t="str">
        <f>IF(COUNTBLANK(T136:W136)=4,"",SUM(T136:V136)+IF(Setup!$I$15="No",0,W136))</f>
        <v/>
      </c>
      <c r="Y136" s="191"/>
      <c r="Z136" s="191"/>
      <c r="AA136" s="191"/>
      <c r="AB136" s="191"/>
      <c r="AC136" s="254" t="str">
        <f>IF(COUNTBLANK(Y136:AB136)=4,"",SUM(Y136:AA136)+IF(Setup!$I$15="No",0,AB136))</f>
        <v/>
      </c>
      <c r="AD136" s="191"/>
      <c r="AE136" s="191"/>
      <c r="AF136" s="191"/>
      <c r="AG136" s="191"/>
      <c r="AH136" s="254" t="str">
        <f>IF(COUNTBLANK(AD136:AG136)=4,"",SUM(AD136:AF136)+IF(Setup!$I$15="No",0,AG136))</f>
        <v/>
      </c>
      <c r="AI136" s="191"/>
      <c r="AJ136" s="191"/>
      <c r="AK136" s="191"/>
      <c r="AL136" s="191"/>
      <c r="AM136" s="254" t="str">
        <f>IF(COUNTBLANK(AI136:AL136)=4,"",SUM(AI136:AK136)+IF(Setup!$I$15="No",0,AL136))</f>
        <v/>
      </c>
      <c r="AN136" s="191"/>
      <c r="AO136" s="191"/>
      <c r="AP136" s="191"/>
      <c r="AQ136" s="191"/>
      <c r="AR136" s="254" t="str">
        <f>IF(COUNTBLANK(AN136:AQ136)=4,"",SUM(AN136:AP136)+IF(Setup!$I$15="No",0,AQ136))</f>
        <v/>
      </c>
      <c r="AS136" s="191"/>
      <c r="AT136" s="191"/>
      <c r="AU136" s="191"/>
      <c r="AV136" s="191"/>
      <c r="AW136" s="254" t="str">
        <f>IF(COUNTBLANK(AS136:AV136)=4,"",SUM(AS136:AU136)+IF(Setup!$I$15="No",0,AV136))</f>
        <v/>
      </c>
      <c r="AX136" s="191"/>
      <c r="AY136" s="191"/>
      <c r="AZ136" s="191"/>
      <c r="BA136" s="191"/>
      <c r="BB136" s="254" t="str">
        <f>IF(COUNTBLANK(AX136:BA136)=4,"",SUM(AX136:AZ136)+IF(Setup!$I$15="No",0,BA136))</f>
        <v/>
      </c>
      <c r="BC136" s="258" t="str">
        <f ca="1">IF('Demand background (hide)'!A127=Num_Modalities,"",SUM(Demand!I136))</f>
        <v/>
      </c>
      <c r="BD136" s="258" t="str">
        <f ca="1">IF(AND(A136&lt;=MaxRows,BE136&lt;&gt;"Yes"),'Demand background (hide)'!X127+IF(Setup!$I$15="Yes",'Demand background (hide)'!AJ127,0),"")</f>
        <v/>
      </c>
      <c r="BE136" s="208"/>
    </row>
    <row r="137" spans="1:57" ht="15" x14ac:dyDescent="0.25">
      <c r="A137" t="str">
        <f t="shared" ca="1" si="4"/>
        <v/>
      </c>
      <c r="B137" s="263" t="str">
        <f t="shared" ca="1" si="5"/>
        <v xml:space="preserve"> </v>
      </c>
      <c r="C137" s="264" t="str">
        <f t="shared" ca="1" si="6"/>
        <v/>
      </c>
      <c r="D137" s="264" t="str">
        <f t="shared" ca="1" si="7"/>
        <v/>
      </c>
      <c r="E137" s="191"/>
      <c r="F137" s="191"/>
      <c r="G137" s="191"/>
      <c r="H137" s="191"/>
      <c r="I137" s="250" t="str">
        <f>IF(COUNTBLANK(E137:H137)=4,"",SUM(E137:G137)+IF(Setup!$I$15="No",0,H137))</f>
        <v/>
      </c>
      <c r="J137" s="191"/>
      <c r="K137" s="191"/>
      <c r="L137" s="191"/>
      <c r="M137" s="191"/>
      <c r="N137" s="254" t="str">
        <f>IF(COUNTBLANK(J137:M137)=4,"",SUM(J137:L137)+IF(Setup!$I$15="No",0,M137))</f>
        <v/>
      </c>
      <c r="O137" s="191"/>
      <c r="P137" s="191"/>
      <c r="Q137" s="191"/>
      <c r="R137" s="191"/>
      <c r="S137" s="254" t="str">
        <f>IF(COUNTBLANK(O137:R137)=4,"",SUM(O137:Q137)+IF(Setup!$I$15="No",0,R137))</f>
        <v/>
      </c>
      <c r="T137" s="191"/>
      <c r="U137" s="191"/>
      <c r="V137" s="191"/>
      <c r="W137" s="191"/>
      <c r="X137" s="254" t="str">
        <f>IF(COUNTBLANK(T137:W137)=4,"",SUM(T137:V137)+IF(Setup!$I$15="No",0,W137))</f>
        <v/>
      </c>
      <c r="Y137" s="191"/>
      <c r="Z137" s="191"/>
      <c r="AA137" s="191"/>
      <c r="AB137" s="191"/>
      <c r="AC137" s="254" t="str">
        <f>IF(COUNTBLANK(Y137:AB137)=4,"",SUM(Y137:AA137)+IF(Setup!$I$15="No",0,AB137))</f>
        <v/>
      </c>
      <c r="AD137" s="191"/>
      <c r="AE137" s="191"/>
      <c r="AF137" s="191"/>
      <c r="AG137" s="191"/>
      <c r="AH137" s="254" t="str">
        <f>IF(COUNTBLANK(AD137:AG137)=4,"",SUM(AD137:AF137)+IF(Setup!$I$15="No",0,AG137))</f>
        <v/>
      </c>
      <c r="AI137" s="191"/>
      <c r="AJ137" s="191"/>
      <c r="AK137" s="191"/>
      <c r="AL137" s="191"/>
      <c r="AM137" s="254" t="str">
        <f>IF(COUNTBLANK(AI137:AL137)=4,"",SUM(AI137:AK137)+IF(Setup!$I$15="No",0,AL137))</f>
        <v/>
      </c>
      <c r="AN137" s="191"/>
      <c r="AO137" s="191"/>
      <c r="AP137" s="191"/>
      <c r="AQ137" s="191"/>
      <c r="AR137" s="254" t="str">
        <f>IF(COUNTBLANK(AN137:AQ137)=4,"",SUM(AN137:AP137)+IF(Setup!$I$15="No",0,AQ137))</f>
        <v/>
      </c>
      <c r="AS137" s="191"/>
      <c r="AT137" s="191"/>
      <c r="AU137" s="191"/>
      <c r="AV137" s="191"/>
      <c r="AW137" s="254" t="str">
        <f>IF(COUNTBLANK(AS137:AV137)=4,"",SUM(AS137:AU137)+IF(Setup!$I$15="No",0,AV137))</f>
        <v/>
      </c>
      <c r="AX137" s="191"/>
      <c r="AY137" s="191"/>
      <c r="AZ137" s="191"/>
      <c r="BA137" s="191"/>
      <c r="BB137" s="254" t="str">
        <f>IF(COUNTBLANK(AX137:BA137)=4,"",SUM(AX137:AZ137)+IF(Setup!$I$15="No",0,BA137))</f>
        <v/>
      </c>
      <c r="BC137" s="258" t="str">
        <f ca="1">IF('Demand background (hide)'!A128=Num_Modalities,"",SUM(Demand!I137))</f>
        <v/>
      </c>
      <c r="BD137" s="258" t="str">
        <f ca="1">IF(AND(A137&lt;=MaxRows,BE137&lt;&gt;"Yes"),'Demand background (hide)'!X128+IF(Setup!$I$15="Yes",'Demand background (hide)'!AJ128,0),"")</f>
        <v/>
      </c>
      <c r="BE137" s="208"/>
    </row>
    <row r="138" spans="1:57" ht="15" x14ac:dyDescent="0.25">
      <c r="A138" t="str">
        <f t="shared" ca="1" si="4"/>
        <v/>
      </c>
      <c r="B138" s="263" t="str">
        <f t="shared" ca="1" si="5"/>
        <v xml:space="preserve"> </v>
      </c>
      <c r="C138" s="264" t="str">
        <f t="shared" ca="1" si="6"/>
        <v/>
      </c>
      <c r="D138" s="264" t="str">
        <f t="shared" ca="1" si="7"/>
        <v/>
      </c>
      <c r="E138" s="191"/>
      <c r="F138" s="191"/>
      <c r="G138" s="191"/>
      <c r="H138" s="191"/>
      <c r="I138" s="250" t="str">
        <f>IF(COUNTBLANK(E138:H138)=4,"",SUM(E138:G138)+IF(Setup!$I$15="No",0,H138))</f>
        <v/>
      </c>
      <c r="J138" s="191"/>
      <c r="K138" s="191"/>
      <c r="L138" s="191"/>
      <c r="M138" s="191"/>
      <c r="N138" s="254" t="str">
        <f>IF(COUNTBLANK(J138:M138)=4,"",SUM(J138:L138)+IF(Setup!$I$15="No",0,M138))</f>
        <v/>
      </c>
      <c r="O138" s="191"/>
      <c r="P138" s="191"/>
      <c r="Q138" s="191"/>
      <c r="R138" s="191"/>
      <c r="S138" s="254" t="str">
        <f>IF(COUNTBLANK(O138:R138)=4,"",SUM(O138:Q138)+IF(Setup!$I$15="No",0,R138))</f>
        <v/>
      </c>
      <c r="T138" s="191"/>
      <c r="U138" s="191"/>
      <c r="V138" s="191"/>
      <c r="W138" s="191"/>
      <c r="X138" s="254" t="str">
        <f>IF(COUNTBLANK(T138:W138)=4,"",SUM(T138:V138)+IF(Setup!$I$15="No",0,W138))</f>
        <v/>
      </c>
      <c r="Y138" s="191"/>
      <c r="Z138" s="191"/>
      <c r="AA138" s="191"/>
      <c r="AB138" s="191"/>
      <c r="AC138" s="254" t="str">
        <f>IF(COUNTBLANK(Y138:AB138)=4,"",SUM(Y138:AA138)+IF(Setup!$I$15="No",0,AB138))</f>
        <v/>
      </c>
      <c r="AD138" s="191"/>
      <c r="AE138" s="191"/>
      <c r="AF138" s="191"/>
      <c r="AG138" s="191"/>
      <c r="AH138" s="254" t="str">
        <f>IF(COUNTBLANK(AD138:AG138)=4,"",SUM(AD138:AF138)+IF(Setup!$I$15="No",0,AG138))</f>
        <v/>
      </c>
      <c r="AI138" s="191"/>
      <c r="AJ138" s="191"/>
      <c r="AK138" s="191"/>
      <c r="AL138" s="191"/>
      <c r="AM138" s="254" t="str">
        <f>IF(COUNTBLANK(AI138:AL138)=4,"",SUM(AI138:AK138)+IF(Setup!$I$15="No",0,AL138))</f>
        <v/>
      </c>
      <c r="AN138" s="191"/>
      <c r="AO138" s="191"/>
      <c r="AP138" s="191"/>
      <c r="AQ138" s="191"/>
      <c r="AR138" s="254" t="str">
        <f>IF(COUNTBLANK(AN138:AQ138)=4,"",SUM(AN138:AP138)+IF(Setup!$I$15="No",0,AQ138))</f>
        <v/>
      </c>
      <c r="AS138" s="191"/>
      <c r="AT138" s="191"/>
      <c r="AU138" s="191"/>
      <c r="AV138" s="191"/>
      <c r="AW138" s="254" t="str">
        <f>IF(COUNTBLANK(AS138:AV138)=4,"",SUM(AS138:AU138)+IF(Setup!$I$15="No",0,AV138))</f>
        <v/>
      </c>
      <c r="AX138" s="191"/>
      <c r="AY138" s="191"/>
      <c r="AZ138" s="191"/>
      <c r="BA138" s="191"/>
      <c r="BB138" s="254" t="str">
        <f>IF(COUNTBLANK(AX138:BA138)=4,"",SUM(AX138:AZ138)+IF(Setup!$I$15="No",0,BA138))</f>
        <v/>
      </c>
      <c r="BC138" s="258" t="str">
        <f ca="1">IF('Demand background (hide)'!A129=Num_Modalities,"",SUM(Demand!I138))</f>
        <v/>
      </c>
      <c r="BD138" s="258" t="str">
        <f ca="1">IF(AND(A138&lt;=MaxRows,BE138&lt;&gt;"Yes"),'Demand background (hide)'!X129+IF(Setup!$I$15="Yes",'Demand background (hide)'!AJ129,0),"")</f>
        <v/>
      </c>
      <c r="BE138" s="208"/>
    </row>
    <row r="139" spans="1:57" ht="15" x14ac:dyDescent="0.25">
      <c r="A139" t="str">
        <f t="shared" ca="1" si="4"/>
        <v/>
      </c>
      <c r="B139" s="263" t="str">
        <f t="shared" ca="1" si="5"/>
        <v xml:space="preserve"> </v>
      </c>
      <c r="C139" s="264" t="str">
        <f t="shared" ca="1" si="6"/>
        <v/>
      </c>
      <c r="D139" s="264" t="str">
        <f t="shared" ca="1" si="7"/>
        <v/>
      </c>
      <c r="E139" s="191"/>
      <c r="F139" s="191"/>
      <c r="G139" s="191"/>
      <c r="H139" s="191"/>
      <c r="I139" s="250" t="str">
        <f>IF(COUNTBLANK(E139:H139)=4,"",SUM(E139:G139)+IF(Setup!$I$15="No",0,H139))</f>
        <v/>
      </c>
      <c r="J139" s="191"/>
      <c r="K139" s="191"/>
      <c r="L139" s="191"/>
      <c r="M139" s="191"/>
      <c r="N139" s="254" t="str">
        <f>IF(COUNTBLANK(J139:M139)=4,"",SUM(J139:L139)+IF(Setup!$I$15="No",0,M139))</f>
        <v/>
      </c>
      <c r="O139" s="191"/>
      <c r="P139" s="191"/>
      <c r="Q139" s="191"/>
      <c r="R139" s="191"/>
      <c r="S139" s="254" t="str">
        <f>IF(COUNTBLANK(O139:R139)=4,"",SUM(O139:Q139)+IF(Setup!$I$15="No",0,R139))</f>
        <v/>
      </c>
      <c r="T139" s="191"/>
      <c r="U139" s="191"/>
      <c r="V139" s="191"/>
      <c r="W139" s="191"/>
      <c r="X139" s="254" t="str">
        <f>IF(COUNTBLANK(T139:W139)=4,"",SUM(T139:V139)+IF(Setup!$I$15="No",0,W139))</f>
        <v/>
      </c>
      <c r="Y139" s="191"/>
      <c r="Z139" s="191"/>
      <c r="AA139" s="191"/>
      <c r="AB139" s="191"/>
      <c r="AC139" s="254" t="str">
        <f>IF(COUNTBLANK(Y139:AB139)=4,"",SUM(Y139:AA139)+IF(Setup!$I$15="No",0,AB139))</f>
        <v/>
      </c>
      <c r="AD139" s="191"/>
      <c r="AE139" s="191"/>
      <c r="AF139" s="191"/>
      <c r="AG139" s="191"/>
      <c r="AH139" s="254" t="str">
        <f>IF(COUNTBLANK(AD139:AG139)=4,"",SUM(AD139:AF139)+IF(Setup!$I$15="No",0,AG139))</f>
        <v/>
      </c>
      <c r="AI139" s="191"/>
      <c r="AJ139" s="191"/>
      <c r="AK139" s="191"/>
      <c r="AL139" s="191"/>
      <c r="AM139" s="254" t="str">
        <f>IF(COUNTBLANK(AI139:AL139)=4,"",SUM(AI139:AK139)+IF(Setup!$I$15="No",0,AL139))</f>
        <v/>
      </c>
      <c r="AN139" s="191"/>
      <c r="AO139" s="191"/>
      <c r="AP139" s="191"/>
      <c r="AQ139" s="191"/>
      <c r="AR139" s="254" t="str">
        <f>IF(COUNTBLANK(AN139:AQ139)=4,"",SUM(AN139:AP139)+IF(Setup!$I$15="No",0,AQ139))</f>
        <v/>
      </c>
      <c r="AS139" s="191"/>
      <c r="AT139" s="191"/>
      <c r="AU139" s="191"/>
      <c r="AV139" s="191"/>
      <c r="AW139" s="254" t="str">
        <f>IF(COUNTBLANK(AS139:AV139)=4,"",SUM(AS139:AU139)+IF(Setup!$I$15="No",0,AV139))</f>
        <v/>
      </c>
      <c r="AX139" s="191"/>
      <c r="AY139" s="191"/>
      <c r="AZ139" s="191"/>
      <c r="BA139" s="191"/>
      <c r="BB139" s="254" t="str">
        <f>IF(COUNTBLANK(AX139:BA139)=4,"",SUM(AX139:AZ139)+IF(Setup!$I$15="No",0,BA139))</f>
        <v/>
      </c>
      <c r="BC139" s="258" t="str">
        <f ca="1">IF('Demand background (hide)'!A130=Num_Modalities,"",SUM(Demand!I139))</f>
        <v/>
      </c>
      <c r="BD139" s="258" t="str">
        <f ca="1">IF(AND(A139&lt;=MaxRows,BE139&lt;&gt;"Yes"),'Demand background (hide)'!X130+IF(Setup!$I$15="Yes",'Demand background (hide)'!AJ130,0),"")</f>
        <v/>
      </c>
      <c r="BE139" s="208"/>
    </row>
    <row r="140" spans="1:57" ht="15" x14ac:dyDescent="0.25">
      <c r="A140" t="str">
        <f t="shared" ca="1" si="4"/>
        <v/>
      </c>
      <c r="B140" s="263" t="str">
        <f t="shared" ca="1" si="5"/>
        <v xml:space="preserve"> </v>
      </c>
      <c r="C140" s="264" t="str">
        <f t="shared" ca="1" si="6"/>
        <v/>
      </c>
      <c r="D140" s="264" t="str">
        <f t="shared" ca="1" si="7"/>
        <v/>
      </c>
      <c r="E140" s="191"/>
      <c r="F140" s="191"/>
      <c r="G140" s="191"/>
      <c r="H140" s="191"/>
      <c r="I140" s="250" t="str">
        <f>IF(COUNTBLANK(E140:H140)=4,"",SUM(E140:G140)+IF(Setup!$I$15="No",0,H140))</f>
        <v/>
      </c>
      <c r="J140" s="191"/>
      <c r="K140" s="191"/>
      <c r="L140" s="191"/>
      <c r="M140" s="191"/>
      <c r="N140" s="254" t="str">
        <f>IF(COUNTBLANK(J140:M140)=4,"",SUM(J140:L140)+IF(Setup!$I$15="No",0,M140))</f>
        <v/>
      </c>
      <c r="O140" s="191"/>
      <c r="P140" s="191"/>
      <c r="Q140" s="191"/>
      <c r="R140" s="191"/>
      <c r="S140" s="254" t="str">
        <f>IF(COUNTBLANK(O140:R140)=4,"",SUM(O140:Q140)+IF(Setup!$I$15="No",0,R140))</f>
        <v/>
      </c>
      <c r="T140" s="191"/>
      <c r="U140" s="191"/>
      <c r="V140" s="191"/>
      <c r="W140" s="191"/>
      <c r="X140" s="254" t="str">
        <f>IF(COUNTBLANK(T140:W140)=4,"",SUM(T140:V140)+IF(Setup!$I$15="No",0,W140))</f>
        <v/>
      </c>
      <c r="Y140" s="191"/>
      <c r="Z140" s="191"/>
      <c r="AA140" s="191"/>
      <c r="AB140" s="191"/>
      <c r="AC140" s="254" t="str">
        <f>IF(COUNTBLANK(Y140:AB140)=4,"",SUM(Y140:AA140)+IF(Setup!$I$15="No",0,AB140))</f>
        <v/>
      </c>
      <c r="AD140" s="191"/>
      <c r="AE140" s="191"/>
      <c r="AF140" s="191"/>
      <c r="AG140" s="191"/>
      <c r="AH140" s="254" t="str">
        <f>IF(COUNTBLANK(AD140:AG140)=4,"",SUM(AD140:AF140)+IF(Setup!$I$15="No",0,AG140))</f>
        <v/>
      </c>
      <c r="AI140" s="191"/>
      <c r="AJ140" s="191"/>
      <c r="AK140" s="191"/>
      <c r="AL140" s="191"/>
      <c r="AM140" s="254" t="str">
        <f>IF(COUNTBLANK(AI140:AL140)=4,"",SUM(AI140:AK140)+IF(Setup!$I$15="No",0,AL140))</f>
        <v/>
      </c>
      <c r="AN140" s="191"/>
      <c r="AO140" s="191"/>
      <c r="AP140" s="191"/>
      <c r="AQ140" s="191"/>
      <c r="AR140" s="254" t="str">
        <f>IF(COUNTBLANK(AN140:AQ140)=4,"",SUM(AN140:AP140)+IF(Setup!$I$15="No",0,AQ140))</f>
        <v/>
      </c>
      <c r="AS140" s="191"/>
      <c r="AT140" s="191"/>
      <c r="AU140" s="191"/>
      <c r="AV140" s="191"/>
      <c r="AW140" s="254" t="str">
        <f>IF(COUNTBLANK(AS140:AV140)=4,"",SUM(AS140:AU140)+IF(Setup!$I$15="No",0,AV140))</f>
        <v/>
      </c>
      <c r="AX140" s="191"/>
      <c r="AY140" s="191"/>
      <c r="AZ140" s="191"/>
      <c r="BA140" s="191"/>
      <c r="BB140" s="254" t="str">
        <f>IF(COUNTBLANK(AX140:BA140)=4,"",SUM(AX140:AZ140)+IF(Setup!$I$15="No",0,BA140))</f>
        <v/>
      </c>
      <c r="BC140" s="258" t="str">
        <f ca="1">IF('Demand background (hide)'!A131=Num_Modalities,"",SUM(Demand!I140))</f>
        <v/>
      </c>
      <c r="BD140" s="258" t="str">
        <f ca="1">IF(AND(A140&lt;=MaxRows,BE140&lt;&gt;"Yes"),'Demand background (hide)'!X131+IF(Setup!$I$15="Yes",'Demand background (hide)'!AJ131,0),"")</f>
        <v/>
      </c>
      <c r="BE140" s="208"/>
    </row>
    <row r="141" spans="1:57" ht="15" x14ac:dyDescent="0.25">
      <c r="A141" t="str">
        <f t="shared" ref="A141:A204" ca="1" si="8">IF(BC141&lt;&gt;"",ROW(A129),"")</f>
        <v/>
      </c>
      <c r="B141" s="263" t="str">
        <f t="shared" ca="1" si="5"/>
        <v xml:space="preserve"> </v>
      </c>
      <c r="C141" s="264" t="str">
        <f t="shared" ca="1" si="6"/>
        <v/>
      </c>
      <c r="D141" s="264" t="str">
        <f t="shared" ca="1" si="7"/>
        <v/>
      </c>
      <c r="E141" s="191"/>
      <c r="F141" s="191"/>
      <c r="G141" s="191"/>
      <c r="H141" s="191"/>
      <c r="I141" s="250" t="str">
        <f>IF(COUNTBLANK(E141:H141)=4,"",SUM(E141:G141)+IF(Setup!$I$15="No",0,H141))</f>
        <v/>
      </c>
      <c r="J141" s="191"/>
      <c r="K141" s="191"/>
      <c r="L141" s="191"/>
      <c r="M141" s="191"/>
      <c r="N141" s="254" t="str">
        <f>IF(COUNTBLANK(J141:M141)=4,"",SUM(J141:L141)+IF(Setup!$I$15="No",0,M141))</f>
        <v/>
      </c>
      <c r="O141" s="191"/>
      <c r="P141" s="191"/>
      <c r="Q141" s="191"/>
      <c r="R141" s="191"/>
      <c r="S141" s="254" t="str">
        <f>IF(COUNTBLANK(O141:R141)=4,"",SUM(O141:Q141)+IF(Setup!$I$15="No",0,R141))</f>
        <v/>
      </c>
      <c r="T141" s="191"/>
      <c r="U141" s="191"/>
      <c r="V141" s="191"/>
      <c r="W141" s="191"/>
      <c r="X141" s="254" t="str">
        <f>IF(COUNTBLANK(T141:W141)=4,"",SUM(T141:V141)+IF(Setup!$I$15="No",0,W141))</f>
        <v/>
      </c>
      <c r="Y141" s="191"/>
      <c r="Z141" s="191"/>
      <c r="AA141" s="191"/>
      <c r="AB141" s="191"/>
      <c r="AC141" s="254" t="str">
        <f>IF(COUNTBLANK(Y141:AB141)=4,"",SUM(Y141:AA141)+IF(Setup!$I$15="No",0,AB141))</f>
        <v/>
      </c>
      <c r="AD141" s="191"/>
      <c r="AE141" s="191"/>
      <c r="AF141" s="191"/>
      <c r="AG141" s="191"/>
      <c r="AH141" s="254" t="str">
        <f>IF(COUNTBLANK(AD141:AG141)=4,"",SUM(AD141:AF141)+IF(Setup!$I$15="No",0,AG141))</f>
        <v/>
      </c>
      <c r="AI141" s="191"/>
      <c r="AJ141" s="191"/>
      <c r="AK141" s="191"/>
      <c r="AL141" s="191"/>
      <c r="AM141" s="254" t="str">
        <f>IF(COUNTBLANK(AI141:AL141)=4,"",SUM(AI141:AK141)+IF(Setup!$I$15="No",0,AL141))</f>
        <v/>
      </c>
      <c r="AN141" s="191"/>
      <c r="AO141" s="191"/>
      <c r="AP141" s="191"/>
      <c r="AQ141" s="191"/>
      <c r="AR141" s="254" t="str">
        <f>IF(COUNTBLANK(AN141:AQ141)=4,"",SUM(AN141:AP141)+IF(Setup!$I$15="No",0,AQ141))</f>
        <v/>
      </c>
      <c r="AS141" s="191"/>
      <c r="AT141" s="191"/>
      <c r="AU141" s="191"/>
      <c r="AV141" s="191"/>
      <c r="AW141" s="254" t="str">
        <f>IF(COUNTBLANK(AS141:AV141)=4,"",SUM(AS141:AU141)+IF(Setup!$I$15="No",0,AV141))</f>
        <v/>
      </c>
      <c r="AX141" s="191"/>
      <c r="AY141" s="191"/>
      <c r="AZ141" s="191"/>
      <c r="BA141" s="191"/>
      <c r="BB141" s="254" t="str">
        <f>IF(COUNTBLANK(AX141:BA141)=4,"",SUM(AX141:AZ141)+IF(Setup!$I$15="No",0,BA141))</f>
        <v/>
      </c>
      <c r="BC141" s="258" t="str">
        <f ca="1">IF('Demand background (hide)'!A132=Num_Modalities,"",SUM(Demand!I141))</f>
        <v/>
      </c>
      <c r="BD141" s="258" t="str">
        <f ca="1">IF(AND(A141&lt;=MaxRows,BE141&lt;&gt;"Yes"),'Demand background (hide)'!X132+IF(Setup!$I$15="Yes",'Demand background (hide)'!AJ132,0),"")</f>
        <v/>
      </c>
      <c r="BE141" s="208"/>
    </row>
    <row r="142" spans="1:57" ht="15" x14ac:dyDescent="0.25">
      <c r="A142" t="str">
        <f t="shared" ca="1" si="8"/>
        <v/>
      </c>
      <c r="B142" s="263" t="str">
        <f t="shared" ref="B142:B205" ca="1" si="9">IF(A142&lt;=MaxRows,IF($C$6&lt;&gt;"",IF(YEAR(D142)&lt;&gt;YEAR(D141),YEAR(D142)," "),IF(C142&lt;&gt;1,"",OFFSET(B142,-C141,0,1,1)+1))," ")</f>
        <v xml:space="preserve"> </v>
      </c>
      <c r="C142" s="264" t="str">
        <f t="shared" ref="C142:C205" ca="1" si="10">IF(ROW(A130)&lt;=MaxRows,IF($C$6&lt;&gt;"",WEEKNUM(D142,21),IF(MOD((C141+1),52)&gt;0,MOD((C141+1),52),52)),"")</f>
        <v/>
      </c>
      <c r="D142" s="264" t="str">
        <f t="shared" ref="D142:D205" ca="1" si="11">IF(OR(AND(ROW(A130)&lt;=MaxRows,$C$6&lt;&gt;""),AND(ROW(A142)&lt;=64,LEFT($C$8,1)&lt;&gt;"H")),D141+7,"")</f>
        <v/>
      </c>
      <c r="E142" s="191"/>
      <c r="F142" s="191"/>
      <c r="G142" s="191"/>
      <c r="H142" s="191"/>
      <c r="I142" s="250" t="str">
        <f>IF(COUNTBLANK(E142:H142)=4,"",SUM(E142:G142)+IF(Setup!$I$15="No",0,H142))</f>
        <v/>
      </c>
      <c r="J142" s="191"/>
      <c r="K142" s="191"/>
      <c r="L142" s="191"/>
      <c r="M142" s="191"/>
      <c r="N142" s="254" t="str">
        <f>IF(COUNTBLANK(J142:M142)=4,"",SUM(J142:L142)+IF(Setup!$I$15="No",0,M142))</f>
        <v/>
      </c>
      <c r="O142" s="191"/>
      <c r="P142" s="191"/>
      <c r="Q142" s="191"/>
      <c r="R142" s="191"/>
      <c r="S142" s="254" t="str">
        <f>IF(COUNTBLANK(O142:R142)=4,"",SUM(O142:Q142)+IF(Setup!$I$15="No",0,R142))</f>
        <v/>
      </c>
      <c r="T142" s="191"/>
      <c r="U142" s="191"/>
      <c r="V142" s="191"/>
      <c r="W142" s="191"/>
      <c r="X142" s="254" t="str">
        <f>IF(COUNTBLANK(T142:W142)=4,"",SUM(T142:V142)+IF(Setup!$I$15="No",0,W142))</f>
        <v/>
      </c>
      <c r="Y142" s="191"/>
      <c r="Z142" s="191"/>
      <c r="AA142" s="191"/>
      <c r="AB142" s="191"/>
      <c r="AC142" s="254" t="str">
        <f>IF(COUNTBLANK(Y142:AB142)=4,"",SUM(Y142:AA142)+IF(Setup!$I$15="No",0,AB142))</f>
        <v/>
      </c>
      <c r="AD142" s="191"/>
      <c r="AE142" s="191"/>
      <c r="AF142" s="191"/>
      <c r="AG142" s="191"/>
      <c r="AH142" s="254" t="str">
        <f>IF(COUNTBLANK(AD142:AG142)=4,"",SUM(AD142:AF142)+IF(Setup!$I$15="No",0,AG142))</f>
        <v/>
      </c>
      <c r="AI142" s="191"/>
      <c r="AJ142" s="191"/>
      <c r="AK142" s="191"/>
      <c r="AL142" s="191"/>
      <c r="AM142" s="254" t="str">
        <f>IF(COUNTBLANK(AI142:AL142)=4,"",SUM(AI142:AK142)+IF(Setup!$I$15="No",0,AL142))</f>
        <v/>
      </c>
      <c r="AN142" s="191"/>
      <c r="AO142" s="191"/>
      <c r="AP142" s="191"/>
      <c r="AQ142" s="191"/>
      <c r="AR142" s="254" t="str">
        <f>IF(COUNTBLANK(AN142:AQ142)=4,"",SUM(AN142:AP142)+IF(Setup!$I$15="No",0,AQ142))</f>
        <v/>
      </c>
      <c r="AS142" s="191"/>
      <c r="AT142" s="191"/>
      <c r="AU142" s="191"/>
      <c r="AV142" s="191"/>
      <c r="AW142" s="254" t="str">
        <f>IF(COUNTBLANK(AS142:AV142)=4,"",SUM(AS142:AU142)+IF(Setup!$I$15="No",0,AV142))</f>
        <v/>
      </c>
      <c r="AX142" s="191"/>
      <c r="AY142" s="191"/>
      <c r="AZ142" s="191"/>
      <c r="BA142" s="191"/>
      <c r="BB142" s="254" t="str">
        <f>IF(COUNTBLANK(AX142:BA142)=4,"",SUM(AX142:AZ142)+IF(Setup!$I$15="No",0,BA142))</f>
        <v/>
      </c>
      <c r="BC142" s="258" t="str">
        <f ca="1">IF('Demand background (hide)'!A133=Num_Modalities,"",SUM(Demand!I142))</f>
        <v/>
      </c>
      <c r="BD142" s="258" t="str">
        <f ca="1">IF(AND(A142&lt;=MaxRows,BE142&lt;&gt;"Yes"),'Demand background (hide)'!X133+IF(Setup!$I$15="Yes",'Demand background (hide)'!AJ133,0),"")</f>
        <v/>
      </c>
      <c r="BE142" s="208"/>
    </row>
    <row r="143" spans="1:57" ht="15" x14ac:dyDescent="0.25">
      <c r="A143" t="str">
        <f t="shared" ca="1" si="8"/>
        <v/>
      </c>
      <c r="B143" s="263" t="str">
        <f t="shared" ca="1" si="9"/>
        <v xml:space="preserve"> </v>
      </c>
      <c r="C143" s="264" t="str">
        <f t="shared" ca="1" si="10"/>
        <v/>
      </c>
      <c r="D143" s="264" t="str">
        <f t="shared" ca="1" si="11"/>
        <v/>
      </c>
      <c r="E143" s="191"/>
      <c r="F143" s="191"/>
      <c r="G143" s="191"/>
      <c r="H143" s="191"/>
      <c r="I143" s="250" t="str">
        <f>IF(COUNTBLANK(E143:H143)=4,"",SUM(E143:G143)+IF(Setup!$I$15="No",0,H143))</f>
        <v/>
      </c>
      <c r="J143" s="191"/>
      <c r="K143" s="191"/>
      <c r="L143" s="191"/>
      <c r="M143" s="191"/>
      <c r="N143" s="254" t="str">
        <f>IF(COUNTBLANK(J143:M143)=4,"",SUM(J143:L143)+IF(Setup!$I$15="No",0,M143))</f>
        <v/>
      </c>
      <c r="O143" s="191"/>
      <c r="P143" s="191"/>
      <c r="Q143" s="191"/>
      <c r="R143" s="191"/>
      <c r="S143" s="254" t="str">
        <f>IF(COUNTBLANK(O143:R143)=4,"",SUM(O143:Q143)+IF(Setup!$I$15="No",0,R143))</f>
        <v/>
      </c>
      <c r="T143" s="191"/>
      <c r="U143" s="191"/>
      <c r="V143" s="191"/>
      <c r="W143" s="191"/>
      <c r="X143" s="254" t="str">
        <f>IF(COUNTBLANK(T143:W143)=4,"",SUM(T143:V143)+IF(Setup!$I$15="No",0,W143))</f>
        <v/>
      </c>
      <c r="Y143" s="191"/>
      <c r="Z143" s="191"/>
      <c r="AA143" s="191"/>
      <c r="AB143" s="191"/>
      <c r="AC143" s="254" t="str">
        <f>IF(COUNTBLANK(Y143:AB143)=4,"",SUM(Y143:AA143)+IF(Setup!$I$15="No",0,AB143))</f>
        <v/>
      </c>
      <c r="AD143" s="191"/>
      <c r="AE143" s="191"/>
      <c r="AF143" s="191"/>
      <c r="AG143" s="191"/>
      <c r="AH143" s="254" t="str">
        <f>IF(COUNTBLANK(AD143:AG143)=4,"",SUM(AD143:AF143)+IF(Setup!$I$15="No",0,AG143))</f>
        <v/>
      </c>
      <c r="AI143" s="191"/>
      <c r="AJ143" s="191"/>
      <c r="AK143" s="191"/>
      <c r="AL143" s="191"/>
      <c r="AM143" s="254" t="str">
        <f>IF(COUNTBLANK(AI143:AL143)=4,"",SUM(AI143:AK143)+IF(Setup!$I$15="No",0,AL143))</f>
        <v/>
      </c>
      <c r="AN143" s="191"/>
      <c r="AO143" s="191"/>
      <c r="AP143" s="191"/>
      <c r="AQ143" s="191"/>
      <c r="AR143" s="254" t="str">
        <f>IF(COUNTBLANK(AN143:AQ143)=4,"",SUM(AN143:AP143)+IF(Setup!$I$15="No",0,AQ143))</f>
        <v/>
      </c>
      <c r="AS143" s="191"/>
      <c r="AT143" s="191"/>
      <c r="AU143" s="191"/>
      <c r="AV143" s="191"/>
      <c r="AW143" s="254" t="str">
        <f>IF(COUNTBLANK(AS143:AV143)=4,"",SUM(AS143:AU143)+IF(Setup!$I$15="No",0,AV143))</f>
        <v/>
      </c>
      <c r="AX143" s="191"/>
      <c r="AY143" s="191"/>
      <c r="AZ143" s="191"/>
      <c r="BA143" s="191"/>
      <c r="BB143" s="254" t="str">
        <f>IF(COUNTBLANK(AX143:BA143)=4,"",SUM(AX143:AZ143)+IF(Setup!$I$15="No",0,BA143))</f>
        <v/>
      </c>
      <c r="BC143" s="258" t="str">
        <f ca="1">IF('Demand background (hide)'!A134=Num_Modalities,"",SUM(Demand!I143))</f>
        <v/>
      </c>
      <c r="BD143" s="258" t="str">
        <f ca="1">IF(AND(A143&lt;=MaxRows,BE143&lt;&gt;"Yes"),'Demand background (hide)'!X134+IF(Setup!$I$15="Yes",'Demand background (hide)'!AJ134,0),"")</f>
        <v/>
      </c>
      <c r="BE143" s="208"/>
    </row>
    <row r="144" spans="1:57" ht="15" x14ac:dyDescent="0.25">
      <c r="A144" t="str">
        <f t="shared" ca="1" si="8"/>
        <v/>
      </c>
      <c r="B144" s="263" t="str">
        <f t="shared" ca="1" si="9"/>
        <v xml:space="preserve"> </v>
      </c>
      <c r="C144" s="264" t="str">
        <f t="shared" ca="1" si="10"/>
        <v/>
      </c>
      <c r="D144" s="264" t="str">
        <f t="shared" ca="1" si="11"/>
        <v/>
      </c>
      <c r="E144" s="191"/>
      <c r="F144" s="191"/>
      <c r="G144" s="191"/>
      <c r="H144" s="191"/>
      <c r="I144" s="250" t="str">
        <f>IF(COUNTBLANK(E144:H144)=4,"",SUM(E144:G144)+IF(Setup!$I$15="No",0,H144))</f>
        <v/>
      </c>
      <c r="J144" s="191"/>
      <c r="K144" s="191"/>
      <c r="L144" s="191"/>
      <c r="M144" s="191"/>
      <c r="N144" s="254" t="str">
        <f>IF(COUNTBLANK(J144:M144)=4,"",SUM(J144:L144)+IF(Setup!$I$15="No",0,M144))</f>
        <v/>
      </c>
      <c r="O144" s="191"/>
      <c r="P144" s="191"/>
      <c r="Q144" s="191"/>
      <c r="R144" s="191"/>
      <c r="S144" s="254" t="str">
        <f>IF(COUNTBLANK(O144:R144)=4,"",SUM(O144:Q144)+IF(Setup!$I$15="No",0,R144))</f>
        <v/>
      </c>
      <c r="T144" s="191"/>
      <c r="U144" s="191"/>
      <c r="V144" s="191"/>
      <c r="W144" s="191"/>
      <c r="X144" s="254" t="str">
        <f>IF(COUNTBLANK(T144:W144)=4,"",SUM(T144:V144)+IF(Setup!$I$15="No",0,W144))</f>
        <v/>
      </c>
      <c r="Y144" s="191"/>
      <c r="Z144" s="191"/>
      <c r="AA144" s="191"/>
      <c r="AB144" s="191"/>
      <c r="AC144" s="254" t="str">
        <f>IF(COUNTBLANK(Y144:AB144)=4,"",SUM(Y144:AA144)+IF(Setup!$I$15="No",0,AB144))</f>
        <v/>
      </c>
      <c r="AD144" s="191"/>
      <c r="AE144" s="191"/>
      <c r="AF144" s="191"/>
      <c r="AG144" s="191"/>
      <c r="AH144" s="254" t="str">
        <f>IF(COUNTBLANK(AD144:AG144)=4,"",SUM(AD144:AF144)+IF(Setup!$I$15="No",0,AG144))</f>
        <v/>
      </c>
      <c r="AI144" s="191"/>
      <c r="AJ144" s="191"/>
      <c r="AK144" s="191"/>
      <c r="AL144" s="191"/>
      <c r="AM144" s="254" t="str">
        <f>IF(COUNTBLANK(AI144:AL144)=4,"",SUM(AI144:AK144)+IF(Setup!$I$15="No",0,AL144))</f>
        <v/>
      </c>
      <c r="AN144" s="191"/>
      <c r="AO144" s="191"/>
      <c r="AP144" s="191"/>
      <c r="AQ144" s="191"/>
      <c r="AR144" s="254" t="str">
        <f>IF(COUNTBLANK(AN144:AQ144)=4,"",SUM(AN144:AP144)+IF(Setup!$I$15="No",0,AQ144))</f>
        <v/>
      </c>
      <c r="AS144" s="191"/>
      <c r="AT144" s="191"/>
      <c r="AU144" s="191"/>
      <c r="AV144" s="191"/>
      <c r="AW144" s="254" t="str">
        <f>IF(COUNTBLANK(AS144:AV144)=4,"",SUM(AS144:AU144)+IF(Setup!$I$15="No",0,AV144))</f>
        <v/>
      </c>
      <c r="AX144" s="191"/>
      <c r="AY144" s="191"/>
      <c r="AZ144" s="191"/>
      <c r="BA144" s="191"/>
      <c r="BB144" s="254" t="str">
        <f>IF(COUNTBLANK(AX144:BA144)=4,"",SUM(AX144:AZ144)+IF(Setup!$I$15="No",0,BA144))</f>
        <v/>
      </c>
      <c r="BC144" s="258" t="str">
        <f ca="1">IF('Demand background (hide)'!A135=Num_Modalities,"",SUM(Demand!I144))</f>
        <v/>
      </c>
      <c r="BD144" s="258" t="str">
        <f ca="1">IF(AND(A144&lt;=MaxRows,BE144&lt;&gt;"Yes"),'Demand background (hide)'!X135+IF(Setup!$I$15="Yes",'Demand background (hide)'!AJ135,0),"")</f>
        <v/>
      </c>
      <c r="BE144" s="208"/>
    </row>
    <row r="145" spans="1:57" ht="15" x14ac:dyDescent="0.25">
      <c r="A145" t="str">
        <f t="shared" ca="1" si="8"/>
        <v/>
      </c>
      <c r="B145" s="263" t="str">
        <f t="shared" ca="1" si="9"/>
        <v xml:space="preserve"> </v>
      </c>
      <c r="C145" s="264" t="str">
        <f t="shared" ca="1" si="10"/>
        <v/>
      </c>
      <c r="D145" s="264" t="str">
        <f t="shared" ca="1" si="11"/>
        <v/>
      </c>
      <c r="E145" s="191"/>
      <c r="F145" s="191"/>
      <c r="G145" s="191"/>
      <c r="H145" s="191"/>
      <c r="I145" s="250" t="str">
        <f>IF(COUNTBLANK(E145:H145)=4,"",SUM(E145:G145)+IF(Setup!$I$15="No",0,H145))</f>
        <v/>
      </c>
      <c r="J145" s="191"/>
      <c r="K145" s="191"/>
      <c r="L145" s="191"/>
      <c r="M145" s="191"/>
      <c r="N145" s="254" t="str">
        <f>IF(COUNTBLANK(J145:M145)=4,"",SUM(J145:L145)+IF(Setup!$I$15="No",0,M145))</f>
        <v/>
      </c>
      <c r="O145" s="191"/>
      <c r="P145" s="191"/>
      <c r="Q145" s="191"/>
      <c r="R145" s="191"/>
      <c r="S145" s="254" t="str">
        <f>IF(COUNTBLANK(O145:R145)=4,"",SUM(O145:Q145)+IF(Setup!$I$15="No",0,R145))</f>
        <v/>
      </c>
      <c r="T145" s="191"/>
      <c r="U145" s="191"/>
      <c r="V145" s="191"/>
      <c r="W145" s="191"/>
      <c r="X145" s="254" t="str">
        <f>IF(COUNTBLANK(T145:W145)=4,"",SUM(T145:V145)+IF(Setup!$I$15="No",0,W145))</f>
        <v/>
      </c>
      <c r="Y145" s="191"/>
      <c r="Z145" s="191"/>
      <c r="AA145" s="191"/>
      <c r="AB145" s="191"/>
      <c r="AC145" s="254" t="str">
        <f>IF(COUNTBLANK(Y145:AB145)=4,"",SUM(Y145:AA145)+IF(Setup!$I$15="No",0,AB145))</f>
        <v/>
      </c>
      <c r="AD145" s="191"/>
      <c r="AE145" s="191"/>
      <c r="AF145" s="191"/>
      <c r="AG145" s="191"/>
      <c r="AH145" s="254" t="str">
        <f>IF(COUNTBLANK(AD145:AG145)=4,"",SUM(AD145:AF145)+IF(Setup!$I$15="No",0,AG145))</f>
        <v/>
      </c>
      <c r="AI145" s="191"/>
      <c r="AJ145" s="191"/>
      <c r="AK145" s="191"/>
      <c r="AL145" s="191"/>
      <c r="AM145" s="254" t="str">
        <f>IF(COUNTBLANK(AI145:AL145)=4,"",SUM(AI145:AK145)+IF(Setup!$I$15="No",0,AL145))</f>
        <v/>
      </c>
      <c r="AN145" s="191"/>
      <c r="AO145" s="191"/>
      <c r="AP145" s="191"/>
      <c r="AQ145" s="191"/>
      <c r="AR145" s="254" t="str">
        <f>IF(COUNTBLANK(AN145:AQ145)=4,"",SUM(AN145:AP145)+IF(Setup!$I$15="No",0,AQ145))</f>
        <v/>
      </c>
      <c r="AS145" s="191"/>
      <c r="AT145" s="191"/>
      <c r="AU145" s="191"/>
      <c r="AV145" s="191"/>
      <c r="AW145" s="254" t="str">
        <f>IF(COUNTBLANK(AS145:AV145)=4,"",SUM(AS145:AU145)+IF(Setup!$I$15="No",0,AV145))</f>
        <v/>
      </c>
      <c r="AX145" s="191"/>
      <c r="AY145" s="191"/>
      <c r="AZ145" s="191"/>
      <c r="BA145" s="191"/>
      <c r="BB145" s="254" t="str">
        <f>IF(COUNTBLANK(AX145:BA145)=4,"",SUM(AX145:AZ145)+IF(Setup!$I$15="No",0,BA145))</f>
        <v/>
      </c>
      <c r="BC145" s="258" t="str">
        <f ca="1">IF('Demand background (hide)'!A136=Num_Modalities,"",SUM(Demand!I145))</f>
        <v/>
      </c>
      <c r="BD145" s="258" t="str">
        <f ca="1">IF(AND(A145&lt;=MaxRows,BE145&lt;&gt;"Yes"),'Demand background (hide)'!X136+IF(Setup!$I$15="Yes",'Demand background (hide)'!AJ136,0),"")</f>
        <v/>
      </c>
      <c r="BE145" s="208"/>
    </row>
    <row r="146" spans="1:57" ht="15" x14ac:dyDescent="0.25">
      <c r="A146" t="str">
        <f t="shared" ca="1" si="8"/>
        <v/>
      </c>
      <c r="B146" s="263" t="str">
        <f t="shared" ca="1" si="9"/>
        <v xml:space="preserve"> </v>
      </c>
      <c r="C146" s="264" t="str">
        <f t="shared" ca="1" si="10"/>
        <v/>
      </c>
      <c r="D146" s="264" t="str">
        <f t="shared" ca="1" si="11"/>
        <v/>
      </c>
      <c r="E146" s="191"/>
      <c r="F146" s="191"/>
      <c r="G146" s="191"/>
      <c r="H146" s="191"/>
      <c r="I146" s="250" t="str">
        <f>IF(COUNTBLANK(E146:H146)=4,"",SUM(E146:G146)+IF(Setup!$I$15="No",0,H146))</f>
        <v/>
      </c>
      <c r="J146" s="191"/>
      <c r="K146" s="191"/>
      <c r="L146" s="191"/>
      <c r="M146" s="191"/>
      <c r="N146" s="254" t="str">
        <f>IF(COUNTBLANK(J146:M146)=4,"",SUM(J146:L146)+IF(Setup!$I$15="No",0,M146))</f>
        <v/>
      </c>
      <c r="O146" s="191"/>
      <c r="P146" s="191"/>
      <c r="Q146" s="191"/>
      <c r="R146" s="191"/>
      <c r="S146" s="254" t="str">
        <f>IF(COUNTBLANK(O146:R146)=4,"",SUM(O146:Q146)+IF(Setup!$I$15="No",0,R146))</f>
        <v/>
      </c>
      <c r="T146" s="191"/>
      <c r="U146" s="191"/>
      <c r="V146" s="191"/>
      <c r="W146" s="191"/>
      <c r="X146" s="254" t="str">
        <f>IF(COUNTBLANK(T146:W146)=4,"",SUM(T146:V146)+IF(Setup!$I$15="No",0,W146))</f>
        <v/>
      </c>
      <c r="Y146" s="191"/>
      <c r="Z146" s="191"/>
      <c r="AA146" s="191"/>
      <c r="AB146" s="191"/>
      <c r="AC146" s="254" t="str">
        <f>IF(COUNTBLANK(Y146:AB146)=4,"",SUM(Y146:AA146)+IF(Setup!$I$15="No",0,AB146))</f>
        <v/>
      </c>
      <c r="AD146" s="191"/>
      <c r="AE146" s="191"/>
      <c r="AF146" s="191"/>
      <c r="AG146" s="191"/>
      <c r="AH146" s="254" t="str">
        <f>IF(COUNTBLANK(AD146:AG146)=4,"",SUM(AD146:AF146)+IF(Setup!$I$15="No",0,AG146))</f>
        <v/>
      </c>
      <c r="AI146" s="191"/>
      <c r="AJ146" s="191"/>
      <c r="AK146" s="191"/>
      <c r="AL146" s="191"/>
      <c r="AM146" s="254" t="str">
        <f>IF(COUNTBLANK(AI146:AL146)=4,"",SUM(AI146:AK146)+IF(Setup!$I$15="No",0,AL146))</f>
        <v/>
      </c>
      <c r="AN146" s="191"/>
      <c r="AO146" s="191"/>
      <c r="AP146" s="191"/>
      <c r="AQ146" s="191"/>
      <c r="AR146" s="254" t="str">
        <f>IF(COUNTBLANK(AN146:AQ146)=4,"",SUM(AN146:AP146)+IF(Setup!$I$15="No",0,AQ146))</f>
        <v/>
      </c>
      <c r="AS146" s="191"/>
      <c r="AT146" s="191"/>
      <c r="AU146" s="191"/>
      <c r="AV146" s="191"/>
      <c r="AW146" s="254" t="str">
        <f>IF(COUNTBLANK(AS146:AV146)=4,"",SUM(AS146:AU146)+IF(Setup!$I$15="No",0,AV146))</f>
        <v/>
      </c>
      <c r="AX146" s="191"/>
      <c r="AY146" s="191"/>
      <c r="AZ146" s="191"/>
      <c r="BA146" s="191"/>
      <c r="BB146" s="254" t="str">
        <f>IF(COUNTBLANK(AX146:BA146)=4,"",SUM(AX146:AZ146)+IF(Setup!$I$15="No",0,BA146))</f>
        <v/>
      </c>
      <c r="BC146" s="258" t="str">
        <f ca="1">IF('Demand background (hide)'!A137=Num_Modalities,"",SUM(Demand!I146))</f>
        <v/>
      </c>
      <c r="BD146" s="258" t="str">
        <f ca="1">IF(AND(A146&lt;=MaxRows,BE146&lt;&gt;"Yes"),'Demand background (hide)'!X137+IF(Setup!$I$15="Yes",'Demand background (hide)'!AJ137,0),"")</f>
        <v/>
      </c>
      <c r="BE146" s="208"/>
    </row>
    <row r="147" spans="1:57" ht="15" x14ac:dyDescent="0.25">
      <c r="A147" t="str">
        <f t="shared" ca="1" si="8"/>
        <v/>
      </c>
      <c r="B147" s="263" t="str">
        <f t="shared" ca="1" si="9"/>
        <v xml:space="preserve"> </v>
      </c>
      <c r="C147" s="264" t="str">
        <f t="shared" ca="1" si="10"/>
        <v/>
      </c>
      <c r="D147" s="264" t="str">
        <f t="shared" ca="1" si="11"/>
        <v/>
      </c>
      <c r="E147" s="191"/>
      <c r="F147" s="191"/>
      <c r="G147" s="191"/>
      <c r="H147" s="191"/>
      <c r="I147" s="250" t="str">
        <f>IF(COUNTBLANK(E147:H147)=4,"",SUM(E147:G147)+IF(Setup!$I$15="No",0,H147))</f>
        <v/>
      </c>
      <c r="J147" s="191"/>
      <c r="K147" s="191"/>
      <c r="L147" s="191"/>
      <c r="M147" s="191"/>
      <c r="N147" s="254" t="str">
        <f>IF(COUNTBLANK(J147:M147)=4,"",SUM(J147:L147)+IF(Setup!$I$15="No",0,M147))</f>
        <v/>
      </c>
      <c r="O147" s="191"/>
      <c r="P147" s="191"/>
      <c r="Q147" s="191"/>
      <c r="R147" s="191"/>
      <c r="S147" s="254" t="str">
        <f>IF(COUNTBLANK(O147:R147)=4,"",SUM(O147:Q147)+IF(Setup!$I$15="No",0,R147))</f>
        <v/>
      </c>
      <c r="T147" s="191"/>
      <c r="U147" s="191"/>
      <c r="V147" s="191"/>
      <c r="W147" s="191"/>
      <c r="X147" s="254" t="str">
        <f>IF(COUNTBLANK(T147:W147)=4,"",SUM(T147:V147)+IF(Setup!$I$15="No",0,W147))</f>
        <v/>
      </c>
      <c r="Y147" s="191"/>
      <c r="Z147" s="191"/>
      <c r="AA147" s="191"/>
      <c r="AB147" s="191"/>
      <c r="AC147" s="254" t="str">
        <f>IF(COUNTBLANK(Y147:AB147)=4,"",SUM(Y147:AA147)+IF(Setup!$I$15="No",0,AB147))</f>
        <v/>
      </c>
      <c r="AD147" s="191"/>
      <c r="AE147" s="191"/>
      <c r="AF147" s="191"/>
      <c r="AG147" s="191"/>
      <c r="AH147" s="254" t="str">
        <f>IF(COUNTBLANK(AD147:AG147)=4,"",SUM(AD147:AF147)+IF(Setup!$I$15="No",0,AG147))</f>
        <v/>
      </c>
      <c r="AI147" s="191"/>
      <c r="AJ147" s="191"/>
      <c r="AK147" s="191"/>
      <c r="AL147" s="191"/>
      <c r="AM147" s="254" t="str">
        <f>IF(COUNTBLANK(AI147:AL147)=4,"",SUM(AI147:AK147)+IF(Setup!$I$15="No",0,AL147))</f>
        <v/>
      </c>
      <c r="AN147" s="191"/>
      <c r="AO147" s="191"/>
      <c r="AP147" s="191"/>
      <c r="AQ147" s="191"/>
      <c r="AR147" s="254" t="str">
        <f>IF(COUNTBLANK(AN147:AQ147)=4,"",SUM(AN147:AP147)+IF(Setup!$I$15="No",0,AQ147))</f>
        <v/>
      </c>
      <c r="AS147" s="191"/>
      <c r="AT147" s="191"/>
      <c r="AU147" s="191"/>
      <c r="AV147" s="191"/>
      <c r="AW147" s="254" t="str">
        <f>IF(COUNTBLANK(AS147:AV147)=4,"",SUM(AS147:AU147)+IF(Setup!$I$15="No",0,AV147))</f>
        <v/>
      </c>
      <c r="AX147" s="191"/>
      <c r="AY147" s="191"/>
      <c r="AZ147" s="191"/>
      <c r="BA147" s="191"/>
      <c r="BB147" s="254" t="str">
        <f>IF(COUNTBLANK(AX147:BA147)=4,"",SUM(AX147:AZ147)+IF(Setup!$I$15="No",0,BA147))</f>
        <v/>
      </c>
      <c r="BC147" s="258" t="str">
        <f ca="1">IF('Demand background (hide)'!A138=Num_Modalities,"",SUM(Demand!I147))</f>
        <v/>
      </c>
      <c r="BD147" s="258" t="str">
        <f ca="1">IF(AND(A147&lt;=MaxRows,BE147&lt;&gt;"Yes"),'Demand background (hide)'!X138+IF(Setup!$I$15="Yes",'Demand background (hide)'!AJ138,0),"")</f>
        <v/>
      </c>
      <c r="BE147" s="208"/>
    </row>
    <row r="148" spans="1:57" ht="15" x14ac:dyDescent="0.25">
      <c r="A148" t="str">
        <f t="shared" ca="1" si="8"/>
        <v/>
      </c>
      <c r="B148" s="263" t="str">
        <f t="shared" ca="1" si="9"/>
        <v xml:space="preserve"> </v>
      </c>
      <c r="C148" s="264" t="str">
        <f t="shared" ca="1" si="10"/>
        <v/>
      </c>
      <c r="D148" s="264" t="str">
        <f t="shared" ca="1" si="11"/>
        <v/>
      </c>
      <c r="E148" s="191"/>
      <c r="F148" s="191"/>
      <c r="G148" s="191"/>
      <c r="H148" s="191"/>
      <c r="I148" s="250" t="str">
        <f>IF(COUNTBLANK(E148:H148)=4,"",SUM(E148:G148)+IF(Setup!$I$15="No",0,H148))</f>
        <v/>
      </c>
      <c r="J148" s="191"/>
      <c r="K148" s="191"/>
      <c r="L148" s="191"/>
      <c r="M148" s="191"/>
      <c r="N148" s="254" t="str">
        <f>IF(COUNTBLANK(J148:M148)=4,"",SUM(J148:L148)+IF(Setup!$I$15="No",0,M148))</f>
        <v/>
      </c>
      <c r="O148" s="191"/>
      <c r="P148" s="191"/>
      <c r="Q148" s="191"/>
      <c r="R148" s="191"/>
      <c r="S148" s="254" t="str">
        <f>IF(COUNTBLANK(O148:R148)=4,"",SUM(O148:Q148)+IF(Setup!$I$15="No",0,R148))</f>
        <v/>
      </c>
      <c r="T148" s="191"/>
      <c r="U148" s="191"/>
      <c r="V148" s="191"/>
      <c r="W148" s="191"/>
      <c r="X148" s="254" t="str">
        <f>IF(COUNTBLANK(T148:W148)=4,"",SUM(T148:V148)+IF(Setup!$I$15="No",0,W148))</f>
        <v/>
      </c>
      <c r="Y148" s="191"/>
      <c r="Z148" s="191"/>
      <c r="AA148" s="191"/>
      <c r="AB148" s="191"/>
      <c r="AC148" s="254" t="str">
        <f>IF(COUNTBLANK(Y148:AB148)=4,"",SUM(Y148:AA148)+IF(Setup!$I$15="No",0,AB148))</f>
        <v/>
      </c>
      <c r="AD148" s="191"/>
      <c r="AE148" s="191"/>
      <c r="AF148" s="191"/>
      <c r="AG148" s="191"/>
      <c r="AH148" s="254" t="str">
        <f>IF(COUNTBLANK(AD148:AG148)=4,"",SUM(AD148:AF148)+IF(Setup!$I$15="No",0,AG148))</f>
        <v/>
      </c>
      <c r="AI148" s="191"/>
      <c r="AJ148" s="191"/>
      <c r="AK148" s="191"/>
      <c r="AL148" s="191"/>
      <c r="AM148" s="254" t="str">
        <f>IF(COUNTBLANK(AI148:AL148)=4,"",SUM(AI148:AK148)+IF(Setup!$I$15="No",0,AL148))</f>
        <v/>
      </c>
      <c r="AN148" s="191"/>
      <c r="AO148" s="191"/>
      <c r="AP148" s="191"/>
      <c r="AQ148" s="191"/>
      <c r="AR148" s="254" t="str">
        <f>IF(COUNTBLANK(AN148:AQ148)=4,"",SUM(AN148:AP148)+IF(Setup!$I$15="No",0,AQ148))</f>
        <v/>
      </c>
      <c r="AS148" s="191"/>
      <c r="AT148" s="191"/>
      <c r="AU148" s="191"/>
      <c r="AV148" s="191"/>
      <c r="AW148" s="254" t="str">
        <f>IF(COUNTBLANK(AS148:AV148)=4,"",SUM(AS148:AU148)+IF(Setup!$I$15="No",0,AV148))</f>
        <v/>
      </c>
      <c r="AX148" s="191"/>
      <c r="AY148" s="191"/>
      <c r="AZ148" s="191"/>
      <c r="BA148" s="191"/>
      <c r="BB148" s="254" t="str">
        <f>IF(COUNTBLANK(AX148:BA148)=4,"",SUM(AX148:AZ148)+IF(Setup!$I$15="No",0,BA148))</f>
        <v/>
      </c>
      <c r="BC148" s="258" t="str">
        <f ca="1">IF('Demand background (hide)'!A139=Num_Modalities,"",SUM(Demand!I148))</f>
        <v/>
      </c>
      <c r="BD148" s="258" t="str">
        <f ca="1">IF(AND(A148&lt;=MaxRows,BE148&lt;&gt;"Yes"),'Demand background (hide)'!X139+IF(Setup!$I$15="Yes",'Demand background (hide)'!AJ139,0),"")</f>
        <v/>
      </c>
      <c r="BE148" s="208"/>
    </row>
    <row r="149" spans="1:57" ht="15" x14ac:dyDescent="0.25">
      <c r="A149" t="str">
        <f t="shared" ca="1" si="8"/>
        <v/>
      </c>
      <c r="B149" s="263" t="str">
        <f t="shared" ca="1" si="9"/>
        <v xml:space="preserve"> </v>
      </c>
      <c r="C149" s="264" t="str">
        <f t="shared" ca="1" si="10"/>
        <v/>
      </c>
      <c r="D149" s="264" t="str">
        <f t="shared" ca="1" si="11"/>
        <v/>
      </c>
      <c r="E149" s="191"/>
      <c r="F149" s="191"/>
      <c r="G149" s="191"/>
      <c r="H149" s="191"/>
      <c r="I149" s="250" t="str">
        <f>IF(COUNTBLANK(E149:H149)=4,"",SUM(E149:G149)+IF(Setup!$I$15="No",0,H149))</f>
        <v/>
      </c>
      <c r="J149" s="191"/>
      <c r="K149" s="191"/>
      <c r="L149" s="191"/>
      <c r="M149" s="191"/>
      <c r="N149" s="254" t="str">
        <f>IF(COUNTBLANK(J149:M149)=4,"",SUM(J149:L149)+IF(Setup!$I$15="No",0,M149))</f>
        <v/>
      </c>
      <c r="O149" s="191"/>
      <c r="P149" s="191"/>
      <c r="Q149" s="191"/>
      <c r="R149" s="191"/>
      <c r="S149" s="254" t="str">
        <f>IF(COUNTBLANK(O149:R149)=4,"",SUM(O149:Q149)+IF(Setup!$I$15="No",0,R149))</f>
        <v/>
      </c>
      <c r="T149" s="191"/>
      <c r="U149" s="191"/>
      <c r="V149" s="191"/>
      <c r="W149" s="191"/>
      <c r="X149" s="254" t="str">
        <f>IF(COUNTBLANK(T149:W149)=4,"",SUM(T149:V149)+IF(Setup!$I$15="No",0,W149))</f>
        <v/>
      </c>
      <c r="Y149" s="191"/>
      <c r="Z149" s="191"/>
      <c r="AA149" s="191"/>
      <c r="AB149" s="191"/>
      <c r="AC149" s="254" t="str">
        <f>IF(COUNTBLANK(Y149:AB149)=4,"",SUM(Y149:AA149)+IF(Setup!$I$15="No",0,AB149))</f>
        <v/>
      </c>
      <c r="AD149" s="191"/>
      <c r="AE149" s="191"/>
      <c r="AF149" s="191"/>
      <c r="AG149" s="191"/>
      <c r="AH149" s="254" t="str">
        <f>IF(COUNTBLANK(AD149:AG149)=4,"",SUM(AD149:AF149)+IF(Setup!$I$15="No",0,AG149))</f>
        <v/>
      </c>
      <c r="AI149" s="191"/>
      <c r="AJ149" s="191"/>
      <c r="AK149" s="191"/>
      <c r="AL149" s="191"/>
      <c r="AM149" s="254" t="str">
        <f>IF(COUNTBLANK(AI149:AL149)=4,"",SUM(AI149:AK149)+IF(Setup!$I$15="No",0,AL149))</f>
        <v/>
      </c>
      <c r="AN149" s="191"/>
      <c r="AO149" s="191"/>
      <c r="AP149" s="191"/>
      <c r="AQ149" s="191"/>
      <c r="AR149" s="254" t="str">
        <f>IF(COUNTBLANK(AN149:AQ149)=4,"",SUM(AN149:AP149)+IF(Setup!$I$15="No",0,AQ149))</f>
        <v/>
      </c>
      <c r="AS149" s="191"/>
      <c r="AT149" s="191"/>
      <c r="AU149" s="191"/>
      <c r="AV149" s="191"/>
      <c r="AW149" s="254" t="str">
        <f>IF(COUNTBLANK(AS149:AV149)=4,"",SUM(AS149:AU149)+IF(Setup!$I$15="No",0,AV149))</f>
        <v/>
      </c>
      <c r="AX149" s="191"/>
      <c r="AY149" s="191"/>
      <c r="AZ149" s="191"/>
      <c r="BA149" s="191"/>
      <c r="BB149" s="254" t="str">
        <f>IF(COUNTBLANK(AX149:BA149)=4,"",SUM(AX149:AZ149)+IF(Setup!$I$15="No",0,BA149))</f>
        <v/>
      </c>
      <c r="BC149" s="258" t="str">
        <f ca="1">IF('Demand background (hide)'!A140=Num_Modalities,"",SUM(Demand!I149))</f>
        <v/>
      </c>
      <c r="BD149" s="258" t="str">
        <f ca="1">IF(AND(A149&lt;=MaxRows,BE149&lt;&gt;"Yes"),'Demand background (hide)'!X140+IF(Setup!$I$15="Yes",'Demand background (hide)'!AJ140,0),"")</f>
        <v/>
      </c>
      <c r="BE149" s="208"/>
    </row>
    <row r="150" spans="1:57" ht="15" x14ac:dyDescent="0.25">
      <c r="A150" t="str">
        <f t="shared" ca="1" si="8"/>
        <v/>
      </c>
      <c r="B150" s="263" t="str">
        <f t="shared" ca="1" si="9"/>
        <v xml:space="preserve"> </v>
      </c>
      <c r="C150" s="264" t="str">
        <f t="shared" ca="1" si="10"/>
        <v/>
      </c>
      <c r="D150" s="264" t="str">
        <f t="shared" ca="1" si="11"/>
        <v/>
      </c>
      <c r="E150" s="191"/>
      <c r="F150" s="191"/>
      <c r="G150" s="191"/>
      <c r="H150" s="191"/>
      <c r="I150" s="250" t="str">
        <f>IF(COUNTBLANK(E150:H150)=4,"",SUM(E150:G150)+IF(Setup!$I$15="No",0,H150))</f>
        <v/>
      </c>
      <c r="J150" s="191"/>
      <c r="K150" s="191"/>
      <c r="L150" s="191"/>
      <c r="M150" s="191"/>
      <c r="N150" s="254" t="str">
        <f>IF(COUNTBLANK(J150:M150)=4,"",SUM(J150:L150)+IF(Setup!$I$15="No",0,M150))</f>
        <v/>
      </c>
      <c r="O150" s="191"/>
      <c r="P150" s="191"/>
      <c r="Q150" s="191"/>
      <c r="R150" s="191"/>
      <c r="S150" s="254" t="str">
        <f>IF(COUNTBLANK(O150:R150)=4,"",SUM(O150:Q150)+IF(Setup!$I$15="No",0,R150))</f>
        <v/>
      </c>
      <c r="T150" s="191"/>
      <c r="U150" s="191"/>
      <c r="V150" s="191"/>
      <c r="W150" s="191"/>
      <c r="X150" s="254" t="str">
        <f>IF(COUNTBLANK(T150:W150)=4,"",SUM(T150:V150)+IF(Setup!$I$15="No",0,W150))</f>
        <v/>
      </c>
      <c r="Y150" s="191"/>
      <c r="Z150" s="191"/>
      <c r="AA150" s="191"/>
      <c r="AB150" s="191"/>
      <c r="AC150" s="254" t="str">
        <f>IF(COUNTBLANK(Y150:AB150)=4,"",SUM(Y150:AA150)+IF(Setup!$I$15="No",0,AB150))</f>
        <v/>
      </c>
      <c r="AD150" s="191"/>
      <c r="AE150" s="191"/>
      <c r="AF150" s="191"/>
      <c r="AG150" s="191"/>
      <c r="AH150" s="254" t="str">
        <f>IF(COUNTBLANK(AD150:AG150)=4,"",SUM(AD150:AF150)+IF(Setup!$I$15="No",0,AG150))</f>
        <v/>
      </c>
      <c r="AI150" s="191"/>
      <c r="AJ150" s="191"/>
      <c r="AK150" s="191"/>
      <c r="AL150" s="191"/>
      <c r="AM150" s="254" t="str">
        <f>IF(COUNTBLANK(AI150:AL150)=4,"",SUM(AI150:AK150)+IF(Setup!$I$15="No",0,AL150))</f>
        <v/>
      </c>
      <c r="AN150" s="191"/>
      <c r="AO150" s="191"/>
      <c r="AP150" s="191"/>
      <c r="AQ150" s="191"/>
      <c r="AR150" s="254" t="str">
        <f>IF(COUNTBLANK(AN150:AQ150)=4,"",SUM(AN150:AP150)+IF(Setup!$I$15="No",0,AQ150))</f>
        <v/>
      </c>
      <c r="AS150" s="191"/>
      <c r="AT150" s="191"/>
      <c r="AU150" s="191"/>
      <c r="AV150" s="191"/>
      <c r="AW150" s="254" t="str">
        <f>IF(COUNTBLANK(AS150:AV150)=4,"",SUM(AS150:AU150)+IF(Setup!$I$15="No",0,AV150))</f>
        <v/>
      </c>
      <c r="AX150" s="191"/>
      <c r="AY150" s="191"/>
      <c r="AZ150" s="191"/>
      <c r="BA150" s="191"/>
      <c r="BB150" s="254" t="str">
        <f>IF(COUNTBLANK(AX150:BA150)=4,"",SUM(AX150:AZ150)+IF(Setup!$I$15="No",0,BA150))</f>
        <v/>
      </c>
      <c r="BC150" s="258" t="str">
        <f ca="1">IF('Demand background (hide)'!A141=Num_Modalities,"",SUM(Demand!I150))</f>
        <v/>
      </c>
      <c r="BD150" s="258" t="str">
        <f ca="1">IF(AND(A150&lt;=MaxRows,BE150&lt;&gt;"Yes"),'Demand background (hide)'!X141+IF(Setup!$I$15="Yes",'Demand background (hide)'!AJ141,0),"")</f>
        <v/>
      </c>
      <c r="BE150" s="208"/>
    </row>
    <row r="151" spans="1:57" ht="15" x14ac:dyDescent="0.25">
      <c r="A151" t="str">
        <f t="shared" ca="1" si="8"/>
        <v/>
      </c>
      <c r="B151" s="263" t="str">
        <f t="shared" ca="1" si="9"/>
        <v xml:space="preserve"> </v>
      </c>
      <c r="C151" s="264" t="str">
        <f t="shared" ca="1" si="10"/>
        <v/>
      </c>
      <c r="D151" s="264" t="str">
        <f t="shared" ca="1" si="11"/>
        <v/>
      </c>
      <c r="E151" s="191"/>
      <c r="F151" s="191"/>
      <c r="G151" s="191"/>
      <c r="H151" s="191"/>
      <c r="I151" s="250" t="str">
        <f>IF(COUNTBLANK(E151:H151)=4,"",SUM(E151:G151)+IF(Setup!$I$15="No",0,H151))</f>
        <v/>
      </c>
      <c r="J151" s="191"/>
      <c r="K151" s="191"/>
      <c r="L151" s="191"/>
      <c r="M151" s="191"/>
      <c r="N151" s="254" t="str">
        <f>IF(COUNTBLANK(J151:M151)=4,"",SUM(J151:L151)+IF(Setup!$I$15="No",0,M151))</f>
        <v/>
      </c>
      <c r="O151" s="191"/>
      <c r="P151" s="191"/>
      <c r="Q151" s="191"/>
      <c r="R151" s="191"/>
      <c r="S151" s="254" t="str">
        <f>IF(COUNTBLANK(O151:R151)=4,"",SUM(O151:Q151)+IF(Setup!$I$15="No",0,R151))</f>
        <v/>
      </c>
      <c r="T151" s="191"/>
      <c r="U151" s="191"/>
      <c r="V151" s="191"/>
      <c r="W151" s="191"/>
      <c r="X151" s="254" t="str">
        <f>IF(COUNTBLANK(T151:W151)=4,"",SUM(T151:V151)+IF(Setup!$I$15="No",0,W151))</f>
        <v/>
      </c>
      <c r="Y151" s="191"/>
      <c r="Z151" s="191"/>
      <c r="AA151" s="191"/>
      <c r="AB151" s="191"/>
      <c r="AC151" s="254" t="str">
        <f>IF(COUNTBLANK(Y151:AB151)=4,"",SUM(Y151:AA151)+IF(Setup!$I$15="No",0,AB151))</f>
        <v/>
      </c>
      <c r="AD151" s="191"/>
      <c r="AE151" s="191"/>
      <c r="AF151" s="191"/>
      <c r="AG151" s="191"/>
      <c r="AH151" s="254" t="str">
        <f>IF(COUNTBLANK(AD151:AG151)=4,"",SUM(AD151:AF151)+IF(Setup!$I$15="No",0,AG151))</f>
        <v/>
      </c>
      <c r="AI151" s="191"/>
      <c r="AJ151" s="191"/>
      <c r="AK151" s="191"/>
      <c r="AL151" s="191"/>
      <c r="AM151" s="254" t="str">
        <f>IF(COUNTBLANK(AI151:AL151)=4,"",SUM(AI151:AK151)+IF(Setup!$I$15="No",0,AL151))</f>
        <v/>
      </c>
      <c r="AN151" s="191"/>
      <c r="AO151" s="191"/>
      <c r="AP151" s="191"/>
      <c r="AQ151" s="191"/>
      <c r="AR151" s="254" t="str">
        <f>IF(COUNTBLANK(AN151:AQ151)=4,"",SUM(AN151:AP151)+IF(Setup!$I$15="No",0,AQ151))</f>
        <v/>
      </c>
      <c r="AS151" s="191"/>
      <c r="AT151" s="191"/>
      <c r="AU151" s="191"/>
      <c r="AV151" s="191"/>
      <c r="AW151" s="254" t="str">
        <f>IF(COUNTBLANK(AS151:AV151)=4,"",SUM(AS151:AU151)+IF(Setup!$I$15="No",0,AV151))</f>
        <v/>
      </c>
      <c r="AX151" s="191"/>
      <c r="AY151" s="191"/>
      <c r="AZ151" s="191"/>
      <c r="BA151" s="191"/>
      <c r="BB151" s="254" t="str">
        <f>IF(COUNTBLANK(AX151:BA151)=4,"",SUM(AX151:AZ151)+IF(Setup!$I$15="No",0,BA151))</f>
        <v/>
      </c>
      <c r="BC151" s="258" t="str">
        <f ca="1">IF('Demand background (hide)'!A142=Num_Modalities,"",SUM(Demand!I151))</f>
        <v/>
      </c>
      <c r="BD151" s="258" t="str">
        <f ca="1">IF(AND(A151&lt;=MaxRows,BE151&lt;&gt;"Yes"),'Demand background (hide)'!X142+IF(Setup!$I$15="Yes",'Demand background (hide)'!AJ142,0),"")</f>
        <v/>
      </c>
      <c r="BE151" s="208"/>
    </row>
    <row r="152" spans="1:57" ht="15" x14ac:dyDescent="0.25">
      <c r="A152" t="str">
        <f t="shared" ca="1" si="8"/>
        <v/>
      </c>
      <c r="B152" s="263" t="str">
        <f t="shared" ca="1" si="9"/>
        <v xml:space="preserve"> </v>
      </c>
      <c r="C152" s="264" t="str">
        <f t="shared" ca="1" si="10"/>
        <v/>
      </c>
      <c r="D152" s="264" t="str">
        <f t="shared" ca="1" si="11"/>
        <v/>
      </c>
      <c r="E152" s="191"/>
      <c r="F152" s="191"/>
      <c r="G152" s="191"/>
      <c r="H152" s="191"/>
      <c r="I152" s="250" t="str">
        <f>IF(COUNTBLANK(E152:H152)=4,"",SUM(E152:G152)+IF(Setup!$I$15="No",0,H152))</f>
        <v/>
      </c>
      <c r="J152" s="191"/>
      <c r="K152" s="191"/>
      <c r="L152" s="191"/>
      <c r="M152" s="191"/>
      <c r="N152" s="254" t="str">
        <f>IF(COUNTBLANK(J152:M152)=4,"",SUM(J152:L152)+IF(Setup!$I$15="No",0,M152))</f>
        <v/>
      </c>
      <c r="O152" s="191"/>
      <c r="P152" s="191"/>
      <c r="Q152" s="191"/>
      <c r="R152" s="191"/>
      <c r="S152" s="254" t="str">
        <f>IF(COUNTBLANK(O152:R152)=4,"",SUM(O152:Q152)+IF(Setup!$I$15="No",0,R152))</f>
        <v/>
      </c>
      <c r="T152" s="191"/>
      <c r="U152" s="191"/>
      <c r="V152" s="191"/>
      <c r="W152" s="191"/>
      <c r="X152" s="254" t="str">
        <f>IF(COUNTBLANK(T152:W152)=4,"",SUM(T152:V152)+IF(Setup!$I$15="No",0,W152))</f>
        <v/>
      </c>
      <c r="Y152" s="191"/>
      <c r="Z152" s="191"/>
      <c r="AA152" s="191"/>
      <c r="AB152" s="191"/>
      <c r="AC152" s="254" t="str">
        <f>IF(COUNTBLANK(Y152:AB152)=4,"",SUM(Y152:AA152)+IF(Setup!$I$15="No",0,AB152))</f>
        <v/>
      </c>
      <c r="AD152" s="191"/>
      <c r="AE152" s="191"/>
      <c r="AF152" s="191"/>
      <c r="AG152" s="191"/>
      <c r="AH152" s="254" t="str">
        <f>IF(COUNTBLANK(AD152:AG152)=4,"",SUM(AD152:AF152)+IF(Setup!$I$15="No",0,AG152))</f>
        <v/>
      </c>
      <c r="AI152" s="191"/>
      <c r="AJ152" s="191"/>
      <c r="AK152" s="191"/>
      <c r="AL152" s="191"/>
      <c r="AM152" s="254" t="str">
        <f>IF(COUNTBLANK(AI152:AL152)=4,"",SUM(AI152:AK152)+IF(Setup!$I$15="No",0,AL152))</f>
        <v/>
      </c>
      <c r="AN152" s="191"/>
      <c r="AO152" s="191"/>
      <c r="AP152" s="191"/>
      <c r="AQ152" s="191"/>
      <c r="AR152" s="254" t="str">
        <f>IF(COUNTBLANK(AN152:AQ152)=4,"",SUM(AN152:AP152)+IF(Setup!$I$15="No",0,AQ152))</f>
        <v/>
      </c>
      <c r="AS152" s="191"/>
      <c r="AT152" s="191"/>
      <c r="AU152" s="191"/>
      <c r="AV152" s="191"/>
      <c r="AW152" s="254" t="str">
        <f>IF(COUNTBLANK(AS152:AV152)=4,"",SUM(AS152:AU152)+IF(Setup!$I$15="No",0,AV152))</f>
        <v/>
      </c>
      <c r="AX152" s="191"/>
      <c r="AY152" s="191"/>
      <c r="AZ152" s="191"/>
      <c r="BA152" s="191"/>
      <c r="BB152" s="254" t="str">
        <f>IF(COUNTBLANK(AX152:BA152)=4,"",SUM(AX152:AZ152)+IF(Setup!$I$15="No",0,BA152))</f>
        <v/>
      </c>
      <c r="BC152" s="258" t="str">
        <f ca="1">IF('Demand background (hide)'!A143=Num_Modalities,"",SUM(Demand!I152))</f>
        <v/>
      </c>
      <c r="BD152" s="258" t="str">
        <f ca="1">IF(AND(A152&lt;=MaxRows,BE152&lt;&gt;"Yes"),'Demand background (hide)'!X143+IF(Setup!$I$15="Yes",'Demand background (hide)'!AJ143,0),"")</f>
        <v/>
      </c>
      <c r="BE152" s="208"/>
    </row>
    <row r="153" spans="1:57" ht="15" x14ac:dyDescent="0.25">
      <c r="A153" t="str">
        <f t="shared" ca="1" si="8"/>
        <v/>
      </c>
      <c r="B153" s="263" t="str">
        <f t="shared" ca="1" si="9"/>
        <v xml:space="preserve"> </v>
      </c>
      <c r="C153" s="264" t="str">
        <f t="shared" ca="1" si="10"/>
        <v/>
      </c>
      <c r="D153" s="264" t="str">
        <f t="shared" ca="1" si="11"/>
        <v/>
      </c>
      <c r="E153" s="191"/>
      <c r="F153" s="191"/>
      <c r="G153" s="191"/>
      <c r="H153" s="191"/>
      <c r="I153" s="250" t="str">
        <f>IF(COUNTBLANK(E153:H153)=4,"",SUM(E153:G153)+IF(Setup!$I$15="No",0,H153))</f>
        <v/>
      </c>
      <c r="J153" s="191"/>
      <c r="K153" s="191"/>
      <c r="L153" s="191"/>
      <c r="M153" s="191"/>
      <c r="N153" s="254" t="str">
        <f>IF(COUNTBLANK(J153:M153)=4,"",SUM(J153:L153)+IF(Setup!$I$15="No",0,M153))</f>
        <v/>
      </c>
      <c r="O153" s="191"/>
      <c r="P153" s="191"/>
      <c r="Q153" s="191"/>
      <c r="R153" s="191"/>
      <c r="S153" s="254" t="str">
        <f>IF(COUNTBLANK(O153:R153)=4,"",SUM(O153:Q153)+IF(Setup!$I$15="No",0,R153))</f>
        <v/>
      </c>
      <c r="T153" s="191"/>
      <c r="U153" s="191"/>
      <c r="V153" s="191"/>
      <c r="W153" s="191"/>
      <c r="X153" s="254" t="str">
        <f>IF(COUNTBLANK(T153:W153)=4,"",SUM(T153:V153)+IF(Setup!$I$15="No",0,W153))</f>
        <v/>
      </c>
      <c r="Y153" s="191"/>
      <c r="Z153" s="191"/>
      <c r="AA153" s="191"/>
      <c r="AB153" s="191"/>
      <c r="AC153" s="254" t="str">
        <f>IF(COUNTBLANK(Y153:AB153)=4,"",SUM(Y153:AA153)+IF(Setup!$I$15="No",0,AB153))</f>
        <v/>
      </c>
      <c r="AD153" s="191"/>
      <c r="AE153" s="191"/>
      <c r="AF153" s="191"/>
      <c r="AG153" s="191"/>
      <c r="AH153" s="254" t="str">
        <f>IF(COUNTBLANK(AD153:AG153)=4,"",SUM(AD153:AF153)+IF(Setup!$I$15="No",0,AG153))</f>
        <v/>
      </c>
      <c r="AI153" s="191"/>
      <c r="AJ153" s="191"/>
      <c r="AK153" s="191"/>
      <c r="AL153" s="191"/>
      <c r="AM153" s="254" t="str">
        <f>IF(COUNTBLANK(AI153:AL153)=4,"",SUM(AI153:AK153)+IF(Setup!$I$15="No",0,AL153))</f>
        <v/>
      </c>
      <c r="AN153" s="191"/>
      <c r="AO153" s="191"/>
      <c r="AP153" s="191"/>
      <c r="AQ153" s="191"/>
      <c r="AR153" s="254" t="str">
        <f>IF(COUNTBLANK(AN153:AQ153)=4,"",SUM(AN153:AP153)+IF(Setup!$I$15="No",0,AQ153))</f>
        <v/>
      </c>
      <c r="AS153" s="191"/>
      <c r="AT153" s="191"/>
      <c r="AU153" s="191"/>
      <c r="AV153" s="191"/>
      <c r="AW153" s="254" t="str">
        <f>IF(COUNTBLANK(AS153:AV153)=4,"",SUM(AS153:AU153)+IF(Setup!$I$15="No",0,AV153))</f>
        <v/>
      </c>
      <c r="AX153" s="191"/>
      <c r="AY153" s="191"/>
      <c r="AZ153" s="191"/>
      <c r="BA153" s="191"/>
      <c r="BB153" s="254" t="str">
        <f>IF(COUNTBLANK(AX153:BA153)=4,"",SUM(AX153:AZ153)+IF(Setup!$I$15="No",0,BA153))</f>
        <v/>
      </c>
      <c r="BC153" s="258" t="str">
        <f ca="1">IF('Demand background (hide)'!A144=Num_Modalities,"",SUM(Demand!I153))</f>
        <v/>
      </c>
      <c r="BD153" s="258" t="str">
        <f ca="1">IF(AND(A153&lt;=MaxRows,BE153&lt;&gt;"Yes"),'Demand background (hide)'!X144+IF(Setup!$I$15="Yes",'Demand background (hide)'!AJ144,0),"")</f>
        <v/>
      </c>
      <c r="BE153" s="208"/>
    </row>
    <row r="154" spans="1:57" ht="15" x14ac:dyDescent="0.25">
      <c r="A154" t="str">
        <f t="shared" ca="1" si="8"/>
        <v/>
      </c>
      <c r="B154" s="263" t="str">
        <f t="shared" ca="1" si="9"/>
        <v xml:space="preserve"> </v>
      </c>
      <c r="C154" s="264" t="str">
        <f t="shared" ca="1" si="10"/>
        <v/>
      </c>
      <c r="D154" s="264" t="str">
        <f t="shared" ca="1" si="11"/>
        <v/>
      </c>
      <c r="E154" s="191"/>
      <c r="F154" s="191"/>
      <c r="G154" s="191"/>
      <c r="H154" s="191"/>
      <c r="I154" s="250" t="str">
        <f>IF(COUNTBLANK(E154:H154)=4,"",SUM(E154:G154)+IF(Setup!$I$15="No",0,H154))</f>
        <v/>
      </c>
      <c r="J154" s="191"/>
      <c r="K154" s="191"/>
      <c r="L154" s="191"/>
      <c r="M154" s="191"/>
      <c r="N154" s="254" t="str">
        <f>IF(COUNTBLANK(J154:M154)=4,"",SUM(J154:L154)+IF(Setup!$I$15="No",0,M154))</f>
        <v/>
      </c>
      <c r="O154" s="191"/>
      <c r="P154" s="191"/>
      <c r="Q154" s="191"/>
      <c r="R154" s="191"/>
      <c r="S154" s="254" t="str">
        <f>IF(COUNTBLANK(O154:R154)=4,"",SUM(O154:Q154)+IF(Setup!$I$15="No",0,R154))</f>
        <v/>
      </c>
      <c r="T154" s="191"/>
      <c r="U154" s="191"/>
      <c r="V154" s="191"/>
      <c r="W154" s="191"/>
      <c r="X154" s="254" t="str">
        <f>IF(COUNTBLANK(T154:W154)=4,"",SUM(T154:V154)+IF(Setup!$I$15="No",0,W154))</f>
        <v/>
      </c>
      <c r="Y154" s="191"/>
      <c r="Z154" s="191"/>
      <c r="AA154" s="191"/>
      <c r="AB154" s="191"/>
      <c r="AC154" s="254" t="str">
        <f>IF(COUNTBLANK(Y154:AB154)=4,"",SUM(Y154:AA154)+IF(Setup!$I$15="No",0,AB154))</f>
        <v/>
      </c>
      <c r="AD154" s="191"/>
      <c r="AE154" s="191"/>
      <c r="AF154" s="191"/>
      <c r="AG154" s="191"/>
      <c r="AH154" s="254" t="str">
        <f>IF(COUNTBLANK(AD154:AG154)=4,"",SUM(AD154:AF154)+IF(Setup!$I$15="No",0,AG154))</f>
        <v/>
      </c>
      <c r="AI154" s="191"/>
      <c r="AJ154" s="191"/>
      <c r="AK154" s="191"/>
      <c r="AL154" s="191"/>
      <c r="AM154" s="254" t="str">
        <f>IF(COUNTBLANK(AI154:AL154)=4,"",SUM(AI154:AK154)+IF(Setup!$I$15="No",0,AL154))</f>
        <v/>
      </c>
      <c r="AN154" s="191"/>
      <c r="AO154" s="191"/>
      <c r="AP154" s="191"/>
      <c r="AQ154" s="191"/>
      <c r="AR154" s="254" t="str">
        <f>IF(COUNTBLANK(AN154:AQ154)=4,"",SUM(AN154:AP154)+IF(Setup!$I$15="No",0,AQ154))</f>
        <v/>
      </c>
      <c r="AS154" s="191"/>
      <c r="AT154" s="191"/>
      <c r="AU154" s="191"/>
      <c r="AV154" s="191"/>
      <c r="AW154" s="254" t="str">
        <f>IF(COUNTBLANK(AS154:AV154)=4,"",SUM(AS154:AU154)+IF(Setup!$I$15="No",0,AV154))</f>
        <v/>
      </c>
      <c r="AX154" s="191"/>
      <c r="AY154" s="191"/>
      <c r="AZ154" s="191"/>
      <c r="BA154" s="191"/>
      <c r="BB154" s="254" t="str">
        <f>IF(COUNTBLANK(AX154:BA154)=4,"",SUM(AX154:AZ154)+IF(Setup!$I$15="No",0,BA154))</f>
        <v/>
      </c>
      <c r="BC154" s="258" t="str">
        <f ca="1">IF('Demand background (hide)'!A145=Num_Modalities,"",SUM(Demand!I154))</f>
        <v/>
      </c>
      <c r="BD154" s="258" t="str">
        <f ca="1">IF(AND(A154&lt;=MaxRows,BE154&lt;&gt;"Yes"),'Demand background (hide)'!X145+IF(Setup!$I$15="Yes",'Demand background (hide)'!AJ145,0),"")</f>
        <v/>
      </c>
      <c r="BE154" s="208"/>
    </row>
    <row r="155" spans="1:57" ht="15" x14ac:dyDescent="0.25">
      <c r="A155" t="str">
        <f t="shared" ca="1" si="8"/>
        <v/>
      </c>
      <c r="B155" s="263" t="str">
        <f t="shared" ca="1" si="9"/>
        <v xml:space="preserve"> </v>
      </c>
      <c r="C155" s="264" t="str">
        <f t="shared" ca="1" si="10"/>
        <v/>
      </c>
      <c r="D155" s="264" t="str">
        <f t="shared" ca="1" si="11"/>
        <v/>
      </c>
      <c r="E155" s="191"/>
      <c r="F155" s="191"/>
      <c r="G155" s="191"/>
      <c r="H155" s="191"/>
      <c r="I155" s="250" t="str">
        <f>IF(COUNTBLANK(E155:H155)=4,"",SUM(E155:G155)+IF(Setup!$I$15="No",0,H155))</f>
        <v/>
      </c>
      <c r="J155" s="191"/>
      <c r="K155" s="191"/>
      <c r="L155" s="191"/>
      <c r="M155" s="191"/>
      <c r="N155" s="254" t="str">
        <f>IF(COUNTBLANK(J155:M155)=4,"",SUM(J155:L155)+IF(Setup!$I$15="No",0,M155))</f>
        <v/>
      </c>
      <c r="O155" s="191"/>
      <c r="P155" s="191"/>
      <c r="Q155" s="191"/>
      <c r="R155" s="191"/>
      <c r="S155" s="254" t="str">
        <f>IF(COUNTBLANK(O155:R155)=4,"",SUM(O155:Q155)+IF(Setup!$I$15="No",0,R155))</f>
        <v/>
      </c>
      <c r="T155" s="191"/>
      <c r="U155" s="191"/>
      <c r="V155" s="191"/>
      <c r="W155" s="191"/>
      <c r="X155" s="254" t="str">
        <f>IF(COUNTBLANK(T155:W155)=4,"",SUM(T155:V155)+IF(Setup!$I$15="No",0,W155))</f>
        <v/>
      </c>
      <c r="Y155" s="191"/>
      <c r="Z155" s="191"/>
      <c r="AA155" s="191"/>
      <c r="AB155" s="191"/>
      <c r="AC155" s="254" t="str">
        <f>IF(COUNTBLANK(Y155:AB155)=4,"",SUM(Y155:AA155)+IF(Setup!$I$15="No",0,AB155))</f>
        <v/>
      </c>
      <c r="AD155" s="191"/>
      <c r="AE155" s="191"/>
      <c r="AF155" s="191"/>
      <c r="AG155" s="191"/>
      <c r="AH155" s="254" t="str">
        <f>IF(COUNTBLANK(AD155:AG155)=4,"",SUM(AD155:AF155)+IF(Setup!$I$15="No",0,AG155))</f>
        <v/>
      </c>
      <c r="AI155" s="191"/>
      <c r="AJ155" s="191"/>
      <c r="AK155" s="191"/>
      <c r="AL155" s="191"/>
      <c r="AM155" s="254" t="str">
        <f>IF(COUNTBLANK(AI155:AL155)=4,"",SUM(AI155:AK155)+IF(Setup!$I$15="No",0,AL155))</f>
        <v/>
      </c>
      <c r="AN155" s="191"/>
      <c r="AO155" s="191"/>
      <c r="AP155" s="191"/>
      <c r="AQ155" s="191"/>
      <c r="AR155" s="254" t="str">
        <f>IF(COUNTBLANK(AN155:AQ155)=4,"",SUM(AN155:AP155)+IF(Setup!$I$15="No",0,AQ155))</f>
        <v/>
      </c>
      <c r="AS155" s="191"/>
      <c r="AT155" s="191"/>
      <c r="AU155" s="191"/>
      <c r="AV155" s="191"/>
      <c r="AW155" s="254" t="str">
        <f>IF(COUNTBLANK(AS155:AV155)=4,"",SUM(AS155:AU155)+IF(Setup!$I$15="No",0,AV155))</f>
        <v/>
      </c>
      <c r="AX155" s="191"/>
      <c r="AY155" s="191"/>
      <c r="AZ155" s="191"/>
      <c r="BA155" s="191"/>
      <c r="BB155" s="254" t="str">
        <f>IF(COUNTBLANK(AX155:BA155)=4,"",SUM(AX155:AZ155)+IF(Setup!$I$15="No",0,BA155))</f>
        <v/>
      </c>
      <c r="BC155" s="258" t="str">
        <f ca="1">IF('Demand background (hide)'!A146=Num_Modalities,"",SUM(Demand!I155))</f>
        <v/>
      </c>
      <c r="BD155" s="258" t="str">
        <f ca="1">IF(AND(A155&lt;=MaxRows,BE155&lt;&gt;"Yes"),'Demand background (hide)'!X146+IF(Setup!$I$15="Yes",'Demand background (hide)'!AJ146,0),"")</f>
        <v/>
      </c>
      <c r="BE155" s="208"/>
    </row>
    <row r="156" spans="1:57" ht="15" x14ac:dyDescent="0.25">
      <c r="A156" t="str">
        <f t="shared" ca="1" si="8"/>
        <v/>
      </c>
      <c r="B156" s="263" t="str">
        <f t="shared" ca="1" si="9"/>
        <v xml:space="preserve"> </v>
      </c>
      <c r="C156" s="264" t="str">
        <f t="shared" ca="1" si="10"/>
        <v/>
      </c>
      <c r="D156" s="264" t="str">
        <f t="shared" ca="1" si="11"/>
        <v/>
      </c>
      <c r="E156" s="191"/>
      <c r="F156" s="191"/>
      <c r="G156" s="191"/>
      <c r="H156" s="191"/>
      <c r="I156" s="250" t="str">
        <f>IF(COUNTBLANK(E156:H156)=4,"",SUM(E156:G156)+IF(Setup!$I$15="No",0,H156))</f>
        <v/>
      </c>
      <c r="J156" s="191"/>
      <c r="K156" s="191"/>
      <c r="L156" s="191"/>
      <c r="M156" s="191"/>
      <c r="N156" s="254" t="str">
        <f>IF(COUNTBLANK(J156:M156)=4,"",SUM(J156:L156)+IF(Setup!$I$15="No",0,M156))</f>
        <v/>
      </c>
      <c r="O156" s="191"/>
      <c r="P156" s="191"/>
      <c r="Q156" s="191"/>
      <c r="R156" s="191"/>
      <c r="S156" s="254" t="str">
        <f>IF(COUNTBLANK(O156:R156)=4,"",SUM(O156:Q156)+IF(Setup!$I$15="No",0,R156))</f>
        <v/>
      </c>
      <c r="T156" s="191"/>
      <c r="U156" s="191"/>
      <c r="V156" s="191"/>
      <c r="W156" s="191"/>
      <c r="X156" s="254" t="str">
        <f>IF(COUNTBLANK(T156:W156)=4,"",SUM(T156:V156)+IF(Setup!$I$15="No",0,W156))</f>
        <v/>
      </c>
      <c r="Y156" s="191"/>
      <c r="Z156" s="191"/>
      <c r="AA156" s="191"/>
      <c r="AB156" s="191"/>
      <c r="AC156" s="254" t="str">
        <f>IF(COUNTBLANK(Y156:AB156)=4,"",SUM(Y156:AA156)+IF(Setup!$I$15="No",0,AB156))</f>
        <v/>
      </c>
      <c r="AD156" s="191"/>
      <c r="AE156" s="191"/>
      <c r="AF156" s="191"/>
      <c r="AG156" s="191"/>
      <c r="AH156" s="254" t="str">
        <f>IF(COUNTBLANK(AD156:AG156)=4,"",SUM(AD156:AF156)+IF(Setup!$I$15="No",0,AG156))</f>
        <v/>
      </c>
      <c r="AI156" s="191"/>
      <c r="AJ156" s="191"/>
      <c r="AK156" s="191"/>
      <c r="AL156" s="191"/>
      <c r="AM156" s="254" t="str">
        <f>IF(COUNTBLANK(AI156:AL156)=4,"",SUM(AI156:AK156)+IF(Setup!$I$15="No",0,AL156))</f>
        <v/>
      </c>
      <c r="AN156" s="191"/>
      <c r="AO156" s="191"/>
      <c r="AP156" s="191"/>
      <c r="AQ156" s="191"/>
      <c r="AR156" s="254" t="str">
        <f>IF(COUNTBLANK(AN156:AQ156)=4,"",SUM(AN156:AP156)+IF(Setup!$I$15="No",0,AQ156))</f>
        <v/>
      </c>
      <c r="AS156" s="191"/>
      <c r="AT156" s="191"/>
      <c r="AU156" s="191"/>
      <c r="AV156" s="191"/>
      <c r="AW156" s="254" t="str">
        <f>IF(COUNTBLANK(AS156:AV156)=4,"",SUM(AS156:AU156)+IF(Setup!$I$15="No",0,AV156))</f>
        <v/>
      </c>
      <c r="AX156" s="191"/>
      <c r="AY156" s="191"/>
      <c r="AZ156" s="191"/>
      <c r="BA156" s="191"/>
      <c r="BB156" s="254" t="str">
        <f>IF(COUNTBLANK(AX156:BA156)=4,"",SUM(AX156:AZ156)+IF(Setup!$I$15="No",0,BA156))</f>
        <v/>
      </c>
      <c r="BC156" s="258" t="str">
        <f ca="1">IF('Demand background (hide)'!A147=Num_Modalities,"",SUM(Demand!I156))</f>
        <v/>
      </c>
      <c r="BD156" s="258" t="str">
        <f ca="1">IF(AND(A156&lt;=MaxRows,BE156&lt;&gt;"Yes"),'Demand background (hide)'!X147+IF(Setup!$I$15="Yes",'Demand background (hide)'!AJ147,0),"")</f>
        <v/>
      </c>
      <c r="BE156" s="208"/>
    </row>
    <row r="157" spans="1:57" ht="15" x14ac:dyDescent="0.25">
      <c r="A157" t="str">
        <f t="shared" ca="1" si="8"/>
        <v/>
      </c>
      <c r="B157" s="263" t="str">
        <f t="shared" ca="1" si="9"/>
        <v xml:space="preserve"> </v>
      </c>
      <c r="C157" s="264" t="str">
        <f t="shared" ca="1" si="10"/>
        <v/>
      </c>
      <c r="D157" s="264" t="str">
        <f t="shared" ca="1" si="11"/>
        <v/>
      </c>
      <c r="E157" s="191"/>
      <c r="F157" s="191"/>
      <c r="G157" s="191"/>
      <c r="H157" s="191"/>
      <c r="I157" s="250" t="str">
        <f>IF(COUNTBLANK(E157:H157)=4,"",SUM(E157:G157)+IF(Setup!$I$15="No",0,H157))</f>
        <v/>
      </c>
      <c r="J157" s="191"/>
      <c r="K157" s="191"/>
      <c r="L157" s="191"/>
      <c r="M157" s="191"/>
      <c r="N157" s="254" t="str">
        <f>IF(COUNTBLANK(J157:M157)=4,"",SUM(J157:L157)+IF(Setup!$I$15="No",0,M157))</f>
        <v/>
      </c>
      <c r="O157" s="191"/>
      <c r="P157" s="191"/>
      <c r="Q157" s="191"/>
      <c r="R157" s="191"/>
      <c r="S157" s="254" t="str">
        <f>IF(COUNTBLANK(O157:R157)=4,"",SUM(O157:Q157)+IF(Setup!$I$15="No",0,R157))</f>
        <v/>
      </c>
      <c r="T157" s="191"/>
      <c r="U157" s="191"/>
      <c r="V157" s="191"/>
      <c r="W157" s="191"/>
      <c r="X157" s="254" t="str">
        <f>IF(COUNTBLANK(T157:W157)=4,"",SUM(T157:V157)+IF(Setup!$I$15="No",0,W157))</f>
        <v/>
      </c>
      <c r="Y157" s="191"/>
      <c r="Z157" s="191"/>
      <c r="AA157" s="191"/>
      <c r="AB157" s="191"/>
      <c r="AC157" s="254" t="str">
        <f>IF(COUNTBLANK(Y157:AB157)=4,"",SUM(Y157:AA157)+IF(Setup!$I$15="No",0,AB157))</f>
        <v/>
      </c>
      <c r="AD157" s="191"/>
      <c r="AE157" s="191"/>
      <c r="AF157" s="191"/>
      <c r="AG157" s="191"/>
      <c r="AH157" s="254" t="str">
        <f>IF(COUNTBLANK(AD157:AG157)=4,"",SUM(AD157:AF157)+IF(Setup!$I$15="No",0,AG157))</f>
        <v/>
      </c>
      <c r="AI157" s="191"/>
      <c r="AJ157" s="191"/>
      <c r="AK157" s="191"/>
      <c r="AL157" s="191"/>
      <c r="AM157" s="254" t="str">
        <f>IF(COUNTBLANK(AI157:AL157)=4,"",SUM(AI157:AK157)+IF(Setup!$I$15="No",0,AL157))</f>
        <v/>
      </c>
      <c r="AN157" s="191"/>
      <c r="AO157" s="191"/>
      <c r="AP157" s="191"/>
      <c r="AQ157" s="191"/>
      <c r="AR157" s="254" t="str">
        <f>IF(COUNTBLANK(AN157:AQ157)=4,"",SUM(AN157:AP157)+IF(Setup!$I$15="No",0,AQ157))</f>
        <v/>
      </c>
      <c r="AS157" s="191"/>
      <c r="AT157" s="191"/>
      <c r="AU157" s="191"/>
      <c r="AV157" s="191"/>
      <c r="AW157" s="254" t="str">
        <f>IF(COUNTBLANK(AS157:AV157)=4,"",SUM(AS157:AU157)+IF(Setup!$I$15="No",0,AV157))</f>
        <v/>
      </c>
      <c r="AX157" s="191"/>
      <c r="AY157" s="191"/>
      <c r="AZ157" s="191"/>
      <c r="BA157" s="191"/>
      <c r="BB157" s="254" t="str">
        <f>IF(COUNTBLANK(AX157:BA157)=4,"",SUM(AX157:AZ157)+IF(Setup!$I$15="No",0,BA157))</f>
        <v/>
      </c>
      <c r="BC157" s="258" t="str">
        <f ca="1">IF('Demand background (hide)'!A148=Num_Modalities,"",SUM(Demand!I157))</f>
        <v/>
      </c>
      <c r="BD157" s="258" t="str">
        <f ca="1">IF(AND(A157&lt;=MaxRows,BE157&lt;&gt;"Yes"),'Demand background (hide)'!X148+IF(Setup!$I$15="Yes",'Demand background (hide)'!AJ148,0),"")</f>
        <v/>
      </c>
      <c r="BE157" s="208"/>
    </row>
    <row r="158" spans="1:57" ht="15" x14ac:dyDescent="0.25">
      <c r="A158" t="str">
        <f t="shared" ca="1" si="8"/>
        <v/>
      </c>
      <c r="B158" s="263" t="str">
        <f t="shared" ca="1" si="9"/>
        <v xml:space="preserve"> </v>
      </c>
      <c r="C158" s="264" t="str">
        <f t="shared" ca="1" si="10"/>
        <v/>
      </c>
      <c r="D158" s="264" t="str">
        <f t="shared" ca="1" si="11"/>
        <v/>
      </c>
      <c r="E158" s="191"/>
      <c r="F158" s="191"/>
      <c r="G158" s="191"/>
      <c r="H158" s="191"/>
      <c r="I158" s="250" t="str">
        <f>IF(COUNTBLANK(E158:H158)=4,"",SUM(E158:G158)+IF(Setup!$I$15="No",0,H158))</f>
        <v/>
      </c>
      <c r="J158" s="191"/>
      <c r="K158" s="191"/>
      <c r="L158" s="191"/>
      <c r="M158" s="191"/>
      <c r="N158" s="254" t="str">
        <f>IF(COUNTBLANK(J158:M158)=4,"",SUM(J158:L158)+IF(Setup!$I$15="No",0,M158))</f>
        <v/>
      </c>
      <c r="O158" s="191"/>
      <c r="P158" s="191"/>
      <c r="Q158" s="191"/>
      <c r="R158" s="191"/>
      <c r="S158" s="254" t="str">
        <f>IF(COUNTBLANK(O158:R158)=4,"",SUM(O158:Q158)+IF(Setup!$I$15="No",0,R158))</f>
        <v/>
      </c>
      <c r="T158" s="191"/>
      <c r="U158" s="191"/>
      <c r="V158" s="191"/>
      <c r="W158" s="191"/>
      <c r="X158" s="254" t="str">
        <f>IF(COUNTBLANK(T158:W158)=4,"",SUM(T158:V158)+IF(Setup!$I$15="No",0,W158))</f>
        <v/>
      </c>
      <c r="Y158" s="191"/>
      <c r="Z158" s="191"/>
      <c r="AA158" s="191"/>
      <c r="AB158" s="191"/>
      <c r="AC158" s="254" t="str">
        <f>IF(COUNTBLANK(Y158:AB158)=4,"",SUM(Y158:AA158)+IF(Setup!$I$15="No",0,AB158))</f>
        <v/>
      </c>
      <c r="AD158" s="191"/>
      <c r="AE158" s="191"/>
      <c r="AF158" s="191"/>
      <c r="AG158" s="191"/>
      <c r="AH158" s="254" t="str">
        <f>IF(COUNTBLANK(AD158:AG158)=4,"",SUM(AD158:AF158)+IF(Setup!$I$15="No",0,AG158))</f>
        <v/>
      </c>
      <c r="AI158" s="191"/>
      <c r="AJ158" s="191"/>
      <c r="AK158" s="191"/>
      <c r="AL158" s="191"/>
      <c r="AM158" s="254" t="str">
        <f>IF(COUNTBLANK(AI158:AL158)=4,"",SUM(AI158:AK158)+IF(Setup!$I$15="No",0,AL158))</f>
        <v/>
      </c>
      <c r="AN158" s="191"/>
      <c r="AO158" s="191"/>
      <c r="AP158" s="191"/>
      <c r="AQ158" s="191"/>
      <c r="AR158" s="254" t="str">
        <f>IF(COUNTBLANK(AN158:AQ158)=4,"",SUM(AN158:AP158)+IF(Setup!$I$15="No",0,AQ158))</f>
        <v/>
      </c>
      <c r="AS158" s="191"/>
      <c r="AT158" s="191"/>
      <c r="AU158" s="191"/>
      <c r="AV158" s="191"/>
      <c r="AW158" s="254" t="str">
        <f>IF(COUNTBLANK(AS158:AV158)=4,"",SUM(AS158:AU158)+IF(Setup!$I$15="No",0,AV158))</f>
        <v/>
      </c>
      <c r="AX158" s="191"/>
      <c r="AY158" s="191"/>
      <c r="AZ158" s="191"/>
      <c r="BA158" s="191"/>
      <c r="BB158" s="254" t="str">
        <f>IF(COUNTBLANK(AX158:BA158)=4,"",SUM(AX158:AZ158)+IF(Setup!$I$15="No",0,BA158))</f>
        <v/>
      </c>
      <c r="BC158" s="258" t="str">
        <f ca="1">IF('Demand background (hide)'!A149=Num_Modalities,"",SUM(Demand!I158))</f>
        <v/>
      </c>
      <c r="BD158" s="258" t="str">
        <f ca="1">IF(AND(A158&lt;=MaxRows,BE158&lt;&gt;"Yes"),'Demand background (hide)'!X149+IF(Setup!$I$15="Yes",'Demand background (hide)'!AJ149,0),"")</f>
        <v/>
      </c>
      <c r="BE158" s="208"/>
    </row>
    <row r="159" spans="1:57" ht="15" x14ac:dyDescent="0.25">
      <c r="A159" t="str">
        <f t="shared" ca="1" si="8"/>
        <v/>
      </c>
      <c r="B159" s="263" t="str">
        <f t="shared" ca="1" si="9"/>
        <v xml:space="preserve"> </v>
      </c>
      <c r="C159" s="264" t="str">
        <f t="shared" ca="1" si="10"/>
        <v/>
      </c>
      <c r="D159" s="264" t="str">
        <f t="shared" ca="1" si="11"/>
        <v/>
      </c>
      <c r="E159" s="191"/>
      <c r="F159" s="191"/>
      <c r="G159" s="191"/>
      <c r="H159" s="191"/>
      <c r="I159" s="250" t="str">
        <f>IF(COUNTBLANK(E159:H159)=4,"",SUM(E159:G159)+IF(Setup!$I$15="No",0,H159))</f>
        <v/>
      </c>
      <c r="J159" s="191"/>
      <c r="K159" s="191"/>
      <c r="L159" s="191"/>
      <c r="M159" s="191"/>
      <c r="N159" s="254" t="str">
        <f>IF(COUNTBLANK(J159:M159)=4,"",SUM(J159:L159)+IF(Setup!$I$15="No",0,M159))</f>
        <v/>
      </c>
      <c r="O159" s="191"/>
      <c r="P159" s="191"/>
      <c r="Q159" s="191"/>
      <c r="R159" s="191"/>
      <c r="S159" s="254" t="str">
        <f>IF(COUNTBLANK(O159:R159)=4,"",SUM(O159:Q159)+IF(Setup!$I$15="No",0,R159))</f>
        <v/>
      </c>
      <c r="T159" s="191"/>
      <c r="U159" s="191"/>
      <c r="V159" s="191"/>
      <c r="W159" s="191"/>
      <c r="X159" s="254" t="str">
        <f>IF(COUNTBLANK(T159:W159)=4,"",SUM(T159:V159)+IF(Setup!$I$15="No",0,W159))</f>
        <v/>
      </c>
      <c r="Y159" s="191"/>
      <c r="Z159" s="191"/>
      <c r="AA159" s="191"/>
      <c r="AB159" s="191"/>
      <c r="AC159" s="254" t="str">
        <f>IF(COUNTBLANK(Y159:AB159)=4,"",SUM(Y159:AA159)+IF(Setup!$I$15="No",0,AB159))</f>
        <v/>
      </c>
      <c r="AD159" s="191"/>
      <c r="AE159" s="191"/>
      <c r="AF159" s="191"/>
      <c r="AG159" s="191"/>
      <c r="AH159" s="254" t="str">
        <f>IF(COUNTBLANK(AD159:AG159)=4,"",SUM(AD159:AF159)+IF(Setup!$I$15="No",0,AG159))</f>
        <v/>
      </c>
      <c r="AI159" s="191"/>
      <c r="AJ159" s="191"/>
      <c r="AK159" s="191"/>
      <c r="AL159" s="191"/>
      <c r="AM159" s="254" t="str">
        <f>IF(COUNTBLANK(AI159:AL159)=4,"",SUM(AI159:AK159)+IF(Setup!$I$15="No",0,AL159))</f>
        <v/>
      </c>
      <c r="AN159" s="191"/>
      <c r="AO159" s="191"/>
      <c r="AP159" s="191"/>
      <c r="AQ159" s="191"/>
      <c r="AR159" s="254" t="str">
        <f>IF(COUNTBLANK(AN159:AQ159)=4,"",SUM(AN159:AP159)+IF(Setup!$I$15="No",0,AQ159))</f>
        <v/>
      </c>
      <c r="AS159" s="191"/>
      <c r="AT159" s="191"/>
      <c r="AU159" s="191"/>
      <c r="AV159" s="191"/>
      <c r="AW159" s="254" t="str">
        <f>IF(COUNTBLANK(AS159:AV159)=4,"",SUM(AS159:AU159)+IF(Setup!$I$15="No",0,AV159))</f>
        <v/>
      </c>
      <c r="AX159" s="191"/>
      <c r="AY159" s="191"/>
      <c r="AZ159" s="191"/>
      <c r="BA159" s="191"/>
      <c r="BB159" s="254" t="str">
        <f>IF(COUNTBLANK(AX159:BA159)=4,"",SUM(AX159:AZ159)+IF(Setup!$I$15="No",0,BA159))</f>
        <v/>
      </c>
      <c r="BC159" s="258" t="str">
        <f ca="1">IF('Demand background (hide)'!A150=Num_Modalities,"",SUM(Demand!I159))</f>
        <v/>
      </c>
      <c r="BD159" s="258" t="str">
        <f ca="1">IF(AND(A159&lt;=MaxRows,BE159&lt;&gt;"Yes"),'Demand background (hide)'!X150+IF(Setup!$I$15="Yes",'Demand background (hide)'!AJ150,0),"")</f>
        <v/>
      </c>
      <c r="BE159" s="208"/>
    </row>
    <row r="160" spans="1:57" ht="15" x14ac:dyDescent="0.25">
      <c r="A160" t="str">
        <f t="shared" ca="1" si="8"/>
        <v/>
      </c>
      <c r="B160" s="263" t="str">
        <f t="shared" ca="1" si="9"/>
        <v xml:space="preserve"> </v>
      </c>
      <c r="C160" s="264" t="str">
        <f t="shared" ca="1" si="10"/>
        <v/>
      </c>
      <c r="D160" s="264" t="str">
        <f t="shared" ca="1" si="11"/>
        <v/>
      </c>
      <c r="E160" s="191"/>
      <c r="F160" s="191"/>
      <c r="G160" s="191"/>
      <c r="H160" s="191"/>
      <c r="I160" s="250" t="str">
        <f>IF(COUNTBLANK(E160:H160)=4,"",SUM(E160:G160)+IF(Setup!$I$15="No",0,H160))</f>
        <v/>
      </c>
      <c r="J160" s="191"/>
      <c r="K160" s="191"/>
      <c r="L160" s="191"/>
      <c r="M160" s="191"/>
      <c r="N160" s="254" t="str">
        <f>IF(COUNTBLANK(J160:M160)=4,"",SUM(J160:L160)+IF(Setup!$I$15="No",0,M160))</f>
        <v/>
      </c>
      <c r="O160" s="191"/>
      <c r="P160" s="191"/>
      <c r="Q160" s="191"/>
      <c r="R160" s="191"/>
      <c r="S160" s="254" t="str">
        <f>IF(COUNTBLANK(O160:R160)=4,"",SUM(O160:Q160)+IF(Setup!$I$15="No",0,R160))</f>
        <v/>
      </c>
      <c r="T160" s="191"/>
      <c r="U160" s="191"/>
      <c r="V160" s="191"/>
      <c r="W160" s="191"/>
      <c r="X160" s="254" t="str">
        <f>IF(COUNTBLANK(T160:W160)=4,"",SUM(T160:V160)+IF(Setup!$I$15="No",0,W160))</f>
        <v/>
      </c>
      <c r="Y160" s="191"/>
      <c r="Z160" s="191"/>
      <c r="AA160" s="191"/>
      <c r="AB160" s="191"/>
      <c r="AC160" s="254" t="str">
        <f>IF(COUNTBLANK(Y160:AB160)=4,"",SUM(Y160:AA160)+IF(Setup!$I$15="No",0,AB160))</f>
        <v/>
      </c>
      <c r="AD160" s="191"/>
      <c r="AE160" s="191"/>
      <c r="AF160" s="191"/>
      <c r="AG160" s="191"/>
      <c r="AH160" s="254" t="str">
        <f>IF(COUNTBLANK(AD160:AG160)=4,"",SUM(AD160:AF160)+IF(Setup!$I$15="No",0,AG160))</f>
        <v/>
      </c>
      <c r="AI160" s="191"/>
      <c r="AJ160" s="191"/>
      <c r="AK160" s="191"/>
      <c r="AL160" s="191"/>
      <c r="AM160" s="254" t="str">
        <f>IF(COUNTBLANK(AI160:AL160)=4,"",SUM(AI160:AK160)+IF(Setup!$I$15="No",0,AL160))</f>
        <v/>
      </c>
      <c r="AN160" s="191"/>
      <c r="AO160" s="191"/>
      <c r="AP160" s="191"/>
      <c r="AQ160" s="191"/>
      <c r="AR160" s="254" t="str">
        <f>IF(COUNTBLANK(AN160:AQ160)=4,"",SUM(AN160:AP160)+IF(Setup!$I$15="No",0,AQ160))</f>
        <v/>
      </c>
      <c r="AS160" s="191"/>
      <c r="AT160" s="191"/>
      <c r="AU160" s="191"/>
      <c r="AV160" s="191"/>
      <c r="AW160" s="254" t="str">
        <f>IF(COUNTBLANK(AS160:AV160)=4,"",SUM(AS160:AU160)+IF(Setup!$I$15="No",0,AV160))</f>
        <v/>
      </c>
      <c r="AX160" s="191"/>
      <c r="AY160" s="191"/>
      <c r="AZ160" s="191"/>
      <c r="BA160" s="191"/>
      <c r="BB160" s="254" t="str">
        <f>IF(COUNTBLANK(AX160:BA160)=4,"",SUM(AX160:AZ160)+IF(Setup!$I$15="No",0,BA160))</f>
        <v/>
      </c>
      <c r="BC160" s="258" t="str">
        <f ca="1">IF('Demand background (hide)'!A151=Num_Modalities,"",SUM(Demand!I160))</f>
        <v/>
      </c>
      <c r="BD160" s="258" t="str">
        <f ca="1">IF(AND(A160&lt;=MaxRows,BE160&lt;&gt;"Yes"),'Demand background (hide)'!X151+IF(Setup!$I$15="Yes",'Demand background (hide)'!AJ151,0),"")</f>
        <v/>
      </c>
      <c r="BE160" s="208"/>
    </row>
    <row r="161" spans="1:57" ht="15" x14ac:dyDescent="0.25">
      <c r="A161" t="str">
        <f t="shared" ca="1" si="8"/>
        <v/>
      </c>
      <c r="B161" s="263" t="str">
        <f t="shared" ca="1" si="9"/>
        <v xml:space="preserve"> </v>
      </c>
      <c r="C161" s="264" t="str">
        <f t="shared" ca="1" si="10"/>
        <v/>
      </c>
      <c r="D161" s="264" t="str">
        <f t="shared" ca="1" si="11"/>
        <v/>
      </c>
      <c r="E161" s="191"/>
      <c r="F161" s="191"/>
      <c r="G161" s="191"/>
      <c r="H161" s="191"/>
      <c r="I161" s="250" t="str">
        <f>IF(COUNTBLANK(E161:H161)=4,"",SUM(E161:G161)+IF(Setup!$I$15="No",0,H161))</f>
        <v/>
      </c>
      <c r="J161" s="191"/>
      <c r="K161" s="191"/>
      <c r="L161" s="191"/>
      <c r="M161" s="191"/>
      <c r="N161" s="254" t="str">
        <f>IF(COUNTBLANK(J161:M161)=4,"",SUM(J161:L161)+IF(Setup!$I$15="No",0,M161))</f>
        <v/>
      </c>
      <c r="O161" s="191"/>
      <c r="P161" s="191"/>
      <c r="Q161" s="191"/>
      <c r="R161" s="191"/>
      <c r="S161" s="254" t="str">
        <f>IF(COUNTBLANK(O161:R161)=4,"",SUM(O161:Q161)+IF(Setup!$I$15="No",0,R161))</f>
        <v/>
      </c>
      <c r="T161" s="191"/>
      <c r="U161" s="191"/>
      <c r="V161" s="191"/>
      <c r="W161" s="191"/>
      <c r="X161" s="254" t="str">
        <f>IF(COUNTBLANK(T161:W161)=4,"",SUM(T161:V161)+IF(Setup!$I$15="No",0,W161))</f>
        <v/>
      </c>
      <c r="Y161" s="191"/>
      <c r="Z161" s="191"/>
      <c r="AA161" s="191"/>
      <c r="AB161" s="191"/>
      <c r="AC161" s="254" t="str">
        <f>IF(COUNTBLANK(Y161:AB161)=4,"",SUM(Y161:AA161)+IF(Setup!$I$15="No",0,AB161))</f>
        <v/>
      </c>
      <c r="AD161" s="191"/>
      <c r="AE161" s="191"/>
      <c r="AF161" s="191"/>
      <c r="AG161" s="191"/>
      <c r="AH161" s="254" t="str">
        <f>IF(COUNTBLANK(AD161:AG161)=4,"",SUM(AD161:AF161)+IF(Setup!$I$15="No",0,AG161))</f>
        <v/>
      </c>
      <c r="AI161" s="191"/>
      <c r="AJ161" s="191"/>
      <c r="AK161" s="191"/>
      <c r="AL161" s="191"/>
      <c r="AM161" s="254" t="str">
        <f>IF(COUNTBLANK(AI161:AL161)=4,"",SUM(AI161:AK161)+IF(Setup!$I$15="No",0,AL161))</f>
        <v/>
      </c>
      <c r="AN161" s="191"/>
      <c r="AO161" s="191"/>
      <c r="AP161" s="191"/>
      <c r="AQ161" s="191"/>
      <c r="AR161" s="254" t="str">
        <f>IF(COUNTBLANK(AN161:AQ161)=4,"",SUM(AN161:AP161)+IF(Setup!$I$15="No",0,AQ161))</f>
        <v/>
      </c>
      <c r="AS161" s="191"/>
      <c r="AT161" s="191"/>
      <c r="AU161" s="191"/>
      <c r="AV161" s="191"/>
      <c r="AW161" s="254" t="str">
        <f>IF(COUNTBLANK(AS161:AV161)=4,"",SUM(AS161:AU161)+IF(Setup!$I$15="No",0,AV161))</f>
        <v/>
      </c>
      <c r="AX161" s="191"/>
      <c r="AY161" s="191"/>
      <c r="AZ161" s="191"/>
      <c r="BA161" s="191"/>
      <c r="BB161" s="254" t="str">
        <f>IF(COUNTBLANK(AX161:BA161)=4,"",SUM(AX161:AZ161)+IF(Setup!$I$15="No",0,BA161))</f>
        <v/>
      </c>
      <c r="BC161" s="258" t="str">
        <f ca="1">IF('Demand background (hide)'!A152=Num_Modalities,"",SUM(Demand!I161))</f>
        <v/>
      </c>
      <c r="BD161" s="258" t="str">
        <f ca="1">IF(AND(A161&lt;=MaxRows,BE161&lt;&gt;"Yes"),'Demand background (hide)'!X152+IF(Setup!$I$15="Yes",'Demand background (hide)'!AJ152,0),"")</f>
        <v/>
      </c>
      <c r="BE161" s="208"/>
    </row>
    <row r="162" spans="1:57" ht="15" x14ac:dyDescent="0.25">
      <c r="A162" t="str">
        <f t="shared" ca="1" si="8"/>
        <v/>
      </c>
      <c r="B162" s="263" t="str">
        <f t="shared" ca="1" si="9"/>
        <v xml:space="preserve"> </v>
      </c>
      <c r="C162" s="264" t="str">
        <f t="shared" ca="1" si="10"/>
        <v/>
      </c>
      <c r="D162" s="264" t="str">
        <f t="shared" ca="1" si="11"/>
        <v/>
      </c>
      <c r="E162" s="191"/>
      <c r="F162" s="191"/>
      <c r="G162" s="191"/>
      <c r="H162" s="191"/>
      <c r="I162" s="250" t="str">
        <f>IF(COUNTBLANK(E162:H162)=4,"",SUM(E162:G162)+IF(Setup!$I$15="No",0,H162))</f>
        <v/>
      </c>
      <c r="J162" s="191"/>
      <c r="K162" s="191"/>
      <c r="L162" s="191"/>
      <c r="M162" s="191"/>
      <c r="N162" s="254" t="str">
        <f>IF(COUNTBLANK(J162:M162)=4,"",SUM(J162:L162)+IF(Setup!$I$15="No",0,M162))</f>
        <v/>
      </c>
      <c r="O162" s="191"/>
      <c r="P162" s="191"/>
      <c r="Q162" s="191"/>
      <c r="R162" s="191"/>
      <c r="S162" s="254" t="str">
        <f>IF(COUNTBLANK(O162:R162)=4,"",SUM(O162:Q162)+IF(Setup!$I$15="No",0,R162))</f>
        <v/>
      </c>
      <c r="T162" s="191"/>
      <c r="U162" s="191"/>
      <c r="V162" s="191"/>
      <c r="W162" s="191"/>
      <c r="X162" s="254" t="str">
        <f>IF(COUNTBLANK(T162:W162)=4,"",SUM(T162:V162)+IF(Setup!$I$15="No",0,W162))</f>
        <v/>
      </c>
      <c r="Y162" s="191"/>
      <c r="Z162" s="191"/>
      <c r="AA162" s="191"/>
      <c r="AB162" s="191"/>
      <c r="AC162" s="254" t="str">
        <f>IF(COUNTBLANK(Y162:AB162)=4,"",SUM(Y162:AA162)+IF(Setup!$I$15="No",0,AB162))</f>
        <v/>
      </c>
      <c r="AD162" s="191"/>
      <c r="AE162" s="191"/>
      <c r="AF162" s="191"/>
      <c r="AG162" s="191"/>
      <c r="AH162" s="254" t="str">
        <f>IF(COUNTBLANK(AD162:AG162)=4,"",SUM(AD162:AF162)+IF(Setup!$I$15="No",0,AG162))</f>
        <v/>
      </c>
      <c r="AI162" s="191"/>
      <c r="AJ162" s="191"/>
      <c r="AK162" s="191"/>
      <c r="AL162" s="191"/>
      <c r="AM162" s="254" t="str">
        <f>IF(COUNTBLANK(AI162:AL162)=4,"",SUM(AI162:AK162)+IF(Setup!$I$15="No",0,AL162))</f>
        <v/>
      </c>
      <c r="AN162" s="191"/>
      <c r="AO162" s="191"/>
      <c r="AP162" s="191"/>
      <c r="AQ162" s="191"/>
      <c r="AR162" s="254" t="str">
        <f>IF(COUNTBLANK(AN162:AQ162)=4,"",SUM(AN162:AP162)+IF(Setup!$I$15="No",0,AQ162))</f>
        <v/>
      </c>
      <c r="AS162" s="191"/>
      <c r="AT162" s="191"/>
      <c r="AU162" s="191"/>
      <c r="AV162" s="191"/>
      <c r="AW162" s="254" t="str">
        <f>IF(COUNTBLANK(AS162:AV162)=4,"",SUM(AS162:AU162)+IF(Setup!$I$15="No",0,AV162))</f>
        <v/>
      </c>
      <c r="AX162" s="191"/>
      <c r="AY162" s="191"/>
      <c r="AZ162" s="191"/>
      <c r="BA162" s="191"/>
      <c r="BB162" s="254" t="str">
        <f>IF(COUNTBLANK(AX162:BA162)=4,"",SUM(AX162:AZ162)+IF(Setup!$I$15="No",0,BA162))</f>
        <v/>
      </c>
      <c r="BC162" s="258" t="str">
        <f ca="1">IF('Demand background (hide)'!A153=Num_Modalities,"",SUM(Demand!I162))</f>
        <v/>
      </c>
      <c r="BD162" s="258" t="str">
        <f ca="1">IF(AND(A162&lt;=MaxRows,BE162&lt;&gt;"Yes"),'Demand background (hide)'!X153+IF(Setup!$I$15="Yes",'Demand background (hide)'!AJ153,0),"")</f>
        <v/>
      </c>
      <c r="BE162" s="208"/>
    </row>
    <row r="163" spans="1:57" ht="15" x14ac:dyDescent="0.25">
      <c r="A163" t="str">
        <f t="shared" ca="1" si="8"/>
        <v/>
      </c>
      <c r="B163" s="263" t="str">
        <f t="shared" ca="1" si="9"/>
        <v xml:space="preserve"> </v>
      </c>
      <c r="C163" s="264" t="str">
        <f t="shared" ca="1" si="10"/>
        <v/>
      </c>
      <c r="D163" s="264" t="str">
        <f t="shared" ca="1" si="11"/>
        <v/>
      </c>
      <c r="E163" s="191"/>
      <c r="F163" s="191"/>
      <c r="G163" s="191"/>
      <c r="H163" s="191"/>
      <c r="I163" s="250" t="str">
        <f>IF(COUNTBLANK(E163:H163)=4,"",SUM(E163:G163)+IF(Setup!$I$15="No",0,H163))</f>
        <v/>
      </c>
      <c r="J163" s="191"/>
      <c r="K163" s="191"/>
      <c r="L163" s="191"/>
      <c r="M163" s="191"/>
      <c r="N163" s="254" t="str">
        <f>IF(COUNTBLANK(J163:M163)=4,"",SUM(J163:L163)+IF(Setup!$I$15="No",0,M163))</f>
        <v/>
      </c>
      <c r="O163" s="191"/>
      <c r="P163" s="191"/>
      <c r="Q163" s="191"/>
      <c r="R163" s="191"/>
      <c r="S163" s="254" t="str">
        <f>IF(COUNTBLANK(O163:R163)=4,"",SUM(O163:Q163)+IF(Setup!$I$15="No",0,R163))</f>
        <v/>
      </c>
      <c r="T163" s="191"/>
      <c r="U163" s="191"/>
      <c r="V163" s="191"/>
      <c r="W163" s="191"/>
      <c r="X163" s="254" t="str">
        <f>IF(COUNTBLANK(T163:W163)=4,"",SUM(T163:V163)+IF(Setup!$I$15="No",0,W163))</f>
        <v/>
      </c>
      <c r="Y163" s="191"/>
      <c r="Z163" s="191"/>
      <c r="AA163" s="191"/>
      <c r="AB163" s="191"/>
      <c r="AC163" s="254" t="str">
        <f>IF(COUNTBLANK(Y163:AB163)=4,"",SUM(Y163:AA163)+IF(Setup!$I$15="No",0,AB163))</f>
        <v/>
      </c>
      <c r="AD163" s="191"/>
      <c r="AE163" s="191"/>
      <c r="AF163" s="191"/>
      <c r="AG163" s="191"/>
      <c r="AH163" s="254" t="str">
        <f>IF(COUNTBLANK(AD163:AG163)=4,"",SUM(AD163:AF163)+IF(Setup!$I$15="No",0,AG163))</f>
        <v/>
      </c>
      <c r="AI163" s="191"/>
      <c r="AJ163" s="191"/>
      <c r="AK163" s="191"/>
      <c r="AL163" s="191"/>
      <c r="AM163" s="254" t="str">
        <f>IF(COUNTBLANK(AI163:AL163)=4,"",SUM(AI163:AK163)+IF(Setup!$I$15="No",0,AL163))</f>
        <v/>
      </c>
      <c r="AN163" s="191"/>
      <c r="AO163" s="191"/>
      <c r="AP163" s="191"/>
      <c r="AQ163" s="191"/>
      <c r="AR163" s="254" t="str">
        <f>IF(COUNTBLANK(AN163:AQ163)=4,"",SUM(AN163:AP163)+IF(Setup!$I$15="No",0,AQ163))</f>
        <v/>
      </c>
      <c r="AS163" s="191"/>
      <c r="AT163" s="191"/>
      <c r="AU163" s="191"/>
      <c r="AV163" s="191"/>
      <c r="AW163" s="254" t="str">
        <f>IF(COUNTBLANK(AS163:AV163)=4,"",SUM(AS163:AU163)+IF(Setup!$I$15="No",0,AV163))</f>
        <v/>
      </c>
      <c r="AX163" s="191"/>
      <c r="AY163" s="191"/>
      <c r="AZ163" s="191"/>
      <c r="BA163" s="191"/>
      <c r="BB163" s="254" t="str">
        <f>IF(COUNTBLANK(AX163:BA163)=4,"",SUM(AX163:AZ163)+IF(Setup!$I$15="No",0,BA163))</f>
        <v/>
      </c>
      <c r="BC163" s="258" t="str">
        <f ca="1">IF('Demand background (hide)'!A154=Num_Modalities,"",SUM(Demand!I163))</f>
        <v/>
      </c>
      <c r="BD163" s="258" t="str">
        <f ca="1">IF(AND(A163&lt;=MaxRows,BE163&lt;&gt;"Yes"),'Demand background (hide)'!X154+IF(Setup!$I$15="Yes",'Demand background (hide)'!AJ154,0),"")</f>
        <v/>
      </c>
      <c r="BE163" s="208"/>
    </row>
    <row r="164" spans="1:57" ht="15" x14ac:dyDescent="0.25">
      <c r="A164" t="str">
        <f t="shared" ca="1" si="8"/>
        <v/>
      </c>
      <c r="B164" s="263" t="str">
        <f t="shared" ca="1" si="9"/>
        <v xml:space="preserve"> </v>
      </c>
      <c r="C164" s="264" t="str">
        <f t="shared" ca="1" si="10"/>
        <v/>
      </c>
      <c r="D164" s="264" t="str">
        <f t="shared" ca="1" si="11"/>
        <v/>
      </c>
      <c r="E164" s="191"/>
      <c r="F164" s="191"/>
      <c r="G164" s="191"/>
      <c r="H164" s="191"/>
      <c r="I164" s="250" t="str">
        <f>IF(COUNTBLANK(E164:H164)=4,"",SUM(E164:G164)+IF(Setup!$I$15="No",0,H164))</f>
        <v/>
      </c>
      <c r="J164" s="191"/>
      <c r="K164" s="191"/>
      <c r="L164" s="191"/>
      <c r="M164" s="191"/>
      <c r="N164" s="254" t="str">
        <f>IF(COUNTBLANK(J164:M164)=4,"",SUM(J164:L164)+IF(Setup!$I$15="No",0,M164))</f>
        <v/>
      </c>
      <c r="O164" s="191"/>
      <c r="P164" s="191"/>
      <c r="Q164" s="191"/>
      <c r="R164" s="191"/>
      <c r="S164" s="254" t="str">
        <f>IF(COUNTBLANK(O164:R164)=4,"",SUM(O164:Q164)+IF(Setup!$I$15="No",0,R164))</f>
        <v/>
      </c>
      <c r="T164" s="191"/>
      <c r="U164" s="191"/>
      <c r="V164" s="191"/>
      <c r="W164" s="191"/>
      <c r="X164" s="254" t="str">
        <f>IF(COUNTBLANK(T164:W164)=4,"",SUM(T164:V164)+IF(Setup!$I$15="No",0,W164))</f>
        <v/>
      </c>
      <c r="Y164" s="191"/>
      <c r="Z164" s="191"/>
      <c r="AA164" s="191"/>
      <c r="AB164" s="191"/>
      <c r="AC164" s="254" t="str">
        <f>IF(COUNTBLANK(Y164:AB164)=4,"",SUM(Y164:AA164)+IF(Setup!$I$15="No",0,AB164))</f>
        <v/>
      </c>
      <c r="AD164" s="191"/>
      <c r="AE164" s="191"/>
      <c r="AF164" s="191"/>
      <c r="AG164" s="191"/>
      <c r="AH164" s="254" t="str">
        <f>IF(COUNTBLANK(AD164:AG164)=4,"",SUM(AD164:AF164)+IF(Setup!$I$15="No",0,AG164))</f>
        <v/>
      </c>
      <c r="AI164" s="191"/>
      <c r="AJ164" s="191"/>
      <c r="AK164" s="191"/>
      <c r="AL164" s="191"/>
      <c r="AM164" s="254" t="str">
        <f>IF(COUNTBLANK(AI164:AL164)=4,"",SUM(AI164:AK164)+IF(Setup!$I$15="No",0,AL164))</f>
        <v/>
      </c>
      <c r="AN164" s="191"/>
      <c r="AO164" s="191"/>
      <c r="AP164" s="191"/>
      <c r="AQ164" s="191"/>
      <c r="AR164" s="254" t="str">
        <f>IF(COUNTBLANK(AN164:AQ164)=4,"",SUM(AN164:AP164)+IF(Setup!$I$15="No",0,AQ164))</f>
        <v/>
      </c>
      <c r="AS164" s="191"/>
      <c r="AT164" s="191"/>
      <c r="AU164" s="191"/>
      <c r="AV164" s="191"/>
      <c r="AW164" s="254" t="str">
        <f>IF(COUNTBLANK(AS164:AV164)=4,"",SUM(AS164:AU164)+IF(Setup!$I$15="No",0,AV164))</f>
        <v/>
      </c>
      <c r="AX164" s="191"/>
      <c r="AY164" s="191"/>
      <c r="AZ164" s="191"/>
      <c r="BA164" s="191"/>
      <c r="BB164" s="254" t="str">
        <f>IF(COUNTBLANK(AX164:BA164)=4,"",SUM(AX164:AZ164)+IF(Setup!$I$15="No",0,BA164))</f>
        <v/>
      </c>
      <c r="BC164" s="258" t="str">
        <f ca="1">IF('Demand background (hide)'!A155=Num_Modalities,"",SUM(Demand!I164))</f>
        <v/>
      </c>
      <c r="BD164" s="258" t="str">
        <f ca="1">IF(AND(A164&lt;=MaxRows,BE164&lt;&gt;"Yes"),'Demand background (hide)'!X155+IF(Setup!$I$15="Yes",'Demand background (hide)'!AJ155,0),"")</f>
        <v/>
      </c>
      <c r="BE164" s="208"/>
    </row>
    <row r="165" spans="1:57" ht="15" x14ac:dyDescent="0.25">
      <c r="A165" t="str">
        <f t="shared" ca="1" si="8"/>
        <v/>
      </c>
      <c r="B165" s="263" t="str">
        <f t="shared" ca="1" si="9"/>
        <v xml:space="preserve"> </v>
      </c>
      <c r="C165" s="264" t="str">
        <f t="shared" ca="1" si="10"/>
        <v/>
      </c>
      <c r="D165" s="264" t="str">
        <f t="shared" ca="1" si="11"/>
        <v/>
      </c>
      <c r="E165" s="191"/>
      <c r="F165" s="191"/>
      <c r="G165" s="191"/>
      <c r="H165" s="191"/>
      <c r="I165" s="250" t="str">
        <f>IF(COUNTBLANK(E165:H165)=4,"",SUM(E165:G165)+IF(Setup!$I$15="No",0,H165))</f>
        <v/>
      </c>
      <c r="J165" s="191"/>
      <c r="K165" s="191"/>
      <c r="L165" s="191"/>
      <c r="M165" s="191"/>
      <c r="N165" s="254" t="str">
        <f>IF(COUNTBLANK(J165:M165)=4,"",SUM(J165:L165)+IF(Setup!$I$15="No",0,M165))</f>
        <v/>
      </c>
      <c r="O165" s="191"/>
      <c r="P165" s="191"/>
      <c r="Q165" s="191"/>
      <c r="R165" s="191"/>
      <c r="S165" s="254" t="str">
        <f>IF(COUNTBLANK(O165:R165)=4,"",SUM(O165:Q165)+IF(Setup!$I$15="No",0,R165))</f>
        <v/>
      </c>
      <c r="T165" s="191"/>
      <c r="U165" s="191"/>
      <c r="V165" s="191"/>
      <c r="W165" s="191"/>
      <c r="X165" s="254" t="str">
        <f>IF(COUNTBLANK(T165:W165)=4,"",SUM(T165:V165)+IF(Setup!$I$15="No",0,W165))</f>
        <v/>
      </c>
      <c r="Y165" s="191"/>
      <c r="Z165" s="191"/>
      <c r="AA165" s="191"/>
      <c r="AB165" s="191"/>
      <c r="AC165" s="254" t="str">
        <f>IF(COUNTBLANK(Y165:AB165)=4,"",SUM(Y165:AA165)+IF(Setup!$I$15="No",0,AB165))</f>
        <v/>
      </c>
      <c r="AD165" s="191"/>
      <c r="AE165" s="191"/>
      <c r="AF165" s="191"/>
      <c r="AG165" s="191"/>
      <c r="AH165" s="254" t="str">
        <f>IF(COUNTBLANK(AD165:AG165)=4,"",SUM(AD165:AF165)+IF(Setup!$I$15="No",0,AG165))</f>
        <v/>
      </c>
      <c r="AI165" s="191"/>
      <c r="AJ165" s="191"/>
      <c r="AK165" s="191"/>
      <c r="AL165" s="191"/>
      <c r="AM165" s="254" t="str">
        <f>IF(COUNTBLANK(AI165:AL165)=4,"",SUM(AI165:AK165)+IF(Setup!$I$15="No",0,AL165))</f>
        <v/>
      </c>
      <c r="AN165" s="191"/>
      <c r="AO165" s="191"/>
      <c r="AP165" s="191"/>
      <c r="AQ165" s="191"/>
      <c r="AR165" s="254" t="str">
        <f>IF(COUNTBLANK(AN165:AQ165)=4,"",SUM(AN165:AP165)+IF(Setup!$I$15="No",0,AQ165))</f>
        <v/>
      </c>
      <c r="AS165" s="191"/>
      <c r="AT165" s="191"/>
      <c r="AU165" s="191"/>
      <c r="AV165" s="191"/>
      <c r="AW165" s="254" t="str">
        <f>IF(COUNTBLANK(AS165:AV165)=4,"",SUM(AS165:AU165)+IF(Setup!$I$15="No",0,AV165))</f>
        <v/>
      </c>
      <c r="AX165" s="191"/>
      <c r="AY165" s="191"/>
      <c r="AZ165" s="191"/>
      <c r="BA165" s="191"/>
      <c r="BB165" s="254" t="str">
        <f>IF(COUNTBLANK(AX165:BA165)=4,"",SUM(AX165:AZ165)+IF(Setup!$I$15="No",0,BA165))</f>
        <v/>
      </c>
      <c r="BC165" s="258" t="str">
        <f ca="1">IF('Demand background (hide)'!A156=Num_Modalities,"",SUM(Demand!I165))</f>
        <v/>
      </c>
      <c r="BD165" s="258" t="str">
        <f ca="1">IF(AND(A165&lt;=MaxRows,BE165&lt;&gt;"Yes"),'Demand background (hide)'!X156+IF(Setup!$I$15="Yes",'Demand background (hide)'!AJ156,0),"")</f>
        <v/>
      </c>
      <c r="BE165" s="208"/>
    </row>
    <row r="166" spans="1:57" ht="15" x14ac:dyDescent="0.25">
      <c r="A166" t="str">
        <f t="shared" ca="1" si="8"/>
        <v/>
      </c>
      <c r="B166" s="263" t="str">
        <f t="shared" ca="1" si="9"/>
        <v xml:space="preserve"> </v>
      </c>
      <c r="C166" s="264" t="str">
        <f t="shared" ca="1" si="10"/>
        <v/>
      </c>
      <c r="D166" s="264" t="str">
        <f t="shared" ca="1" si="11"/>
        <v/>
      </c>
      <c r="E166" s="191"/>
      <c r="F166" s="191"/>
      <c r="G166" s="191"/>
      <c r="H166" s="191"/>
      <c r="I166" s="250" t="str">
        <f>IF(COUNTBLANK(E166:H166)=4,"",SUM(E166:G166)+IF(Setup!$I$15="No",0,H166))</f>
        <v/>
      </c>
      <c r="J166" s="191"/>
      <c r="K166" s="191"/>
      <c r="L166" s="191"/>
      <c r="M166" s="191"/>
      <c r="N166" s="254" t="str">
        <f>IF(COUNTBLANK(J166:M166)=4,"",SUM(J166:L166)+IF(Setup!$I$15="No",0,M166))</f>
        <v/>
      </c>
      <c r="O166" s="191"/>
      <c r="P166" s="191"/>
      <c r="Q166" s="191"/>
      <c r="R166" s="191"/>
      <c r="S166" s="254" t="str">
        <f>IF(COUNTBLANK(O166:R166)=4,"",SUM(O166:Q166)+IF(Setup!$I$15="No",0,R166))</f>
        <v/>
      </c>
      <c r="T166" s="191"/>
      <c r="U166" s="191"/>
      <c r="V166" s="191"/>
      <c r="W166" s="191"/>
      <c r="X166" s="254" t="str">
        <f>IF(COUNTBLANK(T166:W166)=4,"",SUM(T166:V166)+IF(Setup!$I$15="No",0,W166))</f>
        <v/>
      </c>
      <c r="Y166" s="191"/>
      <c r="Z166" s="191"/>
      <c r="AA166" s="191"/>
      <c r="AB166" s="191"/>
      <c r="AC166" s="254" t="str">
        <f>IF(COUNTBLANK(Y166:AB166)=4,"",SUM(Y166:AA166)+IF(Setup!$I$15="No",0,AB166))</f>
        <v/>
      </c>
      <c r="AD166" s="191"/>
      <c r="AE166" s="191"/>
      <c r="AF166" s="191"/>
      <c r="AG166" s="191"/>
      <c r="AH166" s="254" t="str">
        <f>IF(COUNTBLANK(AD166:AG166)=4,"",SUM(AD166:AF166)+IF(Setup!$I$15="No",0,AG166))</f>
        <v/>
      </c>
      <c r="AI166" s="191"/>
      <c r="AJ166" s="191"/>
      <c r="AK166" s="191"/>
      <c r="AL166" s="191"/>
      <c r="AM166" s="254" t="str">
        <f>IF(COUNTBLANK(AI166:AL166)=4,"",SUM(AI166:AK166)+IF(Setup!$I$15="No",0,AL166))</f>
        <v/>
      </c>
      <c r="AN166" s="191"/>
      <c r="AO166" s="191"/>
      <c r="AP166" s="191"/>
      <c r="AQ166" s="191"/>
      <c r="AR166" s="254" t="str">
        <f>IF(COUNTBLANK(AN166:AQ166)=4,"",SUM(AN166:AP166)+IF(Setup!$I$15="No",0,AQ166))</f>
        <v/>
      </c>
      <c r="AS166" s="191"/>
      <c r="AT166" s="191"/>
      <c r="AU166" s="191"/>
      <c r="AV166" s="191"/>
      <c r="AW166" s="254" t="str">
        <f>IF(COUNTBLANK(AS166:AV166)=4,"",SUM(AS166:AU166)+IF(Setup!$I$15="No",0,AV166))</f>
        <v/>
      </c>
      <c r="AX166" s="191"/>
      <c r="AY166" s="191"/>
      <c r="AZ166" s="191"/>
      <c r="BA166" s="191"/>
      <c r="BB166" s="254" t="str">
        <f>IF(COUNTBLANK(AX166:BA166)=4,"",SUM(AX166:AZ166)+IF(Setup!$I$15="No",0,BA166))</f>
        <v/>
      </c>
      <c r="BC166" s="258" t="str">
        <f ca="1">IF('Demand background (hide)'!A157=Num_Modalities,"",SUM(Demand!I166))</f>
        <v/>
      </c>
      <c r="BD166" s="258" t="str">
        <f ca="1">IF(AND(A166&lt;=MaxRows,BE166&lt;&gt;"Yes"),'Demand background (hide)'!X157+IF(Setup!$I$15="Yes",'Demand background (hide)'!AJ157,0),"")</f>
        <v/>
      </c>
      <c r="BE166" s="208"/>
    </row>
    <row r="167" spans="1:57" ht="15" x14ac:dyDescent="0.25">
      <c r="A167" t="str">
        <f t="shared" ca="1" si="8"/>
        <v/>
      </c>
      <c r="B167" s="263" t="str">
        <f t="shared" ca="1" si="9"/>
        <v xml:space="preserve"> </v>
      </c>
      <c r="C167" s="264" t="str">
        <f t="shared" ca="1" si="10"/>
        <v/>
      </c>
      <c r="D167" s="264" t="str">
        <f t="shared" ca="1" si="11"/>
        <v/>
      </c>
      <c r="E167" s="191"/>
      <c r="F167" s="191"/>
      <c r="G167" s="191"/>
      <c r="H167" s="191"/>
      <c r="I167" s="250" t="str">
        <f>IF(COUNTBLANK(E167:H167)=4,"",SUM(E167:G167)+IF(Setup!$I$15="No",0,H167))</f>
        <v/>
      </c>
      <c r="J167" s="191"/>
      <c r="K167" s="191"/>
      <c r="L167" s="191"/>
      <c r="M167" s="191"/>
      <c r="N167" s="254" t="str">
        <f>IF(COUNTBLANK(J167:M167)=4,"",SUM(J167:L167)+IF(Setup!$I$15="No",0,M167))</f>
        <v/>
      </c>
      <c r="O167" s="191"/>
      <c r="P167" s="191"/>
      <c r="Q167" s="191"/>
      <c r="R167" s="191"/>
      <c r="S167" s="254" t="str">
        <f>IF(COUNTBLANK(O167:R167)=4,"",SUM(O167:Q167)+IF(Setup!$I$15="No",0,R167))</f>
        <v/>
      </c>
      <c r="T167" s="191"/>
      <c r="U167" s="191"/>
      <c r="V167" s="191"/>
      <c r="W167" s="191"/>
      <c r="X167" s="254" t="str">
        <f>IF(COUNTBLANK(T167:W167)=4,"",SUM(T167:V167)+IF(Setup!$I$15="No",0,W167))</f>
        <v/>
      </c>
      <c r="Y167" s="191"/>
      <c r="Z167" s="191"/>
      <c r="AA167" s="191"/>
      <c r="AB167" s="191"/>
      <c r="AC167" s="254" t="str">
        <f>IF(COUNTBLANK(Y167:AB167)=4,"",SUM(Y167:AA167)+IF(Setup!$I$15="No",0,AB167))</f>
        <v/>
      </c>
      <c r="AD167" s="191"/>
      <c r="AE167" s="191"/>
      <c r="AF167" s="191"/>
      <c r="AG167" s="191"/>
      <c r="AH167" s="254" t="str">
        <f>IF(COUNTBLANK(AD167:AG167)=4,"",SUM(AD167:AF167)+IF(Setup!$I$15="No",0,AG167))</f>
        <v/>
      </c>
      <c r="AI167" s="191"/>
      <c r="AJ167" s="191"/>
      <c r="AK167" s="191"/>
      <c r="AL167" s="191"/>
      <c r="AM167" s="254" t="str">
        <f>IF(COUNTBLANK(AI167:AL167)=4,"",SUM(AI167:AK167)+IF(Setup!$I$15="No",0,AL167))</f>
        <v/>
      </c>
      <c r="AN167" s="191"/>
      <c r="AO167" s="191"/>
      <c r="AP167" s="191"/>
      <c r="AQ167" s="191"/>
      <c r="AR167" s="254" t="str">
        <f>IF(COUNTBLANK(AN167:AQ167)=4,"",SUM(AN167:AP167)+IF(Setup!$I$15="No",0,AQ167))</f>
        <v/>
      </c>
      <c r="AS167" s="191"/>
      <c r="AT167" s="191"/>
      <c r="AU167" s="191"/>
      <c r="AV167" s="191"/>
      <c r="AW167" s="254" t="str">
        <f>IF(COUNTBLANK(AS167:AV167)=4,"",SUM(AS167:AU167)+IF(Setup!$I$15="No",0,AV167))</f>
        <v/>
      </c>
      <c r="AX167" s="191"/>
      <c r="AY167" s="191"/>
      <c r="AZ167" s="191"/>
      <c r="BA167" s="191"/>
      <c r="BB167" s="254" t="str">
        <f>IF(COUNTBLANK(AX167:BA167)=4,"",SUM(AX167:AZ167)+IF(Setup!$I$15="No",0,BA167))</f>
        <v/>
      </c>
      <c r="BC167" s="258" t="str">
        <f ca="1">IF('Demand background (hide)'!A158=Num_Modalities,"",SUM(Demand!I167))</f>
        <v/>
      </c>
      <c r="BD167" s="258" t="str">
        <f ca="1">IF(AND(A167&lt;=MaxRows,BE167&lt;&gt;"Yes"),'Demand background (hide)'!X158+IF(Setup!$I$15="Yes",'Demand background (hide)'!AJ158,0),"")</f>
        <v/>
      </c>
      <c r="BE167" s="208"/>
    </row>
    <row r="168" spans="1:57" ht="15" x14ac:dyDescent="0.25">
      <c r="A168" t="str">
        <f t="shared" ca="1" si="8"/>
        <v/>
      </c>
      <c r="B168" s="263" t="str">
        <f t="shared" ca="1" si="9"/>
        <v xml:space="preserve"> </v>
      </c>
      <c r="C168" s="264" t="str">
        <f t="shared" ca="1" si="10"/>
        <v/>
      </c>
      <c r="D168" s="264" t="str">
        <f t="shared" ca="1" si="11"/>
        <v/>
      </c>
      <c r="E168" s="191"/>
      <c r="F168" s="191"/>
      <c r="G168" s="191"/>
      <c r="H168" s="191"/>
      <c r="I168" s="250" t="str">
        <f>IF(COUNTBLANK(E168:H168)=4,"",SUM(E168:G168)+IF(Setup!$I$15="No",0,H168))</f>
        <v/>
      </c>
      <c r="J168" s="191"/>
      <c r="K168" s="191"/>
      <c r="L168" s="191"/>
      <c r="M168" s="191"/>
      <c r="N168" s="254" t="str">
        <f>IF(COUNTBLANK(J168:M168)=4,"",SUM(J168:L168)+IF(Setup!$I$15="No",0,M168))</f>
        <v/>
      </c>
      <c r="O168" s="191"/>
      <c r="P168" s="191"/>
      <c r="Q168" s="191"/>
      <c r="R168" s="191"/>
      <c r="S168" s="254" t="str">
        <f>IF(COUNTBLANK(O168:R168)=4,"",SUM(O168:Q168)+IF(Setup!$I$15="No",0,R168))</f>
        <v/>
      </c>
      <c r="T168" s="191"/>
      <c r="U168" s="191"/>
      <c r="V168" s="191"/>
      <c r="W168" s="191"/>
      <c r="X168" s="254" t="str">
        <f>IF(COUNTBLANK(T168:W168)=4,"",SUM(T168:V168)+IF(Setup!$I$15="No",0,W168))</f>
        <v/>
      </c>
      <c r="Y168" s="191"/>
      <c r="Z168" s="191"/>
      <c r="AA168" s="191"/>
      <c r="AB168" s="191"/>
      <c r="AC168" s="254" t="str">
        <f>IF(COUNTBLANK(Y168:AB168)=4,"",SUM(Y168:AA168)+IF(Setup!$I$15="No",0,AB168))</f>
        <v/>
      </c>
      <c r="AD168" s="191"/>
      <c r="AE168" s="191"/>
      <c r="AF168" s="191"/>
      <c r="AG168" s="191"/>
      <c r="AH168" s="254" t="str">
        <f>IF(COUNTBLANK(AD168:AG168)=4,"",SUM(AD168:AF168)+IF(Setup!$I$15="No",0,AG168))</f>
        <v/>
      </c>
      <c r="AI168" s="191"/>
      <c r="AJ168" s="191"/>
      <c r="AK168" s="191"/>
      <c r="AL168" s="191"/>
      <c r="AM168" s="254" t="str">
        <f>IF(COUNTBLANK(AI168:AL168)=4,"",SUM(AI168:AK168)+IF(Setup!$I$15="No",0,AL168))</f>
        <v/>
      </c>
      <c r="AN168" s="191"/>
      <c r="AO168" s="191"/>
      <c r="AP168" s="191"/>
      <c r="AQ168" s="191"/>
      <c r="AR168" s="254" t="str">
        <f>IF(COUNTBLANK(AN168:AQ168)=4,"",SUM(AN168:AP168)+IF(Setup!$I$15="No",0,AQ168))</f>
        <v/>
      </c>
      <c r="AS168" s="191"/>
      <c r="AT168" s="191"/>
      <c r="AU168" s="191"/>
      <c r="AV168" s="191"/>
      <c r="AW168" s="254" t="str">
        <f>IF(COUNTBLANK(AS168:AV168)=4,"",SUM(AS168:AU168)+IF(Setup!$I$15="No",0,AV168))</f>
        <v/>
      </c>
      <c r="AX168" s="191"/>
      <c r="AY168" s="191"/>
      <c r="AZ168" s="191"/>
      <c r="BA168" s="191"/>
      <c r="BB168" s="254" t="str">
        <f>IF(COUNTBLANK(AX168:BA168)=4,"",SUM(AX168:AZ168)+IF(Setup!$I$15="No",0,BA168))</f>
        <v/>
      </c>
      <c r="BC168" s="258" t="str">
        <f ca="1">IF('Demand background (hide)'!A159=Num_Modalities,"",SUM(Demand!I168))</f>
        <v/>
      </c>
      <c r="BD168" s="258" t="str">
        <f ca="1">IF(AND(A168&lt;=MaxRows,BE168&lt;&gt;"Yes"),'Demand background (hide)'!X159+IF(Setup!$I$15="Yes",'Demand background (hide)'!AJ159,0),"")</f>
        <v/>
      </c>
      <c r="BE168" s="208"/>
    </row>
    <row r="169" spans="1:57" ht="15" x14ac:dyDescent="0.25">
      <c r="A169" t="str">
        <f t="shared" ca="1" si="8"/>
        <v/>
      </c>
      <c r="B169" s="263" t="str">
        <f t="shared" ca="1" si="9"/>
        <v xml:space="preserve"> </v>
      </c>
      <c r="C169" s="264" t="str">
        <f t="shared" ca="1" si="10"/>
        <v/>
      </c>
      <c r="D169" s="264" t="str">
        <f t="shared" ca="1" si="11"/>
        <v/>
      </c>
      <c r="E169" s="191"/>
      <c r="F169" s="191"/>
      <c r="G169" s="191"/>
      <c r="H169" s="191"/>
      <c r="I169" s="250" t="str">
        <f>IF(COUNTBLANK(E169:H169)=4,"",SUM(E169:G169)+IF(Setup!$I$15="No",0,H169))</f>
        <v/>
      </c>
      <c r="J169" s="191"/>
      <c r="K169" s="191"/>
      <c r="L169" s="191"/>
      <c r="M169" s="191"/>
      <c r="N169" s="254" t="str">
        <f>IF(COUNTBLANK(J169:M169)=4,"",SUM(J169:L169)+IF(Setup!$I$15="No",0,M169))</f>
        <v/>
      </c>
      <c r="O169" s="191"/>
      <c r="P169" s="191"/>
      <c r="Q169" s="191"/>
      <c r="R169" s="191"/>
      <c r="S169" s="254" t="str">
        <f>IF(COUNTBLANK(O169:R169)=4,"",SUM(O169:Q169)+IF(Setup!$I$15="No",0,R169))</f>
        <v/>
      </c>
      <c r="T169" s="191"/>
      <c r="U169" s="191"/>
      <c r="V169" s="191"/>
      <c r="W169" s="191"/>
      <c r="X169" s="254" t="str">
        <f>IF(COUNTBLANK(T169:W169)=4,"",SUM(T169:V169)+IF(Setup!$I$15="No",0,W169))</f>
        <v/>
      </c>
      <c r="Y169" s="191"/>
      <c r="Z169" s="191"/>
      <c r="AA169" s="191"/>
      <c r="AB169" s="191"/>
      <c r="AC169" s="254" t="str">
        <f>IF(COUNTBLANK(Y169:AB169)=4,"",SUM(Y169:AA169)+IF(Setup!$I$15="No",0,AB169))</f>
        <v/>
      </c>
      <c r="AD169" s="191"/>
      <c r="AE169" s="191"/>
      <c r="AF169" s="191"/>
      <c r="AG169" s="191"/>
      <c r="AH169" s="254" t="str">
        <f>IF(COUNTBLANK(AD169:AG169)=4,"",SUM(AD169:AF169)+IF(Setup!$I$15="No",0,AG169))</f>
        <v/>
      </c>
      <c r="AI169" s="191"/>
      <c r="AJ169" s="191"/>
      <c r="AK169" s="191"/>
      <c r="AL169" s="191"/>
      <c r="AM169" s="254" t="str">
        <f>IF(COUNTBLANK(AI169:AL169)=4,"",SUM(AI169:AK169)+IF(Setup!$I$15="No",0,AL169))</f>
        <v/>
      </c>
      <c r="AN169" s="191"/>
      <c r="AO169" s="191"/>
      <c r="AP169" s="191"/>
      <c r="AQ169" s="191"/>
      <c r="AR169" s="254" t="str">
        <f>IF(COUNTBLANK(AN169:AQ169)=4,"",SUM(AN169:AP169)+IF(Setup!$I$15="No",0,AQ169))</f>
        <v/>
      </c>
      <c r="AS169" s="191"/>
      <c r="AT169" s="191"/>
      <c r="AU169" s="191"/>
      <c r="AV169" s="191"/>
      <c r="AW169" s="254" t="str">
        <f>IF(COUNTBLANK(AS169:AV169)=4,"",SUM(AS169:AU169)+IF(Setup!$I$15="No",0,AV169))</f>
        <v/>
      </c>
      <c r="AX169" s="191"/>
      <c r="AY169" s="191"/>
      <c r="AZ169" s="191"/>
      <c r="BA169" s="191"/>
      <c r="BB169" s="254" t="str">
        <f>IF(COUNTBLANK(AX169:BA169)=4,"",SUM(AX169:AZ169)+IF(Setup!$I$15="No",0,BA169))</f>
        <v/>
      </c>
      <c r="BC169" s="258" t="str">
        <f ca="1">IF('Demand background (hide)'!A160=Num_Modalities,"",SUM(Demand!I169))</f>
        <v/>
      </c>
      <c r="BD169" s="258" t="str">
        <f ca="1">IF(AND(A169&lt;=MaxRows,BE169&lt;&gt;"Yes"),'Demand background (hide)'!X160+IF(Setup!$I$15="Yes",'Demand background (hide)'!AJ160,0),"")</f>
        <v/>
      </c>
      <c r="BE169" s="208"/>
    </row>
    <row r="170" spans="1:57" ht="15" x14ac:dyDescent="0.25">
      <c r="A170" t="str">
        <f t="shared" ca="1" si="8"/>
        <v/>
      </c>
      <c r="B170" s="263" t="str">
        <f t="shared" ca="1" si="9"/>
        <v xml:space="preserve"> </v>
      </c>
      <c r="C170" s="264" t="str">
        <f t="shared" ca="1" si="10"/>
        <v/>
      </c>
      <c r="D170" s="264" t="str">
        <f t="shared" ca="1" si="11"/>
        <v/>
      </c>
      <c r="E170" s="191"/>
      <c r="F170" s="191"/>
      <c r="G170" s="191"/>
      <c r="H170" s="191"/>
      <c r="I170" s="250" t="str">
        <f>IF(COUNTBLANK(E170:H170)=4,"",SUM(E170:G170)+IF(Setup!$I$15="No",0,H170))</f>
        <v/>
      </c>
      <c r="J170" s="191"/>
      <c r="K170" s="191"/>
      <c r="L170" s="191"/>
      <c r="M170" s="191"/>
      <c r="N170" s="254" t="str">
        <f>IF(COUNTBLANK(J170:M170)=4,"",SUM(J170:L170)+IF(Setup!$I$15="No",0,M170))</f>
        <v/>
      </c>
      <c r="O170" s="191"/>
      <c r="P170" s="191"/>
      <c r="Q170" s="191"/>
      <c r="R170" s="191"/>
      <c r="S170" s="254" t="str">
        <f>IF(COUNTBLANK(O170:R170)=4,"",SUM(O170:Q170)+IF(Setup!$I$15="No",0,R170))</f>
        <v/>
      </c>
      <c r="T170" s="191"/>
      <c r="U170" s="191"/>
      <c r="V170" s="191"/>
      <c r="W170" s="191"/>
      <c r="X170" s="254" t="str">
        <f>IF(COUNTBLANK(T170:W170)=4,"",SUM(T170:V170)+IF(Setup!$I$15="No",0,W170))</f>
        <v/>
      </c>
      <c r="Y170" s="191"/>
      <c r="Z170" s="191"/>
      <c r="AA170" s="191"/>
      <c r="AB170" s="191"/>
      <c r="AC170" s="254" t="str">
        <f>IF(COUNTBLANK(Y170:AB170)=4,"",SUM(Y170:AA170)+IF(Setup!$I$15="No",0,AB170))</f>
        <v/>
      </c>
      <c r="AD170" s="191"/>
      <c r="AE170" s="191"/>
      <c r="AF170" s="191"/>
      <c r="AG170" s="191"/>
      <c r="AH170" s="254" t="str">
        <f>IF(COUNTBLANK(AD170:AG170)=4,"",SUM(AD170:AF170)+IF(Setup!$I$15="No",0,AG170))</f>
        <v/>
      </c>
      <c r="AI170" s="191"/>
      <c r="AJ170" s="191"/>
      <c r="AK170" s="191"/>
      <c r="AL170" s="191"/>
      <c r="AM170" s="254" t="str">
        <f>IF(COUNTBLANK(AI170:AL170)=4,"",SUM(AI170:AK170)+IF(Setup!$I$15="No",0,AL170))</f>
        <v/>
      </c>
      <c r="AN170" s="191"/>
      <c r="AO170" s="191"/>
      <c r="AP170" s="191"/>
      <c r="AQ170" s="191"/>
      <c r="AR170" s="254" t="str">
        <f>IF(COUNTBLANK(AN170:AQ170)=4,"",SUM(AN170:AP170)+IF(Setup!$I$15="No",0,AQ170))</f>
        <v/>
      </c>
      <c r="AS170" s="191"/>
      <c r="AT170" s="191"/>
      <c r="AU170" s="191"/>
      <c r="AV170" s="191"/>
      <c r="AW170" s="254" t="str">
        <f>IF(COUNTBLANK(AS170:AV170)=4,"",SUM(AS170:AU170)+IF(Setup!$I$15="No",0,AV170))</f>
        <v/>
      </c>
      <c r="AX170" s="191"/>
      <c r="AY170" s="191"/>
      <c r="AZ170" s="191"/>
      <c r="BA170" s="191"/>
      <c r="BB170" s="254" t="str">
        <f>IF(COUNTBLANK(AX170:BA170)=4,"",SUM(AX170:AZ170)+IF(Setup!$I$15="No",0,BA170))</f>
        <v/>
      </c>
      <c r="BC170" s="258" t="str">
        <f ca="1">IF('Demand background (hide)'!A161=Num_Modalities,"",SUM(Demand!I170))</f>
        <v/>
      </c>
      <c r="BD170" s="258" t="str">
        <f ca="1">IF(AND(A170&lt;=MaxRows,BE170&lt;&gt;"Yes"),'Demand background (hide)'!X161+IF(Setup!$I$15="Yes",'Demand background (hide)'!AJ161,0),"")</f>
        <v/>
      </c>
      <c r="BE170" s="208"/>
    </row>
    <row r="171" spans="1:57" ht="15" x14ac:dyDescent="0.25">
      <c r="A171" t="str">
        <f t="shared" ca="1" si="8"/>
        <v/>
      </c>
      <c r="B171" s="263" t="str">
        <f t="shared" ca="1" si="9"/>
        <v xml:space="preserve"> </v>
      </c>
      <c r="C171" s="264" t="str">
        <f t="shared" ca="1" si="10"/>
        <v/>
      </c>
      <c r="D171" s="264" t="str">
        <f t="shared" ca="1" si="11"/>
        <v/>
      </c>
      <c r="E171" s="191"/>
      <c r="F171" s="191"/>
      <c r="G171" s="191"/>
      <c r="H171" s="191"/>
      <c r="I171" s="250" t="str">
        <f>IF(COUNTBLANK(E171:H171)=4,"",SUM(E171:G171)+IF(Setup!$I$15="No",0,H171))</f>
        <v/>
      </c>
      <c r="J171" s="191"/>
      <c r="K171" s="191"/>
      <c r="L171" s="191"/>
      <c r="M171" s="191"/>
      <c r="N171" s="254" t="str">
        <f>IF(COUNTBLANK(J171:M171)=4,"",SUM(J171:L171)+IF(Setup!$I$15="No",0,M171))</f>
        <v/>
      </c>
      <c r="O171" s="191"/>
      <c r="P171" s="191"/>
      <c r="Q171" s="191"/>
      <c r="R171" s="191"/>
      <c r="S171" s="254" t="str">
        <f>IF(COUNTBLANK(O171:R171)=4,"",SUM(O171:Q171)+IF(Setup!$I$15="No",0,R171))</f>
        <v/>
      </c>
      <c r="T171" s="191"/>
      <c r="U171" s="191"/>
      <c r="V171" s="191"/>
      <c r="W171" s="191"/>
      <c r="X171" s="254" t="str">
        <f>IF(COUNTBLANK(T171:W171)=4,"",SUM(T171:V171)+IF(Setup!$I$15="No",0,W171))</f>
        <v/>
      </c>
      <c r="Y171" s="191"/>
      <c r="Z171" s="191"/>
      <c r="AA171" s="191"/>
      <c r="AB171" s="191"/>
      <c r="AC171" s="254" t="str">
        <f>IF(COUNTBLANK(Y171:AB171)=4,"",SUM(Y171:AA171)+IF(Setup!$I$15="No",0,AB171))</f>
        <v/>
      </c>
      <c r="AD171" s="191"/>
      <c r="AE171" s="191"/>
      <c r="AF171" s="191"/>
      <c r="AG171" s="191"/>
      <c r="AH171" s="254" t="str">
        <f>IF(COUNTBLANK(AD171:AG171)=4,"",SUM(AD171:AF171)+IF(Setup!$I$15="No",0,AG171))</f>
        <v/>
      </c>
      <c r="AI171" s="191"/>
      <c r="AJ171" s="191"/>
      <c r="AK171" s="191"/>
      <c r="AL171" s="191"/>
      <c r="AM171" s="254" t="str">
        <f>IF(COUNTBLANK(AI171:AL171)=4,"",SUM(AI171:AK171)+IF(Setup!$I$15="No",0,AL171))</f>
        <v/>
      </c>
      <c r="AN171" s="191"/>
      <c r="AO171" s="191"/>
      <c r="AP171" s="191"/>
      <c r="AQ171" s="191"/>
      <c r="AR171" s="254" t="str">
        <f>IF(COUNTBLANK(AN171:AQ171)=4,"",SUM(AN171:AP171)+IF(Setup!$I$15="No",0,AQ171))</f>
        <v/>
      </c>
      <c r="AS171" s="191"/>
      <c r="AT171" s="191"/>
      <c r="AU171" s="191"/>
      <c r="AV171" s="191"/>
      <c r="AW171" s="254" t="str">
        <f>IF(COUNTBLANK(AS171:AV171)=4,"",SUM(AS171:AU171)+IF(Setup!$I$15="No",0,AV171))</f>
        <v/>
      </c>
      <c r="AX171" s="191"/>
      <c r="AY171" s="191"/>
      <c r="AZ171" s="191"/>
      <c r="BA171" s="191"/>
      <c r="BB171" s="254" t="str">
        <f>IF(COUNTBLANK(AX171:BA171)=4,"",SUM(AX171:AZ171)+IF(Setup!$I$15="No",0,BA171))</f>
        <v/>
      </c>
      <c r="BC171" s="258" t="str">
        <f ca="1">IF('Demand background (hide)'!A162=Num_Modalities,"",SUM(Demand!I171))</f>
        <v/>
      </c>
      <c r="BD171" s="258" t="str">
        <f ca="1">IF(AND(A171&lt;=MaxRows,BE171&lt;&gt;"Yes"),'Demand background (hide)'!X162+IF(Setup!$I$15="Yes",'Demand background (hide)'!AJ162,0),"")</f>
        <v/>
      </c>
      <c r="BE171" s="208"/>
    </row>
    <row r="172" spans="1:57" ht="15" x14ac:dyDescent="0.25">
      <c r="A172" t="str">
        <f t="shared" ca="1" si="8"/>
        <v/>
      </c>
      <c r="B172" s="263" t="str">
        <f t="shared" ca="1" si="9"/>
        <v xml:space="preserve"> </v>
      </c>
      <c r="C172" s="264" t="str">
        <f t="shared" ca="1" si="10"/>
        <v/>
      </c>
      <c r="D172" s="264" t="str">
        <f t="shared" ca="1" si="11"/>
        <v/>
      </c>
      <c r="E172" s="191"/>
      <c r="F172" s="191"/>
      <c r="G172" s="191"/>
      <c r="H172" s="191"/>
      <c r="I172" s="250" t="str">
        <f>IF(COUNTBLANK(E172:H172)=4,"",SUM(E172:G172)+IF(Setup!$I$15="No",0,H172))</f>
        <v/>
      </c>
      <c r="J172" s="191"/>
      <c r="K172" s="191"/>
      <c r="L172" s="191"/>
      <c r="M172" s="191"/>
      <c r="N172" s="254" t="str">
        <f>IF(COUNTBLANK(J172:M172)=4,"",SUM(J172:L172)+IF(Setup!$I$15="No",0,M172))</f>
        <v/>
      </c>
      <c r="O172" s="191"/>
      <c r="P172" s="191"/>
      <c r="Q172" s="191"/>
      <c r="R172" s="191"/>
      <c r="S172" s="254" t="str">
        <f>IF(COUNTBLANK(O172:R172)=4,"",SUM(O172:Q172)+IF(Setup!$I$15="No",0,R172))</f>
        <v/>
      </c>
      <c r="T172" s="191"/>
      <c r="U172" s="191"/>
      <c r="V172" s="191"/>
      <c r="W172" s="191"/>
      <c r="X172" s="254" t="str">
        <f>IF(COUNTBLANK(T172:W172)=4,"",SUM(T172:V172)+IF(Setup!$I$15="No",0,W172))</f>
        <v/>
      </c>
      <c r="Y172" s="191"/>
      <c r="Z172" s="191"/>
      <c r="AA172" s="191"/>
      <c r="AB172" s="191"/>
      <c r="AC172" s="254" t="str">
        <f>IF(COUNTBLANK(Y172:AB172)=4,"",SUM(Y172:AA172)+IF(Setup!$I$15="No",0,AB172))</f>
        <v/>
      </c>
      <c r="AD172" s="191"/>
      <c r="AE172" s="191"/>
      <c r="AF172" s="191"/>
      <c r="AG172" s="191"/>
      <c r="AH172" s="254" t="str">
        <f>IF(COUNTBLANK(AD172:AG172)=4,"",SUM(AD172:AF172)+IF(Setup!$I$15="No",0,AG172))</f>
        <v/>
      </c>
      <c r="AI172" s="191"/>
      <c r="AJ172" s="191"/>
      <c r="AK172" s="191"/>
      <c r="AL172" s="191"/>
      <c r="AM172" s="254" t="str">
        <f>IF(COUNTBLANK(AI172:AL172)=4,"",SUM(AI172:AK172)+IF(Setup!$I$15="No",0,AL172))</f>
        <v/>
      </c>
      <c r="AN172" s="191"/>
      <c r="AO172" s="191"/>
      <c r="AP172" s="191"/>
      <c r="AQ172" s="191"/>
      <c r="AR172" s="254" t="str">
        <f>IF(COUNTBLANK(AN172:AQ172)=4,"",SUM(AN172:AP172)+IF(Setup!$I$15="No",0,AQ172))</f>
        <v/>
      </c>
      <c r="AS172" s="191"/>
      <c r="AT172" s="191"/>
      <c r="AU172" s="191"/>
      <c r="AV172" s="191"/>
      <c r="AW172" s="254" t="str">
        <f>IF(COUNTBLANK(AS172:AV172)=4,"",SUM(AS172:AU172)+IF(Setup!$I$15="No",0,AV172))</f>
        <v/>
      </c>
      <c r="AX172" s="191"/>
      <c r="AY172" s="191"/>
      <c r="AZ172" s="191"/>
      <c r="BA172" s="191"/>
      <c r="BB172" s="254" t="str">
        <f>IF(COUNTBLANK(AX172:BA172)=4,"",SUM(AX172:AZ172)+IF(Setup!$I$15="No",0,BA172))</f>
        <v/>
      </c>
      <c r="BC172" s="258" t="str">
        <f ca="1">IF('Demand background (hide)'!A163=Num_Modalities,"",SUM(Demand!I172))</f>
        <v/>
      </c>
      <c r="BD172" s="258" t="str">
        <f ca="1">IF(AND(A172&lt;=MaxRows,BE172&lt;&gt;"Yes"),'Demand background (hide)'!X163+IF(Setup!$I$15="Yes",'Demand background (hide)'!AJ163,0),"")</f>
        <v/>
      </c>
      <c r="BE172" s="208"/>
    </row>
    <row r="173" spans="1:57" ht="15" x14ac:dyDescent="0.25">
      <c r="A173" t="str">
        <f t="shared" ca="1" si="8"/>
        <v/>
      </c>
      <c r="B173" s="263" t="str">
        <f t="shared" ca="1" si="9"/>
        <v xml:space="preserve"> </v>
      </c>
      <c r="C173" s="264" t="str">
        <f t="shared" ca="1" si="10"/>
        <v/>
      </c>
      <c r="D173" s="264" t="str">
        <f t="shared" ca="1" si="11"/>
        <v/>
      </c>
      <c r="E173" s="191"/>
      <c r="F173" s="191"/>
      <c r="G173" s="191"/>
      <c r="H173" s="191"/>
      <c r="I173" s="250" t="str">
        <f>IF(COUNTBLANK(E173:H173)=4,"",SUM(E173:G173)+IF(Setup!$I$15="No",0,H173))</f>
        <v/>
      </c>
      <c r="J173" s="191"/>
      <c r="K173" s="191"/>
      <c r="L173" s="191"/>
      <c r="M173" s="191"/>
      <c r="N173" s="254" t="str">
        <f>IF(COUNTBLANK(J173:M173)=4,"",SUM(J173:L173)+IF(Setup!$I$15="No",0,M173))</f>
        <v/>
      </c>
      <c r="O173" s="191"/>
      <c r="P173" s="191"/>
      <c r="Q173" s="191"/>
      <c r="R173" s="191"/>
      <c r="S173" s="254" t="str">
        <f>IF(COUNTBLANK(O173:R173)=4,"",SUM(O173:Q173)+IF(Setup!$I$15="No",0,R173))</f>
        <v/>
      </c>
      <c r="T173" s="191"/>
      <c r="U173" s="191"/>
      <c r="V173" s="191"/>
      <c r="W173" s="191"/>
      <c r="X173" s="254" t="str">
        <f>IF(COUNTBLANK(T173:W173)=4,"",SUM(T173:V173)+IF(Setup!$I$15="No",0,W173))</f>
        <v/>
      </c>
      <c r="Y173" s="191"/>
      <c r="Z173" s="191"/>
      <c r="AA173" s="191"/>
      <c r="AB173" s="191"/>
      <c r="AC173" s="254" t="str">
        <f>IF(COUNTBLANK(Y173:AB173)=4,"",SUM(Y173:AA173)+IF(Setup!$I$15="No",0,AB173))</f>
        <v/>
      </c>
      <c r="AD173" s="191"/>
      <c r="AE173" s="191"/>
      <c r="AF173" s="191"/>
      <c r="AG173" s="191"/>
      <c r="AH173" s="254" t="str">
        <f>IF(COUNTBLANK(AD173:AG173)=4,"",SUM(AD173:AF173)+IF(Setup!$I$15="No",0,AG173))</f>
        <v/>
      </c>
      <c r="AI173" s="191"/>
      <c r="AJ173" s="191"/>
      <c r="AK173" s="191"/>
      <c r="AL173" s="191"/>
      <c r="AM173" s="254" t="str">
        <f>IF(COUNTBLANK(AI173:AL173)=4,"",SUM(AI173:AK173)+IF(Setup!$I$15="No",0,AL173))</f>
        <v/>
      </c>
      <c r="AN173" s="191"/>
      <c r="AO173" s="191"/>
      <c r="AP173" s="191"/>
      <c r="AQ173" s="191"/>
      <c r="AR173" s="254" t="str">
        <f>IF(COUNTBLANK(AN173:AQ173)=4,"",SUM(AN173:AP173)+IF(Setup!$I$15="No",0,AQ173))</f>
        <v/>
      </c>
      <c r="AS173" s="191"/>
      <c r="AT173" s="191"/>
      <c r="AU173" s="191"/>
      <c r="AV173" s="191"/>
      <c r="AW173" s="254" t="str">
        <f>IF(COUNTBLANK(AS173:AV173)=4,"",SUM(AS173:AU173)+IF(Setup!$I$15="No",0,AV173))</f>
        <v/>
      </c>
      <c r="AX173" s="191"/>
      <c r="AY173" s="191"/>
      <c r="AZ173" s="191"/>
      <c r="BA173" s="191"/>
      <c r="BB173" s="254" t="str">
        <f>IF(COUNTBLANK(AX173:BA173)=4,"",SUM(AX173:AZ173)+IF(Setup!$I$15="No",0,BA173))</f>
        <v/>
      </c>
      <c r="BC173" s="258" t="str">
        <f ca="1">IF('Demand background (hide)'!A164=Num_Modalities,"",SUM(Demand!I173))</f>
        <v/>
      </c>
      <c r="BD173" s="258" t="str">
        <f ca="1">IF(AND(A173&lt;=MaxRows,BE173&lt;&gt;"Yes"),'Demand background (hide)'!X164+IF(Setup!$I$15="Yes",'Demand background (hide)'!AJ164,0),"")</f>
        <v/>
      </c>
      <c r="BE173" s="208"/>
    </row>
    <row r="174" spans="1:57" ht="15" x14ac:dyDescent="0.25">
      <c r="A174" t="str">
        <f t="shared" ca="1" si="8"/>
        <v/>
      </c>
      <c r="B174" s="263" t="str">
        <f t="shared" ca="1" si="9"/>
        <v xml:space="preserve"> </v>
      </c>
      <c r="C174" s="264" t="str">
        <f t="shared" ca="1" si="10"/>
        <v/>
      </c>
      <c r="D174" s="264" t="str">
        <f t="shared" ca="1" si="11"/>
        <v/>
      </c>
      <c r="E174" s="191"/>
      <c r="F174" s="191"/>
      <c r="G174" s="191"/>
      <c r="H174" s="191"/>
      <c r="I174" s="250" t="str">
        <f>IF(COUNTBLANK(E174:H174)=4,"",SUM(E174:G174)+IF(Setup!$I$15="No",0,H174))</f>
        <v/>
      </c>
      <c r="J174" s="191"/>
      <c r="K174" s="191"/>
      <c r="L174" s="191"/>
      <c r="M174" s="191"/>
      <c r="N174" s="254" t="str">
        <f>IF(COUNTBLANK(J174:M174)=4,"",SUM(J174:L174)+IF(Setup!$I$15="No",0,M174))</f>
        <v/>
      </c>
      <c r="O174" s="191"/>
      <c r="P174" s="191"/>
      <c r="Q174" s="191"/>
      <c r="R174" s="191"/>
      <c r="S174" s="254" t="str">
        <f>IF(COUNTBLANK(O174:R174)=4,"",SUM(O174:Q174)+IF(Setup!$I$15="No",0,R174))</f>
        <v/>
      </c>
      <c r="T174" s="191"/>
      <c r="U174" s="191"/>
      <c r="V174" s="191"/>
      <c r="W174" s="191"/>
      <c r="X174" s="254" t="str">
        <f>IF(COUNTBLANK(T174:W174)=4,"",SUM(T174:V174)+IF(Setup!$I$15="No",0,W174))</f>
        <v/>
      </c>
      <c r="Y174" s="191"/>
      <c r="Z174" s="191"/>
      <c r="AA174" s="191"/>
      <c r="AB174" s="191"/>
      <c r="AC174" s="254" t="str">
        <f>IF(COUNTBLANK(Y174:AB174)=4,"",SUM(Y174:AA174)+IF(Setup!$I$15="No",0,AB174))</f>
        <v/>
      </c>
      <c r="AD174" s="191"/>
      <c r="AE174" s="191"/>
      <c r="AF174" s="191"/>
      <c r="AG174" s="191"/>
      <c r="AH174" s="254" t="str">
        <f>IF(COUNTBLANK(AD174:AG174)=4,"",SUM(AD174:AF174)+IF(Setup!$I$15="No",0,AG174))</f>
        <v/>
      </c>
      <c r="AI174" s="191"/>
      <c r="AJ174" s="191"/>
      <c r="AK174" s="191"/>
      <c r="AL174" s="191"/>
      <c r="AM174" s="254" t="str">
        <f>IF(COUNTBLANK(AI174:AL174)=4,"",SUM(AI174:AK174)+IF(Setup!$I$15="No",0,AL174))</f>
        <v/>
      </c>
      <c r="AN174" s="191"/>
      <c r="AO174" s="191"/>
      <c r="AP174" s="191"/>
      <c r="AQ174" s="191"/>
      <c r="AR174" s="254" t="str">
        <f>IF(COUNTBLANK(AN174:AQ174)=4,"",SUM(AN174:AP174)+IF(Setup!$I$15="No",0,AQ174))</f>
        <v/>
      </c>
      <c r="AS174" s="191"/>
      <c r="AT174" s="191"/>
      <c r="AU174" s="191"/>
      <c r="AV174" s="191"/>
      <c r="AW174" s="254" t="str">
        <f>IF(COUNTBLANK(AS174:AV174)=4,"",SUM(AS174:AU174)+IF(Setup!$I$15="No",0,AV174))</f>
        <v/>
      </c>
      <c r="AX174" s="191"/>
      <c r="AY174" s="191"/>
      <c r="AZ174" s="191"/>
      <c r="BA174" s="191"/>
      <c r="BB174" s="254" t="str">
        <f>IF(COUNTBLANK(AX174:BA174)=4,"",SUM(AX174:AZ174)+IF(Setup!$I$15="No",0,BA174))</f>
        <v/>
      </c>
      <c r="BC174" s="258" t="str">
        <f ca="1">IF('Demand background (hide)'!A165=Num_Modalities,"",SUM(Demand!I174))</f>
        <v/>
      </c>
      <c r="BD174" s="258" t="str">
        <f ca="1">IF(AND(A174&lt;=MaxRows,BE174&lt;&gt;"Yes"),'Demand background (hide)'!X165+IF(Setup!$I$15="Yes",'Demand background (hide)'!AJ165,0),"")</f>
        <v/>
      </c>
      <c r="BE174" s="208"/>
    </row>
    <row r="175" spans="1:57" ht="15" x14ac:dyDescent="0.25">
      <c r="A175" t="str">
        <f t="shared" ca="1" si="8"/>
        <v/>
      </c>
      <c r="B175" s="263" t="str">
        <f t="shared" ca="1" si="9"/>
        <v xml:space="preserve"> </v>
      </c>
      <c r="C175" s="264" t="str">
        <f t="shared" ca="1" si="10"/>
        <v/>
      </c>
      <c r="D175" s="264" t="str">
        <f t="shared" ca="1" si="11"/>
        <v/>
      </c>
      <c r="E175" s="191"/>
      <c r="F175" s="191"/>
      <c r="G175" s="191"/>
      <c r="H175" s="191"/>
      <c r="I175" s="250" t="str">
        <f>IF(COUNTBLANK(E175:H175)=4,"",SUM(E175:G175)+IF(Setup!$I$15="No",0,H175))</f>
        <v/>
      </c>
      <c r="J175" s="191"/>
      <c r="K175" s="191"/>
      <c r="L175" s="191"/>
      <c r="M175" s="191"/>
      <c r="N175" s="254" t="str">
        <f>IF(COUNTBLANK(J175:M175)=4,"",SUM(J175:L175)+IF(Setup!$I$15="No",0,M175))</f>
        <v/>
      </c>
      <c r="O175" s="191"/>
      <c r="P175" s="191"/>
      <c r="Q175" s="191"/>
      <c r="R175" s="191"/>
      <c r="S175" s="254" t="str">
        <f>IF(COUNTBLANK(O175:R175)=4,"",SUM(O175:Q175)+IF(Setup!$I$15="No",0,R175))</f>
        <v/>
      </c>
      <c r="T175" s="191"/>
      <c r="U175" s="191"/>
      <c r="V175" s="191"/>
      <c r="W175" s="191"/>
      <c r="X175" s="254" t="str">
        <f>IF(COUNTBLANK(T175:W175)=4,"",SUM(T175:V175)+IF(Setup!$I$15="No",0,W175))</f>
        <v/>
      </c>
      <c r="Y175" s="191"/>
      <c r="Z175" s="191"/>
      <c r="AA175" s="191"/>
      <c r="AB175" s="191"/>
      <c r="AC175" s="254" t="str">
        <f>IF(COUNTBLANK(Y175:AB175)=4,"",SUM(Y175:AA175)+IF(Setup!$I$15="No",0,AB175))</f>
        <v/>
      </c>
      <c r="AD175" s="191"/>
      <c r="AE175" s="191"/>
      <c r="AF175" s="191"/>
      <c r="AG175" s="191"/>
      <c r="AH175" s="254" t="str">
        <f>IF(COUNTBLANK(AD175:AG175)=4,"",SUM(AD175:AF175)+IF(Setup!$I$15="No",0,AG175))</f>
        <v/>
      </c>
      <c r="AI175" s="191"/>
      <c r="AJ175" s="191"/>
      <c r="AK175" s="191"/>
      <c r="AL175" s="191"/>
      <c r="AM175" s="254" t="str">
        <f>IF(COUNTBLANK(AI175:AL175)=4,"",SUM(AI175:AK175)+IF(Setup!$I$15="No",0,AL175))</f>
        <v/>
      </c>
      <c r="AN175" s="191"/>
      <c r="AO175" s="191"/>
      <c r="AP175" s="191"/>
      <c r="AQ175" s="191"/>
      <c r="AR175" s="254" t="str">
        <f>IF(COUNTBLANK(AN175:AQ175)=4,"",SUM(AN175:AP175)+IF(Setup!$I$15="No",0,AQ175))</f>
        <v/>
      </c>
      <c r="AS175" s="191"/>
      <c r="AT175" s="191"/>
      <c r="AU175" s="191"/>
      <c r="AV175" s="191"/>
      <c r="AW175" s="254" t="str">
        <f>IF(COUNTBLANK(AS175:AV175)=4,"",SUM(AS175:AU175)+IF(Setup!$I$15="No",0,AV175))</f>
        <v/>
      </c>
      <c r="AX175" s="191"/>
      <c r="AY175" s="191"/>
      <c r="AZ175" s="191"/>
      <c r="BA175" s="191"/>
      <c r="BB175" s="254" t="str">
        <f>IF(COUNTBLANK(AX175:BA175)=4,"",SUM(AX175:AZ175)+IF(Setup!$I$15="No",0,BA175))</f>
        <v/>
      </c>
      <c r="BC175" s="258" t="str">
        <f ca="1">IF('Demand background (hide)'!A166=Num_Modalities,"",SUM(Demand!I175))</f>
        <v/>
      </c>
      <c r="BD175" s="258" t="str">
        <f ca="1">IF(AND(A175&lt;=MaxRows,BE175&lt;&gt;"Yes"),'Demand background (hide)'!X166+IF(Setup!$I$15="Yes",'Demand background (hide)'!AJ166,0),"")</f>
        <v/>
      </c>
      <c r="BE175" s="208"/>
    </row>
    <row r="176" spans="1:57" ht="15" x14ac:dyDescent="0.25">
      <c r="A176" t="str">
        <f t="shared" ca="1" si="8"/>
        <v/>
      </c>
      <c r="B176" s="263" t="str">
        <f t="shared" ca="1" si="9"/>
        <v xml:space="preserve"> </v>
      </c>
      <c r="C176" s="264" t="str">
        <f t="shared" ca="1" si="10"/>
        <v/>
      </c>
      <c r="D176" s="264" t="str">
        <f t="shared" ca="1" si="11"/>
        <v/>
      </c>
      <c r="E176" s="191"/>
      <c r="F176" s="191"/>
      <c r="G176" s="191"/>
      <c r="H176" s="191"/>
      <c r="I176" s="250" t="str">
        <f>IF(COUNTBLANK(E176:H176)=4,"",SUM(E176:G176)+IF(Setup!$I$15="No",0,H176))</f>
        <v/>
      </c>
      <c r="J176" s="191"/>
      <c r="K176" s="191"/>
      <c r="L176" s="191"/>
      <c r="M176" s="191"/>
      <c r="N176" s="254" t="str">
        <f>IF(COUNTBLANK(J176:M176)=4,"",SUM(J176:L176)+IF(Setup!$I$15="No",0,M176))</f>
        <v/>
      </c>
      <c r="O176" s="191"/>
      <c r="P176" s="191"/>
      <c r="Q176" s="191"/>
      <c r="R176" s="191"/>
      <c r="S176" s="254" t="str">
        <f>IF(COUNTBLANK(O176:R176)=4,"",SUM(O176:Q176)+IF(Setup!$I$15="No",0,R176))</f>
        <v/>
      </c>
      <c r="T176" s="191"/>
      <c r="U176" s="191"/>
      <c r="V176" s="191"/>
      <c r="W176" s="191"/>
      <c r="X176" s="254" t="str">
        <f>IF(COUNTBLANK(T176:W176)=4,"",SUM(T176:V176)+IF(Setup!$I$15="No",0,W176))</f>
        <v/>
      </c>
      <c r="Y176" s="191"/>
      <c r="Z176" s="191"/>
      <c r="AA176" s="191"/>
      <c r="AB176" s="191"/>
      <c r="AC176" s="254" t="str">
        <f>IF(COUNTBLANK(Y176:AB176)=4,"",SUM(Y176:AA176)+IF(Setup!$I$15="No",0,AB176))</f>
        <v/>
      </c>
      <c r="AD176" s="191"/>
      <c r="AE176" s="191"/>
      <c r="AF176" s="191"/>
      <c r="AG176" s="191"/>
      <c r="AH176" s="254" t="str">
        <f>IF(COUNTBLANK(AD176:AG176)=4,"",SUM(AD176:AF176)+IF(Setup!$I$15="No",0,AG176))</f>
        <v/>
      </c>
      <c r="AI176" s="191"/>
      <c r="AJ176" s="191"/>
      <c r="AK176" s="191"/>
      <c r="AL176" s="191"/>
      <c r="AM176" s="254" t="str">
        <f>IF(COUNTBLANK(AI176:AL176)=4,"",SUM(AI176:AK176)+IF(Setup!$I$15="No",0,AL176))</f>
        <v/>
      </c>
      <c r="AN176" s="191"/>
      <c r="AO176" s="191"/>
      <c r="AP176" s="191"/>
      <c r="AQ176" s="191"/>
      <c r="AR176" s="254" t="str">
        <f>IF(COUNTBLANK(AN176:AQ176)=4,"",SUM(AN176:AP176)+IF(Setup!$I$15="No",0,AQ176))</f>
        <v/>
      </c>
      <c r="AS176" s="191"/>
      <c r="AT176" s="191"/>
      <c r="AU176" s="191"/>
      <c r="AV176" s="191"/>
      <c r="AW176" s="254" t="str">
        <f>IF(COUNTBLANK(AS176:AV176)=4,"",SUM(AS176:AU176)+IF(Setup!$I$15="No",0,AV176))</f>
        <v/>
      </c>
      <c r="AX176" s="191"/>
      <c r="AY176" s="191"/>
      <c r="AZ176" s="191"/>
      <c r="BA176" s="191"/>
      <c r="BB176" s="254" t="str">
        <f>IF(COUNTBLANK(AX176:BA176)=4,"",SUM(AX176:AZ176)+IF(Setup!$I$15="No",0,BA176))</f>
        <v/>
      </c>
      <c r="BC176" s="258" t="str">
        <f ca="1">IF('Demand background (hide)'!A167=Num_Modalities,"",SUM(Demand!I176))</f>
        <v/>
      </c>
      <c r="BD176" s="258" t="str">
        <f ca="1">IF(AND(A176&lt;=MaxRows,BE176&lt;&gt;"Yes"),'Demand background (hide)'!X167+IF(Setup!$I$15="Yes",'Demand background (hide)'!AJ167,0),"")</f>
        <v/>
      </c>
      <c r="BE176" s="208"/>
    </row>
    <row r="177" spans="1:57" ht="15" x14ac:dyDescent="0.25">
      <c r="A177" t="str">
        <f t="shared" ca="1" si="8"/>
        <v/>
      </c>
      <c r="B177" s="263" t="str">
        <f t="shared" ca="1" si="9"/>
        <v xml:space="preserve"> </v>
      </c>
      <c r="C177" s="264" t="str">
        <f t="shared" ca="1" si="10"/>
        <v/>
      </c>
      <c r="D177" s="264" t="str">
        <f t="shared" ca="1" si="11"/>
        <v/>
      </c>
      <c r="E177" s="191"/>
      <c r="F177" s="191"/>
      <c r="G177" s="191"/>
      <c r="H177" s="191"/>
      <c r="I177" s="250" t="str">
        <f>IF(COUNTBLANK(E177:H177)=4,"",SUM(E177:G177)+IF(Setup!$I$15="No",0,H177))</f>
        <v/>
      </c>
      <c r="J177" s="191"/>
      <c r="K177" s="191"/>
      <c r="L177" s="191"/>
      <c r="M177" s="191"/>
      <c r="N177" s="254" t="str">
        <f>IF(COUNTBLANK(J177:M177)=4,"",SUM(J177:L177)+IF(Setup!$I$15="No",0,M177))</f>
        <v/>
      </c>
      <c r="O177" s="191"/>
      <c r="P177" s="191"/>
      <c r="Q177" s="191"/>
      <c r="R177" s="191"/>
      <c r="S177" s="254" t="str">
        <f>IF(COUNTBLANK(O177:R177)=4,"",SUM(O177:Q177)+IF(Setup!$I$15="No",0,R177))</f>
        <v/>
      </c>
      <c r="T177" s="191"/>
      <c r="U177" s="191"/>
      <c r="V177" s="191"/>
      <c r="W177" s="191"/>
      <c r="X177" s="254" t="str">
        <f>IF(COUNTBLANK(T177:W177)=4,"",SUM(T177:V177)+IF(Setup!$I$15="No",0,W177))</f>
        <v/>
      </c>
      <c r="Y177" s="191"/>
      <c r="Z177" s="191"/>
      <c r="AA177" s="191"/>
      <c r="AB177" s="191"/>
      <c r="AC177" s="254" t="str">
        <f>IF(COUNTBLANK(Y177:AB177)=4,"",SUM(Y177:AA177)+IF(Setup!$I$15="No",0,AB177))</f>
        <v/>
      </c>
      <c r="AD177" s="191"/>
      <c r="AE177" s="191"/>
      <c r="AF177" s="191"/>
      <c r="AG177" s="191"/>
      <c r="AH177" s="254" t="str">
        <f>IF(COUNTBLANK(AD177:AG177)=4,"",SUM(AD177:AF177)+IF(Setup!$I$15="No",0,AG177))</f>
        <v/>
      </c>
      <c r="AI177" s="191"/>
      <c r="AJ177" s="191"/>
      <c r="AK177" s="191"/>
      <c r="AL177" s="191"/>
      <c r="AM177" s="254" t="str">
        <f>IF(COUNTBLANK(AI177:AL177)=4,"",SUM(AI177:AK177)+IF(Setup!$I$15="No",0,AL177))</f>
        <v/>
      </c>
      <c r="AN177" s="191"/>
      <c r="AO177" s="191"/>
      <c r="AP177" s="191"/>
      <c r="AQ177" s="191"/>
      <c r="AR177" s="254" t="str">
        <f>IF(COUNTBLANK(AN177:AQ177)=4,"",SUM(AN177:AP177)+IF(Setup!$I$15="No",0,AQ177))</f>
        <v/>
      </c>
      <c r="AS177" s="191"/>
      <c r="AT177" s="191"/>
      <c r="AU177" s="191"/>
      <c r="AV177" s="191"/>
      <c r="AW177" s="254" t="str">
        <f>IF(COUNTBLANK(AS177:AV177)=4,"",SUM(AS177:AU177)+IF(Setup!$I$15="No",0,AV177))</f>
        <v/>
      </c>
      <c r="AX177" s="191"/>
      <c r="AY177" s="191"/>
      <c r="AZ177" s="191"/>
      <c r="BA177" s="191"/>
      <c r="BB177" s="254" t="str">
        <f>IF(COUNTBLANK(AX177:BA177)=4,"",SUM(AX177:AZ177)+IF(Setup!$I$15="No",0,BA177))</f>
        <v/>
      </c>
      <c r="BC177" s="258" t="str">
        <f ca="1">IF('Demand background (hide)'!A168=Num_Modalities,"",SUM(Demand!I177))</f>
        <v/>
      </c>
      <c r="BD177" s="258" t="str">
        <f ca="1">IF(AND(A177&lt;=MaxRows,BE177&lt;&gt;"Yes"),'Demand background (hide)'!X168+IF(Setup!$I$15="Yes",'Demand background (hide)'!AJ168,0),"")</f>
        <v/>
      </c>
      <c r="BE177" s="208"/>
    </row>
    <row r="178" spans="1:57" ht="15" x14ac:dyDescent="0.25">
      <c r="A178" t="str">
        <f t="shared" ca="1" si="8"/>
        <v/>
      </c>
      <c r="B178" s="263" t="str">
        <f t="shared" ca="1" si="9"/>
        <v xml:space="preserve"> </v>
      </c>
      <c r="C178" s="264" t="str">
        <f t="shared" ca="1" si="10"/>
        <v/>
      </c>
      <c r="D178" s="264" t="str">
        <f t="shared" ca="1" si="11"/>
        <v/>
      </c>
      <c r="E178" s="191"/>
      <c r="F178" s="191"/>
      <c r="G178" s="191"/>
      <c r="H178" s="191"/>
      <c r="I178" s="250" t="str">
        <f>IF(COUNTBLANK(E178:H178)=4,"",SUM(E178:G178)+IF(Setup!$I$15="No",0,H178))</f>
        <v/>
      </c>
      <c r="J178" s="191"/>
      <c r="K178" s="191"/>
      <c r="L178" s="191"/>
      <c r="M178" s="191"/>
      <c r="N178" s="254" t="str">
        <f>IF(COUNTBLANK(J178:M178)=4,"",SUM(J178:L178)+IF(Setup!$I$15="No",0,M178))</f>
        <v/>
      </c>
      <c r="O178" s="191"/>
      <c r="P178" s="191"/>
      <c r="Q178" s="191"/>
      <c r="R178" s="191"/>
      <c r="S178" s="254" t="str">
        <f>IF(COUNTBLANK(O178:R178)=4,"",SUM(O178:Q178)+IF(Setup!$I$15="No",0,R178))</f>
        <v/>
      </c>
      <c r="T178" s="191"/>
      <c r="U178" s="191"/>
      <c r="V178" s="191"/>
      <c r="W178" s="191"/>
      <c r="X178" s="254" t="str">
        <f>IF(COUNTBLANK(T178:W178)=4,"",SUM(T178:V178)+IF(Setup!$I$15="No",0,W178))</f>
        <v/>
      </c>
      <c r="Y178" s="191"/>
      <c r="Z178" s="191"/>
      <c r="AA178" s="191"/>
      <c r="AB178" s="191"/>
      <c r="AC178" s="254" t="str">
        <f>IF(COUNTBLANK(Y178:AB178)=4,"",SUM(Y178:AA178)+IF(Setup!$I$15="No",0,AB178))</f>
        <v/>
      </c>
      <c r="AD178" s="191"/>
      <c r="AE178" s="191"/>
      <c r="AF178" s="191"/>
      <c r="AG178" s="191"/>
      <c r="AH178" s="254" t="str">
        <f>IF(COUNTBLANK(AD178:AG178)=4,"",SUM(AD178:AF178)+IF(Setup!$I$15="No",0,AG178))</f>
        <v/>
      </c>
      <c r="AI178" s="191"/>
      <c r="AJ178" s="191"/>
      <c r="AK178" s="191"/>
      <c r="AL178" s="191"/>
      <c r="AM178" s="254" t="str">
        <f>IF(COUNTBLANK(AI178:AL178)=4,"",SUM(AI178:AK178)+IF(Setup!$I$15="No",0,AL178))</f>
        <v/>
      </c>
      <c r="AN178" s="191"/>
      <c r="AO178" s="191"/>
      <c r="AP178" s="191"/>
      <c r="AQ178" s="191"/>
      <c r="AR178" s="254" t="str">
        <f>IF(COUNTBLANK(AN178:AQ178)=4,"",SUM(AN178:AP178)+IF(Setup!$I$15="No",0,AQ178))</f>
        <v/>
      </c>
      <c r="AS178" s="191"/>
      <c r="AT178" s="191"/>
      <c r="AU178" s="191"/>
      <c r="AV178" s="191"/>
      <c r="AW178" s="254" t="str">
        <f>IF(COUNTBLANK(AS178:AV178)=4,"",SUM(AS178:AU178)+IF(Setup!$I$15="No",0,AV178))</f>
        <v/>
      </c>
      <c r="AX178" s="191"/>
      <c r="AY178" s="191"/>
      <c r="AZ178" s="191"/>
      <c r="BA178" s="191"/>
      <c r="BB178" s="254" t="str">
        <f>IF(COUNTBLANK(AX178:BA178)=4,"",SUM(AX178:AZ178)+IF(Setup!$I$15="No",0,BA178))</f>
        <v/>
      </c>
      <c r="BC178" s="258" t="str">
        <f ca="1">IF('Demand background (hide)'!A169=Num_Modalities,"",SUM(Demand!I178))</f>
        <v/>
      </c>
      <c r="BD178" s="258" t="str">
        <f ca="1">IF(AND(A178&lt;=MaxRows,BE178&lt;&gt;"Yes"),'Demand background (hide)'!X169+IF(Setup!$I$15="Yes",'Demand background (hide)'!AJ169,0),"")</f>
        <v/>
      </c>
      <c r="BE178" s="208"/>
    </row>
    <row r="179" spans="1:57" ht="15" x14ac:dyDescent="0.25">
      <c r="A179" t="str">
        <f t="shared" ca="1" si="8"/>
        <v/>
      </c>
      <c r="B179" s="263" t="str">
        <f t="shared" ca="1" si="9"/>
        <v xml:space="preserve"> </v>
      </c>
      <c r="C179" s="264" t="str">
        <f t="shared" ca="1" si="10"/>
        <v/>
      </c>
      <c r="D179" s="264" t="str">
        <f t="shared" ca="1" si="11"/>
        <v/>
      </c>
      <c r="E179" s="191"/>
      <c r="F179" s="191"/>
      <c r="G179" s="191"/>
      <c r="H179" s="191"/>
      <c r="I179" s="250" t="str">
        <f>IF(COUNTBLANK(E179:H179)=4,"",SUM(E179:G179)+IF(Setup!$I$15="No",0,H179))</f>
        <v/>
      </c>
      <c r="J179" s="191"/>
      <c r="K179" s="191"/>
      <c r="L179" s="191"/>
      <c r="M179" s="191"/>
      <c r="N179" s="254" t="str">
        <f>IF(COUNTBLANK(J179:M179)=4,"",SUM(J179:L179)+IF(Setup!$I$15="No",0,M179))</f>
        <v/>
      </c>
      <c r="O179" s="191"/>
      <c r="P179" s="191"/>
      <c r="Q179" s="191"/>
      <c r="R179" s="191"/>
      <c r="S179" s="254" t="str">
        <f>IF(COUNTBLANK(O179:R179)=4,"",SUM(O179:Q179)+IF(Setup!$I$15="No",0,R179))</f>
        <v/>
      </c>
      <c r="T179" s="191"/>
      <c r="U179" s="191"/>
      <c r="V179" s="191"/>
      <c r="W179" s="191"/>
      <c r="X179" s="254" t="str">
        <f>IF(COUNTBLANK(T179:W179)=4,"",SUM(T179:V179)+IF(Setup!$I$15="No",0,W179))</f>
        <v/>
      </c>
      <c r="Y179" s="191"/>
      <c r="Z179" s="191"/>
      <c r="AA179" s="191"/>
      <c r="AB179" s="191"/>
      <c r="AC179" s="254" t="str">
        <f>IF(COUNTBLANK(Y179:AB179)=4,"",SUM(Y179:AA179)+IF(Setup!$I$15="No",0,AB179))</f>
        <v/>
      </c>
      <c r="AD179" s="191"/>
      <c r="AE179" s="191"/>
      <c r="AF179" s="191"/>
      <c r="AG179" s="191"/>
      <c r="AH179" s="254" t="str">
        <f>IF(COUNTBLANK(AD179:AG179)=4,"",SUM(AD179:AF179)+IF(Setup!$I$15="No",0,AG179))</f>
        <v/>
      </c>
      <c r="AI179" s="191"/>
      <c r="AJ179" s="191"/>
      <c r="AK179" s="191"/>
      <c r="AL179" s="191"/>
      <c r="AM179" s="254" t="str">
        <f>IF(COUNTBLANK(AI179:AL179)=4,"",SUM(AI179:AK179)+IF(Setup!$I$15="No",0,AL179))</f>
        <v/>
      </c>
      <c r="AN179" s="191"/>
      <c r="AO179" s="191"/>
      <c r="AP179" s="191"/>
      <c r="AQ179" s="191"/>
      <c r="AR179" s="254" t="str">
        <f>IF(COUNTBLANK(AN179:AQ179)=4,"",SUM(AN179:AP179)+IF(Setup!$I$15="No",0,AQ179))</f>
        <v/>
      </c>
      <c r="AS179" s="191"/>
      <c r="AT179" s="191"/>
      <c r="AU179" s="191"/>
      <c r="AV179" s="191"/>
      <c r="AW179" s="254" t="str">
        <f>IF(COUNTBLANK(AS179:AV179)=4,"",SUM(AS179:AU179)+IF(Setup!$I$15="No",0,AV179))</f>
        <v/>
      </c>
      <c r="AX179" s="191"/>
      <c r="AY179" s="191"/>
      <c r="AZ179" s="191"/>
      <c r="BA179" s="191"/>
      <c r="BB179" s="254" t="str">
        <f>IF(COUNTBLANK(AX179:BA179)=4,"",SUM(AX179:AZ179)+IF(Setup!$I$15="No",0,BA179))</f>
        <v/>
      </c>
      <c r="BC179" s="258" t="str">
        <f ca="1">IF('Demand background (hide)'!A170=Num_Modalities,"",SUM(Demand!I179))</f>
        <v/>
      </c>
      <c r="BD179" s="258" t="str">
        <f ca="1">IF(AND(A179&lt;=MaxRows,BE179&lt;&gt;"Yes"),'Demand background (hide)'!X170+IF(Setup!$I$15="Yes",'Demand background (hide)'!AJ170,0),"")</f>
        <v/>
      </c>
      <c r="BE179" s="208"/>
    </row>
    <row r="180" spans="1:57" ht="15" x14ac:dyDescent="0.25">
      <c r="A180" t="str">
        <f t="shared" ca="1" si="8"/>
        <v/>
      </c>
      <c r="B180" s="263" t="str">
        <f t="shared" ca="1" si="9"/>
        <v xml:space="preserve"> </v>
      </c>
      <c r="C180" s="264" t="str">
        <f t="shared" ca="1" si="10"/>
        <v/>
      </c>
      <c r="D180" s="264" t="str">
        <f t="shared" ca="1" si="11"/>
        <v/>
      </c>
      <c r="E180" s="191"/>
      <c r="F180" s="191"/>
      <c r="G180" s="191"/>
      <c r="H180" s="191"/>
      <c r="I180" s="250" t="str">
        <f>IF(COUNTBLANK(E180:H180)=4,"",SUM(E180:G180)+IF(Setup!$I$15="No",0,H180))</f>
        <v/>
      </c>
      <c r="J180" s="191"/>
      <c r="K180" s="191"/>
      <c r="L180" s="191"/>
      <c r="M180" s="191"/>
      <c r="N180" s="254" t="str">
        <f>IF(COUNTBLANK(J180:M180)=4,"",SUM(J180:L180)+IF(Setup!$I$15="No",0,M180))</f>
        <v/>
      </c>
      <c r="O180" s="191"/>
      <c r="P180" s="191"/>
      <c r="Q180" s="191"/>
      <c r="R180" s="191"/>
      <c r="S180" s="254" t="str">
        <f>IF(COUNTBLANK(O180:R180)=4,"",SUM(O180:Q180)+IF(Setup!$I$15="No",0,R180))</f>
        <v/>
      </c>
      <c r="T180" s="191"/>
      <c r="U180" s="191"/>
      <c r="V180" s="191"/>
      <c r="W180" s="191"/>
      <c r="X180" s="254" t="str">
        <f>IF(COUNTBLANK(T180:W180)=4,"",SUM(T180:V180)+IF(Setup!$I$15="No",0,W180))</f>
        <v/>
      </c>
      <c r="Y180" s="191"/>
      <c r="Z180" s="191"/>
      <c r="AA180" s="191"/>
      <c r="AB180" s="191"/>
      <c r="AC180" s="254" t="str">
        <f>IF(COUNTBLANK(Y180:AB180)=4,"",SUM(Y180:AA180)+IF(Setup!$I$15="No",0,AB180))</f>
        <v/>
      </c>
      <c r="AD180" s="191"/>
      <c r="AE180" s="191"/>
      <c r="AF180" s="191"/>
      <c r="AG180" s="191"/>
      <c r="AH180" s="254" t="str">
        <f>IF(COUNTBLANK(AD180:AG180)=4,"",SUM(AD180:AF180)+IF(Setup!$I$15="No",0,AG180))</f>
        <v/>
      </c>
      <c r="AI180" s="191"/>
      <c r="AJ180" s="191"/>
      <c r="AK180" s="191"/>
      <c r="AL180" s="191"/>
      <c r="AM180" s="254" t="str">
        <f>IF(COUNTBLANK(AI180:AL180)=4,"",SUM(AI180:AK180)+IF(Setup!$I$15="No",0,AL180))</f>
        <v/>
      </c>
      <c r="AN180" s="191"/>
      <c r="AO180" s="191"/>
      <c r="AP180" s="191"/>
      <c r="AQ180" s="191"/>
      <c r="AR180" s="254" t="str">
        <f>IF(COUNTBLANK(AN180:AQ180)=4,"",SUM(AN180:AP180)+IF(Setup!$I$15="No",0,AQ180))</f>
        <v/>
      </c>
      <c r="AS180" s="191"/>
      <c r="AT180" s="191"/>
      <c r="AU180" s="191"/>
      <c r="AV180" s="191"/>
      <c r="AW180" s="254" t="str">
        <f>IF(COUNTBLANK(AS180:AV180)=4,"",SUM(AS180:AU180)+IF(Setup!$I$15="No",0,AV180))</f>
        <v/>
      </c>
      <c r="AX180" s="191"/>
      <c r="AY180" s="191"/>
      <c r="AZ180" s="191"/>
      <c r="BA180" s="191"/>
      <c r="BB180" s="254" t="str">
        <f>IF(COUNTBLANK(AX180:BA180)=4,"",SUM(AX180:AZ180)+IF(Setup!$I$15="No",0,BA180))</f>
        <v/>
      </c>
      <c r="BC180" s="258" t="str">
        <f ca="1">IF('Demand background (hide)'!A171=Num_Modalities,"",SUM(Demand!I180))</f>
        <v/>
      </c>
      <c r="BD180" s="258" t="str">
        <f ca="1">IF(AND(A180&lt;=MaxRows,BE180&lt;&gt;"Yes"),'Demand background (hide)'!X171+IF(Setup!$I$15="Yes",'Demand background (hide)'!AJ171,0),"")</f>
        <v/>
      </c>
      <c r="BE180" s="208"/>
    </row>
    <row r="181" spans="1:57" ht="15" x14ac:dyDescent="0.25">
      <c r="A181" t="str">
        <f t="shared" ca="1" si="8"/>
        <v/>
      </c>
      <c r="B181" s="263" t="str">
        <f t="shared" ca="1" si="9"/>
        <v xml:space="preserve"> </v>
      </c>
      <c r="C181" s="264" t="str">
        <f t="shared" ca="1" si="10"/>
        <v/>
      </c>
      <c r="D181" s="264" t="str">
        <f t="shared" ca="1" si="11"/>
        <v/>
      </c>
      <c r="E181" s="191"/>
      <c r="F181" s="191"/>
      <c r="G181" s="191"/>
      <c r="H181" s="191"/>
      <c r="I181" s="250" t="str">
        <f>IF(COUNTBLANK(E181:H181)=4,"",SUM(E181:G181)+IF(Setup!$I$15="No",0,H181))</f>
        <v/>
      </c>
      <c r="J181" s="191"/>
      <c r="K181" s="191"/>
      <c r="L181" s="191"/>
      <c r="M181" s="191"/>
      <c r="N181" s="254" t="str">
        <f>IF(COUNTBLANK(J181:M181)=4,"",SUM(J181:L181)+IF(Setup!$I$15="No",0,M181))</f>
        <v/>
      </c>
      <c r="O181" s="191"/>
      <c r="P181" s="191"/>
      <c r="Q181" s="191"/>
      <c r="R181" s="191"/>
      <c r="S181" s="254" t="str">
        <f>IF(COUNTBLANK(O181:R181)=4,"",SUM(O181:Q181)+IF(Setup!$I$15="No",0,R181))</f>
        <v/>
      </c>
      <c r="T181" s="191"/>
      <c r="U181" s="191"/>
      <c r="V181" s="191"/>
      <c r="W181" s="191"/>
      <c r="X181" s="254" t="str">
        <f>IF(COUNTBLANK(T181:W181)=4,"",SUM(T181:V181)+IF(Setup!$I$15="No",0,W181))</f>
        <v/>
      </c>
      <c r="Y181" s="191"/>
      <c r="Z181" s="191"/>
      <c r="AA181" s="191"/>
      <c r="AB181" s="191"/>
      <c r="AC181" s="254" t="str">
        <f>IF(COUNTBLANK(Y181:AB181)=4,"",SUM(Y181:AA181)+IF(Setup!$I$15="No",0,AB181))</f>
        <v/>
      </c>
      <c r="AD181" s="191"/>
      <c r="AE181" s="191"/>
      <c r="AF181" s="191"/>
      <c r="AG181" s="191"/>
      <c r="AH181" s="254" t="str">
        <f>IF(COUNTBLANK(AD181:AG181)=4,"",SUM(AD181:AF181)+IF(Setup!$I$15="No",0,AG181))</f>
        <v/>
      </c>
      <c r="AI181" s="191"/>
      <c r="AJ181" s="191"/>
      <c r="AK181" s="191"/>
      <c r="AL181" s="191"/>
      <c r="AM181" s="254" t="str">
        <f>IF(COUNTBLANK(AI181:AL181)=4,"",SUM(AI181:AK181)+IF(Setup!$I$15="No",0,AL181))</f>
        <v/>
      </c>
      <c r="AN181" s="191"/>
      <c r="AO181" s="191"/>
      <c r="AP181" s="191"/>
      <c r="AQ181" s="191"/>
      <c r="AR181" s="254" t="str">
        <f>IF(COUNTBLANK(AN181:AQ181)=4,"",SUM(AN181:AP181)+IF(Setup!$I$15="No",0,AQ181))</f>
        <v/>
      </c>
      <c r="AS181" s="191"/>
      <c r="AT181" s="191"/>
      <c r="AU181" s="191"/>
      <c r="AV181" s="191"/>
      <c r="AW181" s="254" t="str">
        <f>IF(COUNTBLANK(AS181:AV181)=4,"",SUM(AS181:AU181)+IF(Setup!$I$15="No",0,AV181))</f>
        <v/>
      </c>
      <c r="AX181" s="191"/>
      <c r="AY181" s="191"/>
      <c r="AZ181" s="191"/>
      <c r="BA181" s="191"/>
      <c r="BB181" s="254" t="str">
        <f>IF(COUNTBLANK(AX181:BA181)=4,"",SUM(AX181:AZ181)+IF(Setup!$I$15="No",0,BA181))</f>
        <v/>
      </c>
      <c r="BC181" s="258" t="str">
        <f ca="1">IF('Demand background (hide)'!A172=Num_Modalities,"",SUM(Demand!I181))</f>
        <v/>
      </c>
      <c r="BD181" s="258" t="str">
        <f ca="1">IF(AND(A181&lt;=MaxRows,BE181&lt;&gt;"Yes"),'Demand background (hide)'!X172+IF(Setup!$I$15="Yes",'Demand background (hide)'!AJ172,0),"")</f>
        <v/>
      </c>
      <c r="BE181" s="208"/>
    </row>
    <row r="182" spans="1:57" ht="15" x14ac:dyDescent="0.25">
      <c r="A182" t="str">
        <f t="shared" ca="1" si="8"/>
        <v/>
      </c>
      <c r="B182" s="263" t="str">
        <f t="shared" ca="1" si="9"/>
        <v xml:space="preserve"> </v>
      </c>
      <c r="C182" s="264" t="str">
        <f t="shared" ca="1" si="10"/>
        <v/>
      </c>
      <c r="D182" s="264" t="str">
        <f t="shared" ca="1" si="11"/>
        <v/>
      </c>
      <c r="E182" s="191"/>
      <c r="F182" s="191"/>
      <c r="G182" s="191"/>
      <c r="H182" s="191"/>
      <c r="I182" s="250" t="str">
        <f>IF(COUNTBLANK(E182:H182)=4,"",SUM(E182:G182)+IF(Setup!$I$15="No",0,H182))</f>
        <v/>
      </c>
      <c r="J182" s="191"/>
      <c r="K182" s="191"/>
      <c r="L182" s="191"/>
      <c r="M182" s="191"/>
      <c r="N182" s="254" t="str">
        <f>IF(COUNTBLANK(J182:M182)=4,"",SUM(J182:L182)+IF(Setup!$I$15="No",0,M182))</f>
        <v/>
      </c>
      <c r="O182" s="191"/>
      <c r="P182" s="191"/>
      <c r="Q182" s="191"/>
      <c r="R182" s="191"/>
      <c r="S182" s="254" t="str">
        <f>IF(COUNTBLANK(O182:R182)=4,"",SUM(O182:Q182)+IF(Setup!$I$15="No",0,R182))</f>
        <v/>
      </c>
      <c r="T182" s="191"/>
      <c r="U182" s="191"/>
      <c r="V182" s="191"/>
      <c r="W182" s="191"/>
      <c r="X182" s="254" t="str">
        <f>IF(COUNTBLANK(T182:W182)=4,"",SUM(T182:V182)+IF(Setup!$I$15="No",0,W182))</f>
        <v/>
      </c>
      <c r="Y182" s="191"/>
      <c r="Z182" s="191"/>
      <c r="AA182" s="191"/>
      <c r="AB182" s="191"/>
      <c r="AC182" s="254" t="str">
        <f>IF(COUNTBLANK(Y182:AB182)=4,"",SUM(Y182:AA182)+IF(Setup!$I$15="No",0,AB182))</f>
        <v/>
      </c>
      <c r="AD182" s="191"/>
      <c r="AE182" s="191"/>
      <c r="AF182" s="191"/>
      <c r="AG182" s="191"/>
      <c r="AH182" s="254" t="str">
        <f>IF(COUNTBLANK(AD182:AG182)=4,"",SUM(AD182:AF182)+IF(Setup!$I$15="No",0,AG182))</f>
        <v/>
      </c>
      <c r="AI182" s="191"/>
      <c r="AJ182" s="191"/>
      <c r="AK182" s="191"/>
      <c r="AL182" s="191"/>
      <c r="AM182" s="254" t="str">
        <f>IF(COUNTBLANK(AI182:AL182)=4,"",SUM(AI182:AK182)+IF(Setup!$I$15="No",0,AL182))</f>
        <v/>
      </c>
      <c r="AN182" s="191"/>
      <c r="AO182" s="191"/>
      <c r="AP182" s="191"/>
      <c r="AQ182" s="191"/>
      <c r="AR182" s="254" t="str">
        <f>IF(COUNTBLANK(AN182:AQ182)=4,"",SUM(AN182:AP182)+IF(Setup!$I$15="No",0,AQ182))</f>
        <v/>
      </c>
      <c r="AS182" s="191"/>
      <c r="AT182" s="191"/>
      <c r="AU182" s="191"/>
      <c r="AV182" s="191"/>
      <c r="AW182" s="254" t="str">
        <f>IF(COUNTBLANK(AS182:AV182)=4,"",SUM(AS182:AU182)+IF(Setup!$I$15="No",0,AV182))</f>
        <v/>
      </c>
      <c r="AX182" s="191"/>
      <c r="AY182" s="191"/>
      <c r="AZ182" s="191"/>
      <c r="BA182" s="191"/>
      <c r="BB182" s="254" t="str">
        <f>IF(COUNTBLANK(AX182:BA182)=4,"",SUM(AX182:AZ182)+IF(Setup!$I$15="No",0,BA182))</f>
        <v/>
      </c>
      <c r="BC182" s="258" t="str">
        <f ca="1">IF('Demand background (hide)'!A173=Num_Modalities,"",SUM(Demand!I182))</f>
        <v/>
      </c>
      <c r="BD182" s="258" t="str">
        <f ca="1">IF(AND(A182&lt;=MaxRows,BE182&lt;&gt;"Yes"),'Demand background (hide)'!X173+IF(Setup!$I$15="Yes",'Demand background (hide)'!AJ173,0),"")</f>
        <v/>
      </c>
      <c r="BE182" s="208"/>
    </row>
    <row r="183" spans="1:57" ht="15" x14ac:dyDescent="0.25">
      <c r="A183" t="str">
        <f t="shared" ca="1" si="8"/>
        <v/>
      </c>
      <c r="B183" s="263" t="str">
        <f t="shared" ca="1" si="9"/>
        <v xml:space="preserve"> </v>
      </c>
      <c r="C183" s="264" t="str">
        <f t="shared" ca="1" si="10"/>
        <v/>
      </c>
      <c r="D183" s="264" t="str">
        <f t="shared" ca="1" si="11"/>
        <v/>
      </c>
      <c r="E183" s="191"/>
      <c r="F183" s="191"/>
      <c r="G183" s="191"/>
      <c r="H183" s="191"/>
      <c r="I183" s="250" t="str">
        <f>IF(COUNTBLANK(E183:H183)=4,"",SUM(E183:G183)+IF(Setup!$I$15="No",0,H183))</f>
        <v/>
      </c>
      <c r="J183" s="191"/>
      <c r="K183" s="191"/>
      <c r="L183" s="191"/>
      <c r="M183" s="191"/>
      <c r="N183" s="254" t="str">
        <f>IF(COUNTBLANK(J183:M183)=4,"",SUM(J183:L183)+IF(Setup!$I$15="No",0,M183))</f>
        <v/>
      </c>
      <c r="O183" s="191"/>
      <c r="P183" s="191"/>
      <c r="Q183" s="191"/>
      <c r="R183" s="191"/>
      <c r="S183" s="254" t="str">
        <f>IF(COUNTBLANK(O183:R183)=4,"",SUM(O183:Q183)+IF(Setup!$I$15="No",0,R183))</f>
        <v/>
      </c>
      <c r="T183" s="191"/>
      <c r="U183" s="191"/>
      <c r="V183" s="191"/>
      <c r="W183" s="191"/>
      <c r="X183" s="254" t="str">
        <f>IF(COUNTBLANK(T183:W183)=4,"",SUM(T183:V183)+IF(Setup!$I$15="No",0,W183))</f>
        <v/>
      </c>
      <c r="Y183" s="191"/>
      <c r="Z183" s="191"/>
      <c r="AA183" s="191"/>
      <c r="AB183" s="191"/>
      <c r="AC183" s="254" t="str">
        <f>IF(COUNTBLANK(Y183:AB183)=4,"",SUM(Y183:AA183)+IF(Setup!$I$15="No",0,AB183))</f>
        <v/>
      </c>
      <c r="AD183" s="191"/>
      <c r="AE183" s="191"/>
      <c r="AF183" s="191"/>
      <c r="AG183" s="191"/>
      <c r="AH183" s="254" t="str">
        <f>IF(COUNTBLANK(AD183:AG183)=4,"",SUM(AD183:AF183)+IF(Setup!$I$15="No",0,AG183))</f>
        <v/>
      </c>
      <c r="AI183" s="191"/>
      <c r="AJ183" s="191"/>
      <c r="AK183" s="191"/>
      <c r="AL183" s="191"/>
      <c r="AM183" s="254" t="str">
        <f>IF(COUNTBLANK(AI183:AL183)=4,"",SUM(AI183:AK183)+IF(Setup!$I$15="No",0,AL183))</f>
        <v/>
      </c>
      <c r="AN183" s="191"/>
      <c r="AO183" s="191"/>
      <c r="AP183" s="191"/>
      <c r="AQ183" s="191"/>
      <c r="AR183" s="254" t="str">
        <f>IF(COUNTBLANK(AN183:AQ183)=4,"",SUM(AN183:AP183)+IF(Setup!$I$15="No",0,AQ183))</f>
        <v/>
      </c>
      <c r="AS183" s="191"/>
      <c r="AT183" s="191"/>
      <c r="AU183" s="191"/>
      <c r="AV183" s="191"/>
      <c r="AW183" s="254" t="str">
        <f>IF(COUNTBLANK(AS183:AV183)=4,"",SUM(AS183:AU183)+IF(Setup!$I$15="No",0,AV183))</f>
        <v/>
      </c>
      <c r="AX183" s="191"/>
      <c r="AY183" s="191"/>
      <c r="AZ183" s="191"/>
      <c r="BA183" s="191"/>
      <c r="BB183" s="254" t="str">
        <f>IF(COUNTBLANK(AX183:BA183)=4,"",SUM(AX183:AZ183)+IF(Setup!$I$15="No",0,BA183))</f>
        <v/>
      </c>
      <c r="BC183" s="258" t="str">
        <f ca="1">IF('Demand background (hide)'!A174=Num_Modalities,"",SUM(Demand!I183))</f>
        <v/>
      </c>
      <c r="BD183" s="258" t="str">
        <f ca="1">IF(AND(A183&lt;=MaxRows,BE183&lt;&gt;"Yes"),'Demand background (hide)'!X174+IF(Setup!$I$15="Yes",'Demand background (hide)'!AJ174,0),"")</f>
        <v/>
      </c>
      <c r="BE183" s="208"/>
    </row>
    <row r="184" spans="1:57" ht="15" x14ac:dyDescent="0.25">
      <c r="A184" t="str">
        <f t="shared" ca="1" si="8"/>
        <v/>
      </c>
      <c r="B184" s="263" t="str">
        <f t="shared" ca="1" si="9"/>
        <v xml:space="preserve"> </v>
      </c>
      <c r="C184" s="264" t="str">
        <f t="shared" ca="1" si="10"/>
        <v/>
      </c>
      <c r="D184" s="264" t="str">
        <f t="shared" ca="1" si="11"/>
        <v/>
      </c>
      <c r="E184" s="191"/>
      <c r="F184" s="191"/>
      <c r="G184" s="191"/>
      <c r="H184" s="191"/>
      <c r="I184" s="250" t="str">
        <f>IF(COUNTBLANK(E184:H184)=4,"",SUM(E184:G184)+IF(Setup!$I$15="No",0,H184))</f>
        <v/>
      </c>
      <c r="J184" s="191"/>
      <c r="K184" s="191"/>
      <c r="L184" s="191"/>
      <c r="M184" s="191"/>
      <c r="N184" s="254" t="str">
        <f>IF(COUNTBLANK(J184:M184)=4,"",SUM(J184:L184)+IF(Setup!$I$15="No",0,M184))</f>
        <v/>
      </c>
      <c r="O184" s="191"/>
      <c r="P184" s="191"/>
      <c r="Q184" s="191"/>
      <c r="R184" s="191"/>
      <c r="S184" s="254" t="str">
        <f>IF(COUNTBLANK(O184:R184)=4,"",SUM(O184:Q184)+IF(Setup!$I$15="No",0,R184))</f>
        <v/>
      </c>
      <c r="T184" s="191"/>
      <c r="U184" s="191"/>
      <c r="V184" s="191"/>
      <c r="W184" s="191"/>
      <c r="X184" s="254" t="str">
        <f>IF(COUNTBLANK(T184:W184)=4,"",SUM(T184:V184)+IF(Setup!$I$15="No",0,W184))</f>
        <v/>
      </c>
      <c r="Y184" s="191"/>
      <c r="Z184" s="191"/>
      <c r="AA184" s="191"/>
      <c r="AB184" s="191"/>
      <c r="AC184" s="254" t="str">
        <f>IF(COUNTBLANK(Y184:AB184)=4,"",SUM(Y184:AA184)+IF(Setup!$I$15="No",0,AB184))</f>
        <v/>
      </c>
      <c r="AD184" s="191"/>
      <c r="AE184" s="191"/>
      <c r="AF184" s="191"/>
      <c r="AG184" s="191"/>
      <c r="AH184" s="254" t="str">
        <f>IF(COUNTBLANK(AD184:AG184)=4,"",SUM(AD184:AF184)+IF(Setup!$I$15="No",0,AG184))</f>
        <v/>
      </c>
      <c r="AI184" s="191"/>
      <c r="AJ184" s="191"/>
      <c r="AK184" s="191"/>
      <c r="AL184" s="191"/>
      <c r="AM184" s="254" t="str">
        <f>IF(COUNTBLANK(AI184:AL184)=4,"",SUM(AI184:AK184)+IF(Setup!$I$15="No",0,AL184))</f>
        <v/>
      </c>
      <c r="AN184" s="191"/>
      <c r="AO184" s="191"/>
      <c r="AP184" s="191"/>
      <c r="AQ184" s="191"/>
      <c r="AR184" s="254" t="str">
        <f>IF(COUNTBLANK(AN184:AQ184)=4,"",SUM(AN184:AP184)+IF(Setup!$I$15="No",0,AQ184))</f>
        <v/>
      </c>
      <c r="AS184" s="191"/>
      <c r="AT184" s="191"/>
      <c r="AU184" s="191"/>
      <c r="AV184" s="191"/>
      <c r="AW184" s="254" t="str">
        <f>IF(COUNTBLANK(AS184:AV184)=4,"",SUM(AS184:AU184)+IF(Setup!$I$15="No",0,AV184))</f>
        <v/>
      </c>
      <c r="AX184" s="191"/>
      <c r="AY184" s="191"/>
      <c r="AZ184" s="191"/>
      <c r="BA184" s="191"/>
      <c r="BB184" s="254" t="str">
        <f>IF(COUNTBLANK(AX184:BA184)=4,"",SUM(AX184:AZ184)+IF(Setup!$I$15="No",0,BA184))</f>
        <v/>
      </c>
      <c r="BC184" s="258" t="str">
        <f ca="1">IF('Demand background (hide)'!A175=Num_Modalities,"",SUM(Demand!I184))</f>
        <v/>
      </c>
      <c r="BD184" s="258" t="str">
        <f ca="1">IF(AND(A184&lt;=MaxRows,BE184&lt;&gt;"Yes"),'Demand background (hide)'!X175+IF(Setup!$I$15="Yes",'Demand background (hide)'!AJ175,0),"")</f>
        <v/>
      </c>
      <c r="BE184" s="208"/>
    </row>
    <row r="185" spans="1:57" ht="15" x14ac:dyDescent="0.25">
      <c r="A185" t="str">
        <f t="shared" ca="1" si="8"/>
        <v/>
      </c>
      <c r="B185" s="263" t="str">
        <f t="shared" ca="1" si="9"/>
        <v xml:space="preserve"> </v>
      </c>
      <c r="C185" s="264" t="str">
        <f t="shared" ca="1" si="10"/>
        <v/>
      </c>
      <c r="D185" s="264" t="str">
        <f t="shared" ca="1" si="11"/>
        <v/>
      </c>
      <c r="E185" s="191"/>
      <c r="F185" s="191"/>
      <c r="G185" s="191"/>
      <c r="H185" s="191"/>
      <c r="I185" s="250" t="str">
        <f>IF(COUNTBLANK(E185:H185)=4,"",SUM(E185:G185)+IF(Setup!$I$15="No",0,H185))</f>
        <v/>
      </c>
      <c r="J185" s="191"/>
      <c r="K185" s="191"/>
      <c r="L185" s="191"/>
      <c r="M185" s="191"/>
      <c r="N185" s="254" t="str">
        <f>IF(COUNTBLANK(J185:M185)=4,"",SUM(J185:L185)+IF(Setup!$I$15="No",0,M185))</f>
        <v/>
      </c>
      <c r="O185" s="191"/>
      <c r="P185" s="191"/>
      <c r="Q185" s="191"/>
      <c r="R185" s="191"/>
      <c r="S185" s="254" t="str">
        <f>IF(COUNTBLANK(O185:R185)=4,"",SUM(O185:Q185)+IF(Setup!$I$15="No",0,R185))</f>
        <v/>
      </c>
      <c r="T185" s="191"/>
      <c r="U185" s="191"/>
      <c r="V185" s="191"/>
      <c r="W185" s="191"/>
      <c r="X185" s="254" t="str">
        <f>IF(COUNTBLANK(T185:W185)=4,"",SUM(T185:V185)+IF(Setup!$I$15="No",0,W185))</f>
        <v/>
      </c>
      <c r="Y185" s="191"/>
      <c r="Z185" s="191"/>
      <c r="AA185" s="191"/>
      <c r="AB185" s="191"/>
      <c r="AC185" s="254" t="str">
        <f>IF(COUNTBLANK(Y185:AB185)=4,"",SUM(Y185:AA185)+IF(Setup!$I$15="No",0,AB185))</f>
        <v/>
      </c>
      <c r="AD185" s="191"/>
      <c r="AE185" s="191"/>
      <c r="AF185" s="191"/>
      <c r="AG185" s="191"/>
      <c r="AH185" s="254" t="str">
        <f>IF(COUNTBLANK(AD185:AG185)=4,"",SUM(AD185:AF185)+IF(Setup!$I$15="No",0,AG185))</f>
        <v/>
      </c>
      <c r="AI185" s="191"/>
      <c r="AJ185" s="191"/>
      <c r="AK185" s="191"/>
      <c r="AL185" s="191"/>
      <c r="AM185" s="254" t="str">
        <f>IF(COUNTBLANK(AI185:AL185)=4,"",SUM(AI185:AK185)+IF(Setup!$I$15="No",0,AL185))</f>
        <v/>
      </c>
      <c r="AN185" s="191"/>
      <c r="AO185" s="191"/>
      <c r="AP185" s="191"/>
      <c r="AQ185" s="191"/>
      <c r="AR185" s="254" t="str">
        <f>IF(COUNTBLANK(AN185:AQ185)=4,"",SUM(AN185:AP185)+IF(Setup!$I$15="No",0,AQ185))</f>
        <v/>
      </c>
      <c r="AS185" s="191"/>
      <c r="AT185" s="191"/>
      <c r="AU185" s="191"/>
      <c r="AV185" s="191"/>
      <c r="AW185" s="254" t="str">
        <f>IF(COUNTBLANK(AS185:AV185)=4,"",SUM(AS185:AU185)+IF(Setup!$I$15="No",0,AV185))</f>
        <v/>
      </c>
      <c r="AX185" s="191"/>
      <c r="AY185" s="191"/>
      <c r="AZ185" s="191"/>
      <c r="BA185" s="191"/>
      <c r="BB185" s="254" t="str">
        <f>IF(COUNTBLANK(AX185:BA185)=4,"",SUM(AX185:AZ185)+IF(Setup!$I$15="No",0,BA185))</f>
        <v/>
      </c>
      <c r="BC185" s="258" t="str">
        <f ca="1">IF('Demand background (hide)'!A176=Num_Modalities,"",SUM(Demand!I185))</f>
        <v/>
      </c>
      <c r="BD185" s="258" t="str">
        <f ca="1">IF(AND(A185&lt;=MaxRows,BE185&lt;&gt;"Yes"),'Demand background (hide)'!X176+IF(Setup!$I$15="Yes",'Demand background (hide)'!AJ176,0),"")</f>
        <v/>
      </c>
      <c r="BE185" s="208"/>
    </row>
    <row r="186" spans="1:57" ht="15" x14ac:dyDescent="0.25">
      <c r="A186" t="str">
        <f t="shared" ca="1" si="8"/>
        <v/>
      </c>
      <c r="B186" s="263" t="str">
        <f t="shared" ca="1" si="9"/>
        <v xml:space="preserve"> </v>
      </c>
      <c r="C186" s="264" t="str">
        <f t="shared" ca="1" si="10"/>
        <v/>
      </c>
      <c r="D186" s="264" t="str">
        <f t="shared" ca="1" si="11"/>
        <v/>
      </c>
      <c r="E186" s="191"/>
      <c r="F186" s="191"/>
      <c r="G186" s="191"/>
      <c r="H186" s="191"/>
      <c r="I186" s="250" t="str">
        <f>IF(COUNTBLANK(E186:H186)=4,"",SUM(E186:G186)+IF(Setup!$I$15="No",0,H186))</f>
        <v/>
      </c>
      <c r="J186" s="191"/>
      <c r="K186" s="191"/>
      <c r="L186" s="191"/>
      <c r="M186" s="191"/>
      <c r="N186" s="254" t="str">
        <f>IF(COUNTBLANK(J186:M186)=4,"",SUM(J186:L186)+IF(Setup!$I$15="No",0,M186))</f>
        <v/>
      </c>
      <c r="O186" s="191"/>
      <c r="P186" s="191"/>
      <c r="Q186" s="191"/>
      <c r="R186" s="191"/>
      <c r="S186" s="254" t="str">
        <f>IF(COUNTBLANK(O186:R186)=4,"",SUM(O186:Q186)+IF(Setup!$I$15="No",0,R186))</f>
        <v/>
      </c>
      <c r="T186" s="191"/>
      <c r="U186" s="191"/>
      <c r="V186" s="191"/>
      <c r="W186" s="191"/>
      <c r="X186" s="254" t="str">
        <f>IF(COUNTBLANK(T186:W186)=4,"",SUM(T186:V186)+IF(Setup!$I$15="No",0,W186))</f>
        <v/>
      </c>
      <c r="Y186" s="191"/>
      <c r="Z186" s="191"/>
      <c r="AA186" s="191"/>
      <c r="AB186" s="191"/>
      <c r="AC186" s="254" t="str">
        <f>IF(COUNTBLANK(Y186:AB186)=4,"",SUM(Y186:AA186)+IF(Setup!$I$15="No",0,AB186))</f>
        <v/>
      </c>
      <c r="AD186" s="191"/>
      <c r="AE186" s="191"/>
      <c r="AF186" s="191"/>
      <c r="AG186" s="191"/>
      <c r="AH186" s="254" t="str">
        <f>IF(COUNTBLANK(AD186:AG186)=4,"",SUM(AD186:AF186)+IF(Setup!$I$15="No",0,AG186))</f>
        <v/>
      </c>
      <c r="AI186" s="191"/>
      <c r="AJ186" s="191"/>
      <c r="AK186" s="191"/>
      <c r="AL186" s="191"/>
      <c r="AM186" s="254" t="str">
        <f>IF(COUNTBLANK(AI186:AL186)=4,"",SUM(AI186:AK186)+IF(Setup!$I$15="No",0,AL186))</f>
        <v/>
      </c>
      <c r="AN186" s="191"/>
      <c r="AO186" s="191"/>
      <c r="AP186" s="191"/>
      <c r="AQ186" s="191"/>
      <c r="AR186" s="254" t="str">
        <f>IF(COUNTBLANK(AN186:AQ186)=4,"",SUM(AN186:AP186)+IF(Setup!$I$15="No",0,AQ186))</f>
        <v/>
      </c>
      <c r="AS186" s="191"/>
      <c r="AT186" s="191"/>
      <c r="AU186" s="191"/>
      <c r="AV186" s="191"/>
      <c r="AW186" s="254" t="str">
        <f>IF(COUNTBLANK(AS186:AV186)=4,"",SUM(AS186:AU186)+IF(Setup!$I$15="No",0,AV186))</f>
        <v/>
      </c>
      <c r="AX186" s="191"/>
      <c r="AY186" s="191"/>
      <c r="AZ186" s="191"/>
      <c r="BA186" s="191"/>
      <c r="BB186" s="254" t="str">
        <f>IF(COUNTBLANK(AX186:BA186)=4,"",SUM(AX186:AZ186)+IF(Setup!$I$15="No",0,BA186))</f>
        <v/>
      </c>
      <c r="BC186" s="258" t="str">
        <f ca="1">IF('Demand background (hide)'!A177=Num_Modalities,"",SUM(Demand!I186))</f>
        <v/>
      </c>
      <c r="BD186" s="258" t="str">
        <f ca="1">IF(AND(A186&lt;=MaxRows,BE186&lt;&gt;"Yes"),'Demand background (hide)'!X177+IF(Setup!$I$15="Yes",'Demand background (hide)'!AJ177,0),"")</f>
        <v/>
      </c>
      <c r="BE186" s="208"/>
    </row>
    <row r="187" spans="1:57" ht="15" x14ac:dyDescent="0.25">
      <c r="A187" t="str">
        <f t="shared" ca="1" si="8"/>
        <v/>
      </c>
      <c r="B187" s="263" t="str">
        <f t="shared" ca="1" si="9"/>
        <v xml:space="preserve"> </v>
      </c>
      <c r="C187" s="264" t="str">
        <f t="shared" ca="1" si="10"/>
        <v/>
      </c>
      <c r="D187" s="264" t="str">
        <f t="shared" ca="1" si="11"/>
        <v/>
      </c>
      <c r="E187" s="191"/>
      <c r="F187" s="191"/>
      <c r="G187" s="191"/>
      <c r="H187" s="191"/>
      <c r="I187" s="250" t="str">
        <f>IF(COUNTBLANK(E187:H187)=4,"",SUM(E187:G187)+IF(Setup!$I$15="No",0,H187))</f>
        <v/>
      </c>
      <c r="J187" s="191"/>
      <c r="K187" s="191"/>
      <c r="L187" s="191"/>
      <c r="M187" s="191"/>
      <c r="N187" s="254" t="str">
        <f>IF(COUNTBLANK(J187:M187)=4,"",SUM(J187:L187)+IF(Setup!$I$15="No",0,M187))</f>
        <v/>
      </c>
      <c r="O187" s="191"/>
      <c r="P187" s="191"/>
      <c r="Q187" s="191"/>
      <c r="R187" s="191"/>
      <c r="S187" s="254" t="str">
        <f>IF(COUNTBLANK(O187:R187)=4,"",SUM(O187:Q187)+IF(Setup!$I$15="No",0,R187))</f>
        <v/>
      </c>
      <c r="T187" s="191"/>
      <c r="U187" s="191"/>
      <c r="V187" s="191"/>
      <c r="W187" s="191"/>
      <c r="X187" s="254" t="str">
        <f>IF(COUNTBLANK(T187:W187)=4,"",SUM(T187:V187)+IF(Setup!$I$15="No",0,W187))</f>
        <v/>
      </c>
      <c r="Y187" s="191"/>
      <c r="Z187" s="191"/>
      <c r="AA187" s="191"/>
      <c r="AB187" s="191"/>
      <c r="AC187" s="254" t="str">
        <f>IF(COUNTBLANK(Y187:AB187)=4,"",SUM(Y187:AA187)+IF(Setup!$I$15="No",0,AB187))</f>
        <v/>
      </c>
      <c r="AD187" s="191"/>
      <c r="AE187" s="191"/>
      <c r="AF187" s="191"/>
      <c r="AG187" s="191"/>
      <c r="AH187" s="254" t="str">
        <f>IF(COUNTBLANK(AD187:AG187)=4,"",SUM(AD187:AF187)+IF(Setup!$I$15="No",0,AG187))</f>
        <v/>
      </c>
      <c r="AI187" s="191"/>
      <c r="AJ187" s="191"/>
      <c r="AK187" s="191"/>
      <c r="AL187" s="191"/>
      <c r="AM187" s="254" t="str">
        <f>IF(COUNTBLANK(AI187:AL187)=4,"",SUM(AI187:AK187)+IF(Setup!$I$15="No",0,AL187))</f>
        <v/>
      </c>
      <c r="AN187" s="191"/>
      <c r="AO187" s="191"/>
      <c r="AP187" s="191"/>
      <c r="AQ187" s="191"/>
      <c r="AR187" s="254" t="str">
        <f>IF(COUNTBLANK(AN187:AQ187)=4,"",SUM(AN187:AP187)+IF(Setup!$I$15="No",0,AQ187))</f>
        <v/>
      </c>
      <c r="AS187" s="191"/>
      <c r="AT187" s="191"/>
      <c r="AU187" s="191"/>
      <c r="AV187" s="191"/>
      <c r="AW187" s="254" t="str">
        <f>IF(COUNTBLANK(AS187:AV187)=4,"",SUM(AS187:AU187)+IF(Setup!$I$15="No",0,AV187))</f>
        <v/>
      </c>
      <c r="AX187" s="191"/>
      <c r="AY187" s="191"/>
      <c r="AZ187" s="191"/>
      <c r="BA187" s="191"/>
      <c r="BB187" s="254" t="str">
        <f>IF(COUNTBLANK(AX187:BA187)=4,"",SUM(AX187:AZ187)+IF(Setup!$I$15="No",0,BA187))</f>
        <v/>
      </c>
      <c r="BC187" s="258" t="str">
        <f ca="1">IF('Demand background (hide)'!A178=Num_Modalities,"",SUM(Demand!I187))</f>
        <v/>
      </c>
      <c r="BD187" s="258" t="str">
        <f ca="1">IF(AND(A187&lt;=MaxRows,BE187&lt;&gt;"Yes"),'Demand background (hide)'!X178+IF(Setup!$I$15="Yes",'Demand background (hide)'!AJ178,0),"")</f>
        <v/>
      </c>
      <c r="BE187" s="208"/>
    </row>
    <row r="188" spans="1:57" ht="15" x14ac:dyDescent="0.25">
      <c r="A188" t="str">
        <f t="shared" ca="1" si="8"/>
        <v/>
      </c>
      <c r="B188" s="263" t="str">
        <f t="shared" ca="1" si="9"/>
        <v xml:space="preserve"> </v>
      </c>
      <c r="C188" s="264" t="str">
        <f t="shared" ca="1" si="10"/>
        <v/>
      </c>
      <c r="D188" s="264" t="str">
        <f t="shared" ca="1" si="11"/>
        <v/>
      </c>
      <c r="E188" s="191"/>
      <c r="F188" s="191"/>
      <c r="G188" s="191"/>
      <c r="H188" s="191"/>
      <c r="I188" s="250" t="str">
        <f>IF(COUNTBLANK(E188:H188)=4,"",SUM(E188:G188)+IF(Setup!$I$15="No",0,H188))</f>
        <v/>
      </c>
      <c r="J188" s="191"/>
      <c r="K188" s="191"/>
      <c r="L188" s="191"/>
      <c r="M188" s="191"/>
      <c r="N188" s="254" t="str">
        <f>IF(COUNTBLANK(J188:M188)=4,"",SUM(J188:L188)+IF(Setup!$I$15="No",0,M188))</f>
        <v/>
      </c>
      <c r="O188" s="191"/>
      <c r="P188" s="191"/>
      <c r="Q188" s="191"/>
      <c r="R188" s="191"/>
      <c r="S188" s="254" t="str">
        <f>IF(COUNTBLANK(O188:R188)=4,"",SUM(O188:Q188)+IF(Setup!$I$15="No",0,R188))</f>
        <v/>
      </c>
      <c r="T188" s="191"/>
      <c r="U188" s="191"/>
      <c r="V188" s="191"/>
      <c r="W188" s="191"/>
      <c r="X188" s="254" t="str">
        <f>IF(COUNTBLANK(T188:W188)=4,"",SUM(T188:V188)+IF(Setup!$I$15="No",0,W188))</f>
        <v/>
      </c>
      <c r="Y188" s="191"/>
      <c r="Z188" s="191"/>
      <c r="AA188" s="191"/>
      <c r="AB188" s="191"/>
      <c r="AC188" s="254" t="str">
        <f>IF(COUNTBLANK(Y188:AB188)=4,"",SUM(Y188:AA188)+IF(Setup!$I$15="No",0,AB188))</f>
        <v/>
      </c>
      <c r="AD188" s="191"/>
      <c r="AE188" s="191"/>
      <c r="AF188" s="191"/>
      <c r="AG188" s="191"/>
      <c r="AH188" s="254" t="str">
        <f>IF(COUNTBLANK(AD188:AG188)=4,"",SUM(AD188:AF188)+IF(Setup!$I$15="No",0,AG188))</f>
        <v/>
      </c>
      <c r="AI188" s="191"/>
      <c r="AJ188" s="191"/>
      <c r="AK188" s="191"/>
      <c r="AL188" s="191"/>
      <c r="AM188" s="254" t="str">
        <f>IF(COUNTBLANK(AI188:AL188)=4,"",SUM(AI188:AK188)+IF(Setup!$I$15="No",0,AL188))</f>
        <v/>
      </c>
      <c r="AN188" s="191"/>
      <c r="AO188" s="191"/>
      <c r="AP188" s="191"/>
      <c r="AQ188" s="191"/>
      <c r="AR188" s="254" t="str">
        <f>IF(COUNTBLANK(AN188:AQ188)=4,"",SUM(AN188:AP188)+IF(Setup!$I$15="No",0,AQ188))</f>
        <v/>
      </c>
      <c r="AS188" s="191"/>
      <c r="AT188" s="191"/>
      <c r="AU188" s="191"/>
      <c r="AV188" s="191"/>
      <c r="AW188" s="254" t="str">
        <f>IF(COUNTBLANK(AS188:AV188)=4,"",SUM(AS188:AU188)+IF(Setup!$I$15="No",0,AV188))</f>
        <v/>
      </c>
      <c r="AX188" s="191"/>
      <c r="AY188" s="191"/>
      <c r="AZ188" s="191"/>
      <c r="BA188" s="191"/>
      <c r="BB188" s="254" t="str">
        <f>IF(COUNTBLANK(AX188:BA188)=4,"",SUM(AX188:AZ188)+IF(Setup!$I$15="No",0,BA188))</f>
        <v/>
      </c>
      <c r="BC188" s="258" t="str">
        <f ca="1">IF('Demand background (hide)'!A179=Num_Modalities,"",SUM(Demand!I188))</f>
        <v/>
      </c>
      <c r="BD188" s="258" t="str">
        <f ca="1">IF(AND(A188&lt;=MaxRows,BE188&lt;&gt;"Yes"),'Demand background (hide)'!X179+IF(Setup!$I$15="Yes",'Demand background (hide)'!AJ179,0),"")</f>
        <v/>
      </c>
      <c r="BE188" s="208"/>
    </row>
    <row r="189" spans="1:57" ht="15" x14ac:dyDescent="0.25">
      <c r="A189" t="str">
        <f t="shared" ca="1" si="8"/>
        <v/>
      </c>
      <c r="B189" s="263" t="str">
        <f t="shared" ca="1" si="9"/>
        <v xml:space="preserve"> </v>
      </c>
      <c r="C189" s="264" t="str">
        <f t="shared" ca="1" si="10"/>
        <v/>
      </c>
      <c r="D189" s="264" t="str">
        <f t="shared" ca="1" si="11"/>
        <v/>
      </c>
      <c r="E189" s="191"/>
      <c r="F189" s="191"/>
      <c r="G189" s="191"/>
      <c r="H189" s="191"/>
      <c r="I189" s="250" t="str">
        <f>IF(COUNTBLANK(E189:H189)=4,"",SUM(E189:G189)+IF(Setup!$I$15="No",0,H189))</f>
        <v/>
      </c>
      <c r="J189" s="191"/>
      <c r="K189" s="191"/>
      <c r="L189" s="191"/>
      <c r="M189" s="191"/>
      <c r="N189" s="254" t="str">
        <f>IF(COUNTBLANK(J189:M189)=4,"",SUM(J189:L189)+IF(Setup!$I$15="No",0,M189))</f>
        <v/>
      </c>
      <c r="O189" s="191"/>
      <c r="P189" s="191"/>
      <c r="Q189" s="191"/>
      <c r="R189" s="191"/>
      <c r="S189" s="254" t="str">
        <f>IF(COUNTBLANK(O189:R189)=4,"",SUM(O189:Q189)+IF(Setup!$I$15="No",0,R189))</f>
        <v/>
      </c>
      <c r="T189" s="191"/>
      <c r="U189" s="191"/>
      <c r="V189" s="191"/>
      <c r="W189" s="191"/>
      <c r="X189" s="254" t="str">
        <f>IF(COUNTBLANK(T189:W189)=4,"",SUM(T189:V189)+IF(Setup!$I$15="No",0,W189))</f>
        <v/>
      </c>
      <c r="Y189" s="191"/>
      <c r="Z189" s="191"/>
      <c r="AA189" s="191"/>
      <c r="AB189" s="191"/>
      <c r="AC189" s="254" t="str">
        <f>IF(COUNTBLANK(Y189:AB189)=4,"",SUM(Y189:AA189)+IF(Setup!$I$15="No",0,AB189))</f>
        <v/>
      </c>
      <c r="AD189" s="191"/>
      <c r="AE189" s="191"/>
      <c r="AF189" s="191"/>
      <c r="AG189" s="191"/>
      <c r="AH189" s="254" t="str">
        <f>IF(COUNTBLANK(AD189:AG189)=4,"",SUM(AD189:AF189)+IF(Setup!$I$15="No",0,AG189))</f>
        <v/>
      </c>
      <c r="AI189" s="191"/>
      <c r="AJ189" s="191"/>
      <c r="AK189" s="191"/>
      <c r="AL189" s="191"/>
      <c r="AM189" s="254" t="str">
        <f>IF(COUNTBLANK(AI189:AL189)=4,"",SUM(AI189:AK189)+IF(Setup!$I$15="No",0,AL189))</f>
        <v/>
      </c>
      <c r="AN189" s="191"/>
      <c r="AO189" s="191"/>
      <c r="AP189" s="191"/>
      <c r="AQ189" s="191"/>
      <c r="AR189" s="254" t="str">
        <f>IF(COUNTBLANK(AN189:AQ189)=4,"",SUM(AN189:AP189)+IF(Setup!$I$15="No",0,AQ189))</f>
        <v/>
      </c>
      <c r="AS189" s="191"/>
      <c r="AT189" s="191"/>
      <c r="AU189" s="191"/>
      <c r="AV189" s="191"/>
      <c r="AW189" s="254" t="str">
        <f>IF(COUNTBLANK(AS189:AV189)=4,"",SUM(AS189:AU189)+IF(Setup!$I$15="No",0,AV189))</f>
        <v/>
      </c>
      <c r="AX189" s="191"/>
      <c r="AY189" s="191"/>
      <c r="AZ189" s="191"/>
      <c r="BA189" s="191"/>
      <c r="BB189" s="254" t="str">
        <f>IF(COUNTBLANK(AX189:BA189)=4,"",SUM(AX189:AZ189)+IF(Setup!$I$15="No",0,BA189))</f>
        <v/>
      </c>
      <c r="BC189" s="258" t="str">
        <f ca="1">IF('Demand background (hide)'!A180=Num_Modalities,"",SUM(Demand!I189))</f>
        <v/>
      </c>
      <c r="BD189" s="258" t="str">
        <f ca="1">IF(AND(A189&lt;=MaxRows,BE189&lt;&gt;"Yes"),'Demand background (hide)'!X180+IF(Setup!$I$15="Yes",'Demand background (hide)'!AJ180,0),"")</f>
        <v/>
      </c>
      <c r="BE189" s="208"/>
    </row>
    <row r="190" spans="1:57" ht="15" x14ac:dyDescent="0.25">
      <c r="A190" t="str">
        <f t="shared" ca="1" si="8"/>
        <v/>
      </c>
      <c r="B190" s="263" t="str">
        <f t="shared" ca="1" si="9"/>
        <v xml:space="preserve"> </v>
      </c>
      <c r="C190" s="264" t="str">
        <f t="shared" ca="1" si="10"/>
        <v/>
      </c>
      <c r="D190" s="264" t="str">
        <f t="shared" ca="1" si="11"/>
        <v/>
      </c>
      <c r="E190" s="191"/>
      <c r="F190" s="191"/>
      <c r="G190" s="191"/>
      <c r="H190" s="191"/>
      <c r="I190" s="250" t="str">
        <f>IF(COUNTBLANK(E190:H190)=4,"",SUM(E190:G190)+IF(Setup!$I$15="No",0,H190))</f>
        <v/>
      </c>
      <c r="J190" s="191"/>
      <c r="K190" s="191"/>
      <c r="L190" s="191"/>
      <c r="M190" s="191"/>
      <c r="N190" s="254" t="str">
        <f>IF(COUNTBLANK(J190:M190)=4,"",SUM(J190:L190)+IF(Setup!$I$15="No",0,M190))</f>
        <v/>
      </c>
      <c r="O190" s="191"/>
      <c r="P190" s="191"/>
      <c r="Q190" s="191"/>
      <c r="R190" s="191"/>
      <c r="S190" s="254" t="str">
        <f>IF(COUNTBLANK(O190:R190)=4,"",SUM(O190:Q190)+IF(Setup!$I$15="No",0,R190))</f>
        <v/>
      </c>
      <c r="T190" s="191"/>
      <c r="U190" s="191"/>
      <c r="V190" s="191"/>
      <c r="W190" s="191"/>
      <c r="X190" s="254" t="str">
        <f>IF(COUNTBLANK(T190:W190)=4,"",SUM(T190:V190)+IF(Setup!$I$15="No",0,W190))</f>
        <v/>
      </c>
      <c r="Y190" s="191"/>
      <c r="Z190" s="191"/>
      <c r="AA190" s="191"/>
      <c r="AB190" s="191"/>
      <c r="AC190" s="254" t="str">
        <f>IF(COUNTBLANK(Y190:AB190)=4,"",SUM(Y190:AA190)+IF(Setup!$I$15="No",0,AB190))</f>
        <v/>
      </c>
      <c r="AD190" s="191"/>
      <c r="AE190" s="191"/>
      <c r="AF190" s="191"/>
      <c r="AG190" s="191"/>
      <c r="AH190" s="254" t="str">
        <f>IF(COUNTBLANK(AD190:AG190)=4,"",SUM(AD190:AF190)+IF(Setup!$I$15="No",0,AG190))</f>
        <v/>
      </c>
      <c r="AI190" s="191"/>
      <c r="AJ190" s="191"/>
      <c r="AK190" s="191"/>
      <c r="AL190" s="191"/>
      <c r="AM190" s="254" t="str">
        <f>IF(COUNTBLANK(AI190:AL190)=4,"",SUM(AI190:AK190)+IF(Setup!$I$15="No",0,AL190))</f>
        <v/>
      </c>
      <c r="AN190" s="191"/>
      <c r="AO190" s="191"/>
      <c r="AP190" s="191"/>
      <c r="AQ190" s="191"/>
      <c r="AR190" s="254" t="str">
        <f>IF(COUNTBLANK(AN190:AQ190)=4,"",SUM(AN190:AP190)+IF(Setup!$I$15="No",0,AQ190))</f>
        <v/>
      </c>
      <c r="AS190" s="191"/>
      <c r="AT190" s="191"/>
      <c r="AU190" s="191"/>
      <c r="AV190" s="191"/>
      <c r="AW190" s="254" t="str">
        <f>IF(COUNTBLANK(AS190:AV190)=4,"",SUM(AS190:AU190)+IF(Setup!$I$15="No",0,AV190))</f>
        <v/>
      </c>
      <c r="AX190" s="191"/>
      <c r="AY190" s="191"/>
      <c r="AZ190" s="191"/>
      <c r="BA190" s="191"/>
      <c r="BB190" s="254" t="str">
        <f>IF(COUNTBLANK(AX190:BA190)=4,"",SUM(AX190:AZ190)+IF(Setup!$I$15="No",0,BA190))</f>
        <v/>
      </c>
      <c r="BC190" s="258" t="str">
        <f ca="1">IF('Demand background (hide)'!A181=Num_Modalities,"",SUM(Demand!I190))</f>
        <v/>
      </c>
      <c r="BD190" s="258" t="str">
        <f ca="1">IF(AND(A190&lt;=MaxRows,BE190&lt;&gt;"Yes"),'Demand background (hide)'!X181+IF(Setup!$I$15="Yes",'Demand background (hide)'!AJ181,0),"")</f>
        <v/>
      </c>
      <c r="BE190" s="208"/>
    </row>
    <row r="191" spans="1:57" ht="15" x14ac:dyDescent="0.25">
      <c r="A191" t="str">
        <f t="shared" ca="1" si="8"/>
        <v/>
      </c>
      <c r="B191" s="263" t="str">
        <f t="shared" ca="1" si="9"/>
        <v xml:space="preserve"> </v>
      </c>
      <c r="C191" s="264" t="str">
        <f t="shared" ca="1" si="10"/>
        <v/>
      </c>
      <c r="D191" s="264" t="str">
        <f t="shared" ca="1" si="11"/>
        <v/>
      </c>
      <c r="E191" s="191"/>
      <c r="F191" s="191"/>
      <c r="G191" s="191"/>
      <c r="H191" s="191"/>
      <c r="I191" s="250" t="str">
        <f>IF(COUNTBLANK(E191:H191)=4,"",SUM(E191:G191)+IF(Setup!$I$15="No",0,H191))</f>
        <v/>
      </c>
      <c r="J191" s="191"/>
      <c r="K191" s="191"/>
      <c r="L191" s="191"/>
      <c r="M191" s="191"/>
      <c r="N191" s="254" t="str">
        <f>IF(COUNTBLANK(J191:M191)=4,"",SUM(J191:L191)+IF(Setup!$I$15="No",0,M191))</f>
        <v/>
      </c>
      <c r="O191" s="191"/>
      <c r="P191" s="191"/>
      <c r="Q191" s="191"/>
      <c r="R191" s="191"/>
      <c r="S191" s="254" t="str">
        <f>IF(COUNTBLANK(O191:R191)=4,"",SUM(O191:Q191)+IF(Setup!$I$15="No",0,R191))</f>
        <v/>
      </c>
      <c r="T191" s="191"/>
      <c r="U191" s="191"/>
      <c r="V191" s="191"/>
      <c r="W191" s="191"/>
      <c r="X191" s="254" t="str">
        <f>IF(COUNTBLANK(T191:W191)=4,"",SUM(T191:V191)+IF(Setup!$I$15="No",0,W191))</f>
        <v/>
      </c>
      <c r="Y191" s="191"/>
      <c r="Z191" s="191"/>
      <c r="AA191" s="191"/>
      <c r="AB191" s="191"/>
      <c r="AC191" s="254" t="str">
        <f>IF(COUNTBLANK(Y191:AB191)=4,"",SUM(Y191:AA191)+IF(Setup!$I$15="No",0,AB191))</f>
        <v/>
      </c>
      <c r="AD191" s="191"/>
      <c r="AE191" s="191"/>
      <c r="AF191" s="191"/>
      <c r="AG191" s="191"/>
      <c r="AH191" s="254" t="str">
        <f>IF(COUNTBLANK(AD191:AG191)=4,"",SUM(AD191:AF191)+IF(Setup!$I$15="No",0,AG191))</f>
        <v/>
      </c>
      <c r="AI191" s="191"/>
      <c r="AJ191" s="191"/>
      <c r="AK191" s="191"/>
      <c r="AL191" s="191"/>
      <c r="AM191" s="254" t="str">
        <f>IF(COUNTBLANK(AI191:AL191)=4,"",SUM(AI191:AK191)+IF(Setup!$I$15="No",0,AL191))</f>
        <v/>
      </c>
      <c r="AN191" s="191"/>
      <c r="AO191" s="191"/>
      <c r="AP191" s="191"/>
      <c r="AQ191" s="191"/>
      <c r="AR191" s="254" t="str">
        <f>IF(COUNTBLANK(AN191:AQ191)=4,"",SUM(AN191:AP191)+IF(Setup!$I$15="No",0,AQ191))</f>
        <v/>
      </c>
      <c r="AS191" s="191"/>
      <c r="AT191" s="191"/>
      <c r="AU191" s="191"/>
      <c r="AV191" s="191"/>
      <c r="AW191" s="254" t="str">
        <f>IF(COUNTBLANK(AS191:AV191)=4,"",SUM(AS191:AU191)+IF(Setup!$I$15="No",0,AV191))</f>
        <v/>
      </c>
      <c r="AX191" s="191"/>
      <c r="AY191" s="191"/>
      <c r="AZ191" s="191"/>
      <c r="BA191" s="191"/>
      <c r="BB191" s="254" t="str">
        <f>IF(COUNTBLANK(AX191:BA191)=4,"",SUM(AX191:AZ191)+IF(Setup!$I$15="No",0,BA191))</f>
        <v/>
      </c>
      <c r="BC191" s="258" t="str">
        <f ca="1">IF('Demand background (hide)'!A182=Num_Modalities,"",SUM(Demand!I191))</f>
        <v/>
      </c>
      <c r="BD191" s="258" t="str">
        <f ca="1">IF(AND(A191&lt;=MaxRows,BE191&lt;&gt;"Yes"),'Demand background (hide)'!X182+IF(Setup!$I$15="Yes",'Demand background (hide)'!AJ182,0),"")</f>
        <v/>
      </c>
      <c r="BE191" s="208"/>
    </row>
    <row r="192" spans="1:57" ht="15" x14ac:dyDescent="0.25">
      <c r="A192" t="str">
        <f t="shared" ca="1" si="8"/>
        <v/>
      </c>
      <c r="B192" s="263" t="str">
        <f t="shared" ca="1" si="9"/>
        <v xml:space="preserve"> </v>
      </c>
      <c r="C192" s="264" t="str">
        <f t="shared" ca="1" si="10"/>
        <v/>
      </c>
      <c r="D192" s="264" t="str">
        <f t="shared" ca="1" si="11"/>
        <v/>
      </c>
      <c r="E192" s="191"/>
      <c r="F192" s="191"/>
      <c r="G192" s="191"/>
      <c r="H192" s="191"/>
      <c r="I192" s="250" t="str">
        <f>IF(COUNTBLANK(E192:H192)=4,"",SUM(E192:G192)+IF(Setup!$I$15="No",0,H192))</f>
        <v/>
      </c>
      <c r="J192" s="191"/>
      <c r="K192" s="191"/>
      <c r="L192" s="191"/>
      <c r="M192" s="191"/>
      <c r="N192" s="254" t="str">
        <f>IF(COUNTBLANK(J192:M192)=4,"",SUM(J192:L192)+IF(Setup!$I$15="No",0,M192))</f>
        <v/>
      </c>
      <c r="O192" s="191"/>
      <c r="P192" s="191"/>
      <c r="Q192" s="191"/>
      <c r="R192" s="191"/>
      <c r="S192" s="254" t="str">
        <f>IF(COUNTBLANK(O192:R192)=4,"",SUM(O192:Q192)+IF(Setup!$I$15="No",0,R192))</f>
        <v/>
      </c>
      <c r="T192" s="191"/>
      <c r="U192" s="191"/>
      <c r="V192" s="191"/>
      <c r="W192" s="191"/>
      <c r="X192" s="254" t="str">
        <f>IF(COUNTBLANK(T192:W192)=4,"",SUM(T192:V192)+IF(Setup!$I$15="No",0,W192))</f>
        <v/>
      </c>
      <c r="Y192" s="191"/>
      <c r="Z192" s="191"/>
      <c r="AA192" s="191"/>
      <c r="AB192" s="191"/>
      <c r="AC192" s="254" t="str">
        <f>IF(COUNTBLANK(Y192:AB192)=4,"",SUM(Y192:AA192)+IF(Setup!$I$15="No",0,AB192))</f>
        <v/>
      </c>
      <c r="AD192" s="191"/>
      <c r="AE192" s="191"/>
      <c r="AF192" s="191"/>
      <c r="AG192" s="191"/>
      <c r="AH192" s="254" t="str">
        <f>IF(COUNTBLANK(AD192:AG192)=4,"",SUM(AD192:AF192)+IF(Setup!$I$15="No",0,AG192))</f>
        <v/>
      </c>
      <c r="AI192" s="191"/>
      <c r="AJ192" s="191"/>
      <c r="AK192" s="191"/>
      <c r="AL192" s="191"/>
      <c r="AM192" s="254" t="str">
        <f>IF(COUNTBLANK(AI192:AL192)=4,"",SUM(AI192:AK192)+IF(Setup!$I$15="No",0,AL192))</f>
        <v/>
      </c>
      <c r="AN192" s="191"/>
      <c r="AO192" s="191"/>
      <c r="AP192" s="191"/>
      <c r="AQ192" s="191"/>
      <c r="AR192" s="254" t="str">
        <f>IF(COUNTBLANK(AN192:AQ192)=4,"",SUM(AN192:AP192)+IF(Setup!$I$15="No",0,AQ192))</f>
        <v/>
      </c>
      <c r="AS192" s="191"/>
      <c r="AT192" s="191"/>
      <c r="AU192" s="191"/>
      <c r="AV192" s="191"/>
      <c r="AW192" s="254" t="str">
        <f>IF(COUNTBLANK(AS192:AV192)=4,"",SUM(AS192:AU192)+IF(Setup!$I$15="No",0,AV192))</f>
        <v/>
      </c>
      <c r="AX192" s="191"/>
      <c r="AY192" s="191"/>
      <c r="AZ192" s="191"/>
      <c r="BA192" s="191"/>
      <c r="BB192" s="254" t="str">
        <f>IF(COUNTBLANK(AX192:BA192)=4,"",SUM(AX192:AZ192)+IF(Setup!$I$15="No",0,BA192))</f>
        <v/>
      </c>
      <c r="BC192" s="258" t="str">
        <f ca="1">IF('Demand background (hide)'!A183=Num_Modalities,"",SUM(Demand!I192))</f>
        <v/>
      </c>
      <c r="BD192" s="258" t="str">
        <f ca="1">IF(AND(A192&lt;=MaxRows,BE192&lt;&gt;"Yes"),'Demand background (hide)'!X183+IF(Setup!$I$15="Yes",'Demand background (hide)'!AJ183,0),"")</f>
        <v/>
      </c>
      <c r="BE192" s="208"/>
    </row>
    <row r="193" spans="1:57" ht="15" x14ac:dyDescent="0.25">
      <c r="A193" t="str">
        <f t="shared" ca="1" si="8"/>
        <v/>
      </c>
      <c r="B193" s="263" t="str">
        <f t="shared" ca="1" si="9"/>
        <v xml:space="preserve"> </v>
      </c>
      <c r="C193" s="264" t="str">
        <f t="shared" ca="1" si="10"/>
        <v/>
      </c>
      <c r="D193" s="264" t="str">
        <f t="shared" ca="1" si="11"/>
        <v/>
      </c>
      <c r="E193" s="191"/>
      <c r="F193" s="191"/>
      <c r="G193" s="191"/>
      <c r="H193" s="191"/>
      <c r="I193" s="250" t="str">
        <f>IF(COUNTBLANK(E193:H193)=4,"",SUM(E193:G193)+IF(Setup!$I$15="No",0,H193))</f>
        <v/>
      </c>
      <c r="J193" s="191"/>
      <c r="K193" s="191"/>
      <c r="L193" s="191"/>
      <c r="M193" s="191"/>
      <c r="N193" s="254" t="str">
        <f>IF(COUNTBLANK(J193:M193)=4,"",SUM(J193:L193)+IF(Setup!$I$15="No",0,M193))</f>
        <v/>
      </c>
      <c r="O193" s="191"/>
      <c r="P193" s="191"/>
      <c r="Q193" s="191"/>
      <c r="R193" s="191"/>
      <c r="S193" s="254" t="str">
        <f>IF(COUNTBLANK(O193:R193)=4,"",SUM(O193:Q193)+IF(Setup!$I$15="No",0,R193))</f>
        <v/>
      </c>
      <c r="T193" s="191"/>
      <c r="U193" s="191"/>
      <c r="V193" s="191"/>
      <c r="W193" s="191"/>
      <c r="X193" s="254" t="str">
        <f>IF(COUNTBLANK(T193:W193)=4,"",SUM(T193:V193)+IF(Setup!$I$15="No",0,W193))</f>
        <v/>
      </c>
      <c r="Y193" s="191"/>
      <c r="Z193" s="191"/>
      <c r="AA193" s="191"/>
      <c r="AB193" s="191"/>
      <c r="AC193" s="254" t="str">
        <f>IF(COUNTBLANK(Y193:AB193)=4,"",SUM(Y193:AA193)+IF(Setup!$I$15="No",0,AB193))</f>
        <v/>
      </c>
      <c r="AD193" s="191"/>
      <c r="AE193" s="191"/>
      <c r="AF193" s="191"/>
      <c r="AG193" s="191"/>
      <c r="AH193" s="254" t="str">
        <f>IF(COUNTBLANK(AD193:AG193)=4,"",SUM(AD193:AF193)+IF(Setup!$I$15="No",0,AG193))</f>
        <v/>
      </c>
      <c r="AI193" s="191"/>
      <c r="AJ193" s="191"/>
      <c r="AK193" s="191"/>
      <c r="AL193" s="191"/>
      <c r="AM193" s="254" t="str">
        <f>IF(COUNTBLANK(AI193:AL193)=4,"",SUM(AI193:AK193)+IF(Setup!$I$15="No",0,AL193))</f>
        <v/>
      </c>
      <c r="AN193" s="191"/>
      <c r="AO193" s="191"/>
      <c r="AP193" s="191"/>
      <c r="AQ193" s="191"/>
      <c r="AR193" s="254" t="str">
        <f>IF(COUNTBLANK(AN193:AQ193)=4,"",SUM(AN193:AP193)+IF(Setup!$I$15="No",0,AQ193))</f>
        <v/>
      </c>
      <c r="AS193" s="191"/>
      <c r="AT193" s="191"/>
      <c r="AU193" s="191"/>
      <c r="AV193" s="191"/>
      <c r="AW193" s="254" t="str">
        <f>IF(COUNTBLANK(AS193:AV193)=4,"",SUM(AS193:AU193)+IF(Setup!$I$15="No",0,AV193))</f>
        <v/>
      </c>
      <c r="AX193" s="191"/>
      <c r="AY193" s="191"/>
      <c r="AZ193" s="191"/>
      <c r="BA193" s="191"/>
      <c r="BB193" s="254" t="str">
        <f>IF(COUNTBLANK(AX193:BA193)=4,"",SUM(AX193:AZ193)+IF(Setup!$I$15="No",0,BA193))</f>
        <v/>
      </c>
      <c r="BC193" s="258" t="str">
        <f ca="1">IF('Demand background (hide)'!A184=Num_Modalities,"",SUM(Demand!I193))</f>
        <v/>
      </c>
      <c r="BD193" s="258" t="str">
        <f ca="1">IF(AND(A193&lt;=MaxRows,BE193&lt;&gt;"Yes"),'Demand background (hide)'!X184+IF(Setup!$I$15="Yes",'Demand background (hide)'!AJ184,0),"")</f>
        <v/>
      </c>
      <c r="BE193" s="208"/>
    </row>
    <row r="194" spans="1:57" ht="15" x14ac:dyDescent="0.25">
      <c r="A194" t="str">
        <f t="shared" ca="1" si="8"/>
        <v/>
      </c>
      <c r="B194" s="263" t="str">
        <f t="shared" ca="1" si="9"/>
        <v xml:space="preserve"> </v>
      </c>
      <c r="C194" s="264" t="str">
        <f t="shared" ca="1" si="10"/>
        <v/>
      </c>
      <c r="D194" s="264" t="str">
        <f t="shared" ca="1" si="11"/>
        <v/>
      </c>
      <c r="E194" s="191"/>
      <c r="F194" s="191"/>
      <c r="G194" s="191"/>
      <c r="H194" s="191"/>
      <c r="I194" s="250" t="str">
        <f>IF(COUNTBLANK(E194:H194)=4,"",SUM(E194:G194)+IF(Setup!$I$15="No",0,H194))</f>
        <v/>
      </c>
      <c r="J194" s="191"/>
      <c r="K194" s="191"/>
      <c r="L194" s="191"/>
      <c r="M194" s="191"/>
      <c r="N194" s="254" t="str">
        <f>IF(COUNTBLANK(J194:M194)=4,"",SUM(J194:L194)+IF(Setup!$I$15="No",0,M194))</f>
        <v/>
      </c>
      <c r="O194" s="191"/>
      <c r="P194" s="191"/>
      <c r="Q194" s="191"/>
      <c r="R194" s="191"/>
      <c r="S194" s="254" t="str">
        <f>IF(COUNTBLANK(O194:R194)=4,"",SUM(O194:Q194)+IF(Setup!$I$15="No",0,R194))</f>
        <v/>
      </c>
      <c r="T194" s="191"/>
      <c r="U194" s="191"/>
      <c r="V194" s="191"/>
      <c r="W194" s="191"/>
      <c r="X194" s="254" t="str">
        <f>IF(COUNTBLANK(T194:W194)=4,"",SUM(T194:V194)+IF(Setup!$I$15="No",0,W194))</f>
        <v/>
      </c>
      <c r="Y194" s="191"/>
      <c r="Z194" s="191"/>
      <c r="AA194" s="191"/>
      <c r="AB194" s="191"/>
      <c r="AC194" s="254" t="str">
        <f>IF(COUNTBLANK(Y194:AB194)=4,"",SUM(Y194:AA194)+IF(Setup!$I$15="No",0,AB194))</f>
        <v/>
      </c>
      <c r="AD194" s="191"/>
      <c r="AE194" s="191"/>
      <c r="AF194" s="191"/>
      <c r="AG194" s="191"/>
      <c r="AH194" s="254" t="str">
        <f>IF(COUNTBLANK(AD194:AG194)=4,"",SUM(AD194:AF194)+IF(Setup!$I$15="No",0,AG194))</f>
        <v/>
      </c>
      <c r="AI194" s="191"/>
      <c r="AJ194" s="191"/>
      <c r="AK194" s="191"/>
      <c r="AL194" s="191"/>
      <c r="AM194" s="254" t="str">
        <f>IF(COUNTBLANK(AI194:AL194)=4,"",SUM(AI194:AK194)+IF(Setup!$I$15="No",0,AL194))</f>
        <v/>
      </c>
      <c r="AN194" s="191"/>
      <c r="AO194" s="191"/>
      <c r="AP194" s="191"/>
      <c r="AQ194" s="191"/>
      <c r="AR194" s="254" t="str">
        <f>IF(COUNTBLANK(AN194:AQ194)=4,"",SUM(AN194:AP194)+IF(Setup!$I$15="No",0,AQ194))</f>
        <v/>
      </c>
      <c r="AS194" s="191"/>
      <c r="AT194" s="191"/>
      <c r="AU194" s="191"/>
      <c r="AV194" s="191"/>
      <c r="AW194" s="254" t="str">
        <f>IF(COUNTBLANK(AS194:AV194)=4,"",SUM(AS194:AU194)+IF(Setup!$I$15="No",0,AV194))</f>
        <v/>
      </c>
      <c r="AX194" s="191"/>
      <c r="AY194" s="191"/>
      <c r="AZ194" s="191"/>
      <c r="BA194" s="191"/>
      <c r="BB194" s="254" t="str">
        <f>IF(COUNTBLANK(AX194:BA194)=4,"",SUM(AX194:AZ194)+IF(Setup!$I$15="No",0,BA194))</f>
        <v/>
      </c>
      <c r="BC194" s="258" t="str">
        <f ca="1">IF('Demand background (hide)'!A185=Num_Modalities,"",SUM(Demand!I194))</f>
        <v/>
      </c>
      <c r="BD194" s="258" t="str">
        <f ca="1">IF(AND(A194&lt;=MaxRows,BE194&lt;&gt;"Yes"),'Demand background (hide)'!X185+IF(Setup!$I$15="Yes",'Demand background (hide)'!AJ185,0),"")</f>
        <v/>
      </c>
      <c r="BE194" s="208"/>
    </row>
    <row r="195" spans="1:57" ht="15" x14ac:dyDescent="0.25">
      <c r="A195" t="str">
        <f t="shared" ca="1" si="8"/>
        <v/>
      </c>
      <c r="B195" s="263" t="str">
        <f t="shared" ca="1" si="9"/>
        <v xml:space="preserve"> </v>
      </c>
      <c r="C195" s="264" t="str">
        <f t="shared" ca="1" si="10"/>
        <v/>
      </c>
      <c r="D195" s="264" t="str">
        <f t="shared" ca="1" si="11"/>
        <v/>
      </c>
      <c r="E195" s="191"/>
      <c r="F195" s="191"/>
      <c r="G195" s="191"/>
      <c r="H195" s="191"/>
      <c r="I195" s="250" t="str">
        <f>IF(COUNTBLANK(E195:H195)=4,"",SUM(E195:G195)+IF(Setup!$I$15="No",0,H195))</f>
        <v/>
      </c>
      <c r="J195" s="191"/>
      <c r="K195" s="191"/>
      <c r="L195" s="191"/>
      <c r="M195" s="191"/>
      <c r="N195" s="254" t="str">
        <f>IF(COUNTBLANK(J195:M195)=4,"",SUM(J195:L195)+IF(Setup!$I$15="No",0,M195))</f>
        <v/>
      </c>
      <c r="O195" s="191"/>
      <c r="P195" s="191"/>
      <c r="Q195" s="191"/>
      <c r="R195" s="191"/>
      <c r="S195" s="254" t="str">
        <f>IF(COUNTBLANK(O195:R195)=4,"",SUM(O195:Q195)+IF(Setup!$I$15="No",0,R195))</f>
        <v/>
      </c>
      <c r="T195" s="191"/>
      <c r="U195" s="191"/>
      <c r="V195" s="191"/>
      <c r="W195" s="191"/>
      <c r="X195" s="254" t="str">
        <f>IF(COUNTBLANK(T195:W195)=4,"",SUM(T195:V195)+IF(Setup!$I$15="No",0,W195))</f>
        <v/>
      </c>
      <c r="Y195" s="191"/>
      <c r="Z195" s="191"/>
      <c r="AA195" s="191"/>
      <c r="AB195" s="191"/>
      <c r="AC195" s="254" t="str">
        <f>IF(COUNTBLANK(Y195:AB195)=4,"",SUM(Y195:AA195)+IF(Setup!$I$15="No",0,AB195))</f>
        <v/>
      </c>
      <c r="AD195" s="191"/>
      <c r="AE195" s="191"/>
      <c r="AF195" s="191"/>
      <c r="AG195" s="191"/>
      <c r="AH195" s="254" t="str">
        <f>IF(COUNTBLANK(AD195:AG195)=4,"",SUM(AD195:AF195)+IF(Setup!$I$15="No",0,AG195))</f>
        <v/>
      </c>
      <c r="AI195" s="191"/>
      <c r="AJ195" s="191"/>
      <c r="AK195" s="191"/>
      <c r="AL195" s="191"/>
      <c r="AM195" s="254" t="str">
        <f>IF(COUNTBLANK(AI195:AL195)=4,"",SUM(AI195:AK195)+IF(Setup!$I$15="No",0,AL195))</f>
        <v/>
      </c>
      <c r="AN195" s="191"/>
      <c r="AO195" s="191"/>
      <c r="AP195" s="191"/>
      <c r="AQ195" s="191"/>
      <c r="AR195" s="254" t="str">
        <f>IF(COUNTBLANK(AN195:AQ195)=4,"",SUM(AN195:AP195)+IF(Setup!$I$15="No",0,AQ195))</f>
        <v/>
      </c>
      <c r="AS195" s="191"/>
      <c r="AT195" s="191"/>
      <c r="AU195" s="191"/>
      <c r="AV195" s="191"/>
      <c r="AW195" s="254" t="str">
        <f>IF(COUNTBLANK(AS195:AV195)=4,"",SUM(AS195:AU195)+IF(Setup!$I$15="No",0,AV195))</f>
        <v/>
      </c>
      <c r="AX195" s="191"/>
      <c r="AY195" s="191"/>
      <c r="AZ195" s="191"/>
      <c r="BA195" s="191"/>
      <c r="BB195" s="254" t="str">
        <f>IF(COUNTBLANK(AX195:BA195)=4,"",SUM(AX195:AZ195)+IF(Setup!$I$15="No",0,BA195))</f>
        <v/>
      </c>
      <c r="BC195" s="258" t="str">
        <f ca="1">IF('Demand background (hide)'!A186=Num_Modalities,"",SUM(Demand!I195))</f>
        <v/>
      </c>
      <c r="BD195" s="258" t="str">
        <f ca="1">IF(AND(A195&lt;=MaxRows,BE195&lt;&gt;"Yes"),'Demand background (hide)'!X186+IF(Setup!$I$15="Yes",'Demand background (hide)'!AJ186,0),"")</f>
        <v/>
      </c>
      <c r="BE195" s="208"/>
    </row>
    <row r="196" spans="1:57" ht="15" x14ac:dyDescent="0.25">
      <c r="A196" t="str">
        <f t="shared" ca="1" si="8"/>
        <v/>
      </c>
      <c r="B196" s="263" t="str">
        <f t="shared" ca="1" si="9"/>
        <v xml:space="preserve"> </v>
      </c>
      <c r="C196" s="264" t="str">
        <f t="shared" ca="1" si="10"/>
        <v/>
      </c>
      <c r="D196" s="264" t="str">
        <f t="shared" ca="1" si="11"/>
        <v/>
      </c>
      <c r="E196" s="191"/>
      <c r="F196" s="191"/>
      <c r="G196" s="191"/>
      <c r="H196" s="191"/>
      <c r="I196" s="250" t="str">
        <f>IF(COUNTBLANK(E196:H196)=4,"",SUM(E196:G196)+IF(Setup!$I$15="No",0,H196))</f>
        <v/>
      </c>
      <c r="J196" s="191"/>
      <c r="K196" s="191"/>
      <c r="L196" s="191"/>
      <c r="M196" s="191"/>
      <c r="N196" s="254" t="str">
        <f>IF(COUNTBLANK(J196:M196)=4,"",SUM(J196:L196)+IF(Setup!$I$15="No",0,M196))</f>
        <v/>
      </c>
      <c r="O196" s="191"/>
      <c r="P196" s="191"/>
      <c r="Q196" s="191"/>
      <c r="R196" s="191"/>
      <c r="S196" s="254" t="str">
        <f>IF(COUNTBLANK(O196:R196)=4,"",SUM(O196:Q196)+IF(Setup!$I$15="No",0,R196))</f>
        <v/>
      </c>
      <c r="T196" s="191"/>
      <c r="U196" s="191"/>
      <c r="V196" s="191"/>
      <c r="W196" s="191"/>
      <c r="X196" s="254" t="str">
        <f>IF(COUNTBLANK(T196:W196)=4,"",SUM(T196:V196)+IF(Setup!$I$15="No",0,W196))</f>
        <v/>
      </c>
      <c r="Y196" s="191"/>
      <c r="Z196" s="191"/>
      <c r="AA196" s="191"/>
      <c r="AB196" s="191"/>
      <c r="AC196" s="254" t="str">
        <f>IF(COUNTBLANK(Y196:AB196)=4,"",SUM(Y196:AA196)+IF(Setup!$I$15="No",0,AB196))</f>
        <v/>
      </c>
      <c r="AD196" s="191"/>
      <c r="AE196" s="191"/>
      <c r="AF196" s="191"/>
      <c r="AG196" s="191"/>
      <c r="AH196" s="254" t="str">
        <f>IF(COUNTBLANK(AD196:AG196)=4,"",SUM(AD196:AF196)+IF(Setup!$I$15="No",0,AG196))</f>
        <v/>
      </c>
      <c r="AI196" s="191"/>
      <c r="AJ196" s="191"/>
      <c r="AK196" s="191"/>
      <c r="AL196" s="191"/>
      <c r="AM196" s="254" t="str">
        <f>IF(COUNTBLANK(AI196:AL196)=4,"",SUM(AI196:AK196)+IF(Setup!$I$15="No",0,AL196))</f>
        <v/>
      </c>
      <c r="AN196" s="191"/>
      <c r="AO196" s="191"/>
      <c r="AP196" s="191"/>
      <c r="AQ196" s="191"/>
      <c r="AR196" s="254" t="str">
        <f>IF(COUNTBLANK(AN196:AQ196)=4,"",SUM(AN196:AP196)+IF(Setup!$I$15="No",0,AQ196))</f>
        <v/>
      </c>
      <c r="AS196" s="191"/>
      <c r="AT196" s="191"/>
      <c r="AU196" s="191"/>
      <c r="AV196" s="191"/>
      <c r="AW196" s="254" t="str">
        <f>IF(COUNTBLANK(AS196:AV196)=4,"",SUM(AS196:AU196)+IF(Setup!$I$15="No",0,AV196))</f>
        <v/>
      </c>
      <c r="AX196" s="191"/>
      <c r="AY196" s="191"/>
      <c r="AZ196" s="191"/>
      <c r="BA196" s="191"/>
      <c r="BB196" s="254" t="str">
        <f>IF(COUNTBLANK(AX196:BA196)=4,"",SUM(AX196:AZ196)+IF(Setup!$I$15="No",0,BA196))</f>
        <v/>
      </c>
      <c r="BC196" s="258" t="str">
        <f ca="1">IF('Demand background (hide)'!A187=Num_Modalities,"",SUM(Demand!I196))</f>
        <v/>
      </c>
      <c r="BD196" s="258" t="str">
        <f ca="1">IF(AND(A196&lt;=MaxRows,BE196&lt;&gt;"Yes"),'Demand background (hide)'!X187+IF(Setup!$I$15="Yes",'Demand background (hide)'!AJ187,0),"")</f>
        <v/>
      </c>
      <c r="BE196" s="208"/>
    </row>
    <row r="197" spans="1:57" ht="15" x14ac:dyDescent="0.25">
      <c r="A197" t="str">
        <f t="shared" ca="1" si="8"/>
        <v/>
      </c>
      <c r="B197" s="263" t="str">
        <f t="shared" ca="1" si="9"/>
        <v xml:space="preserve"> </v>
      </c>
      <c r="C197" s="264" t="str">
        <f t="shared" ca="1" si="10"/>
        <v/>
      </c>
      <c r="D197" s="264" t="str">
        <f t="shared" ca="1" si="11"/>
        <v/>
      </c>
      <c r="E197" s="191"/>
      <c r="F197" s="191"/>
      <c r="G197" s="191"/>
      <c r="H197" s="191"/>
      <c r="I197" s="250" t="str">
        <f>IF(COUNTBLANK(E197:H197)=4,"",SUM(E197:G197)+IF(Setup!$I$15="No",0,H197))</f>
        <v/>
      </c>
      <c r="J197" s="191"/>
      <c r="K197" s="191"/>
      <c r="L197" s="191"/>
      <c r="M197" s="191"/>
      <c r="N197" s="254" t="str">
        <f>IF(COUNTBLANK(J197:M197)=4,"",SUM(J197:L197)+IF(Setup!$I$15="No",0,M197))</f>
        <v/>
      </c>
      <c r="O197" s="191"/>
      <c r="P197" s="191"/>
      <c r="Q197" s="191"/>
      <c r="R197" s="191"/>
      <c r="S197" s="254" t="str">
        <f>IF(COUNTBLANK(O197:R197)=4,"",SUM(O197:Q197)+IF(Setup!$I$15="No",0,R197))</f>
        <v/>
      </c>
      <c r="T197" s="191"/>
      <c r="U197" s="191"/>
      <c r="V197" s="191"/>
      <c r="W197" s="191"/>
      <c r="X197" s="254" t="str">
        <f>IF(COUNTBLANK(T197:W197)=4,"",SUM(T197:V197)+IF(Setup!$I$15="No",0,W197))</f>
        <v/>
      </c>
      <c r="Y197" s="191"/>
      <c r="Z197" s="191"/>
      <c r="AA197" s="191"/>
      <c r="AB197" s="191"/>
      <c r="AC197" s="254" t="str">
        <f>IF(COUNTBLANK(Y197:AB197)=4,"",SUM(Y197:AA197)+IF(Setup!$I$15="No",0,AB197))</f>
        <v/>
      </c>
      <c r="AD197" s="191"/>
      <c r="AE197" s="191"/>
      <c r="AF197" s="191"/>
      <c r="AG197" s="191"/>
      <c r="AH197" s="254" t="str">
        <f>IF(COUNTBLANK(AD197:AG197)=4,"",SUM(AD197:AF197)+IF(Setup!$I$15="No",0,AG197))</f>
        <v/>
      </c>
      <c r="AI197" s="191"/>
      <c r="AJ197" s="191"/>
      <c r="AK197" s="191"/>
      <c r="AL197" s="191"/>
      <c r="AM197" s="254" t="str">
        <f>IF(COUNTBLANK(AI197:AL197)=4,"",SUM(AI197:AK197)+IF(Setup!$I$15="No",0,AL197))</f>
        <v/>
      </c>
      <c r="AN197" s="191"/>
      <c r="AO197" s="191"/>
      <c r="AP197" s="191"/>
      <c r="AQ197" s="191"/>
      <c r="AR197" s="254" t="str">
        <f>IF(COUNTBLANK(AN197:AQ197)=4,"",SUM(AN197:AP197)+IF(Setup!$I$15="No",0,AQ197))</f>
        <v/>
      </c>
      <c r="AS197" s="191"/>
      <c r="AT197" s="191"/>
      <c r="AU197" s="191"/>
      <c r="AV197" s="191"/>
      <c r="AW197" s="254" t="str">
        <f>IF(COUNTBLANK(AS197:AV197)=4,"",SUM(AS197:AU197)+IF(Setup!$I$15="No",0,AV197))</f>
        <v/>
      </c>
      <c r="AX197" s="191"/>
      <c r="AY197" s="191"/>
      <c r="AZ197" s="191"/>
      <c r="BA197" s="191"/>
      <c r="BB197" s="254" t="str">
        <f>IF(COUNTBLANK(AX197:BA197)=4,"",SUM(AX197:AZ197)+IF(Setup!$I$15="No",0,BA197))</f>
        <v/>
      </c>
      <c r="BC197" s="258" t="str">
        <f ca="1">IF('Demand background (hide)'!A188=Num_Modalities,"",SUM(Demand!I197))</f>
        <v/>
      </c>
      <c r="BD197" s="258" t="str">
        <f ca="1">IF(AND(A197&lt;=MaxRows,BE197&lt;&gt;"Yes"),'Demand background (hide)'!X188+IF(Setup!$I$15="Yes",'Demand background (hide)'!AJ188,0),"")</f>
        <v/>
      </c>
      <c r="BE197" s="208"/>
    </row>
    <row r="198" spans="1:57" ht="15" x14ac:dyDescent="0.25">
      <c r="A198" t="str">
        <f t="shared" ca="1" si="8"/>
        <v/>
      </c>
      <c r="B198" s="263" t="str">
        <f t="shared" ca="1" si="9"/>
        <v xml:space="preserve"> </v>
      </c>
      <c r="C198" s="264" t="str">
        <f t="shared" ca="1" si="10"/>
        <v/>
      </c>
      <c r="D198" s="264" t="str">
        <f t="shared" ca="1" si="11"/>
        <v/>
      </c>
      <c r="E198" s="191"/>
      <c r="F198" s="191"/>
      <c r="G198" s="191"/>
      <c r="H198" s="191"/>
      <c r="I198" s="250" t="str">
        <f>IF(COUNTBLANK(E198:H198)=4,"",SUM(E198:G198)+IF(Setup!$I$15="No",0,H198))</f>
        <v/>
      </c>
      <c r="J198" s="191"/>
      <c r="K198" s="191"/>
      <c r="L198" s="191"/>
      <c r="M198" s="191"/>
      <c r="N198" s="254" t="str">
        <f>IF(COUNTBLANK(J198:M198)=4,"",SUM(J198:L198)+IF(Setup!$I$15="No",0,M198))</f>
        <v/>
      </c>
      <c r="O198" s="191"/>
      <c r="P198" s="191"/>
      <c r="Q198" s="191"/>
      <c r="R198" s="191"/>
      <c r="S198" s="254" t="str">
        <f>IF(COUNTBLANK(O198:R198)=4,"",SUM(O198:Q198)+IF(Setup!$I$15="No",0,R198))</f>
        <v/>
      </c>
      <c r="T198" s="191"/>
      <c r="U198" s="191"/>
      <c r="V198" s="191"/>
      <c r="W198" s="191"/>
      <c r="X198" s="254" t="str">
        <f>IF(COUNTBLANK(T198:W198)=4,"",SUM(T198:V198)+IF(Setup!$I$15="No",0,W198))</f>
        <v/>
      </c>
      <c r="Y198" s="191"/>
      <c r="Z198" s="191"/>
      <c r="AA198" s="191"/>
      <c r="AB198" s="191"/>
      <c r="AC198" s="254" t="str">
        <f>IF(COUNTBLANK(Y198:AB198)=4,"",SUM(Y198:AA198)+IF(Setup!$I$15="No",0,AB198))</f>
        <v/>
      </c>
      <c r="AD198" s="191"/>
      <c r="AE198" s="191"/>
      <c r="AF198" s="191"/>
      <c r="AG198" s="191"/>
      <c r="AH198" s="254" t="str">
        <f>IF(COUNTBLANK(AD198:AG198)=4,"",SUM(AD198:AF198)+IF(Setup!$I$15="No",0,AG198))</f>
        <v/>
      </c>
      <c r="AI198" s="191"/>
      <c r="AJ198" s="191"/>
      <c r="AK198" s="191"/>
      <c r="AL198" s="191"/>
      <c r="AM198" s="254" t="str">
        <f>IF(COUNTBLANK(AI198:AL198)=4,"",SUM(AI198:AK198)+IF(Setup!$I$15="No",0,AL198))</f>
        <v/>
      </c>
      <c r="AN198" s="191"/>
      <c r="AO198" s="191"/>
      <c r="AP198" s="191"/>
      <c r="AQ198" s="191"/>
      <c r="AR198" s="254" t="str">
        <f>IF(COUNTBLANK(AN198:AQ198)=4,"",SUM(AN198:AP198)+IF(Setup!$I$15="No",0,AQ198))</f>
        <v/>
      </c>
      <c r="AS198" s="191"/>
      <c r="AT198" s="191"/>
      <c r="AU198" s="191"/>
      <c r="AV198" s="191"/>
      <c r="AW198" s="254" t="str">
        <f>IF(COUNTBLANK(AS198:AV198)=4,"",SUM(AS198:AU198)+IF(Setup!$I$15="No",0,AV198))</f>
        <v/>
      </c>
      <c r="AX198" s="191"/>
      <c r="AY198" s="191"/>
      <c r="AZ198" s="191"/>
      <c r="BA198" s="191"/>
      <c r="BB198" s="254" t="str">
        <f>IF(COUNTBLANK(AX198:BA198)=4,"",SUM(AX198:AZ198)+IF(Setup!$I$15="No",0,BA198))</f>
        <v/>
      </c>
      <c r="BC198" s="258" t="str">
        <f ca="1">IF('Demand background (hide)'!A189=Num_Modalities,"",SUM(Demand!I198))</f>
        <v/>
      </c>
      <c r="BD198" s="258" t="str">
        <f ca="1">IF(AND(A198&lt;=MaxRows,BE198&lt;&gt;"Yes"),'Demand background (hide)'!X189+IF(Setup!$I$15="Yes",'Demand background (hide)'!AJ189,0),"")</f>
        <v/>
      </c>
      <c r="BE198" s="208"/>
    </row>
    <row r="199" spans="1:57" ht="15" x14ac:dyDescent="0.25">
      <c r="A199" t="str">
        <f t="shared" ca="1" si="8"/>
        <v/>
      </c>
      <c r="B199" s="263" t="str">
        <f t="shared" ca="1" si="9"/>
        <v xml:space="preserve"> </v>
      </c>
      <c r="C199" s="264" t="str">
        <f t="shared" ca="1" si="10"/>
        <v/>
      </c>
      <c r="D199" s="264" t="str">
        <f t="shared" ca="1" si="11"/>
        <v/>
      </c>
      <c r="E199" s="191"/>
      <c r="F199" s="191"/>
      <c r="G199" s="191"/>
      <c r="H199" s="191"/>
      <c r="I199" s="250" t="str">
        <f>IF(COUNTBLANK(E199:H199)=4,"",SUM(E199:G199)+IF(Setup!$I$15="No",0,H199))</f>
        <v/>
      </c>
      <c r="J199" s="191"/>
      <c r="K199" s="191"/>
      <c r="L199" s="191"/>
      <c r="M199" s="191"/>
      <c r="N199" s="254" t="str">
        <f>IF(COUNTBLANK(J199:M199)=4,"",SUM(J199:L199)+IF(Setup!$I$15="No",0,M199))</f>
        <v/>
      </c>
      <c r="O199" s="191"/>
      <c r="P199" s="191"/>
      <c r="Q199" s="191"/>
      <c r="R199" s="191"/>
      <c r="S199" s="254" t="str">
        <f>IF(COUNTBLANK(O199:R199)=4,"",SUM(O199:Q199)+IF(Setup!$I$15="No",0,R199))</f>
        <v/>
      </c>
      <c r="T199" s="191"/>
      <c r="U199" s="191"/>
      <c r="V199" s="191"/>
      <c r="W199" s="191"/>
      <c r="X199" s="254" t="str">
        <f>IF(COUNTBLANK(T199:W199)=4,"",SUM(T199:V199)+IF(Setup!$I$15="No",0,W199))</f>
        <v/>
      </c>
      <c r="Y199" s="191"/>
      <c r="Z199" s="191"/>
      <c r="AA199" s="191"/>
      <c r="AB199" s="191"/>
      <c r="AC199" s="254" t="str">
        <f>IF(COUNTBLANK(Y199:AB199)=4,"",SUM(Y199:AA199)+IF(Setup!$I$15="No",0,AB199))</f>
        <v/>
      </c>
      <c r="AD199" s="191"/>
      <c r="AE199" s="191"/>
      <c r="AF199" s="191"/>
      <c r="AG199" s="191"/>
      <c r="AH199" s="254" t="str">
        <f>IF(COUNTBLANK(AD199:AG199)=4,"",SUM(AD199:AF199)+IF(Setup!$I$15="No",0,AG199))</f>
        <v/>
      </c>
      <c r="AI199" s="191"/>
      <c r="AJ199" s="191"/>
      <c r="AK199" s="191"/>
      <c r="AL199" s="191"/>
      <c r="AM199" s="254" t="str">
        <f>IF(COUNTBLANK(AI199:AL199)=4,"",SUM(AI199:AK199)+IF(Setup!$I$15="No",0,AL199))</f>
        <v/>
      </c>
      <c r="AN199" s="191"/>
      <c r="AO199" s="191"/>
      <c r="AP199" s="191"/>
      <c r="AQ199" s="191"/>
      <c r="AR199" s="254" t="str">
        <f>IF(COUNTBLANK(AN199:AQ199)=4,"",SUM(AN199:AP199)+IF(Setup!$I$15="No",0,AQ199))</f>
        <v/>
      </c>
      <c r="AS199" s="191"/>
      <c r="AT199" s="191"/>
      <c r="AU199" s="191"/>
      <c r="AV199" s="191"/>
      <c r="AW199" s="254" t="str">
        <f>IF(COUNTBLANK(AS199:AV199)=4,"",SUM(AS199:AU199)+IF(Setup!$I$15="No",0,AV199))</f>
        <v/>
      </c>
      <c r="AX199" s="191"/>
      <c r="AY199" s="191"/>
      <c r="AZ199" s="191"/>
      <c r="BA199" s="191"/>
      <c r="BB199" s="254" t="str">
        <f>IF(COUNTBLANK(AX199:BA199)=4,"",SUM(AX199:AZ199)+IF(Setup!$I$15="No",0,BA199))</f>
        <v/>
      </c>
      <c r="BC199" s="258" t="str">
        <f ca="1">IF('Demand background (hide)'!A190=Num_Modalities,"",SUM(Demand!I199))</f>
        <v/>
      </c>
      <c r="BD199" s="258" t="str">
        <f ca="1">IF(AND(A199&lt;=MaxRows,BE199&lt;&gt;"Yes"),'Demand background (hide)'!X190+IF(Setup!$I$15="Yes",'Demand background (hide)'!AJ190,0),"")</f>
        <v/>
      </c>
      <c r="BE199" s="208"/>
    </row>
    <row r="200" spans="1:57" ht="15" x14ac:dyDescent="0.25">
      <c r="A200" t="str">
        <f t="shared" ca="1" si="8"/>
        <v/>
      </c>
      <c r="B200" s="263" t="str">
        <f t="shared" ca="1" si="9"/>
        <v xml:space="preserve"> </v>
      </c>
      <c r="C200" s="264" t="str">
        <f t="shared" ca="1" si="10"/>
        <v/>
      </c>
      <c r="D200" s="264" t="str">
        <f t="shared" ca="1" si="11"/>
        <v/>
      </c>
      <c r="E200" s="191"/>
      <c r="F200" s="191"/>
      <c r="G200" s="191"/>
      <c r="H200" s="191"/>
      <c r="I200" s="250" t="str">
        <f>IF(COUNTBLANK(E200:H200)=4,"",SUM(E200:G200)+IF(Setup!$I$15="No",0,H200))</f>
        <v/>
      </c>
      <c r="J200" s="191"/>
      <c r="K200" s="191"/>
      <c r="L200" s="191"/>
      <c r="M200" s="191"/>
      <c r="N200" s="254" t="str">
        <f>IF(COUNTBLANK(J200:M200)=4,"",SUM(J200:L200)+IF(Setup!$I$15="No",0,M200))</f>
        <v/>
      </c>
      <c r="O200" s="191"/>
      <c r="P200" s="191"/>
      <c r="Q200" s="191"/>
      <c r="R200" s="191"/>
      <c r="S200" s="254" t="str">
        <f>IF(COUNTBLANK(O200:R200)=4,"",SUM(O200:Q200)+IF(Setup!$I$15="No",0,R200))</f>
        <v/>
      </c>
      <c r="T200" s="191"/>
      <c r="U200" s="191"/>
      <c r="V200" s="191"/>
      <c r="W200" s="191"/>
      <c r="X200" s="254" t="str">
        <f>IF(COUNTBLANK(T200:W200)=4,"",SUM(T200:V200)+IF(Setup!$I$15="No",0,W200))</f>
        <v/>
      </c>
      <c r="Y200" s="191"/>
      <c r="Z200" s="191"/>
      <c r="AA200" s="191"/>
      <c r="AB200" s="191"/>
      <c r="AC200" s="254" t="str">
        <f>IF(COUNTBLANK(Y200:AB200)=4,"",SUM(Y200:AA200)+IF(Setup!$I$15="No",0,AB200))</f>
        <v/>
      </c>
      <c r="AD200" s="191"/>
      <c r="AE200" s="191"/>
      <c r="AF200" s="191"/>
      <c r="AG200" s="191"/>
      <c r="AH200" s="254" t="str">
        <f>IF(COUNTBLANK(AD200:AG200)=4,"",SUM(AD200:AF200)+IF(Setup!$I$15="No",0,AG200))</f>
        <v/>
      </c>
      <c r="AI200" s="191"/>
      <c r="AJ200" s="191"/>
      <c r="AK200" s="191"/>
      <c r="AL200" s="191"/>
      <c r="AM200" s="254" t="str">
        <f>IF(COUNTBLANK(AI200:AL200)=4,"",SUM(AI200:AK200)+IF(Setup!$I$15="No",0,AL200))</f>
        <v/>
      </c>
      <c r="AN200" s="191"/>
      <c r="AO200" s="191"/>
      <c r="AP200" s="191"/>
      <c r="AQ200" s="191"/>
      <c r="AR200" s="254" t="str">
        <f>IF(COUNTBLANK(AN200:AQ200)=4,"",SUM(AN200:AP200)+IF(Setup!$I$15="No",0,AQ200))</f>
        <v/>
      </c>
      <c r="AS200" s="191"/>
      <c r="AT200" s="191"/>
      <c r="AU200" s="191"/>
      <c r="AV200" s="191"/>
      <c r="AW200" s="254" t="str">
        <f>IF(COUNTBLANK(AS200:AV200)=4,"",SUM(AS200:AU200)+IF(Setup!$I$15="No",0,AV200))</f>
        <v/>
      </c>
      <c r="AX200" s="191"/>
      <c r="AY200" s="191"/>
      <c r="AZ200" s="191"/>
      <c r="BA200" s="191"/>
      <c r="BB200" s="254" t="str">
        <f>IF(COUNTBLANK(AX200:BA200)=4,"",SUM(AX200:AZ200)+IF(Setup!$I$15="No",0,BA200))</f>
        <v/>
      </c>
      <c r="BC200" s="258" t="str">
        <f ca="1">IF('Demand background (hide)'!A191=Num_Modalities,"",SUM(Demand!I200))</f>
        <v/>
      </c>
      <c r="BD200" s="258" t="str">
        <f ca="1">IF(AND(A200&lt;=MaxRows,BE200&lt;&gt;"Yes"),'Demand background (hide)'!X191+IF(Setup!$I$15="Yes",'Demand background (hide)'!AJ191,0),"")</f>
        <v/>
      </c>
      <c r="BE200" s="208"/>
    </row>
    <row r="201" spans="1:57" ht="15" x14ac:dyDescent="0.25">
      <c r="A201" t="str">
        <f t="shared" ca="1" si="8"/>
        <v/>
      </c>
      <c r="B201" s="263" t="str">
        <f t="shared" ca="1" si="9"/>
        <v xml:space="preserve"> </v>
      </c>
      <c r="C201" s="264" t="str">
        <f t="shared" ca="1" si="10"/>
        <v/>
      </c>
      <c r="D201" s="264" t="str">
        <f t="shared" ca="1" si="11"/>
        <v/>
      </c>
      <c r="E201" s="191"/>
      <c r="F201" s="191"/>
      <c r="G201" s="191"/>
      <c r="H201" s="191"/>
      <c r="I201" s="250" t="str">
        <f>IF(COUNTBLANK(E201:H201)=4,"",SUM(E201:G201)+IF(Setup!$I$15="No",0,H201))</f>
        <v/>
      </c>
      <c r="J201" s="191"/>
      <c r="K201" s="191"/>
      <c r="L201" s="191"/>
      <c r="M201" s="191"/>
      <c r="N201" s="254" t="str">
        <f>IF(COUNTBLANK(J201:M201)=4,"",SUM(J201:L201)+IF(Setup!$I$15="No",0,M201))</f>
        <v/>
      </c>
      <c r="O201" s="191"/>
      <c r="P201" s="191"/>
      <c r="Q201" s="191"/>
      <c r="R201" s="191"/>
      <c r="S201" s="254" t="str">
        <f>IF(COUNTBLANK(O201:R201)=4,"",SUM(O201:Q201)+IF(Setup!$I$15="No",0,R201))</f>
        <v/>
      </c>
      <c r="T201" s="191"/>
      <c r="U201" s="191"/>
      <c r="V201" s="191"/>
      <c r="W201" s="191"/>
      <c r="X201" s="254" t="str">
        <f>IF(COUNTBLANK(T201:W201)=4,"",SUM(T201:V201)+IF(Setup!$I$15="No",0,W201))</f>
        <v/>
      </c>
      <c r="Y201" s="191"/>
      <c r="Z201" s="191"/>
      <c r="AA201" s="191"/>
      <c r="AB201" s="191"/>
      <c r="AC201" s="254" t="str">
        <f>IF(COUNTBLANK(Y201:AB201)=4,"",SUM(Y201:AA201)+IF(Setup!$I$15="No",0,AB201))</f>
        <v/>
      </c>
      <c r="AD201" s="191"/>
      <c r="AE201" s="191"/>
      <c r="AF201" s="191"/>
      <c r="AG201" s="191"/>
      <c r="AH201" s="254" t="str">
        <f>IF(COUNTBLANK(AD201:AG201)=4,"",SUM(AD201:AF201)+IF(Setup!$I$15="No",0,AG201))</f>
        <v/>
      </c>
      <c r="AI201" s="191"/>
      <c r="AJ201" s="191"/>
      <c r="AK201" s="191"/>
      <c r="AL201" s="191"/>
      <c r="AM201" s="254" t="str">
        <f>IF(COUNTBLANK(AI201:AL201)=4,"",SUM(AI201:AK201)+IF(Setup!$I$15="No",0,AL201))</f>
        <v/>
      </c>
      <c r="AN201" s="191"/>
      <c r="AO201" s="191"/>
      <c r="AP201" s="191"/>
      <c r="AQ201" s="191"/>
      <c r="AR201" s="254" t="str">
        <f>IF(COUNTBLANK(AN201:AQ201)=4,"",SUM(AN201:AP201)+IF(Setup!$I$15="No",0,AQ201))</f>
        <v/>
      </c>
      <c r="AS201" s="191"/>
      <c r="AT201" s="191"/>
      <c r="AU201" s="191"/>
      <c r="AV201" s="191"/>
      <c r="AW201" s="254" t="str">
        <f>IF(COUNTBLANK(AS201:AV201)=4,"",SUM(AS201:AU201)+IF(Setup!$I$15="No",0,AV201))</f>
        <v/>
      </c>
      <c r="AX201" s="191"/>
      <c r="AY201" s="191"/>
      <c r="AZ201" s="191"/>
      <c r="BA201" s="191"/>
      <c r="BB201" s="254" t="str">
        <f>IF(COUNTBLANK(AX201:BA201)=4,"",SUM(AX201:AZ201)+IF(Setup!$I$15="No",0,BA201))</f>
        <v/>
      </c>
      <c r="BC201" s="258" t="str">
        <f ca="1">IF('Demand background (hide)'!A192=Num_Modalities,"",SUM(Demand!I201))</f>
        <v/>
      </c>
      <c r="BD201" s="258" t="str">
        <f ca="1">IF(AND(A201&lt;=MaxRows,BE201&lt;&gt;"Yes"),'Demand background (hide)'!X192+IF(Setup!$I$15="Yes",'Demand background (hide)'!AJ192,0),"")</f>
        <v/>
      </c>
      <c r="BE201" s="208"/>
    </row>
    <row r="202" spans="1:57" ht="15" x14ac:dyDescent="0.25">
      <c r="A202" t="str">
        <f t="shared" ca="1" si="8"/>
        <v/>
      </c>
      <c r="B202" s="263" t="str">
        <f t="shared" ca="1" si="9"/>
        <v xml:space="preserve"> </v>
      </c>
      <c r="C202" s="264" t="str">
        <f t="shared" ca="1" si="10"/>
        <v/>
      </c>
      <c r="D202" s="264" t="str">
        <f t="shared" ca="1" si="11"/>
        <v/>
      </c>
      <c r="E202" s="191"/>
      <c r="F202" s="191"/>
      <c r="G202" s="191"/>
      <c r="H202" s="191"/>
      <c r="I202" s="250" t="str">
        <f>IF(COUNTBLANK(E202:H202)=4,"",SUM(E202:G202)+IF(Setup!$I$15="No",0,H202))</f>
        <v/>
      </c>
      <c r="J202" s="191"/>
      <c r="K202" s="191"/>
      <c r="L202" s="191"/>
      <c r="M202" s="191"/>
      <c r="N202" s="254" t="str">
        <f>IF(COUNTBLANK(J202:M202)=4,"",SUM(J202:L202)+IF(Setup!$I$15="No",0,M202))</f>
        <v/>
      </c>
      <c r="O202" s="191"/>
      <c r="P202" s="191"/>
      <c r="Q202" s="191"/>
      <c r="R202" s="191"/>
      <c r="S202" s="254" t="str">
        <f>IF(COUNTBLANK(O202:R202)=4,"",SUM(O202:Q202)+IF(Setup!$I$15="No",0,R202))</f>
        <v/>
      </c>
      <c r="T202" s="191"/>
      <c r="U202" s="191"/>
      <c r="V202" s="191"/>
      <c r="W202" s="191"/>
      <c r="X202" s="254" t="str">
        <f>IF(COUNTBLANK(T202:W202)=4,"",SUM(T202:V202)+IF(Setup!$I$15="No",0,W202))</f>
        <v/>
      </c>
      <c r="Y202" s="191"/>
      <c r="Z202" s="191"/>
      <c r="AA202" s="191"/>
      <c r="AB202" s="191"/>
      <c r="AC202" s="254" t="str">
        <f>IF(COUNTBLANK(Y202:AB202)=4,"",SUM(Y202:AA202)+IF(Setup!$I$15="No",0,AB202))</f>
        <v/>
      </c>
      <c r="AD202" s="191"/>
      <c r="AE202" s="191"/>
      <c r="AF202" s="191"/>
      <c r="AG202" s="191"/>
      <c r="AH202" s="254" t="str">
        <f>IF(COUNTBLANK(AD202:AG202)=4,"",SUM(AD202:AF202)+IF(Setup!$I$15="No",0,AG202))</f>
        <v/>
      </c>
      <c r="AI202" s="191"/>
      <c r="AJ202" s="191"/>
      <c r="AK202" s="191"/>
      <c r="AL202" s="191"/>
      <c r="AM202" s="254" t="str">
        <f>IF(COUNTBLANK(AI202:AL202)=4,"",SUM(AI202:AK202)+IF(Setup!$I$15="No",0,AL202))</f>
        <v/>
      </c>
      <c r="AN202" s="191"/>
      <c r="AO202" s="191"/>
      <c r="AP202" s="191"/>
      <c r="AQ202" s="191"/>
      <c r="AR202" s="254" t="str">
        <f>IF(COUNTBLANK(AN202:AQ202)=4,"",SUM(AN202:AP202)+IF(Setup!$I$15="No",0,AQ202))</f>
        <v/>
      </c>
      <c r="AS202" s="191"/>
      <c r="AT202" s="191"/>
      <c r="AU202" s="191"/>
      <c r="AV202" s="191"/>
      <c r="AW202" s="254" t="str">
        <f>IF(COUNTBLANK(AS202:AV202)=4,"",SUM(AS202:AU202)+IF(Setup!$I$15="No",0,AV202))</f>
        <v/>
      </c>
      <c r="AX202" s="191"/>
      <c r="AY202" s="191"/>
      <c r="AZ202" s="191"/>
      <c r="BA202" s="191"/>
      <c r="BB202" s="254" t="str">
        <f>IF(COUNTBLANK(AX202:BA202)=4,"",SUM(AX202:AZ202)+IF(Setup!$I$15="No",0,BA202))</f>
        <v/>
      </c>
      <c r="BC202" s="258" t="str">
        <f ca="1">IF('Demand background (hide)'!A193=Num_Modalities,"",SUM(Demand!I202))</f>
        <v/>
      </c>
      <c r="BD202" s="258" t="str">
        <f ca="1">IF(AND(A202&lt;=MaxRows,BE202&lt;&gt;"Yes"),'Demand background (hide)'!X193+IF(Setup!$I$15="Yes",'Demand background (hide)'!AJ193,0),"")</f>
        <v/>
      </c>
      <c r="BE202" s="208"/>
    </row>
    <row r="203" spans="1:57" ht="15" x14ac:dyDescent="0.25">
      <c r="A203" t="str">
        <f t="shared" ca="1" si="8"/>
        <v/>
      </c>
      <c r="B203" s="263" t="str">
        <f t="shared" ca="1" si="9"/>
        <v xml:space="preserve"> </v>
      </c>
      <c r="C203" s="264" t="str">
        <f t="shared" ca="1" si="10"/>
        <v/>
      </c>
      <c r="D203" s="264" t="str">
        <f t="shared" ca="1" si="11"/>
        <v/>
      </c>
      <c r="E203" s="191"/>
      <c r="F203" s="191"/>
      <c r="G203" s="191"/>
      <c r="H203" s="191"/>
      <c r="I203" s="250" t="str">
        <f>IF(COUNTBLANK(E203:H203)=4,"",SUM(E203:G203)+IF(Setup!$I$15="No",0,H203))</f>
        <v/>
      </c>
      <c r="J203" s="191"/>
      <c r="K203" s="191"/>
      <c r="L203" s="191"/>
      <c r="M203" s="191"/>
      <c r="N203" s="254" t="str">
        <f>IF(COUNTBLANK(J203:M203)=4,"",SUM(J203:L203)+IF(Setup!$I$15="No",0,M203))</f>
        <v/>
      </c>
      <c r="O203" s="191"/>
      <c r="P203" s="191"/>
      <c r="Q203" s="191"/>
      <c r="R203" s="191"/>
      <c r="S203" s="254" t="str">
        <f>IF(COUNTBLANK(O203:R203)=4,"",SUM(O203:Q203)+IF(Setup!$I$15="No",0,R203))</f>
        <v/>
      </c>
      <c r="T203" s="191"/>
      <c r="U203" s="191"/>
      <c r="V203" s="191"/>
      <c r="W203" s="191"/>
      <c r="X203" s="254" t="str">
        <f>IF(COUNTBLANK(T203:W203)=4,"",SUM(T203:V203)+IF(Setup!$I$15="No",0,W203))</f>
        <v/>
      </c>
      <c r="Y203" s="191"/>
      <c r="Z203" s="191"/>
      <c r="AA203" s="191"/>
      <c r="AB203" s="191"/>
      <c r="AC203" s="254" t="str">
        <f>IF(COUNTBLANK(Y203:AB203)=4,"",SUM(Y203:AA203)+IF(Setup!$I$15="No",0,AB203))</f>
        <v/>
      </c>
      <c r="AD203" s="191"/>
      <c r="AE203" s="191"/>
      <c r="AF203" s="191"/>
      <c r="AG203" s="191"/>
      <c r="AH203" s="254" t="str">
        <f>IF(COUNTBLANK(AD203:AG203)=4,"",SUM(AD203:AF203)+IF(Setup!$I$15="No",0,AG203))</f>
        <v/>
      </c>
      <c r="AI203" s="191"/>
      <c r="AJ203" s="191"/>
      <c r="AK203" s="191"/>
      <c r="AL203" s="191"/>
      <c r="AM203" s="254" t="str">
        <f>IF(COUNTBLANK(AI203:AL203)=4,"",SUM(AI203:AK203)+IF(Setup!$I$15="No",0,AL203))</f>
        <v/>
      </c>
      <c r="AN203" s="191"/>
      <c r="AO203" s="191"/>
      <c r="AP203" s="191"/>
      <c r="AQ203" s="191"/>
      <c r="AR203" s="254" t="str">
        <f>IF(COUNTBLANK(AN203:AQ203)=4,"",SUM(AN203:AP203)+IF(Setup!$I$15="No",0,AQ203))</f>
        <v/>
      </c>
      <c r="AS203" s="191"/>
      <c r="AT203" s="191"/>
      <c r="AU203" s="191"/>
      <c r="AV203" s="191"/>
      <c r="AW203" s="254" t="str">
        <f>IF(COUNTBLANK(AS203:AV203)=4,"",SUM(AS203:AU203)+IF(Setup!$I$15="No",0,AV203))</f>
        <v/>
      </c>
      <c r="AX203" s="191"/>
      <c r="AY203" s="191"/>
      <c r="AZ203" s="191"/>
      <c r="BA203" s="191"/>
      <c r="BB203" s="254" t="str">
        <f>IF(COUNTBLANK(AX203:BA203)=4,"",SUM(AX203:AZ203)+IF(Setup!$I$15="No",0,BA203))</f>
        <v/>
      </c>
      <c r="BC203" s="258" t="str">
        <f ca="1">IF('Demand background (hide)'!A194=Num_Modalities,"",SUM(Demand!I203))</f>
        <v/>
      </c>
      <c r="BD203" s="258" t="str">
        <f ca="1">IF(AND(A203&lt;=MaxRows,BE203&lt;&gt;"Yes"),'Demand background (hide)'!X194+IF(Setup!$I$15="Yes",'Demand background (hide)'!AJ194,0),"")</f>
        <v/>
      </c>
      <c r="BE203" s="208"/>
    </row>
    <row r="204" spans="1:57" ht="15" x14ac:dyDescent="0.25">
      <c r="A204" t="str">
        <f t="shared" ca="1" si="8"/>
        <v/>
      </c>
      <c r="B204" s="263" t="str">
        <f t="shared" ca="1" si="9"/>
        <v xml:space="preserve"> </v>
      </c>
      <c r="C204" s="264" t="str">
        <f t="shared" ca="1" si="10"/>
        <v/>
      </c>
      <c r="D204" s="264" t="str">
        <f t="shared" ca="1" si="11"/>
        <v/>
      </c>
      <c r="E204" s="191"/>
      <c r="F204" s="191"/>
      <c r="G204" s="191"/>
      <c r="H204" s="191"/>
      <c r="I204" s="250" t="str">
        <f>IF(COUNTBLANK(E204:H204)=4,"",SUM(E204:G204)+IF(Setup!$I$15="No",0,H204))</f>
        <v/>
      </c>
      <c r="J204" s="191"/>
      <c r="K204" s="191"/>
      <c r="L204" s="191"/>
      <c r="M204" s="191"/>
      <c r="N204" s="254" t="str">
        <f>IF(COUNTBLANK(J204:M204)=4,"",SUM(J204:L204)+IF(Setup!$I$15="No",0,M204))</f>
        <v/>
      </c>
      <c r="O204" s="191"/>
      <c r="P204" s="191"/>
      <c r="Q204" s="191"/>
      <c r="R204" s="191"/>
      <c r="S204" s="254" t="str">
        <f>IF(COUNTBLANK(O204:R204)=4,"",SUM(O204:Q204)+IF(Setup!$I$15="No",0,R204))</f>
        <v/>
      </c>
      <c r="T204" s="191"/>
      <c r="U204" s="191"/>
      <c r="V204" s="191"/>
      <c r="W204" s="191"/>
      <c r="X204" s="254" t="str">
        <f>IF(COUNTBLANK(T204:W204)=4,"",SUM(T204:V204)+IF(Setup!$I$15="No",0,W204))</f>
        <v/>
      </c>
      <c r="Y204" s="191"/>
      <c r="Z204" s="191"/>
      <c r="AA204" s="191"/>
      <c r="AB204" s="191"/>
      <c r="AC204" s="254" t="str">
        <f>IF(COUNTBLANK(Y204:AB204)=4,"",SUM(Y204:AA204)+IF(Setup!$I$15="No",0,AB204))</f>
        <v/>
      </c>
      <c r="AD204" s="191"/>
      <c r="AE204" s="191"/>
      <c r="AF204" s="191"/>
      <c r="AG204" s="191"/>
      <c r="AH204" s="254" t="str">
        <f>IF(COUNTBLANK(AD204:AG204)=4,"",SUM(AD204:AF204)+IF(Setup!$I$15="No",0,AG204))</f>
        <v/>
      </c>
      <c r="AI204" s="191"/>
      <c r="AJ204" s="191"/>
      <c r="AK204" s="191"/>
      <c r="AL204" s="191"/>
      <c r="AM204" s="254" t="str">
        <f>IF(COUNTBLANK(AI204:AL204)=4,"",SUM(AI204:AK204)+IF(Setup!$I$15="No",0,AL204))</f>
        <v/>
      </c>
      <c r="AN204" s="191"/>
      <c r="AO204" s="191"/>
      <c r="AP204" s="191"/>
      <c r="AQ204" s="191"/>
      <c r="AR204" s="254" t="str">
        <f>IF(COUNTBLANK(AN204:AQ204)=4,"",SUM(AN204:AP204)+IF(Setup!$I$15="No",0,AQ204))</f>
        <v/>
      </c>
      <c r="AS204" s="191"/>
      <c r="AT204" s="191"/>
      <c r="AU204" s="191"/>
      <c r="AV204" s="191"/>
      <c r="AW204" s="254" t="str">
        <f>IF(COUNTBLANK(AS204:AV204)=4,"",SUM(AS204:AU204)+IF(Setup!$I$15="No",0,AV204))</f>
        <v/>
      </c>
      <c r="AX204" s="191"/>
      <c r="AY204" s="191"/>
      <c r="AZ204" s="191"/>
      <c r="BA204" s="191"/>
      <c r="BB204" s="254" t="str">
        <f>IF(COUNTBLANK(AX204:BA204)=4,"",SUM(AX204:AZ204)+IF(Setup!$I$15="No",0,BA204))</f>
        <v/>
      </c>
      <c r="BC204" s="258" t="str">
        <f ca="1">IF('Demand background (hide)'!A195=Num_Modalities,"",SUM(Demand!I204))</f>
        <v/>
      </c>
      <c r="BD204" s="258" t="str">
        <f ca="1">IF(AND(A204&lt;=MaxRows,BE204&lt;&gt;"Yes"),'Demand background (hide)'!X195+IF(Setup!$I$15="Yes",'Demand background (hide)'!AJ195,0),"")</f>
        <v/>
      </c>
      <c r="BE204" s="208"/>
    </row>
    <row r="205" spans="1:57" ht="15" x14ac:dyDescent="0.25">
      <c r="A205" t="str">
        <f t="shared" ref="A205:A268" ca="1" si="12">IF(BC205&lt;&gt;"",ROW(A193),"")</f>
        <v/>
      </c>
      <c r="B205" s="263" t="str">
        <f t="shared" ca="1" si="9"/>
        <v xml:space="preserve"> </v>
      </c>
      <c r="C205" s="264" t="str">
        <f t="shared" ca="1" si="10"/>
        <v/>
      </c>
      <c r="D205" s="264" t="str">
        <f t="shared" ca="1" si="11"/>
        <v/>
      </c>
      <c r="E205" s="191"/>
      <c r="F205" s="191"/>
      <c r="G205" s="191"/>
      <c r="H205" s="191"/>
      <c r="I205" s="250" t="str">
        <f>IF(COUNTBLANK(E205:H205)=4,"",SUM(E205:G205)+IF(Setup!$I$15="No",0,H205))</f>
        <v/>
      </c>
      <c r="J205" s="191"/>
      <c r="K205" s="191"/>
      <c r="L205" s="191"/>
      <c r="M205" s="191"/>
      <c r="N205" s="254" t="str">
        <f>IF(COUNTBLANK(J205:M205)=4,"",SUM(J205:L205)+IF(Setup!$I$15="No",0,M205))</f>
        <v/>
      </c>
      <c r="O205" s="191"/>
      <c r="P205" s="191"/>
      <c r="Q205" s="191"/>
      <c r="R205" s="191"/>
      <c r="S205" s="254" t="str">
        <f>IF(COUNTBLANK(O205:R205)=4,"",SUM(O205:Q205)+IF(Setup!$I$15="No",0,R205))</f>
        <v/>
      </c>
      <c r="T205" s="191"/>
      <c r="U205" s="191"/>
      <c r="V205" s="191"/>
      <c r="W205" s="191"/>
      <c r="X205" s="254" t="str">
        <f>IF(COUNTBLANK(T205:W205)=4,"",SUM(T205:V205)+IF(Setup!$I$15="No",0,W205))</f>
        <v/>
      </c>
      <c r="Y205" s="191"/>
      <c r="Z205" s="191"/>
      <c r="AA205" s="191"/>
      <c r="AB205" s="191"/>
      <c r="AC205" s="254" t="str">
        <f>IF(COUNTBLANK(Y205:AB205)=4,"",SUM(Y205:AA205)+IF(Setup!$I$15="No",0,AB205))</f>
        <v/>
      </c>
      <c r="AD205" s="191"/>
      <c r="AE205" s="191"/>
      <c r="AF205" s="191"/>
      <c r="AG205" s="191"/>
      <c r="AH205" s="254" t="str">
        <f>IF(COUNTBLANK(AD205:AG205)=4,"",SUM(AD205:AF205)+IF(Setup!$I$15="No",0,AG205))</f>
        <v/>
      </c>
      <c r="AI205" s="191"/>
      <c r="AJ205" s="191"/>
      <c r="AK205" s="191"/>
      <c r="AL205" s="191"/>
      <c r="AM205" s="254" t="str">
        <f>IF(COUNTBLANK(AI205:AL205)=4,"",SUM(AI205:AK205)+IF(Setup!$I$15="No",0,AL205))</f>
        <v/>
      </c>
      <c r="AN205" s="191"/>
      <c r="AO205" s="191"/>
      <c r="AP205" s="191"/>
      <c r="AQ205" s="191"/>
      <c r="AR205" s="254" t="str">
        <f>IF(COUNTBLANK(AN205:AQ205)=4,"",SUM(AN205:AP205)+IF(Setup!$I$15="No",0,AQ205))</f>
        <v/>
      </c>
      <c r="AS205" s="191"/>
      <c r="AT205" s="191"/>
      <c r="AU205" s="191"/>
      <c r="AV205" s="191"/>
      <c r="AW205" s="254" t="str">
        <f>IF(COUNTBLANK(AS205:AV205)=4,"",SUM(AS205:AU205)+IF(Setup!$I$15="No",0,AV205))</f>
        <v/>
      </c>
      <c r="AX205" s="191"/>
      <c r="AY205" s="191"/>
      <c r="AZ205" s="191"/>
      <c r="BA205" s="191"/>
      <c r="BB205" s="254" t="str">
        <f>IF(COUNTBLANK(AX205:BA205)=4,"",SUM(AX205:AZ205)+IF(Setup!$I$15="No",0,BA205))</f>
        <v/>
      </c>
      <c r="BC205" s="258" t="str">
        <f ca="1">IF('Demand background (hide)'!A196=Num_Modalities,"",SUM(Demand!I205))</f>
        <v/>
      </c>
      <c r="BD205" s="258" t="str">
        <f ca="1">IF(AND(A205&lt;=MaxRows,BE205&lt;&gt;"Yes"),'Demand background (hide)'!X196+IF(Setup!$I$15="Yes",'Demand background (hide)'!AJ196,0),"")</f>
        <v/>
      </c>
      <c r="BE205" s="208"/>
    </row>
    <row r="206" spans="1:57" ht="15" x14ac:dyDescent="0.25">
      <c r="A206" t="str">
        <f t="shared" ca="1" si="12"/>
        <v/>
      </c>
      <c r="B206" s="263" t="str">
        <f t="shared" ref="B206:B269" ca="1" si="13">IF(A206&lt;=MaxRows,IF($C$6&lt;&gt;"",IF(YEAR(D206)&lt;&gt;YEAR(D205),YEAR(D206)," "),IF(C206&lt;&gt;1,"",OFFSET(B206,-C205,0,1,1)+1))," ")</f>
        <v xml:space="preserve"> </v>
      </c>
      <c r="C206" s="264" t="str">
        <f t="shared" ref="C206:C269" ca="1" si="14">IF(ROW(A194)&lt;=MaxRows,IF($C$6&lt;&gt;"",WEEKNUM(D206,21),IF(MOD((C205+1),52)&gt;0,MOD((C205+1),52),52)),"")</f>
        <v/>
      </c>
      <c r="D206" s="264" t="str">
        <f t="shared" ref="D206:D269" ca="1" si="15">IF(OR(AND(ROW(A194)&lt;=MaxRows,$C$6&lt;&gt;""),AND(ROW(A206)&lt;=64,LEFT($C$8,1)&lt;&gt;"H")),D205+7,"")</f>
        <v/>
      </c>
      <c r="E206" s="191"/>
      <c r="F206" s="191"/>
      <c r="G206" s="191"/>
      <c r="H206" s="191"/>
      <c r="I206" s="250" t="str">
        <f>IF(COUNTBLANK(E206:H206)=4,"",SUM(E206:G206)+IF(Setup!$I$15="No",0,H206))</f>
        <v/>
      </c>
      <c r="J206" s="191"/>
      <c r="K206" s="191"/>
      <c r="L206" s="191"/>
      <c r="M206" s="191"/>
      <c r="N206" s="254" t="str">
        <f>IF(COUNTBLANK(J206:M206)=4,"",SUM(J206:L206)+IF(Setup!$I$15="No",0,M206))</f>
        <v/>
      </c>
      <c r="O206" s="191"/>
      <c r="P206" s="191"/>
      <c r="Q206" s="191"/>
      <c r="R206" s="191"/>
      <c r="S206" s="254" t="str">
        <f>IF(COUNTBLANK(O206:R206)=4,"",SUM(O206:Q206)+IF(Setup!$I$15="No",0,R206))</f>
        <v/>
      </c>
      <c r="T206" s="191"/>
      <c r="U206" s="191"/>
      <c r="V206" s="191"/>
      <c r="W206" s="191"/>
      <c r="X206" s="254" t="str">
        <f>IF(COUNTBLANK(T206:W206)=4,"",SUM(T206:V206)+IF(Setup!$I$15="No",0,W206))</f>
        <v/>
      </c>
      <c r="Y206" s="191"/>
      <c r="Z206" s="191"/>
      <c r="AA206" s="191"/>
      <c r="AB206" s="191"/>
      <c r="AC206" s="254" t="str">
        <f>IF(COUNTBLANK(Y206:AB206)=4,"",SUM(Y206:AA206)+IF(Setup!$I$15="No",0,AB206))</f>
        <v/>
      </c>
      <c r="AD206" s="191"/>
      <c r="AE206" s="191"/>
      <c r="AF206" s="191"/>
      <c r="AG206" s="191"/>
      <c r="AH206" s="254" t="str">
        <f>IF(COUNTBLANK(AD206:AG206)=4,"",SUM(AD206:AF206)+IF(Setup!$I$15="No",0,AG206))</f>
        <v/>
      </c>
      <c r="AI206" s="191"/>
      <c r="AJ206" s="191"/>
      <c r="AK206" s="191"/>
      <c r="AL206" s="191"/>
      <c r="AM206" s="254" t="str">
        <f>IF(COUNTBLANK(AI206:AL206)=4,"",SUM(AI206:AK206)+IF(Setup!$I$15="No",0,AL206))</f>
        <v/>
      </c>
      <c r="AN206" s="191"/>
      <c r="AO206" s="191"/>
      <c r="AP206" s="191"/>
      <c r="AQ206" s="191"/>
      <c r="AR206" s="254" t="str">
        <f>IF(COUNTBLANK(AN206:AQ206)=4,"",SUM(AN206:AP206)+IF(Setup!$I$15="No",0,AQ206))</f>
        <v/>
      </c>
      <c r="AS206" s="191"/>
      <c r="AT206" s="191"/>
      <c r="AU206" s="191"/>
      <c r="AV206" s="191"/>
      <c r="AW206" s="254" t="str">
        <f>IF(COUNTBLANK(AS206:AV206)=4,"",SUM(AS206:AU206)+IF(Setup!$I$15="No",0,AV206))</f>
        <v/>
      </c>
      <c r="AX206" s="191"/>
      <c r="AY206" s="191"/>
      <c r="AZ206" s="191"/>
      <c r="BA206" s="191"/>
      <c r="BB206" s="254" t="str">
        <f>IF(COUNTBLANK(AX206:BA206)=4,"",SUM(AX206:AZ206)+IF(Setup!$I$15="No",0,BA206))</f>
        <v/>
      </c>
      <c r="BC206" s="258" t="str">
        <f ca="1">IF('Demand background (hide)'!A197=Num_Modalities,"",SUM(Demand!I206))</f>
        <v/>
      </c>
      <c r="BD206" s="258" t="str">
        <f ca="1">IF(AND(A206&lt;=MaxRows,BE206&lt;&gt;"Yes"),'Demand background (hide)'!X197+IF(Setup!$I$15="Yes",'Demand background (hide)'!AJ197,0),"")</f>
        <v/>
      </c>
      <c r="BE206" s="208"/>
    </row>
    <row r="207" spans="1:57" ht="15" x14ac:dyDescent="0.25">
      <c r="A207" t="str">
        <f t="shared" ca="1" si="12"/>
        <v/>
      </c>
      <c r="B207" s="263" t="str">
        <f t="shared" ca="1" si="13"/>
        <v xml:space="preserve"> </v>
      </c>
      <c r="C207" s="264" t="str">
        <f t="shared" ca="1" si="14"/>
        <v/>
      </c>
      <c r="D207" s="264" t="str">
        <f t="shared" ca="1" si="15"/>
        <v/>
      </c>
      <c r="E207" s="191"/>
      <c r="F207" s="191"/>
      <c r="G207" s="191"/>
      <c r="H207" s="191"/>
      <c r="I207" s="250" t="str">
        <f>IF(COUNTBLANK(E207:H207)=4,"",SUM(E207:G207)+IF(Setup!$I$15="No",0,H207))</f>
        <v/>
      </c>
      <c r="J207" s="191"/>
      <c r="K207" s="191"/>
      <c r="L207" s="191"/>
      <c r="M207" s="191"/>
      <c r="N207" s="254" t="str">
        <f>IF(COUNTBLANK(J207:M207)=4,"",SUM(J207:L207)+IF(Setup!$I$15="No",0,M207))</f>
        <v/>
      </c>
      <c r="O207" s="191"/>
      <c r="P207" s="191"/>
      <c r="Q207" s="191"/>
      <c r="R207" s="191"/>
      <c r="S207" s="254" t="str">
        <f>IF(COUNTBLANK(O207:R207)=4,"",SUM(O207:Q207)+IF(Setup!$I$15="No",0,R207))</f>
        <v/>
      </c>
      <c r="T207" s="191"/>
      <c r="U207" s="191"/>
      <c r="V207" s="191"/>
      <c r="W207" s="191"/>
      <c r="X207" s="254" t="str">
        <f>IF(COUNTBLANK(T207:W207)=4,"",SUM(T207:V207)+IF(Setup!$I$15="No",0,W207))</f>
        <v/>
      </c>
      <c r="Y207" s="191"/>
      <c r="Z207" s="191"/>
      <c r="AA207" s="191"/>
      <c r="AB207" s="191"/>
      <c r="AC207" s="254" t="str">
        <f>IF(COUNTBLANK(Y207:AB207)=4,"",SUM(Y207:AA207)+IF(Setup!$I$15="No",0,AB207))</f>
        <v/>
      </c>
      <c r="AD207" s="191"/>
      <c r="AE207" s="191"/>
      <c r="AF207" s="191"/>
      <c r="AG207" s="191"/>
      <c r="AH207" s="254" t="str">
        <f>IF(COUNTBLANK(AD207:AG207)=4,"",SUM(AD207:AF207)+IF(Setup!$I$15="No",0,AG207))</f>
        <v/>
      </c>
      <c r="AI207" s="191"/>
      <c r="AJ207" s="191"/>
      <c r="AK207" s="191"/>
      <c r="AL207" s="191"/>
      <c r="AM207" s="254" t="str">
        <f>IF(COUNTBLANK(AI207:AL207)=4,"",SUM(AI207:AK207)+IF(Setup!$I$15="No",0,AL207))</f>
        <v/>
      </c>
      <c r="AN207" s="191"/>
      <c r="AO207" s="191"/>
      <c r="AP207" s="191"/>
      <c r="AQ207" s="191"/>
      <c r="AR207" s="254" t="str">
        <f>IF(COUNTBLANK(AN207:AQ207)=4,"",SUM(AN207:AP207)+IF(Setup!$I$15="No",0,AQ207))</f>
        <v/>
      </c>
      <c r="AS207" s="191"/>
      <c r="AT207" s="191"/>
      <c r="AU207" s="191"/>
      <c r="AV207" s="191"/>
      <c r="AW207" s="254" t="str">
        <f>IF(COUNTBLANK(AS207:AV207)=4,"",SUM(AS207:AU207)+IF(Setup!$I$15="No",0,AV207))</f>
        <v/>
      </c>
      <c r="AX207" s="191"/>
      <c r="AY207" s="191"/>
      <c r="AZ207" s="191"/>
      <c r="BA207" s="191"/>
      <c r="BB207" s="254" t="str">
        <f>IF(COUNTBLANK(AX207:BA207)=4,"",SUM(AX207:AZ207)+IF(Setup!$I$15="No",0,BA207))</f>
        <v/>
      </c>
      <c r="BC207" s="258" t="str">
        <f ca="1">IF('Demand background (hide)'!A198=Num_Modalities,"",SUM(Demand!I207))</f>
        <v/>
      </c>
      <c r="BD207" s="258" t="str">
        <f ca="1">IF(AND(A207&lt;=MaxRows,BE207&lt;&gt;"Yes"),'Demand background (hide)'!X198+IF(Setup!$I$15="Yes",'Demand background (hide)'!AJ198,0),"")</f>
        <v/>
      </c>
      <c r="BE207" s="208"/>
    </row>
    <row r="208" spans="1:57" ht="15" x14ac:dyDescent="0.25">
      <c r="A208" t="str">
        <f t="shared" ca="1" si="12"/>
        <v/>
      </c>
      <c r="B208" s="263" t="str">
        <f t="shared" ca="1" si="13"/>
        <v xml:space="preserve"> </v>
      </c>
      <c r="C208" s="264" t="str">
        <f t="shared" ca="1" si="14"/>
        <v/>
      </c>
      <c r="D208" s="264" t="str">
        <f t="shared" ca="1" si="15"/>
        <v/>
      </c>
      <c r="E208" s="191"/>
      <c r="F208" s="191"/>
      <c r="G208" s="191"/>
      <c r="H208" s="191"/>
      <c r="I208" s="250" t="str">
        <f>IF(COUNTBLANK(E208:H208)=4,"",SUM(E208:G208)+IF(Setup!$I$15="No",0,H208))</f>
        <v/>
      </c>
      <c r="J208" s="191"/>
      <c r="K208" s="191"/>
      <c r="L208" s="191"/>
      <c r="M208" s="191"/>
      <c r="N208" s="254" t="str">
        <f>IF(COUNTBLANK(J208:M208)=4,"",SUM(J208:L208)+IF(Setup!$I$15="No",0,M208))</f>
        <v/>
      </c>
      <c r="O208" s="191"/>
      <c r="P208" s="191"/>
      <c r="Q208" s="191"/>
      <c r="R208" s="191"/>
      <c r="S208" s="254" t="str">
        <f>IF(COUNTBLANK(O208:R208)=4,"",SUM(O208:Q208)+IF(Setup!$I$15="No",0,R208))</f>
        <v/>
      </c>
      <c r="T208" s="191"/>
      <c r="U208" s="191"/>
      <c r="V208" s="191"/>
      <c r="W208" s="191"/>
      <c r="X208" s="254" t="str">
        <f>IF(COUNTBLANK(T208:W208)=4,"",SUM(T208:V208)+IF(Setup!$I$15="No",0,W208))</f>
        <v/>
      </c>
      <c r="Y208" s="191"/>
      <c r="Z208" s="191"/>
      <c r="AA208" s="191"/>
      <c r="AB208" s="191"/>
      <c r="AC208" s="254" t="str">
        <f>IF(COUNTBLANK(Y208:AB208)=4,"",SUM(Y208:AA208)+IF(Setup!$I$15="No",0,AB208))</f>
        <v/>
      </c>
      <c r="AD208" s="191"/>
      <c r="AE208" s="191"/>
      <c r="AF208" s="191"/>
      <c r="AG208" s="191"/>
      <c r="AH208" s="254" t="str">
        <f>IF(COUNTBLANK(AD208:AG208)=4,"",SUM(AD208:AF208)+IF(Setup!$I$15="No",0,AG208))</f>
        <v/>
      </c>
      <c r="AI208" s="191"/>
      <c r="AJ208" s="191"/>
      <c r="AK208" s="191"/>
      <c r="AL208" s="191"/>
      <c r="AM208" s="254" t="str">
        <f>IF(COUNTBLANK(AI208:AL208)=4,"",SUM(AI208:AK208)+IF(Setup!$I$15="No",0,AL208))</f>
        <v/>
      </c>
      <c r="AN208" s="191"/>
      <c r="AO208" s="191"/>
      <c r="AP208" s="191"/>
      <c r="AQ208" s="191"/>
      <c r="AR208" s="254" t="str">
        <f>IF(COUNTBLANK(AN208:AQ208)=4,"",SUM(AN208:AP208)+IF(Setup!$I$15="No",0,AQ208))</f>
        <v/>
      </c>
      <c r="AS208" s="191"/>
      <c r="AT208" s="191"/>
      <c r="AU208" s="191"/>
      <c r="AV208" s="191"/>
      <c r="AW208" s="254" t="str">
        <f>IF(COUNTBLANK(AS208:AV208)=4,"",SUM(AS208:AU208)+IF(Setup!$I$15="No",0,AV208))</f>
        <v/>
      </c>
      <c r="AX208" s="191"/>
      <c r="AY208" s="191"/>
      <c r="AZ208" s="191"/>
      <c r="BA208" s="191"/>
      <c r="BB208" s="254" t="str">
        <f>IF(COUNTBLANK(AX208:BA208)=4,"",SUM(AX208:AZ208)+IF(Setup!$I$15="No",0,BA208))</f>
        <v/>
      </c>
      <c r="BC208" s="258" t="str">
        <f ca="1">IF('Demand background (hide)'!A199=Num_Modalities,"",SUM(Demand!I208))</f>
        <v/>
      </c>
      <c r="BD208" s="258" t="str">
        <f ca="1">IF(AND(A208&lt;=MaxRows,BE208&lt;&gt;"Yes"),'Demand background (hide)'!X199+IF(Setup!$I$15="Yes",'Demand background (hide)'!AJ199,0),"")</f>
        <v/>
      </c>
      <c r="BE208" s="208"/>
    </row>
    <row r="209" spans="1:57" ht="15" x14ac:dyDescent="0.25">
      <c r="A209" t="str">
        <f t="shared" ca="1" si="12"/>
        <v/>
      </c>
      <c r="B209" s="263" t="str">
        <f t="shared" ca="1" si="13"/>
        <v xml:space="preserve"> </v>
      </c>
      <c r="C209" s="264" t="str">
        <f t="shared" ca="1" si="14"/>
        <v/>
      </c>
      <c r="D209" s="264" t="str">
        <f t="shared" ca="1" si="15"/>
        <v/>
      </c>
      <c r="E209" s="191"/>
      <c r="F209" s="191"/>
      <c r="G209" s="191"/>
      <c r="H209" s="191"/>
      <c r="I209" s="250" t="str">
        <f>IF(COUNTBLANK(E209:H209)=4,"",SUM(E209:G209)+IF(Setup!$I$15="No",0,H209))</f>
        <v/>
      </c>
      <c r="J209" s="191"/>
      <c r="K209" s="191"/>
      <c r="L209" s="191"/>
      <c r="M209" s="191"/>
      <c r="N209" s="254" t="str">
        <f>IF(COUNTBLANK(J209:M209)=4,"",SUM(J209:L209)+IF(Setup!$I$15="No",0,M209))</f>
        <v/>
      </c>
      <c r="O209" s="191"/>
      <c r="P209" s="191"/>
      <c r="Q209" s="191"/>
      <c r="R209" s="191"/>
      <c r="S209" s="254" t="str">
        <f>IF(COUNTBLANK(O209:R209)=4,"",SUM(O209:Q209)+IF(Setup!$I$15="No",0,R209))</f>
        <v/>
      </c>
      <c r="T209" s="191"/>
      <c r="U209" s="191"/>
      <c r="V209" s="191"/>
      <c r="W209" s="191"/>
      <c r="X209" s="254" t="str">
        <f>IF(COUNTBLANK(T209:W209)=4,"",SUM(T209:V209)+IF(Setup!$I$15="No",0,W209))</f>
        <v/>
      </c>
      <c r="Y209" s="191"/>
      <c r="Z209" s="191"/>
      <c r="AA209" s="191"/>
      <c r="AB209" s="191"/>
      <c r="AC209" s="254" t="str">
        <f>IF(COUNTBLANK(Y209:AB209)=4,"",SUM(Y209:AA209)+IF(Setup!$I$15="No",0,AB209))</f>
        <v/>
      </c>
      <c r="AD209" s="191"/>
      <c r="AE209" s="191"/>
      <c r="AF209" s="191"/>
      <c r="AG209" s="191"/>
      <c r="AH209" s="254" t="str">
        <f>IF(COUNTBLANK(AD209:AG209)=4,"",SUM(AD209:AF209)+IF(Setup!$I$15="No",0,AG209))</f>
        <v/>
      </c>
      <c r="AI209" s="191"/>
      <c r="AJ209" s="191"/>
      <c r="AK209" s="191"/>
      <c r="AL209" s="191"/>
      <c r="AM209" s="254" t="str">
        <f>IF(COUNTBLANK(AI209:AL209)=4,"",SUM(AI209:AK209)+IF(Setup!$I$15="No",0,AL209))</f>
        <v/>
      </c>
      <c r="AN209" s="191"/>
      <c r="AO209" s="191"/>
      <c r="AP209" s="191"/>
      <c r="AQ209" s="191"/>
      <c r="AR209" s="254" t="str">
        <f>IF(COUNTBLANK(AN209:AQ209)=4,"",SUM(AN209:AP209)+IF(Setup!$I$15="No",0,AQ209))</f>
        <v/>
      </c>
      <c r="AS209" s="191"/>
      <c r="AT209" s="191"/>
      <c r="AU209" s="191"/>
      <c r="AV209" s="191"/>
      <c r="AW209" s="254" t="str">
        <f>IF(COUNTBLANK(AS209:AV209)=4,"",SUM(AS209:AU209)+IF(Setup!$I$15="No",0,AV209))</f>
        <v/>
      </c>
      <c r="AX209" s="191"/>
      <c r="AY209" s="191"/>
      <c r="AZ209" s="191"/>
      <c r="BA209" s="191"/>
      <c r="BB209" s="254" t="str">
        <f>IF(COUNTBLANK(AX209:BA209)=4,"",SUM(AX209:AZ209)+IF(Setup!$I$15="No",0,BA209))</f>
        <v/>
      </c>
      <c r="BC209" s="258" t="str">
        <f ca="1">IF('Demand background (hide)'!A200=Num_Modalities,"",SUM(Demand!I209))</f>
        <v/>
      </c>
      <c r="BD209" s="258" t="str">
        <f ca="1">IF(AND(A209&lt;=MaxRows,BE209&lt;&gt;"Yes"),'Demand background (hide)'!X200+IF(Setup!$I$15="Yes",'Demand background (hide)'!AJ200,0),"")</f>
        <v/>
      </c>
      <c r="BE209" s="208"/>
    </row>
    <row r="210" spans="1:57" ht="15" x14ac:dyDescent="0.25">
      <c r="A210" t="str">
        <f t="shared" ca="1" si="12"/>
        <v/>
      </c>
      <c r="B210" s="263" t="str">
        <f t="shared" ca="1" si="13"/>
        <v xml:space="preserve"> </v>
      </c>
      <c r="C210" s="264" t="str">
        <f t="shared" ca="1" si="14"/>
        <v/>
      </c>
      <c r="D210" s="264" t="str">
        <f t="shared" ca="1" si="15"/>
        <v/>
      </c>
      <c r="E210" s="191"/>
      <c r="F210" s="191"/>
      <c r="G210" s="191"/>
      <c r="H210" s="191"/>
      <c r="I210" s="250" t="str">
        <f>IF(COUNTBLANK(E210:H210)=4,"",SUM(E210:G210)+IF(Setup!$I$15="No",0,H210))</f>
        <v/>
      </c>
      <c r="J210" s="191"/>
      <c r="K210" s="191"/>
      <c r="L210" s="191"/>
      <c r="M210" s="191"/>
      <c r="N210" s="254" t="str">
        <f>IF(COUNTBLANK(J210:M210)=4,"",SUM(J210:L210)+IF(Setup!$I$15="No",0,M210))</f>
        <v/>
      </c>
      <c r="O210" s="191"/>
      <c r="P210" s="191"/>
      <c r="Q210" s="191"/>
      <c r="R210" s="191"/>
      <c r="S210" s="254" t="str">
        <f>IF(COUNTBLANK(O210:R210)=4,"",SUM(O210:Q210)+IF(Setup!$I$15="No",0,R210))</f>
        <v/>
      </c>
      <c r="T210" s="191"/>
      <c r="U210" s="191"/>
      <c r="V210" s="191"/>
      <c r="W210" s="191"/>
      <c r="X210" s="254" t="str">
        <f>IF(COUNTBLANK(T210:W210)=4,"",SUM(T210:V210)+IF(Setup!$I$15="No",0,W210))</f>
        <v/>
      </c>
      <c r="Y210" s="191"/>
      <c r="Z210" s="191"/>
      <c r="AA210" s="191"/>
      <c r="AB210" s="191"/>
      <c r="AC210" s="254" t="str">
        <f>IF(COUNTBLANK(Y210:AB210)=4,"",SUM(Y210:AA210)+IF(Setup!$I$15="No",0,AB210))</f>
        <v/>
      </c>
      <c r="AD210" s="191"/>
      <c r="AE210" s="191"/>
      <c r="AF210" s="191"/>
      <c r="AG210" s="191"/>
      <c r="AH210" s="254" t="str">
        <f>IF(COUNTBLANK(AD210:AG210)=4,"",SUM(AD210:AF210)+IF(Setup!$I$15="No",0,AG210))</f>
        <v/>
      </c>
      <c r="AI210" s="191"/>
      <c r="AJ210" s="191"/>
      <c r="AK210" s="191"/>
      <c r="AL210" s="191"/>
      <c r="AM210" s="254" t="str">
        <f>IF(COUNTBLANK(AI210:AL210)=4,"",SUM(AI210:AK210)+IF(Setup!$I$15="No",0,AL210))</f>
        <v/>
      </c>
      <c r="AN210" s="191"/>
      <c r="AO210" s="191"/>
      <c r="AP210" s="191"/>
      <c r="AQ210" s="191"/>
      <c r="AR210" s="254" t="str">
        <f>IF(COUNTBLANK(AN210:AQ210)=4,"",SUM(AN210:AP210)+IF(Setup!$I$15="No",0,AQ210))</f>
        <v/>
      </c>
      <c r="AS210" s="191"/>
      <c r="AT210" s="191"/>
      <c r="AU210" s="191"/>
      <c r="AV210" s="191"/>
      <c r="AW210" s="254" t="str">
        <f>IF(COUNTBLANK(AS210:AV210)=4,"",SUM(AS210:AU210)+IF(Setup!$I$15="No",0,AV210))</f>
        <v/>
      </c>
      <c r="AX210" s="191"/>
      <c r="AY210" s="191"/>
      <c r="AZ210" s="191"/>
      <c r="BA210" s="191"/>
      <c r="BB210" s="254" t="str">
        <f>IF(COUNTBLANK(AX210:BA210)=4,"",SUM(AX210:AZ210)+IF(Setup!$I$15="No",0,BA210))</f>
        <v/>
      </c>
      <c r="BC210" s="258" t="str">
        <f ca="1">IF('Demand background (hide)'!A201=Num_Modalities,"",SUM(Demand!I210))</f>
        <v/>
      </c>
      <c r="BD210" s="258" t="str">
        <f ca="1">IF(AND(A210&lt;=MaxRows,BE210&lt;&gt;"Yes"),'Demand background (hide)'!X201+IF(Setup!$I$15="Yes",'Demand background (hide)'!AJ201,0),"")</f>
        <v/>
      </c>
      <c r="BE210" s="208"/>
    </row>
    <row r="211" spans="1:57" ht="15" x14ac:dyDescent="0.25">
      <c r="A211" t="str">
        <f t="shared" ca="1" si="12"/>
        <v/>
      </c>
      <c r="B211" s="263" t="str">
        <f t="shared" ca="1" si="13"/>
        <v xml:space="preserve"> </v>
      </c>
      <c r="C211" s="264" t="str">
        <f t="shared" ca="1" si="14"/>
        <v/>
      </c>
      <c r="D211" s="264" t="str">
        <f t="shared" ca="1" si="15"/>
        <v/>
      </c>
      <c r="E211" s="191"/>
      <c r="F211" s="191"/>
      <c r="G211" s="191"/>
      <c r="H211" s="191"/>
      <c r="I211" s="250" t="str">
        <f>IF(COUNTBLANK(E211:H211)=4,"",SUM(E211:G211)+IF(Setup!$I$15="No",0,H211))</f>
        <v/>
      </c>
      <c r="J211" s="191"/>
      <c r="K211" s="191"/>
      <c r="L211" s="191"/>
      <c r="M211" s="191"/>
      <c r="N211" s="254" t="str">
        <f>IF(COUNTBLANK(J211:M211)=4,"",SUM(J211:L211)+IF(Setup!$I$15="No",0,M211))</f>
        <v/>
      </c>
      <c r="O211" s="191"/>
      <c r="P211" s="191"/>
      <c r="Q211" s="191"/>
      <c r="R211" s="191"/>
      <c r="S211" s="254" t="str">
        <f>IF(COUNTBLANK(O211:R211)=4,"",SUM(O211:Q211)+IF(Setup!$I$15="No",0,R211))</f>
        <v/>
      </c>
      <c r="T211" s="191"/>
      <c r="U211" s="191"/>
      <c r="V211" s="191"/>
      <c r="W211" s="191"/>
      <c r="X211" s="254" t="str">
        <f>IF(COUNTBLANK(T211:W211)=4,"",SUM(T211:V211)+IF(Setup!$I$15="No",0,W211))</f>
        <v/>
      </c>
      <c r="Y211" s="191"/>
      <c r="Z211" s="191"/>
      <c r="AA211" s="191"/>
      <c r="AB211" s="191"/>
      <c r="AC211" s="254" t="str">
        <f>IF(COUNTBLANK(Y211:AB211)=4,"",SUM(Y211:AA211)+IF(Setup!$I$15="No",0,AB211))</f>
        <v/>
      </c>
      <c r="AD211" s="191"/>
      <c r="AE211" s="191"/>
      <c r="AF211" s="191"/>
      <c r="AG211" s="191"/>
      <c r="AH211" s="254" t="str">
        <f>IF(COUNTBLANK(AD211:AG211)=4,"",SUM(AD211:AF211)+IF(Setup!$I$15="No",0,AG211))</f>
        <v/>
      </c>
      <c r="AI211" s="191"/>
      <c r="AJ211" s="191"/>
      <c r="AK211" s="191"/>
      <c r="AL211" s="191"/>
      <c r="AM211" s="254" t="str">
        <f>IF(COUNTBLANK(AI211:AL211)=4,"",SUM(AI211:AK211)+IF(Setup!$I$15="No",0,AL211))</f>
        <v/>
      </c>
      <c r="AN211" s="191"/>
      <c r="AO211" s="191"/>
      <c r="AP211" s="191"/>
      <c r="AQ211" s="191"/>
      <c r="AR211" s="254" t="str">
        <f>IF(COUNTBLANK(AN211:AQ211)=4,"",SUM(AN211:AP211)+IF(Setup!$I$15="No",0,AQ211))</f>
        <v/>
      </c>
      <c r="AS211" s="191"/>
      <c r="AT211" s="191"/>
      <c r="AU211" s="191"/>
      <c r="AV211" s="191"/>
      <c r="AW211" s="254" t="str">
        <f>IF(COUNTBLANK(AS211:AV211)=4,"",SUM(AS211:AU211)+IF(Setup!$I$15="No",0,AV211))</f>
        <v/>
      </c>
      <c r="AX211" s="191"/>
      <c r="AY211" s="191"/>
      <c r="AZ211" s="191"/>
      <c r="BA211" s="191"/>
      <c r="BB211" s="254" t="str">
        <f>IF(COUNTBLANK(AX211:BA211)=4,"",SUM(AX211:AZ211)+IF(Setup!$I$15="No",0,BA211))</f>
        <v/>
      </c>
      <c r="BC211" s="258" t="str">
        <f ca="1">IF('Demand background (hide)'!A202=Num_Modalities,"",SUM(Demand!I211))</f>
        <v/>
      </c>
      <c r="BD211" s="258" t="str">
        <f ca="1">IF(AND(A211&lt;=MaxRows,BE211&lt;&gt;"Yes"),'Demand background (hide)'!X202+IF(Setup!$I$15="Yes",'Demand background (hide)'!AJ202,0),"")</f>
        <v/>
      </c>
      <c r="BE211" s="208"/>
    </row>
    <row r="212" spans="1:57" ht="15" x14ac:dyDescent="0.25">
      <c r="A212" t="str">
        <f t="shared" ca="1" si="12"/>
        <v/>
      </c>
      <c r="B212" s="263" t="str">
        <f t="shared" ca="1" si="13"/>
        <v xml:space="preserve"> </v>
      </c>
      <c r="C212" s="264" t="str">
        <f t="shared" ca="1" si="14"/>
        <v/>
      </c>
      <c r="D212" s="264" t="str">
        <f t="shared" ca="1" si="15"/>
        <v/>
      </c>
      <c r="E212" s="191"/>
      <c r="F212" s="191"/>
      <c r="G212" s="191"/>
      <c r="H212" s="191"/>
      <c r="I212" s="250" t="str">
        <f>IF(COUNTBLANK(E212:H212)=4,"",SUM(E212:G212)+IF(Setup!$I$15="No",0,H212))</f>
        <v/>
      </c>
      <c r="J212" s="191"/>
      <c r="K212" s="191"/>
      <c r="L212" s="191"/>
      <c r="M212" s="191"/>
      <c r="N212" s="254" t="str">
        <f>IF(COUNTBLANK(J212:M212)=4,"",SUM(J212:L212)+IF(Setup!$I$15="No",0,M212))</f>
        <v/>
      </c>
      <c r="O212" s="191"/>
      <c r="P212" s="191"/>
      <c r="Q212" s="191"/>
      <c r="R212" s="191"/>
      <c r="S212" s="254" t="str">
        <f>IF(COUNTBLANK(O212:R212)=4,"",SUM(O212:Q212)+IF(Setup!$I$15="No",0,R212))</f>
        <v/>
      </c>
      <c r="T212" s="191"/>
      <c r="U212" s="191"/>
      <c r="V212" s="191"/>
      <c r="W212" s="191"/>
      <c r="X212" s="254" t="str">
        <f>IF(COUNTBLANK(T212:W212)=4,"",SUM(T212:V212)+IF(Setup!$I$15="No",0,W212))</f>
        <v/>
      </c>
      <c r="Y212" s="191"/>
      <c r="Z212" s="191"/>
      <c r="AA212" s="191"/>
      <c r="AB212" s="191"/>
      <c r="AC212" s="254" t="str">
        <f>IF(COUNTBLANK(Y212:AB212)=4,"",SUM(Y212:AA212)+IF(Setup!$I$15="No",0,AB212))</f>
        <v/>
      </c>
      <c r="AD212" s="191"/>
      <c r="AE212" s="191"/>
      <c r="AF212" s="191"/>
      <c r="AG212" s="191"/>
      <c r="AH212" s="254" t="str">
        <f>IF(COUNTBLANK(AD212:AG212)=4,"",SUM(AD212:AF212)+IF(Setup!$I$15="No",0,AG212))</f>
        <v/>
      </c>
      <c r="AI212" s="191"/>
      <c r="AJ212" s="191"/>
      <c r="AK212" s="191"/>
      <c r="AL212" s="191"/>
      <c r="AM212" s="254" t="str">
        <f>IF(COUNTBLANK(AI212:AL212)=4,"",SUM(AI212:AK212)+IF(Setup!$I$15="No",0,AL212))</f>
        <v/>
      </c>
      <c r="AN212" s="191"/>
      <c r="AO212" s="191"/>
      <c r="AP212" s="191"/>
      <c r="AQ212" s="191"/>
      <c r="AR212" s="254" t="str">
        <f>IF(COUNTBLANK(AN212:AQ212)=4,"",SUM(AN212:AP212)+IF(Setup!$I$15="No",0,AQ212))</f>
        <v/>
      </c>
      <c r="AS212" s="191"/>
      <c r="AT212" s="191"/>
      <c r="AU212" s="191"/>
      <c r="AV212" s="191"/>
      <c r="AW212" s="254" t="str">
        <f>IF(COUNTBLANK(AS212:AV212)=4,"",SUM(AS212:AU212)+IF(Setup!$I$15="No",0,AV212))</f>
        <v/>
      </c>
      <c r="AX212" s="191"/>
      <c r="AY212" s="191"/>
      <c r="AZ212" s="191"/>
      <c r="BA212" s="191"/>
      <c r="BB212" s="254" t="str">
        <f>IF(COUNTBLANK(AX212:BA212)=4,"",SUM(AX212:AZ212)+IF(Setup!$I$15="No",0,BA212))</f>
        <v/>
      </c>
      <c r="BC212" s="258" t="str">
        <f ca="1">IF('Demand background (hide)'!A203=Num_Modalities,"",SUM(Demand!I212))</f>
        <v/>
      </c>
      <c r="BD212" s="258" t="str">
        <f ca="1">IF(AND(A212&lt;=MaxRows,BE212&lt;&gt;"Yes"),'Demand background (hide)'!X203+IF(Setup!$I$15="Yes",'Demand background (hide)'!AJ203,0),"")</f>
        <v/>
      </c>
      <c r="BE212" s="208"/>
    </row>
    <row r="213" spans="1:57" ht="15" x14ac:dyDescent="0.25">
      <c r="A213" t="str">
        <f t="shared" ca="1" si="12"/>
        <v/>
      </c>
      <c r="B213" s="263" t="str">
        <f t="shared" ca="1" si="13"/>
        <v xml:space="preserve"> </v>
      </c>
      <c r="C213" s="264" t="str">
        <f t="shared" ca="1" si="14"/>
        <v/>
      </c>
      <c r="D213" s="264" t="str">
        <f t="shared" ca="1" si="15"/>
        <v/>
      </c>
      <c r="E213" s="191"/>
      <c r="F213" s="191"/>
      <c r="G213" s="191"/>
      <c r="H213" s="191"/>
      <c r="I213" s="250" t="str">
        <f>IF(COUNTBLANK(E213:H213)=4,"",SUM(E213:G213)+IF(Setup!$I$15="No",0,H213))</f>
        <v/>
      </c>
      <c r="J213" s="191"/>
      <c r="K213" s="191"/>
      <c r="L213" s="191"/>
      <c r="M213" s="191"/>
      <c r="N213" s="254" t="str">
        <f>IF(COUNTBLANK(J213:M213)=4,"",SUM(J213:L213)+IF(Setup!$I$15="No",0,M213))</f>
        <v/>
      </c>
      <c r="O213" s="191"/>
      <c r="P213" s="191"/>
      <c r="Q213" s="191"/>
      <c r="R213" s="191"/>
      <c r="S213" s="254" t="str">
        <f>IF(COUNTBLANK(O213:R213)=4,"",SUM(O213:Q213)+IF(Setup!$I$15="No",0,R213))</f>
        <v/>
      </c>
      <c r="T213" s="191"/>
      <c r="U213" s="191"/>
      <c r="V213" s="191"/>
      <c r="W213" s="191"/>
      <c r="X213" s="254" t="str">
        <f>IF(COUNTBLANK(T213:W213)=4,"",SUM(T213:V213)+IF(Setup!$I$15="No",0,W213))</f>
        <v/>
      </c>
      <c r="Y213" s="191"/>
      <c r="Z213" s="191"/>
      <c r="AA213" s="191"/>
      <c r="AB213" s="191"/>
      <c r="AC213" s="254" t="str">
        <f>IF(COUNTBLANK(Y213:AB213)=4,"",SUM(Y213:AA213)+IF(Setup!$I$15="No",0,AB213))</f>
        <v/>
      </c>
      <c r="AD213" s="191"/>
      <c r="AE213" s="191"/>
      <c r="AF213" s="191"/>
      <c r="AG213" s="191"/>
      <c r="AH213" s="254" t="str">
        <f>IF(COUNTBLANK(AD213:AG213)=4,"",SUM(AD213:AF213)+IF(Setup!$I$15="No",0,AG213))</f>
        <v/>
      </c>
      <c r="AI213" s="191"/>
      <c r="AJ213" s="191"/>
      <c r="AK213" s="191"/>
      <c r="AL213" s="191"/>
      <c r="AM213" s="254" t="str">
        <f>IF(COUNTBLANK(AI213:AL213)=4,"",SUM(AI213:AK213)+IF(Setup!$I$15="No",0,AL213))</f>
        <v/>
      </c>
      <c r="AN213" s="191"/>
      <c r="AO213" s="191"/>
      <c r="AP213" s="191"/>
      <c r="AQ213" s="191"/>
      <c r="AR213" s="254" t="str">
        <f>IF(COUNTBLANK(AN213:AQ213)=4,"",SUM(AN213:AP213)+IF(Setup!$I$15="No",0,AQ213))</f>
        <v/>
      </c>
      <c r="AS213" s="191"/>
      <c r="AT213" s="191"/>
      <c r="AU213" s="191"/>
      <c r="AV213" s="191"/>
      <c r="AW213" s="254" t="str">
        <f>IF(COUNTBLANK(AS213:AV213)=4,"",SUM(AS213:AU213)+IF(Setup!$I$15="No",0,AV213))</f>
        <v/>
      </c>
      <c r="AX213" s="191"/>
      <c r="AY213" s="191"/>
      <c r="AZ213" s="191"/>
      <c r="BA213" s="191"/>
      <c r="BB213" s="254" t="str">
        <f>IF(COUNTBLANK(AX213:BA213)=4,"",SUM(AX213:AZ213)+IF(Setup!$I$15="No",0,BA213))</f>
        <v/>
      </c>
      <c r="BC213" s="258" t="str">
        <f ca="1">IF('Demand background (hide)'!A204=Num_Modalities,"",SUM(Demand!I213))</f>
        <v/>
      </c>
      <c r="BD213" s="258" t="str">
        <f ca="1">IF(AND(A213&lt;=MaxRows,BE213&lt;&gt;"Yes"),'Demand background (hide)'!X204+IF(Setup!$I$15="Yes",'Demand background (hide)'!AJ204,0),"")</f>
        <v/>
      </c>
      <c r="BE213" s="208"/>
    </row>
    <row r="214" spans="1:57" ht="15" x14ac:dyDescent="0.25">
      <c r="A214" t="str">
        <f t="shared" ca="1" si="12"/>
        <v/>
      </c>
      <c r="B214" s="263" t="str">
        <f t="shared" ca="1" si="13"/>
        <v xml:space="preserve"> </v>
      </c>
      <c r="C214" s="264" t="str">
        <f t="shared" ca="1" si="14"/>
        <v/>
      </c>
      <c r="D214" s="264" t="str">
        <f t="shared" ca="1" si="15"/>
        <v/>
      </c>
      <c r="E214" s="191"/>
      <c r="F214" s="191"/>
      <c r="G214" s="191"/>
      <c r="H214" s="191"/>
      <c r="I214" s="250" t="str">
        <f>IF(COUNTBLANK(E214:H214)=4,"",SUM(E214:G214)+IF(Setup!$I$15="No",0,H214))</f>
        <v/>
      </c>
      <c r="J214" s="191"/>
      <c r="K214" s="191"/>
      <c r="L214" s="191"/>
      <c r="M214" s="191"/>
      <c r="N214" s="254" t="str">
        <f>IF(COUNTBLANK(J214:M214)=4,"",SUM(J214:L214)+IF(Setup!$I$15="No",0,M214))</f>
        <v/>
      </c>
      <c r="O214" s="191"/>
      <c r="P214" s="191"/>
      <c r="Q214" s="191"/>
      <c r="R214" s="191"/>
      <c r="S214" s="254" t="str">
        <f>IF(COUNTBLANK(O214:R214)=4,"",SUM(O214:Q214)+IF(Setup!$I$15="No",0,R214))</f>
        <v/>
      </c>
      <c r="T214" s="191"/>
      <c r="U214" s="191"/>
      <c r="V214" s="191"/>
      <c r="W214" s="191"/>
      <c r="X214" s="254" t="str">
        <f>IF(COUNTBLANK(T214:W214)=4,"",SUM(T214:V214)+IF(Setup!$I$15="No",0,W214))</f>
        <v/>
      </c>
      <c r="Y214" s="191"/>
      <c r="Z214" s="191"/>
      <c r="AA214" s="191"/>
      <c r="AB214" s="191"/>
      <c r="AC214" s="254" t="str">
        <f>IF(COUNTBLANK(Y214:AB214)=4,"",SUM(Y214:AA214)+IF(Setup!$I$15="No",0,AB214))</f>
        <v/>
      </c>
      <c r="AD214" s="191"/>
      <c r="AE214" s="191"/>
      <c r="AF214" s="191"/>
      <c r="AG214" s="191"/>
      <c r="AH214" s="254" t="str">
        <f>IF(COUNTBLANK(AD214:AG214)=4,"",SUM(AD214:AF214)+IF(Setup!$I$15="No",0,AG214))</f>
        <v/>
      </c>
      <c r="AI214" s="191"/>
      <c r="AJ214" s="191"/>
      <c r="AK214" s="191"/>
      <c r="AL214" s="191"/>
      <c r="AM214" s="254" t="str">
        <f>IF(COUNTBLANK(AI214:AL214)=4,"",SUM(AI214:AK214)+IF(Setup!$I$15="No",0,AL214))</f>
        <v/>
      </c>
      <c r="AN214" s="191"/>
      <c r="AO214" s="191"/>
      <c r="AP214" s="191"/>
      <c r="AQ214" s="191"/>
      <c r="AR214" s="254" t="str">
        <f>IF(COUNTBLANK(AN214:AQ214)=4,"",SUM(AN214:AP214)+IF(Setup!$I$15="No",0,AQ214))</f>
        <v/>
      </c>
      <c r="AS214" s="191"/>
      <c r="AT214" s="191"/>
      <c r="AU214" s="191"/>
      <c r="AV214" s="191"/>
      <c r="AW214" s="254" t="str">
        <f>IF(COUNTBLANK(AS214:AV214)=4,"",SUM(AS214:AU214)+IF(Setup!$I$15="No",0,AV214))</f>
        <v/>
      </c>
      <c r="AX214" s="191"/>
      <c r="AY214" s="191"/>
      <c r="AZ214" s="191"/>
      <c r="BA214" s="191"/>
      <c r="BB214" s="254" t="str">
        <f>IF(COUNTBLANK(AX214:BA214)=4,"",SUM(AX214:AZ214)+IF(Setup!$I$15="No",0,BA214))</f>
        <v/>
      </c>
      <c r="BC214" s="258" t="str">
        <f ca="1">IF('Demand background (hide)'!A205=Num_Modalities,"",SUM(Demand!I214))</f>
        <v/>
      </c>
      <c r="BD214" s="258" t="str">
        <f ca="1">IF(AND(A214&lt;=MaxRows,BE214&lt;&gt;"Yes"),'Demand background (hide)'!X205+IF(Setup!$I$15="Yes",'Demand background (hide)'!AJ205,0),"")</f>
        <v/>
      </c>
      <c r="BE214" s="208"/>
    </row>
    <row r="215" spans="1:57" ht="15" x14ac:dyDescent="0.25">
      <c r="A215" t="str">
        <f t="shared" ca="1" si="12"/>
        <v/>
      </c>
      <c r="B215" s="263" t="str">
        <f t="shared" ca="1" si="13"/>
        <v xml:space="preserve"> </v>
      </c>
      <c r="C215" s="264" t="str">
        <f t="shared" ca="1" si="14"/>
        <v/>
      </c>
      <c r="D215" s="264" t="str">
        <f t="shared" ca="1" si="15"/>
        <v/>
      </c>
      <c r="E215" s="191"/>
      <c r="F215" s="191"/>
      <c r="G215" s="191"/>
      <c r="H215" s="191"/>
      <c r="I215" s="250" t="str">
        <f>IF(COUNTBLANK(E215:H215)=4,"",SUM(E215:G215)+IF(Setup!$I$15="No",0,H215))</f>
        <v/>
      </c>
      <c r="J215" s="191"/>
      <c r="K215" s="191"/>
      <c r="L215" s="191"/>
      <c r="M215" s="191"/>
      <c r="N215" s="254" t="str">
        <f>IF(COUNTBLANK(J215:M215)=4,"",SUM(J215:L215)+IF(Setup!$I$15="No",0,M215))</f>
        <v/>
      </c>
      <c r="O215" s="191"/>
      <c r="P215" s="191"/>
      <c r="Q215" s="191"/>
      <c r="R215" s="191"/>
      <c r="S215" s="254" t="str">
        <f>IF(COUNTBLANK(O215:R215)=4,"",SUM(O215:Q215)+IF(Setup!$I$15="No",0,R215))</f>
        <v/>
      </c>
      <c r="T215" s="191"/>
      <c r="U215" s="191"/>
      <c r="V215" s="191"/>
      <c r="W215" s="191"/>
      <c r="X215" s="254" t="str">
        <f>IF(COUNTBLANK(T215:W215)=4,"",SUM(T215:V215)+IF(Setup!$I$15="No",0,W215))</f>
        <v/>
      </c>
      <c r="Y215" s="191"/>
      <c r="Z215" s="191"/>
      <c r="AA215" s="191"/>
      <c r="AB215" s="191"/>
      <c r="AC215" s="254" t="str">
        <f>IF(COUNTBLANK(Y215:AB215)=4,"",SUM(Y215:AA215)+IF(Setup!$I$15="No",0,AB215))</f>
        <v/>
      </c>
      <c r="AD215" s="191"/>
      <c r="AE215" s="191"/>
      <c r="AF215" s="191"/>
      <c r="AG215" s="191"/>
      <c r="AH215" s="254" t="str">
        <f>IF(COUNTBLANK(AD215:AG215)=4,"",SUM(AD215:AF215)+IF(Setup!$I$15="No",0,AG215))</f>
        <v/>
      </c>
      <c r="AI215" s="191"/>
      <c r="AJ215" s="191"/>
      <c r="AK215" s="191"/>
      <c r="AL215" s="191"/>
      <c r="AM215" s="254" t="str">
        <f>IF(COUNTBLANK(AI215:AL215)=4,"",SUM(AI215:AK215)+IF(Setup!$I$15="No",0,AL215))</f>
        <v/>
      </c>
      <c r="AN215" s="191"/>
      <c r="AO215" s="191"/>
      <c r="AP215" s="191"/>
      <c r="AQ215" s="191"/>
      <c r="AR215" s="254" t="str">
        <f>IF(COUNTBLANK(AN215:AQ215)=4,"",SUM(AN215:AP215)+IF(Setup!$I$15="No",0,AQ215))</f>
        <v/>
      </c>
      <c r="AS215" s="191"/>
      <c r="AT215" s="191"/>
      <c r="AU215" s="191"/>
      <c r="AV215" s="191"/>
      <c r="AW215" s="254" t="str">
        <f>IF(COUNTBLANK(AS215:AV215)=4,"",SUM(AS215:AU215)+IF(Setup!$I$15="No",0,AV215))</f>
        <v/>
      </c>
      <c r="AX215" s="191"/>
      <c r="AY215" s="191"/>
      <c r="AZ215" s="191"/>
      <c r="BA215" s="191"/>
      <c r="BB215" s="254" t="str">
        <f>IF(COUNTBLANK(AX215:BA215)=4,"",SUM(AX215:AZ215)+IF(Setup!$I$15="No",0,BA215))</f>
        <v/>
      </c>
      <c r="BC215" s="258" t="str">
        <f ca="1">IF('Demand background (hide)'!A206=Num_Modalities,"",SUM(Demand!I215))</f>
        <v/>
      </c>
      <c r="BD215" s="258" t="str">
        <f ca="1">IF(AND(A215&lt;=MaxRows,BE215&lt;&gt;"Yes"),'Demand background (hide)'!X206+IF(Setup!$I$15="Yes",'Demand background (hide)'!AJ206,0),"")</f>
        <v/>
      </c>
      <c r="BE215" s="208"/>
    </row>
    <row r="216" spans="1:57" ht="15" x14ac:dyDescent="0.25">
      <c r="A216" t="str">
        <f t="shared" ca="1" si="12"/>
        <v/>
      </c>
      <c r="B216" s="263" t="str">
        <f t="shared" ca="1" si="13"/>
        <v xml:space="preserve"> </v>
      </c>
      <c r="C216" s="264" t="str">
        <f t="shared" ca="1" si="14"/>
        <v/>
      </c>
      <c r="D216" s="264" t="str">
        <f t="shared" ca="1" si="15"/>
        <v/>
      </c>
      <c r="E216" s="191"/>
      <c r="F216" s="191"/>
      <c r="G216" s="191"/>
      <c r="H216" s="191"/>
      <c r="I216" s="250" t="str">
        <f>IF(COUNTBLANK(E216:H216)=4,"",SUM(E216:G216)+IF(Setup!$I$15="No",0,H216))</f>
        <v/>
      </c>
      <c r="J216" s="191"/>
      <c r="K216" s="191"/>
      <c r="L216" s="191"/>
      <c r="M216" s="191"/>
      <c r="N216" s="254" t="str">
        <f>IF(COUNTBLANK(J216:M216)=4,"",SUM(J216:L216)+IF(Setup!$I$15="No",0,M216))</f>
        <v/>
      </c>
      <c r="O216" s="191"/>
      <c r="P216" s="191"/>
      <c r="Q216" s="191"/>
      <c r="R216" s="191"/>
      <c r="S216" s="254" t="str">
        <f>IF(COUNTBLANK(O216:R216)=4,"",SUM(O216:Q216)+IF(Setup!$I$15="No",0,R216))</f>
        <v/>
      </c>
      <c r="T216" s="191"/>
      <c r="U216" s="191"/>
      <c r="V216" s="191"/>
      <c r="W216" s="191"/>
      <c r="X216" s="254" t="str">
        <f>IF(COUNTBLANK(T216:W216)=4,"",SUM(T216:V216)+IF(Setup!$I$15="No",0,W216))</f>
        <v/>
      </c>
      <c r="Y216" s="191"/>
      <c r="Z216" s="191"/>
      <c r="AA216" s="191"/>
      <c r="AB216" s="191"/>
      <c r="AC216" s="254" t="str">
        <f>IF(COUNTBLANK(Y216:AB216)=4,"",SUM(Y216:AA216)+IF(Setup!$I$15="No",0,AB216))</f>
        <v/>
      </c>
      <c r="AD216" s="191"/>
      <c r="AE216" s="191"/>
      <c r="AF216" s="191"/>
      <c r="AG216" s="191"/>
      <c r="AH216" s="254" t="str">
        <f>IF(COUNTBLANK(AD216:AG216)=4,"",SUM(AD216:AF216)+IF(Setup!$I$15="No",0,AG216))</f>
        <v/>
      </c>
      <c r="AI216" s="191"/>
      <c r="AJ216" s="191"/>
      <c r="AK216" s="191"/>
      <c r="AL216" s="191"/>
      <c r="AM216" s="254" t="str">
        <f>IF(COUNTBLANK(AI216:AL216)=4,"",SUM(AI216:AK216)+IF(Setup!$I$15="No",0,AL216))</f>
        <v/>
      </c>
      <c r="AN216" s="191"/>
      <c r="AO216" s="191"/>
      <c r="AP216" s="191"/>
      <c r="AQ216" s="191"/>
      <c r="AR216" s="254" t="str">
        <f>IF(COUNTBLANK(AN216:AQ216)=4,"",SUM(AN216:AP216)+IF(Setup!$I$15="No",0,AQ216))</f>
        <v/>
      </c>
      <c r="AS216" s="191"/>
      <c r="AT216" s="191"/>
      <c r="AU216" s="191"/>
      <c r="AV216" s="191"/>
      <c r="AW216" s="254" t="str">
        <f>IF(COUNTBLANK(AS216:AV216)=4,"",SUM(AS216:AU216)+IF(Setup!$I$15="No",0,AV216))</f>
        <v/>
      </c>
      <c r="AX216" s="191"/>
      <c r="AY216" s="191"/>
      <c r="AZ216" s="191"/>
      <c r="BA216" s="191"/>
      <c r="BB216" s="254" t="str">
        <f>IF(COUNTBLANK(AX216:BA216)=4,"",SUM(AX216:AZ216)+IF(Setup!$I$15="No",0,BA216))</f>
        <v/>
      </c>
      <c r="BC216" s="258" t="str">
        <f ca="1">IF('Demand background (hide)'!A207=Num_Modalities,"",SUM(Demand!I216))</f>
        <v/>
      </c>
      <c r="BD216" s="258" t="str">
        <f ca="1">IF(AND(A216&lt;=MaxRows,BE216&lt;&gt;"Yes"),'Demand background (hide)'!X207+IF(Setup!$I$15="Yes",'Demand background (hide)'!AJ207,0),"")</f>
        <v/>
      </c>
      <c r="BE216" s="208"/>
    </row>
    <row r="217" spans="1:57" ht="15" x14ac:dyDescent="0.25">
      <c r="A217" t="str">
        <f t="shared" ca="1" si="12"/>
        <v/>
      </c>
      <c r="B217" s="263" t="str">
        <f t="shared" ca="1" si="13"/>
        <v xml:space="preserve"> </v>
      </c>
      <c r="C217" s="264" t="str">
        <f t="shared" ca="1" si="14"/>
        <v/>
      </c>
      <c r="D217" s="264" t="str">
        <f t="shared" ca="1" si="15"/>
        <v/>
      </c>
      <c r="E217" s="191"/>
      <c r="F217" s="191"/>
      <c r="G217" s="191"/>
      <c r="H217" s="191"/>
      <c r="I217" s="250" t="str">
        <f>IF(COUNTBLANK(E217:H217)=4,"",SUM(E217:G217)+IF(Setup!$I$15="No",0,H217))</f>
        <v/>
      </c>
      <c r="J217" s="191"/>
      <c r="K217" s="191"/>
      <c r="L217" s="191"/>
      <c r="M217" s="191"/>
      <c r="N217" s="254" t="str">
        <f>IF(COUNTBLANK(J217:M217)=4,"",SUM(J217:L217)+IF(Setup!$I$15="No",0,M217))</f>
        <v/>
      </c>
      <c r="O217" s="191"/>
      <c r="P217" s="191"/>
      <c r="Q217" s="191"/>
      <c r="R217" s="191"/>
      <c r="S217" s="254" t="str">
        <f>IF(COUNTBLANK(O217:R217)=4,"",SUM(O217:Q217)+IF(Setup!$I$15="No",0,R217))</f>
        <v/>
      </c>
      <c r="T217" s="191"/>
      <c r="U217" s="191"/>
      <c r="V217" s="191"/>
      <c r="W217" s="191"/>
      <c r="X217" s="254" t="str">
        <f>IF(COUNTBLANK(T217:W217)=4,"",SUM(T217:V217)+IF(Setup!$I$15="No",0,W217))</f>
        <v/>
      </c>
      <c r="Y217" s="191"/>
      <c r="Z217" s="191"/>
      <c r="AA217" s="191"/>
      <c r="AB217" s="191"/>
      <c r="AC217" s="254" t="str">
        <f>IF(COUNTBLANK(Y217:AB217)=4,"",SUM(Y217:AA217)+IF(Setup!$I$15="No",0,AB217))</f>
        <v/>
      </c>
      <c r="AD217" s="191"/>
      <c r="AE217" s="191"/>
      <c r="AF217" s="191"/>
      <c r="AG217" s="191"/>
      <c r="AH217" s="254" t="str">
        <f>IF(COUNTBLANK(AD217:AG217)=4,"",SUM(AD217:AF217)+IF(Setup!$I$15="No",0,AG217))</f>
        <v/>
      </c>
      <c r="AI217" s="191"/>
      <c r="AJ217" s="191"/>
      <c r="AK217" s="191"/>
      <c r="AL217" s="191"/>
      <c r="AM217" s="254" t="str">
        <f>IF(COUNTBLANK(AI217:AL217)=4,"",SUM(AI217:AK217)+IF(Setup!$I$15="No",0,AL217))</f>
        <v/>
      </c>
      <c r="AN217" s="191"/>
      <c r="AO217" s="191"/>
      <c r="AP217" s="191"/>
      <c r="AQ217" s="191"/>
      <c r="AR217" s="254" t="str">
        <f>IF(COUNTBLANK(AN217:AQ217)=4,"",SUM(AN217:AP217)+IF(Setup!$I$15="No",0,AQ217))</f>
        <v/>
      </c>
      <c r="AS217" s="191"/>
      <c r="AT217" s="191"/>
      <c r="AU217" s="191"/>
      <c r="AV217" s="191"/>
      <c r="AW217" s="254" t="str">
        <f>IF(COUNTBLANK(AS217:AV217)=4,"",SUM(AS217:AU217)+IF(Setup!$I$15="No",0,AV217))</f>
        <v/>
      </c>
      <c r="AX217" s="191"/>
      <c r="AY217" s="191"/>
      <c r="AZ217" s="191"/>
      <c r="BA217" s="191"/>
      <c r="BB217" s="254" t="str">
        <f>IF(COUNTBLANK(AX217:BA217)=4,"",SUM(AX217:AZ217)+IF(Setup!$I$15="No",0,BA217))</f>
        <v/>
      </c>
      <c r="BC217" s="258" t="str">
        <f ca="1">IF('Demand background (hide)'!A208=Num_Modalities,"",SUM(Demand!I217))</f>
        <v/>
      </c>
      <c r="BD217" s="258" t="str">
        <f ca="1">IF(AND(A217&lt;=MaxRows,BE217&lt;&gt;"Yes"),'Demand background (hide)'!X208+IF(Setup!$I$15="Yes",'Demand background (hide)'!AJ208,0),"")</f>
        <v/>
      </c>
      <c r="BE217" s="208"/>
    </row>
    <row r="218" spans="1:57" ht="15" x14ac:dyDescent="0.25">
      <c r="A218" t="str">
        <f t="shared" ca="1" si="12"/>
        <v/>
      </c>
      <c r="B218" s="263" t="str">
        <f t="shared" ca="1" si="13"/>
        <v xml:space="preserve"> </v>
      </c>
      <c r="C218" s="264" t="str">
        <f t="shared" ca="1" si="14"/>
        <v/>
      </c>
      <c r="D218" s="264" t="str">
        <f t="shared" ca="1" si="15"/>
        <v/>
      </c>
      <c r="E218" s="191"/>
      <c r="F218" s="191"/>
      <c r="G218" s="191"/>
      <c r="H218" s="191"/>
      <c r="I218" s="250" t="str">
        <f>IF(COUNTBLANK(E218:H218)=4,"",SUM(E218:G218)+IF(Setup!$I$15="No",0,H218))</f>
        <v/>
      </c>
      <c r="J218" s="191"/>
      <c r="K218" s="191"/>
      <c r="L218" s="191"/>
      <c r="M218" s="191"/>
      <c r="N218" s="254" t="str">
        <f>IF(COUNTBLANK(J218:M218)=4,"",SUM(J218:L218)+IF(Setup!$I$15="No",0,M218))</f>
        <v/>
      </c>
      <c r="O218" s="191"/>
      <c r="P218" s="191"/>
      <c r="Q218" s="191"/>
      <c r="R218" s="191"/>
      <c r="S218" s="254" t="str">
        <f>IF(COUNTBLANK(O218:R218)=4,"",SUM(O218:Q218)+IF(Setup!$I$15="No",0,R218))</f>
        <v/>
      </c>
      <c r="T218" s="191"/>
      <c r="U218" s="191"/>
      <c r="V218" s="191"/>
      <c r="W218" s="191"/>
      <c r="X218" s="254" t="str">
        <f>IF(COUNTBLANK(T218:W218)=4,"",SUM(T218:V218)+IF(Setup!$I$15="No",0,W218))</f>
        <v/>
      </c>
      <c r="Y218" s="191"/>
      <c r="Z218" s="191"/>
      <c r="AA218" s="191"/>
      <c r="AB218" s="191"/>
      <c r="AC218" s="254" t="str">
        <f>IF(COUNTBLANK(Y218:AB218)=4,"",SUM(Y218:AA218)+IF(Setup!$I$15="No",0,AB218))</f>
        <v/>
      </c>
      <c r="AD218" s="191"/>
      <c r="AE218" s="191"/>
      <c r="AF218" s="191"/>
      <c r="AG218" s="191"/>
      <c r="AH218" s="254" t="str">
        <f>IF(COUNTBLANK(AD218:AG218)=4,"",SUM(AD218:AF218)+IF(Setup!$I$15="No",0,AG218))</f>
        <v/>
      </c>
      <c r="AI218" s="191"/>
      <c r="AJ218" s="191"/>
      <c r="AK218" s="191"/>
      <c r="AL218" s="191"/>
      <c r="AM218" s="254" t="str">
        <f>IF(COUNTBLANK(AI218:AL218)=4,"",SUM(AI218:AK218)+IF(Setup!$I$15="No",0,AL218))</f>
        <v/>
      </c>
      <c r="AN218" s="191"/>
      <c r="AO218" s="191"/>
      <c r="AP218" s="191"/>
      <c r="AQ218" s="191"/>
      <c r="AR218" s="254" t="str">
        <f>IF(COUNTBLANK(AN218:AQ218)=4,"",SUM(AN218:AP218)+IF(Setup!$I$15="No",0,AQ218))</f>
        <v/>
      </c>
      <c r="AS218" s="191"/>
      <c r="AT218" s="191"/>
      <c r="AU218" s="191"/>
      <c r="AV218" s="191"/>
      <c r="AW218" s="254" t="str">
        <f>IF(COUNTBLANK(AS218:AV218)=4,"",SUM(AS218:AU218)+IF(Setup!$I$15="No",0,AV218))</f>
        <v/>
      </c>
      <c r="AX218" s="191"/>
      <c r="AY218" s="191"/>
      <c r="AZ218" s="191"/>
      <c r="BA218" s="191"/>
      <c r="BB218" s="254" t="str">
        <f>IF(COUNTBLANK(AX218:BA218)=4,"",SUM(AX218:AZ218)+IF(Setup!$I$15="No",0,BA218))</f>
        <v/>
      </c>
      <c r="BC218" s="258" t="str">
        <f ca="1">IF('Demand background (hide)'!A209=Num_Modalities,"",SUM(Demand!I218))</f>
        <v/>
      </c>
      <c r="BD218" s="258" t="str">
        <f ca="1">IF(AND(A218&lt;=MaxRows,BE218&lt;&gt;"Yes"),'Demand background (hide)'!X209+IF(Setup!$I$15="Yes",'Demand background (hide)'!AJ209,0),"")</f>
        <v/>
      </c>
      <c r="BE218" s="208"/>
    </row>
    <row r="219" spans="1:57" ht="15" x14ac:dyDescent="0.25">
      <c r="A219" t="str">
        <f t="shared" ca="1" si="12"/>
        <v/>
      </c>
      <c r="B219" s="263" t="str">
        <f t="shared" ca="1" si="13"/>
        <v xml:space="preserve"> </v>
      </c>
      <c r="C219" s="264" t="str">
        <f t="shared" ca="1" si="14"/>
        <v/>
      </c>
      <c r="D219" s="264" t="str">
        <f t="shared" ca="1" si="15"/>
        <v/>
      </c>
      <c r="E219" s="191"/>
      <c r="F219" s="191"/>
      <c r="G219" s="191"/>
      <c r="H219" s="191"/>
      <c r="I219" s="250" t="str">
        <f>IF(COUNTBLANK(E219:H219)=4,"",SUM(E219:G219)+IF(Setup!$I$15="No",0,H219))</f>
        <v/>
      </c>
      <c r="J219" s="191"/>
      <c r="K219" s="191"/>
      <c r="L219" s="191"/>
      <c r="M219" s="191"/>
      <c r="N219" s="254" t="str">
        <f>IF(COUNTBLANK(J219:M219)=4,"",SUM(J219:L219)+IF(Setup!$I$15="No",0,M219))</f>
        <v/>
      </c>
      <c r="O219" s="191"/>
      <c r="P219" s="191"/>
      <c r="Q219" s="191"/>
      <c r="R219" s="191"/>
      <c r="S219" s="254" t="str">
        <f>IF(COUNTBLANK(O219:R219)=4,"",SUM(O219:Q219)+IF(Setup!$I$15="No",0,R219))</f>
        <v/>
      </c>
      <c r="T219" s="191"/>
      <c r="U219" s="191"/>
      <c r="V219" s="191"/>
      <c r="W219" s="191"/>
      <c r="X219" s="254" t="str">
        <f>IF(COUNTBLANK(T219:W219)=4,"",SUM(T219:V219)+IF(Setup!$I$15="No",0,W219))</f>
        <v/>
      </c>
      <c r="Y219" s="191"/>
      <c r="Z219" s="191"/>
      <c r="AA219" s="191"/>
      <c r="AB219" s="191"/>
      <c r="AC219" s="254" t="str">
        <f>IF(COUNTBLANK(Y219:AB219)=4,"",SUM(Y219:AA219)+IF(Setup!$I$15="No",0,AB219))</f>
        <v/>
      </c>
      <c r="AD219" s="191"/>
      <c r="AE219" s="191"/>
      <c r="AF219" s="191"/>
      <c r="AG219" s="191"/>
      <c r="AH219" s="254" t="str">
        <f>IF(COUNTBLANK(AD219:AG219)=4,"",SUM(AD219:AF219)+IF(Setup!$I$15="No",0,AG219))</f>
        <v/>
      </c>
      <c r="AI219" s="191"/>
      <c r="AJ219" s="191"/>
      <c r="AK219" s="191"/>
      <c r="AL219" s="191"/>
      <c r="AM219" s="254" t="str">
        <f>IF(COUNTBLANK(AI219:AL219)=4,"",SUM(AI219:AK219)+IF(Setup!$I$15="No",0,AL219))</f>
        <v/>
      </c>
      <c r="AN219" s="191"/>
      <c r="AO219" s="191"/>
      <c r="AP219" s="191"/>
      <c r="AQ219" s="191"/>
      <c r="AR219" s="254" t="str">
        <f>IF(COUNTBLANK(AN219:AQ219)=4,"",SUM(AN219:AP219)+IF(Setup!$I$15="No",0,AQ219))</f>
        <v/>
      </c>
      <c r="AS219" s="191"/>
      <c r="AT219" s="191"/>
      <c r="AU219" s="191"/>
      <c r="AV219" s="191"/>
      <c r="AW219" s="254" t="str">
        <f>IF(COUNTBLANK(AS219:AV219)=4,"",SUM(AS219:AU219)+IF(Setup!$I$15="No",0,AV219))</f>
        <v/>
      </c>
      <c r="AX219" s="191"/>
      <c r="AY219" s="191"/>
      <c r="AZ219" s="191"/>
      <c r="BA219" s="191"/>
      <c r="BB219" s="254" t="str">
        <f>IF(COUNTBLANK(AX219:BA219)=4,"",SUM(AX219:AZ219)+IF(Setup!$I$15="No",0,BA219))</f>
        <v/>
      </c>
      <c r="BC219" s="258" t="str">
        <f ca="1">IF('Demand background (hide)'!A210=Num_Modalities,"",SUM(Demand!I219))</f>
        <v/>
      </c>
      <c r="BD219" s="258" t="str">
        <f ca="1">IF(AND(A219&lt;=MaxRows,BE219&lt;&gt;"Yes"),'Demand background (hide)'!X210+IF(Setup!$I$15="Yes",'Demand background (hide)'!AJ210,0),"")</f>
        <v/>
      </c>
      <c r="BE219" s="208"/>
    </row>
    <row r="220" spans="1:57" ht="15" x14ac:dyDescent="0.25">
      <c r="A220" t="str">
        <f t="shared" ca="1" si="12"/>
        <v/>
      </c>
      <c r="B220" s="263" t="str">
        <f t="shared" ca="1" si="13"/>
        <v xml:space="preserve"> </v>
      </c>
      <c r="C220" s="264" t="str">
        <f t="shared" ca="1" si="14"/>
        <v/>
      </c>
      <c r="D220" s="264" t="str">
        <f t="shared" ca="1" si="15"/>
        <v/>
      </c>
      <c r="E220" s="191"/>
      <c r="F220" s="191"/>
      <c r="G220" s="191"/>
      <c r="H220" s="191"/>
      <c r="I220" s="250" t="str">
        <f>IF(COUNTBLANK(E220:H220)=4,"",SUM(E220:G220)+IF(Setup!$I$15="No",0,H220))</f>
        <v/>
      </c>
      <c r="J220" s="191"/>
      <c r="K220" s="191"/>
      <c r="L220" s="191"/>
      <c r="M220" s="191"/>
      <c r="N220" s="254" t="str">
        <f>IF(COUNTBLANK(J220:M220)=4,"",SUM(J220:L220)+IF(Setup!$I$15="No",0,M220))</f>
        <v/>
      </c>
      <c r="O220" s="191"/>
      <c r="P220" s="191"/>
      <c r="Q220" s="191"/>
      <c r="R220" s="191"/>
      <c r="S220" s="254" t="str">
        <f>IF(COUNTBLANK(O220:R220)=4,"",SUM(O220:Q220)+IF(Setup!$I$15="No",0,R220))</f>
        <v/>
      </c>
      <c r="T220" s="191"/>
      <c r="U220" s="191"/>
      <c r="V220" s="191"/>
      <c r="W220" s="191"/>
      <c r="X220" s="254" t="str">
        <f>IF(COUNTBLANK(T220:W220)=4,"",SUM(T220:V220)+IF(Setup!$I$15="No",0,W220))</f>
        <v/>
      </c>
      <c r="Y220" s="191"/>
      <c r="Z220" s="191"/>
      <c r="AA220" s="191"/>
      <c r="AB220" s="191"/>
      <c r="AC220" s="254" t="str">
        <f>IF(COUNTBLANK(Y220:AB220)=4,"",SUM(Y220:AA220)+IF(Setup!$I$15="No",0,AB220))</f>
        <v/>
      </c>
      <c r="AD220" s="191"/>
      <c r="AE220" s="191"/>
      <c r="AF220" s="191"/>
      <c r="AG220" s="191"/>
      <c r="AH220" s="254" t="str">
        <f>IF(COUNTBLANK(AD220:AG220)=4,"",SUM(AD220:AF220)+IF(Setup!$I$15="No",0,AG220))</f>
        <v/>
      </c>
      <c r="AI220" s="191"/>
      <c r="AJ220" s="191"/>
      <c r="AK220" s="191"/>
      <c r="AL220" s="191"/>
      <c r="AM220" s="254" t="str">
        <f>IF(COUNTBLANK(AI220:AL220)=4,"",SUM(AI220:AK220)+IF(Setup!$I$15="No",0,AL220))</f>
        <v/>
      </c>
      <c r="AN220" s="191"/>
      <c r="AO220" s="191"/>
      <c r="AP220" s="191"/>
      <c r="AQ220" s="191"/>
      <c r="AR220" s="254" t="str">
        <f>IF(COUNTBLANK(AN220:AQ220)=4,"",SUM(AN220:AP220)+IF(Setup!$I$15="No",0,AQ220))</f>
        <v/>
      </c>
      <c r="AS220" s="191"/>
      <c r="AT220" s="191"/>
      <c r="AU220" s="191"/>
      <c r="AV220" s="191"/>
      <c r="AW220" s="254" t="str">
        <f>IF(COUNTBLANK(AS220:AV220)=4,"",SUM(AS220:AU220)+IF(Setup!$I$15="No",0,AV220))</f>
        <v/>
      </c>
      <c r="AX220" s="191"/>
      <c r="AY220" s="191"/>
      <c r="AZ220" s="191"/>
      <c r="BA220" s="191"/>
      <c r="BB220" s="254" t="str">
        <f>IF(COUNTBLANK(AX220:BA220)=4,"",SUM(AX220:AZ220)+IF(Setup!$I$15="No",0,BA220))</f>
        <v/>
      </c>
      <c r="BC220" s="258" t="str">
        <f ca="1">IF('Demand background (hide)'!A211=Num_Modalities,"",SUM(Demand!I220))</f>
        <v/>
      </c>
      <c r="BD220" s="258" t="str">
        <f ca="1">IF(AND(A220&lt;=MaxRows,BE220&lt;&gt;"Yes"),'Demand background (hide)'!X211+IF(Setup!$I$15="Yes",'Demand background (hide)'!AJ211,0),"")</f>
        <v/>
      </c>
      <c r="BE220" s="208"/>
    </row>
    <row r="221" spans="1:57" ht="15" x14ac:dyDescent="0.25">
      <c r="A221" t="str">
        <f t="shared" ca="1" si="12"/>
        <v/>
      </c>
      <c r="B221" s="263" t="str">
        <f t="shared" ca="1" si="13"/>
        <v xml:space="preserve"> </v>
      </c>
      <c r="C221" s="264" t="str">
        <f t="shared" ca="1" si="14"/>
        <v/>
      </c>
      <c r="D221" s="264" t="str">
        <f t="shared" ca="1" si="15"/>
        <v/>
      </c>
      <c r="E221" s="191"/>
      <c r="F221" s="191"/>
      <c r="G221" s="191"/>
      <c r="H221" s="191"/>
      <c r="I221" s="250" t="str">
        <f>IF(COUNTBLANK(E221:H221)=4,"",SUM(E221:G221)+IF(Setup!$I$15="No",0,H221))</f>
        <v/>
      </c>
      <c r="J221" s="191"/>
      <c r="K221" s="191"/>
      <c r="L221" s="191"/>
      <c r="M221" s="191"/>
      <c r="N221" s="254" t="str">
        <f>IF(COUNTBLANK(J221:M221)=4,"",SUM(J221:L221)+IF(Setup!$I$15="No",0,M221))</f>
        <v/>
      </c>
      <c r="O221" s="191"/>
      <c r="P221" s="191"/>
      <c r="Q221" s="191"/>
      <c r="R221" s="191"/>
      <c r="S221" s="254" t="str">
        <f>IF(COUNTBLANK(O221:R221)=4,"",SUM(O221:Q221)+IF(Setup!$I$15="No",0,R221))</f>
        <v/>
      </c>
      <c r="T221" s="191"/>
      <c r="U221" s="191"/>
      <c r="V221" s="191"/>
      <c r="W221" s="191"/>
      <c r="X221" s="254" t="str">
        <f>IF(COUNTBLANK(T221:W221)=4,"",SUM(T221:V221)+IF(Setup!$I$15="No",0,W221))</f>
        <v/>
      </c>
      <c r="Y221" s="191"/>
      <c r="Z221" s="191"/>
      <c r="AA221" s="191"/>
      <c r="AB221" s="191"/>
      <c r="AC221" s="254" t="str">
        <f>IF(COUNTBLANK(Y221:AB221)=4,"",SUM(Y221:AA221)+IF(Setup!$I$15="No",0,AB221))</f>
        <v/>
      </c>
      <c r="AD221" s="191"/>
      <c r="AE221" s="191"/>
      <c r="AF221" s="191"/>
      <c r="AG221" s="191"/>
      <c r="AH221" s="254" t="str">
        <f>IF(COUNTBLANK(AD221:AG221)=4,"",SUM(AD221:AF221)+IF(Setup!$I$15="No",0,AG221))</f>
        <v/>
      </c>
      <c r="AI221" s="191"/>
      <c r="AJ221" s="191"/>
      <c r="AK221" s="191"/>
      <c r="AL221" s="191"/>
      <c r="AM221" s="254" t="str">
        <f>IF(COUNTBLANK(AI221:AL221)=4,"",SUM(AI221:AK221)+IF(Setup!$I$15="No",0,AL221))</f>
        <v/>
      </c>
      <c r="AN221" s="191"/>
      <c r="AO221" s="191"/>
      <c r="AP221" s="191"/>
      <c r="AQ221" s="191"/>
      <c r="AR221" s="254" t="str">
        <f>IF(COUNTBLANK(AN221:AQ221)=4,"",SUM(AN221:AP221)+IF(Setup!$I$15="No",0,AQ221))</f>
        <v/>
      </c>
      <c r="AS221" s="191"/>
      <c r="AT221" s="191"/>
      <c r="AU221" s="191"/>
      <c r="AV221" s="191"/>
      <c r="AW221" s="254" t="str">
        <f>IF(COUNTBLANK(AS221:AV221)=4,"",SUM(AS221:AU221)+IF(Setup!$I$15="No",0,AV221))</f>
        <v/>
      </c>
      <c r="AX221" s="191"/>
      <c r="AY221" s="191"/>
      <c r="AZ221" s="191"/>
      <c r="BA221" s="191"/>
      <c r="BB221" s="254" t="str">
        <f>IF(COUNTBLANK(AX221:BA221)=4,"",SUM(AX221:AZ221)+IF(Setup!$I$15="No",0,BA221))</f>
        <v/>
      </c>
      <c r="BC221" s="258" t="str">
        <f ca="1">IF('Demand background (hide)'!A212=Num_Modalities,"",SUM(Demand!I221))</f>
        <v/>
      </c>
      <c r="BD221" s="258" t="str">
        <f ca="1">IF(AND(A221&lt;=MaxRows,BE221&lt;&gt;"Yes"),'Demand background (hide)'!X212+IF(Setup!$I$15="Yes",'Demand background (hide)'!AJ212,0),"")</f>
        <v/>
      </c>
      <c r="BE221" s="208"/>
    </row>
    <row r="222" spans="1:57" ht="15" x14ac:dyDescent="0.25">
      <c r="A222" t="str">
        <f t="shared" ca="1" si="12"/>
        <v/>
      </c>
      <c r="B222" s="263" t="str">
        <f t="shared" ca="1" si="13"/>
        <v xml:space="preserve"> </v>
      </c>
      <c r="C222" s="264" t="str">
        <f t="shared" ca="1" si="14"/>
        <v/>
      </c>
      <c r="D222" s="264" t="str">
        <f t="shared" ca="1" si="15"/>
        <v/>
      </c>
      <c r="E222" s="191"/>
      <c r="F222" s="191"/>
      <c r="G222" s="191"/>
      <c r="H222" s="191"/>
      <c r="I222" s="250" t="str">
        <f>IF(COUNTBLANK(E222:H222)=4,"",SUM(E222:G222)+IF(Setup!$I$15="No",0,H222))</f>
        <v/>
      </c>
      <c r="J222" s="191"/>
      <c r="K222" s="191"/>
      <c r="L222" s="191"/>
      <c r="M222" s="191"/>
      <c r="N222" s="254" t="str">
        <f>IF(COUNTBLANK(J222:M222)=4,"",SUM(J222:L222)+IF(Setup!$I$15="No",0,M222))</f>
        <v/>
      </c>
      <c r="O222" s="191"/>
      <c r="P222" s="191"/>
      <c r="Q222" s="191"/>
      <c r="R222" s="191"/>
      <c r="S222" s="254" t="str">
        <f>IF(COUNTBLANK(O222:R222)=4,"",SUM(O222:Q222)+IF(Setup!$I$15="No",0,R222))</f>
        <v/>
      </c>
      <c r="T222" s="191"/>
      <c r="U222" s="191"/>
      <c r="V222" s="191"/>
      <c r="W222" s="191"/>
      <c r="X222" s="254" t="str">
        <f>IF(COUNTBLANK(T222:W222)=4,"",SUM(T222:V222)+IF(Setup!$I$15="No",0,W222))</f>
        <v/>
      </c>
      <c r="Y222" s="191"/>
      <c r="Z222" s="191"/>
      <c r="AA222" s="191"/>
      <c r="AB222" s="191"/>
      <c r="AC222" s="254" t="str">
        <f>IF(COUNTBLANK(Y222:AB222)=4,"",SUM(Y222:AA222)+IF(Setup!$I$15="No",0,AB222))</f>
        <v/>
      </c>
      <c r="AD222" s="191"/>
      <c r="AE222" s="191"/>
      <c r="AF222" s="191"/>
      <c r="AG222" s="191"/>
      <c r="AH222" s="254" t="str">
        <f>IF(COUNTBLANK(AD222:AG222)=4,"",SUM(AD222:AF222)+IF(Setup!$I$15="No",0,AG222))</f>
        <v/>
      </c>
      <c r="AI222" s="191"/>
      <c r="AJ222" s="191"/>
      <c r="AK222" s="191"/>
      <c r="AL222" s="191"/>
      <c r="AM222" s="254" t="str">
        <f>IF(COUNTBLANK(AI222:AL222)=4,"",SUM(AI222:AK222)+IF(Setup!$I$15="No",0,AL222))</f>
        <v/>
      </c>
      <c r="AN222" s="191"/>
      <c r="AO222" s="191"/>
      <c r="AP222" s="191"/>
      <c r="AQ222" s="191"/>
      <c r="AR222" s="254" t="str">
        <f>IF(COUNTBLANK(AN222:AQ222)=4,"",SUM(AN222:AP222)+IF(Setup!$I$15="No",0,AQ222))</f>
        <v/>
      </c>
      <c r="AS222" s="191"/>
      <c r="AT222" s="191"/>
      <c r="AU222" s="191"/>
      <c r="AV222" s="191"/>
      <c r="AW222" s="254" t="str">
        <f>IF(COUNTBLANK(AS222:AV222)=4,"",SUM(AS222:AU222)+IF(Setup!$I$15="No",0,AV222))</f>
        <v/>
      </c>
      <c r="AX222" s="191"/>
      <c r="AY222" s="191"/>
      <c r="AZ222" s="191"/>
      <c r="BA222" s="191"/>
      <c r="BB222" s="254" t="str">
        <f>IF(COUNTBLANK(AX222:BA222)=4,"",SUM(AX222:AZ222)+IF(Setup!$I$15="No",0,BA222))</f>
        <v/>
      </c>
      <c r="BC222" s="258" t="str">
        <f ca="1">IF('Demand background (hide)'!A213=Num_Modalities,"",SUM(Demand!I222))</f>
        <v/>
      </c>
      <c r="BD222" s="258" t="str">
        <f ca="1">IF(AND(A222&lt;=MaxRows,BE222&lt;&gt;"Yes"),'Demand background (hide)'!X213+IF(Setup!$I$15="Yes",'Demand background (hide)'!AJ213,0),"")</f>
        <v/>
      </c>
      <c r="BE222" s="208"/>
    </row>
    <row r="223" spans="1:57" ht="15" x14ac:dyDescent="0.25">
      <c r="A223" t="str">
        <f t="shared" ca="1" si="12"/>
        <v/>
      </c>
      <c r="B223" s="263" t="str">
        <f t="shared" ca="1" si="13"/>
        <v xml:space="preserve"> </v>
      </c>
      <c r="C223" s="264" t="str">
        <f t="shared" ca="1" si="14"/>
        <v/>
      </c>
      <c r="D223" s="264" t="str">
        <f t="shared" ca="1" si="15"/>
        <v/>
      </c>
      <c r="E223" s="191"/>
      <c r="F223" s="191"/>
      <c r="G223" s="191"/>
      <c r="H223" s="191"/>
      <c r="I223" s="250" t="str">
        <f>IF(COUNTBLANK(E223:H223)=4,"",SUM(E223:G223)+IF(Setup!$I$15="No",0,H223))</f>
        <v/>
      </c>
      <c r="J223" s="191"/>
      <c r="K223" s="191"/>
      <c r="L223" s="191"/>
      <c r="M223" s="191"/>
      <c r="N223" s="254" t="str">
        <f>IF(COUNTBLANK(J223:M223)=4,"",SUM(J223:L223)+IF(Setup!$I$15="No",0,M223))</f>
        <v/>
      </c>
      <c r="O223" s="191"/>
      <c r="P223" s="191"/>
      <c r="Q223" s="191"/>
      <c r="R223" s="191"/>
      <c r="S223" s="254" t="str">
        <f>IF(COUNTBLANK(O223:R223)=4,"",SUM(O223:Q223)+IF(Setup!$I$15="No",0,R223))</f>
        <v/>
      </c>
      <c r="T223" s="191"/>
      <c r="U223" s="191"/>
      <c r="V223" s="191"/>
      <c r="W223" s="191"/>
      <c r="X223" s="254" t="str">
        <f>IF(COUNTBLANK(T223:W223)=4,"",SUM(T223:V223)+IF(Setup!$I$15="No",0,W223))</f>
        <v/>
      </c>
      <c r="Y223" s="191"/>
      <c r="Z223" s="191"/>
      <c r="AA223" s="191"/>
      <c r="AB223" s="191"/>
      <c r="AC223" s="254" t="str">
        <f>IF(COUNTBLANK(Y223:AB223)=4,"",SUM(Y223:AA223)+IF(Setup!$I$15="No",0,AB223))</f>
        <v/>
      </c>
      <c r="AD223" s="191"/>
      <c r="AE223" s="191"/>
      <c r="AF223" s="191"/>
      <c r="AG223" s="191"/>
      <c r="AH223" s="254" t="str">
        <f>IF(COUNTBLANK(AD223:AG223)=4,"",SUM(AD223:AF223)+IF(Setup!$I$15="No",0,AG223))</f>
        <v/>
      </c>
      <c r="AI223" s="191"/>
      <c r="AJ223" s="191"/>
      <c r="AK223" s="191"/>
      <c r="AL223" s="191"/>
      <c r="AM223" s="254" t="str">
        <f>IF(COUNTBLANK(AI223:AL223)=4,"",SUM(AI223:AK223)+IF(Setup!$I$15="No",0,AL223))</f>
        <v/>
      </c>
      <c r="AN223" s="191"/>
      <c r="AO223" s="191"/>
      <c r="AP223" s="191"/>
      <c r="AQ223" s="191"/>
      <c r="AR223" s="254" t="str">
        <f>IF(COUNTBLANK(AN223:AQ223)=4,"",SUM(AN223:AP223)+IF(Setup!$I$15="No",0,AQ223))</f>
        <v/>
      </c>
      <c r="AS223" s="191"/>
      <c r="AT223" s="191"/>
      <c r="AU223" s="191"/>
      <c r="AV223" s="191"/>
      <c r="AW223" s="254" t="str">
        <f>IF(COUNTBLANK(AS223:AV223)=4,"",SUM(AS223:AU223)+IF(Setup!$I$15="No",0,AV223))</f>
        <v/>
      </c>
      <c r="AX223" s="191"/>
      <c r="AY223" s="191"/>
      <c r="AZ223" s="191"/>
      <c r="BA223" s="191"/>
      <c r="BB223" s="254" t="str">
        <f>IF(COUNTBLANK(AX223:BA223)=4,"",SUM(AX223:AZ223)+IF(Setup!$I$15="No",0,BA223))</f>
        <v/>
      </c>
      <c r="BC223" s="258" t="str">
        <f ca="1">IF('Demand background (hide)'!A214=Num_Modalities,"",SUM(Demand!I223))</f>
        <v/>
      </c>
      <c r="BD223" s="258" t="str">
        <f ca="1">IF(AND(A223&lt;=MaxRows,BE223&lt;&gt;"Yes"),'Demand background (hide)'!X214+IF(Setup!$I$15="Yes",'Demand background (hide)'!AJ214,0),"")</f>
        <v/>
      </c>
      <c r="BE223" s="208"/>
    </row>
    <row r="224" spans="1:57" ht="15" x14ac:dyDescent="0.25">
      <c r="A224" t="str">
        <f t="shared" ca="1" si="12"/>
        <v/>
      </c>
      <c r="B224" s="263" t="str">
        <f t="shared" ca="1" si="13"/>
        <v xml:space="preserve"> </v>
      </c>
      <c r="C224" s="264" t="str">
        <f t="shared" ca="1" si="14"/>
        <v/>
      </c>
      <c r="D224" s="264" t="str">
        <f t="shared" ca="1" si="15"/>
        <v/>
      </c>
      <c r="E224" s="191"/>
      <c r="F224" s="191"/>
      <c r="G224" s="191"/>
      <c r="H224" s="191"/>
      <c r="I224" s="250" t="str">
        <f>IF(COUNTBLANK(E224:H224)=4,"",SUM(E224:G224)+IF(Setup!$I$15="No",0,H224))</f>
        <v/>
      </c>
      <c r="J224" s="191"/>
      <c r="K224" s="191"/>
      <c r="L224" s="191"/>
      <c r="M224" s="191"/>
      <c r="N224" s="254" t="str">
        <f>IF(COUNTBLANK(J224:M224)=4,"",SUM(J224:L224)+IF(Setup!$I$15="No",0,M224))</f>
        <v/>
      </c>
      <c r="O224" s="191"/>
      <c r="P224" s="191"/>
      <c r="Q224" s="191"/>
      <c r="R224" s="191"/>
      <c r="S224" s="254" t="str">
        <f>IF(COUNTBLANK(O224:R224)=4,"",SUM(O224:Q224)+IF(Setup!$I$15="No",0,R224))</f>
        <v/>
      </c>
      <c r="T224" s="191"/>
      <c r="U224" s="191"/>
      <c r="V224" s="191"/>
      <c r="W224" s="191"/>
      <c r="X224" s="254" t="str">
        <f>IF(COUNTBLANK(T224:W224)=4,"",SUM(T224:V224)+IF(Setup!$I$15="No",0,W224))</f>
        <v/>
      </c>
      <c r="Y224" s="191"/>
      <c r="Z224" s="191"/>
      <c r="AA224" s="191"/>
      <c r="AB224" s="191"/>
      <c r="AC224" s="254" t="str">
        <f>IF(COUNTBLANK(Y224:AB224)=4,"",SUM(Y224:AA224)+IF(Setup!$I$15="No",0,AB224))</f>
        <v/>
      </c>
      <c r="AD224" s="191"/>
      <c r="AE224" s="191"/>
      <c r="AF224" s="191"/>
      <c r="AG224" s="191"/>
      <c r="AH224" s="254" t="str">
        <f>IF(COUNTBLANK(AD224:AG224)=4,"",SUM(AD224:AF224)+IF(Setup!$I$15="No",0,AG224))</f>
        <v/>
      </c>
      <c r="AI224" s="191"/>
      <c r="AJ224" s="191"/>
      <c r="AK224" s="191"/>
      <c r="AL224" s="191"/>
      <c r="AM224" s="254" t="str">
        <f>IF(COUNTBLANK(AI224:AL224)=4,"",SUM(AI224:AK224)+IF(Setup!$I$15="No",0,AL224))</f>
        <v/>
      </c>
      <c r="AN224" s="191"/>
      <c r="AO224" s="191"/>
      <c r="AP224" s="191"/>
      <c r="AQ224" s="191"/>
      <c r="AR224" s="254" t="str">
        <f>IF(COUNTBLANK(AN224:AQ224)=4,"",SUM(AN224:AP224)+IF(Setup!$I$15="No",0,AQ224))</f>
        <v/>
      </c>
      <c r="AS224" s="191"/>
      <c r="AT224" s="191"/>
      <c r="AU224" s="191"/>
      <c r="AV224" s="191"/>
      <c r="AW224" s="254" t="str">
        <f>IF(COUNTBLANK(AS224:AV224)=4,"",SUM(AS224:AU224)+IF(Setup!$I$15="No",0,AV224))</f>
        <v/>
      </c>
      <c r="AX224" s="191"/>
      <c r="AY224" s="191"/>
      <c r="AZ224" s="191"/>
      <c r="BA224" s="191"/>
      <c r="BB224" s="254" t="str">
        <f>IF(COUNTBLANK(AX224:BA224)=4,"",SUM(AX224:AZ224)+IF(Setup!$I$15="No",0,BA224))</f>
        <v/>
      </c>
      <c r="BC224" s="258" t="str">
        <f ca="1">IF('Demand background (hide)'!A215=Num_Modalities,"",SUM(Demand!I224))</f>
        <v/>
      </c>
      <c r="BD224" s="258" t="str">
        <f ca="1">IF(AND(A224&lt;=MaxRows,BE224&lt;&gt;"Yes"),'Demand background (hide)'!X215+IF(Setup!$I$15="Yes",'Demand background (hide)'!AJ215,0),"")</f>
        <v/>
      </c>
      <c r="BE224" s="208"/>
    </row>
    <row r="225" spans="1:57" ht="15" x14ac:dyDescent="0.25">
      <c r="A225" t="str">
        <f t="shared" ca="1" si="12"/>
        <v/>
      </c>
      <c r="B225" s="263" t="str">
        <f t="shared" ca="1" si="13"/>
        <v xml:space="preserve"> </v>
      </c>
      <c r="C225" s="264" t="str">
        <f t="shared" ca="1" si="14"/>
        <v/>
      </c>
      <c r="D225" s="264" t="str">
        <f t="shared" ca="1" si="15"/>
        <v/>
      </c>
      <c r="E225" s="191"/>
      <c r="F225" s="191"/>
      <c r="G225" s="191"/>
      <c r="H225" s="191"/>
      <c r="I225" s="250" t="str">
        <f>IF(COUNTBLANK(E225:H225)=4,"",SUM(E225:G225)+IF(Setup!$I$15="No",0,H225))</f>
        <v/>
      </c>
      <c r="J225" s="191"/>
      <c r="K225" s="191"/>
      <c r="L225" s="191"/>
      <c r="M225" s="191"/>
      <c r="N225" s="254" t="str">
        <f>IF(COUNTBLANK(J225:M225)=4,"",SUM(J225:L225)+IF(Setup!$I$15="No",0,M225))</f>
        <v/>
      </c>
      <c r="O225" s="191"/>
      <c r="P225" s="191"/>
      <c r="Q225" s="191"/>
      <c r="R225" s="191"/>
      <c r="S225" s="254" t="str">
        <f>IF(COUNTBLANK(O225:R225)=4,"",SUM(O225:Q225)+IF(Setup!$I$15="No",0,R225))</f>
        <v/>
      </c>
      <c r="T225" s="191"/>
      <c r="U225" s="191"/>
      <c r="V225" s="191"/>
      <c r="W225" s="191"/>
      <c r="X225" s="254" t="str">
        <f>IF(COUNTBLANK(T225:W225)=4,"",SUM(T225:V225)+IF(Setup!$I$15="No",0,W225))</f>
        <v/>
      </c>
      <c r="Y225" s="191"/>
      <c r="Z225" s="191"/>
      <c r="AA225" s="191"/>
      <c r="AB225" s="191"/>
      <c r="AC225" s="254" t="str">
        <f>IF(COUNTBLANK(Y225:AB225)=4,"",SUM(Y225:AA225)+IF(Setup!$I$15="No",0,AB225))</f>
        <v/>
      </c>
      <c r="AD225" s="191"/>
      <c r="AE225" s="191"/>
      <c r="AF225" s="191"/>
      <c r="AG225" s="191"/>
      <c r="AH225" s="254" t="str">
        <f>IF(COUNTBLANK(AD225:AG225)=4,"",SUM(AD225:AF225)+IF(Setup!$I$15="No",0,AG225))</f>
        <v/>
      </c>
      <c r="AI225" s="191"/>
      <c r="AJ225" s="191"/>
      <c r="AK225" s="191"/>
      <c r="AL225" s="191"/>
      <c r="AM225" s="254" t="str">
        <f>IF(COUNTBLANK(AI225:AL225)=4,"",SUM(AI225:AK225)+IF(Setup!$I$15="No",0,AL225))</f>
        <v/>
      </c>
      <c r="AN225" s="191"/>
      <c r="AO225" s="191"/>
      <c r="AP225" s="191"/>
      <c r="AQ225" s="191"/>
      <c r="AR225" s="254" t="str">
        <f>IF(COUNTBLANK(AN225:AQ225)=4,"",SUM(AN225:AP225)+IF(Setup!$I$15="No",0,AQ225))</f>
        <v/>
      </c>
      <c r="AS225" s="191"/>
      <c r="AT225" s="191"/>
      <c r="AU225" s="191"/>
      <c r="AV225" s="191"/>
      <c r="AW225" s="254" t="str">
        <f>IF(COUNTBLANK(AS225:AV225)=4,"",SUM(AS225:AU225)+IF(Setup!$I$15="No",0,AV225))</f>
        <v/>
      </c>
      <c r="AX225" s="191"/>
      <c r="AY225" s="191"/>
      <c r="AZ225" s="191"/>
      <c r="BA225" s="191"/>
      <c r="BB225" s="254" t="str">
        <f>IF(COUNTBLANK(AX225:BA225)=4,"",SUM(AX225:AZ225)+IF(Setup!$I$15="No",0,BA225))</f>
        <v/>
      </c>
      <c r="BC225" s="258" t="str">
        <f ca="1">IF('Demand background (hide)'!A216=Num_Modalities,"",SUM(Demand!I225))</f>
        <v/>
      </c>
      <c r="BD225" s="258" t="str">
        <f ca="1">IF(AND(A225&lt;=MaxRows,BE225&lt;&gt;"Yes"),'Demand background (hide)'!X216+IF(Setup!$I$15="Yes",'Demand background (hide)'!AJ216,0),"")</f>
        <v/>
      </c>
      <c r="BE225" s="208"/>
    </row>
    <row r="226" spans="1:57" ht="15" x14ac:dyDescent="0.25">
      <c r="A226" t="str">
        <f t="shared" ca="1" si="12"/>
        <v/>
      </c>
      <c r="B226" s="263" t="str">
        <f t="shared" ca="1" si="13"/>
        <v xml:space="preserve"> </v>
      </c>
      <c r="C226" s="264" t="str">
        <f t="shared" ca="1" si="14"/>
        <v/>
      </c>
      <c r="D226" s="264" t="str">
        <f t="shared" ca="1" si="15"/>
        <v/>
      </c>
      <c r="E226" s="191"/>
      <c r="F226" s="191"/>
      <c r="G226" s="191"/>
      <c r="H226" s="191"/>
      <c r="I226" s="250" t="str">
        <f>IF(COUNTBLANK(E226:H226)=4,"",SUM(E226:G226)+IF(Setup!$I$15="No",0,H226))</f>
        <v/>
      </c>
      <c r="J226" s="191"/>
      <c r="K226" s="191"/>
      <c r="L226" s="191"/>
      <c r="M226" s="191"/>
      <c r="N226" s="254" t="str">
        <f>IF(COUNTBLANK(J226:M226)=4,"",SUM(J226:L226)+IF(Setup!$I$15="No",0,M226))</f>
        <v/>
      </c>
      <c r="O226" s="191"/>
      <c r="P226" s="191"/>
      <c r="Q226" s="191"/>
      <c r="R226" s="191"/>
      <c r="S226" s="254" t="str">
        <f>IF(COUNTBLANK(O226:R226)=4,"",SUM(O226:Q226)+IF(Setup!$I$15="No",0,R226))</f>
        <v/>
      </c>
      <c r="T226" s="191"/>
      <c r="U226" s="191"/>
      <c r="V226" s="191"/>
      <c r="W226" s="191"/>
      <c r="X226" s="254" t="str">
        <f>IF(COUNTBLANK(T226:W226)=4,"",SUM(T226:V226)+IF(Setup!$I$15="No",0,W226))</f>
        <v/>
      </c>
      <c r="Y226" s="191"/>
      <c r="Z226" s="191"/>
      <c r="AA226" s="191"/>
      <c r="AB226" s="191"/>
      <c r="AC226" s="254" t="str">
        <f>IF(COUNTBLANK(Y226:AB226)=4,"",SUM(Y226:AA226)+IF(Setup!$I$15="No",0,AB226))</f>
        <v/>
      </c>
      <c r="AD226" s="191"/>
      <c r="AE226" s="191"/>
      <c r="AF226" s="191"/>
      <c r="AG226" s="191"/>
      <c r="AH226" s="254" t="str">
        <f>IF(COUNTBLANK(AD226:AG226)=4,"",SUM(AD226:AF226)+IF(Setup!$I$15="No",0,AG226))</f>
        <v/>
      </c>
      <c r="AI226" s="191"/>
      <c r="AJ226" s="191"/>
      <c r="AK226" s="191"/>
      <c r="AL226" s="191"/>
      <c r="AM226" s="254" t="str">
        <f>IF(COUNTBLANK(AI226:AL226)=4,"",SUM(AI226:AK226)+IF(Setup!$I$15="No",0,AL226))</f>
        <v/>
      </c>
      <c r="AN226" s="191"/>
      <c r="AO226" s="191"/>
      <c r="AP226" s="191"/>
      <c r="AQ226" s="191"/>
      <c r="AR226" s="254" t="str">
        <f>IF(COUNTBLANK(AN226:AQ226)=4,"",SUM(AN226:AP226)+IF(Setup!$I$15="No",0,AQ226))</f>
        <v/>
      </c>
      <c r="AS226" s="191"/>
      <c r="AT226" s="191"/>
      <c r="AU226" s="191"/>
      <c r="AV226" s="191"/>
      <c r="AW226" s="254" t="str">
        <f>IF(COUNTBLANK(AS226:AV226)=4,"",SUM(AS226:AU226)+IF(Setup!$I$15="No",0,AV226))</f>
        <v/>
      </c>
      <c r="AX226" s="191"/>
      <c r="AY226" s="191"/>
      <c r="AZ226" s="191"/>
      <c r="BA226" s="191"/>
      <c r="BB226" s="254" t="str">
        <f>IF(COUNTBLANK(AX226:BA226)=4,"",SUM(AX226:AZ226)+IF(Setup!$I$15="No",0,BA226))</f>
        <v/>
      </c>
      <c r="BC226" s="258" t="str">
        <f ca="1">IF('Demand background (hide)'!A217=Num_Modalities,"",SUM(Demand!I226))</f>
        <v/>
      </c>
      <c r="BD226" s="258" t="str">
        <f ca="1">IF(AND(A226&lt;=MaxRows,BE226&lt;&gt;"Yes"),'Demand background (hide)'!X217+IF(Setup!$I$15="Yes",'Demand background (hide)'!AJ217,0),"")</f>
        <v/>
      </c>
      <c r="BE226" s="208"/>
    </row>
    <row r="227" spans="1:57" ht="15" x14ac:dyDescent="0.25">
      <c r="A227" t="str">
        <f t="shared" ca="1" si="12"/>
        <v/>
      </c>
      <c r="B227" s="263" t="str">
        <f t="shared" ca="1" si="13"/>
        <v xml:space="preserve"> </v>
      </c>
      <c r="C227" s="264" t="str">
        <f t="shared" ca="1" si="14"/>
        <v/>
      </c>
      <c r="D227" s="264" t="str">
        <f t="shared" ca="1" si="15"/>
        <v/>
      </c>
      <c r="E227" s="191"/>
      <c r="F227" s="191"/>
      <c r="G227" s="191"/>
      <c r="H227" s="191"/>
      <c r="I227" s="250" t="str">
        <f>IF(COUNTBLANK(E227:H227)=4,"",SUM(E227:G227)+IF(Setup!$I$15="No",0,H227))</f>
        <v/>
      </c>
      <c r="J227" s="191"/>
      <c r="K227" s="191"/>
      <c r="L227" s="191"/>
      <c r="M227" s="191"/>
      <c r="N227" s="254" t="str">
        <f>IF(COUNTBLANK(J227:M227)=4,"",SUM(J227:L227)+IF(Setup!$I$15="No",0,M227))</f>
        <v/>
      </c>
      <c r="O227" s="191"/>
      <c r="P227" s="191"/>
      <c r="Q227" s="191"/>
      <c r="R227" s="191"/>
      <c r="S227" s="254" t="str">
        <f>IF(COUNTBLANK(O227:R227)=4,"",SUM(O227:Q227)+IF(Setup!$I$15="No",0,R227))</f>
        <v/>
      </c>
      <c r="T227" s="191"/>
      <c r="U227" s="191"/>
      <c r="V227" s="191"/>
      <c r="W227" s="191"/>
      <c r="X227" s="254" t="str">
        <f>IF(COUNTBLANK(T227:W227)=4,"",SUM(T227:V227)+IF(Setup!$I$15="No",0,W227))</f>
        <v/>
      </c>
      <c r="Y227" s="191"/>
      <c r="Z227" s="191"/>
      <c r="AA227" s="191"/>
      <c r="AB227" s="191"/>
      <c r="AC227" s="254" t="str">
        <f>IF(COUNTBLANK(Y227:AB227)=4,"",SUM(Y227:AA227)+IF(Setup!$I$15="No",0,AB227))</f>
        <v/>
      </c>
      <c r="AD227" s="191"/>
      <c r="AE227" s="191"/>
      <c r="AF227" s="191"/>
      <c r="AG227" s="191"/>
      <c r="AH227" s="254" t="str">
        <f>IF(COUNTBLANK(AD227:AG227)=4,"",SUM(AD227:AF227)+IF(Setup!$I$15="No",0,AG227))</f>
        <v/>
      </c>
      <c r="AI227" s="191"/>
      <c r="AJ227" s="191"/>
      <c r="AK227" s="191"/>
      <c r="AL227" s="191"/>
      <c r="AM227" s="254" t="str">
        <f>IF(COUNTBLANK(AI227:AL227)=4,"",SUM(AI227:AK227)+IF(Setup!$I$15="No",0,AL227))</f>
        <v/>
      </c>
      <c r="AN227" s="191"/>
      <c r="AO227" s="191"/>
      <c r="AP227" s="191"/>
      <c r="AQ227" s="191"/>
      <c r="AR227" s="254" t="str">
        <f>IF(COUNTBLANK(AN227:AQ227)=4,"",SUM(AN227:AP227)+IF(Setup!$I$15="No",0,AQ227))</f>
        <v/>
      </c>
      <c r="AS227" s="191"/>
      <c r="AT227" s="191"/>
      <c r="AU227" s="191"/>
      <c r="AV227" s="191"/>
      <c r="AW227" s="254" t="str">
        <f>IF(COUNTBLANK(AS227:AV227)=4,"",SUM(AS227:AU227)+IF(Setup!$I$15="No",0,AV227))</f>
        <v/>
      </c>
      <c r="AX227" s="191"/>
      <c r="AY227" s="191"/>
      <c r="AZ227" s="191"/>
      <c r="BA227" s="191"/>
      <c r="BB227" s="254" t="str">
        <f>IF(COUNTBLANK(AX227:BA227)=4,"",SUM(AX227:AZ227)+IF(Setup!$I$15="No",0,BA227))</f>
        <v/>
      </c>
      <c r="BC227" s="258" t="str">
        <f ca="1">IF('Demand background (hide)'!A218=Num_Modalities,"",SUM(Demand!I227))</f>
        <v/>
      </c>
      <c r="BD227" s="258" t="str">
        <f ca="1">IF(AND(A227&lt;=MaxRows,BE227&lt;&gt;"Yes"),'Demand background (hide)'!X218+IF(Setup!$I$15="Yes",'Demand background (hide)'!AJ218,0),"")</f>
        <v/>
      </c>
      <c r="BE227" s="208"/>
    </row>
    <row r="228" spans="1:57" ht="15" x14ac:dyDescent="0.25">
      <c r="A228" t="str">
        <f t="shared" ca="1" si="12"/>
        <v/>
      </c>
      <c r="B228" s="263" t="str">
        <f t="shared" ca="1" si="13"/>
        <v xml:space="preserve"> </v>
      </c>
      <c r="C228" s="264" t="str">
        <f t="shared" ca="1" si="14"/>
        <v/>
      </c>
      <c r="D228" s="264" t="str">
        <f t="shared" ca="1" si="15"/>
        <v/>
      </c>
      <c r="E228" s="191"/>
      <c r="F228" s="191"/>
      <c r="G228" s="191"/>
      <c r="H228" s="191"/>
      <c r="I228" s="250" t="str">
        <f>IF(COUNTBLANK(E228:H228)=4,"",SUM(E228:G228)+IF(Setup!$I$15="No",0,H228))</f>
        <v/>
      </c>
      <c r="J228" s="191"/>
      <c r="K228" s="191"/>
      <c r="L228" s="191"/>
      <c r="M228" s="191"/>
      <c r="N228" s="254" t="str">
        <f>IF(COUNTBLANK(J228:M228)=4,"",SUM(J228:L228)+IF(Setup!$I$15="No",0,M228))</f>
        <v/>
      </c>
      <c r="O228" s="191"/>
      <c r="P228" s="191"/>
      <c r="Q228" s="191"/>
      <c r="R228" s="191"/>
      <c r="S228" s="254" t="str">
        <f>IF(COUNTBLANK(O228:R228)=4,"",SUM(O228:Q228)+IF(Setup!$I$15="No",0,R228))</f>
        <v/>
      </c>
      <c r="T228" s="191"/>
      <c r="U228" s="191"/>
      <c r="V228" s="191"/>
      <c r="W228" s="191"/>
      <c r="X228" s="254" t="str">
        <f>IF(COUNTBLANK(T228:W228)=4,"",SUM(T228:V228)+IF(Setup!$I$15="No",0,W228))</f>
        <v/>
      </c>
      <c r="Y228" s="191"/>
      <c r="Z228" s="191"/>
      <c r="AA228" s="191"/>
      <c r="AB228" s="191"/>
      <c r="AC228" s="254" t="str">
        <f>IF(COUNTBLANK(Y228:AB228)=4,"",SUM(Y228:AA228)+IF(Setup!$I$15="No",0,AB228))</f>
        <v/>
      </c>
      <c r="AD228" s="191"/>
      <c r="AE228" s="191"/>
      <c r="AF228" s="191"/>
      <c r="AG228" s="191"/>
      <c r="AH228" s="254" t="str">
        <f>IF(COUNTBLANK(AD228:AG228)=4,"",SUM(AD228:AF228)+IF(Setup!$I$15="No",0,AG228))</f>
        <v/>
      </c>
      <c r="AI228" s="191"/>
      <c r="AJ228" s="191"/>
      <c r="AK228" s="191"/>
      <c r="AL228" s="191"/>
      <c r="AM228" s="254" t="str">
        <f>IF(COUNTBLANK(AI228:AL228)=4,"",SUM(AI228:AK228)+IF(Setup!$I$15="No",0,AL228))</f>
        <v/>
      </c>
      <c r="AN228" s="191"/>
      <c r="AO228" s="191"/>
      <c r="AP228" s="191"/>
      <c r="AQ228" s="191"/>
      <c r="AR228" s="254" t="str">
        <f>IF(COUNTBLANK(AN228:AQ228)=4,"",SUM(AN228:AP228)+IF(Setup!$I$15="No",0,AQ228))</f>
        <v/>
      </c>
      <c r="AS228" s="191"/>
      <c r="AT228" s="191"/>
      <c r="AU228" s="191"/>
      <c r="AV228" s="191"/>
      <c r="AW228" s="254" t="str">
        <f>IF(COUNTBLANK(AS228:AV228)=4,"",SUM(AS228:AU228)+IF(Setup!$I$15="No",0,AV228))</f>
        <v/>
      </c>
      <c r="AX228" s="191"/>
      <c r="AY228" s="191"/>
      <c r="AZ228" s="191"/>
      <c r="BA228" s="191"/>
      <c r="BB228" s="254" t="str">
        <f>IF(COUNTBLANK(AX228:BA228)=4,"",SUM(AX228:AZ228)+IF(Setup!$I$15="No",0,BA228))</f>
        <v/>
      </c>
      <c r="BC228" s="258" t="str">
        <f ca="1">IF('Demand background (hide)'!A219=Num_Modalities,"",SUM(Demand!I228))</f>
        <v/>
      </c>
      <c r="BD228" s="258" t="str">
        <f ca="1">IF(AND(A228&lt;=MaxRows,BE228&lt;&gt;"Yes"),'Demand background (hide)'!X219+IF(Setup!$I$15="Yes",'Demand background (hide)'!AJ219,0),"")</f>
        <v/>
      </c>
      <c r="BE228" s="208"/>
    </row>
    <row r="229" spans="1:57" ht="15" x14ac:dyDescent="0.25">
      <c r="A229" t="str">
        <f t="shared" ca="1" si="12"/>
        <v/>
      </c>
      <c r="B229" s="263" t="str">
        <f t="shared" ca="1" si="13"/>
        <v xml:space="preserve"> </v>
      </c>
      <c r="C229" s="264" t="str">
        <f t="shared" ca="1" si="14"/>
        <v/>
      </c>
      <c r="D229" s="264" t="str">
        <f t="shared" ca="1" si="15"/>
        <v/>
      </c>
      <c r="E229" s="191"/>
      <c r="F229" s="191"/>
      <c r="G229" s="191"/>
      <c r="H229" s="191"/>
      <c r="I229" s="250" t="str">
        <f>IF(COUNTBLANK(E229:H229)=4,"",SUM(E229:G229)+IF(Setup!$I$15="No",0,H229))</f>
        <v/>
      </c>
      <c r="J229" s="191"/>
      <c r="K229" s="191"/>
      <c r="L229" s="191"/>
      <c r="M229" s="191"/>
      <c r="N229" s="254" t="str">
        <f>IF(COUNTBLANK(J229:M229)=4,"",SUM(J229:L229)+IF(Setup!$I$15="No",0,M229))</f>
        <v/>
      </c>
      <c r="O229" s="191"/>
      <c r="P229" s="191"/>
      <c r="Q229" s="191"/>
      <c r="R229" s="191"/>
      <c r="S229" s="254" t="str">
        <f>IF(COUNTBLANK(O229:R229)=4,"",SUM(O229:Q229)+IF(Setup!$I$15="No",0,R229))</f>
        <v/>
      </c>
      <c r="T229" s="191"/>
      <c r="U229" s="191"/>
      <c r="V229" s="191"/>
      <c r="W229" s="191"/>
      <c r="X229" s="254" t="str">
        <f>IF(COUNTBLANK(T229:W229)=4,"",SUM(T229:V229)+IF(Setup!$I$15="No",0,W229))</f>
        <v/>
      </c>
      <c r="Y229" s="191"/>
      <c r="Z229" s="191"/>
      <c r="AA229" s="191"/>
      <c r="AB229" s="191"/>
      <c r="AC229" s="254" t="str">
        <f>IF(COUNTBLANK(Y229:AB229)=4,"",SUM(Y229:AA229)+IF(Setup!$I$15="No",0,AB229))</f>
        <v/>
      </c>
      <c r="AD229" s="191"/>
      <c r="AE229" s="191"/>
      <c r="AF229" s="191"/>
      <c r="AG229" s="191"/>
      <c r="AH229" s="254" t="str">
        <f>IF(COUNTBLANK(AD229:AG229)=4,"",SUM(AD229:AF229)+IF(Setup!$I$15="No",0,AG229))</f>
        <v/>
      </c>
      <c r="AI229" s="191"/>
      <c r="AJ229" s="191"/>
      <c r="AK229" s="191"/>
      <c r="AL229" s="191"/>
      <c r="AM229" s="254" t="str">
        <f>IF(COUNTBLANK(AI229:AL229)=4,"",SUM(AI229:AK229)+IF(Setup!$I$15="No",0,AL229))</f>
        <v/>
      </c>
      <c r="AN229" s="191"/>
      <c r="AO229" s="191"/>
      <c r="AP229" s="191"/>
      <c r="AQ229" s="191"/>
      <c r="AR229" s="254" t="str">
        <f>IF(COUNTBLANK(AN229:AQ229)=4,"",SUM(AN229:AP229)+IF(Setup!$I$15="No",0,AQ229))</f>
        <v/>
      </c>
      <c r="AS229" s="191"/>
      <c r="AT229" s="191"/>
      <c r="AU229" s="191"/>
      <c r="AV229" s="191"/>
      <c r="AW229" s="254" t="str">
        <f>IF(COUNTBLANK(AS229:AV229)=4,"",SUM(AS229:AU229)+IF(Setup!$I$15="No",0,AV229))</f>
        <v/>
      </c>
      <c r="AX229" s="191"/>
      <c r="AY229" s="191"/>
      <c r="AZ229" s="191"/>
      <c r="BA229" s="191"/>
      <c r="BB229" s="254" t="str">
        <f>IF(COUNTBLANK(AX229:BA229)=4,"",SUM(AX229:AZ229)+IF(Setup!$I$15="No",0,BA229))</f>
        <v/>
      </c>
      <c r="BC229" s="258" t="str">
        <f ca="1">IF('Demand background (hide)'!A220=Num_Modalities,"",SUM(Demand!I229))</f>
        <v/>
      </c>
      <c r="BD229" s="258" t="str">
        <f ca="1">IF(AND(A229&lt;=MaxRows,BE229&lt;&gt;"Yes"),'Demand background (hide)'!X220+IF(Setup!$I$15="Yes",'Demand background (hide)'!AJ220,0),"")</f>
        <v/>
      </c>
      <c r="BE229" s="208"/>
    </row>
    <row r="230" spans="1:57" ht="15" x14ac:dyDescent="0.25">
      <c r="A230" t="str">
        <f t="shared" ca="1" si="12"/>
        <v/>
      </c>
      <c r="B230" s="263" t="str">
        <f t="shared" ca="1" si="13"/>
        <v xml:space="preserve"> </v>
      </c>
      <c r="C230" s="264" t="str">
        <f t="shared" ca="1" si="14"/>
        <v/>
      </c>
      <c r="D230" s="264" t="str">
        <f t="shared" ca="1" si="15"/>
        <v/>
      </c>
      <c r="E230" s="191"/>
      <c r="F230" s="191"/>
      <c r="G230" s="191"/>
      <c r="H230" s="191"/>
      <c r="I230" s="250" t="str">
        <f>IF(COUNTBLANK(E230:H230)=4,"",SUM(E230:G230)+IF(Setup!$I$15="No",0,H230))</f>
        <v/>
      </c>
      <c r="J230" s="191"/>
      <c r="K230" s="191"/>
      <c r="L230" s="191"/>
      <c r="M230" s="191"/>
      <c r="N230" s="254" t="str">
        <f>IF(COUNTBLANK(J230:M230)=4,"",SUM(J230:L230)+IF(Setup!$I$15="No",0,M230))</f>
        <v/>
      </c>
      <c r="O230" s="191"/>
      <c r="P230" s="191"/>
      <c r="Q230" s="191"/>
      <c r="R230" s="191"/>
      <c r="S230" s="254" t="str">
        <f>IF(COUNTBLANK(O230:R230)=4,"",SUM(O230:Q230)+IF(Setup!$I$15="No",0,R230))</f>
        <v/>
      </c>
      <c r="T230" s="191"/>
      <c r="U230" s="191"/>
      <c r="V230" s="191"/>
      <c r="W230" s="191"/>
      <c r="X230" s="254" t="str">
        <f>IF(COUNTBLANK(T230:W230)=4,"",SUM(T230:V230)+IF(Setup!$I$15="No",0,W230))</f>
        <v/>
      </c>
      <c r="Y230" s="191"/>
      <c r="Z230" s="191"/>
      <c r="AA230" s="191"/>
      <c r="AB230" s="191"/>
      <c r="AC230" s="254" t="str">
        <f>IF(COUNTBLANK(Y230:AB230)=4,"",SUM(Y230:AA230)+IF(Setup!$I$15="No",0,AB230))</f>
        <v/>
      </c>
      <c r="AD230" s="191"/>
      <c r="AE230" s="191"/>
      <c r="AF230" s="191"/>
      <c r="AG230" s="191"/>
      <c r="AH230" s="254" t="str">
        <f>IF(COUNTBLANK(AD230:AG230)=4,"",SUM(AD230:AF230)+IF(Setup!$I$15="No",0,AG230))</f>
        <v/>
      </c>
      <c r="AI230" s="191"/>
      <c r="AJ230" s="191"/>
      <c r="AK230" s="191"/>
      <c r="AL230" s="191"/>
      <c r="AM230" s="254" t="str">
        <f>IF(COUNTBLANK(AI230:AL230)=4,"",SUM(AI230:AK230)+IF(Setup!$I$15="No",0,AL230))</f>
        <v/>
      </c>
      <c r="AN230" s="191"/>
      <c r="AO230" s="191"/>
      <c r="AP230" s="191"/>
      <c r="AQ230" s="191"/>
      <c r="AR230" s="254" t="str">
        <f>IF(COUNTBLANK(AN230:AQ230)=4,"",SUM(AN230:AP230)+IF(Setup!$I$15="No",0,AQ230))</f>
        <v/>
      </c>
      <c r="AS230" s="191"/>
      <c r="AT230" s="191"/>
      <c r="AU230" s="191"/>
      <c r="AV230" s="191"/>
      <c r="AW230" s="254" t="str">
        <f>IF(COUNTBLANK(AS230:AV230)=4,"",SUM(AS230:AU230)+IF(Setup!$I$15="No",0,AV230))</f>
        <v/>
      </c>
      <c r="AX230" s="191"/>
      <c r="AY230" s="191"/>
      <c r="AZ230" s="191"/>
      <c r="BA230" s="191"/>
      <c r="BB230" s="254" t="str">
        <f>IF(COUNTBLANK(AX230:BA230)=4,"",SUM(AX230:AZ230)+IF(Setup!$I$15="No",0,BA230))</f>
        <v/>
      </c>
      <c r="BC230" s="258" t="str">
        <f ca="1">IF('Demand background (hide)'!A221=Num_Modalities,"",SUM(Demand!I230))</f>
        <v/>
      </c>
      <c r="BD230" s="258" t="str">
        <f ca="1">IF(AND(A230&lt;=MaxRows,BE230&lt;&gt;"Yes"),'Demand background (hide)'!X221+IF(Setup!$I$15="Yes",'Demand background (hide)'!AJ221,0),"")</f>
        <v/>
      </c>
      <c r="BE230" s="208"/>
    </row>
    <row r="231" spans="1:57" ht="15" x14ac:dyDescent="0.25">
      <c r="A231" t="str">
        <f t="shared" ca="1" si="12"/>
        <v/>
      </c>
      <c r="B231" s="263" t="str">
        <f t="shared" ca="1" si="13"/>
        <v xml:space="preserve"> </v>
      </c>
      <c r="C231" s="264" t="str">
        <f t="shared" ca="1" si="14"/>
        <v/>
      </c>
      <c r="D231" s="264" t="str">
        <f t="shared" ca="1" si="15"/>
        <v/>
      </c>
      <c r="E231" s="191"/>
      <c r="F231" s="191"/>
      <c r="G231" s="191"/>
      <c r="H231" s="191"/>
      <c r="I231" s="250" t="str">
        <f>IF(COUNTBLANK(E231:H231)=4,"",SUM(E231:G231)+IF(Setup!$I$15="No",0,H231))</f>
        <v/>
      </c>
      <c r="J231" s="191"/>
      <c r="K231" s="191"/>
      <c r="L231" s="191"/>
      <c r="M231" s="191"/>
      <c r="N231" s="254" t="str">
        <f>IF(COUNTBLANK(J231:M231)=4,"",SUM(J231:L231)+IF(Setup!$I$15="No",0,M231))</f>
        <v/>
      </c>
      <c r="O231" s="191"/>
      <c r="P231" s="191"/>
      <c r="Q231" s="191"/>
      <c r="R231" s="191"/>
      <c r="S231" s="254" t="str">
        <f>IF(COUNTBLANK(O231:R231)=4,"",SUM(O231:Q231)+IF(Setup!$I$15="No",0,R231))</f>
        <v/>
      </c>
      <c r="T231" s="191"/>
      <c r="U231" s="191"/>
      <c r="V231" s="191"/>
      <c r="W231" s="191"/>
      <c r="X231" s="254" t="str">
        <f>IF(COUNTBLANK(T231:W231)=4,"",SUM(T231:V231)+IF(Setup!$I$15="No",0,W231))</f>
        <v/>
      </c>
      <c r="Y231" s="191"/>
      <c r="Z231" s="191"/>
      <c r="AA231" s="191"/>
      <c r="AB231" s="191"/>
      <c r="AC231" s="254" t="str">
        <f>IF(COUNTBLANK(Y231:AB231)=4,"",SUM(Y231:AA231)+IF(Setup!$I$15="No",0,AB231))</f>
        <v/>
      </c>
      <c r="AD231" s="191"/>
      <c r="AE231" s="191"/>
      <c r="AF231" s="191"/>
      <c r="AG231" s="191"/>
      <c r="AH231" s="254" t="str">
        <f>IF(COUNTBLANK(AD231:AG231)=4,"",SUM(AD231:AF231)+IF(Setup!$I$15="No",0,AG231))</f>
        <v/>
      </c>
      <c r="AI231" s="191"/>
      <c r="AJ231" s="191"/>
      <c r="AK231" s="191"/>
      <c r="AL231" s="191"/>
      <c r="AM231" s="254" t="str">
        <f>IF(COUNTBLANK(AI231:AL231)=4,"",SUM(AI231:AK231)+IF(Setup!$I$15="No",0,AL231))</f>
        <v/>
      </c>
      <c r="AN231" s="191"/>
      <c r="AO231" s="191"/>
      <c r="AP231" s="191"/>
      <c r="AQ231" s="191"/>
      <c r="AR231" s="254" t="str">
        <f>IF(COUNTBLANK(AN231:AQ231)=4,"",SUM(AN231:AP231)+IF(Setup!$I$15="No",0,AQ231))</f>
        <v/>
      </c>
      <c r="AS231" s="191"/>
      <c r="AT231" s="191"/>
      <c r="AU231" s="191"/>
      <c r="AV231" s="191"/>
      <c r="AW231" s="254" t="str">
        <f>IF(COUNTBLANK(AS231:AV231)=4,"",SUM(AS231:AU231)+IF(Setup!$I$15="No",0,AV231))</f>
        <v/>
      </c>
      <c r="AX231" s="191"/>
      <c r="AY231" s="191"/>
      <c r="AZ231" s="191"/>
      <c r="BA231" s="191"/>
      <c r="BB231" s="254" t="str">
        <f>IF(COUNTBLANK(AX231:BA231)=4,"",SUM(AX231:AZ231)+IF(Setup!$I$15="No",0,BA231))</f>
        <v/>
      </c>
      <c r="BC231" s="258" t="str">
        <f ca="1">IF('Demand background (hide)'!A222=Num_Modalities,"",SUM(Demand!I231))</f>
        <v/>
      </c>
      <c r="BD231" s="258" t="str">
        <f ca="1">IF(AND(A231&lt;=MaxRows,BE231&lt;&gt;"Yes"),'Demand background (hide)'!X222+IF(Setup!$I$15="Yes",'Demand background (hide)'!AJ222,0),"")</f>
        <v/>
      </c>
      <c r="BE231" s="208"/>
    </row>
    <row r="232" spans="1:57" ht="15" x14ac:dyDescent="0.25">
      <c r="A232" t="str">
        <f t="shared" ca="1" si="12"/>
        <v/>
      </c>
      <c r="B232" s="263" t="str">
        <f t="shared" ca="1" si="13"/>
        <v xml:space="preserve"> </v>
      </c>
      <c r="C232" s="264" t="str">
        <f t="shared" ca="1" si="14"/>
        <v/>
      </c>
      <c r="D232" s="264" t="str">
        <f t="shared" ca="1" si="15"/>
        <v/>
      </c>
      <c r="E232" s="191"/>
      <c r="F232" s="191"/>
      <c r="G232" s="191"/>
      <c r="H232" s="191"/>
      <c r="I232" s="250" t="str">
        <f>IF(COUNTBLANK(E232:H232)=4,"",SUM(E232:G232)+IF(Setup!$I$15="No",0,H232))</f>
        <v/>
      </c>
      <c r="J232" s="191"/>
      <c r="K232" s="191"/>
      <c r="L232" s="191"/>
      <c r="M232" s="191"/>
      <c r="N232" s="254" t="str">
        <f>IF(COUNTBLANK(J232:M232)=4,"",SUM(J232:L232)+IF(Setup!$I$15="No",0,M232))</f>
        <v/>
      </c>
      <c r="O232" s="191"/>
      <c r="P232" s="191"/>
      <c r="Q232" s="191"/>
      <c r="R232" s="191"/>
      <c r="S232" s="254" t="str">
        <f>IF(COUNTBLANK(O232:R232)=4,"",SUM(O232:Q232)+IF(Setup!$I$15="No",0,R232))</f>
        <v/>
      </c>
      <c r="T232" s="191"/>
      <c r="U232" s="191"/>
      <c r="V232" s="191"/>
      <c r="W232" s="191"/>
      <c r="X232" s="254" t="str">
        <f>IF(COUNTBLANK(T232:W232)=4,"",SUM(T232:V232)+IF(Setup!$I$15="No",0,W232))</f>
        <v/>
      </c>
      <c r="Y232" s="191"/>
      <c r="Z232" s="191"/>
      <c r="AA232" s="191"/>
      <c r="AB232" s="191"/>
      <c r="AC232" s="254" t="str">
        <f>IF(COUNTBLANK(Y232:AB232)=4,"",SUM(Y232:AA232)+IF(Setup!$I$15="No",0,AB232))</f>
        <v/>
      </c>
      <c r="AD232" s="191"/>
      <c r="AE232" s="191"/>
      <c r="AF232" s="191"/>
      <c r="AG232" s="191"/>
      <c r="AH232" s="254" t="str">
        <f>IF(COUNTBLANK(AD232:AG232)=4,"",SUM(AD232:AF232)+IF(Setup!$I$15="No",0,AG232))</f>
        <v/>
      </c>
      <c r="AI232" s="191"/>
      <c r="AJ232" s="191"/>
      <c r="AK232" s="191"/>
      <c r="AL232" s="191"/>
      <c r="AM232" s="254" t="str">
        <f>IF(COUNTBLANK(AI232:AL232)=4,"",SUM(AI232:AK232)+IF(Setup!$I$15="No",0,AL232))</f>
        <v/>
      </c>
      <c r="AN232" s="191"/>
      <c r="AO232" s="191"/>
      <c r="AP232" s="191"/>
      <c r="AQ232" s="191"/>
      <c r="AR232" s="254" t="str">
        <f>IF(COUNTBLANK(AN232:AQ232)=4,"",SUM(AN232:AP232)+IF(Setup!$I$15="No",0,AQ232))</f>
        <v/>
      </c>
      <c r="AS232" s="191"/>
      <c r="AT232" s="191"/>
      <c r="AU232" s="191"/>
      <c r="AV232" s="191"/>
      <c r="AW232" s="254" t="str">
        <f>IF(COUNTBLANK(AS232:AV232)=4,"",SUM(AS232:AU232)+IF(Setup!$I$15="No",0,AV232))</f>
        <v/>
      </c>
      <c r="AX232" s="191"/>
      <c r="AY232" s="191"/>
      <c r="AZ232" s="191"/>
      <c r="BA232" s="191"/>
      <c r="BB232" s="254" t="str">
        <f>IF(COUNTBLANK(AX232:BA232)=4,"",SUM(AX232:AZ232)+IF(Setup!$I$15="No",0,BA232))</f>
        <v/>
      </c>
      <c r="BC232" s="258" t="str">
        <f ca="1">IF('Demand background (hide)'!A223=Num_Modalities,"",SUM(Demand!I232))</f>
        <v/>
      </c>
      <c r="BD232" s="258" t="str">
        <f ca="1">IF(AND(A232&lt;=MaxRows,BE232&lt;&gt;"Yes"),'Demand background (hide)'!X223+IF(Setup!$I$15="Yes",'Demand background (hide)'!AJ223,0),"")</f>
        <v/>
      </c>
      <c r="BE232" s="208"/>
    </row>
    <row r="233" spans="1:57" ht="15" x14ac:dyDescent="0.25">
      <c r="A233" t="str">
        <f t="shared" ca="1" si="12"/>
        <v/>
      </c>
      <c r="B233" s="263" t="str">
        <f t="shared" ca="1" si="13"/>
        <v xml:space="preserve"> </v>
      </c>
      <c r="C233" s="264" t="str">
        <f t="shared" ca="1" si="14"/>
        <v/>
      </c>
      <c r="D233" s="264" t="str">
        <f t="shared" ca="1" si="15"/>
        <v/>
      </c>
      <c r="E233" s="191"/>
      <c r="F233" s="191"/>
      <c r="G233" s="191"/>
      <c r="H233" s="191"/>
      <c r="I233" s="250" t="str">
        <f>IF(COUNTBLANK(E233:H233)=4,"",SUM(E233:G233)+IF(Setup!$I$15="No",0,H233))</f>
        <v/>
      </c>
      <c r="J233" s="191"/>
      <c r="K233" s="191"/>
      <c r="L233" s="191"/>
      <c r="M233" s="191"/>
      <c r="N233" s="254" t="str">
        <f>IF(COUNTBLANK(J233:M233)=4,"",SUM(J233:L233)+IF(Setup!$I$15="No",0,M233))</f>
        <v/>
      </c>
      <c r="O233" s="191"/>
      <c r="P233" s="191"/>
      <c r="Q233" s="191"/>
      <c r="R233" s="191"/>
      <c r="S233" s="254" t="str">
        <f>IF(COUNTBLANK(O233:R233)=4,"",SUM(O233:Q233)+IF(Setup!$I$15="No",0,R233))</f>
        <v/>
      </c>
      <c r="T233" s="191"/>
      <c r="U233" s="191"/>
      <c r="V233" s="191"/>
      <c r="W233" s="191"/>
      <c r="X233" s="254" t="str">
        <f>IF(COUNTBLANK(T233:W233)=4,"",SUM(T233:V233)+IF(Setup!$I$15="No",0,W233))</f>
        <v/>
      </c>
      <c r="Y233" s="191"/>
      <c r="Z233" s="191"/>
      <c r="AA233" s="191"/>
      <c r="AB233" s="191"/>
      <c r="AC233" s="254" t="str">
        <f>IF(COUNTBLANK(Y233:AB233)=4,"",SUM(Y233:AA233)+IF(Setup!$I$15="No",0,AB233))</f>
        <v/>
      </c>
      <c r="AD233" s="191"/>
      <c r="AE233" s="191"/>
      <c r="AF233" s="191"/>
      <c r="AG233" s="191"/>
      <c r="AH233" s="254" t="str">
        <f>IF(COUNTBLANK(AD233:AG233)=4,"",SUM(AD233:AF233)+IF(Setup!$I$15="No",0,AG233))</f>
        <v/>
      </c>
      <c r="AI233" s="191"/>
      <c r="AJ233" s="191"/>
      <c r="AK233" s="191"/>
      <c r="AL233" s="191"/>
      <c r="AM233" s="254" t="str">
        <f>IF(COUNTBLANK(AI233:AL233)=4,"",SUM(AI233:AK233)+IF(Setup!$I$15="No",0,AL233))</f>
        <v/>
      </c>
      <c r="AN233" s="191"/>
      <c r="AO233" s="191"/>
      <c r="AP233" s="191"/>
      <c r="AQ233" s="191"/>
      <c r="AR233" s="254" t="str">
        <f>IF(COUNTBLANK(AN233:AQ233)=4,"",SUM(AN233:AP233)+IF(Setup!$I$15="No",0,AQ233))</f>
        <v/>
      </c>
      <c r="AS233" s="191"/>
      <c r="AT233" s="191"/>
      <c r="AU233" s="191"/>
      <c r="AV233" s="191"/>
      <c r="AW233" s="254" t="str">
        <f>IF(COUNTBLANK(AS233:AV233)=4,"",SUM(AS233:AU233)+IF(Setup!$I$15="No",0,AV233))</f>
        <v/>
      </c>
      <c r="AX233" s="191"/>
      <c r="AY233" s="191"/>
      <c r="AZ233" s="191"/>
      <c r="BA233" s="191"/>
      <c r="BB233" s="254" t="str">
        <f>IF(COUNTBLANK(AX233:BA233)=4,"",SUM(AX233:AZ233)+IF(Setup!$I$15="No",0,BA233))</f>
        <v/>
      </c>
      <c r="BC233" s="258" t="str">
        <f ca="1">IF('Demand background (hide)'!A224=Num_Modalities,"",SUM(Demand!I233))</f>
        <v/>
      </c>
      <c r="BD233" s="258" t="str">
        <f ca="1">IF(AND(A233&lt;=MaxRows,BE233&lt;&gt;"Yes"),'Demand background (hide)'!X224+IF(Setup!$I$15="Yes",'Demand background (hide)'!AJ224,0),"")</f>
        <v/>
      </c>
      <c r="BE233" s="208"/>
    </row>
    <row r="234" spans="1:57" ht="15" x14ac:dyDescent="0.25">
      <c r="A234" t="str">
        <f t="shared" ca="1" si="12"/>
        <v/>
      </c>
      <c r="B234" s="263" t="str">
        <f t="shared" ca="1" si="13"/>
        <v xml:space="preserve"> </v>
      </c>
      <c r="C234" s="264" t="str">
        <f t="shared" ca="1" si="14"/>
        <v/>
      </c>
      <c r="D234" s="264" t="str">
        <f t="shared" ca="1" si="15"/>
        <v/>
      </c>
      <c r="E234" s="191"/>
      <c r="F234" s="191"/>
      <c r="G234" s="191"/>
      <c r="H234" s="191"/>
      <c r="I234" s="250" t="str">
        <f>IF(COUNTBLANK(E234:H234)=4,"",SUM(E234:G234)+IF(Setup!$I$15="No",0,H234))</f>
        <v/>
      </c>
      <c r="J234" s="191"/>
      <c r="K234" s="191"/>
      <c r="L234" s="191"/>
      <c r="M234" s="191"/>
      <c r="N234" s="254" t="str">
        <f>IF(COUNTBLANK(J234:M234)=4,"",SUM(J234:L234)+IF(Setup!$I$15="No",0,M234))</f>
        <v/>
      </c>
      <c r="O234" s="191"/>
      <c r="P234" s="191"/>
      <c r="Q234" s="191"/>
      <c r="R234" s="191"/>
      <c r="S234" s="254" t="str">
        <f>IF(COUNTBLANK(O234:R234)=4,"",SUM(O234:Q234)+IF(Setup!$I$15="No",0,R234))</f>
        <v/>
      </c>
      <c r="T234" s="191"/>
      <c r="U234" s="191"/>
      <c r="V234" s="191"/>
      <c r="W234" s="191"/>
      <c r="X234" s="254" t="str">
        <f>IF(COUNTBLANK(T234:W234)=4,"",SUM(T234:V234)+IF(Setup!$I$15="No",0,W234))</f>
        <v/>
      </c>
      <c r="Y234" s="191"/>
      <c r="Z234" s="191"/>
      <c r="AA234" s="191"/>
      <c r="AB234" s="191"/>
      <c r="AC234" s="254" t="str">
        <f>IF(COUNTBLANK(Y234:AB234)=4,"",SUM(Y234:AA234)+IF(Setup!$I$15="No",0,AB234))</f>
        <v/>
      </c>
      <c r="AD234" s="191"/>
      <c r="AE234" s="191"/>
      <c r="AF234" s="191"/>
      <c r="AG234" s="191"/>
      <c r="AH234" s="254" t="str">
        <f>IF(COUNTBLANK(AD234:AG234)=4,"",SUM(AD234:AF234)+IF(Setup!$I$15="No",0,AG234))</f>
        <v/>
      </c>
      <c r="AI234" s="191"/>
      <c r="AJ234" s="191"/>
      <c r="AK234" s="191"/>
      <c r="AL234" s="191"/>
      <c r="AM234" s="254" t="str">
        <f>IF(COUNTBLANK(AI234:AL234)=4,"",SUM(AI234:AK234)+IF(Setup!$I$15="No",0,AL234))</f>
        <v/>
      </c>
      <c r="AN234" s="191"/>
      <c r="AO234" s="191"/>
      <c r="AP234" s="191"/>
      <c r="AQ234" s="191"/>
      <c r="AR234" s="254" t="str">
        <f>IF(COUNTBLANK(AN234:AQ234)=4,"",SUM(AN234:AP234)+IF(Setup!$I$15="No",0,AQ234))</f>
        <v/>
      </c>
      <c r="AS234" s="191"/>
      <c r="AT234" s="191"/>
      <c r="AU234" s="191"/>
      <c r="AV234" s="191"/>
      <c r="AW234" s="254" t="str">
        <f>IF(COUNTBLANK(AS234:AV234)=4,"",SUM(AS234:AU234)+IF(Setup!$I$15="No",0,AV234))</f>
        <v/>
      </c>
      <c r="AX234" s="191"/>
      <c r="AY234" s="191"/>
      <c r="AZ234" s="191"/>
      <c r="BA234" s="191"/>
      <c r="BB234" s="254" t="str">
        <f>IF(COUNTBLANK(AX234:BA234)=4,"",SUM(AX234:AZ234)+IF(Setup!$I$15="No",0,BA234))</f>
        <v/>
      </c>
      <c r="BC234" s="258" t="str">
        <f ca="1">IF('Demand background (hide)'!A225=Num_Modalities,"",SUM(Demand!I234))</f>
        <v/>
      </c>
      <c r="BD234" s="258" t="str">
        <f ca="1">IF(AND(A234&lt;=MaxRows,BE234&lt;&gt;"Yes"),'Demand background (hide)'!X225+IF(Setup!$I$15="Yes",'Demand background (hide)'!AJ225,0),"")</f>
        <v/>
      </c>
      <c r="BE234" s="208"/>
    </row>
    <row r="235" spans="1:57" ht="15" x14ac:dyDescent="0.25">
      <c r="A235" t="str">
        <f t="shared" ca="1" si="12"/>
        <v/>
      </c>
      <c r="B235" s="263" t="str">
        <f t="shared" ca="1" si="13"/>
        <v xml:space="preserve"> </v>
      </c>
      <c r="C235" s="264" t="str">
        <f t="shared" ca="1" si="14"/>
        <v/>
      </c>
      <c r="D235" s="264" t="str">
        <f t="shared" ca="1" si="15"/>
        <v/>
      </c>
      <c r="E235" s="191"/>
      <c r="F235" s="191"/>
      <c r="G235" s="191"/>
      <c r="H235" s="191"/>
      <c r="I235" s="250" t="str">
        <f>IF(COUNTBLANK(E235:H235)=4,"",SUM(E235:G235)+IF(Setup!$I$15="No",0,H235))</f>
        <v/>
      </c>
      <c r="J235" s="191"/>
      <c r="K235" s="191"/>
      <c r="L235" s="191"/>
      <c r="M235" s="191"/>
      <c r="N235" s="254" t="str">
        <f>IF(COUNTBLANK(J235:M235)=4,"",SUM(J235:L235)+IF(Setup!$I$15="No",0,M235))</f>
        <v/>
      </c>
      <c r="O235" s="191"/>
      <c r="P235" s="191"/>
      <c r="Q235" s="191"/>
      <c r="R235" s="191"/>
      <c r="S235" s="254" t="str">
        <f>IF(COUNTBLANK(O235:R235)=4,"",SUM(O235:Q235)+IF(Setup!$I$15="No",0,R235))</f>
        <v/>
      </c>
      <c r="T235" s="191"/>
      <c r="U235" s="191"/>
      <c r="V235" s="191"/>
      <c r="W235" s="191"/>
      <c r="X235" s="254" t="str">
        <f>IF(COUNTBLANK(T235:W235)=4,"",SUM(T235:V235)+IF(Setup!$I$15="No",0,W235))</f>
        <v/>
      </c>
      <c r="Y235" s="191"/>
      <c r="Z235" s="191"/>
      <c r="AA235" s="191"/>
      <c r="AB235" s="191"/>
      <c r="AC235" s="254" t="str">
        <f>IF(COUNTBLANK(Y235:AB235)=4,"",SUM(Y235:AA235)+IF(Setup!$I$15="No",0,AB235))</f>
        <v/>
      </c>
      <c r="AD235" s="191"/>
      <c r="AE235" s="191"/>
      <c r="AF235" s="191"/>
      <c r="AG235" s="191"/>
      <c r="AH235" s="254" t="str">
        <f>IF(COUNTBLANK(AD235:AG235)=4,"",SUM(AD235:AF235)+IF(Setup!$I$15="No",0,AG235))</f>
        <v/>
      </c>
      <c r="AI235" s="191"/>
      <c r="AJ235" s="191"/>
      <c r="AK235" s="191"/>
      <c r="AL235" s="191"/>
      <c r="AM235" s="254" t="str">
        <f>IF(COUNTBLANK(AI235:AL235)=4,"",SUM(AI235:AK235)+IF(Setup!$I$15="No",0,AL235))</f>
        <v/>
      </c>
      <c r="AN235" s="191"/>
      <c r="AO235" s="191"/>
      <c r="AP235" s="191"/>
      <c r="AQ235" s="191"/>
      <c r="AR235" s="254" t="str">
        <f>IF(COUNTBLANK(AN235:AQ235)=4,"",SUM(AN235:AP235)+IF(Setup!$I$15="No",0,AQ235))</f>
        <v/>
      </c>
      <c r="AS235" s="191"/>
      <c r="AT235" s="191"/>
      <c r="AU235" s="191"/>
      <c r="AV235" s="191"/>
      <c r="AW235" s="254" t="str">
        <f>IF(COUNTBLANK(AS235:AV235)=4,"",SUM(AS235:AU235)+IF(Setup!$I$15="No",0,AV235))</f>
        <v/>
      </c>
      <c r="AX235" s="191"/>
      <c r="AY235" s="191"/>
      <c r="AZ235" s="191"/>
      <c r="BA235" s="191"/>
      <c r="BB235" s="254" t="str">
        <f>IF(COUNTBLANK(AX235:BA235)=4,"",SUM(AX235:AZ235)+IF(Setup!$I$15="No",0,BA235))</f>
        <v/>
      </c>
      <c r="BC235" s="258" t="str">
        <f ca="1">IF('Demand background (hide)'!A226=Num_Modalities,"",SUM(Demand!I235))</f>
        <v/>
      </c>
      <c r="BD235" s="258" t="str">
        <f ca="1">IF(AND(A235&lt;=MaxRows,BE235&lt;&gt;"Yes"),'Demand background (hide)'!X226+IF(Setup!$I$15="Yes",'Demand background (hide)'!AJ226,0),"")</f>
        <v/>
      </c>
      <c r="BE235" s="208"/>
    </row>
    <row r="236" spans="1:57" ht="15" x14ac:dyDescent="0.25">
      <c r="A236" t="str">
        <f t="shared" ca="1" si="12"/>
        <v/>
      </c>
      <c r="B236" s="263" t="str">
        <f t="shared" ca="1" si="13"/>
        <v xml:space="preserve"> </v>
      </c>
      <c r="C236" s="264" t="str">
        <f t="shared" ca="1" si="14"/>
        <v/>
      </c>
      <c r="D236" s="264" t="str">
        <f t="shared" ca="1" si="15"/>
        <v/>
      </c>
      <c r="E236" s="191"/>
      <c r="F236" s="191"/>
      <c r="G236" s="191"/>
      <c r="H236" s="191"/>
      <c r="I236" s="250" t="str">
        <f>IF(COUNTBLANK(E236:H236)=4,"",SUM(E236:G236)+IF(Setup!$I$15="No",0,H236))</f>
        <v/>
      </c>
      <c r="J236" s="191"/>
      <c r="K236" s="191"/>
      <c r="L236" s="191"/>
      <c r="M236" s="191"/>
      <c r="N236" s="254" t="str">
        <f>IF(COUNTBLANK(J236:M236)=4,"",SUM(J236:L236)+IF(Setup!$I$15="No",0,M236))</f>
        <v/>
      </c>
      <c r="O236" s="191"/>
      <c r="P236" s="191"/>
      <c r="Q236" s="191"/>
      <c r="R236" s="191"/>
      <c r="S236" s="254" t="str">
        <f>IF(COUNTBLANK(O236:R236)=4,"",SUM(O236:Q236)+IF(Setup!$I$15="No",0,R236))</f>
        <v/>
      </c>
      <c r="T236" s="191"/>
      <c r="U236" s="191"/>
      <c r="V236" s="191"/>
      <c r="W236" s="191"/>
      <c r="X236" s="254" t="str">
        <f>IF(COUNTBLANK(T236:W236)=4,"",SUM(T236:V236)+IF(Setup!$I$15="No",0,W236))</f>
        <v/>
      </c>
      <c r="Y236" s="191"/>
      <c r="Z236" s="191"/>
      <c r="AA236" s="191"/>
      <c r="AB236" s="191"/>
      <c r="AC236" s="254" t="str">
        <f>IF(COUNTBLANK(Y236:AB236)=4,"",SUM(Y236:AA236)+IF(Setup!$I$15="No",0,AB236))</f>
        <v/>
      </c>
      <c r="AD236" s="191"/>
      <c r="AE236" s="191"/>
      <c r="AF236" s="191"/>
      <c r="AG236" s="191"/>
      <c r="AH236" s="254" t="str">
        <f>IF(COUNTBLANK(AD236:AG236)=4,"",SUM(AD236:AF236)+IF(Setup!$I$15="No",0,AG236))</f>
        <v/>
      </c>
      <c r="AI236" s="191"/>
      <c r="AJ236" s="191"/>
      <c r="AK236" s="191"/>
      <c r="AL236" s="191"/>
      <c r="AM236" s="254" t="str">
        <f>IF(COUNTBLANK(AI236:AL236)=4,"",SUM(AI236:AK236)+IF(Setup!$I$15="No",0,AL236))</f>
        <v/>
      </c>
      <c r="AN236" s="191"/>
      <c r="AO236" s="191"/>
      <c r="AP236" s="191"/>
      <c r="AQ236" s="191"/>
      <c r="AR236" s="254" t="str">
        <f>IF(COUNTBLANK(AN236:AQ236)=4,"",SUM(AN236:AP236)+IF(Setup!$I$15="No",0,AQ236))</f>
        <v/>
      </c>
      <c r="AS236" s="191"/>
      <c r="AT236" s="191"/>
      <c r="AU236" s="191"/>
      <c r="AV236" s="191"/>
      <c r="AW236" s="254" t="str">
        <f>IF(COUNTBLANK(AS236:AV236)=4,"",SUM(AS236:AU236)+IF(Setup!$I$15="No",0,AV236))</f>
        <v/>
      </c>
      <c r="AX236" s="191"/>
      <c r="AY236" s="191"/>
      <c r="AZ236" s="191"/>
      <c r="BA236" s="191"/>
      <c r="BB236" s="254" t="str">
        <f>IF(COUNTBLANK(AX236:BA236)=4,"",SUM(AX236:AZ236)+IF(Setup!$I$15="No",0,BA236))</f>
        <v/>
      </c>
      <c r="BC236" s="258" t="str">
        <f ca="1">IF('Demand background (hide)'!A227=Num_Modalities,"",SUM(Demand!I236))</f>
        <v/>
      </c>
      <c r="BD236" s="258" t="str">
        <f ca="1">IF(AND(A236&lt;=MaxRows,BE236&lt;&gt;"Yes"),'Demand background (hide)'!X227+IF(Setup!$I$15="Yes",'Demand background (hide)'!AJ227,0),"")</f>
        <v/>
      </c>
      <c r="BE236" s="208"/>
    </row>
    <row r="237" spans="1:57" ht="15" x14ac:dyDescent="0.25">
      <c r="A237" t="str">
        <f t="shared" ca="1" si="12"/>
        <v/>
      </c>
      <c r="B237" s="263" t="str">
        <f t="shared" ca="1" si="13"/>
        <v xml:space="preserve"> </v>
      </c>
      <c r="C237" s="264" t="str">
        <f t="shared" ca="1" si="14"/>
        <v/>
      </c>
      <c r="D237" s="264" t="str">
        <f t="shared" ca="1" si="15"/>
        <v/>
      </c>
      <c r="E237" s="191"/>
      <c r="F237" s="191"/>
      <c r="G237" s="191"/>
      <c r="H237" s="191"/>
      <c r="I237" s="250" t="str">
        <f>IF(COUNTBLANK(E237:H237)=4,"",SUM(E237:G237)+IF(Setup!$I$15="No",0,H237))</f>
        <v/>
      </c>
      <c r="J237" s="191"/>
      <c r="K237" s="191"/>
      <c r="L237" s="191"/>
      <c r="M237" s="191"/>
      <c r="N237" s="254" t="str">
        <f>IF(COUNTBLANK(J237:M237)=4,"",SUM(J237:L237)+IF(Setup!$I$15="No",0,M237))</f>
        <v/>
      </c>
      <c r="O237" s="191"/>
      <c r="P237" s="191"/>
      <c r="Q237" s="191"/>
      <c r="R237" s="191"/>
      <c r="S237" s="254" t="str">
        <f>IF(COUNTBLANK(O237:R237)=4,"",SUM(O237:Q237)+IF(Setup!$I$15="No",0,R237))</f>
        <v/>
      </c>
      <c r="T237" s="191"/>
      <c r="U237" s="191"/>
      <c r="V237" s="191"/>
      <c r="W237" s="191"/>
      <c r="X237" s="254" t="str">
        <f>IF(COUNTBLANK(T237:W237)=4,"",SUM(T237:V237)+IF(Setup!$I$15="No",0,W237))</f>
        <v/>
      </c>
      <c r="Y237" s="191"/>
      <c r="Z237" s="191"/>
      <c r="AA237" s="191"/>
      <c r="AB237" s="191"/>
      <c r="AC237" s="254" t="str">
        <f>IF(COUNTBLANK(Y237:AB237)=4,"",SUM(Y237:AA237)+IF(Setup!$I$15="No",0,AB237))</f>
        <v/>
      </c>
      <c r="AD237" s="191"/>
      <c r="AE237" s="191"/>
      <c r="AF237" s="191"/>
      <c r="AG237" s="191"/>
      <c r="AH237" s="254" t="str">
        <f>IF(COUNTBLANK(AD237:AG237)=4,"",SUM(AD237:AF237)+IF(Setup!$I$15="No",0,AG237))</f>
        <v/>
      </c>
      <c r="AI237" s="191"/>
      <c r="AJ237" s="191"/>
      <c r="AK237" s="191"/>
      <c r="AL237" s="191"/>
      <c r="AM237" s="254" t="str">
        <f>IF(COUNTBLANK(AI237:AL237)=4,"",SUM(AI237:AK237)+IF(Setup!$I$15="No",0,AL237))</f>
        <v/>
      </c>
      <c r="AN237" s="191"/>
      <c r="AO237" s="191"/>
      <c r="AP237" s="191"/>
      <c r="AQ237" s="191"/>
      <c r="AR237" s="254" t="str">
        <f>IF(COUNTBLANK(AN237:AQ237)=4,"",SUM(AN237:AP237)+IF(Setup!$I$15="No",0,AQ237))</f>
        <v/>
      </c>
      <c r="AS237" s="191"/>
      <c r="AT237" s="191"/>
      <c r="AU237" s="191"/>
      <c r="AV237" s="191"/>
      <c r="AW237" s="254" t="str">
        <f>IF(COUNTBLANK(AS237:AV237)=4,"",SUM(AS237:AU237)+IF(Setup!$I$15="No",0,AV237))</f>
        <v/>
      </c>
      <c r="AX237" s="191"/>
      <c r="AY237" s="191"/>
      <c r="AZ237" s="191"/>
      <c r="BA237" s="191"/>
      <c r="BB237" s="254" t="str">
        <f>IF(COUNTBLANK(AX237:BA237)=4,"",SUM(AX237:AZ237)+IF(Setup!$I$15="No",0,BA237))</f>
        <v/>
      </c>
      <c r="BC237" s="258" t="str">
        <f ca="1">IF('Demand background (hide)'!A228=Num_Modalities,"",SUM(Demand!I237))</f>
        <v/>
      </c>
      <c r="BD237" s="258" t="str">
        <f ca="1">IF(AND(A237&lt;=MaxRows,BE237&lt;&gt;"Yes"),'Demand background (hide)'!X228+IF(Setup!$I$15="Yes",'Demand background (hide)'!AJ228,0),"")</f>
        <v/>
      </c>
      <c r="BE237" s="208"/>
    </row>
    <row r="238" spans="1:57" ht="15" x14ac:dyDescent="0.25">
      <c r="A238" t="str">
        <f t="shared" ca="1" si="12"/>
        <v/>
      </c>
      <c r="B238" s="263" t="str">
        <f t="shared" ca="1" si="13"/>
        <v xml:space="preserve"> </v>
      </c>
      <c r="C238" s="264" t="str">
        <f t="shared" ca="1" si="14"/>
        <v/>
      </c>
      <c r="D238" s="264" t="str">
        <f t="shared" ca="1" si="15"/>
        <v/>
      </c>
      <c r="E238" s="191"/>
      <c r="F238" s="191"/>
      <c r="G238" s="191"/>
      <c r="H238" s="191"/>
      <c r="I238" s="250" t="str">
        <f>IF(COUNTBLANK(E238:H238)=4,"",SUM(E238:G238)+IF(Setup!$I$15="No",0,H238))</f>
        <v/>
      </c>
      <c r="J238" s="191"/>
      <c r="K238" s="191"/>
      <c r="L238" s="191"/>
      <c r="M238" s="191"/>
      <c r="N238" s="254" t="str">
        <f>IF(COUNTBLANK(J238:M238)=4,"",SUM(J238:L238)+IF(Setup!$I$15="No",0,M238))</f>
        <v/>
      </c>
      <c r="O238" s="191"/>
      <c r="P238" s="191"/>
      <c r="Q238" s="191"/>
      <c r="R238" s="191"/>
      <c r="S238" s="254" t="str">
        <f>IF(COUNTBLANK(O238:R238)=4,"",SUM(O238:Q238)+IF(Setup!$I$15="No",0,R238))</f>
        <v/>
      </c>
      <c r="T238" s="191"/>
      <c r="U238" s="191"/>
      <c r="V238" s="191"/>
      <c r="W238" s="191"/>
      <c r="X238" s="254" t="str">
        <f>IF(COUNTBLANK(T238:W238)=4,"",SUM(T238:V238)+IF(Setup!$I$15="No",0,W238))</f>
        <v/>
      </c>
      <c r="Y238" s="191"/>
      <c r="Z238" s="191"/>
      <c r="AA238" s="191"/>
      <c r="AB238" s="191"/>
      <c r="AC238" s="254" t="str">
        <f>IF(COUNTBLANK(Y238:AB238)=4,"",SUM(Y238:AA238)+IF(Setup!$I$15="No",0,AB238))</f>
        <v/>
      </c>
      <c r="AD238" s="191"/>
      <c r="AE238" s="191"/>
      <c r="AF238" s="191"/>
      <c r="AG238" s="191"/>
      <c r="AH238" s="254" t="str">
        <f>IF(COUNTBLANK(AD238:AG238)=4,"",SUM(AD238:AF238)+IF(Setup!$I$15="No",0,AG238))</f>
        <v/>
      </c>
      <c r="AI238" s="191"/>
      <c r="AJ238" s="191"/>
      <c r="AK238" s="191"/>
      <c r="AL238" s="191"/>
      <c r="AM238" s="254" t="str">
        <f>IF(COUNTBLANK(AI238:AL238)=4,"",SUM(AI238:AK238)+IF(Setup!$I$15="No",0,AL238))</f>
        <v/>
      </c>
      <c r="AN238" s="191"/>
      <c r="AO238" s="191"/>
      <c r="AP238" s="191"/>
      <c r="AQ238" s="191"/>
      <c r="AR238" s="254" t="str">
        <f>IF(COUNTBLANK(AN238:AQ238)=4,"",SUM(AN238:AP238)+IF(Setup!$I$15="No",0,AQ238))</f>
        <v/>
      </c>
      <c r="AS238" s="191"/>
      <c r="AT238" s="191"/>
      <c r="AU238" s="191"/>
      <c r="AV238" s="191"/>
      <c r="AW238" s="254" t="str">
        <f>IF(COUNTBLANK(AS238:AV238)=4,"",SUM(AS238:AU238)+IF(Setup!$I$15="No",0,AV238))</f>
        <v/>
      </c>
      <c r="AX238" s="191"/>
      <c r="AY238" s="191"/>
      <c r="AZ238" s="191"/>
      <c r="BA238" s="191"/>
      <c r="BB238" s="254" t="str">
        <f>IF(COUNTBLANK(AX238:BA238)=4,"",SUM(AX238:AZ238)+IF(Setup!$I$15="No",0,BA238))</f>
        <v/>
      </c>
      <c r="BC238" s="258" t="str">
        <f ca="1">IF('Demand background (hide)'!A229=Num_Modalities,"",SUM(Demand!I238))</f>
        <v/>
      </c>
      <c r="BD238" s="258" t="str">
        <f ca="1">IF(AND(A238&lt;=MaxRows,BE238&lt;&gt;"Yes"),'Demand background (hide)'!X229+IF(Setup!$I$15="Yes",'Demand background (hide)'!AJ229,0),"")</f>
        <v/>
      </c>
      <c r="BE238" s="208"/>
    </row>
    <row r="239" spans="1:57" ht="15" x14ac:dyDescent="0.25">
      <c r="A239" t="str">
        <f t="shared" ca="1" si="12"/>
        <v/>
      </c>
      <c r="B239" s="263" t="str">
        <f t="shared" ca="1" si="13"/>
        <v xml:space="preserve"> </v>
      </c>
      <c r="C239" s="264" t="str">
        <f t="shared" ca="1" si="14"/>
        <v/>
      </c>
      <c r="D239" s="264" t="str">
        <f t="shared" ca="1" si="15"/>
        <v/>
      </c>
      <c r="E239" s="191"/>
      <c r="F239" s="191"/>
      <c r="G239" s="191"/>
      <c r="H239" s="191"/>
      <c r="I239" s="250" t="str">
        <f>IF(COUNTBLANK(E239:H239)=4,"",SUM(E239:G239)+IF(Setup!$I$15="No",0,H239))</f>
        <v/>
      </c>
      <c r="J239" s="191"/>
      <c r="K239" s="191"/>
      <c r="L239" s="191"/>
      <c r="M239" s="191"/>
      <c r="N239" s="254" t="str">
        <f>IF(COUNTBLANK(J239:M239)=4,"",SUM(J239:L239)+IF(Setup!$I$15="No",0,M239))</f>
        <v/>
      </c>
      <c r="O239" s="191"/>
      <c r="P239" s="191"/>
      <c r="Q239" s="191"/>
      <c r="R239" s="191"/>
      <c r="S239" s="254" t="str">
        <f>IF(COUNTBLANK(O239:R239)=4,"",SUM(O239:Q239)+IF(Setup!$I$15="No",0,R239))</f>
        <v/>
      </c>
      <c r="T239" s="191"/>
      <c r="U239" s="191"/>
      <c r="V239" s="191"/>
      <c r="W239" s="191"/>
      <c r="X239" s="254" t="str">
        <f>IF(COUNTBLANK(T239:W239)=4,"",SUM(T239:V239)+IF(Setup!$I$15="No",0,W239))</f>
        <v/>
      </c>
      <c r="Y239" s="191"/>
      <c r="Z239" s="191"/>
      <c r="AA239" s="191"/>
      <c r="AB239" s="191"/>
      <c r="AC239" s="254" t="str">
        <f>IF(COUNTBLANK(Y239:AB239)=4,"",SUM(Y239:AA239)+IF(Setup!$I$15="No",0,AB239))</f>
        <v/>
      </c>
      <c r="AD239" s="191"/>
      <c r="AE239" s="191"/>
      <c r="AF239" s="191"/>
      <c r="AG239" s="191"/>
      <c r="AH239" s="254" t="str">
        <f>IF(COUNTBLANK(AD239:AG239)=4,"",SUM(AD239:AF239)+IF(Setup!$I$15="No",0,AG239))</f>
        <v/>
      </c>
      <c r="AI239" s="191"/>
      <c r="AJ239" s="191"/>
      <c r="AK239" s="191"/>
      <c r="AL239" s="191"/>
      <c r="AM239" s="254" t="str">
        <f>IF(COUNTBLANK(AI239:AL239)=4,"",SUM(AI239:AK239)+IF(Setup!$I$15="No",0,AL239))</f>
        <v/>
      </c>
      <c r="AN239" s="191"/>
      <c r="AO239" s="191"/>
      <c r="AP239" s="191"/>
      <c r="AQ239" s="191"/>
      <c r="AR239" s="254" t="str">
        <f>IF(COUNTBLANK(AN239:AQ239)=4,"",SUM(AN239:AP239)+IF(Setup!$I$15="No",0,AQ239))</f>
        <v/>
      </c>
      <c r="AS239" s="191"/>
      <c r="AT239" s="191"/>
      <c r="AU239" s="191"/>
      <c r="AV239" s="191"/>
      <c r="AW239" s="254" t="str">
        <f>IF(COUNTBLANK(AS239:AV239)=4,"",SUM(AS239:AU239)+IF(Setup!$I$15="No",0,AV239))</f>
        <v/>
      </c>
      <c r="AX239" s="191"/>
      <c r="AY239" s="191"/>
      <c r="AZ239" s="191"/>
      <c r="BA239" s="191"/>
      <c r="BB239" s="254" t="str">
        <f>IF(COUNTBLANK(AX239:BA239)=4,"",SUM(AX239:AZ239)+IF(Setup!$I$15="No",0,BA239))</f>
        <v/>
      </c>
      <c r="BC239" s="258" t="str">
        <f ca="1">IF('Demand background (hide)'!A230=Num_Modalities,"",SUM(Demand!I239))</f>
        <v/>
      </c>
      <c r="BD239" s="258" t="str">
        <f ca="1">IF(AND(A239&lt;=MaxRows,BE239&lt;&gt;"Yes"),'Demand background (hide)'!X230+IF(Setup!$I$15="Yes",'Demand background (hide)'!AJ230,0),"")</f>
        <v/>
      </c>
      <c r="BE239" s="208"/>
    </row>
    <row r="240" spans="1:57" ht="15" x14ac:dyDescent="0.25">
      <c r="A240" t="str">
        <f t="shared" ca="1" si="12"/>
        <v/>
      </c>
      <c r="B240" s="263" t="str">
        <f t="shared" ca="1" si="13"/>
        <v xml:space="preserve"> </v>
      </c>
      <c r="C240" s="264" t="str">
        <f t="shared" ca="1" si="14"/>
        <v/>
      </c>
      <c r="D240" s="264" t="str">
        <f t="shared" ca="1" si="15"/>
        <v/>
      </c>
      <c r="E240" s="191"/>
      <c r="F240" s="191"/>
      <c r="G240" s="191"/>
      <c r="H240" s="191"/>
      <c r="I240" s="250" t="str">
        <f>IF(COUNTBLANK(E240:H240)=4,"",SUM(E240:G240)+IF(Setup!$I$15="No",0,H240))</f>
        <v/>
      </c>
      <c r="J240" s="191"/>
      <c r="K240" s="191"/>
      <c r="L240" s="191"/>
      <c r="M240" s="191"/>
      <c r="N240" s="254" t="str">
        <f>IF(COUNTBLANK(J240:M240)=4,"",SUM(J240:L240)+IF(Setup!$I$15="No",0,M240))</f>
        <v/>
      </c>
      <c r="O240" s="191"/>
      <c r="P240" s="191"/>
      <c r="Q240" s="191"/>
      <c r="R240" s="191"/>
      <c r="S240" s="254" t="str">
        <f>IF(COUNTBLANK(O240:R240)=4,"",SUM(O240:Q240)+IF(Setup!$I$15="No",0,R240))</f>
        <v/>
      </c>
      <c r="T240" s="191"/>
      <c r="U240" s="191"/>
      <c r="V240" s="191"/>
      <c r="W240" s="191"/>
      <c r="X240" s="254" t="str">
        <f>IF(COUNTBLANK(T240:W240)=4,"",SUM(T240:V240)+IF(Setup!$I$15="No",0,W240))</f>
        <v/>
      </c>
      <c r="Y240" s="191"/>
      <c r="Z240" s="191"/>
      <c r="AA240" s="191"/>
      <c r="AB240" s="191"/>
      <c r="AC240" s="254" t="str">
        <f>IF(COUNTBLANK(Y240:AB240)=4,"",SUM(Y240:AA240)+IF(Setup!$I$15="No",0,AB240))</f>
        <v/>
      </c>
      <c r="AD240" s="191"/>
      <c r="AE240" s="191"/>
      <c r="AF240" s="191"/>
      <c r="AG240" s="191"/>
      <c r="AH240" s="254" t="str">
        <f>IF(COUNTBLANK(AD240:AG240)=4,"",SUM(AD240:AF240)+IF(Setup!$I$15="No",0,AG240))</f>
        <v/>
      </c>
      <c r="AI240" s="191"/>
      <c r="AJ240" s="191"/>
      <c r="AK240" s="191"/>
      <c r="AL240" s="191"/>
      <c r="AM240" s="254" t="str">
        <f>IF(COUNTBLANK(AI240:AL240)=4,"",SUM(AI240:AK240)+IF(Setup!$I$15="No",0,AL240))</f>
        <v/>
      </c>
      <c r="AN240" s="191"/>
      <c r="AO240" s="191"/>
      <c r="AP240" s="191"/>
      <c r="AQ240" s="191"/>
      <c r="AR240" s="254" t="str">
        <f>IF(COUNTBLANK(AN240:AQ240)=4,"",SUM(AN240:AP240)+IF(Setup!$I$15="No",0,AQ240))</f>
        <v/>
      </c>
      <c r="AS240" s="191"/>
      <c r="AT240" s="191"/>
      <c r="AU240" s="191"/>
      <c r="AV240" s="191"/>
      <c r="AW240" s="254" t="str">
        <f>IF(COUNTBLANK(AS240:AV240)=4,"",SUM(AS240:AU240)+IF(Setup!$I$15="No",0,AV240))</f>
        <v/>
      </c>
      <c r="AX240" s="191"/>
      <c r="AY240" s="191"/>
      <c r="AZ240" s="191"/>
      <c r="BA240" s="191"/>
      <c r="BB240" s="254" t="str">
        <f>IF(COUNTBLANK(AX240:BA240)=4,"",SUM(AX240:AZ240)+IF(Setup!$I$15="No",0,BA240))</f>
        <v/>
      </c>
      <c r="BC240" s="258" t="str">
        <f ca="1">IF('Demand background (hide)'!A231=Num_Modalities,"",SUM(Demand!I240))</f>
        <v/>
      </c>
      <c r="BD240" s="258" t="str">
        <f ca="1">IF(AND(A240&lt;=MaxRows,BE240&lt;&gt;"Yes"),'Demand background (hide)'!X231+IF(Setup!$I$15="Yes",'Demand background (hide)'!AJ231,0),"")</f>
        <v/>
      </c>
      <c r="BE240" s="208"/>
    </row>
    <row r="241" spans="1:57" ht="15" x14ac:dyDescent="0.25">
      <c r="A241" t="str">
        <f t="shared" ca="1" si="12"/>
        <v/>
      </c>
      <c r="B241" s="263" t="str">
        <f t="shared" ca="1" si="13"/>
        <v xml:space="preserve"> </v>
      </c>
      <c r="C241" s="264" t="str">
        <f t="shared" ca="1" si="14"/>
        <v/>
      </c>
      <c r="D241" s="264" t="str">
        <f t="shared" ca="1" si="15"/>
        <v/>
      </c>
      <c r="E241" s="191"/>
      <c r="F241" s="191"/>
      <c r="G241" s="191"/>
      <c r="H241" s="191"/>
      <c r="I241" s="250" t="str">
        <f>IF(COUNTBLANK(E241:H241)=4,"",SUM(E241:G241)+IF(Setup!$I$15="No",0,H241))</f>
        <v/>
      </c>
      <c r="J241" s="191"/>
      <c r="K241" s="191"/>
      <c r="L241" s="191"/>
      <c r="M241" s="191"/>
      <c r="N241" s="254" t="str">
        <f>IF(COUNTBLANK(J241:M241)=4,"",SUM(J241:L241)+IF(Setup!$I$15="No",0,M241))</f>
        <v/>
      </c>
      <c r="O241" s="191"/>
      <c r="P241" s="191"/>
      <c r="Q241" s="191"/>
      <c r="R241" s="191"/>
      <c r="S241" s="254" t="str">
        <f>IF(COUNTBLANK(O241:R241)=4,"",SUM(O241:Q241)+IF(Setup!$I$15="No",0,R241))</f>
        <v/>
      </c>
      <c r="T241" s="191"/>
      <c r="U241" s="191"/>
      <c r="V241" s="191"/>
      <c r="W241" s="191"/>
      <c r="X241" s="254" t="str">
        <f>IF(COUNTBLANK(T241:W241)=4,"",SUM(T241:V241)+IF(Setup!$I$15="No",0,W241))</f>
        <v/>
      </c>
      <c r="Y241" s="191"/>
      <c r="Z241" s="191"/>
      <c r="AA241" s="191"/>
      <c r="AB241" s="191"/>
      <c r="AC241" s="254" t="str">
        <f>IF(COUNTBLANK(Y241:AB241)=4,"",SUM(Y241:AA241)+IF(Setup!$I$15="No",0,AB241))</f>
        <v/>
      </c>
      <c r="AD241" s="191"/>
      <c r="AE241" s="191"/>
      <c r="AF241" s="191"/>
      <c r="AG241" s="191"/>
      <c r="AH241" s="254" t="str">
        <f>IF(COUNTBLANK(AD241:AG241)=4,"",SUM(AD241:AF241)+IF(Setup!$I$15="No",0,AG241))</f>
        <v/>
      </c>
      <c r="AI241" s="191"/>
      <c r="AJ241" s="191"/>
      <c r="AK241" s="191"/>
      <c r="AL241" s="191"/>
      <c r="AM241" s="254" t="str">
        <f>IF(COUNTBLANK(AI241:AL241)=4,"",SUM(AI241:AK241)+IF(Setup!$I$15="No",0,AL241))</f>
        <v/>
      </c>
      <c r="AN241" s="191"/>
      <c r="AO241" s="191"/>
      <c r="AP241" s="191"/>
      <c r="AQ241" s="191"/>
      <c r="AR241" s="254" t="str">
        <f>IF(COUNTBLANK(AN241:AQ241)=4,"",SUM(AN241:AP241)+IF(Setup!$I$15="No",0,AQ241))</f>
        <v/>
      </c>
      <c r="AS241" s="191"/>
      <c r="AT241" s="191"/>
      <c r="AU241" s="191"/>
      <c r="AV241" s="191"/>
      <c r="AW241" s="254" t="str">
        <f>IF(COUNTBLANK(AS241:AV241)=4,"",SUM(AS241:AU241)+IF(Setup!$I$15="No",0,AV241))</f>
        <v/>
      </c>
      <c r="AX241" s="191"/>
      <c r="AY241" s="191"/>
      <c r="AZ241" s="191"/>
      <c r="BA241" s="191"/>
      <c r="BB241" s="254" t="str">
        <f>IF(COUNTBLANK(AX241:BA241)=4,"",SUM(AX241:AZ241)+IF(Setup!$I$15="No",0,BA241))</f>
        <v/>
      </c>
      <c r="BC241" s="258" t="str">
        <f ca="1">IF('Demand background (hide)'!A232=Num_Modalities,"",SUM(Demand!I241))</f>
        <v/>
      </c>
      <c r="BD241" s="258" t="str">
        <f ca="1">IF(AND(A241&lt;=MaxRows,BE241&lt;&gt;"Yes"),'Demand background (hide)'!X232+IF(Setup!$I$15="Yes",'Demand background (hide)'!AJ232,0),"")</f>
        <v/>
      </c>
      <c r="BE241" s="208"/>
    </row>
    <row r="242" spans="1:57" ht="15" x14ac:dyDescent="0.25">
      <c r="A242" t="str">
        <f t="shared" ca="1" si="12"/>
        <v/>
      </c>
      <c r="B242" s="263" t="str">
        <f t="shared" ca="1" si="13"/>
        <v xml:space="preserve"> </v>
      </c>
      <c r="C242" s="264" t="str">
        <f t="shared" ca="1" si="14"/>
        <v/>
      </c>
      <c r="D242" s="264" t="str">
        <f t="shared" ca="1" si="15"/>
        <v/>
      </c>
      <c r="E242" s="191"/>
      <c r="F242" s="191"/>
      <c r="G242" s="191"/>
      <c r="H242" s="191"/>
      <c r="I242" s="250" t="str">
        <f>IF(COUNTBLANK(E242:H242)=4,"",SUM(E242:G242)+IF(Setup!$I$15="No",0,H242))</f>
        <v/>
      </c>
      <c r="J242" s="191"/>
      <c r="K242" s="191"/>
      <c r="L242" s="191"/>
      <c r="M242" s="191"/>
      <c r="N242" s="254" t="str">
        <f>IF(COUNTBLANK(J242:M242)=4,"",SUM(J242:L242)+IF(Setup!$I$15="No",0,M242))</f>
        <v/>
      </c>
      <c r="O242" s="191"/>
      <c r="P242" s="191"/>
      <c r="Q242" s="191"/>
      <c r="R242" s="191"/>
      <c r="S242" s="254" t="str">
        <f>IF(COUNTBLANK(O242:R242)=4,"",SUM(O242:Q242)+IF(Setup!$I$15="No",0,R242))</f>
        <v/>
      </c>
      <c r="T242" s="191"/>
      <c r="U242" s="191"/>
      <c r="V242" s="191"/>
      <c r="W242" s="191"/>
      <c r="X242" s="254" t="str">
        <f>IF(COUNTBLANK(T242:W242)=4,"",SUM(T242:V242)+IF(Setup!$I$15="No",0,W242))</f>
        <v/>
      </c>
      <c r="Y242" s="191"/>
      <c r="Z242" s="191"/>
      <c r="AA242" s="191"/>
      <c r="AB242" s="191"/>
      <c r="AC242" s="254" t="str">
        <f>IF(COUNTBLANK(Y242:AB242)=4,"",SUM(Y242:AA242)+IF(Setup!$I$15="No",0,AB242))</f>
        <v/>
      </c>
      <c r="AD242" s="191"/>
      <c r="AE242" s="191"/>
      <c r="AF242" s="191"/>
      <c r="AG242" s="191"/>
      <c r="AH242" s="254" t="str">
        <f>IF(COUNTBLANK(AD242:AG242)=4,"",SUM(AD242:AF242)+IF(Setup!$I$15="No",0,AG242))</f>
        <v/>
      </c>
      <c r="AI242" s="191"/>
      <c r="AJ242" s="191"/>
      <c r="AK242" s="191"/>
      <c r="AL242" s="191"/>
      <c r="AM242" s="254" t="str">
        <f>IF(COUNTBLANK(AI242:AL242)=4,"",SUM(AI242:AK242)+IF(Setup!$I$15="No",0,AL242))</f>
        <v/>
      </c>
      <c r="AN242" s="191"/>
      <c r="AO242" s="191"/>
      <c r="AP242" s="191"/>
      <c r="AQ242" s="191"/>
      <c r="AR242" s="254" t="str">
        <f>IF(COUNTBLANK(AN242:AQ242)=4,"",SUM(AN242:AP242)+IF(Setup!$I$15="No",0,AQ242))</f>
        <v/>
      </c>
      <c r="AS242" s="191"/>
      <c r="AT242" s="191"/>
      <c r="AU242" s="191"/>
      <c r="AV242" s="191"/>
      <c r="AW242" s="254" t="str">
        <f>IF(COUNTBLANK(AS242:AV242)=4,"",SUM(AS242:AU242)+IF(Setup!$I$15="No",0,AV242))</f>
        <v/>
      </c>
      <c r="AX242" s="191"/>
      <c r="AY242" s="191"/>
      <c r="AZ242" s="191"/>
      <c r="BA242" s="191"/>
      <c r="BB242" s="254" t="str">
        <f>IF(COUNTBLANK(AX242:BA242)=4,"",SUM(AX242:AZ242)+IF(Setup!$I$15="No",0,BA242))</f>
        <v/>
      </c>
      <c r="BC242" s="258" t="str">
        <f ca="1">IF('Demand background (hide)'!A233=Num_Modalities,"",SUM(Demand!I242))</f>
        <v/>
      </c>
      <c r="BD242" s="258" t="str">
        <f ca="1">IF(AND(A242&lt;=MaxRows,BE242&lt;&gt;"Yes"),'Demand background (hide)'!X233+IF(Setup!$I$15="Yes",'Demand background (hide)'!AJ233,0),"")</f>
        <v/>
      </c>
      <c r="BE242" s="208"/>
    </row>
    <row r="243" spans="1:57" ht="15" x14ac:dyDescent="0.25">
      <c r="A243" t="str">
        <f t="shared" ca="1" si="12"/>
        <v/>
      </c>
      <c r="B243" s="263" t="str">
        <f t="shared" ca="1" si="13"/>
        <v xml:space="preserve"> </v>
      </c>
      <c r="C243" s="264" t="str">
        <f t="shared" ca="1" si="14"/>
        <v/>
      </c>
      <c r="D243" s="264" t="str">
        <f t="shared" ca="1" si="15"/>
        <v/>
      </c>
      <c r="E243" s="191"/>
      <c r="F243" s="191"/>
      <c r="G243" s="191"/>
      <c r="H243" s="191"/>
      <c r="I243" s="250" t="str">
        <f>IF(COUNTBLANK(E243:H243)=4,"",SUM(E243:G243)+IF(Setup!$I$15="No",0,H243))</f>
        <v/>
      </c>
      <c r="J243" s="191"/>
      <c r="K243" s="191"/>
      <c r="L243" s="191"/>
      <c r="M243" s="191"/>
      <c r="N243" s="254" t="str">
        <f>IF(COUNTBLANK(J243:M243)=4,"",SUM(J243:L243)+IF(Setup!$I$15="No",0,M243))</f>
        <v/>
      </c>
      <c r="O243" s="191"/>
      <c r="P243" s="191"/>
      <c r="Q243" s="191"/>
      <c r="R243" s="191"/>
      <c r="S243" s="254" t="str">
        <f>IF(COUNTBLANK(O243:R243)=4,"",SUM(O243:Q243)+IF(Setup!$I$15="No",0,R243))</f>
        <v/>
      </c>
      <c r="T243" s="191"/>
      <c r="U243" s="191"/>
      <c r="V243" s="191"/>
      <c r="W243" s="191"/>
      <c r="X243" s="254" t="str">
        <f>IF(COUNTBLANK(T243:W243)=4,"",SUM(T243:V243)+IF(Setup!$I$15="No",0,W243))</f>
        <v/>
      </c>
      <c r="Y243" s="191"/>
      <c r="Z243" s="191"/>
      <c r="AA243" s="191"/>
      <c r="AB243" s="191"/>
      <c r="AC243" s="254" t="str">
        <f>IF(COUNTBLANK(Y243:AB243)=4,"",SUM(Y243:AA243)+IF(Setup!$I$15="No",0,AB243))</f>
        <v/>
      </c>
      <c r="AD243" s="191"/>
      <c r="AE243" s="191"/>
      <c r="AF243" s="191"/>
      <c r="AG243" s="191"/>
      <c r="AH243" s="254" t="str">
        <f>IF(COUNTBLANK(AD243:AG243)=4,"",SUM(AD243:AF243)+IF(Setup!$I$15="No",0,AG243))</f>
        <v/>
      </c>
      <c r="AI243" s="191"/>
      <c r="AJ243" s="191"/>
      <c r="AK243" s="191"/>
      <c r="AL243" s="191"/>
      <c r="AM243" s="254" t="str">
        <f>IF(COUNTBLANK(AI243:AL243)=4,"",SUM(AI243:AK243)+IF(Setup!$I$15="No",0,AL243))</f>
        <v/>
      </c>
      <c r="AN243" s="191"/>
      <c r="AO243" s="191"/>
      <c r="AP243" s="191"/>
      <c r="AQ243" s="191"/>
      <c r="AR243" s="254" t="str">
        <f>IF(COUNTBLANK(AN243:AQ243)=4,"",SUM(AN243:AP243)+IF(Setup!$I$15="No",0,AQ243))</f>
        <v/>
      </c>
      <c r="AS243" s="191"/>
      <c r="AT243" s="191"/>
      <c r="AU243" s="191"/>
      <c r="AV243" s="191"/>
      <c r="AW243" s="254" t="str">
        <f>IF(COUNTBLANK(AS243:AV243)=4,"",SUM(AS243:AU243)+IF(Setup!$I$15="No",0,AV243))</f>
        <v/>
      </c>
      <c r="AX243" s="191"/>
      <c r="AY243" s="191"/>
      <c r="AZ243" s="191"/>
      <c r="BA243" s="191"/>
      <c r="BB243" s="254" t="str">
        <f>IF(COUNTBLANK(AX243:BA243)=4,"",SUM(AX243:AZ243)+IF(Setup!$I$15="No",0,BA243))</f>
        <v/>
      </c>
      <c r="BC243" s="258" t="str">
        <f ca="1">IF('Demand background (hide)'!A234=Num_Modalities,"",SUM(Demand!I243))</f>
        <v/>
      </c>
      <c r="BD243" s="258" t="str">
        <f ca="1">IF(AND(A243&lt;=MaxRows,BE243&lt;&gt;"Yes"),'Demand background (hide)'!X234+IF(Setup!$I$15="Yes",'Demand background (hide)'!AJ234,0),"")</f>
        <v/>
      </c>
      <c r="BE243" s="208"/>
    </row>
    <row r="244" spans="1:57" ht="15" x14ac:dyDescent="0.25">
      <c r="A244" t="str">
        <f t="shared" ca="1" si="12"/>
        <v/>
      </c>
      <c r="B244" s="263" t="str">
        <f t="shared" ca="1" si="13"/>
        <v xml:space="preserve"> </v>
      </c>
      <c r="C244" s="264" t="str">
        <f t="shared" ca="1" si="14"/>
        <v/>
      </c>
      <c r="D244" s="264" t="str">
        <f t="shared" ca="1" si="15"/>
        <v/>
      </c>
      <c r="E244" s="191"/>
      <c r="F244" s="191"/>
      <c r="G244" s="191"/>
      <c r="H244" s="191"/>
      <c r="I244" s="250" t="str">
        <f>IF(COUNTBLANK(E244:H244)=4,"",SUM(E244:G244)+IF(Setup!$I$15="No",0,H244))</f>
        <v/>
      </c>
      <c r="J244" s="191"/>
      <c r="K244" s="191"/>
      <c r="L244" s="191"/>
      <c r="M244" s="191"/>
      <c r="N244" s="254" t="str">
        <f>IF(COUNTBLANK(J244:M244)=4,"",SUM(J244:L244)+IF(Setup!$I$15="No",0,M244))</f>
        <v/>
      </c>
      <c r="O244" s="191"/>
      <c r="P244" s="191"/>
      <c r="Q244" s="191"/>
      <c r="R244" s="191"/>
      <c r="S244" s="254" t="str">
        <f>IF(COUNTBLANK(O244:R244)=4,"",SUM(O244:Q244)+IF(Setup!$I$15="No",0,R244))</f>
        <v/>
      </c>
      <c r="T244" s="191"/>
      <c r="U244" s="191"/>
      <c r="V244" s="191"/>
      <c r="W244" s="191"/>
      <c r="X244" s="254" t="str">
        <f>IF(COUNTBLANK(T244:W244)=4,"",SUM(T244:V244)+IF(Setup!$I$15="No",0,W244))</f>
        <v/>
      </c>
      <c r="Y244" s="191"/>
      <c r="Z244" s="191"/>
      <c r="AA244" s="191"/>
      <c r="AB244" s="191"/>
      <c r="AC244" s="254" t="str">
        <f>IF(COUNTBLANK(Y244:AB244)=4,"",SUM(Y244:AA244)+IF(Setup!$I$15="No",0,AB244))</f>
        <v/>
      </c>
      <c r="AD244" s="191"/>
      <c r="AE244" s="191"/>
      <c r="AF244" s="191"/>
      <c r="AG244" s="191"/>
      <c r="AH244" s="254" t="str">
        <f>IF(COUNTBLANK(AD244:AG244)=4,"",SUM(AD244:AF244)+IF(Setup!$I$15="No",0,AG244))</f>
        <v/>
      </c>
      <c r="AI244" s="191"/>
      <c r="AJ244" s="191"/>
      <c r="AK244" s="191"/>
      <c r="AL244" s="191"/>
      <c r="AM244" s="254" t="str">
        <f>IF(COUNTBLANK(AI244:AL244)=4,"",SUM(AI244:AK244)+IF(Setup!$I$15="No",0,AL244))</f>
        <v/>
      </c>
      <c r="AN244" s="191"/>
      <c r="AO244" s="191"/>
      <c r="AP244" s="191"/>
      <c r="AQ244" s="191"/>
      <c r="AR244" s="254" t="str">
        <f>IF(COUNTBLANK(AN244:AQ244)=4,"",SUM(AN244:AP244)+IF(Setup!$I$15="No",0,AQ244))</f>
        <v/>
      </c>
      <c r="AS244" s="191"/>
      <c r="AT244" s="191"/>
      <c r="AU244" s="191"/>
      <c r="AV244" s="191"/>
      <c r="AW244" s="254" t="str">
        <f>IF(COUNTBLANK(AS244:AV244)=4,"",SUM(AS244:AU244)+IF(Setup!$I$15="No",0,AV244))</f>
        <v/>
      </c>
      <c r="AX244" s="191"/>
      <c r="AY244" s="191"/>
      <c r="AZ244" s="191"/>
      <c r="BA244" s="191"/>
      <c r="BB244" s="254" t="str">
        <f>IF(COUNTBLANK(AX244:BA244)=4,"",SUM(AX244:AZ244)+IF(Setup!$I$15="No",0,BA244))</f>
        <v/>
      </c>
      <c r="BC244" s="258" t="str">
        <f ca="1">IF('Demand background (hide)'!A235=Num_Modalities,"",SUM(Demand!I244))</f>
        <v/>
      </c>
      <c r="BD244" s="258" t="str">
        <f ca="1">IF(AND(A244&lt;=MaxRows,BE244&lt;&gt;"Yes"),'Demand background (hide)'!X235+IF(Setup!$I$15="Yes",'Demand background (hide)'!AJ235,0),"")</f>
        <v/>
      </c>
      <c r="BE244" s="208"/>
    </row>
    <row r="245" spans="1:57" ht="15" x14ac:dyDescent="0.25">
      <c r="A245" t="str">
        <f t="shared" ca="1" si="12"/>
        <v/>
      </c>
      <c r="B245" s="263" t="str">
        <f t="shared" ca="1" si="13"/>
        <v xml:space="preserve"> </v>
      </c>
      <c r="C245" s="264" t="str">
        <f t="shared" ca="1" si="14"/>
        <v/>
      </c>
      <c r="D245" s="264" t="str">
        <f t="shared" ca="1" si="15"/>
        <v/>
      </c>
      <c r="E245" s="191"/>
      <c r="F245" s="191"/>
      <c r="G245" s="191"/>
      <c r="H245" s="191"/>
      <c r="I245" s="250" t="str">
        <f>IF(COUNTBLANK(E245:H245)=4,"",SUM(E245:G245)+IF(Setup!$I$15="No",0,H245))</f>
        <v/>
      </c>
      <c r="J245" s="191"/>
      <c r="K245" s="191"/>
      <c r="L245" s="191"/>
      <c r="M245" s="191"/>
      <c r="N245" s="254" t="str">
        <f>IF(COUNTBLANK(J245:M245)=4,"",SUM(J245:L245)+IF(Setup!$I$15="No",0,M245))</f>
        <v/>
      </c>
      <c r="O245" s="191"/>
      <c r="P245" s="191"/>
      <c r="Q245" s="191"/>
      <c r="R245" s="191"/>
      <c r="S245" s="254" t="str">
        <f>IF(COUNTBLANK(O245:R245)=4,"",SUM(O245:Q245)+IF(Setup!$I$15="No",0,R245))</f>
        <v/>
      </c>
      <c r="T245" s="191"/>
      <c r="U245" s="191"/>
      <c r="V245" s="191"/>
      <c r="W245" s="191"/>
      <c r="X245" s="254" t="str">
        <f>IF(COUNTBLANK(T245:W245)=4,"",SUM(T245:V245)+IF(Setup!$I$15="No",0,W245))</f>
        <v/>
      </c>
      <c r="Y245" s="191"/>
      <c r="Z245" s="191"/>
      <c r="AA245" s="191"/>
      <c r="AB245" s="191"/>
      <c r="AC245" s="254" t="str">
        <f>IF(COUNTBLANK(Y245:AB245)=4,"",SUM(Y245:AA245)+IF(Setup!$I$15="No",0,AB245))</f>
        <v/>
      </c>
      <c r="AD245" s="191"/>
      <c r="AE245" s="191"/>
      <c r="AF245" s="191"/>
      <c r="AG245" s="191"/>
      <c r="AH245" s="254" t="str">
        <f>IF(COUNTBLANK(AD245:AG245)=4,"",SUM(AD245:AF245)+IF(Setup!$I$15="No",0,AG245))</f>
        <v/>
      </c>
      <c r="AI245" s="191"/>
      <c r="AJ245" s="191"/>
      <c r="AK245" s="191"/>
      <c r="AL245" s="191"/>
      <c r="AM245" s="254" t="str">
        <f>IF(COUNTBLANK(AI245:AL245)=4,"",SUM(AI245:AK245)+IF(Setup!$I$15="No",0,AL245))</f>
        <v/>
      </c>
      <c r="AN245" s="191"/>
      <c r="AO245" s="191"/>
      <c r="AP245" s="191"/>
      <c r="AQ245" s="191"/>
      <c r="AR245" s="254" t="str">
        <f>IF(COUNTBLANK(AN245:AQ245)=4,"",SUM(AN245:AP245)+IF(Setup!$I$15="No",0,AQ245))</f>
        <v/>
      </c>
      <c r="AS245" s="191"/>
      <c r="AT245" s="191"/>
      <c r="AU245" s="191"/>
      <c r="AV245" s="191"/>
      <c r="AW245" s="254" t="str">
        <f>IF(COUNTBLANK(AS245:AV245)=4,"",SUM(AS245:AU245)+IF(Setup!$I$15="No",0,AV245))</f>
        <v/>
      </c>
      <c r="AX245" s="191"/>
      <c r="AY245" s="191"/>
      <c r="AZ245" s="191"/>
      <c r="BA245" s="191"/>
      <c r="BB245" s="254" t="str">
        <f>IF(COUNTBLANK(AX245:BA245)=4,"",SUM(AX245:AZ245)+IF(Setup!$I$15="No",0,BA245))</f>
        <v/>
      </c>
      <c r="BC245" s="258" t="str">
        <f ca="1">IF('Demand background (hide)'!A236=Num_Modalities,"",SUM(Demand!I245))</f>
        <v/>
      </c>
      <c r="BD245" s="258" t="str">
        <f ca="1">IF(AND(A245&lt;=MaxRows,BE245&lt;&gt;"Yes"),'Demand background (hide)'!X236+IF(Setup!$I$15="Yes",'Demand background (hide)'!AJ236,0),"")</f>
        <v/>
      </c>
      <c r="BE245" s="208"/>
    </row>
    <row r="246" spans="1:57" ht="15" x14ac:dyDescent="0.25">
      <c r="A246" t="str">
        <f t="shared" ca="1" si="12"/>
        <v/>
      </c>
      <c r="B246" s="263" t="str">
        <f t="shared" ca="1" si="13"/>
        <v xml:space="preserve"> </v>
      </c>
      <c r="C246" s="264" t="str">
        <f t="shared" ca="1" si="14"/>
        <v/>
      </c>
      <c r="D246" s="264" t="str">
        <f t="shared" ca="1" si="15"/>
        <v/>
      </c>
      <c r="E246" s="191"/>
      <c r="F246" s="191"/>
      <c r="G246" s="191"/>
      <c r="H246" s="191"/>
      <c r="I246" s="250" t="str">
        <f>IF(COUNTBLANK(E246:H246)=4,"",SUM(E246:G246)+IF(Setup!$I$15="No",0,H246))</f>
        <v/>
      </c>
      <c r="J246" s="191"/>
      <c r="K246" s="191"/>
      <c r="L246" s="191"/>
      <c r="M246" s="191"/>
      <c r="N246" s="254" t="str">
        <f>IF(COUNTBLANK(J246:M246)=4,"",SUM(J246:L246)+IF(Setup!$I$15="No",0,M246))</f>
        <v/>
      </c>
      <c r="O246" s="191"/>
      <c r="P246" s="191"/>
      <c r="Q246" s="191"/>
      <c r="R246" s="191"/>
      <c r="S246" s="254" t="str">
        <f>IF(COUNTBLANK(O246:R246)=4,"",SUM(O246:Q246)+IF(Setup!$I$15="No",0,R246))</f>
        <v/>
      </c>
      <c r="T246" s="191"/>
      <c r="U246" s="191"/>
      <c r="V246" s="191"/>
      <c r="W246" s="191"/>
      <c r="X246" s="254" t="str">
        <f>IF(COUNTBLANK(T246:W246)=4,"",SUM(T246:V246)+IF(Setup!$I$15="No",0,W246))</f>
        <v/>
      </c>
      <c r="Y246" s="191"/>
      <c r="Z246" s="191"/>
      <c r="AA246" s="191"/>
      <c r="AB246" s="191"/>
      <c r="AC246" s="254" t="str">
        <f>IF(COUNTBLANK(Y246:AB246)=4,"",SUM(Y246:AA246)+IF(Setup!$I$15="No",0,AB246))</f>
        <v/>
      </c>
      <c r="AD246" s="191"/>
      <c r="AE246" s="191"/>
      <c r="AF246" s="191"/>
      <c r="AG246" s="191"/>
      <c r="AH246" s="254" t="str">
        <f>IF(COUNTBLANK(AD246:AG246)=4,"",SUM(AD246:AF246)+IF(Setup!$I$15="No",0,AG246))</f>
        <v/>
      </c>
      <c r="AI246" s="191"/>
      <c r="AJ246" s="191"/>
      <c r="AK246" s="191"/>
      <c r="AL246" s="191"/>
      <c r="AM246" s="254" t="str">
        <f>IF(COUNTBLANK(AI246:AL246)=4,"",SUM(AI246:AK246)+IF(Setup!$I$15="No",0,AL246))</f>
        <v/>
      </c>
      <c r="AN246" s="191"/>
      <c r="AO246" s="191"/>
      <c r="AP246" s="191"/>
      <c r="AQ246" s="191"/>
      <c r="AR246" s="254" t="str">
        <f>IF(COUNTBLANK(AN246:AQ246)=4,"",SUM(AN246:AP246)+IF(Setup!$I$15="No",0,AQ246))</f>
        <v/>
      </c>
      <c r="AS246" s="191"/>
      <c r="AT246" s="191"/>
      <c r="AU246" s="191"/>
      <c r="AV246" s="191"/>
      <c r="AW246" s="254" t="str">
        <f>IF(COUNTBLANK(AS246:AV246)=4,"",SUM(AS246:AU246)+IF(Setup!$I$15="No",0,AV246))</f>
        <v/>
      </c>
      <c r="AX246" s="191"/>
      <c r="AY246" s="191"/>
      <c r="AZ246" s="191"/>
      <c r="BA246" s="191"/>
      <c r="BB246" s="254" t="str">
        <f>IF(COUNTBLANK(AX246:BA246)=4,"",SUM(AX246:AZ246)+IF(Setup!$I$15="No",0,BA246))</f>
        <v/>
      </c>
      <c r="BC246" s="258" t="str">
        <f ca="1">IF('Demand background (hide)'!A237=Num_Modalities,"",SUM(Demand!I246))</f>
        <v/>
      </c>
      <c r="BD246" s="258" t="str">
        <f ca="1">IF(AND(A246&lt;=MaxRows,BE246&lt;&gt;"Yes"),'Demand background (hide)'!X237+IF(Setup!$I$15="Yes",'Demand background (hide)'!AJ237,0),"")</f>
        <v/>
      </c>
      <c r="BE246" s="208"/>
    </row>
    <row r="247" spans="1:57" ht="15" x14ac:dyDescent="0.25">
      <c r="A247" t="str">
        <f t="shared" ca="1" si="12"/>
        <v/>
      </c>
      <c r="B247" s="263" t="str">
        <f t="shared" ca="1" si="13"/>
        <v xml:space="preserve"> </v>
      </c>
      <c r="C247" s="264" t="str">
        <f t="shared" ca="1" si="14"/>
        <v/>
      </c>
      <c r="D247" s="264" t="str">
        <f t="shared" ca="1" si="15"/>
        <v/>
      </c>
      <c r="E247" s="191"/>
      <c r="F247" s="191"/>
      <c r="G247" s="191"/>
      <c r="H247" s="191"/>
      <c r="I247" s="250" t="str">
        <f>IF(COUNTBLANK(E247:H247)=4,"",SUM(E247:G247)+IF(Setup!$I$15="No",0,H247))</f>
        <v/>
      </c>
      <c r="J247" s="191"/>
      <c r="K247" s="191"/>
      <c r="L247" s="191"/>
      <c r="M247" s="191"/>
      <c r="N247" s="254" t="str">
        <f>IF(COUNTBLANK(J247:M247)=4,"",SUM(J247:L247)+IF(Setup!$I$15="No",0,M247))</f>
        <v/>
      </c>
      <c r="O247" s="191"/>
      <c r="P247" s="191"/>
      <c r="Q247" s="191"/>
      <c r="R247" s="191"/>
      <c r="S247" s="254" t="str">
        <f>IF(COUNTBLANK(O247:R247)=4,"",SUM(O247:Q247)+IF(Setup!$I$15="No",0,R247))</f>
        <v/>
      </c>
      <c r="T247" s="191"/>
      <c r="U247" s="191"/>
      <c r="V247" s="191"/>
      <c r="W247" s="191"/>
      <c r="X247" s="254" t="str">
        <f>IF(COUNTBLANK(T247:W247)=4,"",SUM(T247:V247)+IF(Setup!$I$15="No",0,W247))</f>
        <v/>
      </c>
      <c r="Y247" s="191"/>
      <c r="Z247" s="191"/>
      <c r="AA247" s="191"/>
      <c r="AB247" s="191"/>
      <c r="AC247" s="254" t="str">
        <f>IF(COUNTBLANK(Y247:AB247)=4,"",SUM(Y247:AA247)+IF(Setup!$I$15="No",0,AB247))</f>
        <v/>
      </c>
      <c r="AD247" s="191"/>
      <c r="AE247" s="191"/>
      <c r="AF247" s="191"/>
      <c r="AG247" s="191"/>
      <c r="AH247" s="254" t="str">
        <f>IF(COUNTBLANK(AD247:AG247)=4,"",SUM(AD247:AF247)+IF(Setup!$I$15="No",0,AG247))</f>
        <v/>
      </c>
      <c r="AI247" s="191"/>
      <c r="AJ247" s="191"/>
      <c r="AK247" s="191"/>
      <c r="AL247" s="191"/>
      <c r="AM247" s="254" t="str">
        <f>IF(COUNTBLANK(AI247:AL247)=4,"",SUM(AI247:AK247)+IF(Setup!$I$15="No",0,AL247))</f>
        <v/>
      </c>
      <c r="AN247" s="191"/>
      <c r="AO247" s="191"/>
      <c r="AP247" s="191"/>
      <c r="AQ247" s="191"/>
      <c r="AR247" s="254" t="str">
        <f>IF(COUNTBLANK(AN247:AQ247)=4,"",SUM(AN247:AP247)+IF(Setup!$I$15="No",0,AQ247))</f>
        <v/>
      </c>
      <c r="AS247" s="191"/>
      <c r="AT247" s="191"/>
      <c r="AU247" s="191"/>
      <c r="AV247" s="191"/>
      <c r="AW247" s="254" t="str">
        <f>IF(COUNTBLANK(AS247:AV247)=4,"",SUM(AS247:AU247)+IF(Setup!$I$15="No",0,AV247))</f>
        <v/>
      </c>
      <c r="AX247" s="191"/>
      <c r="AY247" s="191"/>
      <c r="AZ247" s="191"/>
      <c r="BA247" s="191"/>
      <c r="BB247" s="254" t="str">
        <f>IF(COUNTBLANK(AX247:BA247)=4,"",SUM(AX247:AZ247)+IF(Setup!$I$15="No",0,BA247))</f>
        <v/>
      </c>
      <c r="BC247" s="258" t="str">
        <f ca="1">IF('Demand background (hide)'!A238=Num_Modalities,"",SUM(Demand!I247))</f>
        <v/>
      </c>
      <c r="BD247" s="258" t="str">
        <f ca="1">IF(AND(A247&lt;=MaxRows,BE247&lt;&gt;"Yes"),'Demand background (hide)'!X238+IF(Setup!$I$15="Yes",'Demand background (hide)'!AJ238,0),"")</f>
        <v/>
      </c>
      <c r="BE247" s="208"/>
    </row>
    <row r="248" spans="1:57" ht="15" x14ac:dyDescent="0.25">
      <c r="A248" t="str">
        <f t="shared" ca="1" si="12"/>
        <v/>
      </c>
      <c r="B248" s="263" t="str">
        <f t="shared" ca="1" si="13"/>
        <v xml:space="preserve"> </v>
      </c>
      <c r="C248" s="264" t="str">
        <f t="shared" ca="1" si="14"/>
        <v/>
      </c>
      <c r="D248" s="264" t="str">
        <f t="shared" ca="1" si="15"/>
        <v/>
      </c>
      <c r="E248" s="191"/>
      <c r="F248" s="191"/>
      <c r="G248" s="191"/>
      <c r="H248" s="191"/>
      <c r="I248" s="250" t="str">
        <f>IF(COUNTBLANK(E248:H248)=4,"",SUM(E248:G248)+IF(Setup!$I$15="No",0,H248))</f>
        <v/>
      </c>
      <c r="J248" s="191"/>
      <c r="K248" s="191"/>
      <c r="L248" s="191"/>
      <c r="M248" s="191"/>
      <c r="N248" s="254" t="str">
        <f>IF(COUNTBLANK(J248:M248)=4,"",SUM(J248:L248)+IF(Setup!$I$15="No",0,M248))</f>
        <v/>
      </c>
      <c r="O248" s="191"/>
      <c r="P248" s="191"/>
      <c r="Q248" s="191"/>
      <c r="R248" s="191"/>
      <c r="S248" s="254" t="str">
        <f>IF(COUNTBLANK(O248:R248)=4,"",SUM(O248:Q248)+IF(Setup!$I$15="No",0,R248))</f>
        <v/>
      </c>
      <c r="T248" s="191"/>
      <c r="U248" s="191"/>
      <c r="V248" s="191"/>
      <c r="W248" s="191"/>
      <c r="X248" s="254" t="str">
        <f>IF(COUNTBLANK(T248:W248)=4,"",SUM(T248:V248)+IF(Setup!$I$15="No",0,W248))</f>
        <v/>
      </c>
      <c r="Y248" s="191"/>
      <c r="Z248" s="191"/>
      <c r="AA248" s="191"/>
      <c r="AB248" s="191"/>
      <c r="AC248" s="254" t="str">
        <f>IF(COUNTBLANK(Y248:AB248)=4,"",SUM(Y248:AA248)+IF(Setup!$I$15="No",0,AB248))</f>
        <v/>
      </c>
      <c r="AD248" s="191"/>
      <c r="AE248" s="191"/>
      <c r="AF248" s="191"/>
      <c r="AG248" s="191"/>
      <c r="AH248" s="254" t="str">
        <f>IF(COUNTBLANK(AD248:AG248)=4,"",SUM(AD248:AF248)+IF(Setup!$I$15="No",0,AG248))</f>
        <v/>
      </c>
      <c r="AI248" s="191"/>
      <c r="AJ248" s="191"/>
      <c r="AK248" s="191"/>
      <c r="AL248" s="191"/>
      <c r="AM248" s="254" t="str">
        <f>IF(COUNTBLANK(AI248:AL248)=4,"",SUM(AI248:AK248)+IF(Setup!$I$15="No",0,AL248))</f>
        <v/>
      </c>
      <c r="AN248" s="191"/>
      <c r="AO248" s="191"/>
      <c r="AP248" s="191"/>
      <c r="AQ248" s="191"/>
      <c r="AR248" s="254" t="str">
        <f>IF(COUNTBLANK(AN248:AQ248)=4,"",SUM(AN248:AP248)+IF(Setup!$I$15="No",0,AQ248))</f>
        <v/>
      </c>
      <c r="AS248" s="191"/>
      <c r="AT248" s="191"/>
      <c r="AU248" s="191"/>
      <c r="AV248" s="191"/>
      <c r="AW248" s="254" t="str">
        <f>IF(COUNTBLANK(AS248:AV248)=4,"",SUM(AS248:AU248)+IF(Setup!$I$15="No",0,AV248))</f>
        <v/>
      </c>
      <c r="AX248" s="191"/>
      <c r="AY248" s="191"/>
      <c r="AZ248" s="191"/>
      <c r="BA248" s="191"/>
      <c r="BB248" s="254" t="str">
        <f>IF(COUNTBLANK(AX248:BA248)=4,"",SUM(AX248:AZ248)+IF(Setup!$I$15="No",0,BA248))</f>
        <v/>
      </c>
      <c r="BC248" s="258" t="str">
        <f ca="1">IF('Demand background (hide)'!A239=Num_Modalities,"",SUM(Demand!I248))</f>
        <v/>
      </c>
      <c r="BD248" s="258" t="str">
        <f ca="1">IF(AND(A248&lt;=MaxRows,BE248&lt;&gt;"Yes"),'Demand background (hide)'!X239+IF(Setup!$I$15="Yes",'Demand background (hide)'!AJ239,0),"")</f>
        <v/>
      </c>
      <c r="BE248" s="208"/>
    </row>
    <row r="249" spans="1:57" ht="15" x14ac:dyDescent="0.25">
      <c r="A249" t="str">
        <f t="shared" ca="1" si="12"/>
        <v/>
      </c>
      <c r="B249" s="263" t="str">
        <f t="shared" ca="1" si="13"/>
        <v xml:space="preserve"> </v>
      </c>
      <c r="C249" s="264" t="str">
        <f t="shared" ca="1" si="14"/>
        <v/>
      </c>
      <c r="D249" s="264" t="str">
        <f t="shared" ca="1" si="15"/>
        <v/>
      </c>
      <c r="E249" s="191"/>
      <c r="F249" s="191"/>
      <c r="G249" s="191"/>
      <c r="H249" s="191"/>
      <c r="I249" s="250" t="str">
        <f>IF(COUNTBLANK(E249:H249)=4,"",SUM(E249:G249)+IF(Setup!$I$15="No",0,H249))</f>
        <v/>
      </c>
      <c r="J249" s="191"/>
      <c r="K249" s="191"/>
      <c r="L249" s="191"/>
      <c r="M249" s="191"/>
      <c r="N249" s="254" t="str">
        <f>IF(COUNTBLANK(J249:M249)=4,"",SUM(J249:L249)+IF(Setup!$I$15="No",0,M249))</f>
        <v/>
      </c>
      <c r="O249" s="191"/>
      <c r="P249" s="191"/>
      <c r="Q249" s="191"/>
      <c r="R249" s="191"/>
      <c r="S249" s="254" t="str">
        <f>IF(COUNTBLANK(O249:R249)=4,"",SUM(O249:Q249)+IF(Setup!$I$15="No",0,R249))</f>
        <v/>
      </c>
      <c r="T249" s="191"/>
      <c r="U249" s="191"/>
      <c r="V249" s="191"/>
      <c r="W249" s="191"/>
      <c r="X249" s="254" t="str">
        <f>IF(COUNTBLANK(T249:W249)=4,"",SUM(T249:V249)+IF(Setup!$I$15="No",0,W249))</f>
        <v/>
      </c>
      <c r="Y249" s="191"/>
      <c r="Z249" s="191"/>
      <c r="AA249" s="191"/>
      <c r="AB249" s="191"/>
      <c r="AC249" s="254" t="str">
        <f>IF(COUNTBLANK(Y249:AB249)=4,"",SUM(Y249:AA249)+IF(Setup!$I$15="No",0,AB249))</f>
        <v/>
      </c>
      <c r="AD249" s="191"/>
      <c r="AE249" s="191"/>
      <c r="AF249" s="191"/>
      <c r="AG249" s="191"/>
      <c r="AH249" s="254" t="str">
        <f>IF(COUNTBLANK(AD249:AG249)=4,"",SUM(AD249:AF249)+IF(Setup!$I$15="No",0,AG249))</f>
        <v/>
      </c>
      <c r="AI249" s="191"/>
      <c r="AJ249" s="191"/>
      <c r="AK249" s="191"/>
      <c r="AL249" s="191"/>
      <c r="AM249" s="254" t="str">
        <f>IF(COUNTBLANK(AI249:AL249)=4,"",SUM(AI249:AK249)+IF(Setup!$I$15="No",0,AL249))</f>
        <v/>
      </c>
      <c r="AN249" s="191"/>
      <c r="AO249" s="191"/>
      <c r="AP249" s="191"/>
      <c r="AQ249" s="191"/>
      <c r="AR249" s="254" t="str">
        <f>IF(COUNTBLANK(AN249:AQ249)=4,"",SUM(AN249:AP249)+IF(Setup!$I$15="No",0,AQ249))</f>
        <v/>
      </c>
      <c r="AS249" s="191"/>
      <c r="AT249" s="191"/>
      <c r="AU249" s="191"/>
      <c r="AV249" s="191"/>
      <c r="AW249" s="254" t="str">
        <f>IF(COUNTBLANK(AS249:AV249)=4,"",SUM(AS249:AU249)+IF(Setup!$I$15="No",0,AV249))</f>
        <v/>
      </c>
      <c r="AX249" s="191"/>
      <c r="AY249" s="191"/>
      <c r="AZ249" s="191"/>
      <c r="BA249" s="191"/>
      <c r="BB249" s="254" t="str">
        <f>IF(COUNTBLANK(AX249:BA249)=4,"",SUM(AX249:AZ249)+IF(Setup!$I$15="No",0,BA249))</f>
        <v/>
      </c>
      <c r="BC249" s="258" t="str">
        <f ca="1">IF('Demand background (hide)'!A240=Num_Modalities,"",SUM(Demand!I249))</f>
        <v/>
      </c>
      <c r="BD249" s="258" t="str">
        <f ca="1">IF(AND(A249&lt;=MaxRows,BE249&lt;&gt;"Yes"),'Demand background (hide)'!X240+IF(Setup!$I$15="Yes",'Demand background (hide)'!AJ240,0),"")</f>
        <v/>
      </c>
      <c r="BE249" s="208"/>
    </row>
    <row r="250" spans="1:57" ht="15" x14ac:dyDescent="0.25">
      <c r="A250" t="str">
        <f t="shared" ca="1" si="12"/>
        <v/>
      </c>
      <c r="B250" s="263" t="str">
        <f t="shared" ca="1" si="13"/>
        <v xml:space="preserve"> </v>
      </c>
      <c r="C250" s="264" t="str">
        <f t="shared" ca="1" si="14"/>
        <v/>
      </c>
      <c r="D250" s="264" t="str">
        <f t="shared" ca="1" si="15"/>
        <v/>
      </c>
      <c r="E250" s="191"/>
      <c r="F250" s="191"/>
      <c r="G250" s="191"/>
      <c r="H250" s="191"/>
      <c r="I250" s="250" t="str">
        <f>IF(COUNTBLANK(E250:H250)=4,"",SUM(E250:G250)+IF(Setup!$I$15="No",0,H250))</f>
        <v/>
      </c>
      <c r="J250" s="191"/>
      <c r="K250" s="191"/>
      <c r="L250" s="191"/>
      <c r="M250" s="191"/>
      <c r="N250" s="254" t="str">
        <f>IF(COUNTBLANK(J250:M250)=4,"",SUM(J250:L250)+IF(Setup!$I$15="No",0,M250))</f>
        <v/>
      </c>
      <c r="O250" s="191"/>
      <c r="P250" s="191"/>
      <c r="Q250" s="191"/>
      <c r="R250" s="191"/>
      <c r="S250" s="254" t="str">
        <f>IF(COUNTBLANK(O250:R250)=4,"",SUM(O250:Q250)+IF(Setup!$I$15="No",0,R250))</f>
        <v/>
      </c>
      <c r="T250" s="191"/>
      <c r="U250" s="191"/>
      <c r="V250" s="191"/>
      <c r="W250" s="191"/>
      <c r="X250" s="254" t="str">
        <f>IF(COUNTBLANK(T250:W250)=4,"",SUM(T250:V250)+IF(Setup!$I$15="No",0,W250))</f>
        <v/>
      </c>
      <c r="Y250" s="191"/>
      <c r="Z250" s="191"/>
      <c r="AA250" s="191"/>
      <c r="AB250" s="191"/>
      <c r="AC250" s="254" t="str">
        <f>IF(COUNTBLANK(Y250:AB250)=4,"",SUM(Y250:AA250)+IF(Setup!$I$15="No",0,AB250))</f>
        <v/>
      </c>
      <c r="AD250" s="191"/>
      <c r="AE250" s="191"/>
      <c r="AF250" s="191"/>
      <c r="AG250" s="191"/>
      <c r="AH250" s="254" t="str">
        <f>IF(COUNTBLANK(AD250:AG250)=4,"",SUM(AD250:AF250)+IF(Setup!$I$15="No",0,AG250))</f>
        <v/>
      </c>
      <c r="AI250" s="191"/>
      <c r="AJ250" s="191"/>
      <c r="AK250" s="191"/>
      <c r="AL250" s="191"/>
      <c r="AM250" s="254" t="str">
        <f>IF(COUNTBLANK(AI250:AL250)=4,"",SUM(AI250:AK250)+IF(Setup!$I$15="No",0,AL250))</f>
        <v/>
      </c>
      <c r="AN250" s="191"/>
      <c r="AO250" s="191"/>
      <c r="AP250" s="191"/>
      <c r="AQ250" s="191"/>
      <c r="AR250" s="254" t="str">
        <f>IF(COUNTBLANK(AN250:AQ250)=4,"",SUM(AN250:AP250)+IF(Setup!$I$15="No",0,AQ250))</f>
        <v/>
      </c>
      <c r="AS250" s="191"/>
      <c r="AT250" s="191"/>
      <c r="AU250" s="191"/>
      <c r="AV250" s="191"/>
      <c r="AW250" s="254" t="str">
        <f>IF(COUNTBLANK(AS250:AV250)=4,"",SUM(AS250:AU250)+IF(Setup!$I$15="No",0,AV250))</f>
        <v/>
      </c>
      <c r="AX250" s="191"/>
      <c r="AY250" s="191"/>
      <c r="AZ250" s="191"/>
      <c r="BA250" s="191"/>
      <c r="BB250" s="254" t="str">
        <f>IF(COUNTBLANK(AX250:BA250)=4,"",SUM(AX250:AZ250)+IF(Setup!$I$15="No",0,BA250))</f>
        <v/>
      </c>
      <c r="BC250" s="258" t="str">
        <f ca="1">IF('Demand background (hide)'!A241=Num_Modalities,"",SUM(Demand!I250))</f>
        <v/>
      </c>
      <c r="BD250" s="258" t="str">
        <f ca="1">IF(AND(A250&lt;=MaxRows,BE250&lt;&gt;"Yes"),'Demand background (hide)'!X241+IF(Setup!$I$15="Yes",'Demand background (hide)'!AJ241,0),"")</f>
        <v/>
      </c>
      <c r="BE250" s="208"/>
    </row>
    <row r="251" spans="1:57" ht="15" x14ac:dyDescent="0.25">
      <c r="A251" t="str">
        <f t="shared" ca="1" si="12"/>
        <v/>
      </c>
      <c r="B251" s="263" t="str">
        <f t="shared" ca="1" si="13"/>
        <v xml:space="preserve"> </v>
      </c>
      <c r="C251" s="264" t="str">
        <f t="shared" ca="1" si="14"/>
        <v/>
      </c>
      <c r="D251" s="264" t="str">
        <f t="shared" ca="1" si="15"/>
        <v/>
      </c>
      <c r="E251" s="191"/>
      <c r="F251" s="191"/>
      <c r="G251" s="191"/>
      <c r="H251" s="191"/>
      <c r="I251" s="250" t="str">
        <f>IF(COUNTBLANK(E251:H251)=4,"",SUM(E251:G251)+IF(Setup!$I$15="No",0,H251))</f>
        <v/>
      </c>
      <c r="J251" s="191"/>
      <c r="K251" s="191"/>
      <c r="L251" s="191"/>
      <c r="M251" s="191"/>
      <c r="N251" s="254" t="str">
        <f>IF(COUNTBLANK(J251:M251)=4,"",SUM(J251:L251)+IF(Setup!$I$15="No",0,M251))</f>
        <v/>
      </c>
      <c r="O251" s="191"/>
      <c r="P251" s="191"/>
      <c r="Q251" s="191"/>
      <c r="R251" s="191"/>
      <c r="S251" s="254" t="str">
        <f>IF(COUNTBLANK(O251:R251)=4,"",SUM(O251:Q251)+IF(Setup!$I$15="No",0,R251))</f>
        <v/>
      </c>
      <c r="T251" s="191"/>
      <c r="U251" s="191"/>
      <c r="V251" s="191"/>
      <c r="W251" s="191"/>
      <c r="X251" s="254" t="str">
        <f>IF(COUNTBLANK(T251:W251)=4,"",SUM(T251:V251)+IF(Setup!$I$15="No",0,W251))</f>
        <v/>
      </c>
      <c r="Y251" s="191"/>
      <c r="Z251" s="191"/>
      <c r="AA251" s="191"/>
      <c r="AB251" s="191"/>
      <c r="AC251" s="254" t="str">
        <f>IF(COUNTBLANK(Y251:AB251)=4,"",SUM(Y251:AA251)+IF(Setup!$I$15="No",0,AB251))</f>
        <v/>
      </c>
      <c r="AD251" s="191"/>
      <c r="AE251" s="191"/>
      <c r="AF251" s="191"/>
      <c r="AG251" s="191"/>
      <c r="AH251" s="254" t="str">
        <f>IF(COUNTBLANK(AD251:AG251)=4,"",SUM(AD251:AF251)+IF(Setup!$I$15="No",0,AG251))</f>
        <v/>
      </c>
      <c r="AI251" s="191"/>
      <c r="AJ251" s="191"/>
      <c r="AK251" s="191"/>
      <c r="AL251" s="191"/>
      <c r="AM251" s="254" t="str">
        <f>IF(COUNTBLANK(AI251:AL251)=4,"",SUM(AI251:AK251)+IF(Setup!$I$15="No",0,AL251))</f>
        <v/>
      </c>
      <c r="AN251" s="191"/>
      <c r="AO251" s="191"/>
      <c r="AP251" s="191"/>
      <c r="AQ251" s="191"/>
      <c r="AR251" s="254" t="str">
        <f>IF(COUNTBLANK(AN251:AQ251)=4,"",SUM(AN251:AP251)+IF(Setup!$I$15="No",0,AQ251))</f>
        <v/>
      </c>
      <c r="AS251" s="191"/>
      <c r="AT251" s="191"/>
      <c r="AU251" s="191"/>
      <c r="AV251" s="191"/>
      <c r="AW251" s="254" t="str">
        <f>IF(COUNTBLANK(AS251:AV251)=4,"",SUM(AS251:AU251)+IF(Setup!$I$15="No",0,AV251))</f>
        <v/>
      </c>
      <c r="AX251" s="191"/>
      <c r="AY251" s="191"/>
      <c r="AZ251" s="191"/>
      <c r="BA251" s="191"/>
      <c r="BB251" s="254" t="str">
        <f>IF(COUNTBLANK(AX251:BA251)=4,"",SUM(AX251:AZ251)+IF(Setup!$I$15="No",0,BA251))</f>
        <v/>
      </c>
      <c r="BC251" s="258" t="str">
        <f ca="1">IF('Demand background (hide)'!A242=Num_Modalities,"",SUM(Demand!I251))</f>
        <v/>
      </c>
      <c r="BD251" s="258" t="str">
        <f ca="1">IF(AND(A251&lt;=MaxRows,BE251&lt;&gt;"Yes"),'Demand background (hide)'!X242+IF(Setup!$I$15="Yes",'Demand background (hide)'!AJ242,0),"")</f>
        <v/>
      </c>
      <c r="BE251" s="208"/>
    </row>
    <row r="252" spans="1:57" ht="15" x14ac:dyDescent="0.25">
      <c r="A252" t="str">
        <f t="shared" ca="1" si="12"/>
        <v/>
      </c>
      <c r="B252" s="263" t="str">
        <f t="shared" ca="1" si="13"/>
        <v xml:space="preserve"> </v>
      </c>
      <c r="C252" s="264" t="str">
        <f t="shared" ca="1" si="14"/>
        <v/>
      </c>
      <c r="D252" s="264" t="str">
        <f t="shared" ca="1" si="15"/>
        <v/>
      </c>
      <c r="E252" s="191"/>
      <c r="F252" s="191"/>
      <c r="G252" s="191"/>
      <c r="H252" s="191"/>
      <c r="I252" s="250" t="str">
        <f>IF(COUNTBLANK(E252:H252)=4,"",SUM(E252:G252)+IF(Setup!$I$15="No",0,H252))</f>
        <v/>
      </c>
      <c r="J252" s="191"/>
      <c r="K252" s="191"/>
      <c r="L252" s="191"/>
      <c r="M252" s="191"/>
      <c r="N252" s="254" t="str">
        <f>IF(COUNTBLANK(J252:M252)=4,"",SUM(J252:L252)+IF(Setup!$I$15="No",0,M252))</f>
        <v/>
      </c>
      <c r="O252" s="191"/>
      <c r="P252" s="191"/>
      <c r="Q252" s="191"/>
      <c r="R252" s="191"/>
      <c r="S252" s="254" t="str">
        <f>IF(COUNTBLANK(O252:R252)=4,"",SUM(O252:Q252)+IF(Setup!$I$15="No",0,R252))</f>
        <v/>
      </c>
      <c r="T252" s="191"/>
      <c r="U252" s="191"/>
      <c r="V252" s="191"/>
      <c r="W252" s="191"/>
      <c r="X252" s="254" t="str">
        <f>IF(COUNTBLANK(T252:W252)=4,"",SUM(T252:V252)+IF(Setup!$I$15="No",0,W252))</f>
        <v/>
      </c>
      <c r="Y252" s="191"/>
      <c r="Z252" s="191"/>
      <c r="AA252" s="191"/>
      <c r="AB252" s="191"/>
      <c r="AC252" s="254" t="str">
        <f>IF(COUNTBLANK(Y252:AB252)=4,"",SUM(Y252:AA252)+IF(Setup!$I$15="No",0,AB252))</f>
        <v/>
      </c>
      <c r="AD252" s="191"/>
      <c r="AE252" s="191"/>
      <c r="AF252" s="191"/>
      <c r="AG252" s="191"/>
      <c r="AH252" s="254" t="str">
        <f>IF(COUNTBLANK(AD252:AG252)=4,"",SUM(AD252:AF252)+IF(Setup!$I$15="No",0,AG252))</f>
        <v/>
      </c>
      <c r="AI252" s="191"/>
      <c r="AJ252" s="191"/>
      <c r="AK252" s="191"/>
      <c r="AL252" s="191"/>
      <c r="AM252" s="254" t="str">
        <f>IF(COUNTBLANK(AI252:AL252)=4,"",SUM(AI252:AK252)+IF(Setup!$I$15="No",0,AL252))</f>
        <v/>
      </c>
      <c r="AN252" s="191"/>
      <c r="AO252" s="191"/>
      <c r="AP252" s="191"/>
      <c r="AQ252" s="191"/>
      <c r="AR252" s="254" t="str">
        <f>IF(COUNTBLANK(AN252:AQ252)=4,"",SUM(AN252:AP252)+IF(Setup!$I$15="No",0,AQ252))</f>
        <v/>
      </c>
      <c r="AS252" s="191"/>
      <c r="AT252" s="191"/>
      <c r="AU252" s="191"/>
      <c r="AV252" s="191"/>
      <c r="AW252" s="254" t="str">
        <f>IF(COUNTBLANK(AS252:AV252)=4,"",SUM(AS252:AU252)+IF(Setup!$I$15="No",0,AV252))</f>
        <v/>
      </c>
      <c r="AX252" s="191"/>
      <c r="AY252" s="191"/>
      <c r="AZ252" s="191"/>
      <c r="BA252" s="191"/>
      <c r="BB252" s="254" t="str">
        <f>IF(COUNTBLANK(AX252:BA252)=4,"",SUM(AX252:AZ252)+IF(Setup!$I$15="No",0,BA252))</f>
        <v/>
      </c>
      <c r="BC252" s="258" t="str">
        <f ca="1">IF('Demand background (hide)'!A243=Num_Modalities,"",SUM(Demand!I252))</f>
        <v/>
      </c>
      <c r="BD252" s="258" t="str">
        <f ca="1">IF(AND(A252&lt;=MaxRows,BE252&lt;&gt;"Yes"),'Demand background (hide)'!X243+IF(Setup!$I$15="Yes",'Demand background (hide)'!AJ243,0),"")</f>
        <v/>
      </c>
      <c r="BE252" s="208"/>
    </row>
    <row r="253" spans="1:57" ht="15" x14ac:dyDescent="0.25">
      <c r="A253" t="str">
        <f t="shared" ca="1" si="12"/>
        <v/>
      </c>
      <c r="B253" s="263" t="str">
        <f t="shared" ca="1" si="13"/>
        <v xml:space="preserve"> </v>
      </c>
      <c r="C253" s="264" t="str">
        <f t="shared" ca="1" si="14"/>
        <v/>
      </c>
      <c r="D253" s="264" t="str">
        <f t="shared" ca="1" si="15"/>
        <v/>
      </c>
      <c r="E253" s="191"/>
      <c r="F253" s="191"/>
      <c r="G253" s="191"/>
      <c r="H253" s="191"/>
      <c r="I253" s="250" t="str">
        <f>IF(COUNTBLANK(E253:H253)=4,"",SUM(E253:G253)+IF(Setup!$I$15="No",0,H253))</f>
        <v/>
      </c>
      <c r="J253" s="191"/>
      <c r="K253" s="191"/>
      <c r="L253" s="191"/>
      <c r="M253" s="191"/>
      <c r="N253" s="254" t="str">
        <f>IF(COUNTBLANK(J253:M253)=4,"",SUM(J253:L253)+IF(Setup!$I$15="No",0,M253))</f>
        <v/>
      </c>
      <c r="O253" s="191"/>
      <c r="P253" s="191"/>
      <c r="Q253" s="191"/>
      <c r="R253" s="191"/>
      <c r="S253" s="254" t="str">
        <f>IF(COUNTBLANK(O253:R253)=4,"",SUM(O253:Q253)+IF(Setup!$I$15="No",0,R253))</f>
        <v/>
      </c>
      <c r="T253" s="191"/>
      <c r="U253" s="191"/>
      <c r="V253" s="191"/>
      <c r="W253" s="191"/>
      <c r="X253" s="254" t="str">
        <f>IF(COUNTBLANK(T253:W253)=4,"",SUM(T253:V253)+IF(Setup!$I$15="No",0,W253))</f>
        <v/>
      </c>
      <c r="Y253" s="191"/>
      <c r="Z253" s="191"/>
      <c r="AA253" s="191"/>
      <c r="AB253" s="191"/>
      <c r="AC253" s="254" t="str">
        <f>IF(COUNTBLANK(Y253:AB253)=4,"",SUM(Y253:AA253)+IF(Setup!$I$15="No",0,AB253))</f>
        <v/>
      </c>
      <c r="AD253" s="191"/>
      <c r="AE253" s="191"/>
      <c r="AF253" s="191"/>
      <c r="AG253" s="191"/>
      <c r="AH253" s="254" t="str">
        <f>IF(COUNTBLANK(AD253:AG253)=4,"",SUM(AD253:AF253)+IF(Setup!$I$15="No",0,AG253))</f>
        <v/>
      </c>
      <c r="AI253" s="191"/>
      <c r="AJ253" s="191"/>
      <c r="AK253" s="191"/>
      <c r="AL253" s="191"/>
      <c r="AM253" s="254" t="str">
        <f>IF(COUNTBLANK(AI253:AL253)=4,"",SUM(AI253:AK253)+IF(Setup!$I$15="No",0,AL253))</f>
        <v/>
      </c>
      <c r="AN253" s="191"/>
      <c r="AO253" s="191"/>
      <c r="AP253" s="191"/>
      <c r="AQ253" s="191"/>
      <c r="AR253" s="254" t="str">
        <f>IF(COUNTBLANK(AN253:AQ253)=4,"",SUM(AN253:AP253)+IF(Setup!$I$15="No",0,AQ253))</f>
        <v/>
      </c>
      <c r="AS253" s="191"/>
      <c r="AT253" s="191"/>
      <c r="AU253" s="191"/>
      <c r="AV253" s="191"/>
      <c r="AW253" s="254" t="str">
        <f>IF(COUNTBLANK(AS253:AV253)=4,"",SUM(AS253:AU253)+IF(Setup!$I$15="No",0,AV253))</f>
        <v/>
      </c>
      <c r="AX253" s="191"/>
      <c r="AY253" s="191"/>
      <c r="AZ253" s="191"/>
      <c r="BA253" s="191"/>
      <c r="BB253" s="254" t="str">
        <f>IF(COUNTBLANK(AX253:BA253)=4,"",SUM(AX253:AZ253)+IF(Setup!$I$15="No",0,BA253))</f>
        <v/>
      </c>
      <c r="BC253" s="258" t="str">
        <f ca="1">IF('Demand background (hide)'!A244=Num_Modalities,"",SUM(Demand!I253))</f>
        <v/>
      </c>
      <c r="BD253" s="258" t="str">
        <f ca="1">IF(AND(A253&lt;=MaxRows,BE253&lt;&gt;"Yes"),'Demand background (hide)'!X244+IF(Setup!$I$15="Yes",'Demand background (hide)'!AJ244,0),"")</f>
        <v/>
      </c>
      <c r="BE253" s="208"/>
    </row>
    <row r="254" spans="1:57" ht="15" x14ac:dyDescent="0.25">
      <c r="A254" t="str">
        <f t="shared" ca="1" si="12"/>
        <v/>
      </c>
      <c r="B254" s="263" t="str">
        <f t="shared" ca="1" si="13"/>
        <v xml:space="preserve"> </v>
      </c>
      <c r="C254" s="264" t="str">
        <f t="shared" ca="1" si="14"/>
        <v/>
      </c>
      <c r="D254" s="264" t="str">
        <f t="shared" ca="1" si="15"/>
        <v/>
      </c>
      <c r="E254" s="191"/>
      <c r="F254" s="191"/>
      <c r="G254" s="191"/>
      <c r="H254" s="191"/>
      <c r="I254" s="250" t="str">
        <f>IF(COUNTBLANK(E254:H254)=4,"",SUM(E254:G254)+IF(Setup!$I$15="No",0,H254))</f>
        <v/>
      </c>
      <c r="J254" s="191"/>
      <c r="K254" s="191"/>
      <c r="L254" s="191"/>
      <c r="M254" s="191"/>
      <c r="N254" s="254" t="str">
        <f>IF(COUNTBLANK(J254:M254)=4,"",SUM(J254:L254)+IF(Setup!$I$15="No",0,M254))</f>
        <v/>
      </c>
      <c r="O254" s="191"/>
      <c r="P254" s="191"/>
      <c r="Q254" s="191"/>
      <c r="R254" s="191"/>
      <c r="S254" s="254" t="str">
        <f>IF(COUNTBLANK(O254:R254)=4,"",SUM(O254:Q254)+IF(Setup!$I$15="No",0,R254))</f>
        <v/>
      </c>
      <c r="T254" s="191"/>
      <c r="U254" s="191"/>
      <c r="V254" s="191"/>
      <c r="W254" s="191"/>
      <c r="X254" s="254" t="str">
        <f>IF(COUNTBLANK(T254:W254)=4,"",SUM(T254:V254)+IF(Setup!$I$15="No",0,W254))</f>
        <v/>
      </c>
      <c r="Y254" s="191"/>
      <c r="Z254" s="191"/>
      <c r="AA254" s="191"/>
      <c r="AB254" s="191"/>
      <c r="AC254" s="254" t="str">
        <f>IF(COUNTBLANK(Y254:AB254)=4,"",SUM(Y254:AA254)+IF(Setup!$I$15="No",0,AB254))</f>
        <v/>
      </c>
      <c r="AD254" s="191"/>
      <c r="AE254" s="191"/>
      <c r="AF254" s="191"/>
      <c r="AG254" s="191"/>
      <c r="AH254" s="254" t="str">
        <f>IF(COUNTBLANK(AD254:AG254)=4,"",SUM(AD254:AF254)+IF(Setup!$I$15="No",0,AG254))</f>
        <v/>
      </c>
      <c r="AI254" s="191"/>
      <c r="AJ254" s="191"/>
      <c r="AK254" s="191"/>
      <c r="AL254" s="191"/>
      <c r="AM254" s="254" t="str">
        <f>IF(COUNTBLANK(AI254:AL254)=4,"",SUM(AI254:AK254)+IF(Setup!$I$15="No",0,AL254))</f>
        <v/>
      </c>
      <c r="AN254" s="191"/>
      <c r="AO254" s="191"/>
      <c r="AP254" s="191"/>
      <c r="AQ254" s="191"/>
      <c r="AR254" s="254" t="str">
        <f>IF(COUNTBLANK(AN254:AQ254)=4,"",SUM(AN254:AP254)+IF(Setup!$I$15="No",0,AQ254))</f>
        <v/>
      </c>
      <c r="AS254" s="191"/>
      <c r="AT254" s="191"/>
      <c r="AU254" s="191"/>
      <c r="AV254" s="191"/>
      <c r="AW254" s="254" t="str">
        <f>IF(COUNTBLANK(AS254:AV254)=4,"",SUM(AS254:AU254)+IF(Setup!$I$15="No",0,AV254))</f>
        <v/>
      </c>
      <c r="AX254" s="191"/>
      <c r="AY254" s="191"/>
      <c r="AZ254" s="191"/>
      <c r="BA254" s="191"/>
      <c r="BB254" s="254" t="str">
        <f>IF(COUNTBLANK(AX254:BA254)=4,"",SUM(AX254:AZ254)+IF(Setup!$I$15="No",0,BA254))</f>
        <v/>
      </c>
      <c r="BC254" s="258" t="str">
        <f ca="1">IF('Demand background (hide)'!A245=Num_Modalities,"",SUM(Demand!I254))</f>
        <v/>
      </c>
      <c r="BD254" s="258" t="str">
        <f ca="1">IF(AND(A254&lt;=MaxRows,BE254&lt;&gt;"Yes"),'Demand background (hide)'!X245+IF(Setup!$I$15="Yes",'Demand background (hide)'!AJ245,0),"")</f>
        <v/>
      </c>
      <c r="BE254" s="208"/>
    </row>
    <row r="255" spans="1:57" ht="15" x14ac:dyDescent="0.25">
      <c r="A255" t="str">
        <f t="shared" ca="1" si="12"/>
        <v/>
      </c>
      <c r="B255" s="263" t="str">
        <f t="shared" ca="1" si="13"/>
        <v xml:space="preserve"> </v>
      </c>
      <c r="C255" s="264" t="str">
        <f t="shared" ca="1" si="14"/>
        <v/>
      </c>
      <c r="D255" s="264" t="str">
        <f t="shared" ca="1" si="15"/>
        <v/>
      </c>
      <c r="E255" s="191"/>
      <c r="F255" s="191"/>
      <c r="G255" s="191"/>
      <c r="H255" s="191"/>
      <c r="I255" s="250" t="str">
        <f>IF(COUNTBLANK(E255:H255)=4,"",SUM(E255:G255)+IF(Setup!$I$15="No",0,H255))</f>
        <v/>
      </c>
      <c r="J255" s="191"/>
      <c r="K255" s="191"/>
      <c r="L255" s="191"/>
      <c r="M255" s="191"/>
      <c r="N255" s="254" t="str">
        <f>IF(COUNTBLANK(J255:M255)=4,"",SUM(J255:L255)+IF(Setup!$I$15="No",0,M255))</f>
        <v/>
      </c>
      <c r="O255" s="191"/>
      <c r="P255" s="191"/>
      <c r="Q255" s="191"/>
      <c r="R255" s="191"/>
      <c r="S255" s="254" t="str">
        <f>IF(COUNTBLANK(O255:R255)=4,"",SUM(O255:Q255)+IF(Setup!$I$15="No",0,R255))</f>
        <v/>
      </c>
      <c r="T255" s="191"/>
      <c r="U255" s="191"/>
      <c r="V255" s="191"/>
      <c r="W255" s="191"/>
      <c r="X255" s="254" t="str">
        <f>IF(COUNTBLANK(T255:W255)=4,"",SUM(T255:V255)+IF(Setup!$I$15="No",0,W255))</f>
        <v/>
      </c>
      <c r="Y255" s="191"/>
      <c r="Z255" s="191"/>
      <c r="AA255" s="191"/>
      <c r="AB255" s="191"/>
      <c r="AC255" s="254" t="str">
        <f>IF(COUNTBLANK(Y255:AB255)=4,"",SUM(Y255:AA255)+IF(Setup!$I$15="No",0,AB255))</f>
        <v/>
      </c>
      <c r="AD255" s="191"/>
      <c r="AE255" s="191"/>
      <c r="AF255" s="191"/>
      <c r="AG255" s="191"/>
      <c r="AH255" s="254" t="str">
        <f>IF(COUNTBLANK(AD255:AG255)=4,"",SUM(AD255:AF255)+IF(Setup!$I$15="No",0,AG255))</f>
        <v/>
      </c>
      <c r="AI255" s="191"/>
      <c r="AJ255" s="191"/>
      <c r="AK255" s="191"/>
      <c r="AL255" s="191"/>
      <c r="AM255" s="254" t="str">
        <f>IF(COUNTBLANK(AI255:AL255)=4,"",SUM(AI255:AK255)+IF(Setup!$I$15="No",0,AL255))</f>
        <v/>
      </c>
      <c r="AN255" s="191"/>
      <c r="AO255" s="191"/>
      <c r="AP255" s="191"/>
      <c r="AQ255" s="191"/>
      <c r="AR255" s="254" t="str">
        <f>IF(COUNTBLANK(AN255:AQ255)=4,"",SUM(AN255:AP255)+IF(Setup!$I$15="No",0,AQ255))</f>
        <v/>
      </c>
      <c r="AS255" s="191"/>
      <c r="AT255" s="191"/>
      <c r="AU255" s="191"/>
      <c r="AV255" s="191"/>
      <c r="AW255" s="254" t="str">
        <f>IF(COUNTBLANK(AS255:AV255)=4,"",SUM(AS255:AU255)+IF(Setup!$I$15="No",0,AV255))</f>
        <v/>
      </c>
      <c r="AX255" s="191"/>
      <c r="AY255" s="191"/>
      <c r="AZ255" s="191"/>
      <c r="BA255" s="191"/>
      <c r="BB255" s="254" t="str">
        <f>IF(COUNTBLANK(AX255:BA255)=4,"",SUM(AX255:AZ255)+IF(Setup!$I$15="No",0,BA255))</f>
        <v/>
      </c>
      <c r="BC255" s="258" t="str">
        <f ca="1">IF('Demand background (hide)'!A246=Num_Modalities,"",SUM(Demand!I255))</f>
        <v/>
      </c>
      <c r="BD255" s="258" t="str">
        <f ca="1">IF(AND(A255&lt;=MaxRows,BE255&lt;&gt;"Yes"),'Demand background (hide)'!X246+IF(Setup!$I$15="Yes",'Demand background (hide)'!AJ246,0),"")</f>
        <v/>
      </c>
      <c r="BE255" s="208"/>
    </row>
    <row r="256" spans="1:57" ht="15" x14ac:dyDescent="0.25">
      <c r="A256" t="str">
        <f t="shared" ca="1" si="12"/>
        <v/>
      </c>
      <c r="B256" s="263" t="str">
        <f t="shared" ca="1" si="13"/>
        <v xml:space="preserve"> </v>
      </c>
      <c r="C256" s="264" t="str">
        <f t="shared" ca="1" si="14"/>
        <v/>
      </c>
      <c r="D256" s="264" t="str">
        <f t="shared" ca="1" si="15"/>
        <v/>
      </c>
      <c r="E256" s="191"/>
      <c r="F256" s="191"/>
      <c r="G256" s="191"/>
      <c r="H256" s="191"/>
      <c r="I256" s="250" t="str">
        <f>IF(COUNTBLANK(E256:H256)=4,"",SUM(E256:G256)+IF(Setup!$I$15="No",0,H256))</f>
        <v/>
      </c>
      <c r="J256" s="191"/>
      <c r="K256" s="191"/>
      <c r="L256" s="191"/>
      <c r="M256" s="191"/>
      <c r="N256" s="254" t="str">
        <f>IF(COUNTBLANK(J256:M256)=4,"",SUM(J256:L256)+IF(Setup!$I$15="No",0,M256))</f>
        <v/>
      </c>
      <c r="O256" s="191"/>
      <c r="P256" s="191"/>
      <c r="Q256" s="191"/>
      <c r="R256" s="191"/>
      <c r="S256" s="254" t="str">
        <f>IF(COUNTBLANK(O256:R256)=4,"",SUM(O256:Q256)+IF(Setup!$I$15="No",0,R256))</f>
        <v/>
      </c>
      <c r="T256" s="191"/>
      <c r="U256" s="191"/>
      <c r="V256" s="191"/>
      <c r="W256" s="191"/>
      <c r="X256" s="254" t="str">
        <f>IF(COUNTBLANK(T256:W256)=4,"",SUM(T256:V256)+IF(Setup!$I$15="No",0,W256))</f>
        <v/>
      </c>
      <c r="Y256" s="191"/>
      <c r="Z256" s="191"/>
      <c r="AA256" s="191"/>
      <c r="AB256" s="191"/>
      <c r="AC256" s="254" t="str">
        <f>IF(COUNTBLANK(Y256:AB256)=4,"",SUM(Y256:AA256)+IF(Setup!$I$15="No",0,AB256))</f>
        <v/>
      </c>
      <c r="AD256" s="191"/>
      <c r="AE256" s="191"/>
      <c r="AF256" s="191"/>
      <c r="AG256" s="191"/>
      <c r="AH256" s="254" t="str">
        <f>IF(COUNTBLANK(AD256:AG256)=4,"",SUM(AD256:AF256)+IF(Setup!$I$15="No",0,AG256))</f>
        <v/>
      </c>
      <c r="AI256" s="191"/>
      <c r="AJ256" s="191"/>
      <c r="AK256" s="191"/>
      <c r="AL256" s="191"/>
      <c r="AM256" s="254" t="str">
        <f>IF(COUNTBLANK(AI256:AL256)=4,"",SUM(AI256:AK256)+IF(Setup!$I$15="No",0,AL256))</f>
        <v/>
      </c>
      <c r="AN256" s="191"/>
      <c r="AO256" s="191"/>
      <c r="AP256" s="191"/>
      <c r="AQ256" s="191"/>
      <c r="AR256" s="254" t="str">
        <f>IF(COUNTBLANK(AN256:AQ256)=4,"",SUM(AN256:AP256)+IF(Setup!$I$15="No",0,AQ256))</f>
        <v/>
      </c>
      <c r="AS256" s="191"/>
      <c r="AT256" s="191"/>
      <c r="AU256" s="191"/>
      <c r="AV256" s="191"/>
      <c r="AW256" s="254" t="str">
        <f>IF(COUNTBLANK(AS256:AV256)=4,"",SUM(AS256:AU256)+IF(Setup!$I$15="No",0,AV256))</f>
        <v/>
      </c>
      <c r="AX256" s="191"/>
      <c r="AY256" s="191"/>
      <c r="AZ256" s="191"/>
      <c r="BA256" s="191"/>
      <c r="BB256" s="254" t="str">
        <f>IF(COUNTBLANK(AX256:BA256)=4,"",SUM(AX256:AZ256)+IF(Setup!$I$15="No",0,BA256))</f>
        <v/>
      </c>
      <c r="BC256" s="258" t="str">
        <f ca="1">IF('Demand background (hide)'!A247=Num_Modalities,"",SUM(Demand!I256))</f>
        <v/>
      </c>
      <c r="BD256" s="258" t="str">
        <f ca="1">IF(AND(A256&lt;=MaxRows,BE256&lt;&gt;"Yes"),'Demand background (hide)'!X247+IF(Setup!$I$15="Yes",'Demand background (hide)'!AJ247,0),"")</f>
        <v/>
      </c>
      <c r="BE256" s="208"/>
    </row>
    <row r="257" spans="1:57" ht="15" x14ac:dyDescent="0.25">
      <c r="A257" t="str">
        <f t="shared" ca="1" si="12"/>
        <v/>
      </c>
      <c r="B257" s="263" t="str">
        <f t="shared" ca="1" si="13"/>
        <v xml:space="preserve"> </v>
      </c>
      <c r="C257" s="264" t="str">
        <f t="shared" ca="1" si="14"/>
        <v/>
      </c>
      <c r="D257" s="264" t="str">
        <f t="shared" ca="1" si="15"/>
        <v/>
      </c>
      <c r="E257" s="191"/>
      <c r="F257" s="191"/>
      <c r="G257" s="191"/>
      <c r="H257" s="191"/>
      <c r="I257" s="250" t="str">
        <f>IF(COUNTBLANK(E257:H257)=4,"",SUM(E257:G257)+IF(Setup!$I$15="No",0,H257))</f>
        <v/>
      </c>
      <c r="J257" s="191"/>
      <c r="K257" s="191"/>
      <c r="L257" s="191"/>
      <c r="M257" s="191"/>
      <c r="N257" s="254" t="str">
        <f>IF(COUNTBLANK(J257:M257)=4,"",SUM(J257:L257)+IF(Setup!$I$15="No",0,M257))</f>
        <v/>
      </c>
      <c r="O257" s="191"/>
      <c r="P257" s="191"/>
      <c r="Q257" s="191"/>
      <c r="R257" s="191"/>
      <c r="S257" s="254" t="str">
        <f>IF(COUNTBLANK(O257:R257)=4,"",SUM(O257:Q257)+IF(Setup!$I$15="No",0,R257))</f>
        <v/>
      </c>
      <c r="T257" s="191"/>
      <c r="U257" s="191"/>
      <c r="V257" s="191"/>
      <c r="W257" s="191"/>
      <c r="X257" s="254" t="str">
        <f>IF(COUNTBLANK(T257:W257)=4,"",SUM(T257:V257)+IF(Setup!$I$15="No",0,W257))</f>
        <v/>
      </c>
      <c r="Y257" s="191"/>
      <c r="Z257" s="191"/>
      <c r="AA257" s="191"/>
      <c r="AB257" s="191"/>
      <c r="AC257" s="254" t="str">
        <f>IF(COUNTBLANK(Y257:AB257)=4,"",SUM(Y257:AA257)+IF(Setup!$I$15="No",0,AB257))</f>
        <v/>
      </c>
      <c r="AD257" s="191"/>
      <c r="AE257" s="191"/>
      <c r="AF257" s="191"/>
      <c r="AG257" s="191"/>
      <c r="AH257" s="254" t="str">
        <f>IF(COUNTBLANK(AD257:AG257)=4,"",SUM(AD257:AF257)+IF(Setup!$I$15="No",0,AG257))</f>
        <v/>
      </c>
      <c r="AI257" s="191"/>
      <c r="AJ257" s="191"/>
      <c r="AK257" s="191"/>
      <c r="AL257" s="191"/>
      <c r="AM257" s="254" t="str">
        <f>IF(COUNTBLANK(AI257:AL257)=4,"",SUM(AI257:AK257)+IF(Setup!$I$15="No",0,AL257))</f>
        <v/>
      </c>
      <c r="AN257" s="191"/>
      <c r="AO257" s="191"/>
      <c r="AP257" s="191"/>
      <c r="AQ257" s="191"/>
      <c r="AR257" s="254" t="str">
        <f>IF(COUNTBLANK(AN257:AQ257)=4,"",SUM(AN257:AP257)+IF(Setup!$I$15="No",0,AQ257))</f>
        <v/>
      </c>
      <c r="AS257" s="191"/>
      <c r="AT257" s="191"/>
      <c r="AU257" s="191"/>
      <c r="AV257" s="191"/>
      <c r="AW257" s="254" t="str">
        <f>IF(COUNTBLANK(AS257:AV257)=4,"",SUM(AS257:AU257)+IF(Setup!$I$15="No",0,AV257))</f>
        <v/>
      </c>
      <c r="AX257" s="191"/>
      <c r="AY257" s="191"/>
      <c r="AZ257" s="191"/>
      <c r="BA257" s="191"/>
      <c r="BB257" s="254" t="str">
        <f>IF(COUNTBLANK(AX257:BA257)=4,"",SUM(AX257:AZ257)+IF(Setup!$I$15="No",0,BA257))</f>
        <v/>
      </c>
      <c r="BC257" s="258" t="str">
        <f ca="1">IF('Demand background (hide)'!A248=Num_Modalities,"",SUM(Demand!I257))</f>
        <v/>
      </c>
      <c r="BD257" s="258" t="str">
        <f ca="1">IF(AND(A257&lt;=MaxRows,BE257&lt;&gt;"Yes"),'Demand background (hide)'!X248+IF(Setup!$I$15="Yes",'Demand background (hide)'!AJ248,0),"")</f>
        <v/>
      </c>
      <c r="BE257" s="208"/>
    </row>
    <row r="258" spans="1:57" ht="15" x14ac:dyDescent="0.25">
      <c r="A258" t="str">
        <f t="shared" ca="1" si="12"/>
        <v/>
      </c>
      <c r="B258" s="263" t="str">
        <f t="shared" ca="1" si="13"/>
        <v xml:space="preserve"> </v>
      </c>
      <c r="C258" s="264" t="str">
        <f t="shared" ca="1" si="14"/>
        <v/>
      </c>
      <c r="D258" s="264" t="str">
        <f t="shared" ca="1" si="15"/>
        <v/>
      </c>
      <c r="E258" s="191"/>
      <c r="F258" s="191"/>
      <c r="G258" s="191"/>
      <c r="H258" s="191"/>
      <c r="I258" s="250" t="str">
        <f>IF(COUNTBLANK(E258:H258)=4,"",SUM(E258:G258)+IF(Setup!$I$15="No",0,H258))</f>
        <v/>
      </c>
      <c r="J258" s="191"/>
      <c r="K258" s="191"/>
      <c r="L258" s="191"/>
      <c r="M258" s="191"/>
      <c r="N258" s="254" t="str">
        <f>IF(COUNTBLANK(J258:M258)=4,"",SUM(J258:L258)+IF(Setup!$I$15="No",0,M258))</f>
        <v/>
      </c>
      <c r="O258" s="191"/>
      <c r="P258" s="191"/>
      <c r="Q258" s="191"/>
      <c r="R258" s="191"/>
      <c r="S258" s="254" t="str">
        <f>IF(COUNTBLANK(O258:R258)=4,"",SUM(O258:Q258)+IF(Setup!$I$15="No",0,R258))</f>
        <v/>
      </c>
      <c r="T258" s="191"/>
      <c r="U258" s="191"/>
      <c r="V258" s="191"/>
      <c r="W258" s="191"/>
      <c r="X258" s="254" t="str">
        <f>IF(COUNTBLANK(T258:W258)=4,"",SUM(T258:V258)+IF(Setup!$I$15="No",0,W258))</f>
        <v/>
      </c>
      <c r="Y258" s="191"/>
      <c r="Z258" s="191"/>
      <c r="AA258" s="191"/>
      <c r="AB258" s="191"/>
      <c r="AC258" s="254" t="str">
        <f>IF(COUNTBLANK(Y258:AB258)=4,"",SUM(Y258:AA258)+IF(Setup!$I$15="No",0,AB258))</f>
        <v/>
      </c>
      <c r="AD258" s="191"/>
      <c r="AE258" s="191"/>
      <c r="AF258" s="191"/>
      <c r="AG258" s="191"/>
      <c r="AH258" s="254" t="str">
        <f>IF(COUNTBLANK(AD258:AG258)=4,"",SUM(AD258:AF258)+IF(Setup!$I$15="No",0,AG258))</f>
        <v/>
      </c>
      <c r="AI258" s="191"/>
      <c r="AJ258" s="191"/>
      <c r="AK258" s="191"/>
      <c r="AL258" s="191"/>
      <c r="AM258" s="254" t="str">
        <f>IF(COUNTBLANK(AI258:AL258)=4,"",SUM(AI258:AK258)+IF(Setup!$I$15="No",0,AL258))</f>
        <v/>
      </c>
      <c r="AN258" s="191"/>
      <c r="AO258" s="191"/>
      <c r="AP258" s="191"/>
      <c r="AQ258" s="191"/>
      <c r="AR258" s="254" t="str">
        <f>IF(COUNTBLANK(AN258:AQ258)=4,"",SUM(AN258:AP258)+IF(Setup!$I$15="No",0,AQ258))</f>
        <v/>
      </c>
      <c r="AS258" s="191"/>
      <c r="AT258" s="191"/>
      <c r="AU258" s="191"/>
      <c r="AV258" s="191"/>
      <c r="AW258" s="254" t="str">
        <f>IF(COUNTBLANK(AS258:AV258)=4,"",SUM(AS258:AU258)+IF(Setup!$I$15="No",0,AV258))</f>
        <v/>
      </c>
      <c r="AX258" s="191"/>
      <c r="AY258" s="191"/>
      <c r="AZ258" s="191"/>
      <c r="BA258" s="191"/>
      <c r="BB258" s="254" t="str">
        <f>IF(COUNTBLANK(AX258:BA258)=4,"",SUM(AX258:AZ258)+IF(Setup!$I$15="No",0,BA258))</f>
        <v/>
      </c>
      <c r="BC258" s="258" t="str">
        <f ca="1">IF('Demand background (hide)'!A249=Num_Modalities,"",SUM(Demand!I258))</f>
        <v/>
      </c>
      <c r="BD258" s="258" t="str">
        <f ca="1">IF(AND(A258&lt;=MaxRows,BE258&lt;&gt;"Yes"),'Demand background (hide)'!X249+IF(Setup!$I$15="Yes",'Demand background (hide)'!AJ249,0),"")</f>
        <v/>
      </c>
      <c r="BE258" s="208"/>
    </row>
    <row r="259" spans="1:57" ht="15" x14ac:dyDescent="0.25">
      <c r="A259" t="str">
        <f t="shared" ca="1" si="12"/>
        <v/>
      </c>
      <c r="B259" s="263" t="str">
        <f t="shared" ca="1" si="13"/>
        <v xml:space="preserve"> </v>
      </c>
      <c r="C259" s="264" t="str">
        <f t="shared" ca="1" si="14"/>
        <v/>
      </c>
      <c r="D259" s="264" t="str">
        <f t="shared" ca="1" si="15"/>
        <v/>
      </c>
      <c r="E259" s="191"/>
      <c r="F259" s="191"/>
      <c r="G259" s="191"/>
      <c r="H259" s="191"/>
      <c r="I259" s="250" t="str">
        <f>IF(COUNTBLANK(E259:H259)=4,"",SUM(E259:G259)+IF(Setup!$I$15="No",0,H259))</f>
        <v/>
      </c>
      <c r="J259" s="191"/>
      <c r="K259" s="191"/>
      <c r="L259" s="191"/>
      <c r="M259" s="191"/>
      <c r="N259" s="254" t="str">
        <f>IF(COUNTBLANK(J259:M259)=4,"",SUM(J259:L259)+IF(Setup!$I$15="No",0,M259))</f>
        <v/>
      </c>
      <c r="O259" s="191"/>
      <c r="P259" s="191"/>
      <c r="Q259" s="191"/>
      <c r="R259" s="191"/>
      <c r="S259" s="254" t="str">
        <f>IF(COUNTBLANK(O259:R259)=4,"",SUM(O259:Q259)+IF(Setup!$I$15="No",0,R259))</f>
        <v/>
      </c>
      <c r="T259" s="191"/>
      <c r="U259" s="191"/>
      <c r="V259" s="191"/>
      <c r="W259" s="191"/>
      <c r="X259" s="254" t="str">
        <f>IF(COUNTBLANK(T259:W259)=4,"",SUM(T259:V259)+IF(Setup!$I$15="No",0,W259))</f>
        <v/>
      </c>
      <c r="Y259" s="191"/>
      <c r="Z259" s="191"/>
      <c r="AA259" s="191"/>
      <c r="AB259" s="191"/>
      <c r="AC259" s="254" t="str">
        <f>IF(COUNTBLANK(Y259:AB259)=4,"",SUM(Y259:AA259)+IF(Setup!$I$15="No",0,AB259))</f>
        <v/>
      </c>
      <c r="AD259" s="191"/>
      <c r="AE259" s="191"/>
      <c r="AF259" s="191"/>
      <c r="AG259" s="191"/>
      <c r="AH259" s="254" t="str">
        <f>IF(COUNTBLANK(AD259:AG259)=4,"",SUM(AD259:AF259)+IF(Setup!$I$15="No",0,AG259))</f>
        <v/>
      </c>
      <c r="AI259" s="191"/>
      <c r="AJ259" s="191"/>
      <c r="AK259" s="191"/>
      <c r="AL259" s="191"/>
      <c r="AM259" s="254" t="str">
        <f>IF(COUNTBLANK(AI259:AL259)=4,"",SUM(AI259:AK259)+IF(Setup!$I$15="No",0,AL259))</f>
        <v/>
      </c>
      <c r="AN259" s="191"/>
      <c r="AO259" s="191"/>
      <c r="AP259" s="191"/>
      <c r="AQ259" s="191"/>
      <c r="AR259" s="254" t="str">
        <f>IF(COUNTBLANK(AN259:AQ259)=4,"",SUM(AN259:AP259)+IF(Setup!$I$15="No",0,AQ259))</f>
        <v/>
      </c>
      <c r="AS259" s="191"/>
      <c r="AT259" s="191"/>
      <c r="AU259" s="191"/>
      <c r="AV259" s="191"/>
      <c r="AW259" s="254" t="str">
        <f>IF(COUNTBLANK(AS259:AV259)=4,"",SUM(AS259:AU259)+IF(Setup!$I$15="No",0,AV259))</f>
        <v/>
      </c>
      <c r="AX259" s="191"/>
      <c r="AY259" s="191"/>
      <c r="AZ259" s="191"/>
      <c r="BA259" s="191"/>
      <c r="BB259" s="254" t="str">
        <f>IF(COUNTBLANK(AX259:BA259)=4,"",SUM(AX259:AZ259)+IF(Setup!$I$15="No",0,BA259))</f>
        <v/>
      </c>
      <c r="BC259" s="258" t="str">
        <f ca="1">IF('Demand background (hide)'!A250=Num_Modalities,"",SUM(Demand!I259))</f>
        <v/>
      </c>
      <c r="BD259" s="258" t="str">
        <f ca="1">IF(AND(A259&lt;=MaxRows,BE259&lt;&gt;"Yes"),'Demand background (hide)'!X250+IF(Setup!$I$15="Yes",'Demand background (hide)'!AJ250,0),"")</f>
        <v/>
      </c>
      <c r="BE259" s="208"/>
    </row>
    <row r="260" spans="1:57" ht="15" x14ac:dyDescent="0.25">
      <c r="A260" t="str">
        <f t="shared" ca="1" si="12"/>
        <v/>
      </c>
      <c r="B260" s="263" t="str">
        <f t="shared" ca="1" si="13"/>
        <v xml:space="preserve"> </v>
      </c>
      <c r="C260" s="264" t="str">
        <f t="shared" ca="1" si="14"/>
        <v/>
      </c>
      <c r="D260" s="264" t="str">
        <f t="shared" ca="1" si="15"/>
        <v/>
      </c>
      <c r="E260" s="191"/>
      <c r="F260" s="191"/>
      <c r="G260" s="191"/>
      <c r="H260" s="191"/>
      <c r="I260" s="250" t="str">
        <f>IF(COUNTBLANK(E260:H260)=4,"",SUM(E260:G260)+IF(Setup!$I$15="No",0,H260))</f>
        <v/>
      </c>
      <c r="J260" s="191"/>
      <c r="K260" s="191"/>
      <c r="L260" s="191"/>
      <c r="M260" s="191"/>
      <c r="N260" s="254" t="str">
        <f>IF(COUNTBLANK(J260:M260)=4,"",SUM(J260:L260)+IF(Setup!$I$15="No",0,M260))</f>
        <v/>
      </c>
      <c r="O260" s="191"/>
      <c r="P260" s="191"/>
      <c r="Q260" s="191"/>
      <c r="R260" s="191"/>
      <c r="S260" s="254" t="str">
        <f>IF(COUNTBLANK(O260:R260)=4,"",SUM(O260:Q260)+IF(Setup!$I$15="No",0,R260))</f>
        <v/>
      </c>
      <c r="T260" s="191"/>
      <c r="U260" s="191"/>
      <c r="V260" s="191"/>
      <c r="W260" s="191"/>
      <c r="X260" s="254" t="str">
        <f>IF(COUNTBLANK(T260:W260)=4,"",SUM(T260:V260)+IF(Setup!$I$15="No",0,W260))</f>
        <v/>
      </c>
      <c r="Y260" s="191"/>
      <c r="Z260" s="191"/>
      <c r="AA260" s="191"/>
      <c r="AB260" s="191"/>
      <c r="AC260" s="254" t="str">
        <f>IF(COUNTBLANK(Y260:AB260)=4,"",SUM(Y260:AA260)+IF(Setup!$I$15="No",0,AB260))</f>
        <v/>
      </c>
      <c r="AD260" s="191"/>
      <c r="AE260" s="191"/>
      <c r="AF260" s="191"/>
      <c r="AG260" s="191"/>
      <c r="AH260" s="254" t="str">
        <f>IF(COUNTBLANK(AD260:AG260)=4,"",SUM(AD260:AF260)+IF(Setup!$I$15="No",0,AG260))</f>
        <v/>
      </c>
      <c r="AI260" s="191"/>
      <c r="AJ260" s="191"/>
      <c r="AK260" s="191"/>
      <c r="AL260" s="191"/>
      <c r="AM260" s="254" t="str">
        <f>IF(COUNTBLANK(AI260:AL260)=4,"",SUM(AI260:AK260)+IF(Setup!$I$15="No",0,AL260))</f>
        <v/>
      </c>
      <c r="AN260" s="191"/>
      <c r="AO260" s="191"/>
      <c r="AP260" s="191"/>
      <c r="AQ260" s="191"/>
      <c r="AR260" s="254" t="str">
        <f>IF(COUNTBLANK(AN260:AQ260)=4,"",SUM(AN260:AP260)+IF(Setup!$I$15="No",0,AQ260))</f>
        <v/>
      </c>
      <c r="AS260" s="191"/>
      <c r="AT260" s="191"/>
      <c r="AU260" s="191"/>
      <c r="AV260" s="191"/>
      <c r="AW260" s="254" t="str">
        <f>IF(COUNTBLANK(AS260:AV260)=4,"",SUM(AS260:AU260)+IF(Setup!$I$15="No",0,AV260))</f>
        <v/>
      </c>
      <c r="AX260" s="191"/>
      <c r="AY260" s="191"/>
      <c r="AZ260" s="191"/>
      <c r="BA260" s="191"/>
      <c r="BB260" s="254" t="str">
        <f>IF(COUNTBLANK(AX260:BA260)=4,"",SUM(AX260:AZ260)+IF(Setup!$I$15="No",0,BA260))</f>
        <v/>
      </c>
      <c r="BC260" s="258" t="str">
        <f ca="1">IF('Demand background (hide)'!A251=Num_Modalities,"",SUM(Demand!I260))</f>
        <v/>
      </c>
      <c r="BD260" s="258" t="str">
        <f ca="1">IF(AND(A260&lt;=MaxRows,BE260&lt;&gt;"Yes"),'Demand background (hide)'!X251+IF(Setup!$I$15="Yes",'Demand background (hide)'!AJ251,0),"")</f>
        <v/>
      </c>
      <c r="BE260" s="208"/>
    </row>
    <row r="261" spans="1:57" ht="15" x14ac:dyDescent="0.25">
      <c r="A261" t="str">
        <f t="shared" ca="1" si="12"/>
        <v/>
      </c>
      <c r="B261" s="263" t="str">
        <f t="shared" ca="1" si="13"/>
        <v xml:space="preserve"> </v>
      </c>
      <c r="C261" s="264" t="str">
        <f t="shared" ca="1" si="14"/>
        <v/>
      </c>
      <c r="D261" s="264" t="str">
        <f t="shared" ca="1" si="15"/>
        <v/>
      </c>
      <c r="E261" s="191"/>
      <c r="F261" s="191"/>
      <c r="G261" s="191"/>
      <c r="H261" s="191"/>
      <c r="I261" s="250" t="str">
        <f>IF(COUNTBLANK(E261:H261)=4,"",SUM(E261:G261)+IF(Setup!$I$15="No",0,H261))</f>
        <v/>
      </c>
      <c r="J261" s="191"/>
      <c r="K261" s="191"/>
      <c r="L261" s="191"/>
      <c r="M261" s="191"/>
      <c r="N261" s="254" t="str">
        <f>IF(COUNTBLANK(J261:M261)=4,"",SUM(J261:L261)+IF(Setup!$I$15="No",0,M261))</f>
        <v/>
      </c>
      <c r="O261" s="191"/>
      <c r="P261" s="191"/>
      <c r="Q261" s="191"/>
      <c r="R261" s="191"/>
      <c r="S261" s="254" t="str">
        <f>IF(COUNTBLANK(O261:R261)=4,"",SUM(O261:Q261)+IF(Setup!$I$15="No",0,R261))</f>
        <v/>
      </c>
      <c r="T261" s="191"/>
      <c r="U261" s="191"/>
      <c r="V261" s="191"/>
      <c r="W261" s="191"/>
      <c r="X261" s="254" t="str">
        <f>IF(COUNTBLANK(T261:W261)=4,"",SUM(T261:V261)+IF(Setup!$I$15="No",0,W261))</f>
        <v/>
      </c>
      <c r="Y261" s="191"/>
      <c r="Z261" s="191"/>
      <c r="AA261" s="191"/>
      <c r="AB261" s="191"/>
      <c r="AC261" s="254" t="str">
        <f>IF(COUNTBLANK(Y261:AB261)=4,"",SUM(Y261:AA261)+IF(Setup!$I$15="No",0,AB261))</f>
        <v/>
      </c>
      <c r="AD261" s="191"/>
      <c r="AE261" s="191"/>
      <c r="AF261" s="191"/>
      <c r="AG261" s="191"/>
      <c r="AH261" s="254" t="str">
        <f>IF(COUNTBLANK(AD261:AG261)=4,"",SUM(AD261:AF261)+IF(Setup!$I$15="No",0,AG261))</f>
        <v/>
      </c>
      <c r="AI261" s="191"/>
      <c r="AJ261" s="191"/>
      <c r="AK261" s="191"/>
      <c r="AL261" s="191"/>
      <c r="AM261" s="254" t="str">
        <f>IF(COUNTBLANK(AI261:AL261)=4,"",SUM(AI261:AK261)+IF(Setup!$I$15="No",0,AL261))</f>
        <v/>
      </c>
      <c r="AN261" s="191"/>
      <c r="AO261" s="191"/>
      <c r="AP261" s="191"/>
      <c r="AQ261" s="191"/>
      <c r="AR261" s="254" t="str">
        <f>IF(COUNTBLANK(AN261:AQ261)=4,"",SUM(AN261:AP261)+IF(Setup!$I$15="No",0,AQ261))</f>
        <v/>
      </c>
      <c r="AS261" s="191"/>
      <c r="AT261" s="191"/>
      <c r="AU261" s="191"/>
      <c r="AV261" s="191"/>
      <c r="AW261" s="254" t="str">
        <f>IF(COUNTBLANK(AS261:AV261)=4,"",SUM(AS261:AU261)+IF(Setup!$I$15="No",0,AV261))</f>
        <v/>
      </c>
      <c r="AX261" s="191"/>
      <c r="AY261" s="191"/>
      <c r="AZ261" s="191"/>
      <c r="BA261" s="191"/>
      <c r="BB261" s="254" t="str">
        <f>IF(COUNTBLANK(AX261:BA261)=4,"",SUM(AX261:AZ261)+IF(Setup!$I$15="No",0,BA261))</f>
        <v/>
      </c>
      <c r="BC261" s="258" t="str">
        <f ca="1">IF('Demand background (hide)'!A252=Num_Modalities,"",SUM(Demand!I261))</f>
        <v/>
      </c>
      <c r="BD261" s="258" t="str">
        <f ca="1">IF(AND(A261&lt;=MaxRows,BE261&lt;&gt;"Yes"),'Demand background (hide)'!X252+IF(Setup!$I$15="Yes",'Demand background (hide)'!AJ252,0),"")</f>
        <v/>
      </c>
      <c r="BE261" s="208"/>
    </row>
    <row r="262" spans="1:57" ht="15" x14ac:dyDescent="0.25">
      <c r="A262" t="str">
        <f t="shared" ca="1" si="12"/>
        <v/>
      </c>
      <c r="B262" s="263" t="str">
        <f t="shared" ca="1" si="13"/>
        <v xml:space="preserve"> </v>
      </c>
      <c r="C262" s="264" t="str">
        <f t="shared" ca="1" si="14"/>
        <v/>
      </c>
      <c r="D262" s="264" t="str">
        <f t="shared" ca="1" si="15"/>
        <v/>
      </c>
      <c r="E262" s="191"/>
      <c r="F262" s="191"/>
      <c r="G262" s="191"/>
      <c r="H262" s="191"/>
      <c r="I262" s="250" t="str">
        <f>IF(COUNTBLANK(E262:H262)=4,"",SUM(E262:G262)+IF(Setup!$I$15="No",0,H262))</f>
        <v/>
      </c>
      <c r="J262" s="191"/>
      <c r="K262" s="191"/>
      <c r="L262" s="191"/>
      <c r="M262" s="191"/>
      <c r="N262" s="254" t="str">
        <f>IF(COUNTBLANK(J262:M262)=4,"",SUM(J262:L262)+IF(Setup!$I$15="No",0,M262))</f>
        <v/>
      </c>
      <c r="O262" s="191"/>
      <c r="P262" s="191"/>
      <c r="Q262" s="191"/>
      <c r="R262" s="191"/>
      <c r="S262" s="254" t="str">
        <f>IF(COUNTBLANK(O262:R262)=4,"",SUM(O262:Q262)+IF(Setup!$I$15="No",0,R262))</f>
        <v/>
      </c>
      <c r="T262" s="191"/>
      <c r="U262" s="191"/>
      <c r="V262" s="191"/>
      <c r="W262" s="191"/>
      <c r="X262" s="254" t="str">
        <f>IF(COUNTBLANK(T262:W262)=4,"",SUM(T262:V262)+IF(Setup!$I$15="No",0,W262))</f>
        <v/>
      </c>
      <c r="Y262" s="191"/>
      <c r="Z262" s="191"/>
      <c r="AA262" s="191"/>
      <c r="AB262" s="191"/>
      <c r="AC262" s="254" t="str">
        <f>IF(COUNTBLANK(Y262:AB262)=4,"",SUM(Y262:AA262)+IF(Setup!$I$15="No",0,AB262))</f>
        <v/>
      </c>
      <c r="AD262" s="191"/>
      <c r="AE262" s="191"/>
      <c r="AF262" s="191"/>
      <c r="AG262" s="191"/>
      <c r="AH262" s="254" t="str">
        <f>IF(COUNTBLANK(AD262:AG262)=4,"",SUM(AD262:AF262)+IF(Setup!$I$15="No",0,AG262))</f>
        <v/>
      </c>
      <c r="AI262" s="191"/>
      <c r="AJ262" s="191"/>
      <c r="AK262" s="191"/>
      <c r="AL262" s="191"/>
      <c r="AM262" s="254" t="str">
        <f>IF(COUNTBLANK(AI262:AL262)=4,"",SUM(AI262:AK262)+IF(Setup!$I$15="No",0,AL262))</f>
        <v/>
      </c>
      <c r="AN262" s="191"/>
      <c r="AO262" s="191"/>
      <c r="AP262" s="191"/>
      <c r="AQ262" s="191"/>
      <c r="AR262" s="254" t="str">
        <f>IF(COUNTBLANK(AN262:AQ262)=4,"",SUM(AN262:AP262)+IF(Setup!$I$15="No",0,AQ262))</f>
        <v/>
      </c>
      <c r="AS262" s="191"/>
      <c r="AT262" s="191"/>
      <c r="AU262" s="191"/>
      <c r="AV262" s="191"/>
      <c r="AW262" s="254" t="str">
        <f>IF(COUNTBLANK(AS262:AV262)=4,"",SUM(AS262:AU262)+IF(Setup!$I$15="No",0,AV262))</f>
        <v/>
      </c>
      <c r="AX262" s="191"/>
      <c r="AY262" s="191"/>
      <c r="AZ262" s="191"/>
      <c r="BA262" s="191"/>
      <c r="BB262" s="254" t="str">
        <f>IF(COUNTBLANK(AX262:BA262)=4,"",SUM(AX262:AZ262)+IF(Setup!$I$15="No",0,BA262))</f>
        <v/>
      </c>
      <c r="BC262" s="258" t="str">
        <f ca="1">IF('Demand background (hide)'!A253=Num_Modalities,"",SUM(Demand!I262))</f>
        <v/>
      </c>
      <c r="BD262" s="258" t="str">
        <f ca="1">IF(AND(A262&lt;=MaxRows,BE262&lt;&gt;"Yes"),'Demand background (hide)'!X253+IF(Setup!$I$15="Yes",'Demand background (hide)'!AJ253,0),"")</f>
        <v/>
      </c>
      <c r="BE262" s="208"/>
    </row>
    <row r="263" spans="1:57" ht="15" x14ac:dyDescent="0.25">
      <c r="A263" t="str">
        <f t="shared" ca="1" si="12"/>
        <v/>
      </c>
      <c r="B263" s="263" t="str">
        <f t="shared" ca="1" si="13"/>
        <v xml:space="preserve"> </v>
      </c>
      <c r="C263" s="264" t="str">
        <f t="shared" ca="1" si="14"/>
        <v/>
      </c>
      <c r="D263" s="264" t="str">
        <f t="shared" ca="1" si="15"/>
        <v/>
      </c>
      <c r="E263" s="191"/>
      <c r="F263" s="191"/>
      <c r="G263" s="191"/>
      <c r="H263" s="191"/>
      <c r="I263" s="250" t="str">
        <f>IF(COUNTBLANK(E263:H263)=4,"",SUM(E263:G263)+IF(Setup!$I$15="No",0,H263))</f>
        <v/>
      </c>
      <c r="J263" s="191"/>
      <c r="K263" s="191"/>
      <c r="L263" s="191"/>
      <c r="M263" s="191"/>
      <c r="N263" s="254" t="str">
        <f>IF(COUNTBLANK(J263:M263)=4,"",SUM(J263:L263)+IF(Setup!$I$15="No",0,M263))</f>
        <v/>
      </c>
      <c r="O263" s="191"/>
      <c r="P263" s="191"/>
      <c r="Q263" s="191"/>
      <c r="R263" s="191"/>
      <c r="S263" s="254" t="str">
        <f>IF(COUNTBLANK(O263:R263)=4,"",SUM(O263:Q263)+IF(Setup!$I$15="No",0,R263))</f>
        <v/>
      </c>
      <c r="T263" s="191"/>
      <c r="U263" s="191"/>
      <c r="V263" s="191"/>
      <c r="W263" s="191"/>
      <c r="X263" s="254" t="str">
        <f>IF(COUNTBLANK(T263:W263)=4,"",SUM(T263:V263)+IF(Setup!$I$15="No",0,W263))</f>
        <v/>
      </c>
      <c r="Y263" s="191"/>
      <c r="Z263" s="191"/>
      <c r="AA263" s="191"/>
      <c r="AB263" s="191"/>
      <c r="AC263" s="254" t="str">
        <f>IF(COUNTBLANK(Y263:AB263)=4,"",SUM(Y263:AA263)+IF(Setup!$I$15="No",0,AB263))</f>
        <v/>
      </c>
      <c r="AD263" s="191"/>
      <c r="AE263" s="191"/>
      <c r="AF263" s="191"/>
      <c r="AG263" s="191"/>
      <c r="AH263" s="254" t="str">
        <f>IF(COUNTBLANK(AD263:AG263)=4,"",SUM(AD263:AF263)+IF(Setup!$I$15="No",0,AG263))</f>
        <v/>
      </c>
      <c r="AI263" s="191"/>
      <c r="AJ263" s="191"/>
      <c r="AK263" s="191"/>
      <c r="AL263" s="191"/>
      <c r="AM263" s="254" t="str">
        <f>IF(COUNTBLANK(AI263:AL263)=4,"",SUM(AI263:AK263)+IF(Setup!$I$15="No",0,AL263))</f>
        <v/>
      </c>
      <c r="AN263" s="191"/>
      <c r="AO263" s="191"/>
      <c r="AP263" s="191"/>
      <c r="AQ263" s="191"/>
      <c r="AR263" s="254" t="str">
        <f>IF(COUNTBLANK(AN263:AQ263)=4,"",SUM(AN263:AP263)+IF(Setup!$I$15="No",0,AQ263))</f>
        <v/>
      </c>
      <c r="AS263" s="191"/>
      <c r="AT263" s="191"/>
      <c r="AU263" s="191"/>
      <c r="AV263" s="191"/>
      <c r="AW263" s="254" t="str">
        <f>IF(COUNTBLANK(AS263:AV263)=4,"",SUM(AS263:AU263)+IF(Setup!$I$15="No",0,AV263))</f>
        <v/>
      </c>
      <c r="AX263" s="191"/>
      <c r="AY263" s="191"/>
      <c r="AZ263" s="191"/>
      <c r="BA263" s="191"/>
      <c r="BB263" s="254" t="str">
        <f>IF(COUNTBLANK(AX263:BA263)=4,"",SUM(AX263:AZ263)+IF(Setup!$I$15="No",0,BA263))</f>
        <v/>
      </c>
      <c r="BC263" s="258" t="str">
        <f ca="1">IF('Demand background (hide)'!A254=Num_Modalities,"",SUM(Demand!I263))</f>
        <v/>
      </c>
      <c r="BD263" s="258" t="str">
        <f ca="1">IF(AND(A263&lt;=MaxRows,BE263&lt;&gt;"Yes"),'Demand background (hide)'!X254+IF(Setup!$I$15="Yes",'Demand background (hide)'!AJ254,0),"")</f>
        <v/>
      </c>
      <c r="BE263" s="208"/>
    </row>
    <row r="264" spans="1:57" ht="15" x14ac:dyDescent="0.25">
      <c r="A264" t="str">
        <f t="shared" ca="1" si="12"/>
        <v/>
      </c>
      <c r="B264" s="263" t="str">
        <f t="shared" ca="1" si="13"/>
        <v xml:space="preserve"> </v>
      </c>
      <c r="C264" s="264" t="str">
        <f t="shared" ca="1" si="14"/>
        <v/>
      </c>
      <c r="D264" s="264" t="str">
        <f t="shared" ca="1" si="15"/>
        <v/>
      </c>
      <c r="E264" s="191"/>
      <c r="F264" s="191"/>
      <c r="G264" s="191"/>
      <c r="H264" s="191"/>
      <c r="I264" s="250" t="str">
        <f>IF(COUNTBLANK(E264:H264)=4,"",SUM(E264:G264)+IF(Setup!$I$15="No",0,H264))</f>
        <v/>
      </c>
      <c r="J264" s="191"/>
      <c r="K264" s="191"/>
      <c r="L264" s="191"/>
      <c r="M264" s="191"/>
      <c r="N264" s="254" t="str">
        <f>IF(COUNTBLANK(J264:M264)=4,"",SUM(J264:L264)+IF(Setup!$I$15="No",0,M264))</f>
        <v/>
      </c>
      <c r="O264" s="191"/>
      <c r="P264" s="191"/>
      <c r="Q264" s="191"/>
      <c r="R264" s="191"/>
      <c r="S264" s="254" t="str">
        <f>IF(COUNTBLANK(O264:R264)=4,"",SUM(O264:Q264)+IF(Setup!$I$15="No",0,R264))</f>
        <v/>
      </c>
      <c r="T264" s="191"/>
      <c r="U264" s="191"/>
      <c r="V264" s="191"/>
      <c r="W264" s="191"/>
      <c r="X264" s="254" t="str">
        <f>IF(COUNTBLANK(T264:W264)=4,"",SUM(T264:V264)+IF(Setup!$I$15="No",0,W264))</f>
        <v/>
      </c>
      <c r="Y264" s="191"/>
      <c r="Z264" s="191"/>
      <c r="AA264" s="191"/>
      <c r="AB264" s="191"/>
      <c r="AC264" s="254" t="str">
        <f>IF(COUNTBLANK(Y264:AB264)=4,"",SUM(Y264:AA264)+IF(Setup!$I$15="No",0,AB264))</f>
        <v/>
      </c>
      <c r="AD264" s="191"/>
      <c r="AE264" s="191"/>
      <c r="AF264" s="191"/>
      <c r="AG264" s="191"/>
      <c r="AH264" s="254" t="str">
        <f>IF(COUNTBLANK(AD264:AG264)=4,"",SUM(AD264:AF264)+IF(Setup!$I$15="No",0,AG264))</f>
        <v/>
      </c>
      <c r="AI264" s="191"/>
      <c r="AJ264" s="191"/>
      <c r="AK264" s="191"/>
      <c r="AL264" s="191"/>
      <c r="AM264" s="254" t="str">
        <f>IF(COUNTBLANK(AI264:AL264)=4,"",SUM(AI264:AK264)+IF(Setup!$I$15="No",0,AL264))</f>
        <v/>
      </c>
      <c r="AN264" s="191"/>
      <c r="AO264" s="191"/>
      <c r="AP264" s="191"/>
      <c r="AQ264" s="191"/>
      <c r="AR264" s="254" t="str">
        <f>IF(COUNTBLANK(AN264:AQ264)=4,"",SUM(AN264:AP264)+IF(Setup!$I$15="No",0,AQ264))</f>
        <v/>
      </c>
      <c r="AS264" s="191"/>
      <c r="AT264" s="191"/>
      <c r="AU264" s="191"/>
      <c r="AV264" s="191"/>
      <c r="AW264" s="254" t="str">
        <f>IF(COUNTBLANK(AS264:AV264)=4,"",SUM(AS264:AU264)+IF(Setup!$I$15="No",0,AV264))</f>
        <v/>
      </c>
      <c r="AX264" s="191"/>
      <c r="AY264" s="191"/>
      <c r="AZ264" s="191"/>
      <c r="BA264" s="191"/>
      <c r="BB264" s="254" t="str">
        <f>IF(COUNTBLANK(AX264:BA264)=4,"",SUM(AX264:AZ264)+IF(Setup!$I$15="No",0,BA264))</f>
        <v/>
      </c>
      <c r="BC264" s="258" t="str">
        <f ca="1">IF('Demand background (hide)'!A255=Num_Modalities,"",SUM(Demand!I264))</f>
        <v/>
      </c>
      <c r="BD264" s="258" t="str">
        <f ca="1">IF(AND(A264&lt;=MaxRows,BE264&lt;&gt;"Yes"),'Demand background (hide)'!X255+IF(Setup!$I$15="Yes",'Demand background (hide)'!AJ255,0),"")</f>
        <v/>
      </c>
      <c r="BE264" s="208"/>
    </row>
    <row r="265" spans="1:57" ht="15" x14ac:dyDescent="0.25">
      <c r="A265" t="str">
        <f t="shared" ca="1" si="12"/>
        <v/>
      </c>
      <c r="B265" s="263" t="str">
        <f t="shared" ca="1" si="13"/>
        <v xml:space="preserve"> </v>
      </c>
      <c r="C265" s="264" t="str">
        <f t="shared" ca="1" si="14"/>
        <v/>
      </c>
      <c r="D265" s="264" t="str">
        <f t="shared" ca="1" si="15"/>
        <v/>
      </c>
      <c r="E265" s="191"/>
      <c r="F265" s="191"/>
      <c r="G265" s="191"/>
      <c r="H265" s="191"/>
      <c r="I265" s="250" t="str">
        <f>IF(COUNTBLANK(E265:H265)=4,"",SUM(E265:G265)+IF(Setup!$I$15="No",0,H265))</f>
        <v/>
      </c>
      <c r="J265" s="191"/>
      <c r="K265" s="191"/>
      <c r="L265" s="191"/>
      <c r="M265" s="191"/>
      <c r="N265" s="254" t="str">
        <f>IF(COUNTBLANK(J265:M265)=4,"",SUM(J265:L265)+IF(Setup!$I$15="No",0,M265))</f>
        <v/>
      </c>
      <c r="O265" s="191"/>
      <c r="P265" s="191"/>
      <c r="Q265" s="191"/>
      <c r="R265" s="191"/>
      <c r="S265" s="254" t="str">
        <f>IF(COUNTBLANK(O265:R265)=4,"",SUM(O265:Q265)+IF(Setup!$I$15="No",0,R265))</f>
        <v/>
      </c>
      <c r="T265" s="191"/>
      <c r="U265" s="191"/>
      <c r="V265" s="191"/>
      <c r="W265" s="191"/>
      <c r="X265" s="254" t="str">
        <f>IF(COUNTBLANK(T265:W265)=4,"",SUM(T265:V265)+IF(Setup!$I$15="No",0,W265))</f>
        <v/>
      </c>
      <c r="Y265" s="191"/>
      <c r="Z265" s="191"/>
      <c r="AA265" s="191"/>
      <c r="AB265" s="191"/>
      <c r="AC265" s="254" t="str">
        <f>IF(COUNTBLANK(Y265:AB265)=4,"",SUM(Y265:AA265)+IF(Setup!$I$15="No",0,AB265))</f>
        <v/>
      </c>
      <c r="AD265" s="191"/>
      <c r="AE265" s="191"/>
      <c r="AF265" s="191"/>
      <c r="AG265" s="191"/>
      <c r="AH265" s="254" t="str">
        <f>IF(COUNTBLANK(AD265:AG265)=4,"",SUM(AD265:AF265)+IF(Setup!$I$15="No",0,AG265))</f>
        <v/>
      </c>
      <c r="AI265" s="191"/>
      <c r="AJ265" s="191"/>
      <c r="AK265" s="191"/>
      <c r="AL265" s="191"/>
      <c r="AM265" s="254" t="str">
        <f>IF(COUNTBLANK(AI265:AL265)=4,"",SUM(AI265:AK265)+IF(Setup!$I$15="No",0,AL265))</f>
        <v/>
      </c>
      <c r="AN265" s="191"/>
      <c r="AO265" s="191"/>
      <c r="AP265" s="191"/>
      <c r="AQ265" s="191"/>
      <c r="AR265" s="254" t="str">
        <f>IF(COUNTBLANK(AN265:AQ265)=4,"",SUM(AN265:AP265)+IF(Setup!$I$15="No",0,AQ265))</f>
        <v/>
      </c>
      <c r="AS265" s="191"/>
      <c r="AT265" s="191"/>
      <c r="AU265" s="191"/>
      <c r="AV265" s="191"/>
      <c r="AW265" s="254" t="str">
        <f>IF(COUNTBLANK(AS265:AV265)=4,"",SUM(AS265:AU265)+IF(Setup!$I$15="No",0,AV265))</f>
        <v/>
      </c>
      <c r="AX265" s="191"/>
      <c r="AY265" s="191"/>
      <c r="AZ265" s="191"/>
      <c r="BA265" s="191"/>
      <c r="BB265" s="254" t="str">
        <f>IF(COUNTBLANK(AX265:BA265)=4,"",SUM(AX265:AZ265)+IF(Setup!$I$15="No",0,BA265))</f>
        <v/>
      </c>
      <c r="BC265" s="258" t="str">
        <f ca="1">IF('Demand background (hide)'!A256=Num_Modalities,"",SUM(Demand!I265))</f>
        <v/>
      </c>
      <c r="BD265" s="258" t="str">
        <f ca="1">IF(AND(A265&lt;=MaxRows,BE265&lt;&gt;"Yes"),'Demand background (hide)'!X256+IF(Setup!$I$15="Yes",'Demand background (hide)'!AJ256,0),"")</f>
        <v/>
      </c>
      <c r="BE265" s="208"/>
    </row>
    <row r="266" spans="1:57" ht="15" x14ac:dyDescent="0.25">
      <c r="A266" t="str">
        <f t="shared" ca="1" si="12"/>
        <v/>
      </c>
      <c r="B266" s="263" t="str">
        <f t="shared" ca="1" si="13"/>
        <v xml:space="preserve"> </v>
      </c>
      <c r="C266" s="264" t="str">
        <f t="shared" ca="1" si="14"/>
        <v/>
      </c>
      <c r="D266" s="264" t="str">
        <f t="shared" ca="1" si="15"/>
        <v/>
      </c>
      <c r="E266" s="191"/>
      <c r="F266" s="191"/>
      <c r="G266" s="191"/>
      <c r="H266" s="191"/>
      <c r="I266" s="250" t="str">
        <f>IF(COUNTBLANK(E266:H266)=4,"",SUM(E266:G266)+IF(Setup!$I$15="No",0,H266))</f>
        <v/>
      </c>
      <c r="J266" s="191"/>
      <c r="K266" s="191"/>
      <c r="L266" s="191"/>
      <c r="M266" s="191"/>
      <c r="N266" s="254" t="str">
        <f>IF(COUNTBLANK(J266:M266)=4,"",SUM(J266:L266)+IF(Setup!$I$15="No",0,M266))</f>
        <v/>
      </c>
      <c r="O266" s="191"/>
      <c r="P266" s="191"/>
      <c r="Q266" s="191"/>
      <c r="R266" s="191"/>
      <c r="S266" s="254" t="str">
        <f>IF(COUNTBLANK(O266:R266)=4,"",SUM(O266:Q266)+IF(Setup!$I$15="No",0,R266))</f>
        <v/>
      </c>
      <c r="T266" s="191"/>
      <c r="U266" s="191"/>
      <c r="V266" s="191"/>
      <c r="W266" s="191"/>
      <c r="X266" s="254" t="str">
        <f>IF(COUNTBLANK(T266:W266)=4,"",SUM(T266:V266)+IF(Setup!$I$15="No",0,W266))</f>
        <v/>
      </c>
      <c r="Y266" s="191"/>
      <c r="Z266" s="191"/>
      <c r="AA266" s="191"/>
      <c r="AB266" s="191"/>
      <c r="AC266" s="254" t="str">
        <f>IF(COUNTBLANK(Y266:AB266)=4,"",SUM(Y266:AA266)+IF(Setup!$I$15="No",0,AB266))</f>
        <v/>
      </c>
      <c r="AD266" s="191"/>
      <c r="AE266" s="191"/>
      <c r="AF266" s="191"/>
      <c r="AG266" s="191"/>
      <c r="AH266" s="254" t="str">
        <f>IF(COUNTBLANK(AD266:AG266)=4,"",SUM(AD266:AF266)+IF(Setup!$I$15="No",0,AG266))</f>
        <v/>
      </c>
      <c r="AI266" s="191"/>
      <c r="AJ266" s="191"/>
      <c r="AK266" s="191"/>
      <c r="AL266" s="191"/>
      <c r="AM266" s="254" t="str">
        <f>IF(COUNTBLANK(AI266:AL266)=4,"",SUM(AI266:AK266)+IF(Setup!$I$15="No",0,AL266))</f>
        <v/>
      </c>
      <c r="AN266" s="191"/>
      <c r="AO266" s="191"/>
      <c r="AP266" s="191"/>
      <c r="AQ266" s="191"/>
      <c r="AR266" s="254" t="str">
        <f>IF(COUNTBLANK(AN266:AQ266)=4,"",SUM(AN266:AP266)+IF(Setup!$I$15="No",0,AQ266))</f>
        <v/>
      </c>
      <c r="AS266" s="191"/>
      <c r="AT266" s="191"/>
      <c r="AU266" s="191"/>
      <c r="AV266" s="191"/>
      <c r="AW266" s="254" t="str">
        <f>IF(COUNTBLANK(AS266:AV266)=4,"",SUM(AS266:AU266)+IF(Setup!$I$15="No",0,AV266))</f>
        <v/>
      </c>
      <c r="AX266" s="191"/>
      <c r="AY266" s="191"/>
      <c r="AZ266" s="191"/>
      <c r="BA266" s="191"/>
      <c r="BB266" s="254" t="str">
        <f>IF(COUNTBLANK(AX266:BA266)=4,"",SUM(AX266:AZ266)+IF(Setup!$I$15="No",0,BA266))</f>
        <v/>
      </c>
      <c r="BC266" s="258" t="str">
        <f ca="1">IF('Demand background (hide)'!A257=Num_Modalities,"",SUM(Demand!I266))</f>
        <v/>
      </c>
      <c r="BD266" s="258" t="str">
        <f ca="1">IF(AND(A266&lt;=MaxRows,BE266&lt;&gt;"Yes"),'Demand background (hide)'!X257+IF(Setup!$I$15="Yes",'Demand background (hide)'!AJ257,0),"")</f>
        <v/>
      </c>
      <c r="BE266" s="208"/>
    </row>
    <row r="267" spans="1:57" ht="15" x14ac:dyDescent="0.25">
      <c r="A267" t="str">
        <f t="shared" ca="1" si="12"/>
        <v/>
      </c>
      <c r="B267" s="263" t="str">
        <f t="shared" ca="1" si="13"/>
        <v xml:space="preserve"> </v>
      </c>
      <c r="C267" s="264" t="str">
        <f t="shared" ca="1" si="14"/>
        <v/>
      </c>
      <c r="D267" s="264" t="str">
        <f t="shared" ca="1" si="15"/>
        <v/>
      </c>
      <c r="E267" s="191"/>
      <c r="F267" s="191"/>
      <c r="G267" s="191"/>
      <c r="H267" s="191"/>
      <c r="I267" s="250" t="str">
        <f>IF(COUNTBLANK(E267:H267)=4,"",SUM(E267:G267)+IF(Setup!$I$15="No",0,H267))</f>
        <v/>
      </c>
      <c r="J267" s="191"/>
      <c r="K267" s="191"/>
      <c r="L267" s="191"/>
      <c r="M267" s="191"/>
      <c r="N267" s="254" t="str">
        <f>IF(COUNTBLANK(J267:M267)=4,"",SUM(J267:L267)+IF(Setup!$I$15="No",0,M267))</f>
        <v/>
      </c>
      <c r="O267" s="191"/>
      <c r="P267" s="191"/>
      <c r="Q267" s="191"/>
      <c r="R267" s="191"/>
      <c r="S267" s="254" t="str">
        <f>IF(COUNTBLANK(O267:R267)=4,"",SUM(O267:Q267)+IF(Setup!$I$15="No",0,R267))</f>
        <v/>
      </c>
      <c r="T267" s="191"/>
      <c r="U267" s="191"/>
      <c r="V267" s="191"/>
      <c r="W267" s="191"/>
      <c r="X267" s="254" t="str">
        <f>IF(COUNTBLANK(T267:W267)=4,"",SUM(T267:V267)+IF(Setup!$I$15="No",0,W267))</f>
        <v/>
      </c>
      <c r="Y267" s="191"/>
      <c r="Z267" s="191"/>
      <c r="AA267" s="191"/>
      <c r="AB267" s="191"/>
      <c r="AC267" s="254" t="str">
        <f>IF(COUNTBLANK(Y267:AB267)=4,"",SUM(Y267:AA267)+IF(Setup!$I$15="No",0,AB267))</f>
        <v/>
      </c>
      <c r="AD267" s="191"/>
      <c r="AE267" s="191"/>
      <c r="AF267" s="191"/>
      <c r="AG267" s="191"/>
      <c r="AH267" s="254" t="str">
        <f>IF(COUNTBLANK(AD267:AG267)=4,"",SUM(AD267:AF267)+IF(Setup!$I$15="No",0,AG267))</f>
        <v/>
      </c>
      <c r="AI267" s="191"/>
      <c r="AJ267" s="191"/>
      <c r="AK267" s="191"/>
      <c r="AL267" s="191"/>
      <c r="AM267" s="254" t="str">
        <f>IF(COUNTBLANK(AI267:AL267)=4,"",SUM(AI267:AK267)+IF(Setup!$I$15="No",0,AL267))</f>
        <v/>
      </c>
      <c r="AN267" s="191"/>
      <c r="AO267" s="191"/>
      <c r="AP267" s="191"/>
      <c r="AQ267" s="191"/>
      <c r="AR267" s="254" t="str">
        <f>IF(COUNTBLANK(AN267:AQ267)=4,"",SUM(AN267:AP267)+IF(Setup!$I$15="No",0,AQ267))</f>
        <v/>
      </c>
      <c r="AS267" s="191"/>
      <c r="AT267" s="191"/>
      <c r="AU267" s="191"/>
      <c r="AV267" s="191"/>
      <c r="AW267" s="254" t="str">
        <f>IF(COUNTBLANK(AS267:AV267)=4,"",SUM(AS267:AU267)+IF(Setup!$I$15="No",0,AV267))</f>
        <v/>
      </c>
      <c r="AX267" s="191"/>
      <c r="AY267" s="191"/>
      <c r="AZ267" s="191"/>
      <c r="BA267" s="191"/>
      <c r="BB267" s="254" t="str">
        <f>IF(COUNTBLANK(AX267:BA267)=4,"",SUM(AX267:AZ267)+IF(Setup!$I$15="No",0,BA267))</f>
        <v/>
      </c>
      <c r="BC267" s="258" t="str">
        <f ca="1">IF('Demand background (hide)'!A258=Num_Modalities,"",SUM(Demand!I267))</f>
        <v/>
      </c>
      <c r="BD267" s="258" t="str">
        <f ca="1">IF(AND(A267&lt;=MaxRows,BE267&lt;&gt;"Yes"),'Demand background (hide)'!X258+IF(Setup!$I$15="Yes",'Demand background (hide)'!AJ258,0),"")</f>
        <v/>
      </c>
      <c r="BE267" s="208"/>
    </row>
    <row r="268" spans="1:57" ht="15" x14ac:dyDescent="0.25">
      <c r="A268" t="str">
        <f t="shared" ca="1" si="12"/>
        <v/>
      </c>
      <c r="B268" s="263" t="str">
        <f t="shared" ca="1" si="13"/>
        <v xml:space="preserve"> </v>
      </c>
      <c r="C268" s="264" t="str">
        <f t="shared" ca="1" si="14"/>
        <v/>
      </c>
      <c r="D268" s="264" t="str">
        <f t="shared" ca="1" si="15"/>
        <v/>
      </c>
      <c r="E268" s="191"/>
      <c r="F268" s="191"/>
      <c r="G268" s="191"/>
      <c r="H268" s="191"/>
      <c r="I268" s="250" t="str">
        <f>IF(COUNTBLANK(E268:H268)=4,"",SUM(E268:G268)+IF(Setup!$I$15="No",0,H268))</f>
        <v/>
      </c>
      <c r="J268" s="191"/>
      <c r="K268" s="191"/>
      <c r="L268" s="191"/>
      <c r="M268" s="191"/>
      <c r="N268" s="254" t="str">
        <f>IF(COUNTBLANK(J268:M268)=4,"",SUM(J268:L268)+IF(Setup!$I$15="No",0,M268))</f>
        <v/>
      </c>
      <c r="O268" s="191"/>
      <c r="P268" s="191"/>
      <c r="Q268" s="191"/>
      <c r="R268" s="191"/>
      <c r="S268" s="254" t="str">
        <f>IF(COUNTBLANK(O268:R268)=4,"",SUM(O268:Q268)+IF(Setup!$I$15="No",0,R268))</f>
        <v/>
      </c>
      <c r="T268" s="191"/>
      <c r="U268" s="191"/>
      <c r="V268" s="191"/>
      <c r="W268" s="191"/>
      <c r="X268" s="254" t="str">
        <f>IF(COUNTBLANK(T268:W268)=4,"",SUM(T268:V268)+IF(Setup!$I$15="No",0,W268))</f>
        <v/>
      </c>
      <c r="Y268" s="191"/>
      <c r="Z268" s="191"/>
      <c r="AA268" s="191"/>
      <c r="AB268" s="191"/>
      <c r="AC268" s="254" t="str">
        <f>IF(COUNTBLANK(Y268:AB268)=4,"",SUM(Y268:AA268)+IF(Setup!$I$15="No",0,AB268))</f>
        <v/>
      </c>
      <c r="AD268" s="191"/>
      <c r="AE268" s="191"/>
      <c r="AF268" s="191"/>
      <c r="AG268" s="191"/>
      <c r="AH268" s="254" t="str">
        <f>IF(COUNTBLANK(AD268:AG268)=4,"",SUM(AD268:AF268)+IF(Setup!$I$15="No",0,AG268))</f>
        <v/>
      </c>
      <c r="AI268" s="191"/>
      <c r="AJ268" s="191"/>
      <c r="AK268" s="191"/>
      <c r="AL268" s="191"/>
      <c r="AM268" s="254" t="str">
        <f>IF(COUNTBLANK(AI268:AL268)=4,"",SUM(AI268:AK268)+IF(Setup!$I$15="No",0,AL268))</f>
        <v/>
      </c>
      <c r="AN268" s="191"/>
      <c r="AO268" s="191"/>
      <c r="AP268" s="191"/>
      <c r="AQ268" s="191"/>
      <c r="AR268" s="254" t="str">
        <f>IF(COUNTBLANK(AN268:AQ268)=4,"",SUM(AN268:AP268)+IF(Setup!$I$15="No",0,AQ268))</f>
        <v/>
      </c>
      <c r="AS268" s="191"/>
      <c r="AT268" s="191"/>
      <c r="AU268" s="191"/>
      <c r="AV268" s="191"/>
      <c r="AW268" s="254" t="str">
        <f>IF(COUNTBLANK(AS268:AV268)=4,"",SUM(AS268:AU268)+IF(Setup!$I$15="No",0,AV268))</f>
        <v/>
      </c>
      <c r="AX268" s="191"/>
      <c r="AY268" s="191"/>
      <c r="AZ268" s="191"/>
      <c r="BA268" s="191"/>
      <c r="BB268" s="254" t="str">
        <f>IF(COUNTBLANK(AX268:BA268)=4,"",SUM(AX268:AZ268)+IF(Setup!$I$15="No",0,BA268))</f>
        <v/>
      </c>
      <c r="BC268" s="258" t="str">
        <f ca="1">IF('Demand background (hide)'!A259=Num_Modalities,"",SUM(Demand!I268))</f>
        <v/>
      </c>
      <c r="BD268" s="258" t="str">
        <f ca="1">IF(AND(A268&lt;=MaxRows,BE268&lt;&gt;"Yes"),'Demand background (hide)'!X259+IF(Setup!$I$15="Yes",'Demand background (hide)'!AJ259,0),"")</f>
        <v/>
      </c>
      <c r="BE268" s="208"/>
    </row>
    <row r="269" spans="1:57" ht="15" x14ac:dyDescent="0.25">
      <c r="A269" t="str">
        <f t="shared" ref="A269:A272" ca="1" si="16">IF(BC269&lt;&gt;"",ROW(A257),"")</f>
        <v/>
      </c>
      <c r="B269" s="263" t="str">
        <f t="shared" ca="1" si="13"/>
        <v xml:space="preserve"> </v>
      </c>
      <c r="C269" s="264" t="str">
        <f t="shared" ca="1" si="14"/>
        <v/>
      </c>
      <c r="D269" s="264" t="str">
        <f t="shared" ca="1" si="15"/>
        <v/>
      </c>
      <c r="E269" s="191"/>
      <c r="F269" s="191"/>
      <c r="G269" s="191"/>
      <c r="H269" s="191"/>
      <c r="I269" s="250" t="str">
        <f>IF(COUNTBLANK(E269:H269)=4,"",SUM(E269:G269)+IF(Setup!$I$15="No",0,H269))</f>
        <v/>
      </c>
      <c r="J269" s="191"/>
      <c r="K269" s="191"/>
      <c r="L269" s="191"/>
      <c r="M269" s="191"/>
      <c r="N269" s="254" t="str">
        <f>IF(COUNTBLANK(J269:M269)=4,"",SUM(J269:L269)+IF(Setup!$I$15="No",0,M269))</f>
        <v/>
      </c>
      <c r="O269" s="191"/>
      <c r="P269" s="191"/>
      <c r="Q269" s="191"/>
      <c r="R269" s="191"/>
      <c r="S269" s="254" t="str">
        <f>IF(COUNTBLANK(O269:R269)=4,"",SUM(O269:Q269)+IF(Setup!$I$15="No",0,R269))</f>
        <v/>
      </c>
      <c r="T269" s="191"/>
      <c r="U269" s="191"/>
      <c r="V269" s="191"/>
      <c r="W269" s="191"/>
      <c r="X269" s="254" t="str">
        <f>IF(COUNTBLANK(T269:W269)=4,"",SUM(T269:V269)+IF(Setup!$I$15="No",0,W269))</f>
        <v/>
      </c>
      <c r="Y269" s="191"/>
      <c r="Z269" s="191"/>
      <c r="AA269" s="191"/>
      <c r="AB269" s="191"/>
      <c r="AC269" s="254" t="str">
        <f>IF(COUNTBLANK(Y269:AB269)=4,"",SUM(Y269:AA269)+IF(Setup!$I$15="No",0,AB269))</f>
        <v/>
      </c>
      <c r="AD269" s="191"/>
      <c r="AE269" s="191"/>
      <c r="AF269" s="191"/>
      <c r="AG269" s="191"/>
      <c r="AH269" s="254" t="str">
        <f>IF(COUNTBLANK(AD269:AG269)=4,"",SUM(AD269:AF269)+IF(Setup!$I$15="No",0,AG269))</f>
        <v/>
      </c>
      <c r="AI269" s="191"/>
      <c r="AJ269" s="191"/>
      <c r="AK269" s="191"/>
      <c r="AL269" s="191"/>
      <c r="AM269" s="254" t="str">
        <f>IF(COUNTBLANK(AI269:AL269)=4,"",SUM(AI269:AK269)+IF(Setup!$I$15="No",0,AL269))</f>
        <v/>
      </c>
      <c r="AN269" s="191"/>
      <c r="AO269" s="191"/>
      <c r="AP269" s="191"/>
      <c r="AQ269" s="191"/>
      <c r="AR269" s="254" t="str">
        <f>IF(COUNTBLANK(AN269:AQ269)=4,"",SUM(AN269:AP269)+IF(Setup!$I$15="No",0,AQ269))</f>
        <v/>
      </c>
      <c r="AS269" s="191"/>
      <c r="AT269" s="191"/>
      <c r="AU269" s="191"/>
      <c r="AV269" s="191"/>
      <c r="AW269" s="254" t="str">
        <f>IF(COUNTBLANK(AS269:AV269)=4,"",SUM(AS269:AU269)+IF(Setup!$I$15="No",0,AV269))</f>
        <v/>
      </c>
      <c r="AX269" s="191"/>
      <c r="AY269" s="191"/>
      <c r="AZ269" s="191"/>
      <c r="BA269" s="191"/>
      <c r="BB269" s="254" t="str">
        <f>IF(COUNTBLANK(AX269:BA269)=4,"",SUM(AX269:AZ269)+IF(Setup!$I$15="No",0,BA269))</f>
        <v/>
      </c>
      <c r="BC269" s="258" t="str">
        <f ca="1">IF('Demand background (hide)'!A260=Num_Modalities,"",SUM(Demand!I269))</f>
        <v/>
      </c>
      <c r="BD269" s="258" t="str">
        <f ca="1">IF(AND(A269&lt;=MaxRows,BE269&lt;&gt;"Yes"),'Demand background (hide)'!X260+IF(Setup!$I$15="Yes",'Demand background (hide)'!AJ260,0),"")</f>
        <v/>
      </c>
      <c r="BE269" s="208"/>
    </row>
    <row r="270" spans="1:57" ht="15" x14ac:dyDescent="0.25">
      <c r="A270" t="str">
        <f t="shared" ca="1" si="16"/>
        <v/>
      </c>
      <c r="B270" s="263" t="str">
        <f t="shared" ref="B270:B272" ca="1" si="17">IF(A270&lt;=MaxRows,IF($C$6&lt;&gt;"",IF(YEAR(D270)&lt;&gt;YEAR(D269),YEAR(D270)," "),IF(C270&lt;&gt;1,"",OFFSET(B270,-C269,0,1,1)+1))," ")</f>
        <v xml:space="preserve"> </v>
      </c>
      <c r="C270" s="264" t="str">
        <f t="shared" ref="C270:C272" ca="1" si="18">IF(ROW(A258)&lt;=MaxRows,IF($C$6&lt;&gt;"",WEEKNUM(D270,21),IF(MOD((C269+1),52)&gt;0,MOD((C269+1),52),52)),"")</f>
        <v/>
      </c>
      <c r="D270" s="264" t="str">
        <f t="shared" ref="D270:D272" ca="1" si="19">IF(OR(AND(ROW(A258)&lt;=MaxRows,$C$6&lt;&gt;""),AND(ROW(A270)&lt;=64,LEFT($C$8,1)&lt;&gt;"H")),D269+7,"")</f>
        <v/>
      </c>
      <c r="E270" s="191"/>
      <c r="F270" s="191"/>
      <c r="G270" s="191"/>
      <c r="H270" s="191"/>
      <c r="I270" s="250" t="str">
        <f>IF(COUNTBLANK(E270:H270)=4,"",SUM(E270:G270)+IF(Setup!$I$15="No",0,H270))</f>
        <v/>
      </c>
      <c r="J270" s="191"/>
      <c r="K270" s="191"/>
      <c r="L270" s="191"/>
      <c r="M270" s="191"/>
      <c r="N270" s="254" t="str">
        <f>IF(COUNTBLANK(J270:M270)=4,"",SUM(J270:L270)+IF(Setup!$I$15="No",0,M270))</f>
        <v/>
      </c>
      <c r="O270" s="191"/>
      <c r="P270" s="191"/>
      <c r="Q270" s="191"/>
      <c r="R270" s="191"/>
      <c r="S270" s="254" t="str">
        <f>IF(COUNTBLANK(O270:R270)=4,"",SUM(O270:Q270)+IF(Setup!$I$15="No",0,R270))</f>
        <v/>
      </c>
      <c r="T270" s="191"/>
      <c r="U270" s="191"/>
      <c r="V270" s="191"/>
      <c r="W270" s="191"/>
      <c r="X270" s="254" t="str">
        <f>IF(COUNTBLANK(T270:W270)=4,"",SUM(T270:V270)+IF(Setup!$I$15="No",0,W270))</f>
        <v/>
      </c>
      <c r="Y270" s="191"/>
      <c r="Z270" s="191"/>
      <c r="AA270" s="191"/>
      <c r="AB270" s="191"/>
      <c r="AC270" s="254" t="str">
        <f>IF(COUNTBLANK(Y270:AB270)=4,"",SUM(Y270:AA270)+IF(Setup!$I$15="No",0,AB270))</f>
        <v/>
      </c>
      <c r="AD270" s="191"/>
      <c r="AE270" s="191"/>
      <c r="AF270" s="191"/>
      <c r="AG270" s="191"/>
      <c r="AH270" s="254" t="str">
        <f>IF(COUNTBLANK(AD270:AG270)=4,"",SUM(AD270:AF270)+IF(Setup!$I$15="No",0,AG270))</f>
        <v/>
      </c>
      <c r="AI270" s="191"/>
      <c r="AJ270" s="191"/>
      <c r="AK270" s="191"/>
      <c r="AL270" s="191"/>
      <c r="AM270" s="254" t="str">
        <f>IF(COUNTBLANK(AI270:AL270)=4,"",SUM(AI270:AK270)+IF(Setup!$I$15="No",0,AL270))</f>
        <v/>
      </c>
      <c r="AN270" s="191"/>
      <c r="AO270" s="191"/>
      <c r="AP270" s="191"/>
      <c r="AQ270" s="191"/>
      <c r="AR270" s="254" t="str">
        <f>IF(COUNTBLANK(AN270:AQ270)=4,"",SUM(AN270:AP270)+IF(Setup!$I$15="No",0,AQ270))</f>
        <v/>
      </c>
      <c r="AS270" s="191"/>
      <c r="AT270" s="191"/>
      <c r="AU270" s="191"/>
      <c r="AV270" s="191"/>
      <c r="AW270" s="254" t="str">
        <f>IF(COUNTBLANK(AS270:AV270)=4,"",SUM(AS270:AU270)+IF(Setup!$I$15="No",0,AV270))</f>
        <v/>
      </c>
      <c r="AX270" s="191"/>
      <c r="AY270" s="191"/>
      <c r="AZ270" s="191"/>
      <c r="BA270" s="191"/>
      <c r="BB270" s="254" t="str">
        <f>IF(COUNTBLANK(AX270:BA270)=4,"",SUM(AX270:AZ270)+IF(Setup!$I$15="No",0,BA270))</f>
        <v/>
      </c>
      <c r="BC270" s="258" t="str">
        <f ca="1">IF('Demand background (hide)'!A261=Num_Modalities,"",SUM(Demand!I270))</f>
        <v/>
      </c>
      <c r="BD270" s="258" t="str">
        <f ca="1">IF(AND(A270&lt;=MaxRows,BE270&lt;&gt;"Yes"),'Demand background (hide)'!X261+IF(Setup!$I$15="Yes",'Demand background (hide)'!AJ261,0),"")</f>
        <v/>
      </c>
      <c r="BE270" s="208"/>
    </row>
    <row r="271" spans="1:57" ht="15" x14ac:dyDescent="0.25">
      <c r="A271" t="str">
        <f t="shared" ca="1" si="16"/>
        <v/>
      </c>
      <c r="B271" s="263" t="str">
        <f t="shared" ca="1" si="17"/>
        <v xml:space="preserve"> </v>
      </c>
      <c r="C271" s="264" t="str">
        <f t="shared" ca="1" si="18"/>
        <v/>
      </c>
      <c r="D271" s="264" t="str">
        <f t="shared" ca="1" si="19"/>
        <v/>
      </c>
      <c r="E271" s="191"/>
      <c r="F271" s="191"/>
      <c r="G271" s="191"/>
      <c r="H271" s="191"/>
      <c r="I271" s="250" t="str">
        <f>IF(COUNTBLANK(E271:H271)=4,"",SUM(E271:G271)+IF(Setup!$I$15="No",0,H271))</f>
        <v/>
      </c>
      <c r="J271" s="191"/>
      <c r="K271" s="191"/>
      <c r="L271" s="191"/>
      <c r="M271" s="191"/>
      <c r="N271" s="254" t="str">
        <f>IF(COUNTBLANK(J271:M271)=4,"",SUM(J271:L271)+IF(Setup!$I$15="No",0,M271))</f>
        <v/>
      </c>
      <c r="O271" s="191"/>
      <c r="P271" s="191"/>
      <c r="Q271" s="191"/>
      <c r="R271" s="191"/>
      <c r="S271" s="254" t="str">
        <f>IF(COUNTBLANK(O271:R271)=4,"",SUM(O271:Q271)+IF(Setup!$I$15="No",0,R271))</f>
        <v/>
      </c>
      <c r="T271" s="191"/>
      <c r="U271" s="191"/>
      <c r="V271" s="191"/>
      <c r="W271" s="191"/>
      <c r="X271" s="254" t="str">
        <f>IF(COUNTBLANK(T271:W271)=4,"",SUM(T271:V271)+IF(Setup!$I$15="No",0,W271))</f>
        <v/>
      </c>
      <c r="Y271" s="191"/>
      <c r="Z271" s="191"/>
      <c r="AA271" s="191"/>
      <c r="AB271" s="191"/>
      <c r="AC271" s="254" t="str">
        <f>IF(COUNTBLANK(Y271:AB271)=4,"",SUM(Y271:AA271)+IF(Setup!$I$15="No",0,AB271))</f>
        <v/>
      </c>
      <c r="AD271" s="191"/>
      <c r="AE271" s="191"/>
      <c r="AF271" s="191"/>
      <c r="AG271" s="191"/>
      <c r="AH271" s="254" t="str">
        <f>IF(COUNTBLANK(AD271:AG271)=4,"",SUM(AD271:AF271)+IF(Setup!$I$15="No",0,AG271))</f>
        <v/>
      </c>
      <c r="AI271" s="191"/>
      <c r="AJ271" s="191"/>
      <c r="AK271" s="191"/>
      <c r="AL271" s="191"/>
      <c r="AM271" s="254" t="str">
        <f>IF(COUNTBLANK(AI271:AL271)=4,"",SUM(AI271:AK271)+IF(Setup!$I$15="No",0,AL271))</f>
        <v/>
      </c>
      <c r="AN271" s="191"/>
      <c r="AO271" s="191"/>
      <c r="AP271" s="191"/>
      <c r="AQ271" s="191"/>
      <c r="AR271" s="254" t="str">
        <f>IF(COUNTBLANK(AN271:AQ271)=4,"",SUM(AN271:AP271)+IF(Setup!$I$15="No",0,AQ271))</f>
        <v/>
      </c>
      <c r="AS271" s="191"/>
      <c r="AT271" s="191"/>
      <c r="AU271" s="191"/>
      <c r="AV271" s="191"/>
      <c r="AW271" s="254" t="str">
        <f>IF(COUNTBLANK(AS271:AV271)=4,"",SUM(AS271:AU271)+IF(Setup!$I$15="No",0,AV271))</f>
        <v/>
      </c>
      <c r="AX271" s="191"/>
      <c r="AY271" s="191"/>
      <c r="AZ271" s="191"/>
      <c r="BA271" s="191"/>
      <c r="BB271" s="254" t="str">
        <f>IF(COUNTBLANK(AX271:BA271)=4,"",SUM(AX271:AZ271)+IF(Setup!$I$15="No",0,BA271))</f>
        <v/>
      </c>
      <c r="BC271" s="258" t="str">
        <f ca="1">IF('Demand background (hide)'!A262=Num_Modalities,"",SUM(Demand!I271))</f>
        <v/>
      </c>
      <c r="BD271" s="258" t="str">
        <f ca="1">IF(AND(A271&lt;=MaxRows,BE271&lt;&gt;"Yes"),'Demand background (hide)'!X262+IF(Setup!$I$15="Yes",'Demand background (hide)'!AJ262,0),"")</f>
        <v/>
      </c>
      <c r="BE271" s="208"/>
    </row>
    <row r="272" spans="1:57" ht="15" x14ac:dyDescent="0.25">
      <c r="A272" t="str">
        <f t="shared" ca="1" si="16"/>
        <v/>
      </c>
      <c r="B272" s="263" t="str">
        <f t="shared" ca="1" si="17"/>
        <v xml:space="preserve"> </v>
      </c>
      <c r="C272" s="264" t="str">
        <f t="shared" ca="1" si="18"/>
        <v/>
      </c>
      <c r="D272" s="264" t="str">
        <f t="shared" ca="1" si="19"/>
        <v/>
      </c>
      <c r="E272" s="191"/>
      <c r="F272" s="191"/>
      <c r="G272" s="191"/>
      <c r="H272" s="191"/>
      <c r="I272" s="250" t="str">
        <f>IF(COUNTBLANK(E272:H272)=4,"",SUM(E272:G272)+IF(Setup!$I$15="No",0,H272))</f>
        <v/>
      </c>
      <c r="J272" s="191"/>
      <c r="K272" s="191"/>
      <c r="L272" s="191"/>
      <c r="M272" s="191"/>
      <c r="N272" s="254" t="str">
        <f>IF(COUNTBLANK(J272:M272)=4,"",SUM(J272:L272)+IF(Setup!$I$15="No",0,M272))</f>
        <v/>
      </c>
      <c r="O272" s="191"/>
      <c r="P272" s="191"/>
      <c r="Q272" s="191"/>
      <c r="R272" s="191"/>
      <c r="S272" s="254" t="str">
        <f>IF(COUNTBLANK(O272:R272)=4,"",SUM(O272:Q272)+IF(Setup!$I$15="No",0,R272))</f>
        <v/>
      </c>
      <c r="T272" s="191"/>
      <c r="U272" s="191"/>
      <c r="V272" s="191"/>
      <c r="W272" s="191"/>
      <c r="X272" s="254" t="str">
        <f>IF(COUNTBLANK(T272:W272)=4,"",SUM(T272:V272)+IF(Setup!$I$15="No",0,W272))</f>
        <v/>
      </c>
      <c r="Y272" s="191"/>
      <c r="Z272" s="191"/>
      <c r="AA272" s="191"/>
      <c r="AB272" s="191"/>
      <c r="AC272" s="254" t="str">
        <f>IF(COUNTBLANK(Y272:AB272)=4,"",SUM(Y272:AA272)+IF(Setup!$I$15="No",0,AB272))</f>
        <v/>
      </c>
      <c r="AD272" s="191"/>
      <c r="AE272" s="191"/>
      <c r="AF272" s="191"/>
      <c r="AG272" s="191"/>
      <c r="AH272" s="254" t="str">
        <f>IF(COUNTBLANK(AD272:AG272)=4,"",SUM(AD272:AF272)+IF(Setup!$I$15="No",0,AG272))</f>
        <v/>
      </c>
      <c r="AI272" s="191"/>
      <c r="AJ272" s="191"/>
      <c r="AK272" s="191"/>
      <c r="AL272" s="191"/>
      <c r="AM272" s="254" t="str">
        <f>IF(COUNTBLANK(AI272:AL272)=4,"",SUM(AI272:AK272)+IF(Setup!$I$15="No",0,AL272))</f>
        <v/>
      </c>
      <c r="AN272" s="191"/>
      <c r="AO272" s="191"/>
      <c r="AP272" s="191"/>
      <c r="AQ272" s="191"/>
      <c r="AR272" s="254" t="str">
        <f>IF(COUNTBLANK(AN272:AQ272)=4,"",SUM(AN272:AP272)+IF(Setup!$I$15="No",0,AQ272))</f>
        <v/>
      </c>
      <c r="AS272" s="191"/>
      <c r="AT272" s="191"/>
      <c r="AU272" s="191"/>
      <c r="AV272" s="191"/>
      <c r="AW272" s="254" t="str">
        <f>IF(COUNTBLANK(AS272:AV272)=4,"",SUM(AS272:AU272)+IF(Setup!$I$15="No",0,AV272))</f>
        <v/>
      </c>
      <c r="AX272" s="191"/>
      <c r="AY272" s="191"/>
      <c r="AZ272" s="191"/>
      <c r="BA272" s="191"/>
      <c r="BB272" s="254" t="str">
        <f>IF(COUNTBLANK(AX272:BA272)=4,"",SUM(AX272:AZ272)+IF(Setup!$I$15="No",0,BA272))</f>
        <v/>
      </c>
      <c r="BC272" s="258" t="str">
        <f ca="1">IF('Demand background (hide)'!A263=Num_Modalities,"",SUM(Demand!I272))</f>
        <v/>
      </c>
      <c r="BD272" s="258" t="str">
        <f ca="1">IF(AND(A272&lt;=MaxRows,BE272&lt;&gt;"Yes"),'Demand background (hide)'!X263+IF(Setup!$I$15="Yes",'Demand background (hide)'!AJ263,0),"")</f>
        <v/>
      </c>
      <c r="BE272" s="208"/>
    </row>
  </sheetData>
  <sheetProtection algorithmName="SHA-512" hashValue="yQbjGJaWIXL/7GMy08gujR097AGveso10KoUY13rR+d48Hq3SSz5GT3jWSzoGdTT7XRaTNbnG8WFGgExaEAs1g==" saltValue="fPyPCL2juqqY6+xUwq25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52" priority="4">
      <formula>IF(ROW(C65)-12&lt;=$A$6,TRUE,FALSE)</formula>
    </cfRule>
  </conditionalFormatting>
  <conditionalFormatting sqref="BC65:BE272">
    <cfRule type="expression" dxfId="51" priority="3">
      <formula>IF(ROW(A65)-12&lt;=$A$6,TRUE,FALSE)</formula>
    </cfRule>
  </conditionalFormatting>
  <conditionalFormatting sqref="C65:BB272">
    <cfRule type="expression" dxfId="50" priority="8">
      <formula>IF(ROW(XFD65)-12&lt;=$A$6,TRUE,FALSE)</formula>
    </cfRule>
  </conditionalFormatting>
  <dataValidations count="3">
    <dataValidation type="date" allowBlank="1" showInputMessage="1" showErrorMessage="1" sqref="C6" xr:uid="{00000000-0002-0000-0500-000000000000}">
      <formula1>36526</formula1>
      <formula2>401769</formula2>
    </dataValidation>
    <dataValidation type="decimal" allowBlank="1" showInputMessage="1" showErrorMessage="1" sqref="F11 K11 P11 U11 Z11 AE11 AO11 AT11 AY11" xr:uid="{00000000-0002-0000-0500-000001000000}">
      <formula1>0</formula1>
      <formula2>9999</formula2>
    </dataValidation>
    <dataValidation type="list" allowBlank="1" showInputMessage="1" showErrorMessage="1" sqref="C8" xr:uid="{9A5720DD-BA86-4CEB-A6F7-8A5836C676AE}">
      <formula1>"Historic data, My own forecast"</formula1>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EE264"/>
  <sheetViews>
    <sheetView topLeftCell="DM1" workbookViewId="0">
      <selection activeCell="DT11" sqref="DT11"/>
    </sheetView>
  </sheetViews>
  <sheetFormatPr defaultRowHeight="14.25" x14ac:dyDescent="0.2"/>
  <cols>
    <col min="1" max="11" width="11.25" customWidth="1"/>
    <col min="14" max="18" width="9.25" bestFit="1" customWidth="1"/>
    <col min="19" max="19" width="9" customWidth="1"/>
    <col min="20" max="24" width="9.25" bestFit="1" customWidth="1"/>
    <col min="38" max="38" width="16.625" customWidth="1"/>
    <col min="39" max="39" width="10.25" bestFit="1" customWidth="1"/>
    <col min="40" max="41" width="10.25" customWidth="1"/>
    <col min="42" max="42" width="10.25" style="36" customWidth="1"/>
    <col min="43" max="45" width="10.25" customWidth="1"/>
    <col min="46" max="46" width="12.25" bestFit="1" customWidth="1"/>
    <col min="103" max="103" width="10.125" customWidth="1"/>
    <col min="118" max="118" width="9.75" bestFit="1" customWidth="1"/>
    <col min="124" max="124" width="8.75" style="67"/>
    <col min="126" max="130" width="8.75" style="67"/>
    <col min="131" max="131" width="9.75" style="67" bestFit="1" customWidth="1"/>
    <col min="132" max="132" width="8.75" style="67"/>
  </cols>
  <sheetData>
    <row r="1" spans="1:135" x14ac:dyDescent="0.2">
      <c r="B1" t="s">
        <v>62</v>
      </c>
      <c r="M1" t="s">
        <v>65</v>
      </c>
      <c r="N1" t="str">
        <f>"Modifier: "&amp;Setup!$I$17</f>
        <v>Modifier: Minutes</v>
      </c>
      <c r="Z1" t="s">
        <v>66</v>
      </c>
      <c r="AL1" t="s">
        <v>285</v>
      </c>
      <c r="AP1" s="36" t="s">
        <v>129</v>
      </c>
      <c r="BQ1" t="s">
        <v>432</v>
      </c>
      <c r="CV1" t="s">
        <v>215</v>
      </c>
      <c r="CW1" t="s">
        <v>216</v>
      </c>
      <c r="DN1" t="s">
        <v>1190</v>
      </c>
    </row>
    <row r="2" spans="1:135" x14ac:dyDescent="0.2">
      <c r="N2">
        <f ca="1">IF(Setup!$I$17="Patients",1,OFFSET(Demand!$F$11,0,(COLUMN(A1)-1)*5,1,1))</f>
        <v>30</v>
      </c>
      <c r="O2">
        <f ca="1">IF(Setup!$I$17="Patients",1,OFFSET(Demand!$F$11,0,(COLUMN(B1)-1)*5,1,1))</f>
        <v>40</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283</v>
      </c>
      <c r="AX2" t="s">
        <v>61</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226</v>
      </c>
      <c r="DO2" t="s">
        <v>1191</v>
      </c>
    </row>
    <row r="3" spans="1:135" x14ac:dyDescent="0.2">
      <c r="A3" t="s">
        <v>63</v>
      </c>
      <c r="B3" t="str">
        <f ca="1">OFFSET('Control sheet (hide)'!$AA$3,COLUMN(A1)-1,0,1,1)</f>
        <v>Test name 1</v>
      </c>
      <c r="C3" t="str">
        <f ca="1">OFFSET('Control sheet (hide)'!$AA$3,COLUMN(B1)-1,0,1,1)</f>
        <v>Test name 2</v>
      </c>
      <c r="D3" t="str">
        <f ca="1">OFFSET('Control sheet (hide)'!$AA$3,COLUMN(C1)-1,0,1,1)</f>
        <v>Another modality</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Test name 1</v>
      </c>
      <c r="O3" t="str">
        <f t="shared" ca="1" si="0"/>
        <v>Test name 2</v>
      </c>
      <c r="P3" t="str">
        <f t="shared" ca="1" si="0"/>
        <v>Another modality</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67</v>
      </c>
      <c r="Y3" t="s">
        <v>181</v>
      </c>
      <c r="Z3" t="str">
        <f ca="1">N3</f>
        <v>Test name 1</v>
      </c>
      <c r="AA3" t="str">
        <f t="shared" ref="AA3:AI3" ca="1" si="1">O3</f>
        <v>Test name 2</v>
      </c>
      <c r="AB3" t="str">
        <f t="shared" ca="1" si="1"/>
        <v>Another modality</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286</v>
      </c>
      <c r="AL3" t="s">
        <v>184</v>
      </c>
      <c r="AM3" t="s">
        <v>61</v>
      </c>
      <c r="AN3" t="s">
        <v>110</v>
      </c>
      <c r="AP3" s="36" t="s">
        <v>128</v>
      </c>
      <c r="AQ3" s="36" t="s">
        <v>130</v>
      </c>
      <c r="AT3" t="s">
        <v>74</v>
      </c>
      <c r="AV3" t="s">
        <v>68</v>
      </c>
      <c r="AW3" s="44">
        <f ca="1">AVERAGE(OFFSET(AL$4,'SPC background (hide)'!$C$4-1,0,'SPC background (hide)'!$H$5,1))</f>
        <v>0</v>
      </c>
      <c r="AX3" s="5">
        <f ca="1">AVERAGE(OFFSET(AM$4,'SPC background (hide)'!$C$4-1,0,'SPC background (hide)'!$H$5,1))</f>
        <v>0</v>
      </c>
      <c r="BB3" t="s">
        <v>204</v>
      </c>
      <c r="BQ3" t="s">
        <v>200</v>
      </c>
      <c r="BR3" t="s">
        <v>201</v>
      </c>
      <c r="BS3" t="s">
        <v>202</v>
      </c>
      <c r="BT3" t="s">
        <v>200</v>
      </c>
      <c r="BU3" t="s">
        <v>201</v>
      </c>
      <c r="BV3" t="s">
        <v>202</v>
      </c>
      <c r="BW3" t="s">
        <v>200</v>
      </c>
      <c r="BX3" t="s">
        <v>201</v>
      </c>
      <c r="BY3" t="s">
        <v>202</v>
      </c>
      <c r="BZ3" t="s">
        <v>200</v>
      </c>
      <c r="CA3" t="s">
        <v>201</v>
      </c>
      <c r="CB3" t="s">
        <v>202</v>
      </c>
      <c r="CC3" t="s">
        <v>200</v>
      </c>
      <c r="CD3" t="s">
        <v>201</v>
      </c>
      <c r="CE3" t="s">
        <v>202</v>
      </c>
      <c r="CF3" t="s">
        <v>200</v>
      </c>
      <c r="CG3" t="s">
        <v>201</v>
      </c>
      <c r="CH3" t="s">
        <v>202</v>
      </c>
      <c r="CI3" t="s">
        <v>200</v>
      </c>
      <c r="CJ3" t="s">
        <v>201</v>
      </c>
      <c r="CK3" t="s">
        <v>202</v>
      </c>
      <c r="CL3" t="s">
        <v>200</v>
      </c>
      <c r="CM3" t="s">
        <v>201</v>
      </c>
      <c r="CN3" t="s">
        <v>202</v>
      </c>
      <c r="CO3" t="s">
        <v>200</v>
      </c>
      <c r="CP3" t="s">
        <v>201</v>
      </c>
      <c r="CQ3" t="s">
        <v>202</v>
      </c>
      <c r="CR3" t="s">
        <v>200</v>
      </c>
      <c r="CS3" t="s">
        <v>201</v>
      </c>
      <c r="CT3" t="s">
        <v>202</v>
      </c>
      <c r="CW3" t="str">
        <f ca="1">B3</f>
        <v>Test name 1</v>
      </c>
      <c r="CX3" t="str">
        <f t="shared" ref="CX3:DF3" ca="1" si="2">C3</f>
        <v>Test name 2</v>
      </c>
      <c r="CY3" t="str">
        <f t="shared" ca="1" si="2"/>
        <v>Another modality</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57</v>
      </c>
      <c r="DI3" t="s">
        <v>227</v>
      </c>
      <c r="DJ3">
        <f ca="1">AVERAGE(OFFSET('Demand background (hide)'!$DG$4,'SPC background (hide)'!$C$4-1,0,'SPC background (hide)'!$H$5,1))</f>
        <v>0</v>
      </c>
      <c r="DN3" t="s">
        <v>1</v>
      </c>
      <c r="DO3" t="s">
        <v>165</v>
      </c>
      <c r="DP3" t="s">
        <v>166</v>
      </c>
      <c r="DQ3" t="s">
        <v>1199</v>
      </c>
      <c r="DR3" t="s">
        <v>1192</v>
      </c>
      <c r="DS3" t="s">
        <v>1198</v>
      </c>
      <c r="DT3" s="67" t="s">
        <v>1201</v>
      </c>
      <c r="DU3" t="s">
        <v>502</v>
      </c>
      <c r="DV3" s="67" t="s">
        <v>1223</v>
      </c>
      <c r="DW3" s="67" t="s">
        <v>1224</v>
      </c>
      <c r="DX3" s="67" t="s">
        <v>1222</v>
      </c>
      <c r="DZ3" s="67" t="s">
        <v>1221</v>
      </c>
      <c r="EA3" s="5">
        <f ca="1">IFERROR(SUM(DU4:DU29),0)</f>
        <v>0</v>
      </c>
      <c r="ED3" t="s">
        <v>1225</v>
      </c>
      <c r="EE3" t="s">
        <v>1195</v>
      </c>
    </row>
    <row r="4" spans="1:135" s="5" customFormat="1" x14ac:dyDescent="0.2">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6">
        <f>Demand!B13</f>
        <v>1</v>
      </c>
      <c r="AQ4" s="5" t="str">
        <f>TEXT(Demand!D13,"MMM")</f>
        <v/>
      </c>
      <c r="AV4" s="5" t="s">
        <v>71</v>
      </c>
      <c r="AW4" s="44">
        <f ca="1">IFERROR(AVERAGE(OFFSET($AT$4,'SPC background (hide)'!$C$4-1,0,'SPC background (hide)'!$H$5,1)),0)</f>
        <v>0</v>
      </c>
      <c r="BB4"/>
      <c r="BC4"/>
      <c r="BD4"/>
      <c r="BE4"/>
      <c r="BF4" t="s">
        <v>199</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IF(OR(AN4&lt;&gt;"",AND('Demand adjustments for Covid'!$F$9="Yes",'Demand adjustments for Covid'!$F$20="Yes")),"",SUM(CW4:DF4))</f>
        <v>0</v>
      </c>
      <c r="DI4" s="5" t="s">
        <v>228</v>
      </c>
      <c r="DJ4" s="5">
        <f ca="1">PERCENTILE((OFFSET('Demand background (hide)'!$DG$4,'SPC background (hide)'!$C$4-1,0,'SPC background (hide)'!$H$5,1)),'Control sheet (hide)'!$I$9)</f>
        <v>0</v>
      </c>
      <c r="DM4" s="5">
        <f>WEEKNUM(DN4,21)</f>
        <v>21</v>
      </c>
      <c r="DN4" s="317">
        <f>'Demand adjustments for Covid'!F12</f>
        <v>43969</v>
      </c>
      <c r="DO4" s="5" t="e">
        <f ca="1">VLOOKUP(IF($DM4&lt;53,$DM4,52),'Summary Calculations (hide)'!$D$15:$F$67,2,0)</f>
        <v>#N/A</v>
      </c>
      <c r="DP4" s="5" t="e">
        <f ca="1">VLOOKUP(IF($DM4&lt;53,$DM4,52),'Summary Calculations (hide)'!$D$15:$F$67,3,0)</f>
        <v>#N/A</v>
      </c>
      <c r="DQ4" s="5">
        <f>IF(AND(DN4&gt;='Demand adjustments for Covid'!$F$12,DN4&lt;'Demand adjustments for Covid'!$F$17),'Demand adjustments for Covid'!$F$13,DO4)</f>
        <v>200</v>
      </c>
      <c r="DR4" s="5">
        <f t="shared" ref="DR4:DR35" si="7">IF(AND(ROW(A1)&gt;=$EE$4,ROW(A1)&lt;=$EE$5),1,0)</f>
        <v>0</v>
      </c>
      <c r="DS4" s="5" t="e">
        <f ca="1">IF('Demand adjustments for Covid'!$F$9="Yes",IF(DR4=0,DQ4,((SUM(DR$4:DR4)-1)*$EE$8)+'Demand adjustments for Covid'!F$13),'Demand background (hide)'!DO4)</f>
        <v>#N/A</v>
      </c>
      <c r="DT4" s="5" t="e">
        <f ca="1">IF(AND('Demand adjustments for Covid'!$F$9="Yes",MaxRows&gt;=10),IF(OR(AND(DN4&gt;='Demand adjustments for Covid'!$F$12,DN4&lt;'Demand adjustments for Covid'!$F$17),DR4=1),DS4+3,DP4),'Demand background (hide)'!DP4)</f>
        <v>#N/A</v>
      </c>
      <c r="DU4" s="5" t="e">
        <f ca="1">IF(DS4&lt;='Demand adjustments for Covid'!$F$17,DO4-DS4,0)</f>
        <v>#N/A</v>
      </c>
      <c r="DV4" s="5">
        <f ca="1">IF(AND(ROW(A1)&gt;$EE$5,ROW(A1)&lt;=$EA$5),OFFSET('Demand adjustments for Covid'!$F$35,0,ROW(A1)-'Demand background (hide)'!$EE$5,1,1),0)</f>
        <v>0</v>
      </c>
      <c r="DW4" s="5">
        <f ca="1">IF(AND(ROW(A1)&gt;$EE$5,ROW(A1)&lt;=$EA$5),OFFSET('Demand adjustments for Covid'!$F$36,0,ROW(A1)-'Demand background (hide)'!$EE$5,1,1),0)</f>
        <v>0</v>
      </c>
      <c r="DX4" s="5" t="e">
        <f ca="1">SUM(DV4:DW4,DT4)</f>
        <v>#N/A</v>
      </c>
      <c r="ED4" s="5" t="s">
        <v>1193</v>
      </c>
      <c r="EE4" s="5">
        <f>MATCH('Demand adjustments for Covid'!$F$17,$DN$4:$DN$55,0)</f>
        <v>7</v>
      </c>
    </row>
    <row r="5" spans="1:135" s="5" customFormat="1" x14ac:dyDescent="0.2">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8">X5</f>
        <v>0</v>
      </c>
      <c r="AM5" s="5">
        <f t="shared" ref="AM5:AM68" ca="1" si="9">IF(AN5&lt;&gt;"","",AJ5)</f>
        <v>0</v>
      </c>
      <c r="AN5" s="5" t="str">
        <f>IF(Demand!BE14="Yes","Yes","")</f>
        <v/>
      </c>
      <c r="AP5" s="36" t="str">
        <f ca="1">Demand!B14</f>
        <v xml:space="preserve"> </v>
      </c>
      <c r="AQ5" s="5" t="str">
        <f ca="1">IF(TEXT(Demand!D14,"MMM")&lt;&gt;TEXT(Demand!D13,"MMM"),TEXT(Demand!D14,"MMM"),"")</f>
        <v/>
      </c>
      <c r="AT5" s="5">
        <f ca="1">IF(OR(AL5="",AL4=""),"",ABS(AL5-AL4))</f>
        <v>0</v>
      </c>
      <c r="AV5" s="5" t="s">
        <v>70</v>
      </c>
      <c r="AW5" s="44">
        <f ca="1">AW4/1.128</f>
        <v>0</v>
      </c>
      <c r="BB5"/>
      <c r="BC5" t="s">
        <v>76</v>
      </c>
      <c r="BD5" t="s">
        <v>77</v>
      </c>
      <c r="BE5" t="s">
        <v>78</v>
      </c>
      <c r="BF5" t="s">
        <v>80</v>
      </c>
      <c r="BG5" t="s">
        <v>81</v>
      </c>
      <c r="BH5" t="s">
        <v>82</v>
      </c>
      <c r="BI5" t="s">
        <v>86</v>
      </c>
      <c r="BJ5" t="s">
        <v>83</v>
      </c>
      <c r="BK5" t="s">
        <v>84</v>
      </c>
      <c r="BL5" t="s">
        <v>85</v>
      </c>
      <c r="BM5" t="s">
        <v>203</v>
      </c>
      <c r="BN5" s="5" t="s">
        <v>212</v>
      </c>
      <c r="BO5" s="5" t="s">
        <v>213</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ca="1">IF(OR(AN5&lt;&gt;"",AND('Demand adjustments for Covid'!$F$9="Yes",'Demand adjustments for Covid'!$F$20="Yes")),"",SUM(CW5:DF5))</f>
        <v>0</v>
      </c>
      <c r="DI5" s="5" t="s">
        <v>229</v>
      </c>
      <c r="DJ5" s="5">
        <f ca="1">PERCENTILE((OFFSET('Demand background (hide)'!$DG$4,'SPC background (hide)'!$C$4-1,0,'SPC background (hide)'!$H$5,1)),'Control sheet (hide)'!$I$10)</f>
        <v>0</v>
      </c>
      <c r="DM5" s="5">
        <f t="shared" ref="DM5:DM55" si="10">WEEKNUM(DN5,21)</f>
        <v>22</v>
      </c>
      <c r="DN5" s="317">
        <f>DN4+7</f>
        <v>43976</v>
      </c>
      <c r="DO5" s="5" t="e">
        <f ca="1">VLOOKUP(IF($DM5&lt;53,$DM5,52),'Summary Calculations (hide)'!$D$15:$F$67,2,0)</f>
        <v>#N/A</v>
      </c>
      <c r="DP5" s="5" t="e">
        <f ca="1">VLOOKUP(IF($DM5&lt;53,$DM5,52),'Summary Calculations (hide)'!$D$15:$F$67,3,0)</f>
        <v>#N/A</v>
      </c>
      <c r="DQ5" s="5">
        <f>IF(AND(DN5&gt;='Demand adjustments for Covid'!$F$12,DN5&lt;'Demand adjustments for Covid'!$F$17),'Demand adjustments for Covid'!$F$13,DO5)</f>
        <v>200</v>
      </c>
      <c r="DR5" s="5">
        <f t="shared" si="7"/>
        <v>0</v>
      </c>
      <c r="DS5" s="5" t="e">
        <f ca="1">IF('Demand adjustments for Covid'!$F$9="Yes",IF(DR5=0,DQ5,((SUM(DR$4:DR5)-1)*$EE$8)+'Demand adjustments for Covid'!F$13),'Demand background (hide)'!DO5)</f>
        <v>#N/A</v>
      </c>
      <c r="DT5" s="5" t="e">
        <f ca="1">IF('Demand adjustments for Covid'!$F$9="Yes",IF(OR(AND(DN5&gt;='Demand adjustments for Covid'!$F$12,DN5&lt;'Demand adjustments for Covid'!$F$17),DR5=1),DS5+3,DP5),'Demand background (hide)'!DP5)</f>
        <v>#N/A</v>
      </c>
      <c r="DU5" s="5" t="e">
        <f ca="1">IF(DS5&lt;='Demand adjustments for Covid'!$F$17,DO5-DS5,0)</f>
        <v>#N/A</v>
      </c>
      <c r="DV5" s="5">
        <f ca="1">IF(AND(ROW(A2)&gt;$EE$5,ROW(A2)&lt;=$EA$5),OFFSET('Demand adjustments for Covid'!$F$35,0,ROW(A2)-'Demand background (hide)'!$EE$5,1,1),0)</f>
        <v>0</v>
      </c>
      <c r="DW5" s="5">
        <f ca="1">IF(AND(ROW(A2)&gt;$EE$5,ROW(A2)&lt;=$EA$5),OFFSET('Demand adjustments for Covid'!$F$36,0,ROW(A2)-'Demand background (hide)'!$EE$5,1,1),0)</f>
        <v>0</v>
      </c>
      <c r="DX5" s="5" t="e">
        <f t="shared" ref="DX5:DX55" ca="1" si="11">SUM(DV5:DW5,DT5)</f>
        <v>#N/A</v>
      </c>
      <c r="DZ5" s="5" t="s">
        <v>1226</v>
      </c>
      <c r="EA5" s="5">
        <f>MATCH('Demand adjustments for Covid'!F17,'Demand background (hide)'!DN4:DN55,0)+'Demand adjustments for Covid'!F18+12</f>
        <v>39</v>
      </c>
      <c r="ED5" s="5" t="s">
        <v>1194</v>
      </c>
      <c r="EE5" s="5">
        <f>EE4+'Demand adjustments for Covid'!$F$18</f>
        <v>27</v>
      </c>
    </row>
    <row r="6" spans="1:135" s="5" customFormat="1" x14ac:dyDescent="0.2">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8"/>
        <v>0</v>
      </c>
      <c r="AM6" s="5">
        <f t="shared" ca="1" si="9"/>
        <v>0</v>
      </c>
      <c r="AN6" s="5" t="str">
        <f>IF(Demand!BE15="Yes","Yes","")</f>
        <v/>
      </c>
      <c r="AP6" s="36" t="str">
        <f ca="1">Demand!B15</f>
        <v xml:space="preserve"> </v>
      </c>
      <c r="AQ6" s="5" t="str">
        <f ca="1">IF(TEXT(Demand!D15,"MMM")&lt;&gt;TEXT(Demand!D14,"MMM"),TEXT(Demand!D15,"MMM"),"")</f>
        <v/>
      </c>
      <c r="AT6" s="5">
        <f t="shared" ref="AT6:AT69" ca="1" si="12">IF(OR(AL6="",AL5=""),"",ABS(AL6-AL5))</f>
        <v>0</v>
      </c>
      <c r="AV6" s="5" t="s">
        <v>137</v>
      </c>
      <c r="AW6" s="44">
        <f ca="1">PERCENTILE(OFFSET(AL$4,'SPC background (hide)'!$C$4-1,0,'SPC background (hide)'!$H$5,1),'Control sheet (hide)'!$I$9)</f>
        <v>0</v>
      </c>
      <c r="AX6" s="5">
        <f ca="1">PERCENTILE(OFFSET(AM$4,'SPC background (hide)'!$C$4-1,0,'SPC background (hide)'!$H$5,1),'Control sheet (hide)'!$I$9)</f>
        <v>0</v>
      </c>
      <c r="BB6" t="str">
        <f>'Control sheet (hide)'!AA3</f>
        <v>Test name 1</v>
      </c>
      <c r="BC6" s="46" t="str">
        <f t="shared" ref="BC6:BC15" ca="1" si="13">IFERROR(IF(ROW(A1)&lt;=Num_Modalities,BJ6/$BM6,""),"")</f>
        <v/>
      </c>
      <c r="BD6" s="46" t="str">
        <f t="shared" ref="BD6:BD15" ca="1" si="14">IFERROR(IF(ROW(B1)&lt;=Num_Modalities,BK6/$BM6,""),"")</f>
        <v/>
      </c>
      <c r="BE6" s="46" t="str">
        <f t="shared" ref="BE6:BE15" ca="1" si="15">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6">BG6*OFFSET($N$2,0,ROW(B1)-1,1,1)</f>
        <v>0</v>
      </c>
      <c r="BL6" s="5">
        <f t="shared" ca="1" si="16"/>
        <v>0</v>
      </c>
      <c r="BM6" s="5">
        <f ca="1">SUM(BJ6:BL6)</f>
        <v>0</v>
      </c>
      <c r="BN6" s="5">
        <f ca="1">OFFSET($N$2,0,ROW(A1)-1,1,1)</f>
        <v>30</v>
      </c>
      <c r="BO6" s="84"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ca="1">IF(OR(AN6&lt;&gt;"",AND('Demand adjustments for Covid'!$F$9="Yes",'Demand adjustments for Covid'!$F$20="Yes")),"",SUM(CW6:DF6))</f>
        <v>0</v>
      </c>
      <c r="DM6" s="5">
        <f t="shared" si="10"/>
        <v>23</v>
      </c>
      <c r="DN6" s="317">
        <f t="shared" ref="DN6:DN56" si="17">DN5+7</f>
        <v>43983</v>
      </c>
      <c r="DO6" s="5" t="e">
        <f ca="1">VLOOKUP(IF($DM6&lt;53,$DM6,52),'Summary Calculations (hide)'!$D$15:$F$67,2,0)</f>
        <v>#N/A</v>
      </c>
      <c r="DP6" s="5" t="e">
        <f ca="1">VLOOKUP(IF($DM6&lt;53,$DM6,52),'Summary Calculations (hide)'!$D$15:$F$67,3,0)</f>
        <v>#N/A</v>
      </c>
      <c r="DQ6" s="5">
        <f>IF(AND(DN6&gt;='Demand adjustments for Covid'!$F$12,DN6&lt;'Demand adjustments for Covid'!$F$17),'Demand adjustments for Covid'!$F$13,DO6)</f>
        <v>200</v>
      </c>
      <c r="DR6" s="5">
        <f t="shared" si="7"/>
        <v>0</v>
      </c>
      <c r="DS6" s="5" t="e">
        <f ca="1">IF('Demand adjustments for Covid'!$F$9="Yes",IF(DR6=0,DQ6,((SUM(DR$4:DR6)-1)*$EE$8)+'Demand adjustments for Covid'!F$13),'Demand background (hide)'!DO6)</f>
        <v>#N/A</v>
      </c>
      <c r="DT6" s="5" t="e">
        <f ca="1">IF('Demand adjustments for Covid'!$F$9="Yes",IF(OR(AND(DN6&gt;='Demand adjustments for Covid'!$F$12,DN6&lt;'Demand adjustments for Covid'!$F$17),DR6=1),DS6+3,DP6),'Demand background (hide)'!DP6)</f>
        <v>#N/A</v>
      </c>
      <c r="DU6" s="5" t="e">
        <f ca="1">IF(DS6&lt;='Demand adjustments for Covid'!$F$17,DO6-DS6,0)</f>
        <v>#N/A</v>
      </c>
      <c r="DV6" s="5">
        <f ca="1">IF(AND(ROW(A3)&gt;$EE$5,ROW(A3)&lt;=$EA$5),OFFSET('Demand adjustments for Covid'!$F$35,0,ROW(A3)-'Demand background (hide)'!$EE$5,1,1),0)</f>
        <v>0</v>
      </c>
      <c r="DW6" s="5">
        <f ca="1">IF(AND(ROW(A3)&gt;$EE$5,ROW(A3)&lt;=$EA$5),OFFSET('Demand adjustments for Covid'!$F$36,0,ROW(A3)-'Demand background (hide)'!$EE$5,1,1),0)</f>
        <v>0</v>
      </c>
      <c r="DX6" s="5" t="e">
        <f t="shared" ca="1" si="11"/>
        <v>#N/A</v>
      </c>
      <c r="EA6" s="317"/>
    </row>
    <row r="7" spans="1:135" s="5" customFormat="1" x14ac:dyDescent="0.2">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8"/>
        <v>0</v>
      </c>
      <c r="AM7" s="5">
        <f t="shared" ca="1" si="9"/>
        <v>0</v>
      </c>
      <c r="AN7" s="5" t="str">
        <f>IF(Demand!BE16="Yes","Yes","")</f>
        <v/>
      </c>
      <c r="AP7" s="36" t="str">
        <f ca="1">Demand!B16</f>
        <v xml:space="preserve"> </v>
      </c>
      <c r="AQ7" s="5" t="str">
        <f ca="1">IF(TEXT(Demand!D16,"MMM")&lt;&gt;TEXT(Demand!D15,"MMM"),TEXT(Demand!D16,"MMM"),"")</f>
        <v/>
      </c>
      <c r="AT7" s="5">
        <f t="shared" ca="1" si="12"/>
        <v>0</v>
      </c>
      <c r="AV7" s="5" t="s">
        <v>138</v>
      </c>
      <c r="AW7" s="44">
        <f ca="1">PERCENTILE(OFFSET(AL$4,'SPC background (hide)'!$C$4-1,0,'SPC background (hide)'!$H$5,1),'Control sheet (hide)'!$I$10)</f>
        <v>0</v>
      </c>
      <c r="AX7" s="5">
        <f ca="1">PERCENTILE(OFFSET(AM$4,'SPC background (hide)'!$C$4-1,0,'SPC background (hide)'!$H$5,1),'Control sheet (hide)'!$I$10)</f>
        <v>0</v>
      </c>
      <c r="BB7" t="str">
        <f>'Control sheet (hide)'!AA4</f>
        <v>Test name 2</v>
      </c>
      <c r="BC7" s="46" t="str">
        <f t="shared" si="13"/>
        <v/>
      </c>
      <c r="BD7" s="46" t="str">
        <f t="shared" si="14"/>
        <v/>
      </c>
      <c r="BE7" s="46" t="str">
        <f t="shared" si="15"/>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8">SUM(BF7:BH7)</f>
        <v>0</v>
      </c>
      <c r="BJ7" s="5">
        <f t="shared" ref="BJ7:BL7" ca="1" si="19">BF7*OFFSET($N$2,0,ROW(A2)-1,1,1)</f>
        <v>0</v>
      </c>
      <c r="BK7" s="5">
        <f t="shared" ca="1" si="19"/>
        <v>0</v>
      </c>
      <c r="BL7" s="5">
        <f t="shared" ca="1" si="19"/>
        <v>0</v>
      </c>
      <c r="BM7" s="5">
        <f t="shared" ref="BM7:BM15" ca="1" si="20">SUM(BJ7:BL7)</f>
        <v>0</v>
      </c>
      <c r="BN7" s="5">
        <f t="shared" ref="BN7:BN15" ca="1" si="21">OFFSET($N$2,0,ROW(A2)-1,1,1)</f>
        <v>40</v>
      </c>
      <c r="BO7" s="84" t="e">
        <f t="shared" ref="BO7:BO15" ca="1" si="22">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ca="1">IF(OR(AN7&lt;&gt;"",AND('Demand adjustments for Covid'!$F$9="Yes",'Demand adjustments for Covid'!$F$20="Yes")),"",SUM(CW7:DF7))</f>
        <v>0</v>
      </c>
      <c r="DI7" s="5" t="s">
        <v>230</v>
      </c>
      <c r="DJ7" t="str">
        <f ca="1">IFERROR(AVERAGE(OFFSET('Demand background (hide)'!$DG$4,'SPC background (hide)'!$D$6-1,0,'SPC background (hide)'!$H$7,1)),"")</f>
        <v/>
      </c>
      <c r="DM7" s="5">
        <f t="shared" si="10"/>
        <v>24</v>
      </c>
      <c r="DN7" s="317">
        <f t="shared" si="17"/>
        <v>43990</v>
      </c>
      <c r="DO7" s="5" t="e">
        <f ca="1">VLOOKUP(IF($DM7&lt;53,$DM7,52),'Summary Calculations (hide)'!$D$15:$F$67,2,0)</f>
        <v>#N/A</v>
      </c>
      <c r="DP7" s="5" t="e">
        <f ca="1">VLOOKUP(IF($DM7&lt;53,$DM7,52),'Summary Calculations (hide)'!$D$15:$F$67,3,0)</f>
        <v>#N/A</v>
      </c>
      <c r="DQ7" s="5">
        <f>IF(AND(DN7&gt;='Demand adjustments for Covid'!$F$12,DN7&lt;'Demand adjustments for Covid'!$F$17),'Demand adjustments for Covid'!$F$13,DO7)</f>
        <v>200</v>
      </c>
      <c r="DR7" s="5">
        <f t="shared" si="7"/>
        <v>0</v>
      </c>
      <c r="DS7" s="5" t="e">
        <f ca="1">IF('Demand adjustments for Covid'!$F$9="Yes",IF(DR7=0,DQ7,((SUM(DR$4:DR7)-1)*$EE$8)+'Demand adjustments for Covid'!F$13),'Demand background (hide)'!DO7)</f>
        <v>#N/A</v>
      </c>
      <c r="DT7" s="5" t="e">
        <f ca="1">IF('Demand adjustments for Covid'!$F$9="Yes",IF(OR(AND(DN7&gt;='Demand adjustments for Covid'!$F$12,DN7&lt;'Demand adjustments for Covid'!$F$17),DR7=1),DS7+3,DP7),'Demand background (hide)'!DP7)</f>
        <v>#N/A</v>
      </c>
      <c r="DU7" s="5" t="e">
        <f ca="1">IF(DS7&lt;='Demand adjustments for Covid'!$F$17,DO7-DS7,0)</f>
        <v>#N/A</v>
      </c>
      <c r="DV7" s="5">
        <f ca="1">IF(AND(ROW(A4)&gt;$EE$5,ROW(A4)&lt;=$EA$5),OFFSET('Demand adjustments for Covid'!$F$35,0,ROW(A4)-'Demand background (hide)'!$EE$5,1,1),0)</f>
        <v>0</v>
      </c>
      <c r="DW7" s="5">
        <f ca="1">IF(AND(ROW(A4)&gt;$EE$5,ROW(A4)&lt;=$EA$5),OFFSET('Demand adjustments for Covid'!$F$36,0,ROW(A4)-'Demand background (hide)'!$EE$5,1,1),0)</f>
        <v>0</v>
      </c>
      <c r="DX7" s="5" t="e">
        <f t="shared" ca="1" si="11"/>
        <v>#N/A</v>
      </c>
      <c r="ED7" s="5" t="s">
        <v>1196</v>
      </c>
      <c r="EE7" s="5" t="e">
        <f ca="1">INDEX($DO$4:$DO$55,EE5)</f>
        <v>#N/A</v>
      </c>
    </row>
    <row r="8" spans="1:135" s="5" customFormat="1" x14ac:dyDescent="0.2">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8"/>
        <v>0</v>
      </c>
      <c r="AM8" s="5">
        <f t="shared" ca="1" si="9"/>
        <v>0</v>
      </c>
      <c r="AN8" s="5" t="str">
        <f>IF(Demand!BE17="Yes","Yes","")</f>
        <v/>
      </c>
      <c r="AP8" s="36" t="str">
        <f ca="1">Demand!B17</f>
        <v xml:space="preserve"> </v>
      </c>
      <c r="AQ8" s="5" t="str">
        <f ca="1">IF(TEXT(Demand!D17,"MMM")&lt;&gt;TEXT(Demand!D16,"MMM"),TEXT(Demand!D17,"MMM"),"")</f>
        <v/>
      </c>
      <c r="AT8" s="5">
        <f t="shared" ca="1" si="12"/>
        <v>0</v>
      </c>
      <c r="BB8" t="str">
        <f>'Control sheet (hide)'!AA5</f>
        <v>Another modality</v>
      </c>
      <c r="BC8" s="46" t="str">
        <f t="shared" si="13"/>
        <v/>
      </c>
      <c r="BD8" s="46" t="str">
        <f t="shared" si="14"/>
        <v/>
      </c>
      <c r="BE8" s="46" t="str">
        <f t="shared" si="15"/>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8"/>
        <v>0</v>
      </c>
      <c r="BJ8" s="5">
        <f t="shared" ref="BJ8:BL8" ca="1" si="23">BF8*OFFSET($N$2,0,ROW(A3)-1,1,1)</f>
        <v>0</v>
      </c>
      <c r="BK8" s="5">
        <f t="shared" ca="1" si="23"/>
        <v>0</v>
      </c>
      <c r="BL8" s="5">
        <f t="shared" ca="1" si="23"/>
        <v>0</v>
      </c>
      <c r="BM8" s="5">
        <f t="shared" ca="1" si="20"/>
        <v>0</v>
      </c>
      <c r="BN8" s="5">
        <f t="shared" ca="1" si="21"/>
        <v>1</v>
      </c>
      <c r="BO8" s="84" t="e">
        <f t="shared" ca="1" si="22"/>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ca="1">IF(OR(AN8&lt;&gt;"",AND('Demand adjustments for Covid'!$F$9="Yes",'Demand adjustments for Covid'!$F$20="Yes")),"",SUM(CW8:DF8))</f>
        <v>0</v>
      </c>
      <c r="DI8" s="5" t="s">
        <v>231</v>
      </c>
      <c r="DJ8" s="5" t="str">
        <f ca="1">IFERROR(PERCENTILE((OFFSET('Demand background (hide)'!$DG$4,'SPC background (hide)'!$D$6-1,0,'SPC background (hide)'!$H$7,1)),'Control sheet (hide)'!$I$9),"")</f>
        <v/>
      </c>
      <c r="DM8" s="5">
        <f t="shared" si="10"/>
        <v>25</v>
      </c>
      <c r="DN8" s="317">
        <f t="shared" si="17"/>
        <v>43997</v>
      </c>
      <c r="DO8" s="5" t="e">
        <f ca="1">VLOOKUP(IF($DM8&lt;53,$DM8,52),'Summary Calculations (hide)'!$D$15:$F$67,2,0)</f>
        <v>#N/A</v>
      </c>
      <c r="DP8" s="5" t="e">
        <f ca="1">VLOOKUP(IF($DM8&lt;53,$DM8,52),'Summary Calculations (hide)'!$D$15:$F$67,3,0)</f>
        <v>#N/A</v>
      </c>
      <c r="DQ8" s="5">
        <f>IF(AND(DN8&gt;='Demand adjustments for Covid'!$F$12,DN8&lt;'Demand adjustments for Covid'!$F$17),'Demand adjustments for Covid'!$F$13,DO8)</f>
        <v>200</v>
      </c>
      <c r="DR8" s="5">
        <f t="shared" si="7"/>
        <v>0</v>
      </c>
      <c r="DS8" s="5" t="e">
        <f ca="1">IF('Demand adjustments for Covid'!$F$9="Yes",IF(DR8=0,DQ8,((SUM(DR$4:DR8)-1)*$EE$8)+'Demand adjustments for Covid'!F$13),'Demand background (hide)'!DO8)</f>
        <v>#N/A</v>
      </c>
      <c r="DT8" s="5" t="e">
        <f ca="1">IF('Demand adjustments for Covid'!$F$9="Yes",IF(OR(AND(DN8&gt;='Demand adjustments for Covid'!$F$12,DN8&lt;'Demand adjustments for Covid'!$F$17),DR8=1),DS8+3,DP8),'Demand background (hide)'!DP8)</f>
        <v>#N/A</v>
      </c>
      <c r="DU8" s="5" t="e">
        <f ca="1">IF(DS8&lt;='Demand adjustments for Covid'!$F$17,DO8-DS8,0)</f>
        <v>#N/A</v>
      </c>
      <c r="DV8" s="5">
        <f ca="1">IF(AND(ROW(A5)&gt;$EE$5,ROW(A5)&lt;=$EA$5),OFFSET('Demand adjustments for Covid'!$F$35,0,ROW(A5)-'Demand background (hide)'!$EE$5,1,1),0)</f>
        <v>0</v>
      </c>
      <c r="DW8" s="5">
        <f ca="1">IF(AND(ROW(A5)&gt;$EE$5,ROW(A5)&lt;=$EA$5),OFFSET('Demand adjustments for Covid'!$F$36,0,ROW(A5)-'Demand background (hide)'!$EE$5,1,1),0)</f>
        <v>0</v>
      </c>
      <c r="DX8" s="5" t="e">
        <f t="shared" ca="1" si="11"/>
        <v>#N/A</v>
      </c>
      <c r="ED8" s="5" t="s">
        <v>1197</v>
      </c>
      <c r="EE8" s="5" t="e">
        <f ca="1">IF('Demand adjustments for Covid'!F18&gt;0,(EE7-'Demand adjustments for Covid'!F13)/'Demand adjustments for Covid'!F18,0)</f>
        <v>#N/A</v>
      </c>
    </row>
    <row r="9" spans="1:135" s="5" customFormat="1" x14ac:dyDescent="0.2">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8"/>
        <v>0</v>
      </c>
      <c r="AM9" s="5">
        <f t="shared" ca="1" si="9"/>
        <v>0</v>
      </c>
      <c r="AN9" s="5" t="str">
        <f>IF(Demand!BE18="Yes","Yes","")</f>
        <v/>
      </c>
      <c r="AP9" s="36" t="str">
        <f ca="1">Demand!B18</f>
        <v xml:space="preserve"> </v>
      </c>
      <c r="AQ9" s="5" t="str">
        <f ca="1">IF(TEXT(Demand!D18,"MMM")&lt;&gt;TEXT(Demand!D17,"MMM"),TEXT(Demand!D18,"MMM"),"")</f>
        <v/>
      </c>
      <c r="AT9" s="5">
        <f t="shared" ca="1" si="12"/>
        <v>0</v>
      </c>
      <c r="BB9" t="str">
        <f>'Control sheet (hide)'!AA6</f>
        <v>Modality 4</v>
      </c>
      <c r="BC9" s="46" t="str">
        <f t="shared" si="13"/>
        <v/>
      </c>
      <c r="BD9" s="46" t="str">
        <f t="shared" si="14"/>
        <v/>
      </c>
      <c r="BE9" s="46" t="str">
        <f t="shared" si="15"/>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8"/>
        <v>0</v>
      </c>
      <c r="BJ9" s="5">
        <f t="shared" ref="BJ9:BL9" ca="1" si="24">BF9*OFFSET($N$2,0,ROW(A4)-1,1,1)</f>
        <v>0</v>
      </c>
      <c r="BK9" s="5">
        <f t="shared" ca="1" si="24"/>
        <v>0</v>
      </c>
      <c r="BL9" s="5">
        <f t="shared" ca="1" si="24"/>
        <v>0</v>
      </c>
      <c r="BM9" s="5">
        <f t="shared" ca="1" si="20"/>
        <v>0</v>
      </c>
      <c r="BN9" s="5">
        <f t="shared" ca="1" si="21"/>
        <v>1</v>
      </c>
      <c r="BO9" s="84" t="e">
        <f t="shared" ca="1" si="22"/>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ca="1">IF(OR(AN9&lt;&gt;"",AND('Demand adjustments for Covid'!$F$9="Yes",'Demand adjustments for Covid'!$F$20="Yes")),"",SUM(CW9:DF9))</f>
        <v>0</v>
      </c>
      <c r="DI9" s="5" t="s">
        <v>232</v>
      </c>
      <c r="DJ9" s="5" t="str">
        <f ca="1">IFERROR(PERCENTILE((OFFSET('Demand background (hide)'!$DG$4,'SPC background (hide)'!$D$6-1,0,'SPC background (hide)'!$H$7,1)),'Control sheet (hide)'!$I$10),"")</f>
        <v/>
      </c>
      <c r="DM9" s="5">
        <f t="shared" si="10"/>
        <v>26</v>
      </c>
      <c r="DN9" s="317">
        <f t="shared" si="17"/>
        <v>44004</v>
      </c>
      <c r="DO9" s="5" t="e">
        <f ca="1">VLOOKUP(IF($DM9&lt;53,$DM9,52),'Summary Calculations (hide)'!$D$15:$F$67,2,0)</f>
        <v>#N/A</v>
      </c>
      <c r="DP9" s="5" t="e">
        <f ca="1">VLOOKUP(IF($DM9&lt;53,$DM9,52),'Summary Calculations (hide)'!$D$15:$F$67,3,0)</f>
        <v>#N/A</v>
      </c>
      <c r="DQ9" s="5">
        <f>IF(AND(DN9&gt;='Demand adjustments for Covid'!$F$12,DN9&lt;'Demand adjustments for Covid'!$F$17),'Demand adjustments for Covid'!$F$13,DO9)</f>
        <v>200</v>
      </c>
      <c r="DR9" s="5">
        <f t="shared" si="7"/>
        <v>0</v>
      </c>
      <c r="DS9" s="5" t="e">
        <f ca="1">IF('Demand adjustments for Covid'!$F$9="Yes",IF(DR9=0,DQ9,((SUM(DR$4:DR9)-1)*$EE$8)+'Demand adjustments for Covid'!F$13),'Demand background (hide)'!DO9)</f>
        <v>#N/A</v>
      </c>
      <c r="DT9" s="5" t="e">
        <f ca="1">IF('Demand adjustments for Covid'!$F$9="Yes",IF(OR(AND(DN9&gt;='Demand adjustments for Covid'!$F$12,DN9&lt;'Demand adjustments for Covid'!$F$17),DR9=1),DS9+3,DP9),'Demand background (hide)'!DP9)</f>
        <v>#N/A</v>
      </c>
      <c r="DU9" s="5" t="e">
        <f ca="1">IF(DS9&lt;='Demand adjustments for Covid'!$F$17,DO9-DS9,0)</f>
        <v>#N/A</v>
      </c>
      <c r="DV9" s="5">
        <f ca="1">IF(AND(ROW(A6)&gt;$EE$5,ROW(A6)&lt;=$EA$5),OFFSET('Demand adjustments for Covid'!$F$35,0,ROW(A6)-'Demand background (hide)'!$EE$5,1,1),0)</f>
        <v>0</v>
      </c>
      <c r="DW9" s="5">
        <f ca="1">IF(AND(ROW(A6)&gt;$EE$5,ROW(A6)&lt;=$EA$5),OFFSET('Demand adjustments for Covid'!$F$36,0,ROW(A6)-'Demand background (hide)'!$EE$5,1,1),0)</f>
        <v>0</v>
      </c>
      <c r="DX9" s="5" t="e">
        <f t="shared" ca="1" si="11"/>
        <v>#N/A</v>
      </c>
    </row>
    <row r="10" spans="1:135" s="5" customFormat="1" x14ac:dyDescent="0.2">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8"/>
        <v>0</v>
      </c>
      <c r="AM10" s="5">
        <f t="shared" ca="1" si="9"/>
        <v>0</v>
      </c>
      <c r="AN10" s="5" t="str">
        <f>IF(Demand!BE19="Yes","Yes","")</f>
        <v/>
      </c>
      <c r="AP10" s="36" t="str">
        <f ca="1">Demand!B19</f>
        <v xml:space="preserve"> </v>
      </c>
      <c r="AQ10" s="5" t="str">
        <f ca="1">IF(TEXT(Demand!D19,"MMM")&lt;&gt;TEXT(Demand!D18,"MMM"),TEXT(Demand!D19,"MMM"),"")</f>
        <v/>
      </c>
      <c r="AT10" s="5">
        <f t="shared" ca="1" si="12"/>
        <v>0</v>
      </c>
      <c r="AV10" s="5" t="s">
        <v>69</v>
      </c>
      <c r="AW10" s="44" t="str">
        <f ca="1">IFERROR(AVERAGE(OFFSET(AL$4,'SPC background (hide)'!$D$6-1,0,'SPC background (hide)'!$H$7,1)),"")</f>
        <v/>
      </c>
      <c r="AX10" s="5" t="str">
        <f ca="1">IFERROR(AVERAGE(OFFSET(AM$4,'SPC background (hide)'!$D$6-1,0,'SPC background (hide)'!$H$7,1)),"")</f>
        <v/>
      </c>
      <c r="BB10" t="str">
        <f>'Control sheet (hide)'!AA7</f>
        <v>Modality 5</v>
      </c>
      <c r="BC10" s="46" t="str">
        <f t="shared" si="13"/>
        <v/>
      </c>
      <c r="BD10" s="46" t="str">
        <f t="shared" si="14"/>
        <v/>
      </c>
      <c r="BE10" s="46" t="str">
        <f t="shared" si="15"/>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8"/>
        <v>0</v>
      </c>
      <c r="BJ10" s="5">
        <f t="shared" ref="BJ10:BL10" ca="1" si="25">BF10*OFFSET($N$2,0,ROW(A5)-1,1,1)</f>
        <v>0</v>
      </c>
      <c r="BK10" s="5">
        <f t="shared" ca="1" si="25"/>
        <v>0</v>
      </c>
      <c r="BL10" s="5">
        <f t="shared" ca="1" si="25"/>
        <v>0</v>
      </c>
      <c r="BM10" s="5">
        <f t="shared" ca="1" si="20"/>
        <v>0</v>
      </c>
      <c r="BN10" s="5">
        <f t="shared" ca="1" si="21"/>
        <v>1</v>
      </c>
      <c r="BO10" s="84" t="e">
        <f t="shared" ca="1" si="22"/>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ca="1">IF(OR(AN10&lt;&gt;"",AND('Demand adjustments for Covid'!$F$9="Yes",'Demand adjustments for Covid'!$F$20="Yes")),"",SUM(CW10:DF10))</f>
        <v>0</v>
      </c>
      <c r="DM10" s="5">
        <f t="shared" si="10"/>
        <v>27</v>
      </c>
      <c r="DN10" s="317">
        <f t="shared" si="17"/>
        <v>44011</v>
      </c>
      <c r="DO10" s="5" t="e">
        <f ca="1">VLOOKUP(IF($DM10&lt;53,$DM10,52),'Summary Calculations (hide)'!$D$15:$F$67,2,0)</f>
        <v>#N/A</v>
      </c>
      <c r="DP10" s="5" t="e">
        <f ca="1">VLOOKUP(IF($DM10&lt;53,$DM10,52),'Summary Calculations (hide)'!$D$15:$F$67,3,0)</f>
        <v>#N/A</v>
      </c>
      <c r="DQ10" s="5" t="e">
        <f ca="1">IF(AND(DN10&gt;='Demand adjustments for Covid'!$F$12,DN10&lt;'Demand adjustments for Covid'!$F$17),'Demand adjustments for Covid'!$F$13,DO10)</f>
        <v>#N/A</v>
      </c>
      <c r="DR10" s="5">
        <f t="shared" si="7"/>
        <v>1</v>
      </c>
      <c r="DS10" s="5" t="e">
        <f ca="1">IF('Demand adjustments for Covid'!$F$9="Yes",IF(DR10=0,DQ10,((SUM(DR$4:DR10)-1)*$EE$8)+'Demand adjustments for Covid'!F$13),'Demand background (hide)'!DO10)</f>
        <v>#N/A</v>
      </c>
      <c r="DT10" s="5" t="e">
        <f ca="1">IF('Demand adjustments for Covid'!$F$9="Yes",IF(OR(AND(DN10&gt;='Demand adjustments for Covid'!$F$12,DN10&lt;'Demand adjustments for Covid'!$F$17),DR10=1),DS10+3,DP10),'Demand background (hide)'!DP10)</f>
        <v>#N/A</v>
      </c>
      <c r="DU10" s="5" t="e">
        <f ca="1">IF(DS10&lt;='Demand adjustments for Covid'!$F$17,DO10-DS10,0)</f>
        <v>#N/A</v>
      </c>
      <c r="DV10" s="5">
        <f ca="1">IF(AND(ROW(A7)&gt;$EE$5,ROW(A7)&lt;=$EA$5),OFFSET('Demand adjustments for Covid'!$F$35,0,ROW(A7)-'Demand background (hide)'!$EE$5,1,1),0)</f>
        <v>0</v>
      </c>
      <c r="DW10" s="5">
        <f ca="1">IF(AND(ROW(A7)&gt;$EE$5,ROW(A7)&lt;=$EA$5),OFFSET('Demand adjustments for Covid'!$F$36,0,ROW(A7)-'Demand background (hide)'!$EE$5,1,1),0)</f>
        <v>0</v>
      </c>
      <c r="DX10" s="5" t="e">
        <f t="shared" ca="1" si="11"/>
        <v>#N/A</v>
      </c>
      <c r="ED10" s="5" t="s">
        <v>1200</v>
      </c>
      <c r="EE10" s="5" t="e">
        <f ca="1">SUM(DU4:DU55)</f>
        <v>#N/A</v>
      </c>
    </row>
    <row r="11" spans="1:135" s="5" customFormat="1" x14ac:dyDescent="0.2">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8"/>
        <v>0</v>
      </c>
      <c r="AM11" s="5">
        <f t="shared" ca="1" si="9"/>
        <v>0</v>
      </c>
      <c r="AN11" s="5" t="str">
        <f>IF(Demand!BE20="Yes","Yes","")</f>
        <v/>
      </c>
      <c r="AP11" s="36" t="str">
        <f ca="1">Demand!B20</f>
        <v xml:space="preserve"> </v>
      </c>
      <c r="AQ11" s="5" t="str">
        <f ca="1">IF(TEXT(Demand!D20,"MMM")&lt;&gt;TEXT(Demand!D19,"MMM"),TEXT(Demand!D20,"MMM"),"")</f>
        <v/>
      </c>
      <c r="AT11" s="5">
        <f t="shared" ca="1" si="12"/>
        <v>0</v>
      </c>
      <c r="AV11" s="5" t="s">
        <v>73</v>
      </c>
      <c r="AW11" s="44" t="str">
        <f ca="1">IFERROR(AVERAGE(OFFSET($AT$4,'SPC background (hide)'!$D$6-1,0,'SPC background (hide)'!$H$7,1)),"")</f>
        <v/>
      </c>
      <c r="BB11" t="str">
        <f>'Control sheet (hide)'!AA8</f>
        <v>Modality 6</v>
      </c>
      <c r="BC11" s="46" t="str">
        <f t="shared" si="13"/>
        <v/>
      </c>
      <c r="BD11" s="46" t="str">
        <f t="shared" si="14"/>
        <v/>
      </c>
      <c r="BE11" s="46" t="str">
        <f t="shared" si="15"/>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8"/>
        <v>0</v>
      </c>
      <c r="BJ11" s="5">
        <f t="shared" ref="BJ11:BL11" ca="1" si="26">BF11*OFFSET($N$2,0,ROW(A6)-1,1,1)</f>
        <v>0</v>
      </c>
      <c r="BK11" s="5">
        <f t="shared" ca="1" si="26"/>
        <v>0</v>
      </c>
      <c r="BL11" s="5">
        <f t="shared" ca="1" si="26"/>
        <v>0</v>
      </c>
      <c r="BM11" s="5">
        <f t="shared" ca="1" si="20"/>
        <v>0</v>
      </c>
      <c r="BN11" s="5">
        <f t="shared" ca="1" si="21"/>
        <v>1</v>
      </c>
      <c r="BO11" s="84" t="e">
        <f t="shared" ca="1" si="22"/>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ca="1">IF(OR(AN11&lt;&gt;"",AND('Demand adjustments for Covid'!$F$9="Yes",'Demand adjustments for Covid'!$F$20="Yes")),"",SUM(CW11:DF11))</f>
        <v>0</v>
      </c>
      <c r="DI11" s="5" t="s">
        <v>233</v>
      </c>
      <c r="DJ11" s="5" t="str">
        <f ca="1">IFERROR(AVERAGE(OFFSET($DG$4,'SPC background (hide)'!$D$8,0,'SPC background (hide)'!$H$9,1)),"")</f>
        <v/>
      </c>
      <c r="DM11" s="5">
        <f t="shared" si="10"/>
        <v>28</v>
      </c>
      <c r="DN11" s="317">
        <f t="shared" si="17"/>
        <v>44018</v>
      </c>
      <c r="DO11" s="5" t="e">
        <f ca="1">VLOOKUP(IF($DM11&lt;53,$DM11,52),'Summary Calculations (hide)'!$D$15:$F$67,2,0)</f>
        <v>#N/A</v>
      </c>
      <c r="DP11" s="5" t="e">
        <f ca="1">VLOOKUP(IF($DM11&lt;53,$DM11,52),'Summary Calculations (hide)'!$D$15:$F$67,3,0)</f>
        <v>#N/A</v>
      </c>
      <c r="DQ11" s="5" t="e">
        <f ca="1">IF(AND(DN11&gt;='Demand adjustments for Covid'!$F$12,DN11&lt;'Demand adjustments for Covid'!$F$17),'Demand adjustments for Covid'!$F$13,DO11)</f>
        <v>#N/A</v>
      </c>
      <c r="DR11" s="5">
        <f t="shared" si="7"/>
        <v>1</v>
      </c>
      <c r="DS11" s="5" t="e">
        <f ca="1">IF('Demand adjustments for Covid'!$F$9="Yes",IF(DR11=0,DQ11,((SUM(DR$4:DR11)-1)*$EE$8)+'Demand adjustments for Covid'!F$13),'Demand background (hide)'!DO11)</f>
        <v>#N/A</v>
      </c>
      <c r="DT11" s="5" t="e">
        <f ca="1">IF('Demand adjustments for Covid'!$F$9="Yes",IF(OR(AND(DN11&gt;='Demand adjustments for Covid'!$F$12,DN11&lt;'Demand adjustments for Covid'!$F$17),DR11=1),DS11+3,DP11),'Demand background (hide)'!DP11)</f>
        <v>#N/A</v>
      </c>
      <c r="DU11" s="5" t="e">
        <f ca="1">IF(DS11&lt;='Demand adjustments for Covid'!$F$17,DO11-DS11,0)</f>
        <v>#N/A</v>
      </c>
      <c r="DV11" s="5">
        <f ca="1">IF(AND(ROW(A8)&gt;$EE$5,ROW(A8)&lt;=$EA$5),OFFSET('Demand adjustments for Covid'!$F$35,0,ROW(A8)-'Demand background (hide)'!$EE$5,1,1),0)</f>
        <v>0</v>
      </c>
      <c r="DW11" s="5">
        <f ca="1">IF(AND(ROW(A8)&gt;$EE$5,ROW(A8)&lt;=$EA$5),OFFSET('Demand adjustments for Covid'!$F$36,0,ROW(A8)-'Demand background (hide)'!$EE$5,1,1),0)</f>
        <v>0</v>
      </c>
      <c r="DX11" s="5" t="e">
        <f t="shared" ca="1" si="11"/>
        <v>#N/A</v>
      </c>
    </row>
    <row r="12" spans="1:135" s="5" customFormat="1" x14ac:dyDescent="0.2">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8"/>
        <v>0</v>
      </c>
      <c r="AM12" s="5">
        <f t="shared" ca="1" si="9"/>
        <v>0</v>
      </c>
      <c r="AN12" s="5" t="str">
        <f>IF(Demand!BE21="Yes","Yes","")</f>
        <v/>
      </c>
      <c r="AP12" s="36" t="str">
        <f ca="1">Demand!B21</f>
        <v xml:space="preserve"> </v>
      </c>
      <c r="AQ12" s="5" t="str">
        <f ca="1">IF(TEXT(Demand!D21,"MMM")&lt;&gt;TEXT(Demand!D20,"MMM"),TEXT(Demand!D21,"MMM"),"")</f>
        <v/>
      </c>
      <c r="AT12" s="5">
        <f t="shared" ca="1" si="12"/>
        <v>0</v>
      </c>
      <c r="AV12" s="5" t="s">
        <v>72</v>
      </c>
      <c r="AW12" s="44" t="str">
        <f ca="1">IFERROR(AW11/1.128,"")</f>
        <v/>
      </c>
      <c r="BB12" t="str">
        <f>'Control sheet (hide)'!AA9</f>
        <v>Modality 7</v>
      </c>
      <c r="BC12" s="46" t="str">
        <f t="shared" si="13"/>
        <v/>
      </c>
      <c r="BD12" s="46" t="str">
        <f t="shared" si="14"/>
        <v/>
      </c>
      <c r="BE12" s="46" t="str">
        <f t="shared" si="15"/>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8"/>
        <v>0</v>
      </c>
      <c r="BJ12" s="5">
        <f t="shared" ref="BJ12:BL12" ca="1" si="27">BF12*OFFSET($N$2,0,ROW(A7)-1,1,1)</f>
        <v>0</v>
      </c>
      <c r="BK12" s="5">
        <f t="shared" ca="1" si="27"/>
        <v>0</v>
      </c>
      <c r="BL12" s="5">
        <f t="shared" ca="1" si="27"/>
        <v>0</v>
      </c>
      <c r="BM12" s="5">
        <f t="shared" ca="1" si="20"/>
        <v>0</v>
      </c>
      <c r="BN12" s="5">
        <f t="shared" ca="1" si="21"/>
        <v>1</v>
      </c>
      <c r="BO12" s="84" t="e">
        <f t="shared" ca="1" si="22"/>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ca="1">IF(OR(AN12&lt;&gt;"",AND('Demand adjustments for Covid'!$F$9="Yes",'Demand adjustments for Covid'!$F$20="Yes")),"",SUM(CW12:DF12))</f>
        <v>0</v>
      </c>
      <c r="DI12" s="5" t="s">
        <v>234</v>
      </c>
      <c r="DJ12" s="5" t="str">
        <f ca="1">IFERROR(PERCENTILE(OFFSET($DG$4,'SPC background (hide)'!$D$8,0,'SPC background (hide)'!$H$9,1),'Control sheet (hide)'!$I$9),"")</f>
        <v/>
      </c>
      <c r="DM12" s="5">
        <f t="shared" si="10"/>
        <v>29</v>
      </c>
      <c r="DN12" s="317">
        <f t="shared" si="17"/>
        <v>44025</v>
      </c>
      <c r="DO12" s="5" t="e">
        <f ca="1">VLOOKUP(IF($DM12&lt;53,$DM12,52),'Summary Calculations (hide)'!$D$15:$F$67,2,0)</f>
        <v>#N/A</v>
      </c>
      <c r="DP12" s="5" t="e">
        <f ca="1">VLOOKUP(IF($DM12&lt;53,$DM12,52),'Summary Calculations (hide)'!$D$15:$F$67,3,0)</f>
        <v>#N/A</v>
      </c>
      <c r="DQ12" s="5" t="e">
        <f ca="1">IF(AND(DN12&gt;='Demand adjustments for Covid'!$F$12,DN12&lt;'Demand adjustments for Covid'!$F$17),'Demand adjustments for Covid'!$F$13,DO12)</f>
        <v>#N/A</v>
      </c>
      <c r="DR12" s="5">
        <f t="shared" si="7"/>
        <v>1</v>
      </c>
      <c r="DS12" s="5" t="e">
        <f ca="1">IF('Demand adjustments for Covid'!$F$9="Yes",IF(DR12=0,DQ12,((SUM(DR$4:DR12)-1)*$EE$8)+'Demand adjustments for Covid'!F$13),'Demand background (hide)'!DO12)</f>
        <v>#N/A</v>
      </c>
      <c r="DT12" s="5" t="e">
        <f ca="1">IF('Demand adjustments for Covid'!$F$9="Yes",IF(OR(AND(DN12&gt;='Demand adjustments for Covid'!$F$12,DN12&lt;'Demand adjustments for Covid'!$F$17),DR12=1),DS12+3,DP12),'Demand background (hide)'!DP12)</f>
        <v>#N/A</v>
      </c>
      <c r="DU12" s="5" t="e">
        <f ca="1">IF(DS12&lt;='Demand adjustments for Covid'!$F$17,DO12-DS12,0)</f>
        <v>#N/A</v>
      </c>
      <c r="DV12" s="5">
        <f ca="1">IF(AND(ROW(A9)&gt;$EE$5,ROW(A9)&lt;=$EA$5),OFFSET('Demand adjustments for Covid'!$F$35,0,ROW(A9)-'Demand background (hide)'!$EE$5,1,1),0)</f>
        <v>0</v>
      </c>
      <c r="DW12" s="5">
        <f ca="1">IF(AND(ROW(A9)&gt;$EE$5,ROW(A9)&lt;=$EA$5),OFFSET('Demand adjustments for Covid'!$F$36,0,ROW(A9)-'Demand background (hide)'!$EE$5,1,1),0)</f>
        <v>0</v>
      </c>
      <c r="DX12" s="5" t="e">
        <f t="shared" ca="1" si="11"/>
        <v>#N/A</v>
      </c>
    </row>
    <row r="13" spans="1:135" s="5" customFormat="1" x14ac:dyDescent="0.2">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8"/>
        <v>0</v>
      </c>
      <c r="AM13" s="5">
        <f t="shared" ca="1" si="9"/>
        <v>0</v>
      </c>
      <c r="AN13" s="5" t="str">
        <f>IF(Demand!BE22="Yes","Yes","")</f>
        <v/>
      </c>
      <c r="AP13" s="36" t="str">
        <f ca="1">Demand!B22</f>
        <v xml:space="preserve"> </v>
      </c>
      <c r="AQ13" s="5" t="str">
        <f ca="1">IF(TEXT(Demand!D22,"MMM")&lt;&gt;TEXT(Demand!D21,"MMM"),TEXT(Demand!D22,"MMM"),"")</f>
        <v/>
      </c>
      <c r="AT13" s="5">
        <f t="shared" ca="1" si="12"/>
        <v>0</v>
      </c>
      <c r="AV13" s="5" t="s">
        <v>137</v>
      </c>
      <c r="AW13" s="44"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6" t="str">
        <f t="shared" si="13"/>
        <v/>
      </c>
      <c r="BD13" s="46" t="str">
        <f t="shared" si="14"/>
        <v/>
      </c>
      <c r="BE13" s="46" t="str">
        <f t="shared" si="15"/>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8"/>
        <v>0</v>
      </c>
      <c r="BJ13" s="5">
        <f t="shared" ref="BJ13:BL13" ca="1" si="28">BF13*OFFSET($N$2,0,ROW(A8)-1,1,1)</f>
        <v>0</v>
      </c>
      <c r="BK13" s="5">
        <f t="shared" ca="1" si="28"/>
        <v>0</v>
      </c>
      <c r="BL13" s="5">
        <f t="shared" ca="1" si="28"/>
        <v>0</v>
      </c>
      <c r="BM13" s="5">
        <f t="shared" ca="1" si="20"/>
        <v>0</v>
      </c>
      <c r="BN13" s="5">
        <f t="shared" ca="1" si="21"/>
        <v>1</v>
      </c>
      <c r="BO13" s="84" t="e">
        <f t="shared" ca="1" si="22"/>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ca="1">IF(OR(AN13&lt;&gt;"",AND('Demand adjustments for Covid'!$F$9="Yes",'Demand adjustments for Covid'!$F$20="Yes")),"",SUM(CW13:DF13))</f>
        <v>0</v>
      </c>
      <c r="DI13" s="5" t="s">
        <v>235</v>
      </c>
      <c r="DJ13" s="5" t="str">
        <f ca="1">IFERROR(PERCENTILE(OFFSET($DG$4,'SPC background (hide)'!$D$8,0,'SPC background (hide)'!$H$9,1),'Control sheet (hide)'!$I$10),"")</f>
        <v/>
      </c>
      <c r="DM13" s="5">
        <f t="shared" si="10"/>
        <v>30</v>
      </c>
      <c r="DN13" s="317">
        <f t="shared" si="17"/>
        <v>44032</v>
      </c>
      <c r="DO13" s="5" t="e">
        <f ca="1">VLOOKUP(IF($DM13&lt;53,$DM13,52),'Summary Calculations (hide)'!$D$15:$F$67,2,0)</f>
        <v>#N/A</v>
      </c>
      <c r="DP13" s="5" t="e">
        <f ca="1">VLOOKUP(IF($DM13&lt;53,$DM13,52),'Summary Calculations (hide)'!$D$15:$F$67,3,0)</f>
        <v>#N/A</v>
      </c>
      <c r="DQ13" s="5" t="e">
        <f ca="1">IF(AND(DN13&gt;='Demand adjustments for Covid'!$F$12,DN13&lt;'Demand adjustments for Covid'!$F$17),'Demand adjustments for Covid'!$F$13,DO13)</f>
        <v>#N/A</v>
      </c>
      <c r="DR13" s="5">
        <f t="shared" si="7"/>
        <v>1</v>
      </c>
      <c r="DS13" s="5" t="e">
        <f ca="1">IF('Demand adjustments for Covid'!$F$9="Yes",IF(DR13=0,DQ13,((SUM(DR$4:DR13)-1)*$EE$8)+'Demand adjustments for Covid'!F$13),'Demand background (hide)'!DO13)</f>
        <v>#N/A</v>
      </c>
      <c r="DT13" s="5" t="e">
        <f ca="1">IF('Demand adjustments for Covid'!$F$9="Yes",IF(OR(AND(DN13&gt;='Demand adjustments for Covid'!$F$12,DN13&lt;'Demand adjustments for Covid'!$F$17),DR13=1),DS13+3,DP13),'Demand background (hide)'!DP13)</f>
        <v>#N/A</v>
      </c>
      <c r="DU13" s="5" t="e">
        <f ca="1">IF(DS13&lt;='Demand adjustments for Covid'!$F$17,DO13-DS13,0)</f>
        <v>#N/A</v>
      </c>
      <c r="DV13" s="5">
        <f ca="1">IF(AND(ROW(A10)&gt;$EE$5,ROW(A10)&lt;=$EA$5),OFFSET('Demand adjustments for Covid'!$F$35,0,ROW(A10)-'Demand background (hide)'!$EE$5,1,1),0)</f>
        <v>0</v>
      </c>
      <c r="DW13" s="5">
        <f ca="1">IF(AND(ROW(A10)&gt;$EE$5,ROW(A10)&lt;=$EA$5),OFFSET('Demand adjustments for Covid'!$F$36,0,ROW(A10)-'Demand background (hide)'!$EE$5,1,1),0)</f>
        <v>0</v>
      </c>
      <c r="DX13" s="5" t="e">
        <f t="shared" ca="1" si="11"/>
        <v>#N/A</v>
      </c>
    </row>
    <row r="14" spans="1:135" s="5" customFormat="1" x14ac:dyDescent="0.2">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8"/>
        <v>0</v>
      </c>
      <c r="AM14" s="5">
        <f t="shared" ca="1" si="9"/>
        <v>0</v>
      </c>
      <c r="AN14" s="5" t="str">
        <f>IF(Demand!BE23="Yes","Yes","")</f>
        <v/>
      </c>
      <c r="AP14" s="36" t="str">
        <f ca="1">Demand!B23</f>
        <v xml:space="preserve"> </v>
      </c>
      <c r="AQ14" s="5" t="str">
        <f ca="1">IF(TEXT(Demand!D23,"MMM")&lt;&gt;TEXT(Demand!D22,"MMM"),TEXT(Demand!D23,"MMM"),"")</f>
        <v/>
      </c>
      <c r="AT14" s="5">
        <f t="shared" ca="1" si="12"/>
        <v>0</v>
      </c>
      <c r="AV14" s="5" t="s">
        <v>138</v>
      </c>
      <c r="AW14" s="44"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6" t="str">
        <f t="shared" si="13"/>
        <v/>
      </c>
      <c r="BD14" s="46" t="str">
        <f t="shared" si="14"/>
        <v/>
      </c>
      <c r="BE14" s="46" t="str">
        <f t="shared" si="15"/>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8"/>
        <v>0</v>
      </c>
      <c r="BJ14" s="5">
        <f t="shared" ref="BJ14:BL14" ca="1" si="29">BF14*OFFSET($N$2,0,ROW(A9)-1,1,1)</f>
        <v>0</v>
      </c>
      <c r="BK14" s="5">
        <f t="shared" ca="1" si="29"/>
        <v>0</v>
      </c>
      <c r="BL14" s="5">
        <f t="shared" ca="1" si="29"/>
        <v>0</v>
      </c>
      <c r="BM14" s="5">
        <f t="shared" ca="1" si="20"/>
        <v>0</v>
      </c>
      <c r="BN14" s="5">
        <f t="shared" ca="1" si="21"/>
        <v>1</v>
      </c>
      <c r="BO14" s="84" t="e">
        <f t="shared" ca="1" si="22"/>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ca="1">IF(OR(AN14&lt;&gt;"",AND('Demand adjustments for Covid'!$F$9="Yes",'Demand adjustments for Covid'!$F$20="Yes")),"",SUM(CW14:DF14))</f>
        <v>0</v>
      </c>
      <c r="DM14" s="5">
        <f t="shared" si="10"/>
        <v>31</v>
      </c>
      <c r="DN14" s="317">
        <f t="shared" si="17"/>
        <v>44039</v>
      </c>
      <c r="DO14" s="5" t="e">
        <f ca="1">VLOOKUP(IF($DM14&lt;53,$DM14,52),'Summary Calculations (hide)'!$D$15:$F$67,2,0)</f>
        <v>#N/A</v>
      </c>
      <c r="DP14" s="5" t="e">
        <f ca="1">VLOOKUP(IF($DM14&lt;53,$DM14,52),'Summary Calculations (hide)'!$D$15:$F$67,3,0)</f>
        <v>#N/A</v>
      </c>
      <c r="DQ14" s="5" t="e">
        <f ca="1">IF(AND(DN14&gt;='Demand adjustments for Covid'!$F$12,DN14&lt;'Demand adjustments for Covid'!$F$17),'Demand adjustments for Covid'!$F$13,DO14)</f>
        <v>#N/A</v>
      </c>
      <c r="DR14" s="5">
        <f t="shared" si="7"/>
        <v>1</v>
      </c>
      <c r="DS14" s="5" t="e">
        <f ca="1">IF('Demand adjustments for Covid'!$F$9="Yes",IF(DR14=0,DQ14,((SUM(DR$4:DR14)-1)*$EE$8)+'Demand adjustments for Covid'!F$13),'Demand background (hide)'!DO14)</f>
        <v>#N/A</v>
      </c>
      <c r="DT14" s="5" t="e">
        <f ca="1">IF('Demand adjustments for Covid'!$F$9="Yes",IF(OR(AND(DN14&gt;='Demand adjustments for Covid'!$F$12,DN14&lt;'Demand adjustments for Covid'!$F$17),DR14=1),DS14+3,DP14),'Demand background (hide)'!DP14)</f>
        <v>#N/A</v>
      </c>
      <c r="DU14" s="5" t="e">
        <f ca="1">IF(DS14&lt;='Demand adjustments for Covid'!$F$17,DO14-DS14,0)</f>
        <v>#N/A</v>
      </c>
      <c r="DV14" s="5">
        <f ca="1">IF(AND(ROW(A11)&gt;$EE$5,ROW(A11)&lt;=$EA$5),OFFSET('Demand adjustments for Covid'!$F$35,0,ROW(A11)-'Demand background (hide)'!$EE$5,1,1),0)</f>
        <v>0</v>
      </c>
      <c r="DW14" s="5">
        <f ca="1">IF(AND(ROW(A11)&gt;$EE$5,ROW(A11)&lt;=$EA$5),OFFSET('Demand adjustments for Covid'!$F$36,0,ROW(A11)-'Demand background (hide)'!$EE$5,1,1),0)</f>
        <v>0</v>
      </c>
      <c r="DX14" s="5" t="e">
        <f t="shared" ca="1" si="11"/>
        <v>#N/A</v>
      </c>
    </row>
    <row r="15" spans="1:135" s="5" customFormat="1" x14ac:dyDescent="0.2">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8"/>
        <v>0</v>
      </c>
      <c r="AM15" s="5">
        <f t="shared" ca="1" si="9"/>
        <v>0</v>
      </c>
      <c r="AN15" s="5" t="str">
        <f>IF(Demand!BE24="Yes","Yes","")</f>
        <v/>
      </c>
      <c r="AP15" s="36" t="str">
        <f ca="1">Demand!B24</f>
        <v xml:space="preserve"> </v>
      </c>
      <c r="AQ15" s="5" t="str">
        <f ca="1">IF(TEXT(Demand!D24,"MMM")&lt;&gt;TEXT(Demand!D23,"MMM"),TEXT(Demand!D24,"MMM"),"")</f>
        <v/>
      </c>
      <c r="AT15" s="5">
        <f t="shared" ca="1" si="12"/>
        <v>0</v>
      </c>
      <c r="BB15" t="str">
        <f>'Control sheet (hide)'!AA12</f>
        <v>Modality 10</v>
      </c>
      <c r="BC15" s="46" t="str">
        <f t="shared" si="13"/>
        <v/>
      </c>
      <c r="BD15" s="46" t="str">
        <f t="shared" si="14"/>
        <v/>
      </c>
      <c r="BE15" s="46" t="str">
        <f t="shared" si="15"/>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8"/>
        <v>0</v>
      </c>
      <c r="BJ15" s="5">
        <f t="shared" ref="BJ15:BL15" ca="1" si="30">BF15*OFFSET($N$2,0,ROW(A10)-1,1,1)</f>
        <v>0</v>
      </c>
      <c r="BK15" s="5">
        <f t="shared" ca="1" si="30"/>
        <v>0</v>
      </c>
      <c r="BL15" s="5">
        <f t="shared" ca="1" si="30"/>
        <v>0</v>
      </c>
      <c r="BM15" s="5">
        <f t="shared" ca="1" si="20"/>
        <v>0</v>
      </c>
      <c r="BN15" s="5">
        <f t="shared" ca="1" si="21"/>
        <v>1</v>
      </c>
      <c r="BO15" s="84" t="e">
        <f t="shared" ca="1" si="22"/>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ca="1">IF(OR(AN15&lt;&gt;"",AND('Demand adjustments for Covid'!$F$9="Yes",'Demand adjustments for Covid'!$F$20="Yes")),"",SUM(CW15:DF15))</f>
        <v>0</v>
      </c>
      <c r="DI15" s="5" t="s">
        <v>236</v>
      </c>
      <c r="DJ15" s="5" t="str">
        <f ca="1">IFERROR(AVERAGE(OFFSET($DG$4,'SPC background (hide)'!$D$10,0,'SPC background (hide)'!$H$11,1)),"")</f>
        <v/>
      </c>
      <c r="DM15" s="5">
        <f t="shared" si="10"/>
        <v>32</v>
      </c>
      <c r="DN15" s="317">
        <f t="shared" si="17"/>
        <v>44046</v>
      </c>
      <c r="DO15" s="5" t="e">
        <f ca="1">VLOOKUP(IF($DM15&lt;53,$DM15,52),'Summary Calculations (hide)'!$D$15:$F$67,2,0)</f>
        <v>#N/A</v>
      </c>
      <c r="DP15" s="5" t="e">
        <f ca="1">VLOOKUP(IF($DM15&lt;53,$DM15,52),'Summary Calculations (hide)'!$D$15:$F$67,3,0)</f>
        <v>#N/A</v>
      </c>
      <c r="DQ15" s="5" t="e">
        <f ca="1">IF(AND(DN15&gt;='Demand adjustments for Covid'!$F$12,DN15&lt;'Demand adjustments for Covid'!$F$17),'Demand adjustments for Covid'!$F$13,DO15)</f>
        <v>#N/A</v>
      </c>
      <c r="DR15" s="5">
        <f t="shared" si="7"/>
        <v>1</v>
      </c>
      <c r="DS15" s="5" t="e">
        <f ca="1">IF('Demand adjustments for Covid'!$F$9="Yes",IF(DR15=0,DQ15,((SUM(DR$4:DR15)-1)*$EE$8)+'Demand adjustments for Covid'!F$13),'Demand background (hide)'!DO15)</f>
        <v>#N/A</v>
      </c>
      <c r="DT15" s="5" t="e">
        <f ca="1">IF('Demand adjustments for Covid'!$F$9="Yes",IF(OR(AND(DN15&gt;='Demand adjustments for Covid'!$F$12,DN15&lt;'Demand adjustments for Covid'!$F$17),DR15=1),DS15+3,DP15),'Demand background (hide)'!DP15)</f>
        <v>#N/A</v>
      </c>
      <c r="DU15" s="5" t="e">
        <f ca="1">IF(DS15&lt;='Demand adjustments for Covid'!$F$17,DO15-DS15,0)</f>
        <v>#N/A</v>
      </c>
      <c r="DV15" s="5">
        <f ca="1">IF(AND(ROW(A12)&gt;$EE$5,ROW(A12)&lt;=$EA$5),OFFSET('Demand adjustments for Covid'!$F$35,0,ROW(A12)-'Demand background (hide)'!$EE$5,1,1),0)</f>
        <v>0</v>
      </c>
      <c r="DW15" s="5">
        <f ca="1">IF(AND(ROW(A12)&gt;$EE$5,ROW(A12)&lt;=$EA$5),OFFSET('Demand adjustments for Covid'!$F$36,0,ROW(A12)-'Demand background (hide)'!$EE$5,1,1),0)</f>
        <v>0</v>
      </c>
      <c r="DX15" s="5" t="e">
        <f t="shared" ca="1" si="11"/>
        <v>#N/A</v>
      </c>
    </row>
    <row r="16" spans="1:135" s="5" customFormat="1" x14ac:dyDescent="0.2">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8"/>
        <v>0</v>
      </c>
      <c r="AM16" s="5">
        <f t="shared" ca="1" si="9"/>
        <v>0</v>
      </c>
      <c r="AN16" s="5" t="str">
        <f>IF(Demand!BE25="Yes","Yes","")</f>
        <v/>
      </c>
      <c r="AP16" s="36" t="str">
        <f ca="1">Demand!B25</f>
        <v xml:space="preserve"> </v>
      </c>
      <c r="AQ16" s="5" t="str">
        <f ca="1">IF(TEXT(Demand!D25,"MMM")&lt;&gt;TEXT(Demand!D24,"MMM"),TEXT(Demand!D25,"MMM"),"")</f>
        <v/>
      </c>
      <c r="AT16" s="5">
        <f t="shared" ca="1" si="12"/>
        <v>0</v>
      </c>
      <c r="BB16" s="5" t="s">
        <v>24</v>
      </c>
      <c r="BC16" s="46" t="e">
        <f ca="1">BJ16/$BM16</f>
        <v>#DIV/0!</v>
      </c>
      <c r="BD16" s="46" t="e">
        <f ca="1">BK16/$BM16</f>
        <v>#DIV/0!</v>
      </c>
      <c r="BE16" s="46" t="e">
        <f ca="1">BL16/$BM16</f>
        <v>#DIV/0!</v>
      </c>
      <c r="BF16" s="5">
        <f t="shared" ref="BF16:BM16" ca="1" si="31">SUM(OFFSET(BF$6,0,0,Num_Modalities,1))</f>
        <v>0</v>
      </c>
      <c r="BG16" s="5">
        <f t="shared" ca="1" si="31"/>
        <v>0</v>
      </c>
      <c r="BH16" s="5">
        <f t="shared" ca="1" si="31"/>
        <v>0</v>
      </c>
      <c r="BI16" s="5">
        <f t="shared" ca="1" si="31"/>
        <v>0</v>
      </c>
      <c r="BJ16" s="5">
        <f t="shared" ca="1" si="31"/>
        <v>0</v>
      </c>
      <c r="BK16" s="5">
        <f t="shared" ca="1" si="31"/>
        <v>0</v>
      </c>
      <c r="BL16" s="5">
        <f t="shared" ca="1" si="31"/>
        <v>0</v>
      </c>
      <c r="BM16" s="5">
        <f t="shared" ca="1" si="31"/>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ca="1">IF(OR(AN16&lt;&gt;"",AND('Demand adjustments for Covid'!$F$9="Yes",'Demand adjustments for Covid'!$F$20="Yes")),"",SUM(CW16:DF16))</f>
        <v>0</v>
      </c>
      <c r="DI16" s="5" t="s">
        <v>237</v>
      </c>
      <c r="DJ16" s="5" t="str">
        <f ca="1">IFERROR(PERCENTILE(OFFSET($DG$4,'SPC background (hide)'!$D$10,0,'SPC background (hide)'!$H$11,1),'Control sheet (hide)'!$I$11),"")</f>
        <v/>
      </c>
      <c r="DM16" s="5">
        <f t="shared" si="10"/>
        <v>33</v>
      </c>
      <c r="DN16" s="317">
        <f t="shared" si="17"/>
        <v>44053</v>
      </c>
      <c r="DO16" s="5" t="e">
        <f ca="1">VLOOKUP(IF($DM16&lt;53,$DM16,52),'Summary Calculations (hide)'!$D$15:$F$67,2,0)</f>
        <v>#N/A</v>
      </c>
      <c r="DP16" s="5" t="e">
        <f ca="1">VLOOKUP(IF($DM16&lt;53,$DM16,52),'Summary Calculations (hide)'!$D$15:$F$67,3,0)</f>
        <v>#N/A</v>
      </c>
      <c r="DQ16" s="5" t="e">
        <f ca="1">IF(AND(DN16&gt;='Demand adjustments for Covid'!$F$12,DN16&lt;'Demand adjustments for Covid'!$F$17),'Demand adjustments for Covid'!$F$13,DO16)</f>
        <v>#N/A</v>
      </c>
      <c r="DR16" s="5">
        <f t="shared" si="7"/>
        <v>1</v>
      </c>
      <c r="DS16" s="5" t="e">
        <f ca="1">IF('Demand adjustments for Covid'!$F$9="Yes",IF(DR16=0,DQ16,((SUM(DR$4:DR16)-1)*$EE$8)+'Demand adjustments for Covid'!F$13),'Demand background (hide)'!DO16)</f>
        <v>#N/A</v>
      </c>
      <c r="DT16" s="5" t="e">
        <f ca="1">IF('Demand adjustments for Covid'!$F$9="Yes",IF(OR(AND(DN16&gt;='Demand adjustments for Covid'!$F$12,DN16&lt;'Demand adjustments for Covid'!$F$17),DR16=1),DS16+3,DP16),'Demand background (hide)'!DP16)</f>
        <v>#N/A</v>
      </c>
      <c r="DU16" s="5" t="e">
        <f ca="1">IF(DS16&lt;='Demand adjustments for Covid'!$F$17,DO16-DS16,0)</f>
        <v>#N/A</v>
      </c>
      <c r="DV16" s="5">
        <f ca="1">IF(AND(ROW(A13)&gt;$EE$5,ROW(A13)&lt;=$EA$5),OFFSET('Demand adjustments for Covid'!$F$35,0,ROW(A13)-'Demand background (hide)'!$EE$5,1,1),0)</f>
        <v>0</v>
      </c>
      <c r="DW16" s="5">
        <f ca="1">IF(AND(ROW(A13)&gt;$EE$5,ROW(A13)&lt;=$EA$5),OFFSET('Demand adjustments for Covid'!$F$36,0,ROW(A13)-'Demand background (hide)'!$EE$5,1,1),0)</f>
        <v>0</v>
      </c>
      <c r="DX16" s="5" t="e">
        <f t="shared" ca="1" si="11"/>
        <v>#N/A</v>
      </c>
    </row>
    <row r="17" spans="1:128" s="5" customFormat="1" x14ac:dyDescent="0.2">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8"/>
        <v>0</v>
      </c>
      <c r="AM17" s="5">
        <f t="shared" ca="1" si="9"/>
        <v>0</v>
      </c>
      <c r="AN17" s="5" t="str">
        <f>IF(Demand!BE26="Yes","Yes","")</f>
        <v/>
      </c>
      <c r="AP17" s="36" t="str">
        <f ca="1">Demand!B26</f>
        <v xml:space="preserve"> </v>
      </c>
      <c r="AQ17" s="5" t="str">
        <f ca="1">IF(TEXT(Demand!D26,"MMM")&lt;&gt;TEXT(Demand!D25,"MMM"),TEXT(Demand!D26,"MMM"),"")</f>
        <v/>
      </c>
      <c r="AT17" s="5">
        <f t="shared" ca="1" si="12"/>
        <v>0</v>
      </c>
      <c r="AV17" s="5" t="s">
        <v>106</v>
      </c>
      <c r="AW17" s="44"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ca="1">IF(OR(AN17&lt;&gt;"",AND('Demand adjustments for Covid'!$F$9="Yes",'Demand adjustments for Covid'!$F$20="Yes")),"",SUM(CW17:DF17))</f>
        <v>0</v>
      </c>
      <c r="DI17" s="5" t="s">
        <v>238</v>
      </c>
      <c r="DJ17" s="5" t="str">
        <f ca="1">IFERROR(PERCENTILE(OFFSET($DG$4,'SPC background (hide)'!$D$10,0,'SPC background (hide)'!$H$11,1),'Control sheet (hide)'!$I$10),"")</f>
        <v/>
      </c>
      <c r="DM17" s="5">
        <f t="shared" si="10"/>
        <v>34</v>
      </c>
      <c r="DN17" s="317">
        <f t="shared" si="17"/>
        <v>44060</v>
      </c>
      <c r="DO17" s="5" t="e">
        <f ca="1">VLOOKUP(IF($DM17&lt;53,$DM17,52),'Summary Calculations (hide)'!$D$15:$F$67,2,0)</f>
        <v>#N/A</v>
      </c>
      <c r="DP17" s="5" t="e">
        <f ca="1">VLOOKUP(IF($DM17&lt;53,$DM17,52),'Summary Calculations (hide)'!$D$15:$F$67,3,0)</f>
        <v>#N/A</v>
      </c>
      <c r="DQ17" s="5" t="e">
        <f ca="1">IF(AND(DN17&gt;='Demand adjustments for Covid'!$F$12,DN17&lt;'Demand adjustments for Covid'!$F$17),'Demand adjustments for Covid'!$F$13,DO17)</f>
        <v>#N/A</v>
      </c>
      <c r="DR17" s="5">
        <f t="shared" si="7"/>
        <v>1</v>
      </c>
      <c r="DS17" s="5" t="e">
        <f ca="1">IF('Demand adjustments for Covid'!$F$9="Yes",IF(DR17=0,DQ17,((SUM(DR$4:DR17)-1)*$EE$8)+'Demand adjustments for Covid'!F$13),'Demand background (hide)'!DO17)</f>
        <v>#N/A</v>
      </c>
      <c r="DT17" s="5" t="e">
        <f ca="1">IF('Demand adjustments for Covid'!$F$9="Yes",IF(OR(AND(DN17&gt;='Demand adjustments for Covid'!$F$12,DN17&lt;'Demand adjustments for Covid'!$F$17),DR17=1),DS17+3,DP17),'Demand background (hide)'!DP17)</f>
        <v>#N/A</v>
      </c>
      <c r="DU17" s="5" t="e">
        <f ca="1">IF(DS17&lt;='Demand adjustments for Covid'!$F$17,DO17-DS17,0)</f>
        <v>#N/A</v>
      </c>
      <c r="DV17" s="5">
        <f ca="1">IF(AND(ROW(A14)&gt;$EE$5,ROW(A14)&lt;=$EA$5),OFFSET('Demand adjustments for Covid'!$F$35,0,ROW(A14)-'Demand background (hide)'!$EE$5,1,1),0)</f>
        <v>0</v>
      </c>
      <c r="DW17" s="5">
        <f ca="1">IF(AND(ROW(A14)&gt;$EE$5,ROW(A14)&lt;=$EA$5),OFFSET('Demand adjustments for Covid'!$F$36,0,ROW(A14)-'Demand background (hide)'!$EE$5,1,1),0)</f>
        <v>0</v>
      </c>
      <c r="DX17" s="5" t="e">
        <f t="shared" ca="1" si="11"/>
        <v>#N/A</v>
      </c>
    </row>
    <row r="18" spans="1:128" s="5" customFormat="1" x14ac:dyDescent="0.2">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8"/>
        <v>0</v>
      </c>
      <c r="AM18" s="5">
        <f t="shared" ca="1" si="9"/>
        <v>0</v>
      </c>
      <c r="AN18" s="5" t="str">
        <f>IF(Demand!BE27="Yes","Yes","")</f>
        <v/>
      </c>
      <c r="AP18" s="36" t="str">
        <f ca="1">Demand!B27</f>
        <v xml:space="preserve"> </v>
      </c>
      <c r="AQ18" s="5" t="str">
        <f ca="1">IF(TEXT(Demand!D27,"MMM")&lt;&gt;TEXT(Demand!D26,"MMM"),TEXT(Demand!D27,"MMM"),"")</f>
        <v/>
      </c>
      <c r="AT18" s="5">
        <f t="shared" ca="1" si="12"/>
        <v>0</v>
      </c>
      <c r="AV18" s="5" t="s">
        <v>105</v>
      </c>
      <c r="AW18" s="44" t="str">
        <f ca="1">IFERROR(AVERAGE(OFFSET($AT$4,'SPC background (hide)'!$D$8-1,0,'SPC background (hide)'!$H$9,1)),"")</f>
        <v/>
      </c>
      <c r="AX18" s="5" t="str">
        <f ca="1">IFERROR(AVERAGE(OFFSET($AT$4,'SPC background (hide)'!$D$8-1,0,'SPC background (hide)'!$H$9,1)),"")</f>
        <v/>
      </c>
      <c r="BB18" s="5" t="s">
        <v>330</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ca="1">IF(OR(AN18&lt;&gt;"",AND('Demand adjustments for Covid'!$F$9="Yes",'Demand adjustments for Covid'!$F$20="Yes")),"",SUM(CW18:DF18))</f>
        <v>0</v>
      </c>
      <c r="DM18" s="5">
        <f t="shared" si="10"/>
        <v>35</v>
      </c>
      <c r="DN18" s="317">
        <f t="shared" si="17"/>
        <v>44067</v>
      </c>
      <c r="DO18" s="5" t="e">
        <f ca="1">VLOOKUP(IF($DM18&lt;53,$DM18,52),'Summary Calculations (hide)'!$D$15:$F$67,2,0)</f>
        <v>#N/A</v>
      </c>
      <c r="DP18" s="5" t="e">
        <f ca="1">VLOOKUP(IF($DM18&lt;53,$DM18,52),'Summary Calculations (hide)'!$D$15:$F$67,3,0)</f>
        <v>#N/A</v>
      </c>
      <c r="DQ18" s="5" t="e">
        <f ca="1">IF(AND(DN18&gt;='Demand adjustments for Covid'!$F$12,DN18&lt;'Demand adjustments for Covid'!$F$17),'Demand adjustments for Covid'!$F$13,DO18)</f>
        <v>#N/A</v>
      </c>
      <c r="DR18" s="5">
        <f t="shared" si="7"/>
        <v>1</v>
      </c>
      <c r="DS18" s="5" t="e">
        <f ca="1">IF('Demand adjustments for Covid'!$F$9="Yes",IF(DR18=0,DQ18,((SUM(DR$4:DR18)-1)*$EE$8)+'Demand adjustments for Covid'!F$13),'Demand background (hide)'!DO18)</f>
        <v>#N/A</v>
      </c>
      <c r="DT18" s="5" t="e">
        <f ca="1">IF('Demand adjustments for Covid'!$F$9="Yes",IF(OR(AND(DN18&gt;='Demand adjustments for Covid'!$F$12,DN18&lt;'Demand adjustments for Covid'!$F$17),DR18=1),DS18+3,DP18),'Demand background (hide)'!DP18)</f>
        <v>#N/A</v>
      </c>
      <c r="DU18" s="5" t="e">
        <f ca="1">IF(DS18&lt;='Demand adjustments for Covid'!$F$17,DO18-DS18,0)</f>
        <v>#N/A</v>
      </c>
      <c r="DV18" s="5">
        <f ca="1">IF(AND(ROW(A15)&gt;$EE$5,ROW(A15)&lt;=$EA$5),OFFSET('Demand adjustments for Covid'!$F$35,0,ROW(A15)-'Demand background (hide)'!$EE$5,1,1),0)</f>
        <v>0</v>
      </c>
      <c r="DW18" s="5">
        <f ca="1">IF(AND(ROW(A15)&gt;$EE$5,ROW(A15)&lt;=$EA$5),OFFSET('Demand adjustments for Covid'!$F$36,0,ROW(A15)-'Demand background (hide)'!$EE$5,1,1),0)</f>
        <v>0</v>
      </c>
      <c r="DX18" s="5" t="e">
        <f t="shared" ca="1" si="11"/>
        <v>#N/A</v>
      </c>
    </row>
    <row r="19" spans="1:128" s="5" customFormat="1" x14ac:dyDescent="0.2">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8"/>
        <v>0</v>
      </c>
      <c r="AM19" s="5">
        <f t="shared" ca="1" si="9"/>
        <v>0</v>
      </c>
      <c r="AN19" s="5" t="str">
        <f>IF(Demand!BE28="Yes","Yes","")</f>
        <v/>
      </c>
      <c r="AP19" s="36" t="str">
        <f ca="1">Demand!B28</f>
        <v xml:space="preserve"> </v>
      </c>
      <c r="AQ19" s="5" t="str">
        <f ca="1">IF(TEXT(Demand!D28,"MMM")&lt;&gt;TEXT(Demand!D27,"MMM"),TEXT(Demand!D28,"MMM"),"")</f>
        <v/>
      </c>
      <c r="AT19" s="5">
        <f t="shared" ca="1" si="12"/>
        <v>0</v>
      </c>
      <c r="AV19" s="5" t="s">
        <v>107</v>
      </c>
      <c r="AW19" s="44"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ca="1">IF(OR(AN19&lt;&gt;"",AND('Demand adjustments for Covid'!$F$9="Yes",'Demand adjustments for Covid'!$F$20="Yes")),"",SUM(CW19:DF19))</f>
        <v>0</v>
      </c>
      <c r="DM19" s="5">
        <f t="shared" si="10"/>
        <v>36</v>
      </c>
      <c r="DN19" s="317">
        <f t="shared" si="17"/>
        <v>44074</v>
      </c>
      <c r="DO19" s="5" t="e">
        <f ca="1">VLOOKUP(IF($DM19&lt;53,$DM19,52),'Summary Calculations (hide)'!$D$15:$F$67,2,0)</f>
        <v>#N/A</v>
      </c>
      <c r="DP19" s="5" t="e">
        <f ca="1">VLOOKUP(IF($DM19&lt;53,$DM19,52),'Summary Calculations (hide)'!$D$15:$F$67,3,0)</f>
        <v>#N/A</v>
      </c>
      <c r="DQ19" s="5" t="e">
        <f ca="1">IF(AND(DN19&gt;='Demand adjustments for Covid'!$F$12,DN19&lt;'Demand adjustments for Covid'!$F$17),'Demand adjustments for Covid'!$F$13,DO19)</f>
        <v>#N/A</v>
      </c>
      <c r="DR19" s="5">
        <f t="shared" si="7"/>
        <v>1</v>
      </c>
      <c r="DS19" s="5" t="e">
        <f ca="1">IF('Demand adjustments for Covid'!$F$9="Yes",IF(DR19=0,DQ19,((SUM(DR$4:DR19)-1)*$EE$8)+'Demand adjustments for Covid'!F$13),'Demand background (hide)'!DO19)</f>
        <v>#N/A</v>
      </c>
      <c r="DT19" s="5" t="e">
        <f ca="1">IF('Demand adjustments for Covid'!$F$9="Yes",IF(OR(AND(DN19&gt;='Demand adjustments for Covid'!$F$12,DN19&lt;'Demand adjustments for Covid'!$F$17),DR19=1),DS19+3,DP19),'Demand background (hide)'!DP19)</f>
        <v>#N/A</v>
      </c>
      <c r="DU19" s="5" t="e">
        <f ca="1">IF(DS19&lt;='Demand adjustments for Covid'!$F$17,DO19-DS19,0)</f>
        <v>#N/A</v>
      </c>
      <c r="DV19" s="5">
        <f ca="1">IF(AND(ROW(A16)&gt;$EE$5,ROW(A16)&lt;=$EA$5),OFFSET('Demand adjustments for Covid'!$F$35,0,ROW(A16)-'Demand background (hide)'!$EE$5,1,1),0)</f>
        <v>0</v>
      </c>
      <c r="DW19" s="5">
        <f ca="1">IF(AND(ROW(A16)&gt;$EE$5,ROW(A16)&lt;=$EA$5),OFFSET('Demand adjustments for Covid'!$F$36,0,ROW(A16)-'Demand background (hide)'!$EE$5,1,1),0)</f>
        <v>0</v>
      </c>
      <c r="DX19" s="5" t="e">
        <f t="shared" ca="1" si="11"/>
        <v>#N/A</v>
      </c>
    </row>
    <row r="20" spans="1:128" s="5" customFormat="1" x14ac:dyDescent="0.2">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8"/>
        <v>0</v>
      </c>
      <c r="AM20" s="5">
        <f t="shared" ca="1" si="9"/>
        <v>0</v>
      </c>
      <c r="AN20" s="5" t="str">
        <f>IF(Demand!BE29="Yes","Yes","")</f>
        <v/>
      </c>
      <c r="AP20" s="36" t="str">
        <f ca="1">Demand!B29</f>
        <v xml:space="preserve"> </v>
      </c>
      <c r="AQ20" s="5" t="str">
        <f ca="1">IF(TEXT(Demand!D29,"MMM")&lt;&gt;TEXT(Demand!D28,"MMM"),TEXT(Demand!D29,"MMM"),"")</f>
        <v/>
      </c>
      <c r="AT20" s="5">
        <f t="shared" ca="1" si="12"/>
        <v>0</v>
      </c>
      <c r="AV20" s="5" t="s">
        <v>137</v>
      </c>
      <c r="AW20" s="44" t="str">
        <f ca="1">IFERROR(PERCENTILE(OFFSET(AL$4,'SPC background (hide)'!$D$8-1,0,'SPC background (hide)'!$H$9,1),'Control sheet (hide)'!$I$9),"")</f>
        <v/>
      </c>
      <c r="AX20" s="5" t="str">
        <f ca="1">IFERROR(PERCENTILE(OFFSET(AM$4,'SPC background (hide)'!$C$8-1,0,'SPC background (hide)'!$H$9,1),'Control sheet (hide)'!$I$9),"")</f>
        <v/>
      </c>
      <c r="BI20" s="5" t="s">
        <v>412</v>
      </c>
      <c r="BJ20" s="46" t="e">
        <f ca="1">BJ18/BM18</f>
        <v>#DIV/0!</v>
      </c>
      <c r="BK20" s="46" t="e">
        <f ca="1">BK18/BM18</f>
        <v>#DIV/0!</v>
      </c>
      <c r="BL20" s="46"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ca="1">IF(OR(AN20&lt;&gt;"",AND('Demand adjustments for Covid'!$F$9="Yes",'Demand adjustments for Covid'!$F$20="Yes")),"",SUM(CW20:DF20))</f>
        <v>0</v>
      </c>
      <c r="DM20" s="5">
        <f t="shared" si="10"/>
        <v>37</v>
      </c>
      <c r="DN20" s="317">
        <f t="shared" si="17"/>
        <v>44081</v>
      </c>
      <c r="DO20" s="5" t="e">
        <f ca="1">VLOOKUP(IF($DM20&lt;53,$DM20,52),'Summary Calculations (hide)'!$D$15:$F$67,2,0)</f>
        <v>#N/A</v>
      </c>
      <c r="DP20" s="5" t="e">
        <f ca="1">VLOOKUP(IF($DM20&lt;53,$DM20,52),'Summary Calculations (hide)'!$D$15:$F$67,3,0)</f>
        <v>#N/A</v>
      </c>
      <c r="DQ20" s="5" t="e">
        <f ca="1">IF(AND(DN20&gt;='Demand adjustments for Covid'!$F$12,DN20&lt;'Demand adjustments for Covid'!$F$17),'Demand adjustments for Covid'!$F$13,DO20)</f>
        <v>#N/A</v>
      </c>
      <c r="DR20" s="5">
        <f t="shared" si="7"/>
        <v>1</v>
      </c>
      <c r="DS20" s="5" t="e">
        <f ca="1">IF('Demand adjustments for Covid'!$F$9="Yes",IF(DR20=0,DQ20,((SUM(DR$4:DR20)-1)*$EE$8)+'Demand adjustments for Covid'!F$13),'Demand background (hide)'!DO20)</f>
        <v>#N/A</v>
      </c>
      <c r="DT20" s="5" t="e">
        <f ca="1">IF('Demand adjustments for Covid'!$F$9="Yes",IF(OR(AND(DN20&gt;='Demand adjustments for Covid'!$F$12,DN20&lt;'Demand adjustments for Covid'!$F$17),DR20=1),DS20+3,DP20),'Demand background (hide)'!DP20)</f>
        <v>#N/A</v>
      </c>
      <c r="DU20" s="5" t="e">
        <f ca="1">IF(DS20&lt;='Demand adjustments for Covid'!$F$17,DO20-DS20,0)</f>
        <v>#N/A</v>
      </c>
      <c r="DV20" s="5">
        <f ca="1">IF(AND(ROW(A17)&gt;$EE$5,ROW(A17)&lt;=$EA$5),OFFSET('Demand adjustments for Covid'!$F$35,0,ROW(A17)-'Demand background (hide)'!$EE$5,1,1),0)</f>
        <v>0</v>
      </c>
      <c r="DW20" s="5">
        <f ca="1">IF(AND(ROW(A17)&gt;$EE$5,ROW(A17)&lt;=$EA$5),OFFSET('Demand adjustments for Covid'!$F$36,0,ROW(A17)-'Demand background (hide)'!$EE$5,1,1),0)</f>
        <v>0</v>
      </c>
      <c r="DX20" s="5" t="e">
        <f t="shared" ca="1" si="11"/>
        <v>#N/A</v>
      </c>
    </row>
    <row r="21" spans="1:128" s="5" customFormat="1" x14ac:dyDescent="0.2">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8"/>
        <v>0</v>
      </c>
      <c r="AM21" s="5">
        <f t="shared" ca="1" si="9"/>
        <v>0</v>
      </c>
      <c r="AN21" s="5" t="str">
        <f>IF(Demand!BE30="Yes","Yes","")</f>
        <v/>
      </c>
      <c r="AP21" s="36" t="str">
        <f ca="1">Demand!B30</f>
        <v xml:space="preserve"> </v>
      </c>
      <c r="AQ21" s="5" t="str">
        <f ca="1">IF(TEXT(Demand!D30,"MMM")&lt;&gt;TEXT(Demand!D29,"MMM"),TEXT(Demand!D30,"MMM"),"")</f>
        <v/>
      </c>
      <c r="AT21" s="5">
        <f t="shared" ca="1" si="12"/>
        <v>0</v>
      </c>
      <c r="AV21" s="5" t="s">
        <v>138</v>
      </c>
      <c r="AW21" s="44"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ca="1">IF(OR(AN21&lt;&gt;"",AND('Demand adjustments for Covid'!$F$9="Yes",'Demand adjustments for Covid'!$F$20="Yes")),"",SUM(CW21:DF21))</f>
        <v>0</v>
      </c>
      <c r="DM21" s="5">
        <f t="shared" si="10"/>
        <v>38</v>
      </c>
      <c r="DN21" s="317">
        <f t="shared" si="17"/>
        <v>44088</v>
      </c>
      <c r="DO21" s="5" t="e">
        <f ca="1">VLOOKUP(IF($DM21&lt;53,$DM21,52),'Summary Calculations (hide)'!$D$15:$F$67,2,0)</f>
        <v>#N/A</v>
      </c>
      <c r="DP21" s="5" t="e">
        <f ca="1">VLOOKUP(IF($DM21&lt;53,$DM21,52),'Summary Calculations (hide)'!$D$15:$F$67,3,0)</f>
        <v>#N/A</v>
      </c>
      <c r="DQ21" s="5" t="e">
        <f ca="1">IF(AND(DN21&gt;='Demand adjustments for Covid'!$F$12,DN21&lt;'Demand adjustments for Covid'!$F$17),'Demand adjustments for Covid'!$F$13,DO21)</f>
        <v>#N/A</v>
      </c>
      <c r="DR21" s="5">
        <f t="shared" si="7"/>
        <v>1</v>
      </c>
      <c r="DS21" s="5" t="e">
        <f ca="1">IF('Demand adjustments for Covid'!$F$9="Yes",IF(DR21=0,DQ21,((SUM(DR$4:DR21)-1)*$EE$8)+'Demand adjustments for Covid'!F$13),'Demand background (hide)'!DO21)</f>
        <v>#N/A</v>
      </c>
      <c r="DT21" s="5" t="e">
        <f ca="1">IF('Demand adjustments for Covid'!$F$9="Yes",IF(OR(AND(DN21&gt;='Demand adjustments for Covid'!$F$12,DN21&lt;'Demand adjustments for Covid'!$F$17),DR21=1),DS21+3,DP21),'Demand background (hide)'!DP21)</f>
        <v>#N/A</v>
      </c>
      <c r="DU21" s="5" t="e">
        <f ca="1">IF(DS21&lt;='Demand adjustments for Covid'!$F$17,DO21-DS21,0)</f>
        <v>#N/A</v>
      </c>
      <c r="DV21" s="5">
        <f ca="1">IF(AND(ROW(A18)&gt;$EE$5,ROW(A18)&lt;=$EA$5),OFFSET('Demand adjustments for Covid'!$F$35,0,ROW(A18)-'Demand background (hide)'!$EE$5,1,1),0)</f>
        <v>0</v>
      </c>
      <c r="DW21" s="5">
        <f ca="1">IF(AND(ROW(A18)&gt;$EE$5,ROW(A18)&lt;=$EA$5),OFFSET('Demand adjustments for Covid'!$F$36,0,ROW(A18)-'Demand background (hide)'!$EE$5,1,1),0)</f>
        <v>0</v>
      </c>
      <c r="DX21" s="5" t="e">
        <f t="shared" ca="1" si="11"/>
        <v>#N/A</v>
      </c>
    </row>
    <row r="22" spans="1:128" s="5" customFormat="1" x14ac:dyDescent="0.2">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8"/>
        <v>0</v>
      </c>
      <c r="AM22" s="5">
        <f t="shared" ca="1" si="9"/>
        <v>0</v>
      </c>
      <c r="AN22" s="5" t="str">
        <f>IF(Demand!BE31="Yes","Yes","")</f>
        <v/>
      </c>
      <c r="AP22" s="36" t="str">
        <f ca="1">Demand!B31</f>
        <v xml:space="preserve"> </v>
      </c>
      <c r="AQ22" s="5" t="str">
        <f ca="1">IF(TEXT(Demand!D31,"MMM")&lt;&gt;TEXT(Demand!D30,"MMM"),TEXT(Demand!D31,"MMM"),"")</f>
        <v/>
      </c>
      <c r="AT22" s="5">
        <f t="shared" ca="1" si="12"/>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ca="1">IF(OR(AN22&lt;&gt;"",AND('Demand adjustments for Covid'!$F$9="Yes",'Demand adjustments for Covid'!$F$20="Yes")),"",SUM(CW22:DF22))</f>
        <v>0</v>
      </c>
      <c r="DM22" s="5">
        <f t="shared" si="10"/>
        <v>39</v>
      </c>
      <c r="DN22" s="317">
        <f t="shared" si="17"/>
        <v>44095</v>
      </c>
      <c r="DO22" s="5" t="e">
        <f ca="1">VLOOKUP(IF($DM22&lt;53,$DM22,52),'Summary Calculations (hide)'!$D$15:$F$67,2,0)</f>
        <v>#N/A</v>
      </c>
      <c r="DP22" s="5" t="e">
        <f ca="1">VLOOKUP(IF($DM22&lt;53,$DM22,52),'Summary Calculations (hide)'!$D$15:$F$67,3,0)</f>
        <v>#N/A</v>
      </c>
      <c r="DQ22" s="5" t="e">
        <f ca="1">IF(AND(DN22&gt;='Demand adjustments for Covid'!$F$12,DN22&lt;'Demand adjustments for Covid'!$F$17),'Demand adjustments for Covid'!$F$13,DO22)</f>
        <v>#N/A</v>
      </c>
      <c r="DR22" s="5">
        <f t="shared" si="7"/>
        <v>1</v>
      </c>
      <c r="DS22" s="5" t="e">
        <f ca="1">IF('Demand adjustments for Covid'!$F$9="Yes",IF(DR22=0,DQ22,((SUM(DR$4:DR22)-1)*$EE$8)+'Demand adjustments for Covid'!F$13),'Demand background (hide)'!DO22)</f>
        <v>#N/A</v>
      </c>
      <c r="DT22" s="5" t="e">
        <f ca="1">IF('Demand adjustments for Covid'!$F$9="Yes",IF(OR(AND(DN22&gt;='Demand adjustments for Covid'!$F$12,DN22&lt;'Demand adjustments for Covid'!$F$17),DR22=1),DS22+3,DP22),'Demand background (hide)'!DP22)</f>
        <v>#N/A</v>
      </c>
      <c r="DU22" s="5" t="e">
        <f ca="1">IF(DS22&lt;='Demand adjustments for Covid'!$F$17,DO22-DS22,0)</f>
        <v>#N/A</v>
      </c>
      <c r="DV22" s="5">
        <f ca="1">IF(AND(ROW(A19)&gt;$EE$5,ROW(A19)&lt;=$EA$5),OFFSET('Demand adjustments for Covid'!$F$35,0,ROW(A19)-'Demand background (hide)'!$EE$5,1,1),0)</f>
        <v>0</v>
      </c>
      <c r="DW22" s="5">
        <f ca="1">IF(AND(ROW(A19)&gt;$EE$5,ROW(A19)&lt;=$EA$5),OFFSET('Demand adjustments for Covid'!$F$36,0,ROW(A19)-'Demand background (hide)'!$EE$5,1,1),0)</f>
        <v>0</v>
      </c>
      <c r="DX22" s="5" t="e">
        <f t="shared" ca="1" si="11"/>
        <v>#N/A</v>
      </c>
    </row>
    <row r="23" spans="1:128" s="5" customFormat="1" x14ac:dyDescent="0.2">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8"/>
        <v>0</v>
      </c>
      <c r="AM23" s="5">
        <f t="shared" ca="1" si="9"/>
        <v>0</v>
      </c>
      <c r="AN23" s="5" t="str">
        <f>IF(Demand!BE32="Yes","Yes","")</f>
        <v/>
      </c>
      <c r="AP23" s="36" t="str">
        <f ca="1">Demand!B32</f>
        <v xml:space="preserve"> </v>
      </c>
      <c r="AQ23" s="5" t="str">
        <f ca="1">IF(TEXT(Demand!D32,"MMM")&lt;&gt;TEXT(Demand!D31,"MMM"),TEXT(Demand!D32,"MMM"),"")</f>
        <v/>
      </c>
      <c r="AT23" s="5">
        <f t="shared" ca="1" si="12"/>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ca="1">IF(OR(AN23&lt;&gt;"",AND('Demand adjustments for Covid'!$F$9="Yes",'Demand adjustments for Covid'!$F$20="Yes")),"",SUM(CW23:DF23))</f>
        <v>0</v>
      </c>
      <c r="DM23" s="5">
        <f t="shared" si="10"/>
        <v>40</v>
      </c>
      <c r="DN23" s="317">
        <f t="shared" si="17"/>
        <v>44102</v>
      </c>
      <c r="DO23" s="5" t="e">
        <f ca="1">VLOOKUP(IF($DM23&lt;53,$DM23,52),'Summary Calculations (hide)'!$D$15:$F$67,2,0)</f>
        <v>#N/A</v>
      </c>
      <c r="DP23" s="5" t="e">
        <f ca="1">VLOOKUP(IF($DM23&lt;53,$DM23,52),'Summary Calculations (hide)'!$D$15:$F$67,3,0)</f>
        <v>#N/A</v>
      </c>
      <c r="DQ23" s="5" t="e">
        <f ca="1">IF(AND(DN23&gt;='Demand adjustments for Covid'!$F$12,DN23&lt;'Demand adjustments for Covid'!$F$17),'Demand adjustments for Covid'!$F$13,DO23)</f>
        <v>#N/A</v>
      </c>
      <c r="DR23" s="5">
        <f t="shared" si="7"/>
        <v>1</v>
      </c>
      <c r="DS23" s="5" t="e">
        <f ca="1">IF('Demand adjustments for Covid'!$F$9="Yes",IF(DR23=0,DQ23,((SUM(DR$4:DR23)-1)*$EE$8)+'Demand adjustments for Covid'!F$13),'Demand background (hide)'!DO23)</f>
        <v>#N/A</v>
      </c>
      <c r="DT23" s="5" t="e">
        <f ca="1">IF('Demand adjustments for Covid'!$F$9="Yes",IF(OR(AND(DN23&gt;='Demand adjustments for Covid'!$F$12,DN23&lt;'Demand adjustments for Covid'!$F$17),DR23=1),DS23+3,DP23),'Demand background (hide)'!DP23)</f>
        <v>#N/A</v>
      </c>
      <c r="DU23" s="5" t="e">
        <f ca="1">IF(DS23&lt;='Demand adjustments for Covid'!$F$17,DO23-DS23,0)</f>
        <v>#N/A</v>
      </c>
      <c r="DV23" s="5">
        <f ca="1">IF(AND(ROW(A20)&gt;$EE$5,ROW(A20)&lt;=$EA$5),OFFSET('Demand adjustments for Covid'!$F$35,0,ROW(A20)-'Demand background (hide)'!$EE$5,1,1),0)</f>
        <v>0</v>
      </c>
      <c r="DW23" s="5">
        <f ca="1">IF(AND(ROW(A20)&gt;$EE$5,ROW(A20)&lt;=$EA$5),OFFSET('Demand adjustments for Covid'!$F$36,0,ROW(A20)-'Demand background (hide)'!$EE$5,1,1),0)</f>
        <v>0</v>
      </c>
      <c r="DX23" s="5" t="e">
        <f t="shared" ca="1" si="11"/>
        <v>#N/A</v>
      </c>
    </row>
    <row r="24" spans="1:128" s="5" customFormat="1" x14ac:dyDescent="0.2">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8"/>
        <v>0</v>
      </c>
      <c r="AM24" s="5">
        <f t="shared" ca="1" si="9"/>
        <v>0</v>
      </c>
      <c r="AN24" s="5" t="str">
        <f>IF(Demand!BE33="Yes","Yes","")</f>
        <v/>
      </c>
      <c r="AP24" s="36" t="str">
        <f ca="1">Demand!B33</f>
        <v xml:space="preserve"> </v>
      </c>
      <c r="AQ24" s="5" t="str">
        <f ca="1">IF(TEXT(Demand!D33,"MMM")&lt;&gt;TEXT(Demand!D32,"MMM"),TEXT(Demand!D33,"MMM"),"")</f>
        <v/>
      </c>
      <c r="AT24" s="5">
        <f t="shared" ca="1" si="12"/>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ca="1">IF(OR(AN24&lt;&gt;"",AND('Demand adjustments for Covid'!$F$9="Yes",'Demand adjustments for Covid'!$F$20="Yes")),"",SUM(CW24:DF24))</f>
        <v>0</v>
      </c>
      <c r="DM24" s="5">
        <f t="shared" si="10"/>
        <v>41</v>
      </c>
      <c r="DN24" s="317">
        <f t="shared" si="17"/>
        <v>44109</v>
      </c>
      <c r="DO24" s="5" t="e">
        <f ca="1">VLOOKUP(IF($DM24&lt;53,$DM24,52),'Summary Calculations (hide)'!$D$15:$F$67,2,0)</f>
        <v>#N/A</v>
      </c>
      <c r="DP24" s="5" t="e">
        <f ca="1">VLOOKUP(IF($DM24&lt;53,$DM24,52),'Summary Calculations (hide)'!$D$15:$F$67,3,0)</f>
        <v>#N/A</v>
      </c>
      <c r="DQ24" s="5" t="e">
        <f ca="1">IF(AND(DN24&gt;='Demand adjustments for Covid'!$F$12,DN24&lt;'Demand adjustments for Covid'!$F$17),'Demand adjustments for Covid'!$F$13,DO24)</f>
        <v>#N/A</v>
      </c>
      <c r="DR24" s="5">
        <f t="shared" si="7"/>
        <v>1</v>
      </c>
      <c r="DS24" s="5" t="e">
        <f ca="1">IF('Demand adjustments for Covid'!$F$9="Yes",IF(DR24=0,DQ24,((SUM(DR$4:DR24)-1)*$EE$8)+'Demand adjustments for Covid'!F$13),'Demand background (hide)'!DO24)</f>
        <v>#N/A</v>
      </c>
      <c r="DT24" s="5" t="e">
        <f ca="1">IF('Demand adjustments for Covid'!$F$9="Yes",IF(OR(AND(DN24&gt;='Demand adjustments for Covid'!$F$12,DN24&lt;'Demand adjustments for Covid'!$F$17),DR24=1),DS24+3,DP24),'Demand background (hide)'!DP24)</f>
        <v>#N/A</v>
      </c>
      <c r="DU24" s="5" t="e">
        <f ca="1">IF(DS24&lt;='Demand adjustments for Covid'!$F$17,DO24-DS24,0)</f>
        <v>#N/A</v>
      </c>
      <c r="DV24" s="5">
        <f ca="1">IF(AND(ROW(A21)&gt;$EE$5,ROW(A21)&lt;=$EA$5),OFFSET('Demand adjustments for Covid'!$F$35,0,ROW(A21)-'Demand background (hide)'!$EE$5,1,1),0)</f>
        <v>0</v>
      </c>
      <c r="DW24" s="5">
        <f ca="1">IF(AND(ROW(A21)&gt;$EE$5,ROW(A21)&lt;=$EA$5),OFFSET('Demand adjustments for Covid'!$F$36,0,ROW(A21)-'Demand background (hide)'!$EE$5,1,1),0)</f>
        <v>0</v>
      </c>
      <c r="DX24" s="5" t="e">
        <f t="shared" ca="1" si="11"/>
        <v>#N/A</v>
      </c>
    </row>
    <row r="25" spans="1:128" s="5" customFormat="1" x14ac:dyDescent="0.2">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8"/>
        <v>0</v>
      </c>
      <c r="AM25" s="5">
        <f t="shared" ca="1" si="9"/>
        <v>0</v>
      </c>
      <c r="AN25" s="5" t="str">
        <f>IF(Demand!BE34="Yes","Yes","")</f>
        <v/>
      </c>
      <c r="AP25" s="36" t="str">
        <f ca="1">Demand!B34</f>
        <v xml:space="preserve"> </v>
      </c>
      <c r="AQ25" s="5" t="str">
        <f ca="1">IF(TEXT(Demand!D34,"MMM")&lt;&gt;TEXT(Demand!D33,"MMM"),TEXT(Demand!D34,"MMM"),"")</f>
        <v/>
      </c>
      <c r="AT25" s="5">
        <f t="shared" ca="1" si="12"/>
        <v>0</v>
      </c>
      <c r="AV25" s="5" t="s">
        <v>104</v>
      </c>
      <c r="AW25" s="44"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ca="1">IF(OR(AN25&lt;&gt;"",AND('Demand adjustments for Covid'!$F$9="Yes",'Demand adjustments for Covid'!$F$20="Yes")),"",SUM(CW25:DF25))</f>
        <v>0</v>
      </c>
      <c r="DM25" s="5">
        <f t="shared" si="10"/>
        <v>42</v>
      </c>
      <c r="DN25" s="317">
        <f t="shared" si="17"/>
        <v>44116</v>
      </c>
      <c r="DO25" s="5" t="e">
        <f ca="1">VLOOKUP(IF($DM25&lt;53,$DM25,52),'Summary Calculations (hide)'!$D$15:$F$67,2,0)</f>
        <v>#N/A</v>
      </c>
      <c r="DP25" s="5" t="e">
        <f ca="1">VLOOKUP(IF($DM25&lt;53,$DM25,52),'Summary Calculations (hide)'!$D$15:$F$67,3,0)</f>
        <v>#N/A</v>
      </c>
      <c r="DQ25" s="5" t="e">
        <f ca="1">IF(AND(DN25&gt;='Demand adjustments for Covid'!$F$12,DN25&lt;'Demand adjustments for Covid'!$F$17),'Demand adjustments for Covid'!$F$13,DO25)</f>
        <v>#N/A</v>
      </c>
      <c r="DR25" s="5">
        <f t="shared" si="7"/>
        <v>1</v>
      </c>
      <c r="DS25" s="5" t="e">
        <f ca="1">IF('Demand adjustments for Covid'!$F$9="Yes",IF(DR25=0,DQ25,((SUM(DR$4:DR25)-1)*$EE$8)+'Demand adjustments for Covid'!F$13),'Demand background (hide)'!DO25)</f>
        <v>#N/A</v>
      </c>
      <c r="DT25" s="5" t="e">
        <f ca="1">IF('Demand adjustments for Covid'!$F$9="Yes",IF(OR(AND(DN25&gt;='Demand adjustments for Covid'!$F$12,DN25&lt;'Demand adjustments for Covid'!$F$17),DR25=1),DS25+3,DP25),'Demand background (hide)'!DP25)</f>
        <v>#N/A</v>
      </c>
      <c r="DU25" s="5" t="e">
        <f ca="1">IF(DS25&lt;='Demand adjustments for Covid'!$F$17,DO25-DS25,0)</f>
        <v>#N/A</v>
      </c>
      <c r="DV25" s="5">
        <f ca="1">IF(AND(ROW(A22)&gt;$EE$5,ROW(A22)&lt;=$EA$5),OFFSET('Demand adjustments for Covid'!$F$35,0,ROW(A22)-'Demand background (hide)'!$EE$5,1,1),0)</f>
        <v>0</v>
      </c>
      <c r="DW25" s="5">
        <f ca="1">IF(AND(ROW(A22)&gt;$EE$5,ROW(A22)&lt;=$EA$5),OFFSET('Demand adjustments for Covid'!$F$36,0,ROW(A22)-'Demand background (hide)'!$EE$5,1,1),0)</f>
        <v>0</v>
      </c>
      <c r="DX25" s="5" t="e">
        <f t="shared" ca="1" si="11"/>
        <v>#N/A</v>
      </c>
    </row>
    <row r="26" spans="1:128" s="5" customFormat="1" x14ac:dyDescent="0.2">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8"/>
        <v>0</v>
      </c>
      <c r="AM26" s="5">
        <f t="shared" ca="1" si="9"/>
        <v>0</v>
      </c>
      <c r="AN26" s="5" t="str">
        <f>IF(Demand!BE35="Yes","Yes","")</f>
        <v/>
      </c>
      <c r="AP26" s="36" t="str">
        <f ca="1">Demand!B35</f>
        <v xml:space="preserve"> </v>
      </c>
      <c r="AQ26" s="5" t="str">
        <f ca="1">IF(TEXT(Demand!D35,"MMM")&lt;&gt;TEXT(Demand!D34,"MMM"),TEXT(Demand!D35,"MMM"),"")</f>
        <v/>
      </c>
      <c r="AT26" s="5">
        <f t="shared" ca="1" si="12"/>
        <v>0</v>
      </c>
      <c r="AV26" s="5" t="s">
        <v>108</v>
      </c>
      <c r="AW26" s="44"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ca="1">IF(OR(AN26&lt;&gt;"",AND('Demand adjustments for Covid'!$F$9="Yes",'Demand adjustments for Covid'!$F$20="Yes")),"",SUM(CW26:DF26))</f>
        <v>0</v>
      </c>
      <c r="DM26" s="5">
        <f t="shared" si="10"/>
        <v>43</v>
      </c>
      <c r="DN26" s="317">
        <f t="shared" si="17"/>
        <v>44123</v>
      </c>
      <c r="DO26" s="5" t="e">
        <f ca="1">VLOOKUP(IF($DM26&lt;53,$DM26,52),'Summary Calculations (hide)'!$D$15:$F$67,2,0)</f>
        <v>#N/A</v>
      </c>
      <c r="DP26" s="5" t="e">
        <f ca="1">VLOOKUP(IF($DM26&lt;53,$DM26,52),'Summary Calculations (hide)'!$D$15:$F$67,3,0)</f>
        <v>#N/A</v>
      </c>
      <c r="DQ26" s="5" t="e">
        <f ca="1">IF(AND(DN26&gt;='Demand adjustments for Covid'!$F$12,DN26&lt;'Demand adjustments for Covid'!$F$17),'Demand adjustments for Covid'!$F$13,DO26)</f>
        <v>#N/A</v>
      </c>
      <c r="DR26" s="5">
        <f t="shared" si="7"/>
        <v>1</v>
      </c>
      <c r="DS26" s="5" t="e">
        <f ca="1">IF('Demand adjustments for Covid'!$F$9="Yes",IF(DR26=0,DQ26,((SUM(DR$4:DR26)-1)*$EE$8)+'Demand adjustments for Covid'!F$13),'Demand background (hide)'!DO26)</f>
        <v>#N/A</v>
      </c>
      <c r="DT26" s="5" t="e">
        <f ca="1">IF('Demand adjustments for Covid'!$F$9="Yes",IF(OR(AND(DN26&gt;='Demand adjustments for Covid'!$F$12,DN26&lt;'Demand adjustments for Covid'!$F$17),DR26=1),DS26+3,DP26),'Demand background (hide)'!DP26)</f>
        <v>#N/A</v>
      </c>
      <c r="DU26" s="5" t="e">
        <f ca="1">IF(DS26&lt;='Demand adjustments for Covid'!$F$17,DO26-DS26,0)</f>
        <v>#N/A</v>
      </c>
      <c r="DV26" s="5">
        <f ca="1">IF(AND(ROW(A23)&gt;$EE$5,ROW(A23)&lt;=$EA$5),OFFSET('Demand adjustments for Covid'!$F$35,0,ROW(A23)-'Demand background (hide)'!$EE$5,1,1),0)</f>
        <v>0</v>
      </c>
      <c r="DW26" s="5">
        <f ca="1">IF(AND(ROW(A23)&gt;$EE$5,ROW(A23)&lt;=$EA$5),OFFSET('Demand adjustments for Covid'!$F$36,0,ROW(A23)-'Demand background (hide)'!$EE$5,1,1),0)</f>
        <v>0</v>
      </c>
      <c r="DX26" s="5" t="e">
        <f t="shared" ca="1" si="11"/>
        <v>#N/A</v>
      </c>
    </row>
    <row r="27" spans="1:128" s="5" customFormat="1" x14ac:dyDescent="0.2">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8"/>
        <v>0</v>
      </c>
      <c r="AM27" s="5">
        <f t="shared" ca="1" si="9"/>
        <v>0</v>
      </c>
      <c r="AN27" s="5" t="str">
        <f>IF(Demand!BE36="Yes","Yes","")</f>
        <v/>
      </c>
      <c r="AP27" s="36" t="str">
        <f ca="1">Demand!B36</f>
        <v xml:space="preserve"> </v>
      </c>
      <c r="AQ27" s="5" t="str">
        <f ca="1">IF(TEXT(Demand!D36,"MMM")&lt;&gt;TEXT(Demand!D35,"MMM"),TEXT(Demand!D36,"MMM"),"")</f>
        <v/>
      </c>
      <c r="AT27" s="5">
        <f t="shared" ca="1" si="12"/>
        <v>0</v>
      </c>
      <c r="AV27" s="5" t="s">
        <v>109</v>
      </c>
      <c r="AW27" s="44"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ca="1">IF(OR(AN27&lt;&gt;"",AND('Demand adjustments for Covid'!$F$9="Yes",'Demand adjustments for Covid'!$F$20="Yes")),"",SUM(CW27:DF27))</f>
        <v>0</v>
      </c>
      <c r="DM27" s="5">
        <f t="shared" si="10"/>
        <v>44</v>
      </c>
      <c r="DN27" s="317">
        <f t="shared" si="17"/>
        <v>44130</v>
      </c>
      <c r="DO27" s="5" t="e">
        <f ca="1">VLOOKUP(IF($DM27&lt;53,$DM27,52),'Summary Calculations (hide)'!$D$15:$F$67,2,0)</f>
        <v>#N/A</v>
      </c>
      <c r="DP27" s="5" t="e">
        <f ca="1">VLOOKUP(IF($DM27&lt;53,$DM27,52),'Summary Calculations (hide)'!$D$15:$F$67,3,0)</f>
        <v>#N/A</v>
      </c>
      <c r="DQ27" s="5" t="e">
        <f ca="1">IF(AND(DN27&gt;='Demand adjustments for Covid'!$F$12,DN27&lt;'Demand adjustments for Covid'!$F$17),'Demand adjustments for Covid'!$F$13,DO27)</f>
        <v>#N/A</v>
      </c>
      <c r="DR27" s="5">
        <f t="shared" si="7"/>
        <v>1</v>
      </c>
      <c r="DS27" s="5" t="e">
        <f ca="1">IF('Demand adjustments for Covid'!$F$9="Yes",IF(DR27=0,DQ27,((SUM(DR$4:DR27)-1)*$EE$8)+'Demand adjustments for Covid'!F$13),'Demand background (hide)'!DO27)</f>
        <v>#N/A</v>
      </c>
      <c r="DT27" s="5" t="e">
        <f ca="1">IF('Demand adjustments for Covid'!$F$9="Yes",IF(OR(AND(DN27&gt;='Demand adjustments for Covid'!$F$12,DN27&lt;'Demand adjustments for Covid'!$F$17),DR27=1),DS27+3,DP27),'Demand background (hide)'!DP27)</f>
        <v>#N/A</v>
      </c>
      <c r="DU27" s="5" t="e">
        <f ca="1">IF(DS27&lt;='Demand adjustments for Covid'!$F$17,DO27-DS27,0)</f>
        <v>#N/A</v>
      </c>
      <c r="DV27" s="5">
        <f ca="1">IF(AND(ROW(A24)&gt;$EE$5,ROW(A24)&lt;=$EA$5),OFFSET('Demand adjustments for Covid'!$F$35,0,ROW(A24)-'Demand background (hide)'!$EE$5,1,1),0)</f>
        <v>0</v>
      </c>
      <c r="DW27" s="5">
        <f ca="1">IF(AND(ROW(A24)&gt;$EE$5,ROW(A24)&lt;=$EA$5),OFFSET('Demand adjustments for Covid'!$F$36,0,ROW(A24)-'Demand background (hide)'!$EE$5,1,1),0)</f>
        <v>0</v>
      </c>
      <c r="DX27" s="5" t="e">
        <f t="shared" ca="1" si="11"/>
        <v>#N/A</v>
      </c>
    </row>
    <row r="28" spans="1:128" s="5" customFormat="1" x14ac:dyDescent="0.2">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8"/>
        <v>0</v>
      </c>
      <c r="AM28" s="5">
        <f t="shared" ca="1" si="9"/>
        <v>0</v>
      </c>
      <c r="AN28" s="5" t="str">
        <f>IF(Demand!BE37="Yes","Yes","")</f>
        <v/>
      </c>
      <c r="AP28" s="36" t="str">
        <f ca="1">Demand!B37</f>
        <v xml:space="preserve"> </v>
      </c>
      <c r="AQ28" s="5" t="str">
        <f ca="1">IF(TEXT(Demand!D37,"MMM")&lt;&gt;TEXT(Demand!D36,"MMM"),TEXT(Demand!D37,"MMM"),"")</f>
        <v/>
      </c>
      <c r="AT28" s="5">
        <f t="shared" ca="1" si="12"/>
        <v>0</v>
      </c>
      <c r="AV28" s="5" t="s">
        <v>137</v>
      </c>
      <c r="AW28" s="44"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ca="1">IF(OR(AN28&lt;&gt;"",AND('Demand adjustments for Covid'!$F$9="Yes",'Demand adjustments for Covid'!$F$20="Yes")),"",SUM(CW28:DF28))</f>
        <v>0</v>
      </c>
      <c r="DM28" s="5">
        <f t="shared" si="10"/>
        <v>45</v>
      </c>
      <c r="DN28" s="317">
        <f t="shared" si="17"/>
        <v>44137</v>
      </c>
      <c r="DO28" s="5" t="e">
        <f ca="1">VLOOKUP(IF($DM28&lt;53,$DM28,52),'Summary Calculations (hide)'!$D$15:$F$67,2,0)</f>
        <v>#N/A</v>
      </c>
      <c r="DP28" s="5" t="e">
        <f ca="1">VLOOKUP(IF($DM28&lt;53,$DM28,52),'Summary Calculations (hide)'!$D$15:$F$67,3,0)</f>
        <v>#N/A</v>
      </c>
      <c r="DQ28" s="5" t="e">
        <f ca="1">IF(AND(DN28&gt;='Demand adjustments for Covid'!$F$12,DN28&lt;'Demand adjustments for Covid'!$F$17),'Demand adjustments for Covid'!$F$13,DO28)</f>
        <v>#N/A</v>
      </c>
      <c r="DR28" s="5">
        <f t="shared" si="7"/>
        <v>1</v>
      </c>
      <c r="DS28" s="5" t="e">
        <f ca="1">IF('Demand adjustments for Covid'!$F$9="Yes",IF(DR28=0,DQ28,((SUM(DR$4:DR28)-1)*$EE$8)+'Demand adjustments for Covid'!F$13),'Demand background (hide)'!DO28)</f>
        <v>#N/A</v>
      </c>
      <c r="DT28" s="5" t="e">
        <f ca="1">IF('Demand adjustments for Covid'!$F$9="Yes",IF(OR(AND(DN28&gt;='Demand adjustments for Covid'!$F$12,DN28&lt;'Demand adjustments for Covid'!$F$17),DR28=1),DS28+3,DP28),'Demand background (hide)'!DP28)</f>
        <v>#N/A</v>
      </c>
      <c r="DU28" s="5" t="e">
        <f ca="1">IF(DS28&lt;='Demand adjustments for Covid'!$F$17,DO28-DS28,0)</f>
        <v>#N/A</v>
      </c>
      <c r="DV28" s="5">
        <f ca="1">IF(AND(ROW(A25)&gt;$EE$5,ROW(A25)&lt;=$EA$5),OFFSET('Demand adjustments for Covid'!$F$35,0,ROW(A25)-'Demand background (hide)'!$EE$5,1,1),0)</f>
        <v>0</v>
      </c>
      <c r="DW28" s="5">
        <f ca="1">IF(AND(ROW(A25)&gt;$EE$5,ROW(A25)&lt;=$EA$5),OFFSET('Demand adjustments for Covid'!$F$36,0,ROW(A25)-'Demand background (hide)'!$EE$5,1,1),0)</f>
        <v>0</v>
      </c>
      <c r="DX28" s="5" t="e">
        <f t="shared" ca="1" si="11"/>
        <v>#N/A</v>
      </c>
    </row>
    <row r="29" spans="1:128" s="5" customFormat="1" x14ac:dyDescent="0.2">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8"/>
        <v>0</v>
      </c>
      <c r="AM29" s="5">
        <f t="shared" ca="1" si="9"/>
        <v>0</v>
      </c>
      <c r="AN29" s="5" t="str">
        <f>IF(Demand!BE38="Yes","Yes","")</f>
        <v/>
      </c>
      <c r="AP29" s="36" t="str">
        <f ca="1">Demand!B38</f>
        <v xml:space="preserve"> </v>
      </c>
      <c r="AQ29" s="5" t="str">
        <f ca="1">IF(TEXT(Demand!D38,"MMM")&lt;&gt;TEXT(Demand!D37,"MMM"),TEXT(Demand!D38,"MMM"),"")</f>
        <v/>
      </c>
      <c r="AT29" s="5">
        <f t="shared" ca="1" si="12"/>
        <v>0</v>
      </c>
      <c r="AV29" s="5" t="s">
        <v>138</v>
      </c>
      <c r="AW29" s="44"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ca="1">IF(OR(AN29&lt;&gt;"",AND('Demand adjustments for Covid'!$F$9="Yes",'Demand adjustments for Covid'!$F$20="Yes")),"",SUM(CW29:DF29))</f>
        <v>0</v>
      </c>
      <c r="DM29" s="5">
        <f t="shared" si="10"/>
        <v>46</v>
      </c>
      <c r="DN29" s="317">
        <f t="shared" si="17"/>
        <v>44144</v>
      </c>
      <c r="DO29" s="5" t="e">
        <f ca="1">VLOOKUP(IF($DM29&lt;53,$DM29,52),'Summary Calculations (hide)'!$D$15:$F$67,2,0)</f>
        <v>#N/A</v>
      </c>
      <c r="DP29" s="5" t="e">
        <f ca="1">VLOOKUP(IF($DM29&lt;53,$DM29,52),'Summary Calculations (hide)'!$D$15:$F$67,3,0)</f>
        <v>#N/A</v>
      </c>
      <c r="DQ29" s="5" t="e">
        <f ca="1">IF(AND(DN29&gt;='Demand adjustments for Covid'!$F$12,DN29&lt;'Demand adjustments for Covid'!$F$17),'Demand adjustments for Covid'!$F$13,DO29)</f>
        <v>#N/A</v>
      </c>
      <c r="DR29" s="5">
        <f t="shared" si="7"/>
        <v>1</v>
      </c>
      <c r="DS29" s="5" t="e">
        <f ca="1">IF('Demand adjustments for Covid'!$F$9="Yes",IF(DR29=0,DQ29,((SUM(DR$4:DR29)-1)*$EE$8)+'Demand adjustments for Covid'!F$13),'Demand background (hide)'!DO29)</f>
        <v>#N/A</v>
      </c>
      <c r="DT29" s="5" t="e">
        <f ca="1">IF('Demand adjustments for Covid'!$F$9="Yes",IF(OR(AND(DN29&gt;='Demand adjustments for Covid'!$F$12,DN29&lt;'Demand adjustments for Covid'!$F$17),DR29=1),DS29+3,DP29),'Demand background (hide)'!DP29)</f>
        <v>#N/A</v>
      </c>
      <c r="DU29" s="5" t="e">
        <f ca="1">IF(DS29&lt;='Demand adjustments for Covid'!$F$17,DO29-DS29,0)</f>
        <v>#N/A</v>
      </c>
      <c r="DV29" s="5">
        <f ca="1">IF(AND(ROW(A26)&gt;$EE$5,ROW(A26)&lt;=$EA$5),OFFSET('Demand adjustments for Covid'!$F$35,0,ROW(A26)-'Demand background (hide)'!$EE$5,1,1),0)</f>
        <v>0</v>
      </c>
      <c r="DW29" s="5">
        <f ca="1">IF(AND(ROW(A26)&gt;$EE$5,ROW(A26)&lt;=$EA$5),OFFSET('Demand adjustments for Covid'!$F$36,0,ROW(A26)-'Demand background (hide)'!$EE$5,1,1),0)</f>
        <v>0</v>
      </c>
      <c r="DX29" s="5" t="e">
        <f t="shared" ca="1" si="11"/>
        <v>#N/A</v>
      </c>
    </row>
    <row r="30" spans="1:128" s="5" customFormat="1" x14ac:dyDescent="0.2">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8"/>
        <v>0</v>
      </c>
      <c r="AM30" s="5">
        <f t="shared" ca="1" si="9"/>
        <v>0</v>
      </c>
      <c r="AN30" s="5" t="str">
        <f>IF(Demand!BE39="Yes","Yes","")</f>
        <v/>
      </c>
      <c r="AP30" s="36" t="str">
        <f ca="1">Demand!B39</f>
        <v xml:space="preserve"> </v>
      </c>
      <c r="AQ30" s="5" t="str">
        <f ca="1">IF(TEXT(Demand!D39,"MMM")&lt;&gt;TEXT(Demand!D38,"MMM"),TEXT(Demand!D39,"MMM"),"")</f>
        <v/>
      </c>
      <c r="AT30" s="5">
        <f t="shared" ca="1" si="12"/>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ca="1">IF(OR(AN30&lt;&gt;"",AND('Demand adjustments for Covid'!$F$9="Yes",'Demand adjustments for Covid'!$F$20="Yes")),"",SUM(CW30:DF30))</f>
        <v>0</v>
      </c>
      <c r="DM30" s="5">
        <f t="shared" si="10"/>
        <v>47</v>
      </c>
      <c r="DN30" s="317">
        <f t="shared" si="17"/>
        <v>44151</v>
      </c>
      <c r="DO30" s="5" t="e">
        <f ca="1">VLOOKUP(IF($DM30&lt;53,$DM30,52),'Summary Calculations (hide)'!$D$15:$F$67,2,0)</f>
        <v>#N/A</v>
      </c>
      <c r="DP30" s="5" t="e">
        <f ca="1">VLOOKUP(IF($DM30&lt;53,$DM30,52),'Summary Calculations (hide)'!$D$15:$F$67,3,0)</f>
        <v>#N/A</v>
      </c>
      <c r="DQ30" s="5" t="e">
        <f ca="1">IF(AND(DN30&gt;='Demand adjustments for Covid'!$F$12,DN30&lt;'Demand adjustments for Covid'!$F$17),'Demand adjustments for Covid'!$F$13,DO30)</f>
        <v>#N/A</v>
      </c>
      <c r="DR30" s="5">
        <f t="shared" si="7"/>
        <v>1</v>
      </c>
      <c r="DS30" s="5" t="e">
        <f ca="1">IF('Demand adjustments for Covid'!$F$9="Yes",IF(DR30=0,DQ30,((SUM(DR$4:DR30)-1)*$EE$8)+'Demand adjustments for Covid'!F$13),'Demand background (hide)'!DO30)</f>
        <v>#N/A</v>
      </c>
      <c r="DT30" s="5" t="e">
        <f ca="1">IF('Demand adjustments for Covid'!$F$9="Yes",IF(OR(AND(DN30&gt;='Demand adjustments for Covid'!$F$12,DN30&lt;'Demand adjustments for Covid'!$F$17),DR30=1),DS30+3,DP30),'Demand background (hide)'!DP30)</f>
        <v>#N/A</v>
      </c>
      <c r="DU30" s="5" t="e">
        <f ca="1">IF(DS30&lt;='Demand adjustments for Covid'!$F$17,DO30-DS30,0)</f>
        <v>#N/A</v>
      </c>
      <c r="DV30" s="5">
        <f ca="1">IF(AND(ROW(A27)&gt;$EE$5,ROW(A27)&lt;=$EA$5),OFFSET('Demand adjustments for Covid'!$F$35,0,ROW(A27)-'Demand background (hide)'!$EE$5,1,1),0)</f>
        <v>0</v>
      </c>
      <c r="DW30" s="5">
        <f ca="1">IF(AND(ROW(A27)&gt;$EE$5,ROW(A27)&lt;=$EA$5),OFFSET('Demand adjustments for Covid'!$F$36,0,ROW(A27)-'Demand background (hide)'!$EE$5,1,1),0)</f>
        <v>0</v>
      </c>
      <c r="DX30" s="5" t="e">
        <f t="shared" ca="1" si="11"/>
        <v>#N/A</v>
      </c>
    </row>
    <row r="31" spans="1:128" s="5" customFormat="1" x14ac:dyDescent="0.2">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8"/>
        <v>0</v>
      </c>
      <c r="AM31" s="5">
        <f t="shared" ca="1" si="9"/>
        <v>0</v>
      </c>
      <c r="AN31" s="5" t="str">
        <f>IF(Demand!BE40="Yes","Yes","")</f>
        <v/>
      </c>
      <c r="AP31" s="36" t="str">
        <f ca="1">Demand!B40</f>
        <v xml:space="preserve"> </v>
      </c>
      <c r="AQ31" s="5" t="str">
        <f ca="1">IF(TEXT(Demand!D40,"MMM")&lt;&gt;TEXT(Demand!D39,"MMM"),TEXT(Demand!D40,"MMM"),"")</f>
        <v/>
      </c>
      <c r="AT31" s="5">
        <f t="shared" ca="1" si="12"/>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ca="1">IF(OR(AN31&lt;&gt;"",AND('Demand adjustments for Covid'!$F$9="Yes",'Demand adjustments for Covid'!$F$20="Yes")),"",SUM(CW31:DF31))</f>
        <v>0</v>
      </c>
      <c r="DM31" s="5">
        <f t="shared" si="10"/>
        <v>48</v>
      </c>
      <c r="DN31" s="317">
        <f t="shared" si="17"/>
        <v>44158</v>
      </c>
      <c r="DO31" s="5" t="e">
        <f ca="1">VLOOKUP(IF($DM31&lt;53,$DM31,52),'Summary Calculations (hide)'!$D$15:$F$67,2,0)</f>
        <v>#N/A</v>
      </c>
      <c r="DP31" s="5" t="e">
        <f ca="1">VLOOKUP(IF($DM31&lt;53,$DM31,52),'Summary Calculations (hide)'!$D$15:$F$67,3,0)</f>
        <v>#N/A</v>
      </c>
      <c r="DQ31" s="5" t="e">
        <f ca="1">IF(AND(DN31&gt;='Demand adjustments for Covid'!$F$12,DN31&lt;'Demand adjustments for Covid'!$F$17),'Demand adjustments for Covid'!$F$13,DO31)</f>
        <v>#N/A</v>
      </c>
      <c r="DR31" s="5">
        <f t="shared" si="7"/>
        <v>0</v>
      </c>
      <c r="DS31" s="5" t="e">
        <f ca="1">IF('Demand adjustments for Covid'!$F$9="Yes",IF(DR31=0,DQ31,((SUM(DR$4:DR31)-1)*$EE$8)+'Demand adjustments for Covid'!F$13),'Demand background (hide)'!DO31)</f>
        <v>#N/A</v>
      </c>
      <c r="DT31" s="5" t="e">
        <f ca="1">IF('Demand adjustments for Covid'!$F$9="Yes",IF(OR(AND(DN31&gt;='Demand adjustments for Covid'!$F$12,DN31&lt;'Demand adjustments for Covid'!$F$17),DR31=1),DS31+3,DP31),'Demand background (hide)'!DP31)</f>
        <v>#N/A</v>
      </c>
      <c r="DU31" s="5" t="e">
        <f ca="1">IF(DS31&lt;='Demand adjustments for Covid'!$F$17,DO31-DS31,0)</f>
        <v>#N/A</v>
      </c>
      <c r="DV31" s="5">
        <f ca="1">IF(AND(ROW(A28)&gt;$EE$5,ROW(A28)&lt;=$EA$5),OFFSET('Demand adjustments for Covid'!$F$35,0,ROW(A28)-'Demand background (hide)'!$EE$5,1,1),0)</f>
        <v>200</v>
      </c>
      <c r="DW31" s="5">
        <f ca="1">IF(AND(ROW(A28)&gt;$EE$5,ROW(A28)&lt;=$EA$5),OFFSET('Demand adjustments for Covid'!$F$36,0,ROW(A28)-'Demand background (hide)'!$EE$5,1,1),0)</f>
        <v>300</v>
      </c>
      <c r="DX31" s="5" t="e">
        <f t="shared" ca="1" si="11"/>
        <v>#N/A</v>
      </c>
    </row>
    <row r="32" spans="1:128" s="5" customFormat="1" x14ac:dyDescent="0.2">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8"/>
        <v>0</v>
      </c>
      <c r="AM32" s="5">
        <f t="shared" ca="1" si="9"/>
        <v>0</v>
      </c>
      <c r="AN32" s="5" t="str">
        <f>IF(Demand!BE41="Yes","Yes","")</f>
        <v/>
      </c>
      <c r="AP32" s="36" t="str">
        <f ca="1">Demand!B41</f>
        <v xml:space="preserve"> </v>
      </c>
      <c r="AQ32" s="5" t="str">
        <f ca="1">IF(TEXT(Demand!D41,"MMM")&lt;&gt;TEXT(Demand!D40,"MMM"),TEXT(Demand!D41,"MMM"),"")</f>
        <v/>
      </c>
      <c r="AT32" s="5">
        <f t="shared" ca="1" si="12"/>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ca="1">IF(OR(AN32&lt;&gt;"",AND('Demand adjustments for Covid'!$F$9="Yes",'Demand adjustments for Covid'!$F$20="Yes")),"",SUM(CW32:DF32))</f>
        <v>0</v>
      </c>
      <c r="DM32" s="5">
        <f t="shared" si="10"/>
        <v>49</v>
      </c>
      <c r="DN32" s="317">
        <f t="shared" si="17"/>
        <v>44165</v>
      </c>
      <c r="DO32" s="5" t="e">
        <f ca="1">VLOOKUP(IF($DM32&lt;53,$DM32,52),'Summary Calculations (hide)'!$D$15:$F$67,2,0)</f>
        <v>#N/A</v>
      </c>
      <c r="DP32" s="5" t="e">
        <f ca="1">VLOOKUP(IF($DM32&lt;53,$DM32,52),'Summary Calculations (hide)'!$D$15:$F$67,3,0)</f>
        <v>#N/A</v>
      </c>
      <c r="DQ32" s="5" t="e">
        <f ca="1">IF(AND(DN32&gt;='Demand adjustments for Covid'!$F$12,DN32&lt;'Demand adjustments for Covid'!$F$17),'Demand adjustments for Covid'!$F$13,DO32)</f>
        <v>#N/A</v>
      </c>
      <c r="DR32" s="5">
        <f t="shared" si="7"/>
        <v>0</v>
      </c>
      <c r="DS32" s="5" t="e">
        <f ca="1">IF('Demand adjustments for Covid'!$F$9="Yes",IF(DR32=0,DQ32,((SUM(DR$4:DR32)-1)*$EE$8)+'Demand adjustments for Covid'!F$13),'Demand background (hide)'!DO32)</f>
        <v>#N/A</v>
      </c>
      <c r="DT32" s="5" t="e">
        <f ca="1">IF('Demand adjustments for Covid'!$F$9="Yes",IF(OR(AND(DN32&gt;='Demand adjustments for Covid'!$F$12,DN32&lt;'Demand adjustments for Covid'!$F$17),DR32=1),DS32+3,DP32),'Demand background (hide)'!DP32)</f>
        <v>#N/A</v>
      </c>
      <c r="DU32" s="5" t="e">
        <f ca="1">IF(DS32&lt;='Demand adjustments for Covid'!$F$17,DO32-DS32,0)</f>
        <v>#N/A</v>
      </c>
      <c r="DV32" s="5">
        <f ca="1">IF(AND(ROW(A29)&gt;$EE$5,ROW(A29)&lt;=$EA$5),OFFSET('Demand adjustments for Covid'!$F$35,0,ROW(A29)-'Demand background (hide)'!$EE$5,1,1),0)</f>
        <v>200</v>
      </c>
      <c r="DW32" s="5">
        <f ca="1">IF(AND(ROW(A29)&gt;$EE$5,ROW(A29)&lt;=$EA$5),OFFSET('Demand adjustments for Covid'!$F$36,0,ROW(A29)-'Demand background (hide)'!$EE$5,1,1),0)</f>
        <v>300</v>
      </c>
      <c r="DX32" s="5" t="e">
        <f t="shared" ca="1" si="11"/>
        <v>#N/A</v>
      </c>
    </row>
    <row r="33" spans="1:128" s="5" customFormat="1" x14ac:dyDescent="0.2">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8"/>
        <v>0</v>
      </c>
      <c r="AM33" s="5">
        <f t="shared" ca="1" si="9"/>
        <v>0</v>
      </c>
      <c r="AN33" s="5" t="str">
        <f>IF(Demand!BE42="Yes","Yes","")</f>
        <v/>
      </c>
      <c r="AP33" s="36" t="str">
        <f ca="1">Demand!B42</f>
        <v xml:space="preserve"> </v>
      </c>
      <c r="AQ33" s="5" t="str">
        <f ca="1">IF(TEXT(Demand!D42,"MMM")&lt;&gt;TEXT(Demand!D41,"MMM"),TEXT(Demand!D42,"MMM"),"")</f>
        <v/>
      </c>
      <c r="AT33" s="5">
        <f t="shared" ca="1" si="12"/>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ca="1">IF(OR(AN33&lt;&gt;"",AND('Demand adjustments for Covid'!$F$9="Yes",'Demand adjustments for Covid'!$F$20="Yes")),"",SUM(CW33:DF33))</f>
        <v>0</v>
      </c>
      <c r="DM33" s="5">
        <f t="shared" si="10"/>
        <v>50</v>
      </c>
      <c r="DN33" s="317">
        <f t="shared" si="17"/>
        <v>44172</v>
      </c>
      <c r="DO33" s="5" t="e">
        <f ca="1">VLOOKUP(IF($DM33&lt;53,$DM33,52),'Summary Calculations (hide)'!$D$15:$F$67,2,0)</f>
        <v>#N/A</v>
      </c>
      <c r="DP33" s="5" t="e">
        <f ca="1">VLOOKUP(IF($DM33&lt;53,$DM33,52),'Summary Calculations (hide)'!$D$15:$F$67,3,0)</f>
        <v>#N/A</v>
      </c>
      <c r="DQ33" s="5" t="e">
        <f ca="1">IF(AND(DN33&gt;='Demand adjustments for Covid'!$F$12,DN33&lt;'Demand adjustments for Covid'!$F$17),'Demand adjustments for Covid'!$F$13,DO33)</f>
        <v>#N/A</v>
      </c>
      <c r="DR33" s="5">
        <f t="shared" si="7"/>
        <v>0</v>
      </c>
      <c r="DS33" s="5" t="e">
        <f ca="1">IF('Demand adjustments for Covid'!$F$9="Yes",IF(DR33=0,DQ33,((SUM(DR$4:DR33)-1)*$EE$8)+'Demand adjustments for Covid'!F$13),'Demand background (hide)'!DO33)</f>
        <v>#N/A</v>
      </c>
      <c r="DT33" s="5" t="e">
        <f ca="1">IF('Demand adjustments for Covid'!$F$9="Yes",IF(OR(AND(DN33&gt;='Demand adjustments for Covid'!$F$12,DN33&lt;'Demand adjustments for Covid'!$F$17),DR33=1),DS33+3,DP33),'Demand background (hide)'!DP33)</f>
        <v>#N/A</v>
      </c>
      <c r="DU33" s="5" t="e">
        <f ca="1">IF(DS33&lt;='Demand adjustments for Covid'!$F$17,DO33-DS33,0)</f>
        <v>#N/A</v>
      </c>
      <c r="DV33" s="5">
        <f ca="1">IF(AND(ROW(A30)&gt;$EE$5,ROW(A30)&lt;=$EA$5),OFFSET('Demand adjustments for Covid'!$F$35,0,ROW(A30)-'Demand background (hide)'!$EE$5,1,1),0)</f>
        <v>200</v>
      </c>
      <c r="DW33" s="5">
        <f ca="1">IF(AND(ROW(A30)&gt;$EE$5,ROW(A30)&lt;=$EA$5),OFFSET('Demand adjustments for Covid'!$F$36,0,ROW(A30)-'Demand background (hide)'!$EE$5,1,1),0)</f>
        <v>300</v>
      </c>
      <c r="DX33" s="5" t="e">
        <f t="shared" ca="1" si="11"/>
        <v>#N/A</v>
      </c>
    </row>
    <row r="34" spans="1:128" s="5" customFormat="1" x14ac:dyDescent="0.2">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8"/>
        <v>0</v>
      </c>
      <c r="AM34" s="5">
        <f t="shared" ca="1" si="9"/>
        <v>0</v>
      </c>
      <c r="AN34" s="5" t="str">
        <f>IF(Demand!BE43="Yes","Yes","")</f>
        <v/>
      </c>
      <c r="AP34" s="36" t="str">
        <f ca="1">Demand!B43</f>
        <v xml:space="preserve"> </v>
      </c>
      <c r="AQ34" s="5" t="str">
        <f ca="1">IF(TEXT(Demand!D43,"MMM")&lt;&gt;TEXT(Demand!D42,"MMM"),TEXT(Demand!D43,"MMM"),"")</f>
        <v/>
      </c>
      <c r="AT34" s="5">
        <f t="shared" ca="1" si="12"/>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ca="1">IF(OR(AN34&lt;&gt;"",AND('Demand adjustments for Covid'!$F$9="Yes",'Demand adjustments for Covid'!$F$20="Yes")),"",SUM(CW34:DF34))</f>
        <v>0</v>
      </c>
      <c r="DM34" s="5">
        <f t="shared" si="10"/>
        <v>51</v>
      </c>
      <c r="DN34" s="317">
        <f t="shared" si="17"/>
        <v>44179</v>
      </c>
      <c r="DO34" s="5" t="e">
        <f ca="1">VLOOKUP(IF($DM34&lt;53,$DM34,52),'Summary Calculations (hide)'!$D$15:$F$67,2,0)</f>
        <v>#N/A</v>
      </c>
      <c r="DP34" s="5" t="e">
        <f ca="1">VLOOKUP(IF($DM34&lt;53,$DM34,52),'Summary Calculations (hide)'!$D$15:$F$67,3,0)</f>
        <v>#N/A</v>
      </c>
      <c r="DQ34" s="5" t="e">
        <f ca="1">IF(AND(DN34&gt;='Demand adjustments for Covid'!$F$12,DN34&lt;'Demand adjustments for Covid'!$F$17),'Demand adjustments for Covid'!$F$13,DO34)</f>
        <v>#N/A</v>
      </c>
      <c r="DR34" s="5">
        <f t="shared" si="7"/>
        <v>0</v>
      </c>
      <c r="DS34" s="5" t="e">
        <f ca="1">IF('Demand adjustments for Covid'!$F$9="Yes",IF(DR34=0,DQ34,((SUM(DR$4:DR34)-1)*$EE$8)+'Demand adjustments for Covid'!F$13),'Demand background (hide)'!DO34)</f>
        <v>#N/A</v>
      </c>
      <c r="DT34" s="5" t="e">
        <f ca="1">IF('Demand adjustments for Covid'!$F$9="Yes",IF(OR(AND(DN34&gt;='Demand adjustments for Covid'!$F$12,DN34&lt;'Demand adjustments for Covid'!$F$17),DR34=1),DS34+3,DP34),'Demand background (hide)'!DP34)</f>
        <v>#N/A</v>
      </c>
      <c r="DU34" s="5" t="e">
        <f ca="1">IF(DS34&lt;='Demand adjustments for Covid'!$F$17,DO34-DS34,0)</f>
        <v>#N/A</v>
      </c>
      <c r="DV34" s="5">
        <f ca="1">IF(AND(ROW(A31)&gt;$EE$5,ROW(A31)&lt;=$EA$5),OFFSET('Demand adjustments for Covid'!$F$35,0,ROW(A31)-'Demand background (hide)'!$EE$5,1,1),0)</f>
        <v>200</v>
      </c>
      <c r="DW34" s="5">
        <f ca="1">IF(AND(ROW(A31)&gt;$EE$5,ROW(A31)&lt;=$EA$5),OFFSET('Demand adjustments for Covid'!$F$36,0,ROW(A31)-'Demand background (hide)'!$EE$5,1,1),0)</f>
        <v>300</v>
      </c>
      <c r="DX34" s="5" t="e">
        <f t="shared" ca="1" si="11"/>
        <v>#N/A</v>
      </c>
    </row>
    <row r="35" spans="1:128" s="5" customFormat="1" x14ac:dyDescent="0.2">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8"/>
        <v>0</v>
      </c>
      <c r="AM35" s="5">
        <f t="shared" ca="1" si="9"/>
        <v>0</v>
      </c>
      <c r="AN35" s="5" t="str">
        <f>IF(Demand!BE44="Yes","Yes","")</f>
        <v/>
      </c>
      <c r="AP35" s="36" t="str">
        <f ca="1">Demand!B44</f>
        <v xml:space="preserve"> </v>
      </c>
      <c r="AQ35" s="5" t="str">
        <f ca="1">IF(TEXT(Demand!D44,"MMM")&lt;&gt;TEXT(Demand!D43,"MMM"),TEXT(Demand!D44,"MMM"),"")</f>
        <v/>
      </c>
      <c r="AT35" s="5">
        <f t="shared" ca="1" si="12"/>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ca="1">IF(OR(AN35&lt;&gt;"",AND('Demand adjustments for Covid'!$F$9="Yes",'Demand adjustments for Covid'!$F$20="Yes")),"",SUM(CW35:DF35))</f>
        <v>0</v>
      </c>
      <c r="DM35" s="5">
        <f t="shared" si="10"/>
        <v>52</v>
      </c>
      <c r="DN35" s="317">
        <f t="shared" si="17"/>
        <v>44186</v>
      </c>
      <c r="DO35" s="5" t="e">
        <f ca="1">VLOOKUP(IF($DM35&lt;53,$DM35,52),'Summary Calculations (hide)'!$D$15:$F$67,2,0)</f>
        <v>#N/A</v>
      </c>
      <c r="DP35" s="5" t="e">
        <f ca="1">VLOOKUP(IF($DM35&lt;53,$DM35,52),'Summary Calculations (hide)'!$D$15:$F$67,3,0)</f>
        <v>#N/A</v>
      </c>
      <c r="DQ35" s="5" t="e">
        <f ca="1">IF(AND(DN35&gt;='Demand adjustments for Covid'!$F$12,DN35&lt;'Demand adjustments for Covid'!$F$17),'Demand adjustments for Covid'!$F$13,DO35)</f>
        <v>#N/A</v>
      </c>
      <c r="DR35" s="5">
        <f t="shared" si="7"/>
        <v>0</v>
      </c>
      <c r="DS35" s="5" t="e">
        <f ca="1">IF('Demand adjustments for Covid'!$F$9="Yes",IF(DR35=0,DQ35,((SUM(DR$4:DR35)-1)*$EE$8)+'Demand adjustments for Covid'!F$13),'Demand background (hide)'!DO35)</f>
        <v>#N/A</v>
      </c>
      <c r="DT35" s="5" t="e">
        <f ca="1">IF('Demand adjustments for Covid'!$F$9="Yes",IF(OR(AND(DN35&gt;='Demand adjustments for Covid'!$F$12,DN35&lt;'Demand adjustments for Covid'!$F$17),DR35=1),DS35+3,DP35),'Demand background (hide)'!DP35)</f>
        <v>#N/A</v>
      </c>
      <c r="DU35" s="5" t="e">
        <f ca="1">IF(DS35&lt;='Demand adjustments for Covid'!$F$17,DO35-DS35,0)</f>
        <v>#N/A</v>
      </c>
      <c r="DV35" s="5">
        <f ca="1">IF(AND(ROW(A32)&gt;$EE$5,ROW(A32)&lt;=$EA$5),OFFSET('Demand adjustments for Covid'!$F$35,0,ROW(A32)-'Demand background (hide)'!$EE$5,1,1),0)</f>
        <v>200</v>
      </c>
      <c r="DW35" s="5">
        <f ca="1">IF(AND(ROW(A32)&gt;$EE$5,ROW(A32)&lt;=$EA$5),OFFSET('Demand adjustments for Covid'!$F$36,0,ROW(A32)-'Demand background (hide)'!$EE$5,1,1),0)</f>
        <v>300</v>
      </c>
      <c r="DX35" s="5" t="e">
        <f t="shared" ca="1" si="11"/>
        <v>#N/A</v>
      </c>
    </row>
    <row r="36" spans="1:128" s="5" customFormat="1" x14ac:dyDescent="0.2">
      <c r="A36" s="5">
        <f t="shared" ref="A36:A55" ca="1" si="32">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8"/>
        <v>0</v>
      </c>
      <c r="AM36" s="5">
        <f t="shared" ca="1" si="9"/>
        <v>0</v>
      </c>
      <c r="AN36" s="5" t="str">
        <f>IF(Demand!BE45="Yes","Yes","")</f>
        <v/>
      </c>
      <c r="AP36" s="36" t="str">
        <f ca="1">Demand!B45</f>
        <v xml:space="preserve"> </v>
      </c>
      <c r="AQ36" s="5" t="str">
        <f ca="1">IF(TEXT(Demand!D45,"MMM")&lt;&gt;TEXT(Demand!D44,"MMM"),TEXT(Demand!D45,"MMM"),"")</f>
        <v/>
      </c>
      <c r="AT36" s="5">
        <f t="shared" ca="1" si="12"/>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ca="1">IF(OR(AN36&lt;&gt;"",AND('Demand adjustments for Covid'!$F$9="Yes",'Demand adjustments for Covid'!$F$20="Yes")),"",SUM(CW36:DF36))</f>
        <v>0</v>
      </c>
      <c r="DM36" s="5">
        <f t="shared" si="10"/>
        <v>53</v>
      </c>
      <c r="DN36" s="317">
        <f t="shared" si="17"/>
        <v>44193</v>
      </c>
      <c r="DO36" s="5" t="e">
        <f ca="1">VLOOKUP(IF($DM36&lt;53,$DM36,52),'Summary Calculations (hide)'!$D$15:$F$67,2,0)</f>
        <v>#N/A</v>
      </c>
      <c r="DP36" s="5" t="e">
        <f ca="1">VLOOKUP(IF($DM36&lt;53,$DM36,52),'Summary Calculations (hide)'!$D$15:$F$67,3,0)</f>
        <v>#N/A</v>
      </c>
      <c r="DQ36" s="5" t="e">
        <f ca="1">IF(AND(DN36&gt;='Demand adjustments for Covid'!$F$12,DN36&lt;'Demand adjustments for Covid'!$F$17),'Demand adjustments for Covid'!$F$13,DO36)</f>
        <v>#N/A</v>
      </c>
      <c r="DR36" s="5">
        <f t="shared" ref="DR36:DR55" si="33">IF(AND(ROW(A33)&gt;=$EE$4,ROW(A33)&lt;=$EE$5),1,0)</f>
        <v>0</v>
      </c>
      <c r="DS36" s="5" t="e">
        <f ca="1">IF('Demand adjustments for Covid'!$F$9="Yes",IF(DR36=0,DQ36,((SUM(DR$4:DR36)-1)*$EE$8)+'Demand adjustments for Covid'!F$13),'Demand background (hide)'!DO36)</f>
        <v>#N/A</v>
      </c>
      <c r="DT36" s="5" t="e">
        <f ca="1">IF('Demand adjustments for Covid'!$F$9="Yes",IF(OR(AND(DN36&gt;='Demand adjustments for Covid'!$F$12,DN36&lt;'Demand adjustments for Covid'!$F$17),DR36=1),DS36+3,DP36),'Demand background (hide)'!DP36)</f>
        <v>#N/A</v>
      </c>
      <c r="DU36" s="5" t="e">
        <f ca="1">IF(DS36&lt;='Demand adjustments for Covid'!$F$17,DO36-DS36,0)</f>
        <v>#N/A</v>
      </c>
      <c r="DV36" s="5">
        <f ca="1">IF(AND(ROW(A33)&gt;$EE$5,ROW(A33)&lt;=$EA$5),OFFSET('Demand adjustments for Covid'!$F$35,0,ROW(A33)-'Demand background (hide)'!$EE$5,1,1),0)</f>
        <v>200</v>
      </c>
      <c r="DW36" s="5">
        <f ca="1">IF(AND(ROW(A33)&gt;$EE$5,ROW(A33)&lt;=$EA$5),OFFSET('Demand adjustments for Covid'!$F$36,0,ROW(A33)-'Demand background (hide)'!$EE$5,1,1),0)</f>
        <v>300</v>
      </c>
      <c r="DX36" s="5" t="e">
        <f t="shared" ca="1" si="11"/>
        <v>#N/A</v>
      </c>
    </row>
    <row r="37" spans="1:128" s="5" customFormat="1" x14ac:dyDescent="0.2">
      <c r="A37" s="5">
        <f t="shared" ca="1" si="32"/>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8"/>
        <v>0</v>
      </c>
      <c r="AM37" s="5">
        <f t="shared" ca="1" si="9"/>
        <v>0</v>
      </c>
      <c r="AN37" s="5" t="str">
        <f>IF(Demand!BE46="Yes","Yes","")</f>
        <v/>
      </c>
      <c r="AP37" s="36" t="str">
        <f ca="1">Demand!B46</f>
        <v xml:space="preserve"> </v>
      </c>
      <c r="AQ37" s="5" t="str">
        <f ca="1">IF(TEXT(Demand!D46,"MMM")&lt;&gt;TEXT(Demand!D45,"MMM"),TEXT(Demand!D46,"MMM"),"")</f>
        <v/>
      </c>
      <c r="AT37" s="5">
        <f t="shared" ca="1" si="12"/>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ca="1">IF(OR(AN37&lt;&gt;"",AND('Demand adjustments for Covid'!$F$9="Yes",'Demand adjustments for Covid'!$F$20="Yes")),"",SUM(CW37:DF37))</f>
        <v>0</v>
      </c>
      <c r="DM37" s="5">
        <f t="shared" si="10"/>
        <v>1</v>
      </c>
      <c r="DN37" s="317">
        <f t="shared" si="17"/>
        <v>44200</v>
      </c>
      <c r="DO37" s="5" t="e">
        <f ca="1">VLOOKUP(IF($DM37&lt;53,$DM37,52),'Summary Calculations (hide)'!$D$15:$F$67,2,0)</f>
        <v>#N/A</v>
      </c>
      <c r="DP37" s="5" t="e">
        <f ca="1">VLOOKUP(IF($DM37&lt;53,$DM37,52),'Summary Calculations (hide)'!$D$15:$F$67,3,0)</f>
        <v>#N/A</v>
      </c>
      <c r="DQ37" s="5" t="e">
        <f ca="1">IF(AND(DN37&gt;='Demand adjustments for Covid'!$F$12,DN37&lt;'Demand adjustments for Covid'!$F$17),'Demand adjustments for Covid'!$F$13,DO37)</f>
        <v>#N/A</v>
      </c>
      <c r="DR37" s="5">
        <f t="shared" si="33"/>
        <v>0</v>
      </c>
      <c r="DS37" s="5" t="e">
        <f ca="1">IF('Demand adjustments for Covid'!$F$9="Yes",IF(DR37=0,DQ37,((SUM(DR$4:DR37)-1)*$EE$8)+'Demand adjustments for Covid'!F$13),'Demand background (hide)'!DO37)</f>
        <v>#N/A</v>
      </c>
      <c r="DT37" s="5" t="e">
        <f ca="1">IF('Demand adjustments for Covid'!$F$9="Yes",IF(OR(AND(DN37&gt;='Demand adjustments for Covid'!$F$12,DN37&lt;'Demand adjustments for Covid'!$F$17),DR37=1),DS37+3,DP37),'Demand background (hide)'!DP37)</f>
        <v>#N/A</v>
      </c>
      <c r="DU37" s="5" t="e">
        <f ca="1">IF(DS37&lt;='Demand adjustments for Covid'!$F$17,DO37-DS37,0)</f>
        <v>#N/A</v>
      </c>
      <c r="DV37" s="5">
        <f ca="1">IF(AND(ROW(A34)&gt;$EE$5,ROW(A34)&lt;=$EA$5),OFFSET('Demand adjustments for Covid'!$F$35,0,ROW(A34)-'Demand background (hide)'!$EE$5,1,1),0)</f>
        <v>200</v>
      </c>
      <c r="DW37" s="5">
        <f ca="1">IF(AND(ROW(A34)&gt;$EE$5,ROW(A34)&lt;=$EA$5),OFFSET('Demand adjustments for Covid'!$F$36,0,ROW(A34)-'Demand background (hide)'!$EE$5,1,1),0)</f>
        <v>300</v>
      </c>
      <c r="DX37" s="5" t="e">
        <f t="shared" ca="1" si="11"/>
        <v>#N/A</v>
      </c>
    </row>
    <row r="38" spans="1:128" s="5" customFormat="1" x14ac:dyDescent="0.2">
      <c r="A38" s="5">
        <f t="shared" ca="1" si="32"/>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8"/>
        <v>0</v>
      </c>
      <c r="AM38" s="5">
        <f t="shared" ca="1" si="9"/>
        <v>0</v>
      </c>
      <c r="AN38" s="5" t="str">
        <f>IF(Demand!BE47="Yes","Yes","")</f>
        <v/>
      </c>
      <c r="AP38" s="36" t="str">
        <f ca="1">Demand!B47</f>
        <v xml:space="preserve"> </v>
      </c>
      <c r="AQ38" s="5" t="str">
        <f ca="1">IF(TEXT(Demand!D47,"MMM")&lt;&gt;TEXT(Demand!D46,"MMM"),TEXT(Demand!D47,"MMM"),"")</f>
        <v/>
      </c>
      <c r="AT38" s="5">
        <f t="shared" ca="1" si="12"/>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ca="1">IF(OR(AN38&lt;&gt;"",AND('Demand adjustments for Covid'!$F$9="Yes",'Demand adjustments for Covid'!$F$20="Yes")),"",SUM(CW38:DF38))</f>
        <v>0</v>
      </c>
      <c r="DM38" s="5">
        <f t="shared" si="10"/>
        <v>2</v>
      </c>
      <c r="DN38" s="317">
        <f t="shared" si="17"/>
        <v>44207</v>
      </c>
      <c r="DO38" s="5" t="e">
        <f ca="1">VLOOKUP(IF($DM38&lt;53,$DM38,52),'Summary Calculations (hide)'!$D$15:$F$67,2,0)</f>
        <v>#N/A</v>
      </c>
      <c r="DP38" s="5" t="e">
        <f ca="1">VLOOKUP(IF($DM38&lt;53,$DM38,52),'Summary Calculations (hide)'!$D$15:$F$67,3,0)</f>
        <v>#N/A</v>
      </c>
      <c r="DQ38" s="5" t="e">
        <f ca="1">IF(AND(DN38&gt;='Demand adjustments for Covid'!$F$12,DN38&lt;'Demand adjustments for Covid'!$F$17),'Demand adjustments for Covid'!$F$13,DO38)</f>
        <v>#N/A</v>
      </c>
      <c r="DR38" s="5">
        <f t="shared" si="33"/>
        <v>0</v>
      </c>
      <c r="DS38" s="5" t="e">
        <f ca="1">IF('Demand adjustments for Covid'!$F$9="Yes",IF(DR38=0,DQ38,((SUM(DR$4:DR38)-1)*$EE$8)+'Demand adjustments for Covid'!F$13),'Demand background (hide)'!DO38)</f>
        <v>#N/A</v>
      </c>
      <c r="DT38" s="5" t="e">
        <f ca="1">IF('Demand adjustments for Covid'!$F$9="Yes",IF(OR(AND(DN38&gt;='Demand adjustments for Covid'!$F$12,DN38&lt;'Demand adjustments for Covid'!$F$17),DR38=1),DS38+3,DP38),'Demand background (hide)'!DP38)</f>
        <v>#N/A</v>
      </c>
      <c r="DU38" s="5" t="e">
        <f ca="1">IF(DS38&lt;='Demand adjustments for Covid'!$F$17,DO38-DS38,0)</f>
        <v>#N/A</v>
      </c>
      <c r="DV38" s="5">
        <f ca="1">IF(AND(ROW(A35)&gt;$EE$5,ROW(A35)&lt;=$EA$5),OFFSET('Demand adjustments for Covid'!$F$35,0,ROW(A35)-'Demand background (hide)'!$EE$5,1,1),0)</f>
        <v>200</v>
      </c>
      <c r="DW38" s="5">
        <f ca="1">IF(AND(ROW(A35)&gt;$EE$5,ROW(A35)&lt;=$EA$5),OFFSET('Demand adjustments for Covid'!$F$36,0,ROW(A35)-'Demand background (hide)'!$EE$5,1,1),0)</f>
        <v>300</v>
      </c>
      <c r="DX38" s="5" t="e">
        <f t="shared" ca="1" si="11"/>
        <v>#N/A</v>
      </c>
    </row>
    <row r="39" spans="1:128" s="5" customFormat="1" x14ac:dyDescent="0.2">
      <c r="A39" s="5">
        <f t="shared" ca="1" si="32"/>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8"/>
        <v>0</v>
      </c>
      <c r="AM39" s="5">
        <f t="shared" ca="1" si="9"/>
        <v>0</v>
      </c>
      <c r="AN39" s="5" t="str">
        <f>IF(Demand!BE48="Yes","Yes","")</f>
        <v/>
      </c>
      <c r="AP39" s="36" t="str">
        <f ca="1">Demand!B48</f>
        <v xml:space="preserve"> </v>
      </c>
      <c r="AQ39" s="5" t="str">
        <f ca="1">IF(TEXT(Demand!D48,"MMM")&lt;&gt;TEXT(Demand!D47,"MMM"),TEXT(Demand!D48,"MMM"),"")</f>
        <v/>
      </c>
      <c r="AT39" s="5">
        <f t="shared" ca="1" si="12"/>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ca="1">IF(OR(AN39&lt;&gt;"",AND('Demand adjustments for Covid'!$F$9="Yes",'Demand adjustments for Covid'!$F$20="Yes")),"",SUM(CW39:DF39))</f>
        <v>0</v>
      </c>
      <c r="DM39" s="5">
        <f t="shared" si="10"/>
        <v>3</v>
      </c>
      <c r="DN39" s="317">
        <f t="shared" si="17"/>
        <v>44214</v>
      </c>
      <c r="DO39" s="5" t="e">
        <f ca="1">VLOOKUP(IF($DM39&lt;53,$DM39,52),'Summary Calculations (hide)'!$D$15:$F$67,2,0)</f>
        <v>#N/A</v>
      </c>
      <c r="DP39" s="5" t="e">
        <f ca="1">VLOOKUP(IF($DM39&lt;53,$DM39,52),'Summary Calculations (hide)'!$D$15:$F$67,3,0)</f>
        <v>#N/A</v>
      </c>
      <c r="DQ39" s="5" t="e">
        <f ca="1">IF(AND(DN39&gt;='Demand adjustments for Covid'!$F$12,DN39&lt;'Demand adjustments for Covid'!$F$17),'Demand adjustments for Covid'!$F$13,DO39)</f>
        <v>#N/A</v>
      </c>
      <c r="DR39" s="5">
        <f t="shared" si="33"/>
        <v>0</v>
      </c>
      <c r="DS39" s="5" t="e">
        <f ca="1">IF('Demand adjustments for Covid'!$F$9="Yes",IF(DR39=0,DQ39,((SUM(DR$4:DR39)-1)*$EE$8)+'Demand adjustments for Covid'!F$13),'Demand background (hide)'!DO39)</f>
        <v>#N/A</v>
      </c>
      <c r="DT39" s="5" t="e">
        <f ca="1">IF('Demand adjustments for Covid'!$F$9="Yes",IF(OR(AND(DN39&gt;='Demand adjustments for Covid'!$F$12,DN39&lt;'Demand adjustments for Covid'!$F$17),DR39=1),DS39+3,DP39),'Demand background (hide)'!DP39)</f>
        <v>#N/A</v>
      </c>
      <c r="DU39" s="5" t="e">
        <f ca="1">IF(DS39&lt;='Demand adjustments for Covid'!$F$17,DO39-DS39,0)</f>
        <v>#N/A</v>
      </c>
      <c r="DV39" s="5">
        <f ca="1">IF(AND(ROW(A36)&gt;$EE$5,ROW(A36)&lt;=$EA$5),OFFSET('Demand adjustments for Covid'!$F$35,0,ROW(A36)-'Demand background (hide)'!$EE$5,1,1),0)</f>
        <v>200</v>
      </c>
      <c r="DW39" s="5">
        <f ca="1">IF(AND(ROW(A36)&gt;$EE$5,ROW(A36)&lt;=$EA$5),OFFSET('Demand adjustments for Covid'!$F$36,0,ROW(A36)-'Demand background (hide)'!$EE$5,1,1),0)</f>
        <v>300</v>
      </c>
      <c r="DX39" s="5" t="e">
        <f t="shared" ca="1" si="11"/>
        <v>#N/A</v>
      </c>
    </row>
    <row r="40" spans="1:128" s="5" customFormat="1" x14ac:dyDescent="0.2">
      <c r="A40" s="5">
        <f t="shared" ca="1" si="32"/>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8"/>
        <v>0</v>
      </c>
      <c r="AM40" s="5">
        <f t="shared" ca="1" si="9"/>
        <v>0</v>
      </c>
      <c r="AN40" s="5" t="str">
        <f>IF(Demand!BE49="Yes","Yes","")</f>
        <v/>
      </c>
      <c r="AP40" s="36" t="str">
        <f ca="1">Demand!B49</f>
        <v xml:space="preserve"> </v>
      </c>
      <c r="AQ40" s="5" t="str">
        <f ca="1">IF(TEXT(Demand!D49,"MMM")&lt;&gt;TEXT(Demand!D48,"MMM"),TEXT(Demand!D49,"MMM"),"")</f>
        <v/>
      </c>
      <c r="AT40" s="5">
        <f t="shared" ca="1" si="12"/>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ca="1">IF(OR(AN40&lt;&gt;"",AND('Demand adjustments for Covid'!$F$9="Yes",'Demand adjustments for Covid'!$F$20="Yes")),"",SUM(CW40:DF40))</f>
        <v>0</v>
      </c>
      <c r="DM40" s="5">
        <f t="shared" si="10"/>
        <v>4</v>
      </c>
      <c r="DN40" s="317">
        <f t="shared" si="17"/>
        <v>44221</v>
      </c>
      <c r="DO40" s="5" t="e">
        <f ca="1">VLOOKUP(IF($DM40&lt;53,$DM40,52),'Summary Calculations (hide)'!$D$15:$F$67,2,0)</f>
        <v>#N/A</v>
      </c>
      <c r="DP40" s="5" t="e">
        <f ca="1">VLOOKUP(IF($DM40&lt;53,$DM40,52),'Summary Calculations (hide)'!$D$15:$F$67,3,0)</f>
        <v>#N/A</v>
      </c>
      <c r="DQ40" s="5" t="e">
        <f ca="1">IF(AND(DN40&gt;='Demand adjustments for Covid'!$F$12,DN40&lt;'Demand adjustments for Covid'!$F$17),'Demand adjustments for Covid'!$F$13,DO40)</f>
        <v>#N/A</v>
      </c>
      <c r="DR40" s="5">
        <f t="shared" si="33"/>
        <v>0</v>
      </c>
      <c r="DS40" s="5" t="e">
        <f ca="1">IF('Demand adjustments for Covid'!$F$9="Yes",IF(DR40=0,DQ40,((SUM(DR$4:DR40)-1)*$EE$8)+'Demand adjustments for Covid'!F$13),'Demand background (hide)'!DO40)</f>
        <v>#N/A</v>
      </c>
      <c r="DT40" s="5" t="e">
        <f ca="1">IF('Demand adjustments for Covid'!$F$9="Yes",IF(OR(AND(DN40&gt;='Demand adjustments for Covid'!$F$12,DN40&lt;'Demand adjustments for Covid'!$F$17),DR40=1),DS40+3,DP40),'Demand background (hide)'!DP40)</f>
        <v>#N/A</v>
      </c>
      <c r="DU40" s="5" t="e">
        <f ca="1">IF(DS40&lt;='Demand adjustments for Covid'!$F$17,DO40-DS40,0)</f>
        <v>#N/A</v>
      </c>
      <c r="DV40" s="5">
        <f ca="1">IF(AND(ROW(A37)&gt;$EE$5,ROW(A37)&lt;=$EA$5),OFFSET('Demand adjustments for Covid'!$F$35,0,ROW(A37)-'Demand background (hide)'!$EE$5,1,1),0)</f>
        <v>200</v>
      </c>
      <c r="DW40" s="5">
        <f ca="1">IF(AND(ROW(A37)&gt;$EE$5,ROW(A37)&lt;=$EA$5),OFFSET('Demand adjustments for Covid'!$F$36,0,ROW(A37)-'Demand background (hide)'!$EE$5,1,1),0)</f>
        <v>300</v>
      </c>
      <c r="DX40" s="5" t="e">
        <f t="shared" ca="1" si="11"/>
        <v>#N/A</v>
      </c>
    </row>
    <row r="41" spans="1:128" s="5" customFormat="1" x14ac:dyDescent="0.2">
      <c r="A41" s="5">
        <f t="shared" ca="1" si="32"/>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8"/>
        <v>0</v>
      </c>
      <c r="AM41" s="5">
        <f t="shared" ca="1" si="9"/>
        <v>0</v>
      </c>
      <c r="AN41" s="5" t="str">
        <f>IF(Demand!BE50="Yes","Yes","")</f>
        <v/>
      </c>
      <c r="AP41" s="36" t="str">
        <f ca="1">Demand!B50</f>
        <v xml:space="preserve"> </v>
      </c>
      <c r="AQ41" s="5" t="str">
        <f ca="1">IF(TEXT(Demand!D50,"MMM")&lt;&gt;TEXT(Demand!D49,"MMM"),TEXT(Demand!D50,"MMM"),"")</f>
        <v/>
      </c>
      <c r="AT41" s="5">
        <f t="shared" ca="1" si="12"/>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ca="1">IF(OR(AN41&lt;&gt;"",AND('Demand adjustments for Covid'!$F$9="Yes",'Demand adjustments for Covid'!$F$20="Yes")),"",SUM(CW41:DF41))</f>
        <v>0</v>
      </c>
      <c r="DM41" s="5">
        <f t="shared" si="10"/>
        <v>5</v>
      </c>
      <c r="DN41" s="317">
        <f t="shared" si="17"/>
        <v>44228</v>
      </c>
      <c r="DO41" s="5" t="e">
        <f ca="1">VLOOKUP(IF($DM41&lt;53,$DM41,52),'Summary Calculations (hide)'!$D$15:$F$67,2,0)</f>
        <v>#N/A</v>
      </c>
      <c r="DP41" s="5" t="e">
        <f ca="1">VLOOKUP(IF($DM41&lt;53,$DM41,52),'Summary Calculations (hide)'!$D$15:$F$67,3,0)</f>
        <v>#N/A</v>
      </c>
      <c r="DQ41" s="5" t="e">
        <f ca="1">IF(AND(DN41&gt;='Demand adjustments for Covid'!$F$12,DN41&lt;'Demand adjustments for Covid'!$F$17),'Demand adjustments for Covid'!$F$13,DO41)</f>
        <v>#N/A</v>
      </c>
      <c r="DR41" s="5">
        <f t="shared" si="33"/>
        <v>0</v>
      </c>
      <c r="DS41" s="5" t="e">
        <f ca="1">IF('Demand adjustments for Covid'!$F$9="Yes",IF(DR41=0,DQ41,((SUM(DR$4:DR41)-1)*$EE$8)+'Demand adjustments for Covid'!F$13),'Demand background (hide)'!DO41)</f>
        <v>#N/A</v>
      </c>
      <c r="DT41" s="5" t="e">
        <f ca="1">IF('Demand adjustments for Covid'!$F$9="Yes",IF(OR(AND(DN41&gt;='Demand adjustments for Covid'!$F$12,DN41&lt;'Demand adjustments for Covid'!$F$17),DR41=1),DS41+3,DP41),'Demand background (hide)'!DP41)</f>
        <v>#N/A</v>
      </c>
      <c r="DU41" s="5" t="e">
        <f ca="1">IF(DS41&lt;='Demand adjustments for Covid'!$F$17,DO41-DS41,0)</f>
        <v>#N/A</v>
      </c>
      <c r="DV41" s="5">
        <f ca="1">IF(AND(ROW(A38)&gt;$EE$5,ROW(A38)&lt;=$EA$5),OFFSET('Demand adjustments for Covid'!$F$35,0,ROW(A38)-'Demand background (hide)'!$EE$5,1,1),0)</f>
        <v>0</v>
      </c>
      <c r="DW41" s="5">
        <f ca="1">IF(AND(ROW(A38)&gt;$EE$5,ROW(A38)&lt;=$EA$5),OFFSET('Demand adjustments for Covid'!$F$36,0,ROW(A38)-'Demand background (hide)'!$EE$5,1,1),0)</f>
        <v>0</v>
      </c>
      <c r="DX41" s="5" t="e">
        <f t="shared" ca="1" si="11"/>
        <v>#N/A</v>
      </c>
    </row>
    <row r="42" spans="1:128" s="5" customFormat="1" x14ac:dyDescent="0.2">
      <c r="A42" s="5">
        <f t="shared" ca="1" si="32"/>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8"/>
        <v>0</v>
      </c>
      <c r="AM42" s="5">
        <f t="shared" ca="1" si="9"/>
        <v>0</v>
      </c>
      <c r="AN42" s="5" t="str">
        <f>IF(Demand!BE51="Yes","Yes","")</f>
        <v/>
      </c>
      <c r="AP42" s="36" t="str">
        <f ca="1">Demand!B51</f>
        <v xml:space="preserve"> </v>
      </c>
      <c r="AQ42" s="5" t="str">
        <f ca="1">IF(TEXT(Demand!D51,"MMM")&lt;&gt;TEXT(Demand!D50,"MMM"),TEXT(Demand!D51,"MMM"),"")</f>
        <v/>
      </c>
      <c r="AT42" s="5">
        <f t="shared" ca="1" si="12"/>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ca="1">IF(OR(AN42&lt;&gt;"",AND('Demand adjustments for Covid'!$F$9="Yes",'Demand adjustments for Covid'!$F$20="Yes")),"",SUM(CW42:DF42))</f>
        <v>0</v>
      </c>
      <c r="DM42" s="5">
        <f t="shared" si="10"/>
        <v>6</v>
      </c>
      <c r="DN42" s="317">
        <f t="shared" si="17"/>
        <v>44235</v>
      </c>
      <c r="DO42" s="5" t="e">
        <f ca="1">VLOOKUP(IF($DM42&lt;53,$DM42,52),'Summary Calculations (hide)'!$D$15:$F$67,2,0)</f>
        <v>#N/A</v>
      </c>
      <c r="DP42" s="5" t="e">
        <f ca="1">VLOOKUP(IF($DM42&lt;53,$DM42,52),'Summary Calculations (hide)'!$D$15:$F$67,3,0)</f>
        <v>#N/A</v>
      </c>
      <c r="DQ42" s="5" t="e">
        <f ca="1">IF(AND(DN42&gt;='Demand adjustments for Covid'!$F$12,DN42&lt;'Demand adjustments for Covid'!$F$17),'Demand adjustments for Covid'!$F$13,DO42)</f>
        <v>#N/A</v>
      </c>
      <c r="DR42" s="5">
        <f t="shared" si="33"/>
        <v>0</v>
      </c>
      <c r="DS42" s="5" t="e">
        <f ca="1">IF('Demand adjustments for Covid'!$F$9="Yes",IF(DR42=0,DQ42,((SUM(DR$4:DR42)-1)*$EE$8)+'Demand adjustments for Covid'!F$13),'Demand background (hide)'!DO42)</f>
        <v>#N/A</v>
      </c>
      <c r="DT42" s="5" t="e">
        <f ca="1">IF('Demand adjustments for Covid'!$F$9="Yes",IF(OR(AND(DN42&gt;='Demand adjustments for Covid'!$F$12,DN42&lt;'Demand adjustments for Covid'!$F$17),DR42=1),DS42+3,DP42),'Demand background (hide)'!DP42)</f>
        <v>#N/A</v>
      </c>
      <c r="DU42" s="5" t="e">
        <f ca="1">IF(DS42&lt;='Demand adjustments for Covid'!$F$17,DO42-DS42,0)</f>
        <v>#N/A</v>
      </c>
      <c r="DV42" s="5">
        <f ca="1">IF(AND(ROW(A39)&gt;$EE$5,ROW(A39)&lt;=$EA$5),OFFSET('Demand adjustments for Covid'!$F$35,0,ROW(A39)-'Demand background (hide)'!$EE$5,1,1),0)</f>
        <v>0</v>
      </c>
      <c r="DW42" s="5">
        <f ca="1">IF(AND(ROW(A39)&gt;$EE$5,ROW(A39)&lt;=$EA$5),OFFSET('Demand adjustments for Covid'!$F$36,0,ROW(A39)-'Demand background (hide)'!$EE$5,1,1),0)</f>
        <v>0</v>
      </c>
      <c r="DX42" s="5" t="e">
        <f t="shared" ca="1" si="11"/>
        <v>#N/A</v>
      </c>
    </row>
    <row r="43" spans="1:128" s="5" customFormat="1" x14ac:dyDescent="0.2">
      <c r="A43" s="5">
        <f t="shared" ca="1" si="32"/>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8"/>
        <v>0</v>
      </c>
      <c r="AM43" s="5">
        <f t="shared" ca="1" si="9"/>
        <v>0</v>
      </c>
      <c r="AN43" s="5" t="str">
        <f>IF(Demand!BE52="Yes","Yes","")</f>
        <v/>
      </c>
      <c r="AP43" s="36" t="str">
        <f ca="1">Demand!B52</f>
        <v xml:space="preserve"> </v>
      </c>
      <c r="AQ43" s="5" t="str">
        <f ca="1">IF(TEXT(Demand!D52,"MMM")&lt;&gt;TEXT(Demand!D51,"MMM"),TEXT(Demand!D52,"MMM"),"")</f>
        <v/>
      </c>
      <c r="AT43" s="5">
        <f t="shared" ca="1" si="12"/>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ca="1">IF(OR(AN43&lt;&gt;"",AND('Demand adjustments for Covid'!$F$9="Yes",'Demand adjustments for Covid'!$F$20="Yes")),"",SUM(CW43:DF43))</f>
        <v>0</v>
      </c>
      <c r="DM43" s="5">
        <f t="shared" si="10"/>
        <v>7</v>
      </c>
      <c r="DN43" s="317">
        <f t="shared" si="17"/>
        <v>44242</v>
      </c>
      <c r="DO43" s="5" t="e">
        <f ca="1">VLOOKUP(IF($DM43&lt;53,$DM43,52),'Summary Calculations (hide)'!$D$15:$F$67,2,0)</f>
        <v>#N/A</v>
      </c>
      <c r="DP43" s="5" t="e">
        <f ca="1">VLOOKUP(IF($DM43&lt;53,$DM43,52),'Summary Calculations (hide)'!$D$15:$F$67,3,0)</f>
        <v>#N/A</v>
      </c>
      <c r="DQ43" s="5" t="e">
        <f ca="1">IF(AND(DN43&gt;='Demand adjustments for Covid'!$F$12,DN43&lt;'Demand adjustments for Covid'!$F$17),'Demand adjustments for Covid'!$F$13,DO43)</f>
        <v>#N/A</v>
      </c>
      <c r="DR43" s="5">
        <f t="shared" si="33"/>
        <v>0</v>
      </c>
      <c r="DS43" s="5" t="e">
        <f ca="1">IF('Demand adjustments for Covid'!$F$9="Yes",IF(DR43=0,DQ43,((SUM(DR$4:DR43)-1)*$EE$8)+'Demand adjustments for Covid'!F$13),'Demand background (hide)'!DO43)</f>
        <v>#N/A</v>
      </c>
      <c r="DT43" s="5" t="e">
        <f ca="1">IF('Demand adjustments for Covid'!$F$9="Yes",IF(OR(AND(DN43&gt;='Demand adjustments for Covid'!$F$12,DN43&lt;'Demand adjustments for Covid'!$F$17),DR43=1),DS43+3,DP43),'Demand background (hide)'!DP43)</f>
        <v>#N/A</v>
      </c>
      <c r="DU43" s="5" t="e">
        <f ca="1">IF(DS43&lt;='Demand adjustments for Covid'!$F$17,DO43-DS43,0)</f>
        <v>#N/A</v>
      </c>
      <c r="DV43" s="5">
        <f ca="1">IF(AND(ROW(A40)&gt;$EE$5,ROW(A40)&lt;=$EA$5),OFFSET('Demand adjustments for Covid'!$F$35,0,ROW(A40)-'Demand background (hide)'!$EE$5,1,1),0)</f>
        <v>0</v>
      </c>
      <c r="DW43" s="5">
        <f ca="1">IF(AND(ROW(A40)&gt;$EE$5,ROW(A40)&lt;=$EA$5),OFFSET('Demand adjustments for Covid'!$F$36,0,ROW(A40)-'Demand background (hide)'!$EE$5,1,1),0)</f>
        <v>0</v>
      </c>
      <c r="DX43" s="5" t="e">
        <f t="shared" ca="1" si="11"/>
        <v>#N/A</v>
      </c>
    </row>
    <row r="44" spans="1:128" s="5" customFormat="1" x14ac:dyDescent="0.2">
      <c r="A44" s="5">
        <f t="shared" ca="1" si="32"/>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8"/>
        <v>0</v>
      </c>
      <c r="AM44" s="5">
        <f t="shared" ca="1" si="9"/>
        <v>0</v>
      </c>
      <c r="AN44" s="5" t="str">
        <f>IF(Demand!BE53="Yes","Yes","")</f>
        <v/>
      </c>
      <c r="AP44" s="36" t="str">
        <f ca="1">Demand!B53</f>
        <v xml:space="preserve"> </v>
      </c>
      <c r="AQ44" s="5" t="str">
        <f ca="1">IF(TEXT(Demand!D53,"MMM")&lt;&gt;TEXT(Demand!D52,"MMM"),TEXT(Demand!D53,"MMM"),"")</f>
        <v/>
      </c>
      <c r="AT44" s="5">
        <f t="shared" ca="1" si="12"/>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ca="1">IF(OR(AN44&lt;&gt;"",AND('Demand adjustments for Covid'!$F$9="Yes",'Demand adjustments for Covid'!$F$20="Yes")),"",SUM(CW44:DF44))</f>
        <v>0</v>
      </c>
      <c r="DM44" s="5">
        <f t="shared" si="10"/>
        <v>8</v>
      </c>
      <c r="DN44" s="317">
        <f t="shared" si="17"/>
        <v>44249</v>
      </c>
      <c r="DO44" s="5" t="e">
        <f ca="1">VLOOKUP(IF($DM44&lt;53,$DM44,52),'Summary Calculations (hide)'!$D$15:$F$67,2,0)</f>
        <v>#N/A</v>
      </c>
      <c r="DP44" s="5" t="e">
        <f ca="1">VLOOKUP(IF($DM44&lt;53,$DM44,52),'Summary Calculations (hide)'!$D$15:$F$67,3,0)</f>
        <v>#N/A</v>
      </c>
      <c r="DQ44" s="5" t="e">
        <f ca="1">IF(AND(DN44&gt;='Demand adjustments for Covid'!$F$12,DN44&lt;'Demand adjustments for Covid'!$F$17),'Demand adjustments for Covid'!$F$13,DO44)</f>
        <v>#N/A</v>
      </c>
      <c r="DR44" s="5">
        <f t="shared" si="33"/>
        <v>0</v>
      </c>
      <c r="DS44" s="5" t="e">
        <f ca="1">IF('Demand adjustments for Covid'!$F$9="Yes",IF(DR44=0,DQ44,((SUM(DR$4:DR44)-1)*$EE$8)+'Demand adjustments for Covid'!F$13),'Demand background (hide)'!DO44)</f>
        <v>#N/A</v>
      </c>
      <c r="DT44" s="5" t="e">
        <f ca="1">IF('Demand adjustments for Covid'!$F$9="Yes",IF(OR(AND(DN44&gt;='Demand adjustments for Covid'!$F$12,DN44&lt;'Demand adjustments for Covid'!$F$17),DR44=1),DS44+3,DP44),'Demand background (hide)'!DP44)</f>
        <v>#N/A</v>
      </c>
      <c r="DU44" s="5" t="e">
        <f ca="1">IF(DS44&lt;='Demand adjustments for Covid'!$F$17,DO44-DS44,0)</f>
        <v>#N/A</v>
      </c>
      <c r="DV44" s="5">
        <f ca="1">IF(AND(ROW(A41)&gt;$EE$5,ROW(A41)&lt;=$EA$5),OFFSET('Demand adjustments for Covid'!$F$35,0,ROW(A41)-'Demand background (hide)'!$EE$5,1,1),0)</f>
        <v>0</v>
      </c>
      <c r="DW44" s="5">
        <f ca="1">IF(AND(ROW(A41)&gt;$EE$5,ROW(A41)&lt;=$EA$5),OFFSET('Demand adjustments for Covid'!$F$36,0,ROW(A41)-'Demand background (hide)'!$EE$5,1,1),0)</f>
        <v>0</v>
      </c>
      <c r="DX44" s="5" t="e">
        <f t="shared" ca="1" si="11"/>
        <v>#N/A</v>
      </c>
    </row>
    <row r="45" spans="1:128" s="5" customFormat="1" x14ac:dyDescent="0.2">
      <c r="A45" s="5">
        <f t="shared" ca="1" si="32"/>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8"/>
        <v>0</v>
      </c>
      <c r="AM45" s="5">
        <f t="shared" ca="1" si="9"/>
        <v>0</v>
      </c>
      <c r="AN45" s="5" t="str">
        <f>IF(Demand!BE54="Yes","Yes","")</f>
        <v/>
      </c>
      <c r="AP45" s="36" t="str">
        <f ca="1">Demand!B54</f>
        <v xml:space="preserve"> </v>
      </c>
      <c r="AQ45" s="5" t="str">
        <f ca="1">IF(TEXT(Demand!D54,"MMM")&lt;&gt;TEXT(Demand!D53,"MMM"),TEXT(Demand!D54,"MMM"),"")</f>
        <v/>
      </c>
      <c r="AT45" s="5">
        <f t="shared" ca="1" si="12"/>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ca="1">IF(OR(AN45&lt;&gt;"",AND('Demand adjustments for Covid'!$F$9="Yes",'Demand adjustments for Covid'!$F$20="Yes")),"",SUM(CW45:DF45))</f>
        <v>0</v>
      </c>
      <c r="DM45" s="5">
        <f t="shared" si="10"/>
        <v>9</v>
      </c>
      <c r="DN45" s="317">
        <f t="shared" si="17"/>
        <v>44256</v>
      </c>
      <c r="DO45" s="5" t="e">
        <f ca="1">VLOOKUP(IF($DM45&lt;53,$DM45,52),'Summary Calculations (hide)'!$D$15:$F$67,2,0)</f>
        <v>#N/A</v>
      </c>
      <c r="DP45" s="5" t="e">
        <f ca="1">VLOOKUP(IF($DM45&lt;53,$DM45,52),'Summary Calculations (hide)'!$D$15:$F$67,3,0)</f>
        <v>#N/A</v>
      </c>
      <c r="DQ45" s="5" t="e">
        <f ca="1">IF(AND(DN45&gt;='Demand adjustments for Covid'!$F$12,DN45&lt;'Demand adjustments for Covid'!$F$17),'Demand adjustments for Covid'!$F$13,DO45)</f>
        <v>#N/A</v>
      </c>
      <c r="DR45" s="5">
        <f t="shared" si="33"/>
        <v>0</v>
      </c>
      <c r="DS45" s="5" t="e">
        <f ca="1">IF('Demand adjustments for Covid'!$F$9="Yes",IF(DR45=0,DQ45,((SUM(DR$4:DR45)-1)*$EE$8)+'Demand adjustments for Covid'!F$13),'Demand background (hide)'!DO45)</f>
        <v>#N/A</v>
      </c>
      <c r="DT45" s="5" t="e">
        <f ca="1">IF('Demand adjustments for Covid'!$F$9="Yes",IF(OR(AND(DN45&gt;='Demand adjustments for Covid'!$F$12,DN45&lt;'Demand adjustments for Covid'!$F$17),DR45=1),DS45+3,DP45),'Demand background (hide)'!DP45)</f>
        <v>#N/A</v>
      </c>
      <c r="DU45" s="5" t="e">
        <f ca="1">IF(DS45&lt;='Demand adjustments for Covid'!$F$17,DO45-DS45,0)</f>
        <v>#N/A</v>
      </c>
      <c r="DV45" s="5">
        <f ca="1">IF(AND(ROW(A42)&gt;$EE$5,ROW(A42)&lt;=$EA$5),OFFSET('Demand adjustments for Covid'!$F$35,0,ROW(A42)-'Demand background (hide)'!$EE$5,1,1),0)</f>
        <v>0</v>
      </c>
      <c r="DW45" s="5">
        <f ca="1">IF(AND(ROW(A42)&gt;$EE$5,ROW(A42)&lt;=$EA$5),OFFSET('Demand adjustments for Covid'!$F$36,0,ROW(A42)-'Demand background (hide)'!$EE$5,1,1),0)</f>
        <v>0</v>
      </c>
      <c r="DX45" s="5" t="e">
        <f t="shared" ca="1" si="11"/>
        <v>#N/A</v>
      </c>
    </row>
    <row r="46" spans="1:128" s="5" customFormat="1" x14ac:dyDescent="0.2">
      <c r="A46" s="5">
        <f t="shared" ca="1" si="32"/>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8"/>
        <v>0</v>
      </c>
      <c r="AM46" s="5">
        <f t="shared" ca="1" si="9"/>
        <v>0</v>
      </c>
      <c r="AN46" s="5" t="str">
        <f>IF(Demand!BE55="Yes","Yes","")</f>
        <v/>
      </c>
      <c r="AP46" s="36" t="str">
        <f ca="1">Demand!B55</f>
        <v xml:space="preserve"> </v>
      </c>
      <c r="AQ46" s="5" t="str">
        <f ca="1">IF(TEXT(Demand!D55,"MMM")&lt;&gt;TEXT(Demand!D54,"MMM"),TEXT(Demand!D55,"MMM"),"")</f>
        <v/>
      </c>
      <c r="AT46" s="5">
        <f t="shared" ca="1" si="12"/>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ca="1">IF(OR(AN46&lt;&gt;"",AND('Demand adjustments for Covid'!$F$9="Yes",'Demand adjustments for Covid'!$F$20="Yes")),"",SUM(CW46:DF46))</f>
        <v>0</v>
      </c>
      <c r="DM46" s="5">
        <f t="shared" si="10"/>
        <v>10</v>
      </c>
      <c r="DN46" s="317">
        <f t="shared" si="17"/>
        <v>44263</v>
      </c>
      <c r="DO46" s="5" t="e">
        <f ca="1">VLOOKUP(IF($DM46&lt;53,$DM46,52),'Summary Calculations (hide)'!$D$15:$F$67,2,0)</f>
        <v>#N/A</v>
      </c>
      <c r="DP46" s="5" t="e">
        <f ca="1">VLOOKUP(IF($DM46&lt;53,$DM46,52),'Summary Calculations (hide)'!$D$15:$F$67,3,0)</f>
        <v>#N/A</v>
      </c>
      <c r="DQ46" s="5" t="e">
        <f ca="1">IF(AND(DN46&gt;='Demand adjustments for Covid'!$F$12,DN46&lt;'Demand adjustments for Covid'!$F$17),'Demand adjustments for Covid'!$F$13,DO46)</f>
        <v>#N/A</v>
      </c>
      <c r="DR46" s="5">
        <f t="shared" si="33"/>
        <v>0</v>
      </c>
      <c r="DS46" s="5" t="e">
        <f ca="1">IF('Demand adjustments for Covid'!$F$9="Yes",IF(DR46=0,DQ46,((SUM(DR$4:DR46)-1)*$EE$8)+'Demand adjustments for Covid'!F$13),'Demand background (hide)'!DO46)</f>
        <v>#N/A</v>
      </c>
      <c r="DT46" s="5" t="e">
        <f ca="1">IF('Demand adjustments for Covid'!$F$9="Yes",IF(OR(AND(DN46&gt;='Demand adjustments for Covid'!$F$12,DN46&lt;'Demand adjustments for Covid'!$F$17),DR46=1),DS46+3,DP46),'Demand background (hide)'!DP46)</f>
        <v>#N/A</v>
      </c>
      <c r="DU46" s="5" t="e">
        <f ca="1">IF(DS46&lt;='Demand adjustments for Covid'!$F$17,DO46-DS46,0)</f>
        <v>#N/A</v>
      </c>
      <c r="DV46" s="5">
        <f ca="1">IF(AND(ROW(A43)&gt;$EE$5,ROW(A43)&lt;=$EA$5),OFFSET('Demand adjustments for Covid'!$F$35,0,ROW(A43)-'Demand background (hide)'!$EE$5,1,1),0)</f>
        <v>0</v>
      </c>
      <c r="DW46" s="5">
        <f ca="1">IF(AND(ROW(A43)&gt;$EE$5,ROW(A43)&lt;=$EA$5),OFFSET('Demand adjustments for Covid'!$F$36,0,ROW(A43)-'Demand background (hide)'!$EE$5,1,1),0)</f>
        <v>0</v>
      </c>
      <c r="DX46" s="5" t="e">
        <f t="shared" ca="1" si="11"/>
        <v>#N/A</v>
      </c>
    </row>
    <row r="47" spans="1:128" s="5" customFormat="1" x14ac:dyDescent="0.2">
      <c r="A47" s="5">
        <f t="shared" ca="1" si="32"/>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8"/>
        <v>0</v>
      </c>
      <c r="AM47" s="5">
        <f t="shared" ca="1" si="9"/>
        <v>0</v>
      </c>
      <c r="AN47" s="5" t="str">
        <f>IF(Demand!BE56="Yes","Yes","")</f>
        <v/>
      </c>
      <c r="AP47" s="36" t="str">
        <f ca="1">Demand!B56</f>
        <v xml:space="preserve"> </v>
      </c>
      <c r="AQ47" s="5" t="str">
        <f ca="1">IF(TEXT(Demand!D56,"MMM")&lt;&gt;TEXT(Demand!D55,"MMM"),TEXT(Demand!D56,"MMM"),"")</f>
        <v/>
      </c>
      <c r="AT47" s="5">
        <f t="shared" ca="1" si="12"/>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ca="1">IF(OR(AN47&lt;&gt;"",AND('Demand adjustments for Covid'!$F$9="Yes",'Demand adjustments for Covid'!$F$20="Yes")),"",SUM(CW47:DF47))</f>
        <v>0</v>
      </c>
      <c r="DM47" s="5">
        <f t="shared" si="10"/>
        <v>11</v>
      </c>
      <c r="DN47" s="317">
        <f t="shared" si="17"/>
        <v>44270</v>
      </c>
      <c r="DO47" s="5" t="e">
        <f ca="1">VLOOKUP(IF($DM47&lt;53,$DM47,52),'Summary Calculations (hide)'!$D$15:$F$67,2,0)</f>
        <v>#N/A</v>
      </c>
      <c r="DP47" s="5" t="e">
        <f ca="1">VLOOKUP(IF($DM47&lt;53,$DM47,52),'Summary Calculations (hide)'!$D$15:$F$67,3,0)</f>
        <v>#N/A</v>
      </c>
      <c r="DQ47" s="5" t="e">
        <f ca="1">IF(AND(DN47&gt;='Demand adjustments for Covid'!$F$12,DN47&lt;'Demand adjustments for Covid'!$F$17),'Demand adjustments for Covid'!$F$13,DO47)</f>
        <v>#N/A</v>
      </c>
      <c r="DR47" s="5">
        <f t="shared" si="33"/>
        <v>0</v>
      </c>
      <c r="DS47" s="5" t="e">
        <f ca="1">IF('Demand adjustments for Covid'!$F$9="Yes",IF(DR47=0,DQ47,((SUM(DR$4:DR47)-1)*$EE$8)+'Demand adjustments for Covid'!F$13),'Demand background (hide)'!DO47)</f>
        <v>#N/A</v>
      </c>
      <c r="DT47" s="5" t="e">
        <f ca="1">IF('Demand adjustments for Covid'!$F$9="Yes",IF(OR(AND(DN47&gt;='Demand adjustments for Covid'!$F$12,DN47&lt;'Demand adjustments for Covid'!$F$17),DR47=1),DS47+3,DP47),'Demand background (hide)'!DP47)</f>
        <v>#N/A</v>
      </c>
      <c r="DU47" s="5" t="e">
        <f ca="1">IF(DS47&lt;='Demand adjustments for Covid'!$F$17,DO47-DS47,0)</f>
        <v>#N/A</v>
      </c>
      <c r="DV47" s="5">
        <f ca="1">IF(AND(ROW(A44)&gt;$EE$5,ROW(A44)&lt;=$EA$5),OFFSET('Demand adjustments for Covid'!$F$35,0,ROW(A44)-'Demand background (hide)'!$EE$5,1,1),0)</f>
        <v>0</v>
      </c>
      <c r="DW47" s="5">
        <f ca="1">IF(AND(ROW(A44)&gt;$EE$5,ROW(A44)&lt;=$EA$5),OFFSET('Demand adjustments for Covid'!$F$36,0,ROW(A44)-'Demand background (hide)'!$EE$5,1,1),0)</f>
        <v>0</v>
      </c>
      <c r="DX47" s="5" t="e">
        <f t="shared" ca="1" si="11"/>
        <v>#N/A</v>
      </c>
    </row>
    <row r="48" spans="1:128" s="5" customFormat="1" x14ac:dyDescent="0.2">
      <c r="A48" s="5">
        <f t="shared" ca="1" si="32"/>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8"/>
        <v>0</v>
      </c>
      <c r="AM48" s="5">
        <f t="shared" ca="1" si="9"/>
        <v>0</v>
      </c>
      <c r="AN48" s="5" t="str">
        <f>IF(Demand!BE57="Yes","Yes","")</f>
        <v/>
      </c>
      <c r="AP48" s="36" t="str">
        <f ca="1">Demand!B57</f>
        <v xml:space="preserve"> </v>
      </c>
      <c r="AQ48" s="5" t="str">
        <f ca="1">IF(TEXT(Demand!D57,"MMM")&lt;&gt;TEXT(Demand!D56,"MMM"),TEXT(Demand!D57,"MMM"),"")</f>
        <v/>
      </c>
      <c r="AT48" s="5">
        <f t="shared" ca="1" si="12"/>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ca="1">IF(OR(AN48&lt;&gt;"",AND('Demand adjustments for Covid'!$F$9="Yes",'Demand adjustments for Covid'!$F$20="Yes")),"",SUM(CW48:DF48))</f>
        <v>0</v>
      </c>
      <c r="DM48" s="5">
        <f t="shared" si="10"/>
        <v>12</v>
      </c>
      <c r="DN48" s="317">
        <f t="shared" si="17"/>
        <v>44277</v>
      </c>
      <c r="DO48" s="5" t="e">
        <f ca="1">VLOOKUP(IF($DM48&lt;53,$DM48,52),'Summary Calculations (hide)'!$D$15:$F$67,2,0)</f>
        <v>#N/A</v>
      </c>
      <c r="DP48" s="5" t="e">
        <f ca="1">VLOOKUP(IF($DM48&lt;53,$DM48,52),'Summary Calculations (hide)'!$D$15:$F$67,3,0)</f>
        <v>#N/A</v>
      </c>
      <c r="DQ48" s="5" t="e">
        <f ca="1">IF(AND(DN48&gt;='Demand adjustments for Covid'!$F$12,DN48&lt;'Demand adjustments for Covid'!$F$17),'Demand adjustments for Covid'!$F$13,DO48)</f>
        <v>#N/A</v>
      </c>
      <c r="DR48" s="5">
        <f t="shared" si="33"/>
        <v>0</v>
      </c>
      <c r="DS48" s="5" t="e">
        <f ca="1">IF('Demand adjustments for Covid'!$F$9="Yes",IF(DR48=0,DQ48,((SUM(DR$4:DR48)-1)*$EE$8)+'Demand adjustments for Covid'!F$13),'Demand background (hide)'!DO48)</f>
        <v>#N/A</v>
      </c>
      <c r="DT48" s="5" t="e">
        <f ca="1">IF('Demand adjustments for Covid'!$F$9="Yes",IF(OR(AND(DN48&gt;='Demand adjustments for Covid'!$F$12,DN48&lt;'Demand adjustments for Covid'!$F$17),DR48=1),DS48+3,DP48),'Demand background (hide)'!DP48)</f>
        <v>#N/A</v>
      </c>
      <c r="DU48" s="5" t="e">
        <f ca="1">IF(DS48&lt;='Demand adjustments for Covid'!$F$17,DO48-DS48,0)</f>
        <v>#N/A</v>
      </c>
      <c r="DV48" s="5">
        <f ca="1">IF(AND(ROW(A45)&gt;$EE$5,ROW(A45)&lt;=$EA$5),OFFSET('Demand adjustments for Covid'!$F$35,0,ROW(A45)-'Demand background (hide)'!$EE$5,1,1),0)</f>
        <v>0</v>
      </c>
      <c r="DW48" s="5">
        <f ca="1">IF(AND(ROW(A45)&gt;$EE$5,ROW(A45)&lt;=$EA$5),OFFSET('Demand adjustments for Covid'!$F$36,0,ROW(A45)-'Demand background (hide)'!$EE$5,1,1),0)</f>
        <v>0</v>
      </c>
      <c r="DX48" s="5" t="e">
        <f t="shared" ca="1" si="11"/>
        <v>#N/A</v>
      </c>
    </row>
    <row r="49" spans="1:132" s="5" customFormat="1" x14ac:dyDescent="0.2">
      <c r="A49" s="5">
        <f t="shared" ca="1" si="32"/>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8"/>
        <v>0</v>
      </c>
      <c r="AM49" s="5">
        <f t="shared" ca="1" si="9"/>
        <v>0</v>
      </c>
      <c r="AN49" s="5" t="str">
        <f>IF(Demand!BE58="Yes","Yes","")</f>
        <v/>
      </c>
      <c r="AP49" s="36" t="str">
        <f ca="1">Demand!B58</f>
        <v xml:space="preserve"> </v>
      </c>
      <c r="AQ49" s="5" t="str">
        <f ca="1">IF(TEXT(Demand!D58,"MMM")&lt;&gt;TEXT(Demand!D57,"MMM"),TEXT(Demand!D58,"MMM"),"")</f>
        <v/>
      </c>
      <c r="AT49" s="5">
        <f t="shared" ca="1" si="12"/>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ca="1">IF(OR(AN49&lt;&gt;"",AND('Demand adjustments for Covid'!$F$9="Yes",'Demand adjustments for Covid'!$F$20="Yes")),"",SUM(CW49:DF49))</f>
        <v>0</v>
      </c>
      <c r="DM49" s="5">
        <f t="shared" si="10"/>
        <v>13</v>
      </c>
      <c r="DN49" s="317">
        <f t="shared" si="17"/>
        <v>44284</v>
      </c>
      <c r="DO49" s="5" t="e">
        <f ca="1">VLOOKUP(IF($DM49&lt;53,$DM49,52),'Summary Calculations (hide)'!$D$15:$F$67,2,0)</f>
        <v>#N/A</v>
      </c>
      <c r="DP49" s="5" t="e">
        <f ca="1">VLOOKUP(IF($DM49&lt;53,$DM49,52),'Summary Calculations (hide)'!$D$15:$F$67,3,0)</f>
        <v>#N/A</v>
      </c>
      <c r="DQ49" s="5" t="e">
        <f ca="1">IF(AND(DN49&gt;='Demand adjustments for Covid'!$F$12,DN49&lt;'Demand adjustments for Covid'!$F$17),'Demand adjustments for Covid'!$F$13,DO49)</f>
        <v>#N/A</v>
      </c>
      <c r="DR49" s="5">
        <f t="shared" si="33"/>
        <v>0</v>
      </c>
      <c r="DS49" s="5" t="e">
        <f ca="1">IF('Demand adjustments for Covid'!$F$9="Yes",IF(DR49=0,DQ49,((SUM(DR$4:DR49)-1)*$EE$8)+'Demand adjustments for Covid'!F$13),'Demand background (hide)'!DO49)</f>
        <v>#N/A</v>
      </c>
      <c r="DT49" s="5" t="e">
        <f ca="1">IF('Demand adjustments for Covid'!$F$9="Yes",IF(OR(AND(DN49&gt;='Demand adjustments for Covid'!$F$12,DN49&lt;'Demand adjustments for Covid'!$F$17),DR49=1),DS49+3,DP49),'Demand background (hide)'!DP49)</f>
        <v>#N/A</v>
      </c>
      <c r="DU49" s="5" t="e">
        <f ca="1">IF(DS49&lt;='Demand adjustments for Covid'!$F$17,DO49-DS49,0)</f>
        <v>#N/A</v>
      </c>
      <c r="DV49" s="5">
        <f ca="1">IF(AND(ROW(A46)&gt;$EE$5,ROW(A46)&lt;=$EA$5),OFFSET('Demand adjustments for Covid'!$F$35,0,ROW(A46)-'Demand background (hide)'!$EE$5,1,1),0)</f>
        <v>0</v>
      </c>
      <c r="DW49" s="5">
        <f ca="1">IF(AND(ROW(A46)&gt;$EE$5,ROW(A46)&lt;=$EA$5),OFFSET('Demand adjustments for Covid'!$F$36,0,ROW(A46)-'Demand background (hide)'!$EE$5,1,1),0)</f>
        <v>0</v>
      </c>
      <c r="DX49" s="5" t="e">
        <f t="shared" ca="1" si="11"/>
        <v>#N/A</v>
      </c>
    </row>
    <row r="50" spans="1:132" s="5" customFormat="1" x14ac:dyDescent="0.2">
      <c r="A50" s="5">
        <f t="shared" ca="1" si="32"/>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8"/>
        <v>0</v>
      </c>
      <c r="AM50" s="5">
        <f t="shared" ca="1" si="9"/>
        <v>0</v>
      </c>
      <c r="AN50" s="5" t="str">
        <f>IF(Demand!BE59="Yes","Yes","")</f>
        <v/>
      </c>
      <c r="AP50" s="36" t="str">
        <f ca="1">Demand!B59</f>
        <v xml:space="preserve"> </v>
      </c>
      <c r="AQ50" s="5" t="str">
        <f ca="1">IF(TEXT(Demand!D59,"MMM")&lt;&gt;TEXT(Demand!D58,"MMM"),TEXT(Demand!D59,"MMM"),"")</f>
        <v/>
      </c>
      <c r="AT50" s="5">
        <f t="shared" ca="1" si="12"/>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ca="1">IF(OR(AN50&lt;&gt;"",AND('Demand adjustments for Covid'!$F$9="Yes",'Demand adjustments for Covid'!$F$20="Yes")),"",SUM(CW50:DF50))</f>
        <v>0</v>
      </c>
      <c r="DM50" s="5">
        <f t="shared" si="10"/>
        <v>14</v>
      </c>
      <c r="DN50" s="317">
        <f t="shared" si="17"/>
        <v>44291</v>
      </c>
      <c r="DO50" s="5" t="e">
        <f ca="1">VLOOKUP(IF($DM50&lt;53,$DM50,52),'Summary Calculations (hide)'!$D$15:$F$67,2,0)</f>
        <v>#N/A</v>
      </c>
      <c r="DP50" s="5" t="e">
        <f ca="1">VLOOKUP(IF($DM50&lt;53,$DM50,52),'Summary Calculations (hide)'!$D$15:$F$67,3,0)</f>
        <v>#N/A</v>
      </c>
      <c r="DQ50" s="5" t="e">
        <f ca="1">IF(AND(DN50&gt;='Demand adjustments for Covid'!$F$12,DN50&lt;'Demand adjustments for Covid'!$F$17),'Demand adjustments for Covid'!$F$13,DO50)</f>
        <v>#N/A</v>
      </c>
      <c r="DR50" s="5">
        <f t="shared" si="33"/>
        <v>0</v>
      </c>
      <c r="DS50" s="5" t="e">
        <f ca="1">IF('Demand adjustments for Covid'!$F$9="Yes",IF(DR50=0,DQ50,((SUM(DR$4:DR50)-1)*$EE$8)+'Demand adjustments for Covid'!F$13),'Demand background (hide)'!DO50)</f>
        <v>#N/A</v>
      </c>
      <c r="DT50" s="5" t="e">
        <f ca="1">IF('Demand adjustments for Covid'!$F$9="Yes",IF(OR(AND(DN50&gt;='Demand adjustments for Covid'!$F$12,DN50&lt;'Demand adjustments for Covid'!$F$17),DR50=1),DS50+3,DP50),'Demand background (hide)'!DP50)</f>
        <v>#N/A</v>
      </c>
      <c r="DU50" s="5" t="e">
        <f ca="1">IF(DS50&lt;='Demand adjustments for Covid'!$F$17,DO50-DS50,0)</f>
        <v>#N/A</v>
      </c>
      <c r="DV50" s="5">
        <f ca="1">IF(AND(ROW(A47)&gt;$EE$5,ROW(A47)&lt;=$EA$5),OFFSET('Demand adjustments for Covid'!$F$35,0,ROW(A47)-'Demand background (hide)'!$EE$5,1,1),0)</f>
        <v>0</v>
      </c>
      <c r="DW50" s="5">
        <f ca="1">IF(AND(ROW(A47)&gt;$EE$5,ROW(A47)&lt;=$EA$5),OFFSET('Demand adjustments for Covid'!$F$36,0,ROW(A47)-'Demand background (hide)'!$EE$5,1,1),0)</f>
        <v>0</v>
      </c>
      <c r="DX50" s="5" t="e">
        <f t="shared" ca="1" si="11"/>
        <v>#N/A</v>
      </c>
    </row>
    <row r="51" spans="1:132" s="5" customFormat="1" x14ac:dyDescent="0.2">
      <c r="A51" s="5">
        <f t="shared" ca="1" si="32"/>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8"/>
        <v>0</v>
      </c>
      <c r="AM51" s="5">
        <f t="shared" ca="1" si="9"/>
        <v>0</v>
      </c>
      <c r="AN51" s="5" t="str">
        <f>IF(Demand!BE60="Yes","Yes","")</f>
        <v/>
      </c>
      <c r="AP51" s="36" t="str">
        <f ca="1">Demand!B60</f>
        <v xml:space="preserve"> </v>
      </c>
      <c r="AQ51" s="5" t="str">
        <f ca="1">IF(TEXT(Demand!D60,"MMM")&lt;&gt;TEXT(Demand!D59,"MMM"),TEXT(Demand!D60,"MMM"),"")</f>
        <v/>
      </c>
      <c r="AT51" s="5">
        <f t="shared" ca="1" si="12"/>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ca="1">IF(OR(AN51&lt;&gt;"",AND('Demand adjustments for Covid'!$F$9="Yes",'Demand adjustments for Covid'!$F$20="Yes")),"",SUM(CW51:DF51))</f>
        <v>0</v>
      </c>
      <c r="DM51" s="5">
        <f t="shared" si="10"/>
        <v>15</v>
      </c>
      <c r="DN51" s="317">
        <f t="shared" si="17"/>
        <v>44298</v>
      </c>
      <c r="DO51" s="5" t="e">
        <f ca="1">VLOOKUP(IF($DM51&lt;53,$DM51,52),'Summary Calculations (hide)'!$D$15:$F$67,2,0)</f>
        <v>#N/A</v>
      </c>
      <c r="DP51" s="5" t="e">
        <f ca="1">VLOOKUP(IF($DM51&lt;53,$DM51,52),'Summary Calculations (hide)'!$D$15:$F$67,3,0)</f>
        <v>#N/A</v>
      </c>
      <c r="DQ51" s="5" t="e">
        <f ca="1">IF(AND(DN51&gt;='Demand adjustments for Covid'!$F$12,DN51&lt;'Demand adjustments for Covid'!$F$17),'Demand adjustments for Covid'!$F$13,DO51)</f>
        <v>#N/A</v>
      </c>
      <c r="DR51" s="5">
        <f t="shared" si="33"/>
        <v>0</v>
      </c>
      <c r="DS51" s="5" t="e">
        <f ca="1">IF('Demand adjustments for Covid'!$F$9="Yes",IF(DR51=0,DQ51,((SUM(DR$4:DR51)-1)*$EE$8)+'Demand adjustments for Covid'!F$13),'Demand background (hide)'!DO51)</f>
        <v>#N/A</v>
      </c>
      <c r="DT51" s="5" t="e">
        <f ca="1">IF('Demand adjustments for Covid'!$F$9="Yes",IF(OR(AND(DN51&gt;='Demand adjustments for Covid'!$F$12,DN51&lt;'Demand adjustments for Covid'!$F$17),DR51=1),DS51+3,DP51),'Demand background (hide)'!DP51)</f>
        <v>#N/A</v>
      </c>
      <c r="DU51" s="5" t="e">
        <f ca="1">IF(DS51&lt;='Demand adjustments for Covid'!$F$17,DO51-DS51,0)</f>
        <v>#N/A</v>
      </c>
      <c r="DV51" s="5">
        <f ca="1">IF(AND(ROW(A48)&gt;$EE$5,ROW(A48)&lt;=$EA$5),OFFSET('Demand adjustments for Covid'!$F$35,0,ROW(A48)-'Demand background (hide)'!$EE$5,1,1),0)</f>
        <v>0</v>
      </c>
      <c r="DW51" s="5">
        <f ca="1">IF(AND(ROW(A48)&gt;$EE$5,ROW(A48)&lt;=$EA$5),OFFSET('Demand adjustments for Covid'!$F$36,0,ROW(A48)-'Demand background (hide)'!$EE$5,1,1),0)</f>
        <v>0</v>
      </c>
      <c r="DX51" s="5" t="e">
        <f t="shared" ca="1" si="11"/>
        <v>#N/A</v>
      </c>
    </row>
    <row r="52" spans="1:132" s="5" customFormat="1" x14ac:dyDescent="0.2">
      <c r="A52" s="5">
        <f t="shared" ca="1" si="32"/>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8"/>
        <v>0</v>
      </c>
      <c r="AM52" s="5">
        <f t="shared" ca="1" si="9"/>
        <v>0</v>
      </c>
      <c r="AN52" s="5" t="str">
        <f>IF(Demand!BE61="Yes","Yes","")</f>
        <v/>
      </c>
      <c r="AP52" s="36" t="str">
        <f ca="1">Demand!B61</f>
        <v xml:space="preserve"> </v>
      </c>
      <c r="AQ52" s="5" t="str">
        <f ca="1">IF(TEXT(Demand!D61,"MMM")&lt;&gt;TEXT(Demand!D60,"MMM"),TEXT(Demand!D61,"MMM"),"")</f>
        <v/>
      </c>
      <c r="AT52" s="5">
        <f t="shared" ca="1" si="12"/>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ca="1">IF(OR(AN52&lt;&gt;"",AND('Demand adjustments for Covid'!$F$9="Yes",'Demand adjustments for Covid'!$F$20="Yes")),"",SUM(CW52:DF52))</f>
        <v>0</v>
      </c>
      <c r="DM52" s="5">
        <f t="shared" si="10"/>
        <v>16</v>
      </c>
      <c r="DN52" s="317">
        <f t="shared" si="17"/>
        <v>44305</v>
      </c>
      <c r="DO52" s="5" t="e">
        <f ca="1">VLOOKUP(IF($DM52&lt;53,$DM52,52),'Summary Calculations (hide)'!$D$15:$F$67,2,0)</f>
        <v>#N/A</v>
      </c>
      <c r="DP52" s="5" t="e">
        <f ca="1">VLOOKUP(IF($DM52&lt;53,$DM52,52),'Summary Calculations (hide)'!$D$15:$F$67,3,0)</f>
        <v>#N/A</v>
      </c>
      <c r="DQ52" s="5" t="e">
        <f ca="1">IF(AND(DN52&gt;='Demand adjustments for Covid'!$F$12,DN52&lt;'Demand adjustments for Covid'!$F$17),'Demand adjustments for Covid'!$F$13,DO52)</f>
        <v>#N/A</v>
      </c>
      <c r="DR52" s="5">
        <f t="shared" si="33"/>
        <v>0</v>
      </c>
      <c r="DS52" s="5" t="e">
        <f ca="1">IF('Demand adjustments for Covid'!$F$9="Yes",IF(DR52=0,DQ52,((SUM(DR$4:DR52)-1)*$EE$8)+'Demand adjustments for Covid'!F$13),'Demand background (hide)'!DO52)</f>
        <v>#N/A</v>
      </c>
      <c r="DT52" s="5" t="e">
        <f ca="1">IF('Demand adjustments for Covid'!$F$9="Yes",IF(OR(AND(DN52&gt;='Demand adjustments for Covid'!$F$12,DN52&lt;'Demand adjustments for Covid'!$F$17),DR52=1),DS52+3,DP52),'Demand background (hide)'!DP52)</f>
        <v>#N/A</v>
      </c>
      <c r="DU52" s="5" t="e">
        <f ca="1">IF(DS52&lt;='Demand adjustments for Covid'!$F$17,DO52-DS52,0)</f>
        <v>#N/A</v>
      </c>
      <c r="DV52" s="5">
        <f ca="1">IF(AND(ROW(A49)&gt;$EE$5,ROW(A49)&lt;=$EA$5),OFFSET('Demand adjustments for Covid'!$F$35,0,ROW(A49)-'Demand background (hide)'!$EE$5,1,1),0)</f>
        <v>0</v>
      </c>
      <c r="DW52" s="5">
        <f ca="1">IF(AND(ROW(A49)&gt;$EE$5,ROW(A49)&lt;=$EA$5),OFFSET('Demand adjustments for Covid'!$F$36,0,ROW(A49)-'Demand background (hide)'!$EE$5,1,1),0)</f>
        <v>0</v>
      </c>
      <c r="DX52" s="5" t="e">
        <f t="shared" ca="1" si="11"/>
        <v>#N/A</v>
      </c>
    </row>
    <row r="53" spans="1:132" s="5" customFormat="1" x14ac:dyDescent="0.2">
      <c r="A53" s="5">
        <f t="shared" ca="1" si="32"/>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8"/>
        <v>0</v>
      </c>
      <c r="AM53" s="5">
        <f t="shared" ca="1" si="9"/>
        <v>0</v>
      </c>
      <c r="AN53" s="5" t="str">
        <f>IF(Demand!BE62="Yes","Yes","")</f>
        <v/>
      </c>
      <c r="AP53" s="36" t="str">
        <f ca="1">Demand!B62</f>
        <v xml:space="preserve"> </v>
      </c>
      <c r="AQ53" s="5" t="str">
        <f ca="1">IF(TEXT(Demand!D62,"MMM")&lt;&gt;TEXT(Demand!D61,"MMM"),TEXT(Demand!D62,"MMM"),"")</f>
        <v/>
      </c>
      <c r="AT53" s="5">
        <f t="shared" ca="1" si="12"/>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ca="1">IF(OR(AN53&lt;&gt;"",AND('Demand adjustments for Covid'!$F$9="Yes",'Demand adjustments for Covid'!$F$20="Yes")),"",SUM(CW53:DF53))</f>
        <v>0</v>
      </c>
      <c r="DM53" s="5">
        <f t="shared" si="10"/>
        <v>17</v>
      </c>
      <c r="DN53" s="317">
        <f t="shared" si="17"/>
        <v>44312</v>
      </c>
      <c r="DO53" s="5" t="e">
        <f ca="1">VLOOKUP(IF($DM53&lt;53,$DM53,52),'Summary Calculations (hide)'!$D$15:$F$67,2,0)</f>
        <v>#N/A</v>
      </c>
      <c r="DP53" s="5" t="e">
        <f ca="1">VLOOKUP(IF($DM53&lt;53,$DM53,52),'Summary Calculations (hide)'!$D$15:$F$67,3,0)</f>
        <v>#N/A</v>
      </c>
      <c r="DQ53" s="5" t="e">
        <f ca="1">IF(AND(DN53&gt;='Demand adjustments for Covid'!$F$12,DN53&lt;'Demand adjustments for Covid'!$F$17),'Demand adjustments for Covid'!$F$13,DO53)</f>
        <v>#N/A</v>
      </c>
      <c r="DR53" s="5">
        <f t="shared" si="33"/>
        <v>0</v>
      </c>
      <c r="DS53" s="5" t="e">
        <f ca="1">IF('Demand adjustments for Covid'!$F$9="Yes",IF(DR53=0,DQ53,((SUM(DR$4:DR53)-1)*$EE$8)+'Demand adjustments for Covid'!F$13),'Demand background (hide)'!DO53)</f>
        <v>#N/A</v>
      </c>
      <c r="DT53" s="5" t="e">
        <f ca="1">IF('Demand adjustments for Covid'!$F$9="Yes",IF(OR(AND(DN53&gt;='Demand adjustments for Covid'!$F$12,DN53&lt;'Demand adjustments for Covid'!$F$17),DR53=1),DS53+3,DP53),'Demand background (hide)'!DP53)</f>
        <v>#N/A</v>
      </c>
      <c r="DU53" s="5" t="e">
        <f ca="1">IF(DS53&lt;='Demand adjustments for Covid'!$F$17,DO53-DS53,0)</f>
        <v>#N/A</v>
      </c>
      <c r="DV53" s="5">
        <f ca="1">IF(AND(ROW(A50)&gt;$EE$5,ROW(A50)&lt;=$EA$5),OFFSET('Demand adjustments for Covid'!$F$35,0,ROW(A50)-'Demand background (hide)'!$EE$5,1,1),0)</f>
        <v>0</v>
      </c>
      <c r="DW53" s="5">
        <f ca="1">IF(AND(ROW(A50)&gt;$EE$5,ROW(A50)&lt;=$EA$5),OFFSET('Demand adjustments for Covid'!$F$36,0,ROW(A50)-'Demand background (hide)'!$EE$5,1,1),0)</f>
        <v>0</v>
      </c>
      <c r="DX53" s="5" t="e">
        <f t="shared" ca="1" si="11"/>
        <v>#N/A</v>
      </c>
    </row>
    <row r="54" spans="1:132" s="5" customFormat="1" x14ac:dyDescent="0.2">
      <c r="A54" s="5">
        <f t="shared" ca="1" si="32"/>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8"/>
        <v>0</v>
      </c>
      <c r="AM54" s="5">
        <f t="shared" ca="1" si="9"/>
        <v>0</v>
      </c>
      <c r="AN54" s="5" t="str">
        <f>IF(Demand!BE63="Yes","Yes","")</f>
        <v/>
      </c>
      <c r="AP54" s="36" t="str">
        <f ca="1">Demand!B63</f>
        <v xml:space="preserve"> </v>
      </c>
      <c r="AQ54" s="5" t="str">
        <f ca="1">IF(TEXT(Demand!D63,"MMM")&lt;&gt;TEXT(Demand!D62,"MMM"),TEXT(Demand!D63,"MMM"),"")</f>
        <v/>
      </c>
      <c r="AT54" s="5">
        <f t="shared" ca="1" si="12"/>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ca="1">IF(OR(AN54&lt;&gt;"",AND('Demand adjustments for Covid'!$F$9="Yes",'Demand adjustments for Covid'!$F$20="Yes")),"",SUM(CW54:DF54))</f>
        <v>0</v>
      </c>
      <c r="DM54" s="5">
        <f t="shared" si="10"/>
        <v>18</v>
      </c>
      <c r="DN54" s="317">
        <f t="shared" si="17"/>
        <v>44319</v>
      </c>
      <c r="DO54" s="5" t="e">
        <f ca="1">VLOOKUP(IF($DM54&lt;53,$DM54,52),'Summary Calculations (hide)'!$D$15:$F$67,2,0)</f>
        <v>#N/A</v>
      </c>
      <c r="DP54" s="5" t="e">
        <f ca="1">VLOOKUP(IF($DM54&lt;53,$DM54,52),'Summary Calculations (hide)'!$D$15:$F$67,3,0)</f>
        <v>#N/A</v>
      </c>
      <c r="DQ54" s="5" t="e">
        <f ca="1">IF(AND(DN54&gt;='Demand adjustments for Covid'!$F$12,DN54&lt;'Demand adjustments for Covid'!$F$17),'Demand adjustments for Covid'!$F$13,DO54)</f>
        <v>#N/A</v>
      </c>
      <c r="DR54" s="5">
        <f t="shared" si="33"/>
        <v>0</v>
      </c>
      <c r="DS54" s="5" t="e">
        <f ca="1">IF('Demand adjustments for Covid'!$F$9="Yes",IF(DR54=0,DQ54,((SUM(DR$4:DR54)-1)*$EE$8)+'Demand adjustments for Covid'!F$13),'Demand background (hide)'!DO54)</f>
        <v>#N/A</v>
      </c>
      <c r="DT54" s="5" t="e">
        <f ca="1">IF('Demand adjustments for Covid'!$F$9="Yes",IF(OR(AND(DN54&gt;='Demand adjustments for Covid'!$F$12,DN54&lt;'Demand adjustments for Covid'!$F$17),DR54=1),DS54+3,DP54),'Demand background (hide)'!DP54)</f>
        <v>#N/A</v>
      </c>
      <c r="DU54" s="5" t="e">
        <f ca="1">IF(DS54&lt;='Demand adjustments for Covid'!$F$17,DO54-DS54,0)</f>
        <v>#N/A</v>
      </c>
      <c r="DV54" s="5">
        <f ca="1">IF(AND(ROW(A51)&gt;$EE$5,ROW(A51)&lt;=$EA$5),OFFSET('Demand adjustments for Covid'!$F$35,0,ROW(A51)-'Demand background (hide)'!$EE$5,1,1),0)</f>
        <v>0</v>
      </c>
      <c r="DW54" s="5">
        <f ca="1">IF(AND(ROW(A51)&gt;$EE$5,ROW(A51)&lt;=$EA$5),OFFSET('Demand adjustments for Covid'!$F$36,0,ROW(A51)-'Demand background (hide)'!$EE$5,1,1),0)</f>
        <v>0</v>
      </c>
      <c r="DX54" s="5" t="e">
        <f t="shared" ca="1" si="11"/>
        <v>#N/A</v>
      </c>
    </row>
    <row r="55" spans="1:132" s="5" customFormat="1" x14ac:dyDescent="0.2">
      <c r="A55" s="5">
        <f t="shared" ca="1" si="32"/>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8"/>
        <v>0</v>
      </c>
      <c r="AM55" s="5">
        <f t="shared" ca="1" si="9"/>
        <v>0</v>
      </c>
      <c r="AN55" s="5" t="str">
        <f>IF(Demand!BE64="Yes","Yes","")</f>
        <v/>
      </c>
      <c r="AP55" s="36" t="str">
        <f ca="1">Demand!B64</f>
        <v xml:space="preserve"> </v>
      </c>
      <c r="AQ55" s="5" t="str">
        <f ca="1">IF(TEXT(Demand!D64,"MMM")&lt;&gt;TEXT(Demand!D63,"MMM"),TEXT(Demand!D64,"MMM"),"")</f>
        <v/>
      </c>
      <c r="AT55" s="5">
        <f t="shared" ca="1" si="12"/>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ca="1">IF(OR(AN55&lt;&gt;"",AND('Demand adjustments for Covid'!$F$9="Yes",'Demand adjustments for Covid'!$F$20="Yes")),"",SUM(CW55:DF55))</f>
        <v>0</v>
      </c>
      <c r="DM55" s="5">
        <f t="shared" si="10"/>
        <v>19</v>
      </c>
      <c r="DN55" s="317">
        <f t="shared" si="17"/>
        <v>44326</v>
      </c>
      <c r="DO55" s="5" t="e">
        <f ca="1">VLOOKUP(IF($DM55&lt;53,$DM55,52),'Summary Calculations (hide)'!$D$15:$F$67,2,0)</f>
        <v>#N/A</v>
      </c>
      <c r="DP55" s="5" t="e">
        <f ca="1">VLOOKUP(IF($DM55&lt;53,$DM55,52),'Summary Calculations (hide)'!$D$15:$F$67,3,0)</f>
        <v>#N/A</v>
      </c>
      <c r="DQ55" s="5" t="e">
        <f ca="1">IF(AND(DN55&gt;='Demand adjustments for Covid'!$F$12,DN55&lt;'Demand adjustments for Covid'!$F$17),'Demand adjustments for Covid'!$F$13,DO55)</f>
        <v>#N/A</v>
      </c>
      <c r="DR55" s="5">
        <f t="shared" si="33"/>
        <v>0</v>
      </c>
      <c r="DS55" s="5" t="e">
        <f ca="1">IF('Demand adjustments for Covid'!$F$9="Yes",IF(DR55=0,DQ55,((SUM(DR$4:DR55)-1)*$EE$8)+'Demand adjustments for Covid'!F$13),'Demand background (hide)'!DO55)</f>
        <v>#N/A</v>
      </c>
      <c r="DT55" s="5" t="e">
        <f ca="1">IF('Demand adjustments for Covid'!$F$9="Yes",IF(OR(AND(DN55&gt;='Demand adjustments for Covid'!$F$12,DN55&lt;'Demand adjustments for Covid'!$F$17),DR55=1),DS55+3,DP55),'Demand background (hide)'!DP55)</f>
        <v>#N/A</v>
      </c>
      <c r="DU55" s="5" t="e">
        <f ca="1">IF(DS55&lt;='Demand adjustments for Covid'!$F$17,DO55-DS55,0)</f>
        <v>#N/A</v>
      </c>
      <c r="DV55" s="5">
        <f ca="1">IF(AND(ROW(A52)&gt;$EE$5,ROW(A52)&lt;=$EA$5),OFFSET('Demand adjustments for Covid'!$F$35,0,ROW(A52)-'Demand background (hide)'!$EE$5,1,1),0)</f>
        <v>0</v>
      </c>
      <c r="DW55" s="5">
        <f ca="1">IF(AND(ROW(A52)&gt;$EE$5,ROW(A52)&lt;=$EA$5),OFFSET('Demand adjustments for Covid'!$F$36,0,ROW(A52)-'Demand background (hide)'!$EE$5,1,1),0)</f>
        <v>0</v>
      </c>
      <c r="DX55" s="5" t="e">
        <f t="shared" ca="1" si="11"/>
        <v>#N/A</v>
      </c>
    </row>
    <row r="56" spans="1:132" x14ac:dyDescent="0.2">
      <c r="A56" s="5">
        <f t="shared" ref="A56:A119" ca="1" si="34">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8"/>
        <v>0</v>
      </c>
      <c r="AM56" s="5">
        <f t="shared" ca="1" si="9"/>
        <v>0</v>
      </c>
      <c r="AN56" s="5" t="str">
        <f>IF(Demand!BE65="Yes","Yes","")</f>
        <v/>
      </c>
      <c r="AP56" s="36" t="str">
        <f ca="1">Demand!B65</f>
        <v xml:space="preserve"> </v>
      </c>
      <c r="AQ56" t="str">
        <f ca="1">IF(TEXT(Demand!D65,"MMM")&lt;&gt;TEXT(Demand!D64,"MMM"),TEXT(Demand!D65,"MMM"),"")</f>
        <v/>
      </c>
      <c r="AT56" s="5">
        <f t="shared" ca="1" si="12"/>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ca="1">IF(OR(AN56&lt;&gt;"",AND('Demand adjustments for Covid'!$F$9="Yes",'Demand adjustments for Covid'!$F$20="Yes")),"",SUM(CW56:DF56))</f>
        <v>0</v>
      </c>
      <c r="DM56" s="5">
        <f>IF(MAX(DM4:DM55)=53, WEEKNUM(DN56,21),53)</f>
        <v>20</v>
      </c>
      <c r="DN56" s="317">
        <f t="shared" si="17"/>
        <v>44333</v>
      </c>
      <c r="DO56" s="5" t="e">
        <f ca="1">VLOOKUP(IF($DM56&lt;53,$DM56,52),'Summary Calculations (hide)'!$D$15:$F$67,2,0)</f>
        <v>#N/A</v>
      </c>
      <c r="DP56" s="5" t="e">
        <f ca="1">VLOOKUP(IF($DM56&lt;53,$DM56,52),'Summary Calculations (hide)'!$D$15:$F$67,3,0)</f>
        <v>#N/A</v>
      </c>
      <c r="DQ56" s="5" t="e">
        <f ca="1">IF(AND(DN56&gt;='Demand adjustments for Covid'!$F$12,DN56&lt;'Demand adjustments for Covid'!$F$17),'Demand adjustments for Covid'!$F$13,DO56)</f>
        <v>#N/A</v>
      </c>
      <c r="DR56" s="5">
        <f t="shared" ref="DR56" si="35">IF(AND(ROW(A53)&gt;=$EE$4,ROW(A53)&lt;=$EE$5),1,0)</f>
        <v>0</v>
      </c>
      <c r="DS56" s="5" t="e">
        <f ca="1">IF('Demand adjustments for Covid'!$F$9="Yes",IF(DR56=0,DQ56,((SUM(DR$4:DR56)-1)*$EE$8)+'Demand adjustments for Covid'!F$13),'Demand background (hide)'!DO56)</f>
        <v>#N/A</v>
      </c>
      <c r="DT56" s="5" t="e">
        <f ca="1">IF('Demand adjustments for Covid'!$F$9="Yes",IF(OR(AND(DN56&gt;='Demand adjustments for Covid'!$F$12,DN56&lt;'Demand adjustments for Covid'!$F$17),DR56=1),DS56+3,DP56),'Demand background (hide)'!DP56)</f>
        <v>#N/A</v>
      </c>
      <c r="DU56" s="5" t="e">
        <f ca="1">IF(DS56&lt;='Demand adjustments for Covid'!$F$17,DO56-DS56,0)</f>
        <v>#N/A</v>
      </c>
      <c r="DV56" s="5">
        <f ca="1">IF(AND(ROW(A53)&gt;$EE$5,ROW(A53)&lt;=$EA$5),OFFSET('Demand adjustments for Covid'!$F$35,0,ROW(A53)-'Demand background (hide)'!$EE$5,1,1),0)</f>
        <v>0</v>
      </c>
      <c r="DW56" s="5">
        <f ca="1">IF(AND(ROW(A53)&gt;$EE$5,ROW(A53)&lt;=$EA$5),OFFSET('Demand adjustments for Covid'!$F$36,0,ROW(A53)-'Demand background (hide)'!$EE$5,1,1),0)</f>
        <v>0</v>
      </c>
      <c r="DX56" s="5" t="e">
        <f t="shared" ref="DX56" ca="1" si="36">SUM(DV56:DW56,DT56)</f>
        <v>#N/A</v>
      </c>
      <c r="DY56" s="5"/>
      <c r="DZ56" s="5"/>
      <c r="EA56" s="5"/>
      <c r="EB56" s="5"/>
    </row>
    <row r="57" spans="1:132" x14ac:dyDescent="0.2">
      <c r="A57" s="5">
        <f t="shared" ca="1" si="34"/>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8"/>
        <v>0</v>
      </c>
      <c r="AM57" s="5">
        <f t="shared" ca="1" si="9"/>
        <v>0</v>
      </c>
      <c r="AN57" s="5" t="str">
        <f>IF(Demand!BE66="Yes","Yes","")</f>
        <v/>
      </c>
      <c r="AP57" s="36" t="str">
        <f ca="1">Demand!B66</f>
        <v xml:space="preserve"> </v>
      </c>
      <c r="AQ57" t="str">
        <f ca="1">IF(TEXT(Demand!D66,"MMM")&lt;&gt;TEXT(Demand!D65,"MMM"),TEXT(Demand!D66,"MMM"),"")</f>
        <v/>
      </c>
      <c r="AT57" s="5">
        <f t="shared" ca="1" si="12"/>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ca="1">IF(OR(AN57&lt;&gt;"",AND('Demand adjustments for Covid'!$F$9="Yes",'Demand adjustments for Covid'!$F$20="Yes")),"",SUM(CW57:DF57))</f>
        <v>0</v>
      </c>
    </row>
    <row r="58" spans="1:132" x14ac:dyDescent="0.2">
      <c r="A58" s="5">
        <f t="shared" ca="1" si="34"/>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8"/>
        <v>0</v>
      </c>
      <c r="AM58" s="5">
        <f t="shared" ca="1" si="9"/>
        <v>0</v>
      </c>
      <c r="AN58" s="5" t="str">
        <f>IF(Demand!BE67="Yes","Yes","")</f>
        <v/>
      </c>
      <c r="AP58" s="36" t="str">
        <f ca="1">Demand!B67</f>
        <v xml:space="preserve"> </v>
      </c>
      <c r="AQ58" t="str">
        <f ca="1">IF(TEXT(Demand!D67,"MMM")&lt;&gt;TEXT(Demand!D66,"MMM"),TEXT(Demand!D67,"MMM"),"")</f>
        <v/>
      </c>
      <c r="AT58" s="5">
        <f t="shared" ca="1" si="12"/>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ca="1">IF(OR(AN58&lt;&gt;"",AND('Demand adjustments for Covid'!$F$9="Yes",'Demand adjustments for Covid'!$F$20="Yes")),"",SUM(CW58:DF58))</f>
        <v>0</v>
      </c>
    </row>
    <row r="59" spans="1:132" x14ac:dyDescent="0.2">
      <c r="A59" s="5">
        <f t="shared" ca="1" si="34"/>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8"/>
        <v>0</v>
      </c>
      <c r="AM59" s="5">
        <f t="shared" ca="1" si="9"/>
        <v>0</v>
      </c>
      <c r="AN59" s="5" t="str">
        <f>IF(Demand!BE68="Yes","Yes","")</f>
        <v/>
      </c>
      <c r="AP59" s="36" t="str">
        <f ca="1">Demand!B68</f>
        <v xml:space="preserve"> </v>
      </c>
      <c r="AQ59" t="str">
        <f ca="1">IF(TEXT(Demand!D68,"MMM")&lt;&gt;TEXT(Demand!D67,"MMM"),TEXT(Demand!D68,"MMM"),"")</f>
        <v/>
      </c>
      <c r="AT59" s="5">
        <f t="shared" ca="1" si="12"/>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ca="1">IF(OR(AN59&lt;&gt;"",AND('Demand adjustments for Covid'!$F$9="Yes",'Demand adjustments for Covid'!$F$20="Yes")),"",SUM(CW59:DF59))</f>
        <v>0</v>
      </c>
    </row>
    <row r="60" spans="1:132" x14ac:dyDescent="0.2">
      <c r="A60" s="5">
        <f t="shared" ca="1" si="34"/>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8"/>
        <v>0</v>
      </c>
      <c r="AM60" s="5">
        <f t="shared" ca="1" si="9"/>
        <v>0</v>
      </c>
      <c r="AN60" s="5" t="str">
        <f>IF(Demand!BE69="Yes","Yes","")</f>
        <v/>
      </c>
      <c r="AP60" s="36" t="str">
        <f ca="1">Demand!B69</f>
        <v xml:space="preserve"> </v>
      </c>
      <c r="AQ60" t="str">
        <f ca="1">IF(TEXT(Demand!D69,"MMM")&lt;&gt;TEXT(Demand!D68,"MMM"),TEXT(Demand!D69,"MMM"),"")</f>
        <v/>
      </c>
      <c r="AT60" s="5">
        <f t="shared" ca="1" si="12"/>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ca="1">IF(OR(AN60&lt;&gt;"",AND('Demand adjustments for Covid'!$F$9="Yes",'Demand adjustments for Covid'!$F$20="Yes")),"",SUM(CW60:DF60))</f>
        <v>0</v>
      </c>
    </row>
    <row r="61" spans="1:132" x14ac:dyDescent="0.2">
      <c r="A61" s="5">
        <f t="shared" ca="1" si="34"/>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8"/>
        <v>0</v>
      </c>
      <c r="AM61" s="5">
        <f t="shared" ca="1" si="9"/>
        <v>0</v>
      </c>
      <c r="AN61" s="5" t="str">
        <f>IF(Demand!BE70="Yes","Yes","")</f>
        <v/>
      </c>
      <c r="AP61" s="36" t="str">
        <f ca="1">Demand!B70</f>
        <v xml:space="preserve"> </v>
      </c>
      <c r="AQ61" t="str">
        <f ca="1">IF(TEXT(Demand!D70,"MMM")&lt;&gt;TEXT(Demand!D69,"MMM"),TEXT(Demand!D70,"MMM"),"")</f>
        <v/>
      </c>
      <c r="AT61" s="5">
        <f t="shared" ca="1" si="12"/>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ca="1">IF(OR(AN61&lt;&gt;"",AND('Demand adjustments for Covid'!$F$9="Yes",'Demand adjustments for Covid'!$F$20="Yes")),"",SUM(CW61:DF61))</f>
        <v>0</v>
      </c>
    </row>
    <row r="62" spans="1:132" x14ac:dyDescent="0.2">
      <c r="A62" s="5">
        <f t="shared" ca="1" si="34"/>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8"/>
        <v>0</v>
      </c>
      <c r="AM62" s="5">
        <f t="shared" ca="1" si="9"/>
        <v>0</v>
      </c>
      <c r="AN62" s="5" t="str">
        <f>IF(Demand!BE71="Yes","Yes","")</f>
        <v/>
      </c>
      <c r="AP62" s="36" t="str">
        <f ca="1">Demand!B71</f>
        <v xml:space="preserve"> </v>
      </c>
      <c r="AQ62" t="str">
        <f ca="1">IF(TEXT(Demand!D71,"MMM")&lt;&gt;TEXT(Demand!D70,"MMM"),TEXT(Demand!D71,"MMM"),"")</f>
        <v/>
      </c>
      <c r="AT62" s="5">
        <f t="shared" ca="1" si="12"/>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ca="1">IF(OR(AN62&lt;&gt;"",AND('Demand adjustments for Covid'!$F$9="Yes",'Demand adjustments for Covid'!$F$20="Yes")),"",SUM(CW62:DF62))</f>
        <v>0</v>
      </c>
    </row>
    <row r="63" spans="1:132" x14ac:dyDescent="0.2">
      <c r="A63" s="5">
        <f t="shared" ca="1" si="34"/>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8"/>
        <v>0</v>
      </c>
      <c r="AM63" s="5">
        <f t="shared" ca="1" si="9"/>
        <v>0</v>
      </c>
      <c r="AN63" s="5" t="str">
        <f>IF(Demand!BE72="Yes","Yes","")</f>
        <v/>
      </c>
      <c r="AP63" s="36" t="str">
        <f ca="1">Demand!B72</f>
        <v xml:space="preserve"> </v>
      </c>
      <c r="AQ63" t="str">
        <f ca="1">IF(TEXT(Demand!D72,"MMM")&lt;&gt;TEXT(Demand!D71,"MMM"),TEXT(Demand!D72,"MMM"),"")</f>
        <v/>
      </c>
      <c r="AT63" s="5">
        <f t="shared" ca="1" si="12"/>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ca="1">IF(OR(AN63&lt;&gt;"",AND('Demand adjustments for Covid'!$F$9="Yes",'Demand adjustments for Covid'!$F$20="Yes")),"",SUM(CW63:DF63))</f>
        <v>0</v>
      </c>
    </row>
    <row r="64" spans="1:132" x14ac:dyDescent="0.2">
      <c r="A64" s="5">
        <f t="shared" ca="1" si="34"/>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8"/>
        <v>0</v>
      </c>
      <c r="AM64" s="5">
        <f t="shared" ca="1" si="9"/>
        <v>0</v>
      </c>
      <c r="AN64" s="5" t="str">
        <f>IF(Demand!BE73="Yes","Yes","")</f>
        <v/>
      </c>
      <c r="AP64" s="36" t="str">
        <f ca="1">Demand!B73</f>
        <v xml:space="preserve"> </v>
      </c>
      <c r="AQ64" t="str">
        <f ca="1">IF(TEXT(Demand!D73,"MMM")&lt;&gt;TEXT(Demand!D72,"MMM"),TEXT(Demand!D73,"MMM"),"")</f>
        <v/>
      </c>
      <c r="AT64" s="5">
        <f t="shared" ca="1" si="12"/>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ca="1">IF(OR(AN64&lt;&gt;"",AND('Demand adjustments for Covid'!$F$9="Yes",'Demand adjustments for Covid'!$F$20="Yes")),"",SUM(CW64:DF64))</f>
        <v>0</v>
      </c>
    </row>
    <row r="65" spans="1:111" x14ac:dyDescent="0.2">
      <c r="A65" s="5">
        <f t="shared" ca="1" si="34"/>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8"/>
        <v>0</v>
      </c>
      <c r="AM65" s="5">
        <f t="shared" ca="1" si="9"/>
        <v>0</v>
      </c>
      <c r="AN65" s="5" t="str">
        <f>IF(Demand!BE74="Yes","Yes","")</f>
        <v/>
      </c>
      <c r="AP65" s="36" t="str">
        <f ca="1">Demand!B74</f>
        <v xml:space="preserve"> </v>
      </c>
      <c r="AQ65" t="str">
        <f ca="1">IF(TEXT(Demand!D74,"MMM")&lt;&gt;TEXT(Demand!D73,"MMM"),TEXT(Demand!D74,"MMM"),"")</f>
        <v/>
      </c>
      <c r="AT65" s="5">
        <f t="shared" ca="1" si="12"/>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ca="1">IF(OR(AN65&lt;&gt;"",AND('Demand adjustments for Covid'!$F$9="Yes",'Demand adjustments for Covid'!$F$20="Yes")),"",SUM(CW65:DF65))</f>
        <v>0</v>
      </c>
    </row>
    <row r="66" spans="1:111" x14ac:dyDescent="0.2">
      <c r="A66" s="5">
        <f t="shared" ca="1" si="34"/>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8"/>
        <v>0</v>
      </c>
      <c r="AM66" s="5">
        <f t="shared" ca="1" si="9"/>
        <v>0</v>
      </c>
      <c r="AN66" s="5" t="str">
        <f>IF(Demand!BE75="Yes","Yes","")</f>
        <v/>
      </c>
      <c r="AP66" s="36" t="str">
        <f ca="1">Demand!B75</f>
        <v xml:space="preserve"> </v>
      </c>
      <c r="AQ66" t="str">
        <f ca="1">IF(TEXT(Demand!D75,"MMM")&lt;&gt;TEXT(Demand!D74,"MMM"),TEXT(Demand!D75,"MMM"),"")</f>
        <v/>
      </c>
      <c r="AT66" s="5">
        <f t="shared" ca="1" si="12"/>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ca="1">IF(OR(AN66&lt;&gt;"",AND('Demand adjustments for Covid'!$F$9="Yes",'Demand adjustments for Covid'!$F$20="Yes")),"",SUM(CW66:DF66))</f>
        <v>0</v>
      </c>
    </row>
    <row r="67" spans="1:111" x14ac:dyDescent="0.2">
      <c r="A67" s="5">
        <f t="shared" ca="1" si="34"/>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8"/>
        <v>0</v>
      </c>
      <c r="AM67" s="5">
        <f t="shared" ca="1" si="9"/>
        <v>0</v>
      </c>
      <c r="AN67" s="5" t="str">
        <f>IF(Demand!BE76="Yes","Yes","")</f>
        <v/>
      </c>
      <c r="AP67" s="36" t="str">
        <f ca="1">Demand!B76</f>
        <v xml:space="preserve"> </v>
      </c>
      <c r="AQ67" t="str">
        <f ca="1">IF(TEXT(Demand!D76,"MMM")&lt;&gt;TEXT(Demand!D75,"MMM"),TEXT(Demand!D76,"MMM"),"")</f>
        <v/>
      </c>
      <c r="AT67" s="5">
        <f t="shared" ca="1" si="12"/>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ca="1">IF(OR(AN67&lt;&gt;"",AND('Demand adjustments for Covid'!$F$9="Yes",'Demand adjustments for Covid'!$F$20="Yes")),"",SUM(CW67:DF67))</f>
        <v>0</v>
      </c>
    </row>
    <row r="68" spans="1:111" x14ac:dyDescent="0.2">
      <c r="A68" s="5">
        <f t="shared" ca="1" si="34"/>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7">IF(AN68="",SUM(OFFSET(N68,0,0,1,Num_Modalities)),"")</f>
        <v>0</v>
      </c>
      <c r="Y68">
        <f t="shared" ref="Y68:Y131" ca="1" si="38">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9">SUM(OFFSET(Z68,0,0,1,Num_Modalities))</f>
        <v>0</v>
      </c>
      <c r="AL68" s="5">
        <f t="shared" ca="1" si="8"/>
        <v>0</v>
      </c>
      <c r="AM68" s="5">
        <f t="shared" ca="1" si="9"/>
        <v>0</v>
      </c>
      <c r="AN68" s="5" t="str">
        <f>IF(Demand!BE77="Yes","Yes","")</f>
        <v/>
      </c>
      <c r="AP68" s="36" t="str">
        <f ca="1">Demand!B77</f>
        <v xml:space="preserve"> </v>
      </c>
      <c r="AQ68" t="str">
        <f ca="1">IF(TEXT(Demand!D77,"MMM")&lt;&gt;TEXT(Demand!D76,"MMM"),TEXT(Demand!D77,"MMM"),"")</f>
        <v/>
      </c>
      <c r="AT68" s="5">
        <f t="shared" ca="1" si="12"/>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ca="1">IF(OR(AN68&lt;&gt;"",AND('Demand adjustments for Covid'!$F$9="Yes",'Demand adjustments for Covid'!$F$20="Yes")),"",SUM(CW68:DF68))</f>
        <v>0</v>
      </c>
    </row>
    <row r="69" spans="1:111" x14ac:dyDescent="0.2">
      <c r="A69" s="5">
        <f t="shared" ca="1" si="34"/>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7"/>
        <v>0</v>
      </c>
      <c r="Y69">
        <f t="shared" ca="1" si="38"/>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9"/>
        <v>0</v>
      </c>
      <c r="AL69" s="5">
        <f t="shared" ref="AL69:AL132" ca="1" si="40">X69</f>
        <v>0</v>
      </c>
      <c r="AM69" s="5">
        <f t="shared" ref="AM69:AM132" ca="1" si="41">IF(AN69&lt;&gt;"","",AJ69)</f>
        <v>0</v>
      </c>
      <c r="AN69" s="5" t="str">
        <f>IF(Demand!BE78="Yes","Yes","")</f>
        <v/>
      </c>
      <c r="AP69" s="36" t="str">
        <f ca="1">Demand!B78</f>
        <v xml:space="preserve"> </v>
      </c>
      <c r="AQ69" t="str">
        <f ca="1">IF(TEXT(Demand!D78,"MMM")&lt;&gt;TEXT(Demand!D77,"MMM"),TEXT(Demand!D78,"MMM"),"")</f>
        <v/>
      </c>
      <c r="AT69" s="5">
        <f t="shared" ca="1" si="12"/>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ca="1">IF(OR(AN69&lt;&gt;"",AND('Demand adjustments for Covid'!$F$9="Yes",'Demand adjustments for Covid'!$F$20="Yes")),"",SUM(CW69:DF69))</f>
        <v>0</v>
      </c>
    </row>
    <row r="70" spans="1:111" x14ac:dyDescent="0.2">
      <c r="A70" s="5">
        <f t="shared" ca="1" si="34"/>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7"/>
        <v>0</v>
      </c>
      <c r="Y70">
        <f t="shared" ca="1" si="38"/>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9"/>
        <v>0</v>
      </c>
      <c r="AL70" s="5">
        <f t="shared" ca="1" si="40"/>
        <v>0</v>
      </c>
      <c r="AM70" s="5">
        <f t="shared" ca="1" si="41"/>
        <v>0</v>
      </c>
      <c r="AN70" s="5" t="str">
        <f>IF(Demand!BE79="Yes","Yes","")</f>
        <v/>
      </c>
      <c r="AP70" s="36" t="str">
        <f ca="1">Demand!B79</f>
        <v xml:space="preserve"> </v>
      </c>
      <c r="AQ70" t="str">
        <f ca="1">IF(TEXT(Demand!D79,"MMM")&lt;&gt;TEXT(Demand!D78,"MMM"),TEXT(Demand!D79,"MMM"),"")</f>
        <v/>
      </c>
      <c r="AT70" s="5">
        <f t="shared" ref="AT70:AT133" ca="1" si="42">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ca="1">IF(OR(AN70&lt;&gt;"",AND('Demand adjustments for Covid'!$F$9="Yes",'Demand adjustments for Covid'!$F$20="Yes")),"",SUM(CW70:DF70))</f>
        <v>0</v>
      </c>
    </row>
    <row r="71" spans="1:111" x14ac:dyDescent="0.2">
      <c r="A71" s="5">
        <f t="shared" ca="1" si="34"/>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7"/>
        <v>0</v>
      </c>
      <c r="Y71">
        <f t="shared" ca="1" si="38"/>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9"/>
        <v>0</v>
      </c>
      <c r="AL71" s="5">
        <f t="shared" ca="1" si="40"/>
        <v>0</v>
      </c>
      <c r="AM71" s="5">
        <f t="shared" ca="1" si="41"/>
        <v>0</v>
      </c>
      <c r="AN71" s="5" t="str">
        <f>IF(Demand!BE80="Yes","Yes","")</f>
        <v/>
      </c>
      <c r="AP71" s="36" t="str">
        <f ca="1">Demand!B80</f>
        <v xml:space="preserve"> </v>
      </c>
      <c r="AQ71" t="str">
        <f ca="1">IF(TEXT(Demand!D80,"MMM")&lt;&gt;TEXT(Demand!D79,"MMM"),TEXT(Demand!D80,"MMM"),"")</f>
        <v/>
      </c>
      <c r="AT71" s="5">
        <f t="shared" ca="1" si="42"/>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ca="1">IF(OR(AN71&lt;&gt;"",AND('Demand adjustments for Covid'!$F$9="Yes",'Demand adjustments for Covid'!$F$20="Yes")),"",SUM(CW71:DF71))</f>
        <v>0</v>
      </c>
    </row>
    <row r="72" spans="1:111" x14ac:dyDescent="0.2">
      <c r="A72" s="5">
        <f t="shared" ca="1" si="34"/>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7"/>
        <v>0</v>
      </c>
      <c r="Y72">
        <f t="shared" ca="1" si="38"/>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9"/>
        <v>0</v>
      </c>
      <c r="AL72" s="5">
        <f t="shared" ca="1" si="40"/>
        <v>0</v>
      </c>
      <c r="AM72" s="5">
        <f t="shared" ca="1" si="41"/>
        <v>0</v>
      </c>
      <c r="AN72" s="5" t="str">
        <f>IF(Demand!BE81="Yes","Yes","")</f>
        <v/>
      </c>
      <c r="AP72" s="36" t="str">
        <f ca="1">Demand!B81</f>
        <v xml:space="preserve"> </v>
      </c>
      <c r="AQ72" t="str">
        <f ca="1">IF(TEXT(Demand!D81,"MMM")&lt;&gt;TEXT(Demand!D80,"MMM"),TEXT(Demand!D81,"MMM"),"")</f>
        <v/>
      </c>
      <c r="AT72" s="5">
        <f t="shared" ca="1" si="42"/>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ca="1">IF(OR(AN72&lt;&gt;"",AND('Demand adjustments for Covid'!$F$9="Yes",'Demand adjustments for Covid'!$F$20="Yes")),"",SUM(CW72:DF72))</f>
        <v>0</v>
      </c>
    </row>
    <row r="73" spans="1:111" x14ac:dyDescent="0.2">
      <c r="A73" s="5">
        <f t="shared" ca="1" si="34"/>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7"/>
        <v>0</v>
      </c>
      <c r="Y73">
        <f t="shared" ca="1" si="38"/>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9"/>
        <v>0</v>
      </c>
      <c r="AL73" s="5">
        <f t="shared" ca="1" si="40"/>
        <v>0</v>
      </c>
      <c r="AM73" s="5">
        <f t="shared" ca="1" si="41"/>
        <v>0</v>
      </c>
      <c r="AN73" s="5" t="str">
        <f>IF(Demand!BE82="Yes","Yes","")</f>
        <v/>
      </c>
      <c r="AP73" s="36" t="str">
        <f ca="1">Demand!B82</f>
        <v xml:space="preserve"> </v>
      </c>
      <c r="AQ73" t="str">
        <f ca="1">IF(TEXT(Demand!D82,"MMM")&lt;&gt;TEXT(Demand!D81,"MMM"),TEXT(Demand!D82,"MMM"),"")</f>
        <v/>
      </c>
      <c r="AT73" s="5">
        <f t="shared" ca="1" si="42"/>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ca="1">IF(OR(AN73&lt;&gt;"",AND('Demand adjustments for Covid'!$F$9="Yes",'Demand adjustments for Covid'!$F$20="Yes")),"",SUM(CW73:DF73))</f>
        <v>0</v>
      </c>
    </row>
    <row r="74" spans="1:111" x14ac:dyDescent="0.2">
      <c r="A74" s="5">
        <f t="shared" ca="1" si="34"/>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7"/>
        <v>0</v>
      </c>
      <c r="Y74">
        <f t="shared" ca="1" si="38"/>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9"/>
        <v>0</v>
      </c>
      <c r="AL74" s="5">
        <f t="shared" ca="1" si="40"/>
        <v>0</v>
      </c>
      <c r="AM74" s="5">
        <f t="shared" ca="1" si="41"/>
        <v>0</v>
      </c>
      <c r="AN74" s="5" t="str">
        <f>IF(Demand!BE83="Yes","Yes","")</f>
        <v/>
      </c>
      <c r="AP74" s="36" t="str">
        <f ca="1">Demand!B83</f>
        <v xml:space="preserve"> </v>
      </c>
      <c r="AQ74" t="str">
        <f ca="1">IF(TEXT(Demand!D83,"MMM")&lt;&gt;TEXT(Demand!D82,"MMM"),TEXT(Demand!D83,"MMM"),"")</f>
        <v/>
      </c>
      <c r="AT74" s="5">
        <f t="shared" ca="1" si="42"/>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ca="1">IF(OR(AN74&lt;&gt;"",AND('Demand adjustments for Covid'!$F$9="Yes",'Demand adjustments for Covid'!$F$20="Yes")),"",SUM(CW74:DF74))</f>
        <v>0</v>
      </c>
    </row>
    <row r="75" spans="1:111" x14ac:dyDescent="0.2">
      <c r="A75" s="5">
        <f t="shared" ca="1" si="34"/>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7"/>
        <v>0</v>
      </c>
      <c r="Y75">
        <f t="shared" ca="1" si="38"/>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9"/>
        <v>0</v>
      </c>
      <c r="AL75" s="5">
        <f t="shared" ca="1" si="40"/>
        <v>0</v>
      </c>
      <c r="AM75" s="5">
        <f t="shared" ca="1" si="41"/>
        <v>0</v>
      </c>
      <c r="AN75" s="5" t="str">
        <f>IF(Demand!BE84="Yes","Yes","")</f>
        <v/>
      </c>
      <c r="AP75" s="36" t="str">
        <f ca="1">Demand!B84</f>
        <v xml:space="preserve"> </v>
      </c>
      <c r="AQ75" t="str">
        <f ca="1">IF(TEXT(Demand!D84,"MMM")&lt;&gt;TEXT(Demand!D83,"MMM"),TEXT(Demand!D84,"MMM"),"")</f>
        <v/>
      </c>
      <c r="AT75" s="5">
        <f t="shared" ca="1" si="42"/>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ca="1">IF(OR(AN75&lt;&gt;"",AND('Demand adjustments for Covid'!$F$9="Yes",'Demand adjustments for Covid'!$F$20="Yes")),"",SUM(CW75:DF75))</f>
        <v>0</v>
      </c>
    </row>
    <row r="76" spans="1:111" x14ac:dyDescent="0.2">
      <c r="A76" s="5">
        <f t="shared" ca="1" si="34"/>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7"/>
        <v>0</v>
      </c>
      <c r="Y76">
        <f t="shared" ca="1" si="38"/>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9"/>
        <v>0</v>
      </c>
      <c r="AL76" s="5">
        <f t="shared" ca="1" si="40"/>
        <v>0</v>
      </c>
      <c r="AM76" s="5">
        <f t="shared" ca="1" si="41"/>
        <v>0</v>
      </c>
      <c r="AN76" s="5" t="str">
        <f>IF(Demand!BE85="Yes","Yes","")</f>
        <v/>
      </c>
      <c r="AP76" s="36" t="str">
        <f ca="1">Demand!B85</f>
        <v xml:space="preserve"> </v>
      </c>
      <c r="AQ76" t="str">
        <f ca="1">IF(TEXT(Demand!D85,"MMM")&lt;&gt;TEXT(Demand!D84,"MMM"),TEXT(Demand!D85,"MMM"),"")</f>
        <v/>
      </c>
      <c r="AT76" s="5">
        <f t="shared" ca="1" si="42"/>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ca="1">IF(OR(AN76&lt;&gt;"",AND('Demand adjustments for Covid'!$F$9="Yes",'Demand adjustments for Covid'!$F$20="Yes")),"",SUM(CW76:DF76))</f>
        <v>0</v>
      </c>
    </row>
    <row r="77" spans="1:111" x14ac:dyDescent="0.2">
      <c r="A77" s="5">
        <f t="shared" ca="1" si="34"/>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7"/>
        <v>0</v>
      </c>
      <c r="Y77">
        <f t="shared" ca="1" si="38"/>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9"/>
        <v>0</v>
      </c>
      <c r="AL77" s="5">
        <f t="shared" ca="1" si="40"/>
        <v>0</v>
      </c>
      <c r="AM77" s="5">
        <f t="shared" ca="1" si="41"/>
        <v>0</v>
      </c>
      <c r="AN77" s="5" t="str">
        <f>IF(Demand!BE86="Yes","Yes","")</f>
        <v/>
      </c>
      <c r="AP77" s="36" t="str">
        <f ca="1">Demand!B86</f>
        <v xml:space="preserve"> </v>
      </c>
      <c r="AQ77" t="str">
        <f ca="1">IF(TEXT(Demand!D86,"MMM")&lt;&gt;TEXT(Demand!D85,"MMM"),TEXT(Demand!D86,"MMM"),"")</f>
        <v/>
      </c>
      <c r="AT77" s="5">
        <f t="shared" ca="1" si="42"/>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ca="1">IF(OR(AN77&lt;&gt;"",AND('Demand adjustments for Covid'!$F$9="Yes",'Demand adjustments for Covid'!$F$20="Yes")),"",SUM(CW77:DF77))</f>
        <v>0</v>
      </c>
    </row>
    <row r="78" spans="1:111" x14ac:dyDescent="0.2">
      <c r="A78" s="5">
        <f t="shared" ca="1" si="34"/>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7"/>
        <v>0</v>
      </c>
      <c r="Y78">
        <f t="shared" ca="1" si="38"/>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9"/>
        <v>0</v>
      </c>
      <c r="AL78" s="5">
        <f t="shared" ca="1" si="40"/>
        <v>0</v>
      </c>
      <c r="AM78" s="5">
        <f t="shared" ca="1" si="41"/>
        <v>0</v>
      </c>
      <c r="AN78" s="5" t="str">
        <f>IF(Demand!BE87="Yes","Yes","")</f>
        <v/>
      </c>
      <c r="AP78" s="36" t="str">
        <f ca="1">Demand!B87</f>
        <v xml:space="preserve"> </v>
      </c>
      <c r="AQ78" t="str">
        <f ca="1">IF(TEXT(Demand!D87,"MMM")&lt;&gt;TEXT(Demand!D86,"MMM"),TEXT(Demand!D87,"MMM"),"")</f>
        <v/>
      </c>
      <c r="AT78" s="5">
        <f t="shared" ca="1" si="42"/>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ca="1">IF(OR(AN78&lt;&gt;"",AND('Demand adjustments for Covid'!$F$9="Yes",'Demand adjustments for Covid'!$F$20="Yes")),"",SUM(CW78:DF78))</f>
        <v>0</v>
      </c>
    </row>
    <row r="79" spans="1:111" x14ac:dyDescent="0.2">
      <c r="A79" s="5">
        <f t="shared" ca="1" si="34"/>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7"/>
        <v>0</v>
      </c>
      <c r="Y79">
        <f t="shared" ca="1" si="38"/>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9"/>
        <v>0</v>
      </c>
      <c r="AL79" s="5">
        <f t="shared" ca="1" si="40"/>
        <v>0</v>
      </c>
      <c r="AM79" s="5">
        <f t="shared" ca="1" si="41"/>
        <v>0</v>
      </c>
      <c r="AN79" s="5" t="str">
        <f>IF(Demand!BE88="Yes","Yes","")</f>
        <v/>
      </c>
      <c r="AP79" s="36" t="str">
        <f ca="1">Demand!B88</f>
        <v xml:space="preserve"> </v>
      </c>
      <c r="AQ79" t="str">
        <f ca="1">IF(TEXT(Demand!D88,"MMM")&lt;&gt;TEXT(Demand!D87,"MMM"),TEXT(Demand!D88,"MMM"),"")</f>
        <v/>
      </c>
      <c r="AT79" s="5">
        <f t="shared" ca="1" si="42"/>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ca="1">IF(OR(AN79&lt;&gt;"",AND('Demand adjustments for Covid'!$F$9="Yes",'Demand adjustments for Covid'!$F$20="Yes")),"",SUM(CW79:DF79))</f>
        <v>0</v>
      </c>
    </row>
    <row r="80" spans="1:111" x14ac:dyDescent="0.2">
      <c r="A80" s="5">
        <f t="shared" ca="1" si="34"/>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7"/>
        <v>0</v>
      </c>
      <c r="Y80">
        <f t="shared" ca="1" si="38"/>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9"/>
        <v>0</v>
      </c>
      <c r="AL80" s="5">
        <f t="shared" ca="1" si="40"/>
        <v>0</v>
      </c>
      <c r="AM80" s="5">
        <f t="shared" ca="1" si="41"/>
        <v>0</v>
      </c>
      <c r="AN80" s="5" t="str">
        <f>IF(Demand!BE89="Yes","Yes","")</f>
        <v/>
      </c>
      <c r="AP80" s="36" t="str">
        <f ca="1">Demand!B89</f>
        <v xml:space="preserve"> </v>
      </c>
      <c r="AQ80" t="str">
        <f ca="1">IF(TEXT(Demand!D89,"MMM")&lt;&gt;TEXT(Demand!D88,"MMM"),TEXT(Demand!D89,"MMM"),"")</f>
        <v/>
      </c>
      <c r="AT80" s="5">
        <f t="shared" ca="1" si="42"/>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ca="1">IF(OR(AN80&lt;&gt;"",AND('Demand adjustments for Covid'!$F$9="Yes",'Demand adjustments for Covid'!$F$20="Yes")),"",SUM(CW80:DF80))</f>
        <v>0</v>
      </c>
    </row>
    <row r="81" spans="1:111" x14ac:dyDescent="0.2">
      <c r="A81" s="5">
        <f t="shared" ca="1" si="34"/>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7"/>
        <v>0</v>
      </c>
      <c r="Y81">
        <f t="shared" ca="1" si="38"/>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9"/>
        <v>0</v>
      </c>
      <c r="AL81" s="5">
        <f t="shared" ca="1" si="40"/>
        <v>0</v>
      </c>
      <c r="AM81" s="5">
        <f t="shared" ca="1" si="41"/>
        <v>0</v>
      </c>
      <c r="AN81" s="5" t="str">
        <f>IF(Demand!BE90="Yes","Yes","")</f>
        <v/>
      </c>
      <c r="AP81" s="36" t="str">
        <f ca="1">Demand!B90</f>
        <v xml:space="preserve"> </v>
      </c>
      <c r="AQ81" t="str">
        <f ca="1">IF(TEXT(Demand!D90,"MMM")&lt;&gt;TEXT(Demand!D89,"MMM"),TEXT(Demand!D90,"MMM"),"")</f>
        <v/>
      </c>
      <c r="AT81" s="5">
        <f t="shared" ca="1" si="42"/>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ca="1">IF(OR(AN81&lt;&gt;"",AND('Demand adjustments for Covid'!$F$9="Yes",'Demand adjustments for Covid'!$F$20="Yes")),"",SUM(CW81:DF81))</f>
        <v>0</v>
      </c>
    </row>
    <row r="82" spans="1:111" x14ac:dyDescent="0.2">
      <c r="A82" s="5">
        <f t="shared" ca="1" si="34"/>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7"/>
        <v>0</v>
      </c>
      <c r="Y82">
        <f t="shared" ca="1" si="38"/>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9"/>
        <v>0</v>
      </c>
      <c r="AL82" s="5">
        <f t="shared" ca="1" si="40"/>
        <v>0</v>
      </c>
      <c r="AM82" s="5">
        <f t="shared" ca="1" si="41"/>
        <v>0</v>
      </c>
      <c r="AN82" s="5" t="str">
        <f>IF(Demand!BE91="Yes","Yes","")</f>
        <v/>
      </c>
      <c r="AP82" s="36" t="str">
        <f ca="1">Demand!B91</f>
        <v xml:space="preserve"> </v>
      </c>
      <c r="AQ82" t="str">
        <f ca="1">IF(TEXT(Demand!D91,"MMM")&lt;&gt;TEXT(Demand!D90,"MMM"),TEXT(Demand!D91,"MMM"),"")</f>
        <v/>
      </c>
      <c r="AT82" s="5">
        <f t="shared" ca="1" si="42"/>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ca="1">IF(OR(AN82&lt;&gt;"",AND('Demand adjustments for Covid'!$F$9="Yes",'Demand adjustments for Covid'!$F$20="Yes")),"",SUM(CW82:DF82))</f>
        <v>0</v>
      </c>
    </row>
    <row r="83" spans="1:111" x14ac:dyDescent="0.2">
      <c r="A83" s="5">
        <f t="shared" ca="1" si="34"/>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7"/>
        <v>0</v>
      </c>
      <c r="Y83">
        <f t="shared" ca="1" si="38"/>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9"/>
        <v>0</v>
      </c>
      <c r="AL83" s="5">
        <f t="shared" ca="1" si="40"/>
        <v>0</v>
      </c>
      <c r="AM83" s="5">
        <f t="shared" ca="1" si="41"/>
        <v>0</v>
      </c>
      <c r="AN83" s="5" t="str">
        <f>IF(Demand!BE92="Yes","Yes","")</f>
        <v/>
      </c>
      <c r="AP83" s="36" t="str">
        <f ca="1">Demand!B92</f>
        <v xml:space="preserve"> </v>
      </c>
      <c r="AQ83" t="str">
        <f ca="1">IF(TEXT(Demand!D92,"MMM")&lt;&gt;TEXT(Demand!D91,"MMM"),TEXT(Demand!D92,"MMM"),"")</f>
        <v/>
      </c>
      <c r="AT83" s="5">
        <f t="shared" ca="1" si="42"/>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ca="1">IF(OR(AN83&lt;&gt;"",AND('Demand adjustments for Covid'!$F$9="Yes",'Demand adjustments for Covid'!$F$20="Yes")),"",SUM(CW83:DF83))</f>
        <v>0</v>
      </c>
    </row>
    <row r="84" spans="1:111" x14ac:dyDescent="0.2">
      <c r="A84" s="5">
        <f t="shared" ca="1" si="34"/>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7"/>
        <v>0</v>
      </c>
      <c r="Y84">
        <f t="shared" ca="1" si="38"/>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9"/>
        <v>0</v>
      </c>
      <c r="AL84" s="5">
        <f t="shared" ca="1" si="40"/>
        <v>0</v>
      </c>
      <c r="AM84" s="5">
        <f t="shared" ca="1" si="41"/>
        <v>0</v>
      </c>
      <c r="AN84" s="5" t="str">
        <f>IF(Demand!BE93="Yes","Yes","")</f>
        <v/>
      </c>
      <c r="AP84" s="36" t="str">
        <f ca="1">Demand!B93</f>
        <v xml:space="preserve"> </v>
      </c>
      <c r="AQ84" t="str">
        <f ca="1">IF(TEXT(Demand!D93,"MMM")&lt;&gt;TEXT(Demand!D92,"MMM"),TEXT(Demand!D93,"MMM"),"")</f>
        <v/>
      </c>
      <c r="AT84" s="5">
        <f t="shared" ca="1" si="42"/>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ca="1">IF(OR(AN84&lt;&gt;"",AND('Demand adjustments for Covid'!$F$9="Yes",'Demand adjustments for Covid'!$F$20="Yes")),"",SUM(CW84:DF84))</f>
        <v>0</v>
      </c>
    </row>
    <row r="85" spans="1:111" x14ac:dyDescent="0.2">
      <c r="A85" s="5">
        <f t="shared" ca="1" si="34"/>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7"/>
        <v>0</v>
      </c>
      <c r="Y85">
        <f t="shared" ca="1" si="38"/>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9"/>
        <v>0</v>
      </c>
      <c r="AL85" s="5">
        <f t="shared" ca="1" si="40"/>
        <v>0</v>
      </c>
      <c r="AM85" s="5">
        <f t="shared" ca="1" si="41"/>
        <v>0</v>
      </c>
      <c r="AN85" s="5" t="str">
        <f>IF(Demand!BE94="Yes","Yes","")</f>
        <v/>
      </c>
      <c r="AP85" s="36" t="str">
        <f ca="1">Demand!B94</f>
        <v xml:space="preserve"> </v>
      </c>
      <c r="AQ85" t="str">
        <f ca="1">IF(TEXT(Demand!D94,"MMM")&lt;&gt;TEXT(Demand!D93,"MMM"),TEXT(Demand!D94,"MMM"),"")</f>
        <v/>
      </c>
      <c r="AT85" s="5">
        <f t="shared" ca="1" si="42"/>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ca="1">IF(OR(AN85&lt;&gt;"",AND('Demand adjustments for Covid'!$F$9="Yes",'Demand adjustments for Covid'!$F$20="Yes")),"",SUM(CW85:DF85))</f>
        <v>0</v>
      </c>
    </row>
    <row r="86" spans="1:111" x14ac:dyDescent="0.2">
      <c r="A86" s="5">
        <f t="shared" ca="1" si="34"/>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7"/>
        <v>0</v>
      </c>
      <c r="Y86">
        <f t="shared" ca="1" si="38"/>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9"/>
        <v>0</v>
      </c>
      <c r="AL86" s="5">
        <f t="shared" ca="1" si="40"/>
        <v>0</v>
      </c>
      <c r="AM86" s="5">
        <f t="shared" ca="1" si="41"/>
        <v>0</v>
      </c>
      <c r="AN86" s="5" t="str">
        <f>IF(Demand!BE95="Yes","Yes","")</f>
        <v/>
      </c>
      <c r="AP86" s="36" t="str">
        <f ca="1">Demand!B95</f>
        <v xml:space="preserve"> </v>
      </c>
      <c r="AQ86" t="str">
        <f ca="1">IF(TEXT(Demand!D95,"MMM")&lt;&gt;TEXT(Demand!D94,"MMM"),TEXT(Demand!D95,"MMM"),"")</f>
        <v/>
      </c>
      <c r="AT86" s="5">
        <f t="shared" ca="1" si="42"/>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ca="1">IF(OR(AN86&lt;&gt;"",AND('Demand adjustments for Covid'!$F$9="Yes",'Demand adjustments for Covid'!$F$20="Yes")),"",SUM(CW86:DF86))</f>
        <v>0</v>
      </c>
    </row>
    <row r="87" spans="1:111" x14ac:dyDescent="0.2">
      <c r="A87" s="5">
        <f t="shared" ca="1" si="34"/>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7"/>
        <v>0</v>
      </c>
      <c r="Y87">
        <f t="shared" ca="1" si="38"/>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9"/>
        <v>0</v>
      </c>
      <c r="AL87" s="5">
        <f t="shared" ca="1" si="40"/>
        <v>0</v>
      </c>
      <c r="AM87" s="5">
        <f t="shared" ca="1" si="41"/>
        <v>0</v>
      </c>
      <c r="AN87" s="5" t="str">
        <f>IF(Demand!BE96="Yes","Yes","")</f>
        <v/>
      </c>
      <c r="AP87" s="36" t="str">
        <f ca="1">Demand!B96</f>
        <v xml:space="preserve"> </v>
      </c>
      <c r="AQ87" t="str">
        <f ca="1">IF(TEXT(Demand!D96,"MMM")&lt;&gt;TEXT(Demand!D95,"MMM"),TEXT(Demand!D96,"MMM"),"")</f>
        <v/>
      </c>
      <c r="AT87" s="5">
        <f t="shared" ca="1" si="42"/>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ca="1">IF(OR(AN87&lt;&gt;"",AND('Demand adjustments for Covid'!$F$9="Yes",'Demand adjustments for Covid'!$F$20="Yes")),"",SUM(CW87:DF87))</f>
        <v>0</v>
      </c>
    </row>
    <row r="88" spans="1:111" x14ac:dyDescent="0.2">
      <c r="A88" s="5">
        <f t="shared" ca="1" si="34"/>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7"/>
        <v>0</v>
      </c>
      <c r="Y88">
        <f t="shared" ca="1" si="38"/>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9"/>
        <v>0</v>
      </c>
      <c r="AL88" s="5">
        <f t="shared" ca="1" si="40"/>
        <v>0</v>
      </c>
      <c r="AM88" s="5">
        <f t="shared" ca="1" si="41"/>
        <v>0</v>
      </c>
      <c r="AN88" s="5" t="str">
        <f>IF(Demand!BE97="Yes","Yes","")</f>
        <v/>
      </c>
      <c r="AP88" s="36" t="str">
        <f ca="1">Demand!B97</f>
        <v xml:space="preserve"> </v>
      </c>
      <c r="AQ88" t="str">
        <f ca="1">IF(TEXT(Demand!D97,"MMM")&lt;&gt;TEXT(Demand!D96,"MMM"),TEXT(Demand!D97,"MMM"),"")</f>
        <v/>
      </c>
      <c r="AT88" s="5">
        <f t="shared" ca="1" si="42"/>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ca="1">IF(OR(AN88&lt;&gt;"",AND('Demand adjustments for Covid'!$F$9="Yes",'Demand adjustments for Covid'!$F$20="Yes")),"",SUM(CW88:DF88))</f>
        <v>0</v>
      </c>
    </row>
    <row r="89" spans="1:111" x14ac:dyDescent="0.2">
      <c r="A89" s="5">
        <f t="shared" ca="1" si="34"/>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7"/>
        <v>0</v>
      </c>
      <c r="Y89">
        <f t="shared" ca="1" si="38"/>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9"/>
        <v>0</v>
      </c>
      <c r="AL89" s="5">
        <f t="shared" ca="1" si="40"/>
        <v>0</v>
      </c>
      <c r="AM89" s="5">
        <f t="shared" ca="1" si="41"/>
        <v>0</v>
      </c>
      <c r="AN89" s="5" t="str">
        <f>IF(Demand!BE98="Yes","Yes","")</f>
        <v/>
      </c>
      <c r="AP89" s="36" t="str">
        <f ca="1">Demand!B98</f>
        <v xml:space="preserve"> </v>
      </c>
      <c r="AQ89" t="str">
        <f ca="1">IF(TEXT(Demand!D98,"MMM")&lt;&gt;TEXT(Demand!D97,"MMM"),TEXT(Demand!D98,"MMM"),"")</f>
        <v/>
      </c>
      <c r="AT89" s="5">
        <f t="shared" ca="1" si="42"/>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ca="1">IF(OR(AN89&lt;&gt;"",AND('Demand adjustments for Covid'!$F$9="Yes",'Demand adjustments for Covid'!$F$20="Yes")),"",SUM(CW89:DF89))</f>
        <v>0</v>
      </c>
    </row>
    <row r="90" spans="1:111" x14ac:dyDescent="0.2">
      <c r="A90" s="5">
        <f t="shared" ca="1" si="34"/>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7"/>
        <v>0</v>
      </c>
      <c r="Y90">
        <f t="shared" ca="1" si="38"/>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9"/>
        <v>0</v>
      </c>
      <c r="AL90" s="5">
        <f t="shared" ca="1" si="40"/>
        <v>0</v>
      </c>
      <c r="AM90" s="5">
        <f t="shared" ca="1" si="41"/>
        <v>0</v>
      </c>
      <c r="AN90" s="5" t="str">
        <f>IF(Demand!BE99="Yes","Yes","")</f>
        <v/>
      </c>
      <c r="AP90" s="36" t="str">
        <f ca="1">Demand!B99</f>
        <v xml:space="preserve"> </v>
      </c>
      <c r="AQ90" t="str">
        <f ca="1">IF(TEXT(Demand!D99,"MMM")&lt;&gt;TEXT(Demand!D98,"MMM"),TEXT(Demand!D99,"MMM"),"")</f>
        <v/>
      </c>
      <c r="AT90" s="5">
        <f t="shared" ca="1" si="42"/>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ca="1">IF(OR(AN90&lt;&gt;"",AND('Demand adjustments for Covid'!$F$9="Yes",'Demand adjustments for Covid'!$F$20="Yes")),"",SUM(CW90:DF90))</f>
        <v>0</v>
      </c>
    </row>
    <row r="91" spans="1:111" x14ac:dyDescent="0.2">
      <c r="A91" s="5">
        <f t="shared" ca="1" si="34"/>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7"/>
        <v>0</v>
      </c>
      <c r="Y91">
        <f t="shared" ca="1" si="38"/>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9"/>
        <v>0</v>
      </c>
      <c r="AL91" s="5">
        <f t="shared" ca="1" si="40"/>
        <v>0</v>
      </c>
      <c r="AM91" s="5">
        <f t="shared" ca="1" si="41"/>
        <v>0</v>
      </c>
      <c r="AN91" s="5" t="str">
        <f>IF(Demand!BE100="Yes","Yes","")</f>
        <v/>
      </c>
      <c r="AP91" s="36" t="str">
        <f ca="1">Demand!B100</f>
        <v xml:space="preserve"> </v>
      </c>
      <c r="AQ91" t="str">
        <f ca="1">IF(TEXT(Demand!D100,"MMM")&lt;&gt;TEXT(Demand!D99,"MMM"),TEXT(Demand!D100,"MMM"),"")</f>
        <v/>
      </c>
      <c r="AT91" s="5">
        <f t="shared" ca="1" si="42"/>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ca="1">IF(OR(AN91&lt;&gt;"",AND('Demand adjustments for Covid'!$F$9="Yes",'Demand adjustments for Covid'!$F$20="Yes")),"",SUM(CW91:DF91))</f>
        <v>0</v>
      </c>
    </row>
    <row r="92" spans="1:111" x14ac:dyDescent="0.2">
      <c r="A92" s="5">
        <f t="shared" ca="1" si="34"/>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7"/>
        <v>0</v>
      </c>
      <c r="Y92">
        <f t="shared" ca="1" si="38"/>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9"/>
        <v>0</v>
      </c>
      <c r="AL92" s="5">
        <f t="shared" ca="1" si="40"/>
        <v>0</v>
      </c>
      <c r="AM92" s="5">
        <f t="shared" ca="1" si="41"/>
        <v>0</v>
      </c>
      <c r="AN92" s="5" t="str">
        <f>IF(Demand!BE101="Yes","Yes","")</f>
        <v/>
      </c>
      <c r="AP92" s="36" t="str">
        <f ca="1">Demand!B101</f>
        <v xml:space="preserve"> </v>
      </c>
      <c r="AQ92" t="str">
        <f ca="1">IF(TEXT(Demand!D101,"MMM")&lt;&gt;TEXT(Demand!D100,"MMM"),TEXT(Demand!D101,"MMM"),"")</f>
        <v/>
      </c>
      <c r="AT92" s="5">
        <f t="shared" ca="1" si="42"/>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ca="1">IF(OR(AN92&lt;&gt;"",AND('Demand adjustments for Covid'!$F$9="Yes",'Demand adjustments for Covid'!$F$20="Yes")),"",SUM(CW92:DF92))</f>
        <v>0</v>
      </c>
    </row>
    <row r="93" spans="1:111" x14ac:dyDescent="0.2">
      <c r="A93" s="5">
        <f t="shared" ca="1" si="34"/>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7"/>
        <v>0</v>
      </c>
      <c r="Y93">
        <f t="shared" ca="1" si="38"/>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9"/>
        <v>0</v>
      </c>
      <c r="AL93" s="5">
        <f t="shared" ca="1" si="40"/>
        <v>0</v>
      </c>
      <c r="AM93" s="5">
        <f t="shared" ca="1" si="41"/>
        <v>0</v>
      </c>
      <c r="AN93" s="5" t="str">
        <f>IF(Demand!BE102="Yes","Yes","")</f>
        <v/>
      </c>
      <c r="AP93" s="36" t="str">
        <f ca="1">Demand!B102</f>
        <v xml:space="preserve"> </v>
      </c>
      <c r="AQ93" t="str">
        <f ca="1">IF(TEXT(Demand!D102,"MMM")&lt;&gt;TEXT(Demand!D101,"MMM"),TEXT(Demand!D102,"MMM"),"")</f>
        <v/>
      </c>
      <c r="AT93" s="5">
        <f t="shared" ca="1" si="42"/>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ca="1">IF(OR(AN93&lt;&gt;"",AND('Demand adjustments for Covid'!$F$9="Yes",'Demand adjustments for Covid'!$F$20="Yes")),"",SUM(CW93:DF93))</f>
        <v>0</v>
      </c>
    </row>
    <row r="94" spans="1:111" x14ac:dyDescent="0.2">
      <c r="A94" s="5">
        <f t="shared" ca="1" si="34"/>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7"/>
        <v>0</v>
      </c>
      <c r="Y94">
        <f t="shared" ca="1" si="38"/>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9"/>
        <v>0</v>
      </c>
      <c r="AL94" s="5">
        <f t="shared" ca="1" si="40"/>
        <v>0</v>
      </c>
      <c r="AM94" s="5">
        <f t="shared" ca="1" si="41"/>
        <v>0</v>
      </c>
      <c r="AN94" s="5" t="str">
        <f>IF(Demand!BE103="Yes","Yes","")</f>
        <v/>
      </c>
      <c r="AP94" s="36" t="str">
        <f ca="1">Demand!B103</f>
        <v xml:space="preserve"> </v>
      </c>
      <c r="AQ94" t="str">
        <f ca="1">IF(TEXT(Demand!D103,"MMM")&lt;&gt;TEXT(Demand!D102,"MMM"),TEXT(Demand!D103,"MMM"),"")</f>
        <v/>
      </c>
      <c r="AT94" s="5">
        <f t="shared" ca="1" si="42"/>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ca="1">IF(OR(AN94&lt;&gt;"",AND('Demand adjustments for Covid'!$F$9="Yes",'Demand adjustments for Covid'!$F$20="Yes")),"",SUM(CW94:DF94))</f>
        <v>0</v>
      </c>
    </row>
    <row r="95" spans="1:111" x14ac:dyDescent="0.2">
      <c r="A95" s="5">
        <f t="shared" ca="1" si="34"/>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7"/>
        <v>0</v>
      </c>
      <c r="Y95">
        <f t="shared" ca="1" si="38"/>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9"/>
        <v>0</v>
      </c>
      <c r="AL95" s="5">
        <f t="shared" ca="1" si="40"/>
        <v>0</v>
      </c>
      <c r="AM95" s="5">
        <f t="shared" ca="1" si="41"/>
        <v>0</v>
      </c>
      <c r="AN95" s="5" t="str">
        <f>IF(Demand!BE104="Yes","Yes","")</f>
        <v/>
      </c>
      <c r="AP95" s="36" t="str">
        <f ca="1">Demand!B104</f>
        <v xml:space="preserve"> </v>
      </c>
      <c r="AQ95" t="str">
        <f ca="1">IF(TEXT(Demand!D104,"MMM")&lt;&gt;TEXT(Demand!D103,"MMM"),TEXT(Demand!D104,"MMM"),"")</f>
        <v/>
      </c>
      <c r="AT95" s="5">
        <f t="shared" ca="1" si="42"/>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ca="1">IF(OR(AN95&lt;&gt;"",AND('Demand adjustments for Covid'!$F$9="Yes",'Demand adjustments for Covid'!$F$20="Yes")),"",SUM(CW95:DF95))</f>
        <v>0</v>
      </c>
    </row>
    <row r="96" spans="1:111" x14ac:dyDescent="0.2">
      <c r="A96" s="5">
        <f t="shared" ca="1" si="34"/>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7"/>
        <v>0</v>
      </c>
      <c r="Y96">
        <f t="shared" ca="1" si="38"/>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9"/>
        <v>0</v>
      </c>
      <c r="AL96" s="5">
        <f t="shared" ca="1" si="40"/>
        <v>0</v>
      </c>
      <c r="AM96" s="5">
        <f t="shared" ca="1" si="41"/>
        <v>0</v>
      </c>
      <c r="AN96" s="5" t="str">
        <f>IF(Demand!BE105="Yes","Yes","")</f>
        <v/>
      </c>
      <c r="AP96" s="36" t="str">
        <f ca="1">Demand!B105</f>
        <v xml:space="preserve"> </v>
      </c>
      <c r="AQ96" t="str">
        <f ca="1">IF(TEXT(Demand!D105,"MMM")&lt;&gt;TEXT(Demand!D104,"MMM"),TEXT(Demand!D105,"MMM"),"")</f>
        <v/>
      </c>
      <c r="AT96" s="5">
        <f t="shared" ca="1" si="42"/>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ca="1">IF(OR(AN96&lt;&gt;"",AND('Demand adjustments for Covid'!$F$9="Yes",'Demand adjustments for Covid'!$F$20="Yes")),"",SUM(CW96:DF96))</f>
        <v>0</v>
      </c>
    </row>
    <row r="97" spans="1:111" x14ac:dyDescent="0.2">
      <c r="A97" s="5">
        <f t="shared" ca="1" si="34"/>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7"/>
        <v>0</v>
      </c>
      <c r="Y97">
        <f t="shared" ca="1" si="38"/>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9"/>
        <v>0</v>
      </c>
      <c r="AL97" s="5">
        <f t="shared" ca="1" si="40"/>
        <v>0</v>
      </c>
      <c r="AM97" s="5">
        <f t="shared" ca="1" si="41"/>
        <v>0</v>
      </c>
      <c r="AN97" s="5" t="str">
        <f>IF(Demand!BE106="Yes","Yes","")</f>
        <v/>
      </c>
      <c r="AP97" s="36" t="str">
        <f ca="1">Demand!B106</f>
        <v xml:space="preserve"> </v>
      </c>
      <c r="AQ97" t="str">
        <f ca="1">IF(TEXT(Demand!D106,"MMM")&lt;&gt;TEXT(Demand!D105,"MMM"),TEXT(Demand!D106,"MMM"),"")</f>
        <v/>
      </c>
      <c r="AT97" s="5">
        <f t="shared" ca="1" si="42"/>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ca="1">IF(OR(AN97&lt;&gt;"",AND('Demand adjustments for Covid'!$F$9="Yes",'Demand adjustments for Covid'!$F$20="Yes")),"",SUM(CW97:DF97))</f>
        <v>0</v>
      </c>
    </row>
    <row r="98" spans="1:111" x14ac:dyDescent="0.2">
      <c r="A98" s="5">
        <f t="shared" ca="1" si="34"/>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7"/>
        <v>0</v>
      </c>
      <c r="Y98">
        <f t="shared" ca="1" si="38"/>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9"/>
        <v>0</v>
      </c>
      <c r="AL98" s="5">
        <f t="shared" ca="1" si="40"/>
        <v>0</v>
      </c>
      <c r="AM98" s="5">
        <f t="shared" ca="1" si="41"/>
        <v>0</v>
      </c>
      <c r="AN98" s="5" t="str">
        <f>IF(Demand!BE107="Yes","Yes","")</f>
        <v/>
      </c>
      <c r="AP98" s="36" t="str">
        <f ca="1">Demand!B107</f>
        <v xml:space="preserve"> </v>
      </c>
      <c r="AQ98" t="str">
        <f ca="1">IF(TEXT(Demand!D107,"MMM")&lt;&gt;TEXT(Demand!D106,"MMM"),TEXT(Demand!D107,"MMM"),"")</f>
        <v/>
      </c>
      <c r="AT98" s="5">
        <f t="shared" ca="1" si="42"/>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ca="1">IF(OR(AN98&lt;&gt;"",AND('Demand adjustments for Covid'!$F$9="Yes",'Demand adjustments for Covid'!$F$20="Yes")),"",SUM(CW98:DF98))</f>
        <v>0</v>
      </c>
    </row>
    <row r="99" spans="1:111" x14ac:dyDescent="0.2">
      <c r="A99" s="5">
        <f t="shared" ca="1" si="34"/>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7"/>
        <v>0</v>
      </c>
      <c r="Y99">
        <f t="shared" ca="1" si="38"/>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9"/>
        <v>0</v>
      </c>
      <c r="AL99" s="5">
        <f t="shared" ca="1" si="40"/>
        <v>0</v>
      </c>
      <c r="AM99" s="5">
        <f t="shared" ca="1" si="41"/>
        <v>0</v>
      </c>
      <c r="AN99" s="5" t="str">
        <f>IF(Demand!BE108="Yes","Yes","")</f>
        <v/>
      </c>
      <c r="AP99" s="36" t="str">
        <f ca="1">Demand!B108</f>
        <v xml:space="preserve"> </v>
      </c>
      <c r="AQ99" t="str">
        <f ca="1">IF(TEXT(Demand!D108,"MMM")&lt;&gt;TEXT(Demand!D107,"MMM"),TEXT(Demand!D108,"MMM"),"")</f>
        <v/>
      </c>
      <c r="AT99" s="5">
        <f t="shared" ca="1" si="42"/>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ca="1">IF(OR(AN99&lt;&gt;"",AND('Demand adjustments for Covid'!$F$9="Yes",'Demand adjustments for Covid'!$F$20="Yes")),"",SUM(CW99:DF99))</f>
        <v>0</v>
      </c>
    </row>
    <row r="100" spans="1:111" x14ac:dyDescent="0.2">
      <c r="A100" s="5">
        <f t="shared" ca="1" si="34"/>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7"/>
        <v>0</v>
      </c>
      <c r="Y100">
        <f t="shared" ca="1" si="38"/>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9"/>
        <v>0</v>
      </c>
      <c r="AL100" s="5">
        <f t="shared" ca="1" si="40"/>
        <v>0</v>
      </c>
      <c r="AM100" s="5">
        <f t="shared" ca="1" si="41"/>
        <v>0</v>
      </c>
      <c r="AN100" s="5" t="str">
        <f>IF(Demand!BE109="Yes","Yes","")</f>
        <v/>
      </c>
      <c r="AP100" s="36" t="str">
        <f ca="1">Demand!B109</f>
        <v xml:space="preserve"> </v>
      </c>
      <c r="AQ100" t="str">
        <f ca="1">IF(TEXT(Demand!D109,"MMM")&lt;&gt;TEXT(Demand!D108,"MMM"),TEXT(Demand!D109,"MMM"),"")</f>
        <v/>
      </c>
      <c r="AT100" s="5">
        <f t="shared" ca="1" si="42"/>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ca="1">IF(OR(AN100&lt;&gt;"",AND('Demand adjustments for Covid'!$F$9="Yes",'Demand adjustments for Covid'!$F$20="Yes")),"",SUM(CW100:DF100))</f>
        <v>0</v>
      </c>
    </row>
    <row r="101" spans="1:111" x14ac:dyDescent="0.2">
      <c r="A101" s="5">
        <f t="shared" ca="1" si="34"/>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7"/>
        <v>0</v>
      </c>
      <c r="Y101">
        <f t="shared" ca="1" si="38"/>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9"/>
        <v>0</v>
      </c>
      <c r="AL101" s="5">
        <f t="shared" ca="1" si="40"/>
        <v>0</v>
      </c>
      <c r="AM101" s="5">
        <f t="shared" ca="1" si="41"/>
        <v>0</v>
      </c>
      <c r="AN101" s="5" t="str">
        <f>IF(Demand!BE110="Yes","Yes","")</f>
        <v/>
      </c>
      <c r="AP101" s="36" t="str">
        <f ca="1">Demand!B110</f>
        <v xml:space="preserve"> </v>
      </c>
      <c r="AQ101" t="str">
        <f ca="1">IF(TEXT(Demand!D110,"MMM")&lt;&gt;TEXT(Demand!D109,"MMM"),TEXT(Demand!D110,"MMM"),"")</f>
        <v/>
      </c>
      <c r="AT101" s="5">
        <f t="shared" ca="1" si="42"/>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ca="1">IF(OR(AN101&lt;&gt;"",AND('Demand adjustments for Covid'!$F$9="Yes",'Demand adjustments for Covid'!$F$20="Yes")),"",SUM(CW101:DF101))</f>
        <v>0</v>
      </c>
    </row>
    <row r="102" spans="1:111" x14ac:dyDescent="0.2">
      <c r="A102" s="5">
        <f t="shared" ca="1" si="34"/>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7"/>
        <v>0</v>
      </c>
      <c r="Y102">
        <f t="shared" ca="1" si="38"/>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9"/>
        <v>0</v>
      </c>
      <c r="AL102" s="5">
        <f t="shared" ca="1" si="40"/>
        <v>0</v>
      </c>
      <c r="AM102" s="5">
        <f t="shared" ca="1" si="41"/>
        <v>0</v>
      </c>
      <c r="AN102" s="5" t="str">
        <f>IF(Demand!BE111="Yes","Yes","")</f>
        <v/>
      </c>
      <c r="AP102" s="36" t="str">
        <f ca="1">Demand!B111</f>
        <v xml:space="preserve"> </v>
      </c>
      <c r="AQ102" t="str">
        <f ca="1">IF(TEXT(Demand!D111,"MMM")&lt;&gt;TEXT(Demand!D110,"MMM"),TEXT(Demand!D111,"MMM"),"")</f>
        <v/>
      </c>
      <c r="AT102" s="5">
        <f t="shared" ca="1" si="42"/>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ca="1">IF(OR(AN102&lt;&gt;"",AND('Demand adjustments for Covid'!$F$9="Yes",'Demand adjustments for Covid'!$F$20="Yes")),"",SUM(CW102:DF102))</f>
        <v>0</v>
      </c>
    </row>
    <row r="103" spans="1:111" x14ac:dyDescent="0.2">
      <c r="A103" s="5">
        <f t="shared" ca="1" si="34"/>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7"/>
        <v>0</v>
      </c>
      <c r="Y103">
        <f t="shared" ca="1" si="38"/>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9"/>
        <v>0</v>
      </c>
      <c r="AL103" s="5">
        <f t="shared" ca="1" si="40"/>
        <v>0</v>
      </c>
      <c r="AM103" s="5">
        <f t="shared" ca="1" si="41"/>
        <v>0</v>
      </c>
      <c r="AN103" s="5" t="str">
        <f>IF(Demand!BE112="Yes","Yes","")</f>
        <v/>
      </c>
      <c r="AP103" s="36" t="str">
        <f ca="1">Demand!B112</f>
        <v xml:space="preserve"> </v>
      </c>
      <c r="AQ103" t="str">
        <f ca="1">IF(TEXT(Demand!D112,"MMM")&lt;&gt;TEXT(Demand!D111,"MMM"),TEXT(Demand!D112,"MMM"),"")</f>
        <v/>
      </c>
      <c r="AT103" s="5">
        <f t="shared" ca="1" si="42"/>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ca="1">IF(OR(AN103&lt;&gt;"",AND('Demand adjustments for Covid'!$F$9="Yes",'Demand adjustments for Covid'!$F$20="Yes")),"",SUM(CW103:DF103))</f>
        <v>0</v>
      </c>
    </row>
    <row r="104" spans="1:111" x14ac:dyDescent="0.2">
      <c r="A104" s="5">
        <f t="shared" ca="1" si="34"/>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7"/>
        <v>0</v>
      </c>
      <c r="Y104">
        <f t="shared" ca="1" si="38"/>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9"/>
        <v>0</v>
      </c>
      <c r="AL104" s="5">
        <f t="shared" ca="1" si="40"/>
        <v>0</v>
      </c>
      <c r="AM104" s="5">
        <f t="shared" ca="1" si="41"/>
        <v>0</v>
      </c>
      <c r="AN104" s="5" t="str">
        <f>IF(Demand!BE113="Yes","Yes","")</f>
        <v/>
      </c>
      <c r="AP104" s="36" t="str">
        <f ca="1">Demand!B113</f>
        <v xml:space="preserve"> </v>
      </c>
      <c r="AQ104" t="str">
        <f ca="1">IF(TEXT(Demand!D113,"MMM")&lt;&gt;TEXT(Demand!D112,"MMM"),TEXT(Demand!D113,"MMM"),"")</f>
        <v/>
      </c>
      <c r="AT104" s="5">
        <f t="shared" ca="1" si="42"/>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ca="1">IF(OR(AN104&lt;&gt;"",AND('Demand adjustments for Covid'!$F$9="Yes",'Demand adjustments for Covid'!$F$20="Yes")),"",SUM(CW104:DF104))</f>
        <v>0</v>
      </c>
    </row>
    <row r="105" spans="1:111" x14ac:dyDescent="0.2">
      <c r="A105" s="5">
        <f t="shared" ca="1" si="34"/>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7"/>
        <v>0</v>
      </c>
      <c r="Y105">
        <f t="shared" ca="1" si="38"/>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9"/>
        <v>0</v>
      </c>
      <c r="AL105" s="5">
        <f t="shared" ca="1" si="40"/>
        <v>0</v>
      </c>
      <c r="AM105" s="5">
        <f t="shared" ca="1" si="41"/>
        <v>0</v>
      </c>
      <c r="AN105" s="5" t="str">
        <f>IF(Demand!BE114="Yes","Yes","")</f>
        <v/>
      </c>
      <c r="AP105" s="36" t="str">
        <f ca="1">Demand!B114</f>
        <v xml:space="preserve"> </v>
      </c>
      <c r="AQ105" t="str">
        <f ca="1">IF(TEXT(Demand!D114,"MMM")&lt;&gt;TEXT(Demand!D113,"MMM"),TEXT(Demand!D114,"MMM"),"")</f>
        <v/>
      </c>
      <c r="AT105" s="5">
        <f t="shared" ca="1" si="42"/>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ca="1">IF(OR(AN105&lt;&gt;"",AND('Demand adjustments for Covid'!$F$9="Yes",'Demand adjustments for Covid'!$F$20="Yes")),"",SUM(CW105:DF105))</f>
        <v>0</v>
      </c>
    </row>
    <row r="106" spans="1:111" x14ac:dyDescent="0.2">
      <c r="A106" s="5">
        <f t="shared" ca="1" si="34"/>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7"/>
        <v>0</v>
      </c>
      <c r="Y106">
        <f t="shared" ca="1" si="38"/>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9"/>
        <v>0</v>
      </c>
      <c r="AL106" s="5">
        <f t="shared" ca="1" si="40"/>
        <v>0</v>
      </c>
      <c r="AM106" s="5">
        <f t="shared" ca="1" si="41"/>
        <v>0</v>
      </c>
      <c r="AN106" s="5" t="str">
        <f>IF(Demand!BE115="Yes","Yes","")</f>
        <v/>
      </c>
      <c r="AP106" s="36" t="str">
        <f ca="1">Demand!B115</f>
        <v xml:space="preserve"> </v>
      </c>
      <c r="AQ106" t="str">
        <f ca="1">IF(TEXT(Demand!D115,"MMM")&lt;&gt;TEXT(Demand!D114,"MMM"),TEXT(Demand!D115,"MMM"),"")</f>
        <v/>
      </c>
      <c r="AT106" s="5">
        <f t="shared" ca="1" si="42"/>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ca="1">IF(OR(AN106&lt;&gt;"",AND('Demand adjustments for Covid'!$F$9="Yes",'Demand adjustments for Covid'!$F$20="Yes")),"",SUM(CW106:DF106))</f>
        <v>0</v>
      </c>
    </row>
    <row r="107" spans="1:111" x14ac:dyDescent="0.2">
      <c r="A107" s="5">
        <f t="shared" ca="1" si="34"/>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7"/>
        <v>0</v>
      </c>
      <c r="Y107">
        <f t="shared" ca="1" si="38"/>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9"/>
        <v>0</v>
      </c>
      <c r="AL107" s="5">
        <f t="shared" ca="1" si="40"/>
        <v>0</v>
      </c>
      <c r="AM107" s="5">
        <f t="shared" ca="1" si="41"/>
        <v>0</v>
      </c>
      <c r="AN107" s="5" t="str">
        <f>IF(Demand!BE116="Yes","Yes","")</f>
        <v/>
      </c>
      <c r="AP107" s="36" t="str">
        <f ca="1">Demand!B116</f>
        <v xml:space="preserve"> </v>
      </c>
      <c r="AQ107" t="str">
        <f ca="1">IF(TEXT(Demand!D116,"MMM")&lt;&gt;TEXT(Demand!D115,"MMM"),TEXT(Demand!D116,"MMM"),"")</f>
        <v/>
      </c>
      <c r="AT107" s="5">
        <f t="shared" ca="1" si="42"/>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ca="1">IF(OR(AN107&lt;&gt;"",AND('Demand adjustments for Covid'!$F$9="Yes",'Demand adjustments for Covid'!$F$20="Yes")),"",SUM(CW107:DF107))</f>
        <v>0</v>
      </c>
    </row>
    <row r="108" spans="1:111" x14ac:dyDescent="0.2">
      <c r="A108" s="5">
        <f t="shared" ca="1" si="34"/>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7"/>
        <v>0</v>
      </c>
      <c r="Y108">
        <f t="shared" ca="1" si="38"/>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9"/>
        <v>0</v>
      </c>
      <c r="AL108" s="5">
        <f t="shared" ca="1" si="40"/>
        <v>0</v>
      </c>
      <c r="AM108" s="5">
        <f t="shared" ca="1" si="41"/>
        <v>0</v>
      </c>
      <c r="AN108" s="5" t="str">
        <f>IF(Demand!BE117="Yes","Yes","")</f>
        <v/>
      </c>
      <c r="AP108" s="36" t="str">
        <f ca="1">Demand!B117</f>
        <v xml:space="preserve"> </v>
      </c>
      <c r="AQ108" t="str">
        <f ca="1">IF(TEXT(Demand!D117,"MMM")&lt;&gt;TEXT(Demand!D116,"MMM"),TEXT(Demand!D117,"MMM"),"")</f>
        <v/>
      </c>
      <c r="AT108" s="5">
        <f t="shared" ca="1" si="42"/>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ca="1">IF(OR(AN108&lt;&gt;"",AND('Demand adjustments for Covid'!$F$9="Yes",'Demand adjustments for Covid'!$F$20="Yes")),"",SUM(CW108:DF108))</f>
        <v>0</v>
      </c>
    </row>
    <row r="109" spans="1:111" x14ac:dyDescent="0.2">
      <c r="A109" s="5">
        <f t="shared" ca="1" si="34"/>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7"/>
        <v>0</v>
      </c>
      <c r="Y109">
        <f t="shared" ca="1" si="38"/>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9"/>
        <v>0</v>
      </c>
      <c r="AL109" s="5">
        <f t="shared" ca="1" si="40"/>
        <v>0</v>
      </c>
      <c r="AM109" s="5">
        <f t="shared" ca="1" si="41"/>
        <v>0</v>
      </c>
      <c r="AN109" s="5" t="str">
        <f>IF(Demand!BE118="Yes","Yes","")</f>
        <v/>
      </c>
      <c r="AP109" s="36" t="str">
        <f ca="1">Demand!B118</f>
        <v xml:space="preserve"> </v>
      </c>
      <c r="AQ109" t="str">
        <f ca="1">IF(TEXT(Demand!D118,"MMM")&lt;&gt;TEXT(Demand!D117,"MMM"),TEXT(Demand!D118,"MMM"),"")</f>
        <v/>
      </c>
      <c r="AT109" s="5">
        <f t="shared" ca="1" si="42"/>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ca="1">IF(OR(AN109&lt;&gt;"",AND('Demand adjustments for Covid'!$F$9="Yes",'Demand adjustments for Covid'!$F$20="Yes")),"",SUM(CW109:DF109))</f>
        <v>0</v>
      </c>
    </row>
    <row r="110" spans="1:111" x14ac:dyDescent="0.2">
      <c r="A110" s="5">
        <f t="shared" ca="1" si="34"/>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7"/>
        <v>0</v>
      </c>
      <c r="Y110">
        <f t="shared" ca="1" si="38"/>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9"/>
        <v>0</v>
      </c>
      <c r="AL110" s="5">
        <f t="shared" ca="1" si="40"/>
        <v>0</v>
      </c>
      <c r="AM110" s="5">
        <f t="shared" ca="1" si="41"/>
        <v>0</v>
      </c>
      <c r="AN110" s="5" t="str">
        <f>IF(Demand!BE119="Yes","Yes","")</f>
        <v/>
      </c>
      <c r="AP110" s="36" t="str">
        <f ca="1">Demand!B119</f>
        <v xml:space="preserve"> </v>
      </c>
      <c r="AQ110" t="str">
        <f ca="1">IF(TEXT(Demand!D119,"MMM")&lt;&gt;TEXT(Demand!D118,"MMM"),TEXT(Demand!D119,"MMM"),"")</f>
        <v/>
      </c>
      <c r="AT110" s="5">
        <f t="shared" ca="1" si="42"/>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ca="1">IF(OR(AN110&lt;&gt;"",AND('Demand adjustments for Covid'!$F$9="Yes",'Demand adjustments for Covid'!$F$20="Yes")),"",SUM(CW110:DF110))</f>
        <v>0</v>
      </c>
    </row>
    <row r="111" spans="1:111" x14ac:dyDescent="0.2">
      <c r="A111" s="5">
        <f t="shared" ca="1" si="34"/>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7"/>
        <v>0</v>
      </c>
      <c r="Y111">
        <f t="shared" ca="1" si="38"/>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9"/>
        <v>0</v>
      </c>
      <c r="AL111" s="5">
        <f t="shared" ca="1" si="40"/>
        <v>0</v>
      </c>
      <c r="AM111" s="5">
        <f t="shared" ca="1" si="41"/>
        <v>0</v>
      </c>
      <c r="AN111" s="5" t="str">
        <f>IF(Demand!BE120="Yes","Yes","")</f>
        <v/>
      </c>
      <c r="AP111" s="36" t="str">
        <f ca="1">Demand!B120</f>
        <v xml:space="preserve"> </v>
      </c>
      <c r="AQ111" t="str">
        <f ca="1">IF(TEXT(Demand!D120,"MMM")&lt;&gt;TEXT(Demand!D119,"MMM"),TEXT(Demand!D120,"MMM"),"")</f>
        <v/>
      </c>
      <c r="AT111" s="5">
        <f t="shared" ca="1" si="42"/>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ca="1">IF(OR(AN111&lt;&gt;"",AND('Demand adjustments for Covid'!$F$9="Yes",'Demand adjustments for Covid'!$F$20="Yes")),"",SUM(CW111:DF111))</f>
        <v>0</v>
      </c>
    </row>
    <row r="112" spans="1:111" x14ac:dyDescent="0.2">
      <c r="A112" s="5">
        <f t="shared" ca="1" si="34"/>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7"/>
        <v>0</v>
      </c>
      <c r="Y112">
        <f t="shared" ca="1" si="38"/>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9"/>
        <v>0</v>
      </c>
      <c r="AL112" s="5">
        <f t="shared" ca="1" si="40"/>
        <v>0</v>
      </c>
      <c r="AM112" s="5">
        <f t="shared" ca="1" si="41"/>
        <v>0</v>
      </c>
      <c r="AN112" s="5" t="str">
        <f>IF(Demand!BE121="Yes","Yes","")</f>
        <v/>
      </c>
      <c r="AP112" s="36" t="str">
        <f ca="1">Demand!B121</f>
        <v xml:space="preserve"> </v>
      </c>
      <c r="AQ112" t="str">
        <f ca="1">IF(TEXT(Demand!D121,"MMM")&lt;&gt;TEXT(Demand!D120,"MMM"),TEXT(Demand!D121,"MMM"),"")</f>
        <v/>
      </c>
      <c r="AT112" s="5">
        <f t="shared" ca="1" si="42"/>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ca="1">IF(OR(AN112&lt;&gt;"",AND('Demand adjustments for Covid'!$F$9="Yes",'Demand adjustments for Covid'!$F$20="Yes")),"",SUM(CW112:DF112))</f>
        <v>0</v>
      </c>
    </row>
    <row r="113" spans="1:111" x14ac:dyDescent="0.2">
      <c r="A113" s="5">
        <f t="shared" ca="1" si="34"/>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7"/>
        <v>0</v>
      </c>
      <c r="Y113">
        <f t="shared" ca="1" si="38"/>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9"/>
        <v>0</v>
      </c>
      <c r="AL113" s="5">
        <f t="shared" ca="1" si="40"/>
        <v>0</v>
      </c>
      <c r="AM113" s="5">
        <f t="shared" ca="1" si="41"/>
        <v>0</v>
      </c>
      <c r="AN113" s="5" t="str">
        <f>IF(Demand!BE122="Yes","Yes","")</f>
        <v/>
      </c>
      <c r="AP113" s="36" t="str">
        <f ca="1">Demand!B122</f>
        <v xml:space="preserve"> </v>
      </c>
      <c r="AQ113" t="str">
        <f ca="1">IF(TEXT(Demand!D122,"MMM")&lt;&gt;TEXT(Demand!D121,"MMM"),TEXT(Demand!D122,"MMM"),"")</f>
        <v/>
      </c>
      <c r="AT113" s="5">
        <f t="shared" ca="1" si="42"/>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ca="1">IF(OR(AN113&lt;&gt;"",AND('Demand adjustments for Covid'!$F$9="Yes",'Demand adjustments for Covid'!$F$20="Yes")),"",SUM(CW113:DF113))</f>
        <v>0</v>
      </c>
    </row>
    <row r="114" spans="1:111" x14ac:dyDescent="0.2">
      <c r="A114" s="5">
        <f t="shared" ca="1" si="34"/>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7"/>
        <v>0</v>
      </c>
      <c r="Y114">
        <f t="shared" ca="1" si="38"/>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9"/>
        <v>0</v>
      </c>
      <c r="AL114" s="5">
        <f t="shared" ca="1" si="40"/>
        <v>0</v>
      </c>
      <c r="AM114" s="5">
        <f t="shared" ca="1" si="41"/>
        <v>0</v>
      </c>
      <c r="AN114" s="5" t="str">
        <f>IF(Demand!BE123="Yes","Yes","")</f>
        <v/>
      </c>
      <c r="AP114" s="36" t="str">
        <f ca="1">Demand!B123</f>
        <v xml:space="preserve"> </v>
      </c>
      <c r="AQ114" t="str">
        <f ca="1">IF(TEXT(Demand!D123,"MMM")&lt;&gt;TEXT(Demand!D122,"MMM"),TEXT(Demand!D123,"MMM"),"")</f>
        <v/>
      </c>
      <c r="AT114" s="5">
        <f t="shared" ca="1" si="42"/>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ca="1">IF(OR(AN114&lt;&gt;"",AND('Demand adjustments for Covid'!$F$9="Yes",'Demand adjustments for Covid'!$F$20="Yes")),"",SUM(CW114:DF114))</f>
        <v>0</v>
      </c>
    </row>
    <row r="115" spans="1:111" x14ac:dyDescent="0.2">
      <c r="A115" s="5">
        <f t="shared" ca="1" si="34"/>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7"/>
        <v>0</v>
      </c>
      <c r="Y115">
        <f t="shared" ca="1" si="38"/>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9"/>
        <v>0</v>
      </c>
      <c r="AL115" s="5">
        <f t="shared" ca="1" si="40"/>
        <v>0</v>
      </c>
      <c r="AM115" s="5">
        <f t="shared" ca="1" si="41"/>
        <v>0</v>
      </c>
      <c r="AN115" s="5" t="str">
        <f>IF(Demand!BE124="Yes","Yes","")</f>
        <v/>
      </c>
      <c r="AP115" s="36" t="str">
        <f ca="1">Demand!B124</f>
        <v xml:space="preserve"> </v>
      </c>
      <c r="AQ115" t="str">
        <f ca="1">IF(TEXT(Demand!D124,"MMM")&lt;&gt;TEXT(Demand!D123,"MMM"),TEXT(Demand!D124,"MMM"),"")</f>
        <v/>
      </c>
      <c r="AT115" s="5">
        <f t="shared" ca="1" si="42"/>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ca="1">IF(OR(AN115&lt;&gt;"",AND('Demand adjustments for Covid'!$F$9="Yes",'Demand adjustments for Covid'!$F$20="Yes")),"",SUM(CW115:DF115))</f>
        <v>0</v>
      </c>
    </row>
    <row r="116" spans="1:111" x14ac:dyDescent="0.2">
      <c r="A116" s="5">
        <f t="shared" ca="1" si="34"/>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7"/>
        <v>0</v>
      </c>
      <c r="Y116">
        <f t="shared" ca="1" si="38"/>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9"/>
        <v>0</v>
      </c>
      <c r="AL116" s="5">
        <f t="shared" ca="1" si="40"/>
        <v>0</v>
      </c>
      <c r="AM116" s="5">
        <f t="shared" ca="1" si="41"/>
        <v>0</v>
      </c>
      <c r="AN116" s="5" t="str">
        <f>IF(Demand!BE125="Yes","Yes","")</f>
        <v/>
      </c>
      <c r="AP116" s="36" t="str">
        <f ca="1">Demand!B125</f>
        <v xml:space="preserve"> </v>
      </c>
      <c r="AQ116" t="str">
        <f ca="1">IF(TEXT(Demand!D125,"MMM")&lt;&gt;TEXT(Demand!D124,"MMM"),TEXT(Demand!D125,"MMM"),"")</f>
        <v/>
      </c>
      <c r="AT116" s="5">
        <f t="shared" ca="1" si="42"/>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ca="1">IF(OR(AN116&lt;&gt;"",AND('Demand adjustments for Covid'!$F$9="Yes",'Demand adjustments for Covid'!$F$20="Yes")),"",SUM(CW116:DF116))</f>
        <v>0</v>
      </c>
    </row>
    <row r="117" spans="1:111" x14ac:dyDescent="0.2">
      <c r="A117" s="5">
        <f t="shared" ca="1" si="34"/>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7"/>
        <v>0</v>
      </c>
      <c r="Y117">
        <f t="shared" ca="1" si="38"/>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9"/>
        <v>0</v>
      </c>
      <c r="AL117" s="5">
        <f t="shared" ca="1" si="40"/>
        <v>0</v>
      </c>
      <c r="AM117" s="5">
        <f t="shared" ca="1" si="41"/>
        <v>0</v>
      </c>
      <c r="AN117" s="5" t="str">
        <f>IF(Demand!BE126="Yes","Yes","")</f>
        <v/>
      </c>
      <c r="AP117" s="36" t="str">
        <f ca="1">Demand!B126</f>
        <v xml:space="preserve"> </v>
      </c>
      <c r="AQ117" t="str">
        <f ca="1">IF(TEXT(Demand!D126,"MMM")&lt;&gt;TEXT(Demand!D125,"MMM"),TEXT(Demand!D126,"MMM"),"")</f>
        <v/>
      </c>
      <c r="AT117" s="5">
        <f t="shared" ca="1" si="42"/>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ca="1">IF(OR(AN117&lt;&gt;"",AND('Demand adjustments for Covid'!$F$9="Yes",'Demand adjustments for Covid'!$F$20="Yes")),"",SUM(CW117:DF117))</f>
        <v>0</v>
      </c>
    </row>
    <row r="118" spans="1:111" x14ac:dyDescent="0.2">
      <c r="A118" s="5">
        <f t="shared" ca="1" si="34"/>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7"/>
        <v>0</v>
      </c>
      <c r="Y118">
        <f t="shared" ca="1" si="38"/>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9"/>
        <v>0</v>
      </c>
      <c r="AL118" s="5">
        <f t="shared" ca="1" si="40"/>
        <v>0</v>
      </c>
      <c r="AM118" s="5">
        <f t="shared" ca="1" si="41"/>
        <v>0</v>
      </c>
      <c r="AN118" s="5" t="str">
        <f>IF(Demand!BE127="Yes","Yes","")</f>
        <v/>
      </c>
      <c r="AP118" s="36" t="str">
        <f ca="1">Demand!B127</f>
        <v xml:space="preserve"> </v>
      </c>
      <c r="AQ118" t="str">
        <f ca="1">IF(TEXT(Demand!D127,"MMM")&lt;&gt;TEXT(Demand!D126,"MMM"),TEXT(Demand!D127,"MMM"),"")</f>
        <v/>
      </c>
      <c r="AT118" s="5">
        <f t="shared" ca="1" si="42"/>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ca="1">IF(OR(AN118&lt;&gt;"",AND('Demand adjustments for Covid'!$F$9="Yes",'Demand adjustments for Covid'!$F$20="Yes")),"",SUM(CW118:DF118))</f>
        <v>0</v>
      </c>
    </row>
    <row r="119" spans="1:111" x14ac:dyDescent="0.2">
      <c r="A119" s="5">
        <f t="shared" ca="1" si="34"/>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7"/>
        <v>0</v>
      </c>
      <c r="Y119">
        <f t="shared" ca="1" si="38"/>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9"/>
        <v>0</v>
      </c>
      <c r="AL119" s="5">
        <f t="shared" ca="1" si="40"/>
        <v>0</v>
      </c>
      <c r="AM119" s="5">
        <f t="shared" ca="1" si="41"/>
        <v>0</v>
      </c>
      <c r="AN119" s="5" t="str">
        <f>IF(Demand!BE128="Yes","Yes","")</f>
        <v/>
      </c>
      <c r="AP119" s="36" t="str">
        <f ca="1">Demand!B128</f>
        <v xml:space="preserve"> </v>
      </c>
      <c r="AQ119" t="str">
        <f ca="1">IF(TEXT(Demand!D128,"MMM")&lt;&gt;TEXT(Demand!D127,"MMM"),TEXT(Demand!D128,"MMM"),"")</f>
        <v/>
      </c>
      <c r="AT119" s="5">
        <f t="shared" ca="1" si="42"/>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ca="1">IF(OR(AN119&lt;&gt;"",AND('Demand adjustments for Covid'!$F$9="Yes",'Demand adjustments for Covid'!$F$20="Yes")),"",SUM(CW119:DF119))</f>
        <v>0</v>
      </c>
    </row>
    <row r="120" spans="1:111" x14ac:dyDescent="0.2">
      <c r="A120" s="5">
        <f t="shared" ref="A120:A183" ca="1" si="43">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7"/>
        <v>0</v>
      </c>
      <c r="Y120">
        <f t="shared" ca="1" si="38"/>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9"/>
        <v>0</v>
      </c>
      <c r="AL120" s="5">
        <f t="shared" ca="1" si="40"/>
        <v>0</v>
      </c>
      <c r="AM120" s="5">
        <f t="shared" ca="1" si="41"/>
        <v>0</v>
      </c>
      <c r="AN120" s="5" t="str">
        <f>IF(Demand!BE129="Yes","Yes","")</f>
        <v/>
      </c>
      <c r="AP120" s="36" t="str">
        <f ca="1">Demand!B129</f>
        <v xml:space="preserve"> </v>
      </c>
      <c r="AQ120" t="str">
        <f ca="1">IF(TEXT(Demand!D129,"MMM")&lt;&gt;TEXT(Demand!D128,"MMM"),TEXT(Demand!D129,"MMM"),"")</f>
        <v/>
      </c>
      <c r="AT120" s="5">
        <f t="shared" ca="1" si="42"/>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ca="1">IF(OR(AN120&lt;&gt;"",AND('Demand adjustments for Covid'!$F$9="Yes",'Demand adjustments for Covid'!$F$20="Yes")),"",SUM(CW120:DF120))</f>
        <v>0</v>
      </c>
    </row>
    <row r="121" spans="1:111" x14ac:dyDescent="0.2">
      <c r="A121" s="5">
        <f t="shared" ca="1" si="43"/>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7"/>
        <v>0</v>
      </c>
      <c r="Y121">
        <f t="shared" ca="1" si="38"/>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9"/>
        <v>0</v>
      </c>
      <c r="AL121" s="5">
        <f t="shared" ca="1" si="40"/>
        <v>0</v>
      </c>
      <c r="AM121" s="5">
        <f t="shared" ca="1" si="41"/>
        <v>0</v>
      </c>
      <c r="AN121" s="5" t="str">
        <f>IF(Demand!BE130="Yes","Yes","")</f>
        <v/>
      </c>
      <c r="AP121" s="36" t="str">
        <f ca="1">Demand!B130</f>
        <v xml:space="preserve"> </v>
      </c>
      <c r="AQ121" t="str">
        <f ca="1">IF(TEXT(Demand!D130,"MMM")&lt;&gt;TEXT(Demand!D129,"MMM"),TEXT(Demand!D130,"MMM"),"")</f>
        <v/>
      </c>
      <c r="AT121" s="5">
        <f t="shared" ca="1" si="42"/>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ca="1">IF(OR(AN121&lt;&gt;"",AND('Demand adjustments for Covid'!$F$9="Yes",'Demand adjustments for Covid'!$F$20="Yes")),"",SUM(CW121:DF121))</f>
        <v>0</v>
      </c>
    </row>
    <row r="122" spans="1:111" x14ac:dyDescent="0.2">
      <c r="A122" s="5">
        <f t="shared" ca="1" si="43"/>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7"/>
        <v>0</v>
      </c>
      <c r="Y122">
        <f t="shared" ca="1" si="38"/>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9"/>
        <v>0</v>
      </c>
      <c r="AL122" s="5">
        <f t="shared" ca="1" si="40"/>
        <v>0</v>
      </c>
      <c r="AM122" s="5">
        <f t="shared" ca="1" si="41"/>
        <v>0</v>
      </c>
      <c r="AN122" s="5" t="str">
        <f>IF(Demand!BE131="Yes","Yes","")</f>
        <v/>
      </c>
      <c r="AP122" s="36" t="str">
        <f ca="1">Demand!B131</f>
        <v xml:space="preserve"> </v>
      </c>
      <c r="AQ122" t="str">
        <f ca="1">IF(TEXT(Demand!D131,"MMM")&lt;&gt;TEXT(Demand!D130,"MMM"),TEXT(Demand!D131,"MMM"),"")</f>
        <v/>
      </c>
      <c r="AT122" s="5">
        <f t="shared" ca="1" si="42"/>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ca="1">IF(OR(AN122&lt;&gt;"",AND('Demand adjustments for Covid'!$F$9="Yes",'Demand adjustments for Covid'!$F$20="Yes")),"",SUM(CW122:DF122))</f>
        <v>0</v>
      </c>
    </row>
    <row r="123" spans="1:111" x14ac:dyDescent="0.2">
      <c r="A123" s="5">
        <f t="shared" ca="1" si="43"/>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7"/>
        <v>0</v>
      </c>
      <c r="Y123">
        <f t="shared" ca="1" si="38"/>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9"/>
        <v>0</v>
      </c>
      <c r="AL123" s="5">
        <f t="shared" ca="1" si="40"/>
        <v>0</v>
      </c>
      <c r="AM123" s="5">
        <f t="shared" ca="1" si="41"/>
        <v>0</v>
      </c>
      <c r="AN123" s="5" t="str">
        <f>IF(Demand!BE132="Yes","Yes","")</f>
        <v/>
      </c>
      <c r="AP123" s="36" t="str">
        <f ca="1">Demand!B132</f>
        <v xml:space="preserve"> </v>
      </c>
      <c r="AQ123" t="str">
        <f ca="1">IF(TEXT(Demand!D132,"MMM")&lt;&gt;TEXT(Demand!D131,"MMM"),TEXT(Demand!D132,"MMM"),"")</f>
        <v/>
      </c>
      <c r="AT123" s="5">
        <f t="shared" ca="1" si="42"/>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ca="1">IF(OR(AN123&lt;&gt;"",AND('Demand adjustments for Covid'!$F$9="Yes",'Demand adjustments for Covid'!$F$20="Yes")),"",SUM(CW123:DF123))</f>
        <v>0</v>
      </c>
    </row>
    <row r="124" spans="1:111" x14ac:dyDescent="0.2">
      <c r="A124" s="5">
        <f t="shared" ca="1" si="43"/>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7"/>
        <v>0</v>
      </c>
      <c r="Y124">
        <f t="shared" ca="1" si="38"/>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9"/>
        <v>0</v>
      </c>
      <c r="AL124" s="5">
        <f t="shared" ca="1" si="40"/>
        <v>0</v>
      </c>
      <c r="AM124" s="5">
        <f t="shared" ca="1" si="41"/>
        <v>0</v>
      </c>
      <c r="AN124" s="5" t="str">
        <f>IF(Demand!BE133="Yes","Yes","")</f>
        <v/>
      </c>
      <c r="AP124" s="36" t="str">
        <f ca="1">Demand!B133</f>
        <v xml:space="preserve"> </v>
      </c>
      <c r="AQ124" t="str">
        <f ca="1">IF(TEXT(Demand!D133,"MMM")&lt;&gt;TEXT(Demand!D132,"MMM"),TEXT(Demand!D133,"MMM"),"")</f>
        <v/>
      </c>
      <c r="AT124" s="5">
        <f t="shared" ca="1" si="42"/>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ca="1">IF(OR(AN124&lt;&gt;"",AND('Demand adjustments for Covid'!$F$9="Yes",'Demand adjustments for Covid'!$F$20="Yes")),"",SUM(CW124:DF124))</f>
        <v>0</v>
      </c>
    </row>
    <row r="125" spans="1:111" x14ac:dyDescent="0.2">
      <c r="A125" s="5">
        <f t="shared" ca="1" si="43"/>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7"/>
        <v>0</v>
      </c>
      <c r="Y125">
        <f t="shared" ca="1" si="38"/>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9"/>
        <v>0</v>
      </c>
      <c r="AL125" s="5">
        <f t="shared" ca="1" si="40"/>
        <v>0</v>
      </c>
      <c r="AM125" s="5">
        <f t="shared" ca="1" si="41"/>
        <v>0</v>
      </c>
      <c r="AN125" s="5" t="str">
        <f>IF(Demand!BE134="Yes","Yes","")</f>
        <v/>
      </c>
      <c r="AP125" s="36" t="str">
        <f ca="1">Demand!B134</f>
        <v xml:space="preserve"> </v>
      </c>
      <c r="AQ125" t="str">
        <f ca="1">IF(TEXT(Demand!D134,"MMM")&lt;&gt;TEXT(Demand!D133,"MMM"),TEXT(Demand!D134,"MMM"),"")</f>
        <v/>
      </c>
      <c r="AT125" s="5">
        <f t="shared" ca="1" si="42"/>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ca="1">IF(OR(AN125&lt;&gt;"",AND('Demand adjustments for Covid'!$F$9="Yes",'Demand adjustments for Covid'!$F$20="Yes")),"",SUM(CW125:DF125))</f>
        <v>0</v>
      </c>
    </row>
    <row r="126" spans="1:111" x14ac:dyDescent="0.2">
      <c r="A126" s="5">
        <f t="shared" ca="1" si="43"/>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7"/>
        <v>0</v>
      </c>
      <c r="Y126">
        <f t="shared" ca="1" si="38"/>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9"/>
        <v>0</v>
      </c>
      <c r="AL126" s="5">
        <f t="shared" ca="1" si="40"/>
        <v>0</v>
      </c>
      <c r="AM126" s="5">
        <f t="shared" ca="1" si="41"/>
        <v>0</v>
      </c>
      <c r="AN126" s="5" t="str">
        <f>IF(Demand!BE135="Yes","Yes","")</f>
        <v/>
      </c>
      <c r="AP126" s="36" t="str">
        <f ca="1">Demand!B135</f>
        <v xml:space="preserve"> </v>
      </c>
      <c r="AQ126" t="str">
        <f ca="1">IF(TEXT(Demand!D135,"MMM")&lt;&gt;TEXT(Demand!D134,"MMM"),TEXT(Demand!D135,"MMM"),"")</f>
        <v/>
      </c>
      <c r="AT126" s="5">
        <f t="shared" ca="1" si="42"/>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ca="1">IF(OR(AN126&lt;&gt;"",AND('Demand adjustments for Covid'!$F$9="Yes",'Demand adjustments for Covid'!$F$20="Yes")),"",SUM(CW126:DF126))</f>
        <v>0</v>
      </c>
    </row>
    <row r="127" spans="1:111" x14ac:dyDescent="0.2">
      <c r="A127" s="5">
        <f t="shared" ca="1" si="43"/>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7"/>
        <v>0</v>
      </c>
      <c r="Y127">
        <f t="shared" ca="1" si="38"/>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9"/>
        <v>0</v>
      </c>
      <c r="AL127" s="5">
        <f t="shared" ca="1" si="40"/>
        <v>0</v>
      </c>
      <c r="AM127" s="5">
        <f t="shared" ca="1" si="41"/>
        <v>0</v>
      </c>
      <c r="AN127" s="5" t="str">
        <f>IF(Demand!BE136="Yes","Yes","")</f>
        <v/>
      </c>
      <c r="AP127" s="36" t="str">
        <f ca="1">Demand!B136</f>
        <v xml:space="preserve"> </v>
      </c>
      <c r="AQ127" t="str">
        <f ca="1">IF(TEXT(Demand!D136,"MMM")&lt;&gt;TEXT(Demand!D135,"MMM"),TEXT(Demand!D136,"MMM"),"")</f>
        <v/>
      </c>
      <c r="AT127" s="5">
        <f t="shared" ca="1" si="42"/>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ca="1">IF(OR(AN127&lt;&gt;"",AND('Demand adjustments for Covid'!$F$9="Yes",'Demand adjustments for Covid'!$F$20="Yes")),"",SUM(CW127:DF127))</f>
        <v>0</v>
      </c>
    </row>
    <row r="128" spans="1:111" x14ac:dyDescent="0.2">
      <c r="A128" s="5">
        <f t="shared" ca="1" si="43"/>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7"/>
        <v>0</v>
      </c>
      <c r="Y128">
        <f t="shared" ca="1" si="38"/>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9"/>
        <v>0</v>
      </c>
      <c r="AL128" s="5">
        <f t="shared" ca="1" si="40"/>
        <v>0</v>
      </c>
      <c r="AM128" s="5">
        <f t="shared" ca="1" si="41"/>
        <v>0</v>
      </c>
      <c r="AN128" s="5" t="str">
        <f>IF(Demand!BE137="Yes","Yes","")</f>
        <v/>
      </c>
      <c r="AP128" s="36" t="str">
        <f ca="1">Demand!B137</f>
        <v xml:space="preserve"> </v>
      </c>
      <c r="AQ128" t="str">
        <f ca="1">IF(TEXT(Demand!D137,"MMM")&lt;&gt;TEXT(Demand!D136,"MMM"),TEXT(Demand!D137,"MMM"),"")</f>
        <v/>
      </c>
      <c r="AT128" s="5">
        <f t="shared" ca="1" si="42"/>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ca="1">IF(OR(AN128&lt;&gt;"",AND('Demand adjustments for Covid'!$F$9="Yes",'Demand adjustments for Covid'!$F$20="Yes")),"",SUM(CW128:DF128))</f>
        <v>0</v>
      </c>
    </row>
    <row r="129" spans="1:111" x14ac:dyDescent="0.2">
      <c r="A129" s="5">
        <f t="shared" ca="1" si="43"/>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7"/>
        <v>0</v>
      </c>
      <c r="Y129">
        <f t="shared" ca="1" si="38"/>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9"/>
        <v>0</v>
      </c>
      <c r="AL129" s="5">
        <f t="shared" ca="1" si="40"/>
        <v>0</v>
      </c>
      <c r="AM129" s="5">
        <f t="shared" ca="1" si="41"/>
        <v>0</v>
      </c>
      <c r="AN129" s="5" t="str">
        <f>IF(Demand!BE138="Yes","Yes","")</f>
        <v/>
      </c>
      <c r="AP129" s="36" t="str">
        <f ca="1">Demand!B138</f>
        <v xml:space="preserve"> </v>
      </c>
      <c r="AQ129" t="str">
        <f ca="1">IF(TEXT(Demand!D138,"MMM")&lt;&gt;TEXT(Demand!D137,"MMM"),TEXT(Demand!D138,"MMM"),"")</f>
        <v/>
      </c>
      <c r="AT129" s="5">
        <f t="shared" ca="1" si="42"/>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ca="1">IF(OR(AN129&lt;&gt;"",AND('Demand adjustments for Covid'!$F$9="Yes",'Demand adjustments for Covid'!$F$20="Yes")),"",SUM(CW129:DF129))</f>
        <v>0</v>
      </c>
    </row>
    <row r="130" spans="1:111" x14ac:dyDescent="0.2">
      <c r="A130" s="5">
        <f t="shared" ca="1" si="43"/>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7"/>
        <v>0</v>
      </c>
      <c r="Y130">
        <f t="shared" ca="1" si="38"/>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9"/>
        <v>0</v>
      </c>
      <c r="AL130" s="5">
        <f t="shared" ca="1" si="40"/>
        <v>0</v>
      </c>
      <c r="AM130" s="5">
        <f t="shared" ca="1" si="41"/>
        <v>0</v>
      </c>
      <c r="AN130" s="5" t="str">
        <f>IF(Demand!BE139="Yes","Yes","")</f>
        <v/>
      </c>
      <c r="AP130" s="36" t="str">
        <f ca="1">Demand!B139</f>
        <v xml:space="preserve"> </v>
      </c>
      <c r="AQ130" t="str">
        <f ca="1">IF(TEXT(Demand!D139,"MMM")&lt;&gt;TEXT(Demand!D138,"MMM"),TEXT(Demand!D139,"MMM"),"")</f>
        <v/>
      </c>
      <c r="AT130" s="5">
        <f t="shared" ca="1" si="42"/>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ca="1">IF(OR(AN130&lt;&gt;"",AND('Demand adjustments for Covid'!$F$9="Yes",'Demand adjustments for Covid'!$F$20="Yes")),"",SUM(CW130:DF130))</f>
        <v>0</v>
      </c>
    </row>
    <row r="131" spans="1:111" x14ac:dyDescent="0.2">
      <c r="A131" s="5">
        <f t="shared" ca="1" si="43"/>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7"/>
        <v>0</v>
      </c>
      <c r="Y131">
        <f t="shared" ca="1" si="38"/>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9"/>
        <v>0</v>
      </c>
      <c r="AL131" s="5">
        <f t="shared" ca="1" si="40"/>
        <v>0</v>
      </c>
      <c r="AM131" s="5">
        <f t="shared" ca="1" si="41"/>
        <v>0</v>
      </c>
      <c r="AN131" s="5" t="str">
        <f>IF(Demand!BE140="Yes","Yes","")</f>
        <v/>
      </c>
      <c r="AP131" s="36" t="str">
        <f ca="1">Demand!B140</f>
        <v xml:space="preserve"> </v>
      </c>
      <c r="AQ131" t="str">
        <f ca="1">IF(TEXT(Demand!D140,"MMM")&lt;&gt;TEXT(Demand!D139,"MMM"),TEXT(Demand!D140,"MMM"),"")</f>
        <v/>
      </c>
      <c r="AT131" s="5">
        <f t="shared" ca="1" si="42"/>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ca="1">IF(OR(AN131&lt;&gt;"",AND('Demand adjustments for Covid'!$F$9="Yes",'Demand adjustments for Covid'!$F$20="Yes")),"",SUM(CW131:DF131))</f>
        <v>0</v>
      </c>
    </row>
    <row r="132" spans="1:111" x14ac:dyDescent="0.2">
      <c r="A132" s="5">
        <f t="shared" ca="1" si="43"/>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44">IF(AN132="",SUM(OFFSET(N132,0,0,1,Num_Modalities)),"")</f>
        <v>0</v>
      </c>
      <c r="Y132">
        <f t="shared" ref="Y132:Y195" ca="1" si="45">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6">SUM(OFFSET(Z132,0,0,1,Num_Modalities))</f>
        <v>0</v>
      </c>
      <c r="AL132" s="5">
        <f t="shared" ca="1" si="40"/>
        <v>0</v>
      </c>
      <c r="AM132" s="5">
        <f t="shared" ca="1" si="41"/>
        <v>0</v>
      </c>
      <c r="AN132" s="5" t="str">
        <f>IF(Demand!BE141="Yes","Yes","")</f>
        <v/>
      </c>
      <c r="AP132" s="36" t="str">
        <f ca="1">Demand!B141</f>
        <v xml:space="preserve"> </v>
      </c>
      <c r="AQ132" t="str">
        <f ca="1">IF(TEXT(Demand!D141,"MMM")&lt;&gt;TEXT(Demand!D140,"MMM"),TEXT(Demand!D141,"MMM"),"")</f>
        <v/>
      </c>
      <c r="AT132" s="5">
        <f t="shared" ca="1" si="42"/>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ca="1">IF(OR(AN132&lt;&gt;"",AND('Demand adjustments for Covid'!$F$9="Yes",'Demand adjustments for Covid'!$F$20="Yes")),"",SUM(CW132:DF132))</f>
        <v>0</v>
      </c>
    </row>
    <row r="133" spans="1:111" x14ac:dyDescent="0.2">
      <c r="A133" s="5">
        <f t="shared" ca="1" si="43"/>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44"/>
        <v>0</v>
      </c>
      <c r="Y133">
        <f t="shared" ca="1" si="45"/>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6"/>
        <v>0</v>
      </c>
      <c r="AL133" s="5">
        <f t="shared" ref="AL133:AL196" ca="1" si="47">X133</f>
        <v>0</v>
      </c>
      <c r="AM133" s="5">
        <f t="shared" ref="AM133:AM196" ca="1" si="48">IF(AN133&lt;&gt;"","",AJ133)</f>
        <v>0</v>
      </c>
      <c r="AN133" s="5" t="str">
        <f>IF(Demand!BE142="Yes","Yes","")</f>
        <v/>
      </c>
      <c r="AP133" s="36" t="str">
        <f ca="1">Demand!B142</f>
        <v xml:space="preserve"> </v>
      </c>
      <c r="AQ133" t="str">
        <f ca="1">IF(TEXT(Demand!D142,"MMM")&lt;&gt;TEXT(Demand!D141,"MMM"),TEXT(Demand!D142,"MMM"),"")</f>
        <v/>
      </c>
      <c r="AT133" s="5">
        <f t="shared" ca="1" si="42"/>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ca="1">IF(OR(AN133&lt;&gt;"",AND('Demand adjustments for Covid'!$F$9="Yes",'Demand adjustments for Covid'!$F$20="Yes")),"",SUM(CW133:DF133))</f>
        <v>0</v>
      </c>
    </row>
    <row r="134" spans="1:111" x14ac:dyDescent="0.2">
      <c r="A134" s="5">
        <f t="shared" ca="1" si="43"/>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44"/>
        <v>0</v>
      </c>
      <c r="Y134">
        <f t="shared" ca="1" si="45"/>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6"/>
        <v>0</v>
      </c>
      <c r="AL134" s="5">
        <f t="shared" ca="1" si="47"/>
        <v>0</v>
      </c>
      <c r="AM134" s="5">
        <f t="shared" ca="1" si="48"/>
        <v>0</v>
      </c>
      <c r="AN134" s="5" t="str">
        <f>IF(Demand!BE143="Yes","Yes","")</f>
        <v/>
      </c>
      <c r="AP134" s="36" t="str">
        <f ca="1">Demand!B143</f>
        <v xml:space="preserve"> </v>
      </c>
      <c r="AQ134" t="str">
        <f ca="1">IF(TEXT(Demand!D143,"MMM")&lt;&gt;TEXT(Demand!D142,"MMM"),TEXT(Demand!D143,"MMM"),"")</f>
        <v/>
      </c>
      <c r="AT134" s="5">
        <f t="shared" ref="AT134:AT197" ca="1" si="49">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ca="1">IF(OR(AN134&lt;&gt;"",AND('Demand adjustments for Covid'!$F$9="Yes",'Demand adjustments for Covid'!$F$20="Yes")),"",SUM(CW134:DF134))</f>
        <v>0</v>
      </c>
    </row>
    <row r="135" spans="1:111" x14ac:dyDescent="0.2">
      <c r="A135" s="5">
        <f t="shared" ca="1" si="43"/>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44"/>
        <v>0</v>
      </c>
      <c r="Y135">
        <f t="shared" ca="1" si="45"/>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6"/>
        <v>0</v>
      </c>
      <c r="AL135" s="5">
        <f t="shared" ca="1" si="47"/>
        <v>0</v>
      </c>
      <c r="AM135" s="5">
        <f t="shared" ca="1" si="48"/>
        <v>0</v>
      </c>
      <c r="AN135" s="5" t="str">
        <f>IF(Demand!BE144="Yes","Yes","")</f>
        <v/>
      </c>
      <c r="AP135" s="36" t="str">
        <f ca="1">Demand!B144</f>
        <v xml:space="preserve"> </v>
      </c>
      <c r="AQ135" t="str">
        <f ca="1">IF(TEXT(Demand!D144,"MMM")&lt;&gt;TEXT(Demand!D143,"MMM"),TEXT(Demand!D144,"MMM"),"")</f>
        <v/>
      </c>
      <c r="AT135" s="5">
        <f t="shared" ca="1" si="49"/>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ca="1">IF(OR(AN135&lt;&gt;"",AND('Demand adjustments for Covid'!$F$9="Yes",'Demand adjustments for Covid'!$F$20="Yes")),"",SUM(CW135:DF135))</f>
        <v>0</v>
      </c>
    </row>
    <row r="136" spans="1:111" x14ac:dyDescent="0.2">
      <c r="A136" s="5">
        <f t="shared" ca="1" si="43"/>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44"/>
        <v>0</v>
      </c>
      <c r="Y136">
        <f t="shared" ca="1" si="45"/>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6"/>
        <v>0</v>
      </c>
      <c r="AL136" s="5">
        <f t="shared" ca="1" si="47"/>
        <v>0</v>
      </c>
      <c r="AM136" s="5">
        <f t="shared" ca="1" si="48"/>
        <v>0</v>
      </c>
      <c r="AN136" s="5" t="str">
        <f>IF(Demand!BE145="Yes","Yes","")</f>
        <v/>
      </c>
      <c r="AP136" s="36" t="str">
        <f ca="1">Demand!B145</f>
        <v xml:space="preserve"> </v>
      </c>
      <c r="AQ136" t="str">
        <f ca="1">IF(TEXT(Demand!D145,"MMM")&lt;&gt;TEXT(Demand!D144,"MMM"),TEXT(Demand!D145,"MMM"),"")</f>
        <v/>
      </c>
      <c r="AT136" s="5">
        <f t="shared" ca="1" si="49"/>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ca="1">IF(OR(AN136&lt;&gt;"",AND('Demand adjustments for Covid'!$F$9="Yes",'Demand adjustments for Covid'!$F$20="Yes")),"",SUM(CW136:DF136))</f>
        <v>0</v>
      </c>
    </row>
    <row r="137" spans="1:111" x14ac:dyDescent="0.2">
      <c r="A137" s="5">
        <f t="shared" ca="1" si="43"/>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44"/>
        <v>0</v>
      </c>
      <c r="Y137">
        <f t="shared" ca="1" si="45"/>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6"/>
        <v>0</v>
      </c>
      <c r="AL137" s="5">
        <f t="shared" ca="1" si="47"/>
        <v>0</v>
      </c>
      <c r="AM137" s="5">
        <f t="shared" ca="1" si="48"/>
        <v>0</v>
      </c>
      <c r="AN137" s="5" t="str">
        <f>IF(Demand!BE146="Yes","Yes","")</f>
        <v/>
      </c>
      <c r="AP137" s="36" t="str">
        <f ca="1">Demand!B146</f>
        <v xml:space="preserve"> </v>
      </c>
      <c r="AQ137" t="str">
        <f ca="1">IF(TEXT(Demand!D146,"MMM")&lt;&gt;TEXT(Demand!D145,"MMM"),TEXT(Demand!D146,"MMM"),"")</f>
        <v/>
      </c>
      <c r="AT137" s="5">
        <f t="shared" ca="1" si="49"/>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ca="1">IF(OR(AN137&lt;&gt;"",AND('Demand adjustments for Covid'!$F$9="Yes",'Demand adjustments for Covid'!$F$20="Yes")),"",SUM(CW137:DF137))</f>
        <v>0</v>
      </c>
    </row>
    <row r="138" spans="1:111" x14ac:dyDescent="0.2">
      <c r="A138" s="5">
        <f t="shared" ca="1" si="43"/>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44"/>
        <v>0</v>
      </c>
      <c r="Y138">
        <f t="shared" ca="1" si="45"/>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6"/>
        <v>0</v>
      </c>
      <c r="AL138" s="5">
        <f t="shared" ca="1" si="47"/>
        <v>0</v>
      </c>
      <c r="AM138" s="5">
        <f t="shared" ca="1" si="48"/>
        <v>0</v>
      </c>
      <c r="AN138" s="5" t="str">
        <f>IF(Demand!BE147="Yes","Yes","")</f>
        <v/>
      </c>
      <c r="AP138" s="36" t="str">
        <f ca="1">Demand!B147</f>
        <v xml:space="preserve"> </v>
      </c>
      <c r="AQ138" t="str">
        <f ca="1">IF(TEXT(Demand!D147,"MMM")&lt;&gt;TEXT(Demand!D146,"MMM"),TEXT(Demand!D147,"MMM"),"")</f>
        <v/>
      </c>
      <c r="AT138" s="5">
        <f t="shared" ca="1" si="49"/>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ca="1">IF(OR(AN138&lt;&gt;"",AND('Demand adjustments for Covid'!$F$9="Yes",'Demand adjustments for Covid'!$F$20="Yes")),"",SUM(CW138:DF138))</f>
        <v>0</v>
      </c>
    </row>
    <row r="139" spans="1:111" x14ac:dyDescent="0.2">
      <c r="A139" s="5">
        <f t="shared" ca="1" si="43"/>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44"/>
        <v>0</v>
      </c>
      <c r="Y139">
        <f t="shared" ca="1" si="45"/>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6"/>
        <v>0</v>
      </c>
      <c r="AL139" s="5">
        <f t="shared" ca="1" si="47"/>
        <v>0</v>
      </c>
      <c r="AM139" s="5">
        <f t="shared" ca="1" si="48"/>
        <v>0</v>
      </c>
      <c r="AN139" s="5" t="str">
        <f>IF(Demand!BE148="Yes","Yes","")</f>
        <v/>
      </c>
      <c r="AP139" s="36" t="str">
        <f ca="1">Demand!B148</f>
        <v xml:space="preserve"> </v>
      </c>
      <c r="AQ139" t="str">
        <f ca="1">IF(TEXT(Demand!D148,"MMM")&lt;&gt;TEXT(Demand!D147,"MMM"),TEXT(Demand!D148,"MMM"),"")</f>
        <v/>
      </c>
      <c r="AT139" s="5">
        <f t="shared" ca="1" si="49"/>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ca="1">IF(OR(AN139&lt;&gt;"",AND('Demand adjustments for Covid'!$F$9="Yes",'Demand adjustments for Covid'!$F$20="Yes")),"",SUM(CW139:DF139))</f>
        <v>0</v>
      </c>
    </row>
    <row r="140" spans="1:111" x14ac:dyDescent="0.2">
      <c r="A140" s="5">
        <f t="shared" ca="1" si="43"/>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44"/>
        <v>0</v>
      </c>
      <c r="Y140">
        <f t="shared" ca="1" si="45"/>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6"/>
        <v>0</v>
      </c>
      <c r="AL140" s="5">
        <f t="shared" ca="1" si="47"/>
        <v>0</v>
      </c>
      <c r="AM140" s="5">
        <f t="shared" ca="1" si="48"/>
        <v>0</v>
      </c>
      <c r="AN140" s="5" t="str">
        <f>IF(Demand!BE149="Yes","Yes","")</f>
        <v/>
      </c>
      <c r="AP140" s="36" t="str">
        <f ca="1">Demand!B149</f>
        <v xml:space="preserve"> </v>
      </c>
      <c r="AQ140" t="str">
        <f ca="1">IF(TEXT(Demand!D149,"MMM")&lt;&gt;TEXT(Demand!D148,"MMM"),TEXT(Demand!D149,"MMM"),"")</f>
        <v/>
      </c>
      <c r="AT140" s="5">
        <f t="shared" ca="1" si="49"/>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ca="1">IF(OR(AN140&lt;&gt;"",AND('Demand adjustments for Covid'!$F$9="Yes",'Demand adjustments for Covid'!$F$20="Yes")),"",SUM(CW140:DF140))</f>
        <v>0</v>
      </c>
    </row>
    <row r="141" spans="1:111" x14ac:dyDescent="0.2">
      <c r="A141" s="5">
        <f t="shared" ca="1" si="43"/>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44"/>
        <v>0</v>
      </c>
      <c r="Y141">
        <f t="shared" ca="1" si="45"/>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6"/>
        <v>0</v>
      </c>
      <c r="AL141" s="5">
        <f t="shared" ca="1" si="47"/>
        <v>0</v>
      </c>
      <c r="AM141" s="5">
        <f t="shared" ca="1" si="48"/>
        <v>0</v>
      </c>
      <c r="AN141" s="5" t="str">
        <f>IF(Demand!BE150="Yes","Yes","")</f>
        <v/>
      </c>
      <c r="AP141" s="36" t="str">
        <f ca="1">Demand!B150</f>
        <v xml:space="preserve"> </v>
      </c>
      <c r="AQ141" t="str">
        <f ca="1">IF(TEXT(Demand!D150,"MMM")&lt;&gt;TEXT(Demand!D149,"MMM"),TEXT(Demand!D150,"MMM"),"")</f>
        <v/>
      </c>
      <c r="AT141" s="5">
        <f t="shared" ca="1" si="49"/>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ca="1">IF(OR(AN141&lt;&gt;"",AND('Demand adjustments for Covid'!$F$9="Yes",'Demand adjustments for Covid'!$F$20="Yes")),"",SUM(CW141:DF141))</f>
        <v>0</v>
      </c>
    </row>
    <row r="142" spans="1:111" x14ac:dyDescent="0.2">
      <c r="A142" s="5">
        <f t="shared" ca="1" si="43"/>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44"/>
        <v>0</v>
      </c>
      <c r="Y142">
        <f t="shared" ca="1" si="45"/>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6"/>
        <v>0</v>
      </c>
      <c r="AL142" s="5">
        <f t="shared" ca="1" si="47"/>
        <v>0</v>
      </c>
      <c r="AM142" s="5">
        <f t="shared" ca="1" si="48"/>
        <v>0</v>
      </c>
      <c r="AN142" s="5" t="str">
        <f>IF(Demand!BE151="Yes","Yes","")</f>
        <v/>
      </c>
      <c r="AP142" s="36" t="str">
        <f ca="1">Demand!B151</f>
        <v xml:space="preserve"> </v>
      </c>
      <c r="AQ142" t="str">
        <f ca="1">IF(TEXT(Demand!D151,"MMM")&lt;&gt;TEXT(Demand!D150,"MMM"),TEXT(Demand!D151,"MMM"),"")</f>
        <v/>
      </c>
      <c r="AT142" s="5">
        <f t="shared" ca="1" si="49"/>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ca="1">IF(OR(AN142&lt;&gt;"",AND('Demand adjustments for Covid'!$F$9="Yes",'Demand adjustments for Covid'!$F$20="Yes")),"",SUM(CW142:DF142))</f>
        <v>0</v>
      </c>
    </row>
    <row r="143" spans="1:111" x14ac:dyDescent="0.2">
      <c r="A143" s="5">
        <f t="shared" ca="1" si="43"/>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44"/>
        <v>0</v>
      </c>
      <c r="Y143">
        <f t="shared" ca="1" si="45"/>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6"/>
        <v>0</v>
      </c>
      <c r="AL143" s="5">
        <f t="shared" ca="1" si="47"/>
        <v>0</v>
      </c>
      <c r="AM143" s="5">
        <f t="shared" ca="1" si="48"/>
        <v>0</v>
      </c>
      <c r="AN143" s="5" t="str">
        <f>IF(Demand!BE152="Yes","Yes","")</f>
        <v/>
      </c>
      <c r="AP143" s="36" t="str">
        <f ca="1">Demand!B152</f>
        <v xml:space="preserve"> </v>
      </c>
      <c r="AQ143" t="str">
        <f ca="1">IF(TEXT(Demand!D152,"MMM")&lt;&gt;TEXT(Demand!D151,"MMM"),TEXT(Demand!D152,"MMM"),"")</f>
        <v/>
      </c>
      <c r="AT143" s="5">
        <f t="shared" ca="1" si="49"/>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ca="1">IF(OR(AN143&lt;&gt;"",AND('Demand adjustments for Covid'!$F$9="Yes",'Demand adjustments for Covid'!$F$20="Yes")),"",SUM(CW143:DF143))</f>
        <v>0</v>
      </c>
    </row>
    <row r="144" spans="1:111" x14ac:dyDescent="0.2">
      <c r="A144" s="5">
        <f t="shared" ca="1" si="43"/>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44"/>
        <v>0</v>
      </c>
      <c r="Y144">
        <f t="shared" ca="1" si="45"/>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6"/>
        <v>0</v>
      </c>
      <c r="AL144" s="5">
        <f t="shared" ca="1" si="47"/>
        <v>0</v>
      </c>
      <c r="AM144" s="5">
        <f t="shared" ca="1" si="48"/>
        <v>0</v>
      </c>
      <c r="AN144" s="5" t="str">
        <f>IF(Demand!BE153="Yes","Yes","")</f>
        <v/>
      </c>
      <c r="AP144" s="36" t="str">
        <f ca="1">Demand!B153</f>
        <v xml:space="preserve"> </v>
      </c>
      <c r="AQ144" t="str">
        <f ca="1">IF(TEXT(Demand!D153,"MMM")&lt;&gt;TEXT(Demand!D152,"MMM"),TEXT(Demand!D153,"MMM"),"")</f>
        <v/>
      </c>
      <c r="AT144" s="5">
        <f t="shared" ca="1" si="49"/>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ca="1">IF(OR(AN144&lt;&gt;"",AND('Demand adjustments for Covid'!$F$9="Yes",'Demand adjustments for Covid'!$F$20="Yes")),"",SUM(CW144:DF144))</f>
        <v>0</v>
      </c>
    </row>
    <row r="145" spans="1:111" x14ac:dyDescent="0.2">
      <c r="A145" s="5">
        <f t="shared" ca="1" si="43"/>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44"/>
        <v>0</v>
      </c>
      <c r="Y145">
        <f t="shared" ca="1" si="45"/>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6"/>
        <v>0</v>
      </c>
      <c r="AL145" s="5">
        <f t="shared" ca="1" si="47"/>
        <v>0</v>
      </c>
      <c r="AM145" s="5">
        <f t="shared" ca="1" si="48"/>
        <v>0</v>
      </c>
      <c r="AN145" s="5" t="str">
        <f>IF(Demand!BE154="Yes","Yes","")</f>
        <v/>
      </c>
      <c r="AP145" s="36" t="str">
        <f ca="1">Demand!B154</f>
        <v xml:space="preserve"> </v>
      </c>
      <c r="AQ145" t="str">
        <f ca="1">IF(TEXT(Demand!D154,"MMM")&lt;&gt;TEXT(Demand!D153,"MMM"),TEXT(Demand!D154,"MMM"),"")</f>
        <v/>
      </c>
      <c r="AT145" s="5">
        <f t="shared" ca="1" si="49"/>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ca="1">IF(OR(AN145&lt;&gt;"",AND('Demand adjustments for Covid'!$F$9="Yes",'Demand adjustments for Covid'!$F$20="Yes")),"",SUM(CW145:DF145))</f>
        <v>0</v>
      </c>
    </row>
    <row r="146" spans="1:111" x14ac:dyDescent="0.2">
      <c r="A146" s="5">
        <f t="shared" ca="1" si="43"/>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44"/>
        <v>0</v>
      </c>
      <c r="Y146">
        <f t="shared" ca="1" si="45"/>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6"/>
        <v>0</v>
      </c>
      <c r="AL146" s="5">
        <f t="shared" ca="1" si="47"/>
        <v>0</v>
      </c>
      <c r="AM146" s="5">
        <f t="shared" ca="1" si="48"/>
        <v>0</v>
      </c>
      <c r="AN146" s="5" t="str">
        <f>IF(Demand!BE155="Yes","Yes","")</f>
        <v/>
      </c>
      <c r="AP146" s="36" t="str">
        <f ca="1">Demand!B155</f>
        <v xml:space="preserve"> </v>
      </c>
      <c r="AQ146" t="str">
        <f ca="1">IF(TEXT(Demand!D155,"MMM")&lt;&gt;TEXT(Demand!D154,"MMM"),TEXT(Demand!D155,"MMM"),"")</f>
        <v/>
      </c>
      <c r="AT146" s="5">
        <f t="shared" ca="1" si="49"/>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ca="1">IF(OR(AN146&lt;&gt;"",AND('Demand adjustments for Covid'!$F$9="Yes",'Demand adjustments for Covid'!$F$20="Yes")),"",SUM(CW146:DF146))</f>
        <v>0</v>
      </c>
    </row>
    <row r="147" spans="1:111" x14ac:dyDescent="0.2">
      <c r="A147" s="5">
        <f t="shared" ca="1" si="43"/>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44"/>
        <v>0</v>
      </c>
      <c r="Y147">
        <f t="shared" ca="1" si="45"/>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6"/>
        <v>0</v>
      </c>
      <c r="AL147" s="5">
        <f t="shared" ca="1" si="47"/>
        <v>0</v>
      </c>
      <c r="AM147" s="5">
        <f t="shared" ca="1" si="48"/>
        <v>0</v>
      </c>
      <c r="AN147" s="5" t="str">
        <f>IF(Demand!BE156="Yes","Yes","")</f>
        <v/>
      </c>
      <c r="AP147" s="36" t="str">
        <f ca="1">Demand!B156</f>
        <v xml:space="preserve"> </v>
      </c>
      <c r="AQ147" t="str">
        <f ca="1">IF(TEXT(Demand!D156,"MMM")&lt;&gt;TEXT(Demand!D155,"MMM"),TEXT(Demand!D156,"MMM"),"")</f>
        <v/>
      </c>
      <c r="AT147" s="5">
        <f t="shared" ca="1" si="49"/>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ca="1">IF(OR(AN147&lt;&gt;"",AND('Demand adjustments for Covid'!$F$9="Yes",'Demand adjustments for Covid'!$F$20="Yes")),"",SUM(CW147:DF147))</f>
        <v>0</v>
      </c>
    </row>
    <row r="148" spans="1:111" x14ac:dyDescent="0.2">
      <c r="A148" s="5">
        <f t="shared" ca="1" si="43"/>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44"/>
        <v>0</v>
      </c>
      <c r="Y148">
        <f t="shared" ca="1" si="45"/>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6"/>
        <v>0</v>
      </c>
      <c r="AL148" s="5">
        <f t="shared" ca="1" si="47"/>
        <v>0</v>
      </c>
      <c r="AM148" s="5">
        <f t="shared" ca="1" si="48"/>
        <v>0</v>
      </c>
      <c r="AN148" s="5" t="str">
        <f>IF(Demand!BE157="Yes","Yes","")</f>
        <v/>
      </c>
      <c r="AP148" s="36" t="str">
        <f ca="1">Demand!B157</f>
        <v xml:space="preserve"> </v>
      </c>
      <c r="AQ148" t="str">
        <f ca="1">IF(TEXT(Demand!D157,"MMM")&lt;&gt;TEXT(Demand!D156,"MMM"),TEXT(Demand!D157,"MMM"),"")</f>
        <v/>
      </c>
      <c r="AT148" s="5">
        <f t="shared" ca="1" si="49"/>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ca="1">IF(OR(AN148&lt;&gt;"",AND('Demand adjustments for Covid'!$F$9="Yes",'Demand adjustments for Covid'!$F$20="Yes")),"",SUM(CW148:DF148))</f>
        <v>0</v>
      </c>
    </row>
    <row r="149" spans="1:111" x14ac:dyDescent="0.2">
      <c r="A149" s="5">
        <f t="shared" ca="1" si="43"/>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44"/>
        <v>0</v>
      </c>
      <c r="Y149">
        <f t="shared" ca="1" si="45"/>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6"/>
        <v>0</v>
      </c>
      <c r="AL149" s="5">
        <f t="shared" ca="1" si="47"/>
        <v>0</v>
      </c>
      <c r="AM149" s="5">
        <f t="shared" ca="1" si="48"/>
        <v>0</v>
      </c>
      <c r="AN149" s="5" t="str">
        <f>IF(Demand!BE158="Yes","Yes","")</f>
        <v/>
      </c>
      <c r="AP149" s="36" t="str">
        <f ca="1">Demand!B158</f>
        <v xml:space="preserve"> </v>
      </c>
      <c r="AQ149" t="str">
        <f ca="1">IF(TEXT(Demand!D158,"MMM")&lt;&gt;TEXT(Demand!D157,"MMM"),TEXT(Demand!D158,"MMM"),"")</f>
        <v/>
      </c>
      <c r="AT149" s="5">
        <f t="shared" ca="1" si="49"/>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ca="1">IF(OR(AN149&lt;&gt;"",AND('Demand adjustments for Covid'!$F$9="Yes",'Demand adjustments for Covid'!$F$20="Yes")),"",SUM(CW149:DF149))</f>
        <v>0</v>
      </c>
    </row>
    <row r="150" spans="1:111" x14ac:dyDescent="0.2">
      <c r="A150" s="5">
        <f t="shared" ca="1" si="43"/>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44"/>
        <v>0</v>
      </c>
      <c r="Y150">
        <f t="shared" ca="1" si="45"/>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6"/>
        <v>0</v>
      </c>
      <c r="AL150" s="5">
        <f t="shared" ca="1" si="47"/>
        <v>0</v>
      </c>
      <c r="AM150" s="5">
        <f t="shared" ca="1" si="48"/>
        <v>0</v>
      </c>
      <c r="AN150" s="5" t="str">
        <f>IF(Demand!BE159="Yes","Yes","")</f>
        <v/>
      </c>
      <c r="AP150" s="36" t="str">
        <f ca="1">Demand!B159</f>
        <v xml:space="preserve"> </v>
      </c>
      <c r="AQ150" t="str">
        <f ca="1">IF(TEXT(Demand!D159,"MMM")&lt;&gt;TEXT(Demand!D158,"MMM"),TEXT(Demand!D159,"MMM"),"")</f>
        <v/>
      </c>
      <c r="AT150" s="5">
        <f t="shared" ca="1" si="49"/>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ca="1">IF(OR(AN150&lt;&gt;"",AND('Demand adjustments for Covid'!$F$9="Yes",'Demand adjustments for Covid'!$F$20="Yes")),"",SUM(CW150:DF150))</f>
        <v>0</v>
      </c>
    </row>
    <row r="151" spans="1:111" x14ac:dyDescent="0.2">
      <c r="A151" s="5">
        <f t="shared" ca="1" si="43"/>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44"/>
        <v>0</v>
      </c>
      <c r="Y151">
        <f t="shared" ca="1" si="45"/>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6"/>
        <v>0</v>
      </c>
      <c r="AL151" s="5">
        <f t="shared" ca="1" si="47"/>
        <v>0</v>
      </c>
      <c r="AM151" s="5">
        <f t="shared" ca="1" si="48"/>
        <v>0</v>
      </c>
      <c r="AN151" s="5" t="str">
        <f>IF(Demand!BE160="Yes","Yes","")</f>
        <v/>
      </c>
      <c r="AP151" s="36" t="str">
        <f ca="1">Demand!B160</f>
        <v xml:space="preserve"> </v>
      </c>
      <c r="AQ151" t="str">
        <f ca="1">IF(TEXT(Demand!D160,"MMM")&lt;&gt;TEXT(Demand!D159,"MMM"),TEXT(Demand!D160,"MMM"),"")</f>
        <v/>
      </c>
      <c r="AT151" s="5">
        <f t="shared" ca="1" si="49"/>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ca="1">IF(OR(AN151&lt;&gt;"",AND('Demand adjustments for Covid'!$F$9="Yes",'Demand adjustments for Covid'!$F$20="Yes")),"",SUM(CW151:DF151))</f>
        <v>0</v>
      </c>
    </row>
    <row r="152" spans="1:111" x14ac:dyDescent="0.2">
      <c r="A152" s="5">
        <f t="shared" ca="1" si="43"/>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44"/>
        <v>0</v>
      </c>
      <c r="Y152">
        <f t="shared" ca="1" si="45"/>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6"/>
        <v>0</v>
      </c>
      <c r="AL152" s="5">
        <f t="shared" ca="1" si="47"/>
        <v>0</v>
      </c>
      <c r="AM152" s="5">
        <f t="shared" ca="1" si="48"/>
        <v>0</v>
      </c>
      <c r="AN152" s="5" t="str">
        <f>IF(Demand!BE161="Yes","Yes","")</f>
        <v/>
      </c>
      <c r="AP152" s="36" t="str">
        <f ca="1">Demand!B161</f>
        <v xml:space="preserve"> </v>
      </c>
      <c r="AQ152" t="str">
        <f ca="1">IF(TEXT(Demand!D161,"MMM")&lt;&gt;TEXT(Demand!D160,"MMM"),TEXT(Demand!D161,"MMM"),"")</f>
        <v/>
      </c>
      <c r="AT152" s="5">
        <f t="shared" ca="1" si="49"/>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ca="1">IF(OR(AN152&lt;&gt;"",AND('Demand adjustments for Covid'!$F$9="Yes",'Demand adjustments for Covid'!$F$20="Yes")),"",SUM(CW152:DF152))</f>
        <v>0</v>
      </c>
    </row>
    <row r="153" spans="1:111" x14ac:dyDescent="0.2">
      <c r="A153" s="5">
        <f t="shared" ca="1" si="43"/>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44"/>
        <v>0</v>
      </c>
      <c r="Y153">
        <f t="shared" ca="1" si="45"/>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6"/>
        <v>0</v>
      </c>
      <c r="AL153" s="5">
        <f t="shared" ca="1" si="47"/>
        <v>0</v>
      </c>
      <c r="AM153" s="5">
        <f t="shared" ca="1" si="48"/>
        <v>0</v>
      </c>
      <c r="AN153" s="5" t="str">
        <f>IF(Demand!BE162="Yes","Yes","")</f>
        <v/>
      </c>
      <c r="AP153" s="36" t="str">
        <f ca="1">Demand!B162</f>
        <v xml:space="preserve"> </v>
      </c>
      <c r="AQ153" t="str">
        <f ca="1">IF(TEXT(Demand!D162,"MMM")&lt;&gt;TEXT(Demand!D161,"MMM"),TEXT(Demand!D162,"MMM"),"")</f>
        <v/>
      </c>
      <c r="AT153" s="5">
        <f t="shared" ca="1" si="49"/>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ca="1">IF(OR(AN153&lt;&gt;"",AND('Demand adjustments for Covid'!$F$9="Yes",'Demand adjustments for Covid'!$F$20="Yes")),"",SUM(CW153:DF153))</f>
        <v>0</v>
      </c>
    </row>
    <row r="154" spans="1:111" x14ac:dyDescent="0.2">
      <c r="A154" s="5">
        <f t="shared" ca="1" si="43"/>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44"/>
        <v>0</v>
      </c>
      <c r="Y154">
        <f t="shared" ca="1" si="45"/>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6"/>
        <v>0</v>
      </c>
      <c r="AL154" s="5">
        <f t="shared" ca="1" si="47"/>
        <v>0</v>
      </c>
      <c r="AM154" s="5">
        <f t="shared" ca="1" si="48"/>
        <v>0</v>
      </c>
      <c r="AN154" s="5" t="str">
        <f>IF(Demand!BE163="Yes","Yes","")</f>
        <v/>
      </c>
      <c r="AP154" s="36" t="str">
        <f ca="1">Demand!B163</f>
        <v xml:space="preserve"> </v>
      </c>
      <c r="AQ154" t="str">
        <f ca="1">IF(TEXT(Demand!D163,"MMM")&lt;&gt;TEXT(Demand!D162,"MMM"),TEXT(Demand!D163,"MMM"),"")</f>
        <v/>
      </c>
      <c r="AT154" s="5">
        <f t="shared" ca="1" si="49"/>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ca="1">IF(OR(AN154&lt;&gt;"",AND('Demand adjustments for Covid'!$F$9="Yes",'Demand adjustments for Covid'!$F$20="Yes")),"",SUM(CW154:DF154))</f>
        <v>0</v>
      </c>
    </row>
    <row r="155" spans="1:111" x14ac:dyDescent="0.2">
      <c r="A155" s="5">
        <f t="shared" ca="1" si="43"/>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44"/>
        <v>0</v>
      </c>
      <c r="Y155">
        <f t="shared" ca="1" si="45"/>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6"/>
        <v>0</v>
      </c>
      <c r="AL155" s="5">
        <f t="shared" ca="1" si="47"/>
        <v>0</v>
      </c>
      <c r="AM155" s="5">
        <f t="shared" ca="1" si="48"/>
        <v>0</v>
      </c>
      <c r="AN155" s="5" t="str">
        <f>IF(Demand!BE164="Yes","Yes","")</f>
        <v/>
      </c>
      <c r="AP155" s="36" t="str">
        <f ca="1">Demand!B164</f>
        <v xml:space="preserve"> </v>
      </c>
      <c r="AQ155" t="str">
        <f ca="1">IF(TEXT(Demand!D164,"MMM")&lt;&gt;TEXT(Demand!D163,"MMM"),TEXT(Demand!D164,"MMM"),"")</f>
        <v/>
      </c>
      <c r="AT155" s="5">
        <f t="shared" ca="1" si="49"/>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ca="1">IF(OR(AN155&lt;&gt;"",AND('Demand adjustments for Covid'!$F$9="Yes",'Demand adjustments for Covid'!$F$20="Yes")),"",SUM(CW155:DF155))</f>
        <v>0</v>
      </c>
    </row>
    <row r="156" spans="1:111" x14ac:dyDescent="0.2">
      <c r="A156" s="5">
        <f t="shared" ca="1" si="43"/>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44"/>
        <v>0</v>
      </c>
      <c r="Y156">
        <f t="shared" ca="1" si="45"/>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6"/>
        <v>0</v>
      </c>
      <c r="AL156" s="5">
        <f t="shared" ca="1" si="47"/>
        <v>0</v>
      </c>
      <c r="AM156" s="5">
        <f t="shared" ca="1" si="48"/>
        <v>0</v>
      </c>
      <c r="AN156" s="5" t="str">
        <f>IF(Demand!BE165="Yes","Yes","")</f>
        <v/>
      </c>
      <c r="AP156" s="36" t="str">
        <f ca="1">Demand!B165</f>
        <v xml:space="preserve"> </v>
      </c>
      <c r="AQ156" t="str">
        <f ca="1">IF(TEXT(Demand!D165,"MMM")&lt;&gt;TEXT(Demand!D164,"MMM"),TEXT(Demand!D165,"MMM"),"")</f>
        <v/>
      </c>
      <c r="AT156" s="5">
        <f t="shared" ca="1" si="49"/>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ca="1">IF(OR(AN156&lt;&gt;"",AND('Demand adjustments for Covid'!$F$9="Yes",'Demand adjustments for Covid'!$F$20="Yes")),"",SUM(CW156:DF156))</f>
        <v>0</v>
      </c>
    </row>
    <row r="157" spans="1:111" x14ac:dyDescent="0.2">
      <c r="A157" s="5">
        <f t="shared" ca="1" si="43"/>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44"/>
        <v>0</v>
      </c>
      <c r="Y157">
        <f t="shared" ca="1" si="45"/>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6"/>
        <v>0</v>
      </c>
      <c r="AL157" s="5">
        <f t="shared" ca="1" si="47"/>
        <v>0</v>
      </c>
      <c r="AM157" s="5">
        <f t="shared" ca="1" si="48"/>
        <v>0</v>
      </c>
      <c r="AN157" s="5" t="str">
        <f>IF(Demand!BE166="Yes","Yes","")</f>
        <v/>
      </c>
      <c r="AP157" s="36" t="str">
        <f ca="1">Demand!B166</f>
        <v xml:space="preserve"> </v>
      </c>
      <c r="AQ157" t="str">
        <f ca="1">IF(TEXT(Demand!D166,"MMM")&lt;&gt;TEXT(Demand!D165,"MMM"),TEXT(Demand!D166,"MMM"),"")</f>
        <v/>
      </c>
      <c r="AT157" s="5">
        <f t="shared" ca="1" si="49"/>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ca="1">IF(OR(AN157&lt;&gt;"",AND('Demand adjustments for Covid'!$F$9="Yes",'Demand adjustments for Covid'!$F$20="Yes")),"",SUM(CW157:DF157))</f>
        <v>0</v>
      </c>
    </row>
    <row r="158" spans="1:111" x14ac:dyDescent="0.2">
      <c r="A158" s="5">
        <f t="shared" ca="1" si="43"/>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44"/>
        <v>0</v>
      </c>
      <c r="Y158">
        <f t="shared" ca="1" si="45"/>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6"/>
        <v>0</v>
      </c>
      <c r="AL158" s="5">
        <f t="shared" ca="1" si="47"/>
        <v>0</v>
      </c>
      <c r="AM158" s="5">
        <f t="shared" ca="1" si="48"/>
        <v>0</v>
      </c>
      <c r="AN158" s="5" t="str">
        <f>IF(Demand!BE167="Yes","Yes","")</f>
        <v/>
      </c>
      <c r="AP158" s="36" t="str">
        <f ca="1">Demand!B167</f>
        <v xml:space="preserve"> </v>
      </c>
      <c r="AQ158" t="str">
        <f ca="1">IF(TEXT(Demand!D167,"MMM")&lt;&gt;TEXT(Demand!D166,"MMM"),TEXT(Demand!D167,"MMM"),"")</f>
        <v/>
      </c>
      <c r="AT158" s="5">
        <f t="shared" ca="1" si="49"/>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ca="1">IF(OR(AN158&lt;&gt;"",AND('Demand adjustments for Covid'!$F$9="Yes",'Demand adjustments for Covid'!$F$20="Yes")),"",SUM(CW158:DF158))</f>
        <v>0</v>
      </c>
    </row>
    <row r="159" spans="1:111" x14ac:dyDescent="0.2">
      <c r="A159" s="5">
        <f t="shared" ca="1" si="43"/>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44"/>
        <v>0</v>
      </c>
      <c r="Y159">
        <f t="shared" ca="1" si="45"/>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6"/>
        <v>0</v>
      </c>
      <c r="AL159" s="5">
        <f t="shared" ca="1" si="47"/>
        <v>0</v>
      </c>
      <c r="AM159" s="5">
        <f t="shared" ca="1" si="48"/>
        <v>0</v>
      </c>
      <c r="AN159" s="5" t="str">
        <f>IF(Demand!BE168="Yes","Yes","")</f>
        <v/>
      </c>
      <c r="AP159" s="36" t="str">
        <f ca="1">Demand!B168</f>
        <v xml:space="preserve"> </v>
      </c>
      <c r="AQ159" t="str">
        <f ca="1">IF(TEXT(Demand!D168,"MMM")&lt;&gt;TEXT(Demand!D167,"MMM"),TEXT(Demand!D168,"MMM"),"")</f>
        <v/>
      </c>
      <c r="AT159" s="5">
        <f t="shared" ca="1" si="49"/>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ca="1">IF(OR(AN159&lt;&gt;"",AND('Demand adjustments for Covid'!$F$9="Yes",'Demand adjustments for Covid'!$F$20="Yes")),"",SUM(CW159:DF159))</f>
        <v>0</v>
      </c>
    </row>
    <row r="160" spans="1:111" x14ac:dyDescent="0.2">
      <c r="A160" s="5">
        <f t="shared" ca="1" si="43"/>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44"/>
        <v>0</v>
      </c>
      <c r="Y160">
        <f t="shared" ca="1" si="45"/>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6"/>
        <v>0</v>
      </c>
      <c r="AL160" s="5">
        <f t="shared" ca="1" si="47"/>
        <v>0</v>
      </c>
      <c r="AM160" s="5">
        <f t="shared" ca="1" si="48"/>
        <v>0</v>
      </c>
      <c r="AN160" s="5" t="str">
        <f>IF(Demand!BE169="Yes","Yes","")</f>
        <v/>
      </c>
      <c r="AP160" s="36" t="str">
        <f ca="1">Demand!B169</f>
        <v xml:space="preserve"> </v>
      </c>
      <c r="AQ160" t="str">
        <f ca="1">IF(TEXT(Demand!D169,"MMM")&lt;&gt;TEXT(Demand!D168,"MMM"),TEXT(Demand!D169,"MMM"),"")</f>
        <v/>
      </c>
      <c r="AT160" s="5">
        <f t="shared" ca="1" si="49"/>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ca="1">IF(OR(AN160&lt;&gt;"",AND('Demand adjustments for Covid'!$F$9="Yes",'Demand adjustments for Covid'!$F$20="Yes")),"",SUM(CW160:DF160))</f>
        <v>0</v>
      </c>
    </row>
    <row r="161" spans="1:111" x14ac:dyDescent="0.2">
      <c r="A161" s="5">
        <f t="shared" ca="1" si="43"/>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44"/>
        <v>0</v>
      </c>
      <c r="Y161">
        <f t="shared" ca="1" si="45"/>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6"/>
        <v>0</v>
      </c>
      <c r="AL161" s="5">
        <f t="shared" ca="1" si="47"/>
        <v>0</v>
      </c>
      <c r="AM161" s="5">
        <f t="shared" ca="1" si="48"/>
        <v>0</v>
      </c>
      <c r="AN161" s="5" t="str">
        <f>IF(Demand!BE170="Yes","Yes","")</f>
        <v/>
      </c>
      <c r="AP161" s="36" t="str">
        <f ca="1">Demand!B170</f>
        <v xml:space="preserve"> </v>
      </c>
      <c r="AQ161" t="str">
        <f ca="1">IF(TEXT(Demand!D170,"MMM")&lt;&gt;TEXT(Demand!D169,"MMM"),TEXT(Demand!D170,"MMM"),"")</f>
        <v/>
      </c>
      <c r="AT161" s="5">
        <f t="shared" ca="1" si="49"/>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ca="1">IF(OR(AN161&lt;&gt;"",AND('Demand adjustments for Covid'!$F$9="Yes",'Demand adjustments for Covid'!$F$20="Yes")),"",SUM(CW161:DF161))</f>
        <v>0</v>
      </c>
    </row>
    <row r="162" spans="1:111" x14ac:dyDescent="0.2">
      <c r="A162" s="5">
        <f t="shared" ca="1" si="43"/>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44"/>
        <v>0</v>
      </c>
      <c r="Y162">
        <f t="shared" ca="1" si="45"/>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6"/>
        <v>0</v>
      </c>
      <c r="AL162" s="5">
        <f t="shared" ca="1" si="47"/>
        <v>0</v>
      </c>
      <c r="AM162" s="5">
        <f t="shared" ca="1" si="48"/>
        <v>0</v>
      </c>
      <c r="AN162" s="5" t="str">
        <f>IF(Demand!BE171="Yes","Yes","")</f>
        <v/>
      </c>
      <c r="AP162" s="36" t="str">
        <f ca="1">Demand!B171</f>
        <v xml:space="preserve"> </v>
      </c>
      <c r="AQ162" t="str">
        <f ca="1">IF(TEXT(Demand!D171,"MMM")&lt;&gt;TEXT(Demand!D170,"MMM"),TEXT(Demand!D171,"MMM"),"")</f>
        <v/>
      </c>
      <c r="AT162" s="5">
        <f t="shared" ca="1" si="49"/>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ca="1">IF(OR(AN162&lt;&gt;"",AND('Demand adjustments for Covid'!$F$9="Yes",'Demand adjustments for Covid'!$F$20="Yes")),"",SUM(CW162:DF162))</f>
        <v>0</v>
      </c>
    </row>
    <row r="163" spans="1:111" x14ac:dyDescent="0.2">
      <c r="A163" s="5">
        <f t="shared" ca="1" si="43"/>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44"/>
        <v>0</v>
      </c>
      <c r="Y163">
        <f t="shared" ca="1" si="45"/>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6"/>
        <v>0</v>
      </c>
      <c r="AL163" s="5">
        <f t="shared" ca="1" si="47"/>
        <v>0</v>
      </c>
      <c r="AM163" s="5">
        <f t="shared" ca="1" si="48"/>
        <v>0</v>
      </c>
      <c r="AN163" s="5" t="str">
        <f>IF(Demand!BE172="Yes","Yes","")</f>
        <v/>
      </c>
      <c r="AP163" s="36" t="str">
        <f ca="1">Demand!B172</f>
        <v xml:space="preserve"> </v>
      </c>
      <c r="AQ163" t="str">
        <f ca="1">IF(TEXT(Demand!D172,"MMM")&lt;&gt;TEXT(Demand!D171,"MMM"),TEXT(Demand!D172,"MMM"),"")</f>
        <v/>
      </c>
      <c r="AT163" s="5">
        <f t="shared" ca="1" si="49"/>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ca="1">IF(OR(AN163&lt;&gt;"",AND('Demand adjustments for Covid'!$F$9="Yes",'Demand adjustments for Covid'!$F$20="Yes")),"",SUM(CW163:DF163))</f>
        <v>0</v>
      </c>
    </row>
    <row r="164" spans="1:111" x14ac:dyDescent="0.2">
      <c r="A164" s="5">
        <f t="shared" ca="1" si="43"/>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44"/>
        <v>0</v>
      </c>
      <c r="Y164">
        <f t="shared" ca="1" si="45"/>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6"/>
        <v>0</v>
      </c>
      <c r="AL164" s="5">
        <f t="shared" ca="1" si="47"/>
        <v>0</v>
      </c>
      <c r="AM164" s="5">
        <f t="shared" ca="1" si="48"/>
        <v>0</v>
      </c>
      <c r="AN164" s="5" t="str">
        <f>IF(Demand!BE173="Yes","Yes","")</f>
        <v/>
      </c>
      <c r="AP164" s="36" t="str">
        <f ca="1">Demand!B173</f>
        <v xml:space="preserve"> </v>
      </c>
      <c r="AQ164" t="str">
        <f ca="1">IF(TEXT(Demand!D173,"MMM")&lt;&gt;TEXT(Demand!D172,"MMM"),TEXT(Demand!D173,"MMM"),"")</f>
        <v/>
      </c>
      <c r="AT164" s="5">
        <f t="shared" ca="1" si="49"/>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ca="1">IF(OR(AN164&lt;&gt;"",AND('Demand adjustments for Covid'!$F$9="Yes",'Demand adjustments for Covid'!$F$20="Yes")),"",SUM(CW164:DF164))</f>
        <v>0</v>
      </c>
    </row>
    <row r="165" spans="1:111" x14ac:dyDescent="0.2">
      <c r="A165" s="5">
        <f t="shared" ca="1" si="43"/>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44"/>
        <v>0</v>
      </c>
      <c r="Y165">
        <f t="shared" ca="1" si="45"/>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6"/>
        <v>0</v>
      </c>
      <c r="AL165" s="5">
        <f t="shared" ca="1" si="47"/>
        <v>0</v>
      </c>
      <c r="AM165" s="5">
        <f t="shared" ca="1" si="48"/>
        <v>0</v>
      </c>
      <c r="AN165" s="5" t="str">
        <f>IF(Demand!BE174="Yes","Yes","")</f>
        <v/>
      </c>
      <c r="AP165" s="36" t="str">
        <f ca="1">Demand!B174</f>
        <v xml:space="preserve"> </v>
      </c>
      <c r="AQ165" t="str">
        <f ca="1">IF(TEXT(Demand!D174,"MMM")&lt;&gt;TEXT(Demand!D173,"MMM"),TEXT(Demand!D174,"MMM"),"")</f>
        <v/>
      </c>
      <c r="AT165" s="5">
        <f t="shared" ca="1" si="49"/>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ca="1">IF(OR(AN165&lt;&gt;"",AND('Demand adjustments for Covid'!$F$9="Yes",'Demand adjustments for Covid'!$F$20="Yes")),"",SUM(CW165:DF165))</f>
        <v>0</v>
      </c>
    </row>
    <row r="166" spans="1:111" x14ac:dyDescent="0.2">
      <c r="A166" s="5">
        <f t="shared" ca="1" si="43"/>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44"/>
        <v>0</v>
      </c>
      <c r="Y166">
        <f t="shared" ca="1" si="45"/>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6"/>
        <v>0</v>
      </c>
      <c r="AL166" s="5">
        <f t="shared" ca="1" si="47"/>
        <v>0</v>
      </c>
      <c r="AM166" s="5">
        <f t="shared" ca="1" si="48"/>
        <v>0</v>
      </c>
      <c r="AN166" s="5" t="str">
        <f>IF(Demand!BE175="Yes","Yes","")</f>
        <v/>
      </c>
      <c r="AP166" s="36" t="str">
        <f ca="1">Demand!B175</f>
        <v xml:space="preserve"> </v>
      </c>
      <c r="AQ166" t="str">
        <f ca="1">IF(TEXT(Demand!D175,"MMM")&lt;&gt;TEXT(Demand!D174,"MMM"),TEXT(Demand!D175,"MMM"),"")</f>
        <v/>
      </c>
      <c r="AT166" s="5">
        <f t="shared" ca="1" si="49"/>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ca="1">IF(OR(AN166&lt;&gt;"",AND('Demand adjustments for Covid'!$F$9="Yes",'Demand adjustments for Covid'!$F$20="Yes")),"",SUM(CW166:DF166))</f>
        <v>0</v>
      </c>
    </row>
    <row r="167" spans="1:111" x14ac:dyDescent="0.2">
      <c r="A167" s="5">
        <f t="shared" ca="1" si="43"/>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44"/>
        <v>0</v>
      </c>
      <c r="Y167">
        <f t="shared" ca="1" si="45"/>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6"/>
        <v>0</v>
      </c>
      <c r="AL167" s="5">
        <f t="shared" ca="1" si="47"/>
        <v>0</v>
      </c>
      <c r="AM167" s="5">
        <f t="shared" ca="1" si="48"/>
        <v>0</v>
      </c>
      <c r="AN167" s="5" t="str">
        <f>IF(Demand!BE176="Yes","Yes","")</f>
        <v/>
      </c>
      <c r="AP167" s="36" t="str">
        <f ca="1">Demand!B176</f>
        <v xml:space="preserve"> </v>
      </c>
      <c r="AQ167" t="str">
        <f ca="1">IF(TEXT(Demand!D176,"MMM")&lt;&gt;TEXT(Demand!D175,"MMM"),TEXT(Demand!D176,"MMM"),"")</f>
        <v/>
      </c>
      <c r="AT167" s="5">
        <f t="shared" ca="1" si="49"/>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ca="1">IF(OR(AN167&lt;&gt;"",AND('Demand adjustments for Covid'!$F$9="Yes",'Demand adjustments for Covid'!$F$20="Yes")),"",SUM(CW167:DF167))</f>
        <v>0</v>
      </c>
    </row>
    <row r="168" spans="1:111" x14ac:dyDescent="0.2">
      <c r="A168" s="5">
        <f t="shared" ca="1" si="43"/>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44"/>
        <v>0</v>
      </c>
      <c r="Y168">
        <f t="shared" ca="1" si="45"/>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6"/>
        <v>0</v>
      </c>
      <c r="AL168" s="5">
        <f t="shared" ca="1" si="47"/>
        <v>0</v>
      </c>
      <c r="AM168" s="5">
        <f t="shared" ca="1" si="48"/>
        <v>0</v>
      </c>
      <c r="AN168" s="5" t="str">
        <f>IF(Demand!BE177="Yes","Yes","")</f>
        <v/>
      </c>
      <c r="AP168" s="36" t="str">
        <f ca="1">Demand!B177</f>
        <v xml:space="preserve"> </v>
      </c>
      <c r="AQ168" t="str">
        <f ca="1">IF(TEXT(Demand!D177,"MMM")&lt;&gt;TEXT(Demand!D176,"MMM"),TEXT(Demand!D177,"MMM"),"")</f>
        <v/>
      </c>
      <c r="AT168" s="5">
        <f t="shared" ca="1" si="49"/>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ca="1">IF(OR(AN168&lt;&gt;"",AND('Demand adjustments for Covid'!$F$9="Yes",'Demand adjustments for Covid'!$F$20="Yes")),"",SUM(CW168:DF168))</f>
        <v>0</v>
      </c>
    </row>
    <row r="169" spans="1:111" x14ac:dyDescent="0.2">
      <c r="A169" s="5">
        <f t="shared" ca="1" si="43"/>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44"/>
        <v>0</v>
      </c>
      <c r="Y169">
        <f t="shared" ca="1" si="45"/>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6"/>
        <v>0</v>
      </c>
      <c r="AL169" s="5">
        <f t="shared" ca="1" si="47"/>
        <v>0</v>
      </c>
      <c r="AM169" s="5">
        <f t="shared" ca="1" si="48"/>
        <v>0</v>
      </c>
      <c r="AN169" s="5" t="str">
        <f>IF(Demand!BE178="Yes","Yes","")</f>
        <v/>
      </c>
      <c r="AP169" s="36" t="str">
        <f ca="1">Demand!B178</f>
        <v xml:space="preserve"> </v>
      </c>
      <c r="AQ169" t="str">
        <f ca="1">IF(TEXT(Demand!D178,"MMM")&lt;&gt;TEXT(Demand!D177,"MMM"),TEXT(Demand!D178,"MMM"),"")</f>
        <v/>
      </c>
      <c r="AT169" s="5">
        <f t="shared" ca="1" si="49"/>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ca="1">IF(OR(AN169&lt;&gt;"",AND('Demand adjustments for Covid'!$F$9="Yes",'Demand adjustments for Covid'!$F$20="Yes")),"",SUM(CW169:DF169))</f>
        <v>0</v>
      </c>
    </row>
    <row r="170" spans="1:111" x14ac:dyDescent="0.2">
      <c r="A170" s="5">
        <f t="shared" ca="1" si="43"/>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44"/>
        <v>0</v>
      </c>
      <c r="Y170">
        <f t="shared" ca="1" si="45"/>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6"/>
        <v>0</v>
      </c>
      <c r="AL170" s="5">
        <f t="shared" ca="1" si="47"/>
        <v>0</v>
      </c>
      <c r="AM170" s="5">
        <f t="shared" ca="1" si="48"/>
        <v>0</v>
      </c>
      <c r="AN170" s="5" t="str">
        <f>IF(Demand!BE179="Yes","Yes","")</f>
        <v/>
      </c>
      <c r="AP170" s="36" t="str">
        <f ca="1">Demand!B179</f>
        <v xml:space="preserve"> </v>
      </c>
      <c r="AQ170" t="str">
        <f ca="1">IF(TEXT(Demand!D179,"MMM")&lt;&gt;TEXT(Demand!D178,"MMM"),TEXT(Demand!D179,"MMM"),"")</f>
        <v/>
      </c>
      <c r="AT170" s="5">
        <f t="shared" ca="1" si="49"/>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ca="1">IF(OR(AN170&lt;&gt;"",AND('Demand adjustments for Covid'!$F$9="Yes",'Demand adjustments for Covid'!$F$20="Yes")),"",SUM(CW170:DF170))</f>
        <v>0</v>
      </c>
    </row>
    <row r="171" spans="1:111" x14ac:dyDescent="0.2">
      <c r="A171" s="5">
        <f t="shared" ca="1" si="43"/>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44"/>
        <v>0</v>
      </c>
      <c r="Y171">
        <f t="shared" ca="1" si="45"/>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6"/>
        <v>0</v>
      </c>
      <c r="AL171" s="5">
        <f t="shared" ca="1" si="47"/>
        <v>0</v>
      </c>
      <c r="AM171" s="5">
        <f t="shared" ca="1" si="48"/>
        <v>0</v>
      </c>
      <c r="AN171" s="5" t="str">
        <f>IF(Demand!BE180="Yes","Yes","")</f>
        <v/>
      </c>
      <c r="AP171" s="36" t="str">
        <f ca="1">Demand!B180</f>
        <v xml:space="preserve"> </v>
      </c>
      <c r="AQ171" t="str">
        <f ca="1">IF(TEXT(Demand!D180,"MMM")&lt;&gt;TEXT(Demand!D179,"MMM"),TEXT(Demand!D180,"MMM"),"")</f>
        <v/>
      </c>
      <c r="AT171" s="5">
        <f t="shared" ca="1" si="49"/>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ca="1">IF(OR(AN171&lt;&gt;"",AND('Demand adjustments for Covid'!$F$9="Yes",'Demand adjustments for Covid'!$F$20="Yes")),"",SUM(CW171:DF171))</f>
        <v>0</v>
      </c>
    </row>
    <row r="172" spans="1:111" x14ac:dyDescent="0.2">
      <c r="A172" s="5">
        <f t="shared" ca="1" si="43"/>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44"/>
        <v>0</v>
      </c>
      <c r="Y172">
        <f t="shared" ca="1" si="45"/>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6"/>
        <v>0</v>
      </c>
      <c r="AL172" s="5">
        <f t="shared" ca="1" si="47"/>
        <v>0</v>
      </c>
      <c r="AM172" s="5">
        <f t="shared" ca="1" si="48"/>
        <v>0</v>
      </c>
      <c r="AN172" s="5" t="str">
        <f>IF(Demand!BE181="Yes","Yes","")</f>
        <v/>
      </c>
      <c r="AP172" s="36" t="str">
        <f ca="1">Demand!B181</f>
        <v xml:space="preserve"> </v>
      </c>
      <c r="AQ172" t="str">
        <f ca="1">IF(TEXT(Demand!D181,"MMM")&lt;&gt;TEXT(Demand!D180,"MMM"),TEXT(Demand!D181,"MMM"),"")</f>
        <v/>
      </c>
      <c r="AT172" s="5">
        <f t="shared" ca="1" si="49"/>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ca="1">IF(OR(AN172&lt;&gt;"",AND('Demand adjustments for Covid'!$F$9="Yes",'Demand adjustments for Covid'!$F$20="Yes")),"",SUM(CW172:DF172))</f>
        <v>0</v>
      </c>
    </row>
    <row r="173" spans="1:111" x14ac:dyDescent="0.2">
      <c r="A173" s="5">
        <f t="shared" ca="1" si="43"/>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44"/>
        <v>0</v>
      </c>
      <c r="Y173">
        <f t="shared" ca="1" si="45"/>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6"/>
        <v>0</v>
      </c>
      <c r="AL173" s="5">
        <f t="shared" ca="1" si="47"/>
        <v>0</v>
      </c>
      <c r="AM173" s="5">
        <f t="shared" ca="1" si="48"/>
        <v>0</v>
      </c>
      <c r="AN173" s="5" t="str">
        <f>IF(Demand!BE182="Yes","Yes","")</f>
        <v/>
      </c>
      <c r="AP173" s="36" t="str">
        <f ca="1">Demand!B182</f>
        <v xml:space="preserve"> </v>
      </c>
      <c r="AQ173" t="str">
        <f ca="1">IF(TEXT(Demand!D182,"MMM")&lt;&gt;TEXT(Demand!D181,"MMM"),TEXT(Demand!D182,"MMM"),"")</f>
        <v/>
      </c>
      <c r="AT173" s="5">
        <f t="shared" ca="1" si="49"/>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ca="1">IF(OR(AN173&lt;&gt;"",AND('Demand adjustments for Covid'!$F$9="Yes",'Demand adjustments for Covid'!$F$20="Yes")),"",SUM(CW173:DF173))</f>
        <v>0</v>
      </c>
    </row>
    <row r="174" spans="1:111" x14ac:dyDescent="0.2">
      <c r="A174" s="5">
        <f t="shared" ca="1" si="43"/>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44"/>
        <v>0</v>
      </c>
      <c r="Y174">
        <f t="shared" ca="1" si="45"/>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6"/>
        <v>0</v>
      </c>
      <c r="AL174" s="5">
        <f t="shared" ca="1" si="47"/>
        <v>0</v>
      </c>
      <c r="AM174" s="5">
        <f t="shared" ca="1" si="48"/>
        <v>0</v>
      </c>
      <c r="AN174" s="5" t="str">
        <f>IF(Demand!BE183="Yes","Yes","")</f>
        <v/>
      </c>
      <c r="AP174" s="36" t="str">
        <f ca="1">Demand!B183</f>
        <v xml:space="preserve"> </v>
      </c>
      <c r="AQ174" t="str">
        <f ca="1">IF(TEXT(Demand!D183,"MMM")&lt;&gt;TEXT(Demand!D182,"MMM"),TEXT(Demand!D183,"MMM"),"")</f>
        <v/>
      </c>
      <c r="AT174" s="5">
        <f t="shared" ca="1" si="49"/>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ca="1">IF(OR(AN174&lt;&gt;"",AND('Demand adjustments for Covid'!$F$9="Yes",'Demand adjustments for Covid'!$F$20="Yes")),"",SUM(CW174:DF174))</f>
        <v>0</v>
      </c>
    </row>
    <row r="175" spans="1:111" x14ac:dyDescent="0.2">
      <c r="A175" s="5">
        <f t="shared" ca="1" si="43"/>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44"/>
        <v>0</v>
      </c>
      <c r="Y175">
        <f t="shared" ca="1" si="45"/>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6"/>
        <v>0</v>
      </c>
      <c r="AL175" s="5">
        <f t="shared" ca="1" si="47"/>
        <v>0</v>
      </c>
      <c r="AM175" s="5">
        <f t="shared" ca="1" si="48"/>
        <v>0</v>
      </c>
      <c r="AN175" s="5" t="str">
        <f>IF(Demand!BE184="Yes","Yes","")</f>
        <v/>
      </c>
      <c r="AP175" s="36" t="str">
        <f ca="1">Demand!B184</f>
        <v xml:space="preserve"> </v>
      </c>
      <c r="AQ175" t="str">
        <f ca="1">IF(TEXT(Demand!D184,"MMM")&lt;&gt;TEXT(Demand!D183,"MMM"),TEXT(Demand!D184,"MMM"),"")</f>
        <v/>
      </c>
      <c r="AT175" s="5">
        <f t="shared" ca="1" si="49"/>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ca="1">IF(OR(AN175&lt;&gt;"",AND('Demand adjustments for Covid'!$F$9="Yes",'Demand adjustments for Covid'!$F$20="Yes")),"",SUM(CW175:DF175))</f>
        <v>0</v>
      </c>
    </row>
    <row r="176" spans="1:111" x14ac:dyDescent="0.2">
      <c r="A176" s="5">
        <f t="shared" ca="1" si="43"/>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44"/>
        <v>0</v>
      </c>
      <c r="Y176">
        <f t="shared" ca="1" si="45"/>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6"/>
        <v>0</v>
      </c>
      <c r="AL176" s="5">
        <f t="shared" ca="1" si="47"/>
        <v>0</v>
      </c>
      <c r="AM176" s="5">
        <f t="shared" ca="1" si="48"/>
        <v>0</v>
      </c>
      <c r="AN176" s="5" t="str">
        <f>IF(Demand!BE185="Yes","Yes","")</f>
        <v/>
      </c>
      <c r="AP176" s="36" t="str">
        <f ca="1">Demand!B185</f>
        <v xml:space="preserve"> </v>
      </c>
      <c r="AQ176" t="str">
        <f ca="1">IF(TEXT(Demand!D185,"MMM")&lt;&gt;TEXT(Demand!D184,"MMM"),TEXT(Demand!D185,"MMM"),"")</f>
        <v/>
      </c>
      <c r="AT176" s="5">
        <f t="shared" ca="1" si="49"/>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ca="1">IF(OR(AN176&lt;&gt;"",AND('Demand adjustments for Covid'!$F$9="Yes",'Demand adjustments for Covid'!$F$20="Yes")),"",SUM(CW176:DF176))</f>
        <v>0</v>
      </c>
    </row>
    <row r="177" spans="1:111" x14ac:dyDescent="0.2">
      <c r="A177" s="5">
        <f t="shared" ca="1" si="43"/>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44"/>
        <v>0</v>
      </c>
      <c r="Y177">
        <f t="shared" ca="1" si="45"/>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6"/>
        <v>0</v>
      </c>
      <c r="AL177" s="5">
        <f t="shared" ca="1" si="47"/>
        <v>0</v>
      </c>
      <c r="AM177" s="5">
        <f t="shared" ca="1" si="48"/>
        <v>0</v>
      </c>
      <c r="AN177" s="5" t="str">
        <f>IF(Demand!BE186="Yes","Yes","")</f>
        <v/>
      </c>
      <c r="AP177" s="36" t="str">
        <f ca="1">Demand!B186</f>
        <v xml:space="preserve"> </v>
      </c>
      <c r="AQ177" t="str">
        <f ca="1">IF(TEXT(Demand!D186,"MMM")&lt;&gt;TEXT(Demand!D185,"MMM"),TEXT(Demand!D186,"MMM"),"")</f>
        <v/>
      </c>
      <c r="AT177" s="5">
        <f t="shared" ca="1" si="49"/>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ca="1">IF(OR(AN177&lt;&gt;"",AND('Demand adjustments for Covid'!$F$9="Yes",'Demand adjustments for Covid'!$F$20="Yes")),"",SUM(CW177:DF177))</f>
        <v>0</v>
      </c>
    </row>
    <row r="178" spans="1:111" x14ac:dyDescent="0.2">
      <c r="A178" s="5">
        <f t="shared" ca="1" si="43"/>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44"/>
        <v>0</v>
      </c>
      <c r="Y178">
        <f t="shared" ca="1" si="45"/>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6"/>
        <v>0</v>
      </c>
      <c r="AL178" s="5">
        <f t="shared" ca="1" si="47"/>
        <v>0</v>
      </c>
      <c r="AM178" s="5">
        <f t="shared" ca="1" si="48"/>
        <v>0</v>
      </c>
      <c r="AN178" s="5" t="str">
        <f>IF(Demand!BE187="Yes","Yes","")</f>
        <v/>
      </c>
      <c r="AP178" s="36" t="str">
        <f ca="1">Demand!B187</f>
        <v xml:space="preserve"> </v>
      </c>
      <c r="AQ178" t="str">
        <f ca="1">IF(TEXT(Demand!D187,"MMM")&lt;&gt;TEXT(Demand!D186,"MMM"),TEXT(Demand!D187,"MMM"),"")</f>
        <v/>
      </c>
      <c r="AT178" s="5">
        <f t="shared" ca="1" si="49"/>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ca="1">IF(OR(AN178&lt;&gt;"",AND('Demand adjustments for Covid'!$F$9="Yes",'Demand adjustments for Covid'!$F$20="Yes")),"",SUM(CW178:DF178))</f>
        <v>0</v>
      </c>
    </row>
    <row r="179" spans="1:111" x14ac:dyDescent="0.2">
      <c r="A179" s="5">
        <f t="shared" ca="1" si="43"/>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44"/>
        <v>0</v>
      </c>
      <c r="Y179">
        <f t="shared" ca="1" si="45"/>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6"/>
        <v>0</v>
      </c>
      <c r="AL179" s="5">
        <f t="shared" ca="1" si="47"/>
        <v>0</v>
      </c>
      <c r="AM179" s="5">
        <f t="shared" ca="1" si="48"/>
        <v>0</v>
      </c>
      <c r="AN179" s="5" t="str">
        <f>IF(Demand!BE188="Yes","Yes","")</f>
        <v/>
      </c>
      <c r="AP179" s="36" t="str">
        <f ca="1">Demand!B188</f>
        <v xml:space="preserve"> </v>
      </c>
      <c r="AQ179" t="str">
        <f ca="1">IF(TEXT(Demand!D188,"MMM")&lt;&gt;TEXT(Demand!D187,"MMM"),TEXT(Demand!D188,"MMM"),"")</f>
        <v/>
      </c>
      <c r="AT179" s="5">
        <f t="shared" ca="1" si="49"/>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ca="1">IF(OR(AN179&lt;&gt;"",AND('Demand adjustments for Covid'!$F$9="Yes",'Demand adjustments for Covid'!$F$20="Yes")),"",SUM(CW179:DF179))</f>
        <v>0</v>
      </c>
    </row>
    <row r="180" spans="1:111" x14ac:dyDescent="0.2">
      <c r="A180" s="5">
        <f t="shared" ca="1" si="43"/>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44"/>
        <v>0</v>
      </c>
      <c r="Y180">
        <f t="shared" ca="1" si="45"/>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6"/>
        <v>0</v>
      </c>
      <c r="AL180" s="5">
        <f t="shared" ca="1" si="47"/>
        <v>0</v>
      </c>
      <c r="AM180" s="5">
        <f t="shared" ca="1" si="48"/>
        <v>0</v>
      </c>
      <c r="AN180" s="5" t="str">
        <f>IF(Demand!BE189="Yes","Yes","")</f>
        <v/>
      </c>
      <c r="AP180" s="36" t="str">
        <f ca="1">Demand!B189</f>
        <v xml:space="preserve"> </v>
      </c>
      <c r="AQ180" t="str">
        <f ca="1">IF(TEXT(Demand!D189,"MMM")&lt;&gt;TEXT(Demand!D188,"MMM"),TEXT(Demand!D189,"MMM"),"")</f>
        <v/>
      </c>
      <c r="AT180" s="5">
        <f t="shared" ca="1" si="49"/>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ca="1">IF(OR(AN180&lt;&gt;"",AND('Demand adjustments for Covid'!$F$9="Yes",'Demand adjustments for Covid'!$F$20="Yes")),"",SUM(CW180:DF180))</f>
        <v>0</v>
      </c>
    </row>
    <row r="181" spans="1:111" x14ac:dyDescent="0.2">
      <c r="A181" s="5">
        <f t="shared" ca="1" si="43"/>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44"/>
        <v>0</v>
      </c>
      <c r="Y181">
        <f t="shared" ca="1" si="45"/>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6"/>
        <v>0</v>
      </c>
      <c r="AL181" s="5">
        <f t="shared" ca="1" si="47"/>
        <v>0</v>
      </c>
      <c r="AM181" s="5">
        <f t="shared" ca="1" si="48"/>
        <v>0</v>
      </c>
      <c r="AN181" s="5" t="str">
        <f>IF(Demand!BE190="Yes","Yes","")</f>
        <v/>
      </c>
      <c r="AP181" s="36" t="str">
        <f ca="1">Demand!B190</f>
        <v xml:space="preserve"> </v>
      </c>
      <c r="AQ181" t="str">
        <f ca="1">IF(TEXT(Demand!D190,"MMM")&lt;&gt;TEXT(Demand!D189,"MMM"),TEXT(Demand!D190,"MMM"),"")</f>
        <v/>
      </c>
      <c r="AT181" s="5">
        <f t="shared" ca="1" si="49"/>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ca="1">IF(OR(AN181&lt;&gt;"",AND('Demand adjustments for Covid'!$F$9="Yes",'Demand adjustments for Covid'!$F$20="Yes")),"",SUM(CW181:DF181))</f>
        <v>0</v>
      </c>
    </row>
    <row r="182" spans="1:111" x14ac:dyDescent="0.2">
      <c r="A182" s="5">
        <f t="shared" ca="1" si="43"/>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44"/>
        <v>0</v>
      </c>
      <c r="Y182">
        <f t="shared" ca="1" si="45"/>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6"/>
        <v>0</v>
      </c>
      <c r="AL182" s="5">
        <f t="shared" ca="1" si="47"/>
        <v>0</v>
      </c>
      <c r="AM182" s="5">
        <f t="shared" ca="1" si="48"/>
        <v>0</v>
      </c>
      <c r="AN182" s="5" t="str">
        <f>IF(Demand!BE191="Yes","Yes","")</f>
        <v/>
      </c>
      <c r="AP182" s="36" t="str">
        <f ca="1">Demand!B191</f>
        <v xml:space="preserve"> </v>
      </c>
      <c r="AQ182" t="str">
        <f ca="1">IF(TEXT(Demand!D191,"MMM")&lt;&gt;TEXT(Demand!D190,"MMM"),TEXT(Demand!D191,"MMM"),"")</f>
        <v/>
      </c>
      <c r="AT182" s="5">
        <f t="shared" ca="1" si="49"/>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ca="1">IF(OR(AN182&lt;&gt;"",AND('Demand adjustments for Covid'!$F$9="Yes",'Demand adjustments for Covid'!$F$20="Yes")),"",SUM(CW182:DF182))</f>
        <v>0</v>
      </c>
    </row>
    <row r="183" spans="1:111" x14ac:dyDescent="0.2">
      <c r="A183" s="5">
        <f t="shared" ca="1" si="43"/>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44"/>
        <v>0</v>
      </c>
      <c r="Y183">
        <f t="shared" ca="1" si="45"/>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6"/>
        <v>0</v>
      </c>
      <c r="AL183" s="5">
        <f t="shared" ca="1" si="47"/>
        <v>0</v>
      </c>
      <c r="AM183" s="5">
        <f t="shared" ca="1" si="48"/>
        <v>0</v>
      </c>
      <c r="AN183" s="5" t="str">
        <f>IF(Demand!BE192="Yes","Yes","")</f>
        <v/>
      </c>
      <c r="AP183" s="36" t="str">
        <f ca="1">Demand!B192</f>
        <v xml:space="preserve"> </v>
      </c>
      <c r="AQ183" t="str">
        <f ca="1">IF(TEXT(Demand!D192,"MMM")&lt;&gt;TEXT(Demand!D191,"MMM"),TEXT(Demand!D192,"MMM"),"")</f>
        <v/>
      </c>
      <c r="AT183" s="5">
        <f t="shared" ca="1" si="49"/>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ca="1">IF(OR(AN183&lt;&gt;"",AND('Demand adjustments for Covid'!$F$9="Yes",'Demand adjustments for Covid'!$F$20="Yes")),"",SUM(CW183:DF183))</f>
        <v>0</v>
      </c>
    </row>
    <row r="184" spans="1:111" x14ac:dyDescent="0.2">
      <c r="A184" s="5">
        <f t="shared" ref="A184:A247" ca="1" si="50">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44"/>
        <v>0</v>
      </c>
      <c r="Y184">
        <f t="shared" ca="1" si="45"/>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6"/>
        <v>0</v>
      </c>
      <c r="AL184" s="5">
        <f t="shared" ca="1" si="47"/>
        <v>0</v>
      </c>
      <c r="AM184" s="5">
        <f t="shared" ca="1" si="48"/>
        <v>0</v>
      </c>
      <c r="AN184" s="5" t="str">
        <f>IF(Demand!BE193="Yes","Yes","")</f>
        <v/>
      </c>
      <c r="AP184" s="36" t="str">
        <f ca="1">Demand!B193</f>
        <v xml:space="preserve"> </v>
      </c>
      <c r="AQ184" t="str">
        <f ca="1">IF(TEXT(Demand!D193,"MMM")&lt;&gt;TEXT(Demand!D192,"MMM"),TEXT(Demand!D193,"MMM"),"")</f>
        <v/>
      </c>
      <c r="AT184" s="5">
        <f t="shared" ca="1" si="49"/>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ca="1">IF(OR(AN184&lt;&gt;"",AND('Demand adjustments for Covid'!$F$9="Yes",'Demand adjustments for Covid'!$F$20="Yes")),"",SUM(CW184:DF184))</f>
        <v>0</v>
      </c>
    </row>
    <row r="185" spans="1:111" x14ac:dyDescent="0.2">
      <c r="A185" s="5">
        <f t="shared" ca="1" si="50"/>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44"/>
        <v>0</v>
      </c>
      <c r="Y185">
        <f t="shared" ca="1" si="45"/>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6"/>
        <v>0</v>
      </c>
      <c r="AL185" s="5">
        <f t="shared" ca="1" si="47"/>
        <v>0</v>
      </c>
      <c r="AM185" s="5">
        <f t="shared" ca="1" si="48"/>
        <v>0</v>
      </c>
      <c r="AN185" s="5" t="str">
        <f>IF(Demand!BE194="Yes","Yes","")</f>
        <v/>
      </c>
      <c r="AP185" s="36" t="str">
        <f ca="1">Demand!B194</f>
        <v xml:space="preserve"> </v>
      </c>
      <c r="AQ185" t="str">
        <f ca="1">IF(TEXT(Demand!D194,"MMM")&lt;&gt;TEXT(Demand!D193,"MMM"),TEXT(Demand!D194,"MMM"),"")</f>
        <v/>
      </c>
      <c r="AT185" s="5">
        <f t="shared" ca="1" si="49"/>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ca="1">IF(OR(AN185&lt;&gt;"",AND('Demand adjustments for Covid'!$F$9="Yes",'Demand adjustments for Covid'!$F$20="Yes")),"",SUM(CW185:DF185))</f>
        <v>0</v>
      </c>
    </row>
    <row r="186" spans="1:111" x14ac:dyDescent="0.2">
      <c r="A186" s="5">
        <f t="shared" ca="1" si="50"/>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44"/>
        <v>0</v>
      </c>
      <c r="Y186">
        <f t="shared" ca="1" si="45"/>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6"/>
        <v>0</v>
      </c>
      <c r="AL186" s="5">
        <f t="shared" ca="1" si="47"/>
        <v>0</v>
      </c>
      <c r="AM186" s="5">
        <f t="shared" ca="1" si="48"/>
        <v>0</v>
      </c>
      <c r="AN186" s="5" t="str">
        <f>IF(Demand!BE195="Yes","Yes","")</f>
        <v/>
      </c>
      <c r="AP186" s="36" t="str">
        <f ca="1">Demand!B195</f>
        <v xml:space="preserve"> </v>
      </c>
      <c r="AQ186" t="str">
        <f ca="1">IF(TEXT(Demand!D195,"MMM")&lt;&gt;TEXT(Demand!D194,"MMM"),TEXT(Demand!D195,"MMM"),"")</f>
        <v/>
      </c>
      <c r="AT186" s="5">
        <f t="shared" ca="1" si="49"/>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ca="1">IF(OR(AN186&lt;&gt;"",AND('Demand adjustments for Covid'!$F$9="Yes",'Demand adjustments for Covid'!$F$20="Yes")),"",SUM(CW186:DF186))</f>
        <v>0</v>
      </c>
    </row>
    <row r="187" spans="1:111" x14ac:dyDescent="0.2">
      <c r="A187" s="5">
        <f t="shared" ca="1" si="50"/>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44"/>
        <v>0</v>
      </c>
      <c r="Y187">
        <f t="shared" ca="1" si="45"/>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6"/>
        <v>0</v>
      </c>
      <c r="AL187" s="5">
        <f t="shared" ca="1" si="47"/>
        <v>0</v>
      </c>
      <c r="AM187" s="5">
        <f t="shared" ca="1" si="48"/>
        <v>0</v>
      </c>
      <c r="AN187" s="5" t="str">
        <f>IF(Demand!BE196="Yes","Yes","")</f>
        <v/>
      </c>
      <c r="AP187" s="36" t="str">
        <f ca="1">Demand!B196</f>
        <v xml:space="preserve"> </v>
      </c>
      <c r="AQ187" t="str">
        <f ca="1">IF(TEXT(Demand!D196,"MMM")&lt;&gt;TEXT(Demand!D195,"MMM"),TEXT(Demand!D196,"MMM"),"")</f>
        <v/>
      </c>
      <c r="AT187" s="5">
        <f t="shared" ca="1" si="49"/>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ca="1">IF(OR(AN187&lt;&gt;"",AND('Demand adjustments for Covid'!$F$9="Yes",'Demand adjustments for Covid'!$F$20="Yes")),"",SUM(CW187:DF187))</f>
        <v>0</v>
      </c>
    </row>
    <row r="188" spans="1:111" x14ac:dyDescent="0.2">
      <c r="A188" s="5">
        <f t="shared" ca="1" si="50"/>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44"/>
        <v>0</v>
      </c>
      <c r="Y188">
        <f t="shared" ca="1" si="45"/>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6"/>
        <v>0</v>
      </c>
      <c r="AL188" s="5">
        <f t="shared" ca="1" si="47"/>
        <v>0</v>
      </c>
      <c r="AM188" s="5">
        <f t="shared" ca="1" si="48"/>
        <v>0</v>
      </c>
      <c r="AN188" s="5" t="str">
        <f>IF(Demand!BE197="Yes","Yes","")</f>
        <v/>
      </c>
      <c r="AP188" s="36" t="str">
        <f ca="1">Demand!B197</f>
        <v xml:space="preserve"> </v>
      </c>
      <c r="AQ188" t="str">
        <f ca="1">IF(TEXT(Demand!D197,"MMM")&lt;&gt;TEXT(Demand!D196,"MMM"),TEXT(Demand!D197,"MMM"),"")</f>
        <v/>
      </c>
      <c r="AT188" s="5">
        <f t="shared" ca="1" si="49"/>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ca="1">IF(OR(AN188&lt;&gt;"",AND('Demand adjustments for Covid'!$F$9="Yes",'Demand adjustments for Covid'!$F$20="Yes")),"",SUM(CW188:DF188))</f>
        <v>0</v>
      </c>
    </row>
    <row r="189" spans="1:111" x14ac:dyDescent="0.2">
      <c r="A189" s="5">
        <f t="shared" ca="1" si="50"/>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44"/>
        <v>0</v>
      </c>
      <c r="Y189">
        <f t="shared" ca="1" si="45"/>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6"/>
        <v>0</v>
      </c>
      <c r="AL189" s="5">
        <f t="shared" ca="1" si="47"/>
        <v>0</v>
      </c>
      <c r="AM189" s="5">
        <f t="shared" ca="1" si="48"/>
        <v>0</v>
      </c>
      <c r="AN189" s="5" t="str">
        <f>IF(Demand!BE198="Yes","Yes","")</f>
        <v/>
      </c>
      <c r="AP189" s="36" t="str">
        <f ca="1">Demand!B198</f>
        <v xml:space="preserve"> </v>
      </c>
      <c r="AQ189" t="str">
        <f ca="1">IF(TEXT(Demand!D198,"MMM")&lt;&gt;TEXT(Demand!D197,"MMM"),TEXT(Demand!D198,"MMM"),"")</f>
        <v/>
      </c>
      <c r="AT189" s="5">
        <f t="shared" ca="1" si="49"/>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ca="1">IF(OR(AN189&lt;&gt;"",AND('Demand adjustments for Covid'!$F$9="Yes",'Demand adjustments for Covid'!$F$20="Yes")),"",SUM(CW189:DF189))</f>
        <v>0</v>
      </c>
    </row>
    <row r="190" spans="1:111" x14ac:dyDescent="0.2">
      <c r="A190" s="5">
        <f t="shared" ca="1" si="50"/>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44"/>
        <v>0</v>
      </c>
      <c r="Y190">
        <f t="shared" ca="1" si="45"/>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6"/>
        <v>0</v>
      </c>
      <c r="AL190" s="5">
        <f t="shared" ca="1" si="47"/>
        <v>0</v>
      </c>
      <c r="AM190" s="5">
        <f t="shared" ca="1" si="48"/>
        <v>0</v>
      </c>
      <c r="AN190" s="5" t="str">
        <f>IF(Demand!BE199="Yes","Yes","")</f>
        <v/>
      </c>
      <c r="AP190" s="36" t="str">
        <f ca="1">Demand!B199</f>
        <v xml:space="preserve"> </v>
      </c>
      <c r="AQ190" t="str">
        <f ca="1">IF(TEXT(Demand!D199,"MMM")&lt;&gt;TEXT(Demand!D198,"MMM"),TEXT(Demand!D199,"MMM"),"")</f>
        <v/>
      </c>
      <c r="AT190" s="5">
        <f t="shared" ca="1" si="49"/>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ca="1">IF(OR(AN190&lt;&gt;"",AND('Demand adjustments for Covid'!$F$9="Yes",'Demand adjustments for Covid'!$F$20="Yes")),"",SUM(CW190:DF190))</f>
        <v>0</v>
      </c>
    </row>
    <row r="191" spans="1:111" x14ac:dyDescent="0.2">
      <c r="A191" s="5">
        <f t="shared" ca="1" si="50"/>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44"/>
        <v>0</v>
      </c>
      <c r="Y191">
        <f t="shared" ca="1" si="45"/>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6"/>
        <v>0</v>
      </c>
      <c r="AL191" s="5">
        <f t="shared" ca="1" si="47"/>
        <v>0</v>
      </c>
      <c r="AM191" s="5">
        <f t="shared" ca="1" si="48"/>
        <v>0</v>
      </c>
      <c r="AN191" s="5" t="str">
        <f>IF(Demand!BE200="Yes","Yes","")</f>
        <v/>
      </c>
      <c r="AP191" s="36" t="str">
        <f ca="1">Demand!B200</f>
        <v xml:space="preserve"> </v>
      </c>
      <c r="AQ191" t="str">
        <f ca="1">IF(TEXT(Demand!D200,"MMM")&lt;&gt;TEXT(Demand!D199,"MMM"),TEXT(Demand!D200,"MMM"),"")</f>
        <v/>
      </c>
      <c r="AT191" s="5">
        <f t="shared" ca="1" si="49"/>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ca="1">IF(OR(AN191&lt;&gt;"",AND('Demand adjustments for Covid'!$F$9="Yes",'Demand adjustments for Covid'!$F$20="Yes")),"",SUM(CW191:DF191))</f>
        <v>0</v>
      </c>
    </row>
    <row r="192" spans="1:111" x14ac:dyDescent="0.2">
      <c r="A192" s="5">
        <f t="shared" ca="1" si="50"/>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44"/>
        <v>0</v>
      </c>
      <c r="Y192">
        <f t="shared" ca="1" si="45"/>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6"/>
        <v>0</v>
      </c>
      <c r="AL192" s="5">
        <f t="shared" ca="1" si="47"/>
        <v>0</v>
      </c>
      <c r="AM192" s="5">
        <f t="shared" ca="1" si="48"/>
        <v>0</v>
      </c>
      <c r="AN192" s="5" t="str">
        <f>IF(Demand!BE201="Yes","Yes","")</f>
        <v/>
      </c>
      <c r="AP192" s="36" t="str">
        <f ca="1">Demand!B201</f>
        <v xml:space="preserve"> </v>
      </c>
      <c r="AQ192" t="str">
        <f ca="1">IF(TEXT(Demand!D201,"MMM")&lt;&gt;TEXT(Demand!D200,"MMM"),TEXT(Demand!D201,"MMM"),"")</f>
        <v/>
      </c>
      <c r="AT192" s="5">
        <f t="shared" ca="1" si="49"/>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ca="1">IF(OR(AN192&lt;&gt;"",AND('Demand adjustments for Covid'!$F$9="Yes",'Demand adjustments for Covid'!$F$20="Yes")),"",SUM(CW192:DF192))</f>
        <v>0</v>
      </c>
    </row>
    <row r="193" spans="1:111" x14ac:dyDescent="0.2">
      <c r="A193" s="5">
        <f t="shared" ca="1" si="50"/>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44"/>
        <v>0</v>
      </c>
      <c r="Y193">
        <f t="shared" ca="1" si="45"/>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6"/>
        <v>0</v>
      </c>
      <c r="AL193" s="5">
        <f t="shared" ca="1" si="47"/>
        <v>0</v>
      </c>
      <c r="AM193" s="5">
        <f t="shared" ca="1" si="48"/>
        <v>0</v>
      </c>
      <c r="AN193" s="5" t="str">
        <f>IF(Demand!BE202="Yes","Yes","")</f>
        <v/>
      </c>
      <c r="AP193" s="36" t="str">
        <f ca="1">Demand!B202</f>
        <v xml:space="preserve"> </v>
      </c>
      <c r="AQ193" t="str">
        <f ca="1">IF(TEXT(Demand!D202,"MMM")&lt;&gt;TEXT(Demand!D201,"MMM"),TEXT(Demand!D202,"MMM"),"")</f>
        <v/>
      </c>
      <c r="AT193" s="5">
        <f t="shared" ca="1" si="49"/>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ca="1">IF(OR(AN193&lt;&gt;"",AND('Demand adjustments for Covid'!$F$9="Yes",'Demand adjustments for Covid'!$F$20="Yes")),"",SUM(CW193:DF193))</f>
        <v>0</v>
      </c>
    </row>
    <row r="194" spans="1:111" x14ac:dyDescent="0.2">
      <c r="A194" s="5">
        <f t="shared" ca="1" si="50"/>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44"/>
        <v>0</v>
      </c>
      <c r="Y194">
        <f t="shared" ca="1" si="45"/>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6"/>
        <v>0</v>
      </c>
      <c r="AL194" s="5">
        <f t="shared" ca="1" si="47"/>
        <v>0</v>
      </c>
      <c r="AM194" s="5">
        <f t="shared" ca="1" si="48"/>
        <v>0</v>
      </c>
      <c r="AN194" s="5" t="str">
        <f>IF(Demand!BE203="Yes","Yes","")</f>
        <v/>
      </c>
      <c r="AP194" s="36" t="str">
        <f ca="1">Demand!B203</f>
        <v xml:space="preserve"> </v>
      </c>
      <c r="AQ194" t="str">
        <f ca="1">IF(TEXT(Demand!D203,"MMM")&lt;&gt;TEXT(Demand!D202,"MMM"),TEXT(Demand!D203,"MMM"),"")</f>
        <v/>
      </c>
      <c r="AT194" s="5">
        <f t="shared" ca="1" si="49"/>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ca="1">IF(OR(AN194&lt;&gt;"",AND('Demand adjustments for Covid'!$F$9="Yes",'Demand adjustments for Covid'!$F$20="Yes")),"",SUM(CW194:DF194))</f>
        <v>0</v>
      </c>
    </row>
    <row r="195" spans="1:111" x14ac:dyDescent="0.2">
      <c r="A195" s="5">
        <f t="shared" ca="1" si="50"/>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44"/>
        <v>0</v>
      </c>
      <c r="Y195">
        <f t="shared" ca="1" si="45"/>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6"/>
        <v>0</v>
      </c>
      <c r="AL195" s="5">
        <f t="shared" ca="1" si="47"/>
        <v>0</v>
      </c>
      <c r="AM195" s="5">
        <f t="shared" ca="1" si="48"/>
        <v>0</v>
      </c>
      <c r="AN195" s="5" t="str">
        <f>IF(Demand!BE204="Yes","Yes","")</f>
        <v/>
      </c>
      <c r="AP195" s="36" t="str">
        <f ca="1">Demand!B204</f>
        <v xml:space="preserve"> </v>
      </c>
      <c r="AQ195" t="str">
        <f ca="1">IF(TEXT(Demand!D204,"MMM")&lt;&gt;TEXT(Demand!D203,"MMM"),TEXT(Demand!D204,"MMM"),"")</f>
        <v/>
      </c>
      <c r="AT195" s="5">
        <f t="shared" ca="1" si="49"/>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ca="1">IF(OR(AN195&lt;&gt;"",AND('Demand adjustments for Covid'!$F$9="Yes",'Demand adjustments for Covid'!$F$20="Yes")),"",SUM(CW195:DF195))</f>
        <v>0</v>
      </c>
    </row>
    <row r="196" spans="1:111" x14ac:dyDescent="0.2">
      <c r="A196" s="5">
        <f t="shared" ca="1" si="50"/>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51">IF(AN196="",SUM(OFFSET(N196,0,0,1,Num_Modalities)),"")</f>
        <v>0</v>
      </c>
      <c r="Y196">
        <f t="shared" ref="Y196:Y263" ca="1" si="52">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53">SUM(OFFSET(Z196,0,0,1,Num_Modalities))</f>
        <v>0</v>
      </c>
      <c r="AL196" s="5">
        <f t="shared" ca="1" si="47"/>
        <v>0</v>
      </c>
      <c r="AM196" s="5">
        <f t="shared" ca="1" si="48"/>
        <v>0</v>
      </c>
      <c r="AN196" s="5" t="str">
        <f>IF(Demand!BE205="Yes","Yes","")</f>
        <v/>
      </c>
      <c r="AP196" s="36" t="str">
        <f ca="1">Demand!B205</f>
        <v xml:space="preserve"> </v>
      </c>
      <c r="AQ196" t="str">
        <f ca="1">IF(TEXT(Demand!D205,"MMM")&lt;&gt;TEXT(Demand!D204,"MMM"),TEXT(Demand!D205,"MMM"),"")</f>
        <v/>
      </c>
      <c r="AT196" s="5">
        <f t="shared" ca="1" si="49"/>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ca="1">IF(OR(AN196&lt;&gt;"",AND('Demand adjustments for Covid'!$F$9="Yes",'Demand adjustments for Covid'!$F$20="Yes")),"",SUM(CW196:DF196))</f>
        <v>0</v>
      </c>
    </row>
    <row r="197" spans="1:111" x14ac:dyDescent="0.2">
      <c r="A197" s="5">
        <f t="shared" ca="1" si="50"/>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51"/>
        <v>0</v>
      </c>
      <c r="Y197">
        <f t="shared" ca="1" si="52"/>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53"/>
        <v>0</v>
      </c>
      <c r="AL197" s="5">
        <f t="shared" ref="AL197:AL260" ca="1" si="54">X197</f>
        <v>0</v>
      </c>
      <c r="AM197" s="5">
        <f t="shared" ref="AM197:AM260" ca="1" si="55">IF(AN197&lt;&gt;"","",AJ197)</f>
        <v>0</v>
      </c>
      <c r="AN197" s="5" t="str">
        <f>IF(Demand!BE206="Yes","Yes","")</f>
        <v/>
      </c>
      <c r="AP197" s="36" t="str">
        <f ca="1">Demand!B206</f>
        <v xml:space="preserve"> </v>
      </c>
      <c r="AQ197" t="str">
        <f ca="1">IF(TEXT(Demand!D206,"MMM")&lt;&gt;TEXT(Demand!D205,"MMM"),TEXT(Demand!D206,"MMM"),"")</f>
        <v/>
      </c>
      <c r="AT197" s="5">
        <f t="shared" ca="1" si="49"/>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ca="1">IF(OR(AN197&lt;&gt;"",AND('Demand adjustments for Covid'!$F$9="Yes",'Demand adjustments for Covid'!$F$20="Yes")),"",SUM(CW197:DF197))</f>
        <v>0</v>
      </c>
    </row>
    <row r="198" spans="1:111" x14ac:dyDescent="0.2">
      <c r="A198" s="5">
        <f t="shared" ca="1" si="50"/>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51"/>
        <v>0</v>
      </c>
      <c r="Y198">
        <f t="shared" ca="1" si="52"/>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53"/>
        <v>0</v>
      </c>
      <c r="AL198" s="5">
        <f t="shared" ca="1" si="54"/>
        <v>0</v>
      </c>
      <c r="AM198" s="5">
        <f t="shared" ca="1" si="55"/>
        <v>0</v>
      </c>
      <c r="AN198" s="5" t="str">
        <f>IF(Demand!BE207="Yes","Yes","")</f>
        <v/>
      </c>
      <c r="AP198" s="36" t="str">
        <f ca="1">Demand!B207</f>
        <v xml:space="preserve"> </v>
      </c>
      <c r="AQ198" t="str">
        <f ca="1">IF(TEXT(Demand!D207,"MMM")&lt;&gt;TEXT(Demand!D206,"MMM"),TEXT(Demand!D207,"MMM"),"")</f>
        <v/>
      </c>
      <c r="AT198" s="5">
        <f t="shared" ref="AT198:AT261" ca="1" si="56">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ca="1">IF(OR(AN198&lt;&gt;"",AND('Demand adjustments for Covid'!$F$9="Yes",'Demand adjustments for Covid'!$F$20="Yes")),"",SUM(CW198:DF198))</f>
        <v>0</v>
      </c>
    </row>
    <row r="199" spans="1:111" x14ac:dyDescent="0.2">
      <c r="A199" s="5">
        <f t="shared" ca="1" si="50"/>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51"/>
        <v>0</v>
      </c>
      <c r="Y199">
        <f t="shared" ca="1" si="52"/>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53"/>
        <v>0</v>
      </c>
      <c r="AL199" s="5">
        <f t="shared" ca="1" si="54"/>
        <v>0</v>
      </c>
      <c r="AM199" s="5">
        <f t="shared" ca="1" si="55"/>
        <v>0</v>
      </c>
      <c r="AN199" s="5" t="str">
        <f>IF(Demand!BE208="Yes","Yes","")</f>
        <v/>
      </c>
      <c r="AP199" s="36" t="str">
        <f ca="1">Demand!B208</f>
        <v xml:space="preserve"> </v>
      </c>
      <c r="AQ199" t="str">
        <f ca="1">IF(TEXT(Demand!D208,"MMM")&lt;&gt;TEXT(Demand!D207,"MMM"),TEXT(Demand!D208,"MMM"),"")</f>
        <v/>
      </c>
      <c r="AT199" s="5">
        <f t="shared" ca="1" si="56"/>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ca="1">IF(OR(AN199&lt;&gt;"",AND('Demand adjustments for Covid'!$F$9="Yes",'Demand adjustments for Covid'!$F$20="Yes")),"",SUM(CW199:DF199))</f>
        <v>0</v>
      </c>
    </row>
    <row r="200" spans="1:111" x14ac:dyDescent="0.2">
      <c r="A200" s="5">
        <f t="shared" ca="1" si="50"/>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51"/>
        <v>0</v>
      </c>
      <c r="Y200">
        <f t="shared" ca="1" si="52"/>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53"/>
        <v>0</v>
      </c>
      <c r="AL200" s="5">
        <f t="shared" ca="1" si="54"/>
        <v>0</v>
      </c>
      <c r="AM200" s="5">
        <f t="shared" ca="1" si="55"/>
        <v>0</v>
      </c>
      <c r="AN200" s="5" t="str">
        <f>IF(Demand!BE209="Yes","Yes","")</f>
        <v/>
      </c>
      <c r="AP200" s="36" t="str">
        <f ca="1">Demand!B209</f>
        <v xml:space="preserve"> </v>
      </c>
      <c r="AQ200" t="str">
        <f ca="1">IF(TEXT(Demand!D209,"MMM")&lt;&gt;TEXT(Demand!D208,"MMM"),TEXT(Demand!D209,"MMM"),"")</f>
        <v/>
      </c>
      <c r="AT200" s="5">
        <f t="shared" ca="1" si="56"/>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ca="1">IF(OR(AN200&lt;&gt;"",AND('Demand adjustments for Covid'!$F$9="Yes",'Demand adjustments for Covid'!$F$20="Yes")),"",SUM(CW200:DF200))</f>
        <v>0</v>
      </c>
    </row>
    <row r="201" spans="1:111" x14ac:dyDescent="0.2">
      <c r="A201" s="5">
        <f t="shared" ca="1" si="50"/>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51"/>
        <v>0</v>
      </c>
      <c r="Y201">
        <f t="shared" ca="1" si="52"/>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53"/>
        <v>0</v>
      </c>
      <c r="AL201" s="5">
        <f t="shared" ca="1" si="54"/>
        <v>0</v>
      </c>
      <c r="AM201" s="5">
        <f t="shared" ca="1" si="55"/>
        <v>0</v>
      </c>
      <c r="AN201" s="5" t="str">
        <f>IF(Demand!BE210="Yes","Yes","")</f>
        <v/>
      </c>
      <c r="AP201" s="36" t="str">
        <f ca="1">Demand!B210</f>
        <v xml:space="preserve"> </v>
      </c>
      <c r="AQ201" t="str">
        <f ca="1">IF(TEXT(Demand!D210,"MMM")&lt;&gt;TEXT(Demand!D209,"MMM"),TEXT(Demand!D210,"MMM"),"")</f>
        <v/>
      </c>
      <c r="AT201" s="5">
        <f t="shared" ca="1" si="56"/>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ca="1">IF(OR(AN201&lt;&gt;"",AND('Demand adjustments for Covid'!$F$9="Yes",'Demand adjustments for Covid'!$F$20="Yes")),"",SUM(CW201:DF201))</f>
        <v>0</v>
      </c>
    </row>
    <row r="202" spans="1:111" x14ac:dyDescent="0.2">
      <c r="A202" s="5">
        <f t="shared" ca="1" si="50"/>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51"/>
        <v>0</v>
      </c>
      <c r="Y202">
        <f t="shared" ca="1" si="52"/>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53"/>
        <v>0</v>
      </c>
      <c r="AL202" s="5">
        <f t="shared" ca="1" si="54"/>
        <v>0</v>
      </c>
      <c r="AM202" s="5">
        <f t="shared" ca="1" si="55"/>
        <v>0</v>
      </c>
      <c r="AN202" s="5" t="str">
        <f>IF(Demand!BE211="Yes","Yes","")</f>
        <v/>
      </c>
      <c r="AP202" s="36" t="str">
        <f ca="1">Demand!B211</f>
        <v xml:space="preserve"> </v>
      </c>
      <c r="AQ202" t="str">
        <f ca="1">IF(TEXT(Demand!D211,"MMM")&lt;&gt;TEXT(Demand!D210,"MMM"),TEXT(Demand!D211,"MMM"),"")</f>
        <v/>
      </c>
      <c r="AT202" s="5">
        <f t="shared" ca="1" si="56"/>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ca="1">IF(OR(AN202&lt;&gt;"",AND('Demand adjustments for Covid'!$F$9="Yes",'Demand adjustments for Covid'!$F$20="Yes")),"",SUM(CW202:DF202))</f>
        <v>0</v>
      </c>
    </row>
    <row r="203" spans="1:111" x14ac:dyDescent="0.2">
      <c r="A203" s="5">
        <f t="shared" ca="1" si="50"/>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51"/>
        <v>0</v>
      </c>
      <c r="Y203">
        <f t="shared" ca="1" si="52"/>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53"/>
        <v>0</v>
      </c>
      <c r="AL203" s="5">
        <f t="shared" ca="1" si="54"/>
        <v>0</v>
      </c>
      <c r="AM203" s="5">
        <f t="shared" ca="1" si="55"/>
        <v>0</v>
      </c>
      <c r="AN203" s="5" t="str">
        <f>IF(Demand!BE212="Yes","Yes","")</f>
        <v/>
      </c>
      <c r="AP203" s="36" t="str">
        <f ca="1">Demand!B212</f>
        <v xml:space="preserve"> </v>
      </c>
      <c r="AQ203" t="str">
        <f ca="1">IF(TEXT(Demand!D212,"MMM")&lt;&gt;TEXT(Demand!D211,"MMM"),TEXT(Demand!D212,"MMM"),"")</f>
        <v/>
      </c>
      <c r="AT203" s="5">
        <f t="shared" ca="1" si="56"/>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ca="1">IF(OR(AN203&lt;&gt;"",AND('Demand adjustments for Covid'!$F$9="Yes",'Demand adjustments for Covid'!$F$20="Yes")),"",SUM(CW203:DF203))</f>
        <v>0</v>
      </c>
    </row>
    <row r="204" spans="1:111" x14ac:dyDescent="0.2">
      <c r="A204" s="5">
        <f t="shared" ca="1" si="50"/>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51"/>
        <v>0</v>
      </c>
      <c r="Y204">
        <f t="shared" ca="1" si="52"/>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53"/>
        <v>0</v>
      </c>
      <c r="AL204" s="5">
        <f t="shared" ca="1" si="54"/>
        <v>0</v>
      </c>
      <c r="AM204" s="5">
        <f t="shared" ca="1" si="55"/>
        <v>0</v>
      </c>
      <c r="AN204" s="5" t="str">
        <f>IF(Demand!BE213="Yes","Yes","")</f>
        <v/>
      </c>
      <c r="AP204" s="36" t="str">
        <f ca="1">Demand!B213</f>
        <v xml:space="preserve"> </v>
      </c>
      <c r="AQ204" t="str">
        <f ca="1">IF(TEXT(Demand!D213,"MMM")&lt;&gt;TEXT(Demand!D212,"MMM"),TEXT(Demand!D213,"MMM"),"")</f>
        <v/>
      </c>
      <c r="AT204" s="5">
        <f t="shared" ca="1" si="56"/>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ca="1">IF(OR(AN204&lt;&gt;"",AND('Demand adjustments for Covid'!$F$9="Yes",'Demand adjustments for Covid'!$F$20="Yes")),"",SUM(CW204:DF204))</f>
        <v>0</v>
      </c>
    </row>
    <row r="205" spans="1:111" x14ac:dyDescent="0.2">
      <c r="A205" s="5">
        <f t="shared" ca="1" si="50"/>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51"/>
        <v>0</v>
      </c>
      <c r="Y205">
        <f t="shared" ca="1" si="52"/>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53"/>
        <v>0</v>
      </c>
      <c r="AL205" s="5">
        <f t="shared" ca="1" si="54"/>
        <v>0</v>
      </c>
      <c r="AM205" s="5">
        <f t="shared" ca="1" si="55"/>
        <v>0</v>
      </c>
      <c r="AN205" s="5" t="str">
        <f>IF(Demand!BE214="Yes","Yes","")</f>
        <v/>
      </c>
      <c r="AP205" s="36" t="str">
        <f ca="1">Demand!B214</f>
        <v xml:space="preserve"> </v>
      </c>
      <c r="AQ205" t="str">
        <f ca="1">IF(TEXT(Demand!D214,"MMM")&lt;&gt;TEXT(Demand!D213,"MMM"),TEXT(Demand!D214,"MMM"),"")</f>
        <v/>
      </c>
      <c r="AT205" s="5">
        <f t="shared" ca="1" si="56"/>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ca="1">IF(OR(AN205&lt;&gt;"",AND('Demand adjustments for Covid'!$F$9="Yes",'Demand adjustments for Covid'!$F$20="Yes")),"",SUM(CW205:DF205))</f>
        <v>0</v>
      </c>
    </row>
    <row r="206" spans="1:111" x14ac:dyDescent="0.2">
      <c r="A206" s="5">
        <f t="shared" ca="1" si="50"/>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51"/>
        <v>0</v>
      </c>
      <c r="Y206">
        <f t="shared" ca="1" si="52"/>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53"/>
        <v>0</v>
      </c>
      <c r="AL206" s="5">
        <f t="shared" ca="1" si="54"/>
        <v>0</v>
      </c>
      <c r="AM206" s="5">
        <f t="shared" ca="1" si="55"/>
        <v>0</v>
      </c>
      <c r="AN206" s="5" t="str">
        <f>IF(Demand!BE215="Yes","Yes","")</f>
        <v/>
      </c>
      <c r="AP206" s="36" t="str">
        <f ca="1">Demand!B215</f>
        <v xml:space="preserve"> </v>
      </c>
      <c r="AQ206" t="str">
        <f ca="1">IF(TEXT(Demand!D215,"MMM")&lt;&gt;TEXT(Demand!D214,"MMM"),TEXT(Demand!D215,"MMM"),"")</f>
        <v/>
      </c>
      <c r="AT206" s="5">
        <f t="shared" ca="1" si="56"/>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ca="1">IF(OR(AN206&lt;&gt;"",AND('Demand adjustments for Covid'!$F$9="Yes",'Demand adjustments for Covid'!$F$20="Yes")),"",SUM(CW206:DF206))</f>
        <v>0</v>
      </c>
    </row>
    <row r="207" spans="1:111" x14ac:dyDescent="0.2">
      <c r="A207" s="5">
        <f t="shared" ca="1" si="50"/>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51"/>
        <v>0</v>
      </c>
      <c r="Y207">
        <f t="shared" ca="1" si="52"/>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53"/>
        <v>0</v>
      </c>
      <c r="AL207" s="5">
        <f t="shared" ca="1" si="54"/>
        <v>0</v>
      </c>
      <c r="AM207" s="5">
        <f t="shared" ca="1" si="55"/>
        <v>0</v>
      </c>
      <c r="AN207" s="5" t="str">
        <f>IF(Demand!BE216="Yes","Yes","")</f>
        <v/>
      </c>
      <c r="AP207" s="36" t="str">
        <f ca="1">Demand!B216</f>
        <v xml:space="preserve"> </v>
      </c>
      <c r="AQ207" t="str">
        <f ca="1">IF(TEXT(Demand!D216,"MMM")&lt;&gt;TEXT(Demand!D215,"MMM"),TEXT(Demand!D216,"MMM"),"")</f>
        <v/>
      </c>
      <c r="AT207" s="5">
        <f t="shared" ca="1" si="56"/>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ca="1">IF(OR(AN207&lt;&gt;"",AND('Demand adjustments for Covid'!$F$9="Yes",'Demand adjustments for Covid'!$F$20="Yes")),"",SUM(CW207:DF207))</f>
        <v>0</v>
      </c>
    </row>
    <row r="208" spans="1:111" x14ac:dyDescent="0.2">
      <c r="A208" s="5">
        <f t="shared" ca="1" si="50"/>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51"/>
        <v>0</v>
      </c>
      <c r="Y208">
        <f t="shared" ca="1" si="52"/>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53"/>
        <v>0</v>
      </c>
      <c r="AL208" s="5">
        <f t="shared" ca="1" si="54"/>
        <v>0</v>
      </c>
      <c r="AM208" s="5">
        <f t="shared" ca="1" si="55"/>
        <v>0</v>
      </c>
      <c r="AN208" s="5" t="str">
        <f>IF(Demand!BE217="Yes","Yes","")</f>
        <v/>
      </c>
      <c r="AP208" s="36" t="str">
        <f ca="1">Demand!B217</f>
        <v xml:space="preserve"> </v>
      </c>
      <c r="AQ208" t="str">
        <f ca="1">IF(TEXT(Demand!D217,"MMM")&lt;&gt;TEXT(Demand!D216,"MMM"),TEXT(Demand!D217,"MMM"),"")</f>
        <v/>
      </c>
      <c r="AT208" s="5">
        <f t="shared" ca="1" si="56"/>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ca="1">IF(OR(AN208&lt;&gt;"",AND('Demand adjustments for Covid'!$F$9="Yes",'Demand adjustments for Covid'!$F$20="Yes")),"",SUM(CW208:DF208))</f>
        <v>0</v>
      </c>
    </row>
    <row r="209" spans="1:111" x14ac:dyDescent="0.2">
      <c r="A209" s="5">
        <f t="shared" ca="1" si="50"/>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51"/>
        <v>0</v>
      </c>
      <c r="Y209">
        <f t="shared" ca="1" si="52"/>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53"/>
        <v>0</v>
      </c>
      <c r="AL209" s="5">
        <f t="shared" ca="1" si="54"/>
        <v>0</v>
      </c>
      <c r="AM209" s="5">
        <f t="shared" ca="1" si="55"/>
        <v>0</v>
      </c>
      <c r="AN209" s="5" t="str">
        <f>IF(Demand!BE218="Yes","Yes","")</f>
        <v/>
      </c>
      <c r="AP209" s="36" t="str">
        <f ca="1">Demand!B218</f>
        <v xml:space="preserve"> </v>
      </c>
      <c r="AQ209" t="str">
        <f ca="1">IF(TEXT(Demand!D218,"MMM")&lt;&gt;TEXT(Demand!D217,"MMM"),TEXT(Demand!D218,"MMM"),"")</f>
        <v/>
      </c>
      <c r="AT209" s="5">
        <f t="shared" ca="1" si="56"/>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ca="1">IF(OR(AN209&lt;&gt;"",AND('Demand adjustments for Covid'!$F$9="Yes",'Demand adjustments for Covid'!$F$20="Yes")),"",SUM(CW209:DF209))</f>
        <v>0</v>
      </c>
    </row>
    <row r="210" spans="1:111" x14ac:dyDescent="0.2">
      <c r="A210" s="5">
        <f t="shared" ca="1" si="50"/>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51"/>
        <v>0</v>
      </c>
      <c r="Y210">
        <f t="shared" ca="1" si="52"/>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53"/>
        <v>0</v>
      </c>
      <c r="AL210" s="5">
        <f t="shared" ca="1" si="54"/>
        <v>0</v>
      </c>
      <c r="AM210" s="5">
        <f t="shared" ca="1" si="55"/>
        <v>0</v>
      </c>
      <c r="AN210" s="5" t="str">
        <f>IF(Demand!BE219="Yes","Yes","")</f>
        <v/>
      </c>
      <c r="AP210" s="36" t="str">
        <f ca="1">Demand!B219</f>
        <v xml:space="preserve"> </v>
      </c>
      <c r="AQ210" t="str">
        <f ca="1">IF(TEXT(Demand!D219,"MMM")&lt;&gt;TEXT(Demand!D218,"MMM"),TEXT(Demand!D219,"MMM"),"")</f>
        <v/>
      </c>
      <c r="AT210" s="5">
        <f t="shared" ca="1" si="56"/>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ca="1">IF(OR(AN210&lt;&gt;"",AND('Demand adjustments for Covid'!$F$9="Yes",'Demand adjustments for Covid'!$F$20="Yes")),"",SUM(CW210:DF210))</f>
        <v>0</v>
      </c>
    </row>
    <row r="211" spans="1:111" x14ac:dyDescent="0.2">
      <c r="A211" s="5">
        <f t="shared" ca="1" si="50"/>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51"/>
        <v>0</v>
      </c>
      <c r="Y211">
        <f t="shared" ca="1" si="52"/>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53"/>
        <v>0</v>
      </c>
      <c r="AL211" s="5">
        <f t="shared" ca="1" si="54"/>
        <v>0</v>
      </c>
      <c r="AM211" s="5">
        <f t="shared" ca="1" si="55"/>
        <v>0</v>
      </c>
      <c r="AN211" s="5" t="str">
        <f>IF(Demand!BE220="Yes","Yes","")</f>
        <v/>
      </c>
      <c r="AP211" s="36" t="str">
        <f ca="1">Demand!B220</f>
        <v xml:space="preserve"> </v>
      </c>
      <c r="AQ211" t="str">
        <f ca="1">IF(TEXT(Demand!D220,"MMM")&lt;&gt;TEXT(Demand!D219,"MMM"),TEXT(Demand!D220,"MMM"),"")</f>
        <v/>
      </c>
      <c r="AT211" s="5">
        <f t="shared" ca="1" si="56"/>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ca="1">IF(OR(AN211&lt;&gt;"",AND('Demand adjustments for Covid'!$F$9="Yes",'Demand adjustments for Covid'!$F$20="Yes")),"",SUM(CW211:DF211))</f>
        <v>0</v>
      </c>
    </row>
    <row r="212" spans="1:111" x14ac:dyDescent="0.2">
      <c r="A212" s="5">
        <f t="shared" ca="1" si="50"/>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51"/>
        <v>0</v>
      </c>
      <c r="Y212">
        <f t="shared" ca="1" si="52"/>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53"/>
        <v>0</v>
      </c>
      <c r="AL212" s="5">
        <f t="shared" ca="1" si="54"/>
        <v>0</v>
      </c>
      <c r="AM212" s="5">
        <f t="shared" ca="1" si="55"/>
        <v>0</v>
      </c>
      <c r="AN212" s="5" t="str">
        <f>IF(Demand!BE221="Yes","Yes","")</f>
        <v/>
      </c>
      <c r="AP212" s="36" t="str">
        <f ca="1">Demand!B221</f>
        <v xml:space="preserve"> </v>
      </c>
      <c r="AQ212" t="str">
        <f ca="1">IF(TEXT(Demand!D221,"MMM")&lt;&gt;TEXT(Demand!D220,"MMM"),TEXT(Demand!D221,"MMM"),"")</f>
        <v/>
      </c>
      <c r="AT212" s="5">
        <f t="shared" ca="1" si="56"/>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ca="1">IF(OR(AN212&lt;&gt;"",AND('Demand adjustments for Covid'!$F$9="Yes",'Demand adjustments for Covid'!$F$20="Yes")),"",SUM(CW212:DF212))</f>
        <v>0</v>
      </c>
    </row>
    <row r="213" spans="1:111" x14ac:dyDescent="0.2">
      <c r="A213" s="5">
        <f t="shared" ca="1" si="50"/>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51"/>
        <v>0</v>
      </c>
      <c r="Y213">
        <f t="shared" ca="1" si="52"/>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53"/>
        <v>0</v>
      </c>
      <c r="AL213" s="5">
        <f t="shared" ca="1" si="54"/>
        <v>0</v>
      </c>
      <c r="AM213" s="5">
        <f t="shared" ca="1" si="55"/>
        <v>0</v>
      </c>
      <c r="AN213" s="5" t="str">
        <f>IF(Demand!BE222="Yes","Yes","")</f>
        <v/>
      </c>
      <c r="AP213" s="36" t="str">
        <f ca="1">Demand!B222</f>
        <v xml:space="preserve"> </v>
      </c>
      <c r="AQ213" t="str">
        <f ca="1">IF(TEXT(Demand!D222,"MMM")&lt;&gt;TEXT(Demand!D221,"MMM"),TEXT(Demand!D222,"MMM"),"")</f>
        <v/>
      </c>
      <c r="AT213" s="5">
        <f t="shared" ca="1" si="56"/>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ca="1">IF(OR(AN213&lt;&gt;"",AND('Demand adjustments for Covid'!$F$9="Yes",'Demand adjustments for Covid'!$F$20="Yes")),"",SUM(CW213:DF213))</f>
        <v>0</v>
      </c>
    </row>
    <row r="214" spans="1:111" x14ac:dyDescent="0.2">
      <c r="A214" s="5">
        <f t="shared" ca="1" si="50"/>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51"/>
        <v>0</v>
      </c>
      <c r="Y214">
        <f t="shared" ca="1" si="52"/>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53"/>
        <v>0</v>
      </c>
      <c r="AL214" s="5">
        <f t="shared" ca="1" si="54"/>
        <v>0</v>
      </c>
      <c r="AM214" s="5">
        <f t="shared" ca="1" si="55"/>
        <v>0</v>
      </c>
      <c r="AN214" s="5" t="str">
        <f>IF(Demand!BE223="Yes","Yes","")</f>
        <v/>
      </c>
      <c r="AP214" s="36" t="str">
        <f ca="1">Demand!B223</f>
        <v xml:space="preserve"> </v>
      </c>
      <c r="AQ214" t="str">
        <f ca="1">IF(TEXT(Demand!D223,"MMM")&lt;&gt;TEXT(Demand!D222,"MMM"),TEXT(Demand!D223,"MMM"),"")</f>
        <v/>
      </c>
      <c r="AT214" s="5">
        <f t="shared" ca="1" si="56"/>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ca="1">IF(OR(AN214&lt;&gt;"",AND('Demand adjustments for Covid'!$F$9="Yes",'Demand adjustments for Covid'!$F$20="Yes")),"",SUM(CW214:DF214))</f>
        <v>0</v>
      </c>
    </row>
    <row r="215" spans="1:111" x14ac:dyDescent="0.2">
      <c r="A215" s="5">
        <f t="shared" ca="1" si="50"/>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51"/>
        <v>0</v>
      </c>
      <c r="Y215">
        <f t="shared" ca="1" si="52"/>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53"/>
        <v>0</v>
      </c>
      <c r="AL215" s="5">
        <f t="shared" ca="1" si="54"/>
        <v>0</v>
      </c>
      <c r="AM215" s="5">
        <f t="shared" ca="1" si="55"/>
        <v>0</v>
      </c>
      <c r="AN215" s="5" t="str">
        <f>IF(Demand!BE224="Yes","Yes","")</f>
        <v/>
      </c>
      <c r="AP215" s="36" t="str">
        <f ca="1">Demand!B224</f>
        <v xml:space="preserve"> </v>
      </c>
      <c r="AQ215" t="str">
        <f ca="1">IF(TEXT(Demand!D224,"MMM")&lt;&gt;TEXT(Demand!D223,"MMM"),TEXT(Demand!D224,"MMM"),"")</f>
        <v/>
      </c>
      <c r="AT215" s="5">
        <f t="shared" ca="1" si="56"/>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ca="1">IF(OR(AN215&lt;&gt;"",AND('Demand adjustments for Covid'!$F$9="Yes",'Demand adjustments for Covid'!$F$20="Yes")),"",SUM(CW215:DF215))</f>
        <v>0</v>
      </c>
    </row>
    <row r="216" spans="1:111" x14ac:dyDescent="0.2">
      <c r="A216" s="5">
        <f t="shared" ca="1" si="50"/>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51"/>
        <v>0</v>
      </c>
      <c r="Y216">
        <f t="shared" ca="1" si="52"/>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53"/>
        <v>0</v>
      </c>
      <c r="AL216" s="5">
        <f t="shared" ca="1" si="54"/>
        <v>0</v>
      </c>
      <c r="AM216" s="5">
        <f t="shared" ca="1" si="55"/>
        <v>0</v>
      </c>
      <c r="AN216" s="5" t="str">
        <f>IF(Demand!BE225="Yes","Yes","")</f>
        <v/>
      </c>
      <c r="AP216" s="36" t="str">
        <f ca="1">Demand!B225</f>
        <v xml:space="preserve"> </v>
      </c>
      <c r="AQ216" t="str">
        <f ca="1">IF(TEXT(Demand!D225,"MMM")&lt;&gt;TEXT(Demand!D224,"MMM"),TEXT(Demand!D225,"MMM"),"")</f>
        <v/>
      </c>
      <c r="AT216" s="5">
        <f t="shared" ca="1" si="56"/>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ca="1">IF(OR(AN216&lt;&gt;"",AND('Demand adjustments for Covid'!$F$9="Yes",'Demand adjustments for Covid'!$F$20="Yes")),"",SUM(CW216:DF216))</f>
        <v>0</v>
      </c>
    </row>
    <row r="217" spans="1:111" x14ac:dyDescent="0.2">
      <c r="A217" s="5">
        <f t="shared" ca="1" si="50"/>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51"/>
        <v>0</v>
      </c>
      <c r="Y217">
        <f t="shared" ca="1" si="52"/>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53"/>
        <v>0</v>
      </c>
      <c r="AL217" s="5">
        <f t="shared" ca="1" si="54"/>
        <v>0</v>
      </c>
      <c r="AM217" s="5">
        <f t="shared" ca="1" si="55"/>
        <v>0</v>
      </c>
      <c r="AN217" s="5" t="str">
        <f>IF(Demand!BE226="Yes","Yes","")</f>
        <v/>
      </c>
      <c r="AP217" s="36" t="str">
        <f ca="1">Demand!B226</f>
        <v xml:space="preserve"> </v>
      </c>
      <c r="AQ217" t="str">
        <f ca="1">IF(TEXT(Demand!D226,"MMM")&lt;&gt;TEXT(Demand!D225,"MMM"),TEXT(Demand!D226,"MMM"),"")</f>
        <v/>
      </c>
      <c r="AT217" s="5">
        <f t="shared" ca="1" si="56"/>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ca="1">IF(OR(AN217&lt;&gt;"",AND('Demand adjustments for Covid'!$F$9="Yes",'Demand adjustments for Covid'!$F$20="Yes")),"",SUM(CW217:DF217))</f>
        <v>0</v>
      </c>
    </row>
    <row r="218" spans="1:111" x14ac:dyDescent="0.2">
      <c r="A218" s="5">
        <f t="shared" ca="1" si="50"/>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51"/>
        <v>0</v>
      </c>
      <c r="Y218">
        <f t="shared" ca="1" si="52"/>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53"/>
        <v>0</v>
      </c>
      <c r="AL218" s="5">
        <f t="shared" ca="1" si="54"/>
        <v>0</v>
      </c>
      <c r="AM218" s="5">
        <f t="shared" ca="1" si="55"/>
        <v>0</v>
      </c>
      <c r="AN218" s="5" t="str">
        <f>IF(Demand!BE227="Yes","Yes","")</f>
        <v/>
      </c>
      <c r="AP218" s="36" t="str">
        <f ca="1">Demand!B227</f>
        <v xml:space="preserve"> </v>
      </c>
      <c r="AQ218" t="str">
        <f ca="1">IF(TEXT(Demand!D227,"MMM")&lt;&gt;TEXT(Demand!D226,"MMM"),TEXT(Demand!D227,"MMM"),"")</f>
        <v/>
      </c>
      <c r="AT218" s="5">
        <f t="shared" ca="1" si="56"/>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ca="1">IF(OR(AN218&lt;&gt;"",AND('Demand adjustments for Covid'!$F$9="Yes",'Demand adjustments for Covid'!$F$20="Yes")),"",SUM(CW218:DF218))</f>
        <v>0</v>
      </c>
    </row>
    <row r="219" spans="1:111" x14ac:dyDescent="0.2">
      <c r="A219" s="5">
        <f t="shared" ca="1" si="50"/>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51"/>
        <v>0</v>
      </c>
      <c r="Y219">
        <f t="shared" ca="1" si="52"/>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53"/>
        <v>0</v>
      </c>
      <c r="AL219" s="5">
        <f t="shared" ca="1" si="54"/>
        <v>0</v>
      </c>
      <c r="AM219" s="5">
        <f t="shared" ca="1" si="55"/>
        <v>0</v>
      </c>
      <c r="AN219" s="5" t="str">
        <f>IF(Demand!BE228="Yes","Yes","")</f>
        <v/>
      </c>
      <c r="AP219" s="36" t="str">
        <f ca="1">Demand!B228</f>
        <v xml:space="preserve"> </v>
      </c>
      <c r="AQ219" t="str">
        <f ca="1">IF(TEXT(Demand!D228,"MMM")&lt;&gt;TEXT(Demand!D227,"MMM"),TEXT(Demand!D228,"MMM"),"")</f>
        <v/>
      </c>
      <c r="AT219" s="5">
        <f t="shared" ca="1" si="56"/>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ca="1">IF(OR(AN219&lt;&gt;"",AND('Demand adjustments for Covid'!$F$9="Yes",'Demand adjustments for Covid'!$F$20="Yes")),"",SUM(CW219:DF219))</f>
        <v>0</v>
      </c>
    </row>
    <row r="220" spans="1:111" x14ac:dyDescent="0.2">
      <c r="A220" s="5">
        <f t="shared" ca="1" si="50"/>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51"/>
        <v>0</v>
      </c>
      <c r="Y220">
        <f t="shared" ca="1" si="52"/>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53"/>
        <v>0</v>
      </c>
      <c r="AL220" s="5">
        <f t="shared" ca="1" si="54"/>
        <v>0</v>
      </c>
      <c r="AM220" s="5">
        <f t="shared" ca="1" si="55"/>
        <v>0</v>
      </c>
      <c r="AN220" s="5" t="str">
        <f>IF(Demand!BE229="Yes","Yes","")</f>
        <v/>
      </c>
      <c r="AP220" s="36" t="str">
        <f ca="1">Demand!B229</f>
        <v xml:space="preserve"> </v>
      </c>
      <c r="AQ220" t="str">
        <f ca="1">IF(TEXT(Demand!D229,"MMM")&lt;&gt;TEXT(Demand!D228,"MMM"),TEXT(Demand!D229,"MMM"),"")</f>
        <v/>
      </c>
      <c r="AT220" s="5">
        <f t="shared" ca="1" si="56"/>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ca="1">IF(OR(AN220&lt;&gt;"",AND('Demand adjustments for Covid'!$F$9="Yes",'Demand adjustments for Covid'!$F$20="Yes")),"",SUM(CW220:DF220))</f>
        <v>0</v>
      </c>
    </row>
    <row r="221" spans="1:111" x14ac:dyDescent="0.2">
      <c r="A221" s="5">
        <f t="shared" ca="1" si="50"/>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51"/>
        <v>0</v>
      </c>
      <c r="Y221">
        <f t="shared" ca="1" si="52"/>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53"/>
        <v>0</v>
      </c>
      <c r="AL221" s="5">
        <f t="shared" ca="1" si="54"/>
        <v>0</v>
      </c>
      <c r="AM221" s="5">
        <f t="shared" ca="1" si="55"/>
        <v>0</v>
      </c>
      <c r="AN221" s="5" t="str">
        <f>IF(Demand!BE230="Yes","Yes","")</f>
        <v/>
      </c>
      <c r="AP221" s="36" t="str">
        <f ca="1">Demand!B230</f>
        <v xml:space="preserve"> </v>
      </c>
      <c r="AQ221" t="str">
        <f ca="1">IF(TEXT(Demand!D230,"MMM")&lt;&gt;TEXT(Demand!D229,"MMM"),TEXT(Demand!D230,"MMM"),"")</f>
        <v/>
      </c>
      <c r="AT221" s="5">
        <f t="shared" ca="1" si="56"/>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ca="1">IF(OR(AN221&lt;&gt;"",AND('Demand adjustments for Covid'!$F$9="Yes",'Demand adjustments for Covid'!$F$20="Yes")),"",SUM(CW221:DF221))</f>
        <v>0</v>
      </c>
    </row>
    <row r="222" spans="1:111" x14ac:dyDescent="0.2">
      <c r="A222" s="5">
        <f t="shared" ca="1" si="50"/>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51"/>
        <v>0</v>
      </c>
      <c r="Y222">
        <f t="shared" ca="1" si="52"/>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53"/>
        <v>0</v>
      </c>
      <c r="AL222" s="5">
        <f t="shared" ca="1" si="54"/>
        <v>0</v>
      </c>
      <c r="AM222" s="5">
        <f t="shared" ca="1" si="55"/>
        <v>0</v>
      </c>
      <c r="AN222" s="5" t="str">
        <f>IF(Demand!BE231="Yes","Yes","")</f>
        <v/>
      </c>
      <c r="AP222" s="36" t="str">
        <f ca="1">Demand!B231</f>
        <v xml:space="preserve"> </v>
      </c>
      <c r="AQ222" t="str">
        <f ca="1">IF(TEXT(Demand!D231,"MMM")&lt;&gt;TEXT(Demand!D230,"MMM"),TEXT(Demand!D231,"MMM"),"")</f>
        <v/>
      </c>
      <c r="AT222" s="5">
        <f t="shared" ca="1" si="56"/>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ca="1">IF(OR(AN222&lt;&gt;"",AND('Demand adjustments for Covid'!$F$9="Yes",'Demand adjustments for Covid'!$F$20="Yes")),"",SUM(CW222:DF222))</f>
        <v>0</v>
      </c>
    </row>
    <row r="223" spans="1:111" x14ac:dyDescent="0.2">
      <c r="A223" s="5">
        <f t="shared" ca="1" si="50"/>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51"/>
        <v>0</v>
      </c>
      <c r="Y223">
        <f t="shared" ca="1" si="52"/>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53"/>
        <v>0</v>
      </c>
      <c r="AL223" s="5">
        <f t="shared" ca="1" si="54"/>
        <v>0</v>
      </c>
      <c r="AM223" s="5">
        <f t="shared" ca="1" si="55"/>
        <v>0</v>
      </c>
      <c r="AN223" s="5" t="str">
        <f>IF(Demand!BE232="Yes","Yes","")</f>
        <v/>
      </c>
      <c r="AP223" s="36" t="str">
        <f ca="1">Demand!B232</f>
        <v xml:space="preserve"> </v>
      </c>
      <c r="AQ223" t="str">
        <f ca="1">IF(TEXT(Demand!D232,"MMM")&lt;&gt;TEXT(Demand!D231,"MMM"),TEXT(Demand!D232,"MMM"),"")</f>
        <v/>
      </c>
      <c r="AT223" s="5">
        <f t="shared" ca="1" si="56"/>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ca="1">IF(OR(AN223&lt;&gt;"",AND('Demand adjustments for Covid'!$F$9="Yes",'Demand adjustments for Covid'!$F$20="Yes")),"",SUM(CW223:DF223))</f>
        <v>0</v>
      </c>
    </row>
    <row r="224" spans="1:111" x14ac:dyDescent="0.2">
      <c r="A224" s="5">
        <f t="shared" ca="1" si="50"/>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51"/>
        <v>0</v>
      </c>
      <c r="Y224">
        <f t="shared" ca="1" si="52"/>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53"/>
        <v>0</v>
      </c>
      <c r="AL224" s="5">
        <f t="shared" ca="1" si="54"/>
        <v>0</v>
      </c>
      <c r="AM224" s="5">
        <f t="shared" ca="1" si="55"/>
        <v>0</v>
      </c>
      <c r="AN224" s="5" t="str">
        <f>IF(Demand!BE233="Yes","Yes","")</f>
        <v/>
      </c>
      <c r="AP224" s="36" t="str">
        <f ca="1">Demand!B233</f>
        <v xml:space="preserve"> </v>
      </c>
      <c r="AQ224" t="str">
        <f ca="1">IF(TEXT(Demand!D233,"MMM")&lt;&gt;TEXT(Demand!D232,"MMM"),TEXT(Demand!D233,"MMM"),"")</f>
        <v/>
      </c>
      <c r="AT224" s="5">
        <f t="shared" ca="1" si="56"/>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ca="1">IF(OR(AN224&lt;&gt;"",AND('Demand adjustments for Covid'!$F$9="Yes",'Demand adjustments for Covid'!$F$20="Yes")),"",SUM(CW224:DF224))</f>
        <v>0</v>
      </c>
    </row>
    <row r="225" spans="1:111" x14ac:dyDescent="0.2">
      <c r="A225" s="5">
        <f t="shared" ca="1" si="50"/>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51"/>
        <v>0</v>
      </c>
      <c r="Y225">
        <f t="shared" ca="1" si="52"/>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53"/>
        <v>0</v>
      </c>
      <c r="AL225" s="5">
        <f t="shared" ca="1" si="54"/>
        <v>0</v>
      </c>
      <c r="AM225" s="5">
        <f t="shared" ca="1" si="55"/>
        <v>0</v>
      </c>
      <c r="AN225" s="5" t="str">
        <f>IF(Demand!BE234="Yes","Yes","")</f>
        <v/>
      </c>
      <c r="AP225" s="36" t="str">
        <f ca="1">Demand!B234</f>
        <v xml:space="preserve"> </v>
      </c>
      <c r="AQ225" t="str">
        <f ca="1">IF(TEXT(Demand!D234,"MMM")&lt;&gt;TEXT(Demand!D233,"MMM"),TEXT(Demand!D234,"MMM"),"")</f>
        <v/>
      </c>
      <c r="AT225" s="5">
        <f t="shared" ca="1" si="56"/>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ca="1">IF(OR(AN225&lt;&gt;"",AND('Demand adjustments for Covid'!$F$9="Yes",'Demand adjustments for Covid'!$F$20="Yes")),"",SUM(CW225:DF225))</f>
        <v>0</v>
      </c>
    </row>
    <row r="226" spans="1:111" x14ac:dyDescent="0.2">
      <c r="A226" s="5">
        <f t="shared" ca="1" si="50"/>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51"/>
        <v>0</v>
      </c>
      <c r="Y226">
        <f t="shared" ca="1" si="52"/>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53"/>
        <v>0</v>
      </c>
      <c r="AL226" s="5">
        <f t="shared" ca="1" si="54"/>
        <v>0</v>
      </c>
      <c r="AM226" s="5">
        <f t="shared" ca="1" si="55"/>
        <v>0</v>
      </c>
      <c r="AN226" s="5" t="str">
        <f>IF(Demand!BE235="Yes","Yes","")</f>
        <v/>
      </c>
      <c r="AP226" s="36" t="str">
        <f ca="1">Demand!B235</f>
        <v xml:space="preserve"> </v>
      </c>
      <c r="AQ226" t="str">
        <f ca="1">IF(TEXT(Demand!D235,"MMM")&lt;&gt;TEXT(Demand!D234,"MMM"),TEXT(Demand!D235,"MMM"),"")</f>
        <v/>
      </c>
      <c r="AT226" s="5">
        <f t="shared" ca="1" si="56"/>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ca="1">IF(OR(AN226&lt;&gt;"",AND('Demand adjustments for Covid'!$F$9="Yes",'Demand adjustments for Covid'!$F$20="Yes")),"",SUM(CW226:DF226))</f>
        <v>0</v>
      </c>
    </row>
    <row r="227" spans="1:111" x14ac:dyDescent="0.2">
      <c r="A227" s="5">
        <f t="shared" ca="1" si="50"/>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51"/>
        <v>0</v>
      </c>
      <c r="Y227">
        <f t="shared" ca="1" si="52"/>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53"/>
        <v>0</v>
      </c>
      <c r="AL227" s="5">
        <f t="shared" ca="1" si="54"/>
        <v>0</v>
      </c>
      <c r="AM227" s="5">
        <f t="shared" ca="1" si="55"/>
        <v>0</v>
      </c>
      <c r="AN227" s="5" t="str">
        <f>IF(Demand!BE236="Yes","Yes","")</f>
        <v/>
      </c>
      <c r="AP227" s="36" t="str">
        <f ca="1">Demand!B236</f>
        <v xml:space="preserve"> </v>
      </c>
      <c r="AQ227" t="str">
        <f ca="1">IF(TEXT(Demand!D236,"MMM")&lt;&gt;TEXT(Demand!D235,"MMM"),TEXT(Demand!D236,"MMM"),"")</f>
        <v/>
      </c>
      <c r="AT227" s="5">
        <f t="shared" ca="1" si="56"/>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ca="1">IF(OR(AN227&lt;&gt;"",AND('Demand adjustments for Covid'!$F$9="Yes",'Demand adjustments for Covid'!$F$20="Yes")),"",SUM(CW227:DF227))</f>
        <v>0</v>
      </c>
    </row>
    <row r="228" spans="1:111" x14ac:dyDescent="0.2">
      <c r="A228" s="5">
        <f t="shared" ca="1" si="50"/>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51"/>
        <v>0</v>
      </c>
      <c r="Y228">
        <f t="shared" ca="1" si="52"/>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53"/>
        <v>0</v>
      </c>
      <c r="AL228" s="5">
        <f t="shared" ca="1" si="54"/>
        <v>0</v>
      </c>
      <c r="AM228" s="5">
        <f t="shared" ca="1" si="55"/>
        <v>0</v>
      </c>
      <c r="AN228" s="5" t="str">
        <f>IF(Demand!BE237="Yes","Yes","")</f>
        <v/>
      </c>
      <c r="AP228" s="36" t="str">
        <f ca="1">Demand!B237</f>
        <v xml:space="preserve"> </v>
      </c>
      <c r="AQ228" t="str">
        <f ca="1">IF(TEXT(Demand!D237,"MMM")&lt;&gt;TEXT(Demand!D236,"MMM"),TEXT(Demand!D237,"MMM"),"")</f>
        <v/>
      </c>
      <c r="AT228" s="5">
        <f t="shared" ca="1" si="56"/>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ca="1">IF(OR(AN228&lt;&gt;"",AND('Demand adjustments for Covid'!$F$9="Yes",'Demand adjustments for Covid'!$F$20="Yes")),"",SUM(CW228:DF228))</f>
        <v>0</v>
      </c>
    </row>
    <row r="229" spans="1:111" x14ac:dyDescent="0.2">
      <c r="A229" s="5">
        <f t="shared" ca="1" si="50"/>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51"/>
        <v>0</v>
      </c>
      <c r="Y229">
        <f t="shared" ca="1" si="52"/>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53"/>
        <v>0</v>
      </c>
      <c r="AL229" s="5">
        <f t="shared" ca="1" si="54"/>
        <v>0</v>
      </c>
      <c r="AM229" s="5">
        <f t="shared" ca="1" si="55"/>
        <v>0</v>
      </c>
      <c r="AN229" s="5" t="str">
        <f>IF(Demand!BE238="Yes","Yes","")</f>
        <v/>
      </c>
      <c r="AP229" s="36" t="str">
        <f ca="1">Demand!B238</f>
        <v xml:space="preserve"> </v>
      </c>
      <c r="AQ229" t="str">
        <f ca="1">IF(TEXT(Demand!D238,"MMM")&lt;&gt;TEXT(Demand!D237,"MMM"),TEXT(Demand!D238,"MMM"),"")</f>
        <v/>
      </c>
      <c r="AT229" s="5">
        <f t="shared" ca="1" si="56"/>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ca="1">IF(OR(AN229&lt;&gt;"",AND('Demand adjustments for Covid'!$F$9="Yes",'Demand adjustments for Covid'!$F$20="Yes")),"",SUM(CW229:DF229))</f>
        <v>0</v>
      </c>
    </row>
    <row r="230" spans="1:111" x14ac:dyDescent="0.2">
      <c r="A230" s="5">
        <f t="shared" ca="1" si="50"/>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51"/>
        <v>0</v>
      </c>
      <c r="Y230">
        <f t="shared" ca="1" si="52"/>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53"/>
        <v>0</v>
      </c>
      <c r="AL230" s="5">
        <f t="shared" ca="1" si="54"/>
        <v>0</v>
      </c>
      <c r="AM230" s="5">
        <f t="shared" ca="1" si="55"/>
        <v>0</v>
      </c>
      <c r="AN230" s="5" t="str">
        <f>IF(Demand!BE239="Yes","Yes","")</f>
        <v/>
      </c>
      <c r="AP230" s="36" t="str">
        <f ca="1">Demand!B239</f>
        <v xml:space="preserve"> </v>
      </c>
      <c r="AQ230" t="str">
        <f ca="1">IF(TEXT(Demand!D239,"MMM")&lt;&gt;TEXT(Demand!D238,"MMM"),TEXT(Demand!D239,"MMM"),"")</f>
        <v/>
      </c>
      <c r="AT230" s="5">
        <f t="shared" ca="1" si="56"/>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ca="1">IF(OR(AN230&lt;&gt;"",AND('Demand adjustments for Covid'!$F$9="Yes",'Demand adjustments for Covid'!$F$20="Yes")),"",SUM(CW230:DF230))</f>
        <v>0</v>
      </c>
    </row>
    <row r="231" spans="1:111" x14ac:dyDescent="0.2">
      <c r="A231" s="5">
        <f t="shared" ca="1" si="50"/>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51"/>
        <v>0</v>
      </c>
      <c r="Y231">
        <f t="shared" ca="1" si="52"/>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53"/>
        <v>0</v>
      </c>
      <c r="AL231" s="5">
        <f t="shared" ca="1" si="54"/>
        <v>0</v>
      </c>
      <c r="AM231" s="5">
        <f t="shared" ca="1" si="55"/>
        <v>0</v>
      </c>
      <c r="AN231" s="5" t="str">
        <f>IF(Demand!BE240="Yes","Yes","")</f>
        <v/>
      </c>
      <c r="AP231" s="36" t="str">
        <f ca="1">Demand!B240</f>
        <v xml:space="preserve"> </v>
      </c>
      <c r="AQ231" t="str">
        <f ca="1">IF(TEXT(Demand!D240,"MMM")&lt;&gt;TEXT(Demand!D239,"MMM"),TEXT(Demand!D240,"MMM"),"")</f>
        <v/>
      </c>
      <c r="AT231" s="5">
        <f t="shared" ca="1" si="56"/>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ca="1">IF(OR(AN231&lt;&gt;"",AND('Demand adjustments for Covid'!$F$9="Yes",'Demand adjustments for Covid'!$F$20="Yes")),"",SUM(CW231:DF231))</f>
        <v>0</v>
      </c>
    </row>
    <row r="232" spans="1:111" x14ac:dyDescent="0.2">
      <c r="A232" s="5">
        <f t="shared" ca="1" si="50"/>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51"/>
        <v>0</v>
      </c>
      <c r="Y232">
        <f t="shared" ca="1" si="52"/>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53"/>
        <v>0</v>
      </c>
      <c r="AL232" s="5">
        <f t="shared" ca="1" si="54"/>
        <v>0</v>
      </c>
      <c r="AM232" s="5">
        <f t="shared" ca="1" si="55"/>
        <v>0</v>
      </c>
      <c r="AN232" s="5" t="str">
        <f>IF(Demand!BE241="Yes","Yes","")</f>
        <v/>
      </c>
      <c r="AP232" s="36" t="str">
        <f ca="1">Demand!B241</f>
        <v xml:space="preserve"> </v>
      </c>
      <c r="AQ232" t="str">
        <f ca="1">IF(TEXT(Demand!D241,"MMM")&lt;&gt;TEXT(Demand!D240,"MMM"),TEXT(Demand!D241,"MMM"),"")</f>
        <v/>
      </c>
      <c r="AT232" s="5">
        <f t="shared" ca="1" si="56"/>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ca="1">IF(OR(AN232&lt;&gt;"",AND('Demand adjustments for Covid'!$F$9="Yes",'Demand adjustments for Covid'!$F$20="Yes")),"",SUM(CW232:DF232))</f>
        <v>0</v>
      </c>
    </row>
    <row r="233" spans="1:111" x14ac:dyDescent="0.2">
      <c r="A233" s="5">
        <f t="shared" ca="1" si="50"/>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51"/>
        <v>0</v>
      </c>
      <c r="Y233">
        <f t="shared" ca="1" si="52"/>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53"/>
        <v>0</v>
      </c>
      <c r="AL233" s="5">
        <f t="shared" ca="1" si="54"/>
        <v>0</v>
      </c>
      <c r="AM233" s="5">
        <f t="shared" ca="1" si="55"/>
        <v>0</v>
      </c>
      <c r="AN233" s="5" t="str">
        <f>IF(Demand!BE242="Yes","Yes","")</f>
        <v/>
      </c>
      <c r="AP233" s="36" t="str">
        <f ca="1">Demand!B242</f>
        <v xml:space="preserve"> </v>
      </c>
      <c r="AQ233" t="str">
        <f ca="1">IF(TEXT(Demand!D242,"MMM")&lt;&gt;TEXT(Demand!D241,"MMM"),TEXT(Demand!D242,"MMM"),"")</f>
        <v/>
      </c>
      <c r="AT233" s="5">
        <f t="shared" ca="1" si="56"/>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ca="1">IF(OR(AN233&lt;&gt;"",AND('Demand adjustments for Covid'!$F$9="Yes",'Demand adjustments for Covid'!$F$20="Yes")),"",SUM(CW233:DF233))</f>
        <v>0</v>
      </c>
    </row>
    <row r="234" spans="1:111" x14ac:dyDescent="0.2">
      <c r="A234" s="5">
        <f t="shared" ca="1" si="50"/>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51"/>
        <v>0</v>
      </c>
      <c r="Y234">
        <f t="shared" ca="1" si="52"/>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53"/>
        <v>0</v>
      </c>
      <c r="AL234" s="5">
        <f t="shared" ca="1" si="54"/>
        <v>0</v>
      </c>
      <c r="AM234" s="5">
        <f t="shared" ca="1" si="55"/>
        <v>0</v>
      </c>
      <c r="AN234" s="5" t="str">
        <f>IF(Demand!BE243="Yes","Yes","")</f>
        <v/>
      </c>
      <c r="AP234" s="36" t="str">
        <f ca="1">Demand!B243</f>
        <v xml:space="preserve"> </v>
      </c>
      <c r="AQ234" t="str">
        <f ca="1">IF(TEXT(Demand!D243,"MMM")&lt;&gt;TEXT(Demand!D242,"MMM"),TEXT(Demand!D243,"MMM"),"")</f>
        <v/>
      </c>
      <c r="AT234" s="5">
        <f t="shared" ca="1" si="56"/>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ca="1">IF(OR(AN234&lt;&gt;"",AND('Demand adjustments for Covid'!$F$9="Yes",'Demand adjustments for Covid'!$F$20="Yes")),"",SUM(CW234:DF234))</f>
        <v>0</v>
      </c>
    </row>
    <row r="235" spans="1:111" x14ac:dyDescent="0.2">
      <c r="A235" s="5">
        <f t="shared" ca="1" si="50"/>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51"/>
        <v>0</v>
      </c>
      <c r="Y235">
        <f t="shared" ca="1" si="52"/>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53"/>
        <v>0</v>
      </c>
      <c r="AL235" s="5">
        <f t="shared" ca="1" si="54"/>
        <v>0</v>
      </c>
      <c r="AM235" s="5">
        <f t="shared" ca="1" si="55"/>
        <v>0</v>
      </c>
      <c r="AN235" s="5" t="str">
        <f>IF(Demand!BE244="Yes","Yes","")</f>
        <v/>
      </c>
      <c r="AP235" s="36" t="str">
        <f ca="1">Demand!B244</f>
        <v xml:space="preserve"> </v>
      </c>
      <c r="AQ235" t="str">
        <f ca="1">IF(TEXT(Demand!D244,"MMM")&lt;&gt;TEXT(Demand!D243,"MMM"),TEXT(Demand!D244,"MMM"),"")</f>
        <v/>
      </c>
      <c r="AT235" s="5">
        <f t="shared" ca="1" si="56"/>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ca="1">IF(OR(AN235&lt;&gt;"",AND('Demand adjustments for Covid'!$F$9="Yes",'Demand adjustments for Covid'!$F$20="Yes")),"",SUM(CW235:DF235))</f>
        <v>0</v>
      </c>
    </row>
    <row r="236" spans="1:111" x14ac:dyDescent="0.2">
      <c r="A236" s="5">
        <f t="shared" ca="1" si="50"/>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51"/>
        <v>0</v>
      </c>
      <c r="Y236">
        <f t="shared" ca="1" si="52"/>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53"/>
        <v>0</v>
      </c>
      <c r="AL236" s="5">
        <f t="shared" ca="1" si="54"/>
        <v>0</v>
      </c>
      <c r="AM236" s="5">
        <f t="shared" ca="1" si="55"/>
        <v>0</v>
      </c>
      <c r="AN236" s="5" t="str">
        <f>IF(Demand!BE245="Yes","Yes","")</f>
        <v/>
      </c>
      <c r="AP236" s="36" t="str">
        <f ca="1">Demand!B245</f>
        <v xml:space="preserve"> </v>
      </c>
      <c r="AQ236" t="str">
        <f ca="1">IF(TEXT(Demand!D245,"MMM")&lt;&gt;TEXT(Demand!D244,"MMM"),TEXT(Demand!D245,"MMM"),"")</f>
        <v/>
      </c>
      <c r="AT236" s="5">
        <f t="shared" ca="1" si="56"/>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ca="1">IF(OR(AN236&lt;&gt;"",AND('Demand adjustments for Covid'!$F$9="Yes",'Demand adjustments for Covid'!$F$20="Yes")),"",SUM(CW236:DF236))</f>
        <v>0</v>
      </c>
    </row>
    <row r="237" spans="1:111" x14ac:dyDescent="0.2">
      <c r="A237" s="5">
        <f t="shared" ca="1" si="50"/>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51"/>
        <v>0</v>
      </c>
      <c r="Y237">
        <f t="shared" ca="1" si="52"/>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53"/>
        <v>0</v>
      </c>
      <c r="AL237" s="5">
        <f t="shared" ca="1" si="54"/>
        <v>0</v>
      </c>
      <c r="AM237" s="5">
        <f t="shared" ca="1" si="55"/>
        <v>0</v>
      </c>
      <c r="AN237" s="5" t="str">
        <f>IF(Demand!BE246="Yes","Yes","")</f>
        <v/>
      </c>
      <c r="AP237" s="36" t="str">
        <f ca="1">Demand!B246</f>
        <v xml:space="preserve"> </v>
      </c>
      <c r="AQ237" t="str">
        <f ca="1">IF(TEXT(Demand!D246,"MMM")&lt;&gt;TEXT(Demand!D245,"MMM"),TEXT(Demand!D246,"MMM"),"")</f>
        <v/>
      </c>
      <c r="AT237" s="5">
        <f t="shared" ca="1" si="56"/>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ca="1">IF(OR(AN237&lt;&gt;"",AND('Demand adjustments for Covid'!$F$9="Yes",'Demand adjustments for Covid'!$F$20="Yes")),"",SUM(CW237:DF237))</f>
        <v>0</v>
      </c>
    </row>
    <row r="238" spans="1:111" x14ac:dyDescent="0.2">
      <c r="A238" s="5">
        <f t="shared" ca="1" si="50"/>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51"/>
        <v>0</v>
      </c>
      <c r="Y238">
        <f t="shared" ca="1" si="52"/>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53"/>
        <v>0</v>
      </c>
      <c r="AL238" s="5">
        <f t="shared" ca="1" si="54"/>
        <v>0</v>
      </c>
      <c r="AM238" s="5">
        <f t="shared" ca="1" si="55"/>
        <v>0</v>
      </c>
      <c r="AN238" s="5" t="str">
        <f>IF(Demand!BE247="Yes","Yes","")</f>
        <v/>
      </c>
      <c r="AP238" s="36" t="str">
        <f ca="1">Demand!B247</f>
        <v xml:space="preserve"> </v>
      </c>
      <c r="AQ238" t="str">
        <f ca="1">IF(TEXT(Demand!D247,"MMM")&lt;&gt;TEXT(Demand!D246,"MMM"),TEXT(Demand!D247,"MMM"),"")</f>
        <v/>
      </c>
      <c r="AT238" s="5">
        <f t="shared" ca="1" si="56"/>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ca="1">IF(OR(AN238&lt;&gt;"",AND('Demand adjustments for Covid'!$F$9="Yes",'Demand adjustments for Covid'!$F$20="Yes")),"",SUM(CW238:DF238))</f>
        <v>0</v>
      </c>
    </row>
    <row r="239" spans="1:111" x14ac:dyDescent="0.2">
      <c r="A239" s="5">
        <f t="shared" ca="1" si="50"/>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51"/>
        <v>0</v>
      </c>
      <c r="Y239">
        <f t="shared" ca="1" si="52"/>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53"/>
        <v>0</v>
      </c>
      <c r="AL239" s="5">
        <f t="shared" ca="1" si="54"/>
        <v>0</v>
      </c>
      <c r="AM239" s="5">
        <f t="shared" ca="1" si="55"/>
        <v>0</v>
      </c>
      <c r="AN239" s="5" t="str">
        <f>IF(Demand!BE248="Yes","Yes","")</f>
        <v/>
      </c>
      <c r="AP239" s="36" t="str">
        <f ca="1">Demand!B248</f>
        <v xml:space="preserve"> </v>
      </c>
      <c r="AQ239" t="str">
        <f ca="1">IF(TEXT(Demand!D248,"MMM")&lt;&gt;TEXT(Demand!D247,"MMM"),TEXT(Demand!D248,"MMM"),"")</f>
        <v/>
      </c>
      <c r="AT239" s="5">
        <f t="shared" ca="1" si="56"/>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ca="1">IF(OR(AN239&lt;&gt;"",AND('Demand adjustments for Covid'!$F$9="Yes",'Demand adjustments for Covid'!$F$20="Yes")),"",SUM(CW239:DF239))</f>
        <v>0</v>
      </c>
    </row>
    <row r="240" spans="1:111" x14ac:dyDescent="0.2">
      <c r="A240" s="5">
        <f t="shared" ca="1" si="50"/>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51"/>
        <v>0</v>
      </c>
      <c r="Y240">
        <f t="shared" ca="1" si="52"/>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53"/>
        <v>0</v>
      </c>
      <c r="AL240" s="5">
        <f t="shared" ca="1" si="54"/>
        <v>0</v>
      </c>
      <c r="AM240" s="5">
        <f t="shared" ca="1" si="55"/>
        <v>0</v>
      </c>
      <c r="AN240" s="5" t="str">
        <f>IF(Demand!BE249="Yes","Yes","")</f>
        <v/>
      </c>
      <c r="AP240" s="36" t="str">
        <f ca="1">Demand!B249</f>
        <v xml:space="preserve"> </v>
      </c>
      <c r="AQ240" t="str">
        <f ca="1">IF(TEXT(Demand!D249,"MMM")&lt;&gt;TEXT(Demand!D248,"MMM"),TEXT(Demand!D249,"MMM"),"")</f>
        <v/>
      </c>
      <c r="AT240" s="5">
        <f t="shared" ca="1" si="56"/>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ca="1">IF(OR(AN240&lt;&gt;"",AND('Demand adjustments for Covid'!$F$9="Yes",'Demand adjustments for Covid'!$F$20="Yes")),"",SUM(CW240:DF240))</f>
        <v>0</v>
      </c>
    </row>
    <row r="241" spans="1:111" x14ac:dyDescent="0.2">
      <c r="A241" s="5">
        <f t="shared" ca="1" si="50"/>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51"/>
        <v>0</v>
      </c>
      <c r="Y241">
        <f t="shared" ca="1" si="52"/>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53"/>
        <v>0</v>
      </c>
      <c r="AL241" s="5">
        <f t="shared" ca="1" si="54"/>
        <v>0</v>
      </c>
      <c r="AM241" s="5">
        <f t="shared" ca="1" si="55"/>
        <v>0</v>
      </c>
      <c r="AN241" s="5" t="str">
        <f>IF(Demand!BE250="Yes","Yes","")</f>
        <v/>
      </c>
      <c r="AP241" s="36" t="str">
        <f ca="1">Demand!B250</f>
        <v xml:space="preserve"> </v>
      </c>
      <c r="AQ241" t="str">
        <f ca="1">IF(TEXT(Demand!D250,"MMM")&lt;&gt;TEXT(Demand!D249,"MMM"),TEXT(Demand!D250,"MMM"),"")</f>
        <v/>
      </c>
      <c r="AT241" s="5">
        <f t="shared" ca="1" si="56"/>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ca="1">IF(OR(AN241&lt;&gt;"",AND('Demand adjustments for Covid'!$F$9="Yes",'Demand adjustments for Covid'!$F$20="Yes")),"",SUM(CW241:DF241))</f>
        <v>0</v>
      </c>
    </row>
    <row r="242" spans="1:111" x14ac:dyDescent="0.2">
      <c r="A242" s="5">
        <f t="shared" ca="1" si="50"/>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51"/>
        <v>0</v>
      </c>
      <c r="Y242">
        <f t="shared" ca="1" si="52"/>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53"/>
        <v>0</v>
      </c>
      <c r="AL242" s="5">
        <f t="shared" ca="1" si="54"/>
        <v>0</v>
      </c>
      <c r="AM242" s="5">
        <f t="shared" ca="1" si="55"/>
        <v>0</v>
      </c>
      <c r="AN242" s="5" t="str">
        <f>IF(Demand!BE251="Yes","Yes","")</f>
        <v/>
      </c>
      <c r="AP242" s="36" t="str">
        <f ca="1">Demand!B251</f>
        <v xml:space="preserve"> </v>
      </c>
      <c r="AQ242" t="str">
        <f ca="1">IF(TEXT(Demand!D251,"MMM")&lt;&gt;TEXT(Demand!D250,"MMM"),TEXT(Demand!D251,"MMM"),"")</f>
        <v/>
      </c>
      <c r="AT242" s="5">
        <f t="shared" ca="1" si="56"/>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ca="1">IF(OR(AN242&lt;&gt;"",AND('Demand adjustments for Covid'!$F$9="Yes",'Demand adjustments for Covid'!$F$20="Yes")),"",SUM(CW242:DF242))</f>
        <v>0</v>
      </c>
    </row>
    <row r="243" spans="1:111" x14ac:dyDescent="0.2">
      <c r="A243" s="5">
        <f t="shared" ca="1" si="50"/>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51"/>
        <v>0</v>
      </c>
      <c r="Y243">
        <f t="shared" ca="1" si="52"/>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53"/>
        <v>0</v>
      </c>
      <c r="AL243" s="5">
        <f t="shared" ca="1" si="54"/>
        <v>0</v>
      </c>
      <c r="AM243" s="5">
        <f t="shared" ca="1" si="55"/>
        <v>0</v>
      </c>
      <c r="AN243" s="5" t="str">
        <f>IF(Demand!BE252="Yes","Yes","")</f>
        <v/>
      </c>
      <c r="AP243" s="36" t="str">
        <f ca="1">Demand!B252</f>
        <v xml:space="preserve"> </v>
      </c>
      <c r="AQ243" t="str">
        <f ca="1">IF(TEXT(Demand!D252,"MMM")&lt;&gt;TEXT(Demand!D251,"MMM"),TEXT(Demand!D252,"MMM"),"")</f>
        <v/>
      </c>
      <c r="AT243" s="5">
        <f t="shared" ca="1" si="56"/>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ca="1">IF(OR(AN243&lt;&gt;"",AND('Demand adjustments for Covid'!$F$9="Yes",'Demand adjustments for Covid'!$F$20="Yes")),"",SUM(CW243:DF243))</f>
        <v>0</v>
      </c>
    </row>
    <row r="244" spans="1:111" x14ac:dyDescent="0.2">
      <c r="A244" s="5">
        <f t="shared" ca="1" si="50"/>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51"/>
        <v>0</v>
      </c>
      <c r="Y244">
        <f t="shared" ca="1" si="52"/>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53"/>
        <v>0</v>
      </c>
      <c r="AL244" s="5">
        <f t="shared" ca="1" si="54"/>
        <v>0</v>
      </c>
      <c r="AM244" s="5">
        <f t="shared" ca="1" si="55"/>
        <v>0</v>
      </c>
      <c r="AN244" s="5" t="str">
        <f>IF(Demand!BE253="Yes","Yes","")</f>
        <v/>
      </c>
      <c r="AP244" s="36" t="str">
        <f ca="1">Demand!B253</f>
        <v xml:space="preserve"> </v>
      </c>
      <c r="AQ244" t="str">
        <f ca="1">IF(TEXT(Demand!D253,"MMM")&lt;&gt;TEXT(Demand!D252,"MMM"),TEXT(Demand!D253,"MMM"),"")</f>
        <v/>
      </c>
      <c r="AT244" s="5">
        <f t="shared" ca="1" si="56"/>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ca="1">IF(OR(AN244&lt;&gt;"",AND('Demand adjustments for Covid'!$F$9="Yes",'Demand adjustments for Covid'!$F$20="Yes")),"",SUM(CW244:DF244))</f>
        <v>0</v>
      </c>
    </row>
    <row r="245" spans="1:111" x14ac:dyDescent="0.2">
      <c r="A245" s="5">
        <f t="shared" ca="1" si="50"/>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51"/>
        <v>0</v>
      </c>
      <c r="Y245">
        <f t="shared" ca="1" si="52"/>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53"/>
        <v>0</v>
      </c>
      <c r="AL245" s="5">
        <f t="shared" ca="1" si="54"/>
        <v>0</v>
      </c>
      <c r="AM245" s="5">
        <f t="shared" ca="1" si="55"/>
        <v>0</v>
      </c>
      <c r="AN245" s="5" t="str">
        <f>IF(Demand!BE254="Yes","Yes","")</f>
        <v/>
      </c>
      <c r="AP245" s="36" t="str">
        <f ca="1">Demand!B254</f>
        <v xml:space="preserve"> </v>
      </c>
      <c r="AQ245" t="str">
        <f ca="1">IF(TEXT(Demand!D254,"MMM")&lt;&gt;TEXT(Demand!D253,"MMM"),TEXT(Demand!D254,"MMM"),"")</f>
        <v/>
      </c>
      <c r="AT245" s="5">
        <f t="shared" ca="1" si="56"/>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ca="1">IF(OR(AN245&lt;&gt;"",AND('Demand adjustments for Covid'!$F$9="Yes",'Demand adjustments for Covid'!$F$20="Yes")),"",SUM(CW245:DF245))</f>
        <v>0</v>
      </c>
    </row>
    <row r="246" spans="1:111" x14ac:dyDescent="0.2">
      <c r="A246" s="5">
        <f t="shared" ca="1" si="50"/>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51"/>
        <v>0</v>
      </c>
      <c r="Y246">
        <f t="shared" ca="1" si="52"/>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53"/>
        <v>0</v>
      </c>
      <c r="AL246" s="5">
        <f t="shared" ca="1" si="54"/>
        <v>0</v>
      </c>
      <c r="AM246" s="5">
        <f t="shared" ca="1" si="55"/>
        <v>0</v>
      </c>
      <c r="AN246" s="5" t="str">
        <f>IF(Demand!BE255="Yes","Yes","")</f>
        <v/>
      </c>
      <c r="AP246" s="36" t="str">
        <f ca="1">Demand!B255</f>
        <v xml:space="preserve"> </v>
      </c>
      <c r="AQ246" t="str">
        <f ca="1">IF(TEXT(Demand!D255,"MMM")&lt;&gt;TEXT(Demand!D254,"MMM"),TEXT(Demand!D255,"MMM"),"")</f>
        <v/>
      </c>
      <c r="AT246" s="5">
        <f t="shared" ca="1" si="56"/>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ca="1">IF(OR(AN246&lt;&gt;"",AND('Demand adjustments for Covid'!$F$9="Yes",'Demand adjustments for Covid'!$F$20="Yes")),"",SUM(CW246:DF246))</f>
        <v>0</v>
      </c>
    </row>
    <row r="247" spans="1:111" x14ac:dyDescent="0.2">
      <c r="A247" s="5">
        <f t="shared" ca="1" si="50"/>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51"/>
        <v>0</v>
      </c>
      <c r="Y247">
        <f t="shared" ca="1" si="52"/>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53"/>
        <v>0</v>
      </c>
      <c r="AL247" s="5">
        <f t="shared" ca="1" si="54"/>
        <v>0</v>
      </c>
      <c r="AM247" s="5">
        <f t="shared" ca="1" si="55"/>
        <v>0</v>
      </c>
      <c r="AN247" s="5" t="str">
        <f>IF(Demand!BE256="Yes","Yes","")</f>
        <v/>
      </c>
      <c r="AP247" s="36" t="str">
        <f ca="1">Demand!B256</f>
        <v xml:space="preserve"> </v>
      </c>
      <c r="AQ247" t="str">
        <f ca="1">IF(TEXT(Demand!D256,"MMM")&lt;&gt;TEXT(Demand!D255,"MMM"),TEXT(Demand!D256,"MMM"),"")</f>
        <v/>
      </c>
      <c r="AT247" s="5">
        <f t="shared" ca="1" si="56"/>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ca="1">IF(OR(AN247&lt;&gt;"",AND('Demand adjustments for Covid'!$F$9="Yes",'Demand adjustments for Covid'!$F$20="Yes")),"",SUM(CW247:DF247))</f>
        <v>0</v>
      </c>
    </row>
    <row r="248" spans="1:111" x14ac:dyDescent="0.2">
      <c r="A248" s="5">
        <f t="shared" ref="A248:A252" ca="1" si="57">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51"/>
        <v>0</v>
      </c>
      <c r="Y248">
        <f t="shared" ca="1" si="52"/>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53"/>
        <v>0</v>
      </c>
      <c r="AL248" s="5">
        <f t="shared" ca="1" si="54"/>
        <v>0</v>
      </c>
      <c r="AM248" s="5">
        <f t="shared" ca="1" si="55"/>
        <v>0</v>
      </c>
      <c r="AN248" s="5" t="str">
        <f>IF(Demand!BE257="Yes","Yes","")</f>
        <v/>
      </c>
      <c r="AP248" s="36" t="str">
        <f ca="1">Demand!B257</f>
        <v xml:space="preserve"> </v>
      </c>
      <c r="AQ248" t="str">
        <f ca="1">IF(TEXT(Demand!D257,"MMM")&lt;&gt;TEXT(Demand!D256,"MMM"),TEXT(Demand!D257,"MMM"),"")</f>
        <v/>
      </c>
      <c r="AT248" s="5">
        <f t="shared" ca="1" si="56"/>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ca="1">IF(OR(AN248&lt;&gt;"",AND('Demand adjustments for Covid'!$F$9="Yes",'Demand adjustments for Covid'!$F$20="Yes")),"",SUM(CW248:DF248))</f>
        <v>0</v>
      </c>
    </row>
    <row r="249" spans="1:111" x14ac:dyDescent="0.2">
      <c r="A249" s="5">
        <f t="shared" ca="1" si="57"/>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51"/>
        <v>0</v>
      </c>
      <c r="Y249">
        <f t="shared" ca="1" si="52"/>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53"/>
        <v>0</v>
      </c>
      <c r="AL249" s="5">
        <f t="shared" ca="1" si="54"/>
        <v>0</v>
      </c>
      <c r="AM249" s="5">
        <f t="shared" ca="1" si="55"/>
        <v>0</v>
      </c>
      <c r="AN249" s="5" t="str">
        <f>IF(Demand!BE258="Yes","Yes","")</f>
        <v/>
      </c>
      <c r="AP249" s="36" t="str">
        <f ca="1">Demand!B258</f>
        <v xml:space="preserve"> </v>
      </c>
      <c r="AQ249" t="str">
        <f ca="1">IF(TEXT(Demand!D258,"MMM")&lt;&gt;TEXT(Demand!D257,"MMM"),TEXT(Demand!D258,"MMM"),"")</f>
        <v/>
      </c>
      <c r="AT249" s="5">
        <f t="shared" ca="1" si="56"/>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ca="1">IF(OR(AN249&lt;&gt;"",AND('Demand adjustments for Covid'!$F$9="Yes",'Demand adjustments for Covid'!$F$20="Yes")),"",SUM(CW249:DF249))</f>
        <v>0</v>
      </c>
    </row>
    <row r="250" spans="1:111" x14ac:dyDescent="0.2">
      <c r="A250" s="5">
        <f t="shared" ca="1" si="57"/>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51"/>
        <v>0</v>
      </c>
      <c r="Y250">
        <f t="shared" ca="1" si="52"/>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53"/>
        <v>0</v>
      </c>
      <c r="AL250" s="5">
        <f t="shared" ca="1" si="54"/>
        <v>0</v>
      </c>
      <c r="AM250" s="5">
        <f t="shared" ca="1" si="55"/>
        <v>0</v>
      </c>
      <c r="AN250" s="5" t="str">
        <f>IF(Demand!BE259="Yes","Yes","")</f>
        <v/>
      </c>
      <c r="AP250" s="36" t="str">
        <f ca="1">Demand!B259</f>
        <v xml:space="preserve"> </v>
      </c>
      <c r="AQ250" t="str">
        <f ca="1">IF(TEXT(Demand!D259,"MMM")&lt;&gt;TEXT(Demand!D258,"MMM"),TEXT(Demand!D259,"MMM"),"")</f>
        <v/>
      </c>
      <c r="AT250" s="5">
        <f t="shared" ca="1" si="56"/>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ca="1">IF(OR(AN250&lt;&gt;"",AND('Demand adjustments for Covid'!$F$9="Yes",'Demand adjustments for Covid'!$F$20="Yes")),"",SUM(CW250:DF250))</f>
        <v>0</v>
      </c>
    </row>
    <row r="251" spans="1:111" x14ac:dyDescent="0.2">
      <c r="A251" s="5">
        <f t="shared" ca="1" si="57"/>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51"/>
        <v>0</v>
      </c>
      <c r="Y251">
        <f t="shared" ca="1" si="52"/>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53"/>
        <v>0</v>
      </c>
      <c r="AL251" s="5">
        <f t="shared" ca="1" si="54"/>
        <v>0</v>
      </c>
      <c r="AM251" s="5">
        <f t="shared" ca="1" si="55"/>
        <v>0</v>
      </c>
      <c r="AN251" s="5" t="str">
        <f>IF(Demand!BE260="Yes","Yes","")</f>
        <v/>
      </c>
      <c r="AP251" s="36" t="str">
        <f ca="1">Demand!B260</f>
        <v xml:space="preserve"> </v>
      </c>
      <c r="AQ251" t="str">
        <f ca="1">IF(TEXT(Demand!D260,"MMM")&lt;&gt;TEXT(Demand!D259,"MMM"),TEXT(Demand!D260,"MMM"),"")</f>
        <v/>
      </c>
      <c r="AT251" s="5">
        <f t="shared" ca="1" si="56"/>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ca="1">IF(OR(AN251&lt;&gt;"",AND('Demand adjustments for Covid'!$F$9="Yes",'Demand adjustments for Covid'!$F$20="Yes")),"",SUM(CW251:DF251))</f>
        <v>0</v>
      </c>
    </row>
    <row r="252" spans="1:111" x14ac:dyDescent="0.2">
      <c r="A252" s="5">
        <f t="shared" ca="1" si="57"/>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51"/>
        <v>0</v>
      </c>
      <c r="Y252">
        <f t="shared" ca="1" si="52"/>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53"/>
        <v>0</v>
      </c>
      <c r="AL252" s="5">
        <f t="shared" ca="1" si="54"/>
        <v>0</v>
      </c>
      <c r="AM252" s="5">
        <f t="shared" ca="1" si="55"/>
        <v>0</v>
      </c>
      <c r="AN252" s="5" t="str">
        <f>IF(Demand!BE261="Yes","Yes","")</f>
        <v/>
      </c>
      <c r="AP252" s="36" t="str">
        <f ca="1">Demand!B261</f>
        <v xml:space="preserve"> </v>
      </c>
      <c r="AQ252" t="str">
        <f ca="1">IF(TEXT(Demand!D261,"MMM")&lt;&gt;TEXT(Demand!D260,"MMM"),TEXT(Demand!D261,"MMM"),"")</f>
        <v/>
      </c>
      <c r="AT252" s="5">
        <f t="shared" ca="1" si="56"/>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ca="1">IF(OR(AN252&lt;&gt;"",AND('Demand adjustments for Covid'!$F$9="Yes",'Demand adjustments for Covid'!$F$20="Yes")),"",SUM(CW252:DF252))</f>
        <v>0</v>
      </c>
    </row>
    <row r="253" spans="1:111" x14ac:dyDescent="0.2">
      <c r="A253" s="5">
        <f t="shared" ref="A253:A263" ca="1" si="58">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51"/>
        <v>0</v>
      </c>
      <c r="Y253">
        <f t="shared" ca="1" si="52"/>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53"/>
        <v>0</v>
      </c>
      <c r="AL253" s="5">
        <f t="shared" ca="1" si="54"/>
        <v>0</v>
      </c>
      <c r="AM253" s="5">
        <f t="shared" ca="1" si="55"/>
        <v>0</v>
      </c>
      <c r="AN253" s="5" t="str">
        <f>IF(Demand!BE262="Yes","Yes","")</f>
        <v/>
      </c>
      <c r="AP253" s="36" t="str">
        <f ca="1">Demand!B262</f>
        <v xml:space="preserve"> </v>
      </c>
      <c r="AQ253" t="str">
        <f ca="1">IF(TEXT(Demand!D262,"MMM")&lt;&gt;TEXT(Demand!D261,"MMM"),TEXT(Demand!D262,"MMM"),"")</f>
        <v/>
      </c>
      <c r="AT253" s="5">
        <f t="shared" ca="1" si="56"/>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ca="1">IF(OR(AN253&lt;&gt;"",AND('Demand adjustments for Covid'!$F$9="Yes",'Demand adjustments for Covid'!$F$20="Yes")),"",SUM(CW253:DF253))</f>
        <v>0</v>
      </c>
    </row>
    <row r="254" spans="1:111" x14ac:dyDescent="0.2">
      <c r="A254" s="5">
        <f t="shared" ca="1" si="58"/>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51"/>
        <v>0</v>
      </c>
      <c r="Y254">
        <f t="shared" ca="1" si="52"/>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53"/>
        <v>0</v>
      </c>
      <c r="AL254" s="5">
        <f t="shared" ca="1" si="54"/>
        <v>0</v>
      </c>
      <c r="AM254" s="5">
        <f t="shared" ca="1" si="55"/>
        <v>0</v>
      </c>
      <c r="AN254" s="5" t="str">
        <f>IF(Demand!BE263="Yes","Yes","")</f>
        <v/>
      </c>
      <c r="AP254" s="36" t="str">
        <f ca="1">Demand!B263</f>
        <v xml:space="preserve"> </v>
      </c>
      <c r="AQ254" t="str">
        <f ca="1">IF(TEXT(Demand!D263,"MMM")&lt;&gt;TEXT(Demand!D262,"MMM"),TEXT(Demand!D263,"MMM"),"")</f>
        <v/>
      </c>
      <c r="AT254" s="5">
        <f t="shared" ca="1" si="56"/>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ca="1">IF(OR(AN254&lt;&gt;"",AND('Demand adjustments for Covid'!$F$9="Yes",'Demand adjustments for Covid'!$F$20="Yes")),"",SUM(CW254:DF254))</f>
        <v>0</v>
      </c>
    </row>
    <row r="255" spans="1:111" x14ac:dyDescent="0.2">
      <c r="A255" s="5">
        <f t="shared" ca="1" si="58"/>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51"/>
        <v>0</v>
      </c>
      <c r="Y255">
        <f t="shared" ca="1" si="52"/>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53"/>
        <v>0</v>
      </c>
      <c r="AL255" s="5">
        <f t="shared" ca="1" si="54"/>
        <v>0</v>
      </c>
      <c r="AM255" s="5">
        <f t="shared" ca="1" si="55"/>
        <v>0</v>
      </c>
      <c r="AN255" s="5" t="str">
        <f>IF(Demand!BE264="Yes","Yes","")</f>
        <v/>
      </c>
      <c r="AP255" s="36" t="str">
        <f ca="1">Demand!B264</f>
        <v xml:space="preserve"> </v>
      </c>
      <c r="AQ255" t="str">
        <f ca="1">IF(TEXT(Demand!D264,"MMM")&lt;&gt;TEXT(Demand!D263,"MMM"),TEXT(Demand!D264,"MMM"),"")</f>
        <v/>
      </c>
      <c r="AT255" s="5">
        <f t="shared" ca="1" si="56"/>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ca="1">IF(OR(AN255&lt;&gt;"",AND('Demand adjustments for Covid'!$F$9="Yes",'Demand adjustments for Covid'!$F$20="Yes")),"",SUM(CW255:DF255))</f>
        <v>0</v>
      </c>
    </row>
    <row r="256" spans="1:111" x14ac:dyDescent="0.2">
      <c r="A256" s="5">
        <f t="shared" ca="1" si="58"/>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51"/>
        <v>0</v>
      </c>
      <c r="Y256">
        <f t="shared" ca="1" si="52"/>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53"/>
        <v>0</v>
      </c>
      <c r="AL256" s="5">
        <f t="shared" ca="1" si="54"/>
        <v>0</v>
      </c>
      <c r="AM256" s="5">
        <f t="shared" ca="1" si="55"/>
        <v>0</v>
      </c>
      <c r="AN256" s="5" t="str">
        <f>IF(Demand!BE265="Yes","Yes","")</f>
        <v/>
      </c>
      <c r="AP256" s="36" t="str">
        <f ca="1">Demand!B265</f>
        <v xml:space="preserve"> </v>
      </c>
      <c r="AQ256" t="str">
        <f ca="1">IF(TEXT(Demand!D265,"MMM")&lt;&gt;TEXT(Demand!D264,"MMM"),TEXT(Demand!D265,"MMM"),"")</f>
        <v/>
      </c>
      <c r="AT256" s="5">
        <f t="shared" ca="1" si="56"/>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ca="1">IF(OR(AN256&lt;&gt;"",AND('Demand adjustments for Covid'!$F$9="Yes",'Demand adjustments for Covid'!$F$20="Yes")),"",SUM(CW256:DF256))</f>
        <v>0</v>
      </c>
    </row>
    <row r="257" spans="1:111" x14ac:dyDescent="0.2">
      <c r="A257" s="5">
        <f t="shared" ca="1" si="58"/>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51"/>
        <v>0</v>
      </c>
      <c r="Y257">
        <f t="shared" ca="1" si="52"/>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53"/>
        <v>0</v>
      </c>
      <c r="AL257" s="5">
        <f t="shared" ca="1" si="54"/>
        <v>0</v>
      </c>
      <c r="AM257" s="5">
        <f t="shared" ca="1" si="55"/>
        <v>0</v>
      </c>
      <c r="AN257" s="5" t="str">
        <f>IF(Demand!BE266="Yes","Yes","")</f>
        <v/>
      </c>
      <c r="AP257" s="36" t="str">
        <f ca="1">Demand!B266</f>
        <v xml:space="preserve"> </v>
      </c>
      <c r="AQ257" t="str">
        <f ca="1">IF(TEXT(Demand!D266,"MMM")&lt;&gt;TEXT(Demand!D265,"MMM"),TEXT(Demand!D266,"MMM"),"")</f>
        <v/>
      </c>
      <c r="AT257" s="5">
        <f t="shared" ca="1" si="56"/>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ca="1">IF(OR(AN257&lt;&gt;"",AND('Demand adjustments for Covid'!$F$9="Yes",'Demand adjustments for Covid'!$F$20="Yes")),"",SUM(CW257:DF257))</f>
        <v>0</v>
      </c>
    </row>
    <row r="258" spans="1:111" x14ac:dyDescent="0.2">
      <c r="A258" s="5">
        <f t="shared" ca="1" si="58"/>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51"/>
        <v>0</v>
      </c>
      <c r="Y258">
        <f t="shared" ca="1" si="52"/>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53"/>
        <v>0</v>
      </c>
      <c r="AL258" s="5">
        <f t="shared" ca="1" si="54"/>
        <v>0</v>
      </c>
      <c r="AM258" s="5">
        <f t="shared" ca="1" si="55"/>
        <v>0</v>
      </c>
      <c r="AN258" s="5" t="str">
        <f>IF(Demand!BE267="Yes","Yes","")</f>
        <v/>
      </c>
      <c r="AP258" s="36" t="str">
        <f ca="1">Demand!B267</f>
        <v xml:space="preserve"> </v>
      </c>
      <c r="AQ258" t="str">
        <f ca="1">IF(TEXT(Demand!D267,"MMM")&lt;&gt;TEXT(Demand!D266,"MMM"),TEXT(Demand!D267,"MMM"),"")</f>
        <v/>
      </c>
      <c r="AT258" s="5">
        <f t="shared" ca="1" si="56"/>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ca="1">IF(OR(AN258&lt;&gt;"",AND('Demand adjustments for Covid'!$F$9="Yes",'Demand adjustments for Covid'!$F$20="Yes")),"",SUM(CW258:DF258))</f>
        <v>0</v>
      </c>
    </row>
    <row r="259" spans="1:111" x14ac:dyDescent="0.2">
      <c r="A259" s="5">
        <f t="shared" ca="1" si="58"/>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51"/>
        <v>0</v>
      </c>
      <c r="Y259">
        <f t="shared" ca="1" si="52"/>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53"/>
        <v>0</v>
      </c>
      <c r="AL259" s="5">
        <f t="shared" ca="1" si="54"/>
        <v>0</v>
      </c>
      <c r="AM259" s="5">
        <f t="shared" ca="1" si="55"/>
        <v>0</v>
      </c>
      <c r="AN259" s="5" t="str">
        <f>IF(Demand!BE268="Yes","Yes","")</f>
        <v/>
      </c>
      <c r="AP259" s="36" t="str">
        <f ca="1">Demand!B268</f>
        <v xml:space="preserve"> </v>
      </c>
      <c r="AQ259" t="str">
        <f ca="1">IF(TEXT(Demand!D268,"MMM")&lt;&gt;TEXT(Demand!D267,"MMM"),TEXT(Demand!D268,"MMM"),"")</f>
        <v/>
      </c>
      <c r="AT259" s="5">
        <f t="shared" ca="1" si="56"/>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ca="1">IF(OR(AN259&lt;&gt;"",AND('Demand adjustments for Covid'!$F$9="Yes",'Demand adjustments for Covid'!$F$20="Yes")),"",SUM(CW259:DF259))</f>
        <v>0</v>
      </c>
    </row>
    <row r="260" spans="1:111" x14ac:dyDescent="0.2">
      <c r="A260" s="5">
        <f t="shared" ca="1" si="58"/>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51"/>
        <v>0</v>
      </c>
      <c r="Y260">
        <f t="shared" ca="1" si="52"/>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53"/>
        <v>0</v>
      </c>
      <c r="AL260" s="5">
        <f t="shared" ca="1" si="54"/>
        <v>0</v>
      </c>
      <c r="AM260" s="5">
        <f t="shared" ca="1" si="55"/>
        <v>0</v>
      </c>
      <c r="AN260" s="5" t="str">
        <f>IF(Demand!BE269="Yes","Yes","")</f>
        <v/>
      </c>
      <c r="AP260" s="36" t="str">
        <f ca="1">Demand!B269</f>
        <v xml:space="preserve"> </v>
      </c>
      <c r="AQ260" t="str">
        <f ca="1">IF(TEXT(Demand!D269,"MMM")&lt;&gt;TEXT(Demand!D268,"MMM"),TEXT(Demand!D269,"MMM"),"")</f>
        <v/>
      </c>
      <c r="AT260" s="5">
        <f t="shared" ca="1" si="56"/>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ca="1">IF(OR(AN260&lt;&gt;"",AND('Demand adjustments for Covid'!$F$9="Yes",'Demand adjustments for Covid'!$F$20="Yes")),"",SUM(CW260:DF260))</f>
        <v>0</v>
      </c>
    </row>
    <row r="261" spans="1:111" x14ac:dyDescent="0.2">
      <c r="A261" s="5">
        <f t="shared" ca="1" si="58"/>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51"/>
        <v>0</v>
      </c>
      <c r="Y261">
        <f t="shared" ca="1" si="52"/>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53"/>
        <v>0</v>
      </c>
      <c r="AL261" s="5">
        <f t="shared" ref="AL261:AL263" ca="1" si="59">X261</f>
        <v>0</v>
      </c>
      <c r="AM261" s="5">
        <f t="shared" ref="AM261:AM263" ca="1" si="60">IF(AN261&lt;&gt;"","",AJ261)</f>
        <v>0</v>
      </c>
      <c r="AN261" s="5" t="str">
        <f>IF(Demand!BE270="Yes","Yes","")</f>
        <v/>
      </c>
      <c r="AP261" s="36" t="str">
        <f ca="1">Demand!B270</f>
        <v xml:space="preserve"> </v>
      </c>
      <c r="AQ261" t="str">
        <f ca="1">IF(TEXT(Demand!D270,"MMM")&lt;&gt;TEXT(Demand!D269,"MMM"),TEXT(Demand!D270,"MMM"),"")</f>
        <v/>
      </c>
      <c r="AT261" s="5">
        <f t="shared" ca="1" si="56"/>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ca="1">IF(OR(AN261&lt;&gt;"",AND('Demand adjustments for Covid'!$F$9="Yes",'Demand adjustments for Covid'!$F$20="Yes")),"",SUM(CW261:DF261))</f>
        <v>0</v>
      </c>
    </row>
    <row r="262" spans="1:111" x14ac:dyDescent="0.2">
      <c r="A262" s="5">
        <f t="shared" ca="1" si="58"/>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51"/>
        <v>0</v>
      </c>
      <c r="Y262">
        <f t="shared" ca="1" si="52"/>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53"/>
        <v>0</v>
      </c>
      <c r="AL262" s="5">
        <f t="shared" ca="1" si="59"/>
        <v>0</v>
      </c>
      <c r="AM262" s="5">
        <f t="shared" ca="1" si="60"/>
        <v>0</v>
      </c>
      <c r="AN262" s="5" t="str">
        <f>IF(Demand!BE271="Yes","Yes","")</f>
        <v/>
      </c>
      <c r="AP262" s="36" t="str">
        <f ca="1">Demand!B271</f>
        <v xml:space="preserve"> </v>
      </c>
      <c r="AQ262" t="str">
        <f ca="1">IF(TEXT(Demand!D271,"MMM")&lt;&gt;TEXT(Demand!D270,"MMM"),TEXT(Demand!D271,"MMM"),"")</f>
        <v/>
      </c>
      <c r="AT262" s="5">
        <f t="shared" ref="AT262:AT263" ca="1" si="61">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ca="1">IF(OR(AN262&lt;&gt;"",AND('Demand adjustments for Covid'!$F$9="Yes",'Demand adjustments for Covid'!$F$20="Yes")),"",SUM(CW262:DF262))</f>
        <v>0</v>
      </c>
    </row>
    <row r="263" spans="1:111" x14ac:dyDescent="0.2">
      <c r="A263" s="5">
        <f t="shared" ca="1" si="58"/>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51"/>
        <v>0</v>
      </c>
      <c r="Y263">
        <f t="shared" ca="1" si="52"/>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53"/>
        <v>0</v>
      </c>
      <c r="AL263" s="5">
        <f t="shared" ca="1" si="59"/>
        <v>0</v>
      </c>
      <c r="AM263" s="5">
        <f t="shared" ca="1" si="60"/>
        <v>0</v>
      </c>
      <c r="AN263" s="5" t="str">
        <f>IF(Demand!BE272="Yes","Yes","")</f>
        <v/>
      </c>
      <c r="AP263" s="36" t="str">
        <f ca="1">Demand!B272</f>
        <v xml:space="preserve"> </v>
      </c>
      <c r="AQ263" t="str">
        <f ca="1">IF(TEXT(Demand!D272,"MMM")&lt;&gt;TEXT(Demand!D271,"MMM"),TEXT(Demand!D272,"MMM"),"")</f>
        <v/>
      </c>
      <c r="AT263" s="5">
        <f t="shared" ca="1" si="61"/>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ca="1">IF(OR(AN263&lt;&gt;"",AND('Demand adjustments for Covid'!$F$9="Yes",'Demand adjustments for Covid'!$F$20="Yes")),"",SUM(CW263:DF263))</f>
        <v>0</v>
      </c>
    </row>
    <row r="264" spans="1:111" x14ac:dyDescent="0.2">
      <c r="M264" t="s">
        <v>79</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62B61-BD84-40E2-89DA-C006008D27A0}">
  <sheetPr codeName="Sheet30"/>
  <dimension ref="A2:R39"/>
  <sheetViews>
    <sheetView showGridLines="0" showRowColHeaders="0" zoomScaleNormal="100" workbookViewId="0">
      <selection activeCell="D33" sqref="D33:D34"/>
    </sheetView>
  </sheetViews>
  <sheetFormatPr defaultColWidth="8.75" defaultRowHeight="14.25" x14ac:dyDescent="0.2"/>
  <cols>
    <col min="1" max="3" width="10.25" style="349" customWidth="1"/>
    <col min="4" max="4" width="17.75" style="349" customWidth="1"/>
    <col min="5" max="5" width="13.75" style="349" customWidth="1"/>
    <col min="6" max="6" width="9.75" style="349" bestFit="1" customWidth="1"/>
    <col min="7" max="16384" width="8.75" style="349"/>
  </cols>
  <sheetData>
    <row r="2" spans="1:18" x14ac:dyDescent="0.2">
      <c r="A2" s="348" t="s">
        <v>1179</v>
      </c>
      <c r="B2" s="348"/>
      <c r="C2" s="348"/>
      <c r="D2" s="348"/>
      <c r="E2" s="348"/>
      <c r="F2" s="348"/>
      <c r="G2" s="348"/>
      <c r="H2" s="348"/>
      <c r="I2" s="348"/>
      <c r="J2" s="348"/>
      <c r="K2" s="348"/>
      <c r="L2" s="348"/>
      <c r="M2" s="348"/>
      <c r="N2" s="348"/>
      <c r="O2" s="348"/>
      <c r="P2" s="348"/>
      <c r="Q2" s="348"/>
      <c r="R2" s="348"/>
    </row>
    <row r="3" spans="1:18" x14ac:dyDescent="0.2">
      <c r="A3" s="350" t="s">
        <v>1180</v>
      </c>
      <c r="B3" s="350"/>
      <c r="C3" s="350"/>
      <c r="D3" s="350"/>
      <c r="E3" s="350"/>
      <c r="F3" s="350"/>
      <c r="G3" s="350"/>
      <c r="H3" s="350"/>
      <c r="I3" s="350"/>
      <c r="J3" s="350"/>
      <c r="K3" s="350"/>
      <c r="L3" s="350"/>
      <c r="M3" s="350"/>
      <c r="N3" s="350"/>
      <c r="O3" s="350"/>
      <c r="P3" s="350"/>
      <c r="Q3" s="350"/>
      <c r="R3" s="350"/>
    </row>
    <row r="5" spans="1:18" x14ac:dyDescent="0.2">
      <c r="A5" s="349" t="s">
        <v>1210</v>
      </c>
    </row>
    <row r="6" spans="1:18" x14ac:dyDescent="0.2">
      <c r="A6" s="349" t="s">
        <v>1188</v>
      </c>
    </row>
    <row r="7" spans="1:18" x14ac:dyDescent="0.2">
      <c r="A7" s="349" t="s">
        <v>1189</v>
      </c>
    </row>
    <row r="9" spans="1:18" ht="15" x14ac:dyDescent="0.25">
      <c r="A9" s="284" t="s">
        <v>1181</v>
      </c>
      <c r="F9" s="337" t="s">
        <v>22</v>
      </c>
    </row>
    <row r="10" spans="1:18" x14ac:dyDescent="0.2">
      <c r="A10" s="351" t="str">
        <f>IF(AND(F9="Yes",Demand!C6="",LEFT(Demand!C8,1)="M"),"You must enter a start date on the 'Demand' sheet, otherwise the model will show errors!","")</f>
        <v/>
      </c>
    </row>
    <row r="11" spans="1:18" ht="15" x14ac:dyDescent="0.25">
      <c r="A11" s="284" t="s">
        <v>1186</v>
      </c>
    </row>
    <row r="12" spans="1:18" x14ac:dyDescent="0.2">
      <c r="A12" s="349" t="s">
        <v>1183</v>
      </c>
      <c r="F12" s="167">
        <v>43969</v>
      </c>
    </row>
    <row r="13" spans="1:18" x14ac:dyDescent="0.2">
      <c r="A13" s="349" t="str">
        <f>"Current (restricted) level of demand ("&amp;Setup!$I$17&amp;"):"</f>
        <v>Current (restricted) level of demand (Minutes):</v>
      </c>
      <c r="D13" s="219"/>
      <c r="F13" s="337">
        <v>200</v>
      </c>
    </row>
    <row r="14" spans="1:18" x14ac:dyDescent="0.2">
      <c r="D14" s="219"/>
      <c r="F14" s="219"/>
    </row>
    <row r="16" spans="1:18" ht="15" x14ac:dyDescent="0.25">
      <c r="A16" s="284" t="s">
        <v>1187</v>
      </c>
    </row>
    <row r="17" spans="1:6" x14ac:dyDescent="0.2">
      <c r="A17" s="349" t="s">
        <v>1185</v>
      </c>
      <c r="F17" s="167">
        <v>44011</v>
      </c>
    </row>
    <row r="18" spans="1:6" x14ac:dyDescent="0.2">
      <c r="A18" s="349" t="s">
        <v>1235</v>
      </c>
      <c r="F18" s="337">
        <v>20</v>
      </c>
    </row>
    <row r="20" spans="1:6" x14ac:dyDescent="0.2">
      <c r="A20" s="349" t="s">
        <v>1182</v>
      </c>
      <c r="F20" s="337" t="s">
        <v>22</v>
      </c>
    </row>
    <row r="23" spans="1:6" ht="15" x14ac:dyDescent="0.25">
      <c r="A23" s="284" t="s">
        <v>1212</v>
      </c>
    </row>
    <row r="24" spans="1:6" x14ac:dyDescent="0.2">
      <c r="A24" s="349" t="s">
        <v>1213</v>
      </c>
    </row>
    <row r="26" spans="1:6" x14ac:dyDescent="0.2">
      <c r="A26" s="349" t="s">
        <v>1214</v>
      </c>
    </row>
    <row r="27" spans="1:6" x14ac:dyDescent="0.2">
      <c r="A27" s="349" t="s">
        <v>1215</v>
      </c>
    </row>
    <row r="28" spans="1:6" x14ac:dyDescent="0.2">
      <c r="A28" s="352" t="s">
        <v>1220</v>
      </c>
    </row>
    <row r="31" spans="1:6" ht="15" x14ac:dyDescent="0.25">
      <c r="A31" s="284" t="s">
        <v>1216</v>
      </c>
    </row>
    <row r="33" spans="1:18" ht="13.9" customHeight="1" x14ac:dyDescent="0.25">
      <c r="D33" s="417" t="str">
        <f>"Number of patients ("&amp;Setup!$I$17&amp;")"</f>
        <v>Number of patients (Minutes)</v>
      </c>
      <c r="E33" s="415" t="s">
        <v>1219</v>
      </c>
      <c r="F33" s="417" t="str">
        <f>Setup!$I$17&amp;" remaining"</f>
        <v>Minutes remaining</v>
      </c>
      <c r="G33" s="353" t="str">
        <f>"Backlog / unseen patients ("&amp;Setup!$I$17&amp;") brought in post-transition, by week"</f>
        <v>Backlog / unseen patients (Minutes) brought in post-transition, by week</v>
      </c>
      <c r="H33" s="354"/>
      <c r="I33" s="354"/>
      <c r="J33" s="354"/>
      <c r="K33" s="354"/>
      <c r="L33" s="354"/>
      <c r="M33" s="354"/>
      <c r="N33" s="354"/>
      <c r="O33" s="354"/>
      <c r="P33" s="354"/>
      <c r="Q33" s="354"/>
      <c r="R33" s="355"/>
    </row>
    <row r="34" spans="1:18" ht="15" x14ac:dyDescent="0.25">
      <c r="D34" s="418"/>
      <c r="E34" s="416"/>
      <c r="F34" s="418"/>
      <c r="G34" s="356">
        <v>1</v>
      </c>
      <c r="H34" s="356">
        <v>2</v>
      </c>
      <c r="I34" s="356">
        <v>3</v>
      </c>
      <c r="J34" s="356">
        <v>4</v>
      </c>
      <c r="K34" s="356">
        <v>5</v>
      </c>
      <c r="L34" s="356">
        <v>6</v>
      </c>
      <c r="M34" s="356">
        <v>7</v>
      </c>
      <c r="N34" s="356">
        <v>8</v>
      </c>
      <c r="O34" s="356">
        <v>9</v>
      </c>
      <c r="P34" s="356">
        <v>10</v>
      </c>
      <c r="Q34" s="356">
        <v>11</v>
      </c>
      <c r="R34" s="356">
        <v>12</v>
      </c>
    </row>
    <row r="35" spans="1:18" ht="15" x14ac:dyDescent="0.25">
      <c r="A35" s="349" t="s">
        <v>1217</v>
      </c>
      <c r="D35" s="359">
        <f ca="1">SUM(OFFSET('Parameters calculator (hide)'!$C$68,0,0,Num_Modalities,1))</f>
        <v>900</v>
      </c>
      <c r="E35" s="338">
        <v>0.04</v>
      </c>
      <c r="F35" s="357">
        <f ca="1">ROUNDUP(D35*(1-E35),0)-SUM(G35:N35)</f>
        <v>-736</v>
      </c>
      <c r="G35" s="337">
        <v>200</v>
      </c>
      <c r="H35" s="337">
        <v>200</v>
      </c>
      <c r="I35" s="337">
        <v>200</v>
      </c>
      <c r="J35" s="337">
        <v>200</v>
      </c>
      <c r="K35" s="337">
        <v>200</v>
      </c>
      <c r="L35" s="337">
        <v>200</v>
      </c>
      <c r="M35" s="337">
        <v>200</v>
      </c>
      <c r="N35" s="337">
        <v>200</v>
      </c>
      <c r="O35" s="337">
        <v>200</v>
      </c>
      <c r="P35" s="337">
        <v>200</v>
      </c>
      <c r="Q35" s="337"/>
      <c r="R35" s="337"/>
    </row>
    <row r="36" spans="1:18" ht="15" x14ac:dyDescent="0.25">
      <c r="A36" s="349" t="s">
        <v>1218</v>
      </c>
      <c r="D36" s="360">
        <f ca="1">'Demand background (hide)'!EA3</f>
        <v>0</v>
      </c>
      <c r="E36" s="338">
        <v>0.05</v>
      </c>
      <c r="F36" s="358">
        <f ca="1">ROUNDUP(D36*(1-E36),0)-SUM(G36:N36)</f>
        <v>-2400</v>
      </c>
      <c r="G36" s="337">
        <v>300</v>
      </c>
      <c r="H36" s="337">
        <v>300</v>
      </c>
      <c r="I36" s="337">
        <v>300</v>
      </c>
      <c r="J36" s="337">
        <v>300</v>
      </c>
      <c r="K36" s="337">
        <v>300</v>
      </c>
      <c r="L36" s="337">
        <v>300</v>
      </c>
      <c r="M36" s="337">
        <v>300</v>
      </c>
      <c r="N36" s="337">
        <v>300</v>
      </c>
      <c r="O36" s="337">
        <v>300</v>
      </c>
      <c r="P36" s="337">
        <v>300</v>
      </c>
      <c r="Q36" s="337"/>
      <c r="R36" s="337"/>
    </row>
    <row r="39" spans="1:18" ht="15" x14ac:dyDescent="0.25">
      <c r="A39" s="349" t="s">
        <v>1227</v>
      </c>
    </row>
  </sheetData>
  <sheetProtection algorithmName="SHA-512" hashValue="mJeHSpUOOEX53lKMjyX8WPSHolssXjV6j0XouZvvbGfMmmTYz51SF/+ZcSLP6DVK+5N1g760STUy0tj7wCOLOw==" saltValue="PHsv/YCFmJURCWeg++a0rw==" spinCount="100000" sheet="1" objects="1" scenarios="1"/>
  <mergeCells count="3">
    <mergeCell ref="E33:E34"/>
    <mergeCell ref="D33:D34"/>
    <mergeCell ref="F33:F34"/>
  </mergeCells>
  <conditionalFormatting sqref="F35:F36">
    <cfRule type="expression" dxfId="49" priority="2">
      <formula>IF($F35&lt;0,1,0)</formula>
    </cfRule>
  </conditionalFormatting>
  <conditionalFormatting sqref="A11:R33 A35:R39 A34:C34 G34:R34">
    <cfRule type="expression" dxfId="48" priority="1">
      <formula>IF(LEFT($F$9,1)="N",TRUE,FALSE)</formula>
    </cfRule>
  </conditionalFormatting>
  <dataValidations count="4">
    <dataValidation type="whole" allowBlank="1" showInputMessage="1" showErrorMessage="1" sqref="F18" xr:uid="{BCD0C9E8-7B13-439D-9279-5CDB63D3CB62}">
      <formula1>0</formula1>
      <formula2>36</formula2>
    </dataValidation>
    <dataValidation type="decimal" allowBlank="1" showInputMessage="1" showErrorMessage="1" sqref="F13:F14" xr:uid="{AA02A8C0-209F-4DB6-8C14-466BE837C33C}">
      <formula1>0</formula1>
      <formula2>99999999</formula2>
    </dataValidation>
    <dataValidation type="list" showInputMessage="1" showErrorMessage="1" sqref="F9 F20" xr:uid="{4197BB65-1439-4E9E-A2D2-4060BAD3FE49}">
      <formula1>"Yes, No"</formula1>
    </dataValidation>
    <dataValidation type="decimal" allowBlank="1" showInputMessage="1" showErrorMessage="1" sqref="E35:E36" xr:uid="{95EA212D-256D-4310-A24F-276F6C260CBA}">
      <formula1>0</formula1>
      <formula2>1</formula2>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60710AA-B5E4-4FB6-B997-7A78CFE81938}">
          <x14:formula1>
            <xm:f>IF(LEFT(Demand!$C$8,1)="H",'Control sheet (hide)'!$K$2:$K$54,Demand!$D$13:$D$64)</xm:f>
          </x14:formula1>
          <xm:sqref>F17 F12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115" zoomScaleNormal="115" workbookViewId="0">
      <selection activeCell="C5" sqref="C5"/>
    </sheetView>
  </sheetViews>
  <sheetFormatPr defaultRowHeight="14.25" x14ac:dyDescent="0.2"/>
  <cols>
    <col min="1" max="1" width="19.75" bestFit="1" customWidth="1"/>
    <col min="2" max="2" width="11.25" customWidth="1"/>
    <col min="4" max="4" width="3.25" customWidth="1"/>
  </cols>
  <sheetData>
    <row r="1" spans="1:3" x14ac:dyDescent="0.2">
      <c r="A1" t="s">
        <v>126</v>
      </c>
      <c r="B1" s="246" t="s">
        <v>192</v>
      </c>
    </row>
    <row r="3" spans="1:3" ht="15" x14ac:dyDescent="0.25">
      <c r="A3" s="2" t="s">
        <v>185</v>
      </c>
    </row>
    <row r="4" spans="1:3" ht="14.25" customHeight="1" x14ac:dyDescent="0.2">
      <c r="A4" s="38" t="str">
        <f>IF(SPC_Type="Simple","Sample period","Season 1")&amp;" begins:"</f>
        <v>Season 1 begins:</v>
      </c>
    </row>
    <row r="5" spans="1:3" ht="14.25" customHeight="1" x14ac:dyDescent="0.2">
      <c r="A5" s="38" t="str">
        <f>IF(SPC_Type="Simple","Sample period","Season 1")&amp;" ends:"</f>
        <v>Season 1 ends:</v>
      </c>
      <c r="C5" t="str">
        <f ca="1">'SPC background (hide)'!H5&amp;" weeks"</f>
        <v>-97 weeks</v>
      </c>
    </row>
    <row r="6" spans="1:3" ht="14.25" customHeight="1" x14ac:dyDescent="0.2"/>
    <row r="7" spans="1:3" ht="14.25" customHeight="1" x14ac:dyDescent="0.2">
      <c r="A7" s="326" t="s">
        <v>186</v>
      </c>
      <c r="B7" s="379"/>
      <c r="C7" s="379"/>
    </row>
    <row r="8" spans="1:3" ht="14.25" customHeight="1" x14ac:dyDescent="0.2">
      <c r="A8" s="326" t="s">
        <v>187</v>
      </c>
      <c r="B8" s="379"/>
      <c r="C8" s="379" t="str">
        <f ca="1">IF('SPC background (hide)'!H7&lt;&gt;"",'SPC background (hide)'!H7&amp;" weeks","")</f>
        <v/>
      </c>
    </row>
    <row r="9" spans="1:3" ht="14.25" customHeight="1" x14ac:dyDescent="0.2">
      <c r="A9" s="326"/>
      <c r="B9" s="379"/>
      <c r="C9" s="379"/>
    </row>
    <row r="10" spans="1:3" ht="14.25" customHeight="1" x14ac:dyDescent="0.2">
      <c r="A10" s="326" t="s">
        <v>188</v>
      </c>
      <c r="B10" s="379"/>
      <c r="C10" s="379"/>
    </row>
    <row r="11" spans="1:3" ht="14.25" customHeight="1" x14ac:dyDescent="0.2">
      <c r="A11" s="326" t="s">
        <v>189</v>
      </c>
      <c r="B11" s="379"/>
      <c r="C11" s="379" t="str">
        <f ca="1">IF('SPC background (hide)'!H9&lt;&gt;"",'SPC background (hide)'!H9&amp;" weeks","")</f>
        <v/>
      </c>
    </row>
    <row r="12" spans="1:3" ht="14.25" customHeight="1" x14ac:dyDescent="0.2">
      <c r="A12" s="326"/>
      <c r="B12" s="379"/>
      <c r="C12" s="379"/>
    </row>
    <row r="13" spans="1:3" ht="14.25" customHeight="1" x14ac:dyDescent="0.2">
      <c r="A13" s="326" t="s">
        <v>190</v>
      </c>
      <c r="B13" s="379"/>
      <c r="C13" s="379"/>
    </row>
    <row r="14" spans="1:3" ht="14.25" customHeight="1" x14ac:dyDescent="0.2">
      <c r="A14" s="326" t="s">
        <v>191</v>
      </c>
      <c r="B14" s="379"/>
      <c r="C14" s="379" t="str">
        <f ca="1">IF('SPC background (hide)'!H11&lt;&gt;"",'SPC background (hide)'!H11&amp;" weeks","")</f>
        <v/>
      </c>
    </row>
    <row r="15" spans="1:3" ht="14.25" customHeight="1" x14ac:dyDescent="0.2"/>
    <row r="16" spans="1:3" x14ac:dyDescent="0.2">
      <c r="A16" s="37" t="s">
        <v>147</v>
      </c>
    </row>
    <row r="17" spans="1:3" ht="15" x14ac:dyDescent="0.25">
      <c r="A17" s="2" t="str">
        <f ca="1">'SPC background (hide)'!I11&amp;" weeks"</f>
        <v>-97 weeks</v>
      </c>
    </row>
    <row r="19" spans="1:3" x14ac:dyDescent="0.2">
      <c r="A19" t="str">
        <f ca="1">IF(AND('SPC background (hide)'!I11&lt;52,SPC_Type="1+ Seasons"),"Remaining wks use season:","")</f>
        <v/>
      </c>
      <c r="C19" s="178">
        <v>1</v>
      </c>
    </row>
    <row r="20" spans="1:3" x14ac:dyDescent="0.2">
      <c r="C20" s="45"/>
    </row>
    <row r="21" spans="1:3" x14ac:dyDescent="0.2">
      <c r="A21" t="s">
        <v>195</v>
      </c>
      <c r="C21" s="178" t="s">
        <v>20</v>
      </c>
    </row>
    <row r="22" spans="1:3" x14ac:dyDescent="0.2">
      <c r="C22" s="45"/>
    </row>
    <row r="23" spans="1:3" x14ac:dyDescent="0.2">
      <c r="A23" t="s">
        <v>196</v>
      </c>
      <c r="C23" s="178" t="s">
        <v>20</v>
      </c>
    </row>
    <row r="25" spans="1:3" hidden="1" x14ac:dyDescent="0.2">
      <c r="A25" t="s">
        <v>284</v>
      </c>
      <c r="C25" s="178" t="s">
        <v>22</v>
      </c>
    </row>
    <row r="29" spans="1:3" ht="15" x14ac:dyDescent="0.25">
      <c r="A29" s="2" t="s">
        <v>178</v>
      </c>
    </row>
    <row r="30" spans="1:3" x14ac:dyDescent="0.2">
      <c r="A30" s="40"/>
      <c r="B30" t="s">
        <v>175</v>
      </c>
    </row>
    <row r="31" spans="1:3" x14ac:dyDescent="0.2">
      <c r="A31" s="41"/>
      <c r="B31" t="s">
        <v>176</v>
      </c>
    </row>
    <row r="32" spans="1:3" x14ac:dyDescent="0.2">
      <c r="A32" s="42"/>
      <c r="B32" t="s">
        <v>197</v>
      </c>
    </row>
    <row r="33" spans="1:2" x14ac:dyDescent="0.2">
      <c r="A33" s="43"/>
      <c r="B33" t="s">
        <v>177</v>
      </c>
    </row>
  </sheetData>
  <sheetProtection algorithmName="SHA-512" hashValue="vLoOYgkreLHzlEMxepbuSMycQJPi2xgmqdbxCvyZUb9PMdRivMXdgAf/2ifk9Sf8sleczRaPTgRk6cg/PjOD9g==" saltValue="lIqsa3EOmoIABRQIKay7XQ==" spinCount="100000" sheet="1" objects="1" scenarios="1"/>
  <conditionalFormatting sqref="C19">
    <cfRule type="expression" dxfId="47"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180975</xdr:rowOff>
                  </from>
                  <to>
                    <xdr:col>2</xdr:col>
                    <xdr:colOff>0</xdr:colOff>
                    <xdr:row>4</xdr:row>
                    <xdr:rowOff>180975</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topLeftCell="B1" workbookViewId="0">
      <selection activeCell="N4" sqref="N4"/>
    </sheetView>
  </sheetViews>
  <sheetFormatPr defaultColWidth="9" defaultRowHeight="14.25" x14ac:dyDescent="0.2"/>
  <cols>
    <col min="1" max="2" width="9" style="67"/>
    <col min="3" max="3" width="14.125" style="67" customWidth="1"/>
    <col min="4" max="5" width="9" style="67"/>
    <col min="6" max="6" width="13.625" style="67" customWidth="1"/>
    <col min="7" max="7" width="15.625" style="67" customWidth="1"/>
    <col min="8" max="9" width="9" style="67"/>
    <col min="10" max="26" width="9" style="67" customWidth="1"/>
    <col min="27" max="27" width="9" style="67" hidden="1" customWidth="1"/>
    <col min="28" max="30" width="9" style="67" customWidth="1"/>
    <col min="31" max="16384" width="9" style="67"/>
  </cols>
  <sheetData>
    <row r="1" spans="1:46" x14ac:dyDescent="0.2">
      <c r="B1" s="67" t="s">
        <v>114</v>
      </c>
      <c r="L1" s="67" t="s">
        <v>205</v>
      </c>
      <c r="AF1" s="67" t="s">
        <v>167</v>
      </c>
      <c r="AG1" s="67" t="s">
        <v>152</v>
      </c>
      <c r="AH1" s="67" t="s">
        <v>150</v>
      </c>
      <c r="AI1" s="67" t="s">
        <v>153</v>
      </c>
      <c r="AJ1" s="67" t="s">
        <v>159</v>
      </c>
      <c r="AK1" s="67" t="s">
        <v>140</v>
      </c>
      <c r="AL1" s="67" t="s">
        <v>154</v>
      </c>
      <c r="AM1" s="67" t="s">
        <v>155</v>
      </c>
      <c r="AN1" s="67" t="s">
        <v>156</v>
      </c>
      <c r="AO1" s="67" t="s">
        <v>157</v>
      </c>
      <c r="AP1" s="67" t="s">
        <v>158</v>
      </c>
      <c r="AQ1" s="67" t="s">
        <v>146</v>
      </c>
      <c r="AR1" s="67" t="s">
        <v>163</v>
      </c>
      <c r="AS1" s="67" t="s">
        <v>164</v>
      </c>
      <c r="AT1" s="67" t="s">
        <v>61</v>
      </c>
    </row>
    <row r="2" spans="1:46" x14ac:dyDescent="0.2">
      <c r="A2" s="67" t="s">
        <v>433</v>
      </c>
      <c r="B2" s="67" t="str">
        <f>"Demand - SPC Chart ("&amp;Setup!$I$17&amp;")"</f>
        <v>Demand - SPC Chart (Minutes)</v>
      </c>
      <c r="AG2" s="67" t="str">
        <f ca="1">OFFSET(Demand!$C$13,'SPC background (hide)'!$C$4-2+ROW(A1),0,1,1)</f>
        <v/>
      </c>
      <c r="AH2" s="67">
        <v>1</v>
      </c>
      <c r="AI2" s="67">
        <f ca="1">IF(AH2&lt;=($M$4-$L$4+1),1,IF(AND($M$10&gt;=2,AH2&lt;=$M$5-$L$4+1),2,IF(AND($M$10&gt;=3,AH2&lt;=$M$6-$L$4+1),3,IF(AND($M$10=4,AH2&lt;=$M$7-$L$4+1),4,5))))</f>
        <v>5</v>
      </c>
      <c r="AJ2" s="39">
        <f ca="1">VLOOKUP(AI2,$K$4:$Q$9,4,0)</f>
        <v>0</v>
      </c>
      <c r="AK2" s="39">
        <f ca="1">IF($AN2-(3*$AJ2)&lt;=0,0,$AN2-(3*$AJ2))</f>
        <v>0</v>
      </c>
      <c r="AL2" s="39">
        <f ca="1">IF($AN2-(2*$AJ2)&lt;=0,0,$AN2-(2*$AJ2))</f>
        <v>0</v>
      </c>
      <c r="AM2" s="39">
        <f ca="1">IF($AN2-(1*$AJ2)&lt;=0,0,$AN2-(1*$AJ2))</f>
        <v>0</v>
      </c>
      <c r="AN2" s="39">
        <f ca="1">VLOOKUP(AI2,$K$4:$Q$9,5,0)</f>
        <v>0</v>
      </c>
      <c r="AO2" s="39">
        <f t="shared" ref="AO2:AO54" ca="1" si="0">$AN2+(1*$AJ2)</f>
        <v>0</v>
      </c>
      <c r="AP2" s="39">
        <f t="shared" ref="AP2:AP54" ca="1" si="1">$AN2+(2*$AJ2)</f>
        <v>0</v>
      </c>
      <c r="AQ2" s="39">
        <f t="shared" ref="AQ2:AQ54" ca="1" si="2">$AN2+(3*$AJ2)</f>
        <v>0</v>
      </c>
      <c r="AR2" s="5" t="str">
        <f ca="1">VLOOKUP($AI2,$K$4:$Q$8,6,0)</f>
        <v/>
      </c>
      <c r="AS2" s="5" t="str">
        <f t="shared" ref="AS2:AS54" ca="1" si="3">VLOOKUP($AI2,$K$4:$Q$8,7,0)</f>
        <v/>
      </c>
      <c r="AT2" s="5" t="str">
        <f ca="1">VLOOKUP(AI2,$K$4:$R$8,8,0)</f>
        <v/>
      </c>
    </row>
    <row r="3" spans="1:46" x14ac:dyDescent="0.2">
      <c r="C3" s="67" t="s">
        <v>132</v>
      </c>
      <c r="D3" s="67" t="s">
        <v>134</v>
      </c>
      <c r="E3" s="67" t="s">
        <v>131</v>
      </c>
      <c r="F3" s="67" t="s">
        <v>135</v>
      </c>
      <c r="G3" s="67" t="s">
        <v>136</v>
      </c>
      <c r="H3" s="67" t="s">
        <v>133</v>
      </c>
      <c r="I3" s="67" t="s">
        <v>198</v>
      </c>
      <c r="K3" s="67" t="s">
        <v>153</v>
      </c>
      <c r="L3" s="67" t="s">
        <v>148</v>
      </c>
      <c r="M3" s="67" t="s">
        <v>149</v>
      </c>
      <c r="N3" s="67" t="s">
        <v>159</v>
      </c>
      <c r="O3" s="67" t="s">
        <v>156</v>
      </c>
      <c r="P3" s="67" t="s">
        <v>137</v>
      </c>
      <c r="Q3" s="67" t="s">
        <v>138</v>
      </c>
      <c r="R3" s="67" t="s">
        <v>61</v>
      </c>
      <c r="S3" s="67" t="s">
        <v>206</v>
      </c>
      <c r="AG3" s="67" t="e">
        <f ca="1">IF(MOD(AG2+1,53)=0,53,MOD(AG2+1,53))</f>
        <v>#VALUE!</v>
      </c>
      <c r="AH3" s="67">
        <v>2</v>
      </c>
      <c r="AI3" s="67">
        <f t="shared" ref="AI3:AI54" ca="1" si="4">IF(AH3&lt;=($M$4-$L$4+1),1,IF(AND($M$10&gt;=2,AH3&lt;=$M$5-$L$4+1),2,IF(AND($M$10&gt;=3,AH3&lt;=$M$6-$L$4+1),3,IF(AND($M$10=4,AH3&lt;=$M$7-$L$4+1),4,5))))</f>
        <v>5</v>
      </c>
      <c r="AJ3" s="39">
        <f t="shared" ref="AJ3:AJ54" ca="1" si="5">VLOOKUP(AI3,$K$4:$Q$9,4,0)</f>
        <v>0</v>
      </c>
      <c r="AK3" s="39">
        <f t="shared" ref="AK3:AK54" ca="1" si="6">IF($AN3-(3*$AJ3)&lt;=0,0,$AN3-(3*$AJ3))</f>
        <v>0</v>
      </c>
      <c r="AL3" s="39">
        <f t="shared" ref="AL3:AL54" ca="1" si="7">IF($AN3-(2*$AJ3)&lt;=0,0,$AN3-(2*$AJ3))</f>
        <v>0</v>
      </c>
      <c r="AM3" s="39">
        <f t="shared" ref="AM3:AM54" ca="1" si="8">IF($AN3-(1*$AJ3)&lt;=0,0,$AN3-(1*$AJ3))</f>
        <v>0</v>
      </c>
      <c r="AN3" s="39">
        <f t="shared" ref="AN3:AN54" ca="1" si="9">VLOOKUP(AI3,$K$4:$Q$9,5,0)</f>
        <v>0</v>
      </c>
      <c r="AO3" s="39">
        <f t="shared" ca="1" si="0"/>
        <v>0</v>
      </c>
      <c r="AP3" s="39">
        <f t="shared" ca="1" si="1"/>
        <v>0</v>
      </c>
      <c r="AQ3" s="39">
        <f t="shared" ca="1" si="2"/>
        <v>0</v>
      </c>
      <c r="AR3" s="5" t="str">
        <f t="shared" ref="AR3:AR54" ca="1" si="10">VLOOKUP($AI3,$K$4:$Q$8,6,0)</f>
        <v/>
      </c>
      <c r="AS3" s="5" t="str">
        <f t="shared" ca="1" si="3"/>
        <v/>
      </c>
      <c r="AT3" s="5" t="str">
        <f t="shared" ref="AT3:AT54" ca="1" si="11">VLOOKUP(AI3,$K$4:$R$8,8,0)</f>
        <v/>
      </c>
    </row>
    <row r="4" spans="1:46" x14ac:dyDescent="0.2">
      <c r="B4" s="67" t="s">
        <v>118</v>
      </c>
      <c r="C4" s="67">
        <v>99</v>
      </c>
      <c r="D4" s="67">
        <v>1</v>
      </c>
      <c r="E4" s="67">
        <f ca="1">MAX(0,MaxRows-9)</f>
        <v>0</v>
      </c>
      <c r="F4" s="67">
        <f ca="1">E4-D4+1</f>
        <v>0</v>
      </c>
      <c r="K4" s="67">
        <v>1</v>
      </c>
      <c r="L4" s="67">
        <f>C4</f>
        <v>99</v>
      </c>
      <c r="M4" s="67">
        <f ca="1">H5+L4-1</f>
        <v>1</v>
      </c>
      <c r="N4" s="5">
        <f ca="1">Sigma1</f>
        <v>0</v>
      </c>
      <c r="O4" s="5">
        <f ca="1">Mean1</f>
        <v>0</v>
      </c>
      <c r="P4" s="5">
        <f ca="1">PercLower1</f>
        <v>0</v>
      </c>
      <c r="Q4" s="5">
        <f ca="1">PercUpper1</f>
        <v>0</v>
      </c>
      <c r="R4" s="5">
        <f ca="1">Emergency1</f>
        <v>0</v>
      </c>
      <c r="S4" s="5">
        <f ca="1">O4*H5</f>
        <v>0</v>
      </c>
      <c r="T4" s="5"/>
      <c r="AG4" s="67" t="e">
        <f t="shared" ref="AG4:AG54" ca="1" si="12">IF(MOD(AG3+1,53)=0,53,MOD(AG3+1,53))</f>
        <v>#VALUE!</v>
      </c>
      <c r="AH4" s="67">
        <v>3</v>
      </c>
      <c r="AI4" s="67">
        <f t="shared" ca="1" si="4"/>
        <v>5</v>
      </c>
      <c r="AJ4" s="39">
        <f t="shared" ca="1" si="5"/>
        <v>0</v>
      </c>
      <c r="AK4" s="39">
        <f t="shared" ca="1" si="6"/>
        <v>0</v>
      </c>
      <c r="AL4" s="39">
        <f t="shared" ca="1" si="7"/>
        <v>0</v>
      </c>
      <c r="AM4" s="39">
        <f t="shared" ca="1" si="8"/>
        <v>0</v>
      </c>
      <c r="AN4" s="39">
        <f t="shared" ca="1" si="9"/>
        <v>0</v>
      </c>
      <c r="AO4" s="39">
        <f t="shared" ca="1" si="0"/>
        <v>0</v>
      </c>
      <c r="AP4" s="39">
        <f t="shared" ca="1" si="1"/>
        <v>0</v>
      </c>
      <c r="AQ4" s="39">
        <f t="shared" ca="1" si="2"/>
        <v>0</v>
      </c>
      <c r="AR4" s="5" t="str">
        <f t="shared" ca="1" si="10"/>
        <v/>
      </c>
      <c r="AS4" s="5" t="str">
        <f t="shared" ca="1" si="3"/>
        <v/>
      </c>
      <c r="AT4" s="5" t="str">
        <f t="shared" ca="1" si="11"/>
        <v/>
      </c>
    </row>
    <row r="5" spans="1:46" x14ac:dyDescent="0.2">
      <c r="B5" s="67" t="s">
        <v>119</v>
      </c>
      <c r="C5" s="67">
        <v>44</v>
      </c>
      <c r="D5" s="67">
        <f>C4+9</f>
        <v>108</v>
      </c>
      <c r="E5" s="67">
        <f ca="1">MIN(C4+52,MaxRows+1)</f>
        <v>2</v>
      </c>
      <c r="F5" s="67">
        <f ca="1">E5-D5+1</f>
        <v>-105</v>
      </c>
      <c r="G5" s="67">
        <f ca="1">H5</f>
        <v>-97</v>
      </c>
      <c r="H5" s="67">
        <f ca="1">MIN(C5+D5-C4,E5-C4)</f>
        <v>-97</v>
      </c>
      <c r="I5" s="67">
        <f ca="1">G5</f>
        <v>-97</v>
      </c>
      <c r="K5" s="67">
        <v>2</v>
      </c>
      <c r="L5" s="67" t="str">
        <f ca="1">IFERROR(D6,"")</f>
        <v/>
      </c>
      <c r="M5" s="67">
        <f ca="1">IFERROR(H7+L5-1,0)</f>
        <v>0</v>
      </c>
      <c r="N5" s="5" t="str">
        <f ca="1">Sigma2</f>
        <v/>
      </c>
      <c r="O5" s="5" t="str">
        <f ca="1">Mean2</f>
        <v/>
      </c>
      <c r="P5" s="5" t="str">
        <f ca="1">PercLower2</f>
        <v/>
      </c>
      <c r="Q5" s="5" t="str">
        <f ca="1">PercUpper2</f>
        <v/>
      </c>
      <c r="R5" s="5" t="str">
        <f ca="1">Emergency2</f>
        <v/>
      </c>
      <c r="S5" s="5" t="str">
        <f ca="1">IF(M10&gt;=2,O5*H7,"")</f>
        <v/>
      </c>
      <c r="AG5" s="67" t="e">
        <f t="shared" ca="1" si="12"/>
        <v>#VALUE!</v>
      </c>
      <c r="AH5" s="67">
        <v>4</v>
      </c>
      <c r="AI5" s="67">
        <f t="shared" ca="1" si="4"/>
        <v>5</v>
      </c>
      <c r="AJ5" s="39">
        <f t="shared" ca="1" si="5"/>
        <v>0</v>
      </c>
      <c r="AK5" s="39">
        <f t="shared" ca="1" si="6"/>
        <v>0</v>
      </c>
      <c r="AL5" s="39">
        <f t="shared" ca="1" si="7"/>
        <v>0</v>
      </c>
      <c r="AM5" s="39">
        <f t="shared" ca="1" si="8"/>
        <v>0</v>
      </c>
      <c r="AN5" s="39">
        <f t="shared" ca="1" si="9"/>
        <v>0</v>
      </c>
      <c r="AO5" s="39">
        <f t="shared" ca="1" si="0"/>
        <v>0</v>
      </c>
      <c r="AP5" s="39">
        <f t="shared" ca="1" si="1"/>
        <v>0</v>
      </c>
      <c r="AQ5" s="39">
        <f t="shared" ca="1" si="2"/>
        <v>0</v>
      </c>
      <c r="AR5" s="5" t="str">
        <f t="shared" ca="1" si="10"/>
        <v/>
      </c>
      <c r="AS5" s="5" t="str">
        <f t="shared" ca="1" si="3"/>
        <v/>
      </c>
      <c r="AT5" s="5" t="str">
        <f t="shared" ca="1" si="11"/>
        <v/>
      </c>
    </row>
    <row r="6" spans="1:46" x14ac:dyDescent="0.2">
      <c r="B6" s="67" t="s">
        <v>120</v>
      </c>
      <c r="C6" s="35">
        <v>2</v>
      </c>
      <c r="D6" s="67" t="e">
        <f ca="1">IF(AND(G5&lt;=42,MaxRows-(G5+$C$4-1)&gt;10,SPC_Type="1+ Seasons"),C5+D5,NA())</f>
        <v>#N/A</v>
      </c>
      <c r="E6" s="67" t="e">
        <f ca="1">D6</f>
        <v>#N/A</v>
      </c>
      <c r="F6" s="67" t="e">
        <f ca="1">IF(ISNA(D6),NA(),1)</f>
        <v>#N/A</v>
      </c>
      <c r="K6" s="67">
        <v>3</v>
      </c>
      <c r="L6" s="67" t="str">
        <f ca="1">IFERROR(D8,"")</f>
        <v/>
      </c>
      <c r="M6" s="67">
        <f ca="1">IFERROR(H9+L6-1,0)</f>
        <v>0</v>
      </c>
      <c r="N6" s="67" t="str">
        <f ca="1">Sigma3</f>
        <v/>
      </c>
      <c r="O6" s="67" t="str">
        <f ca="1">Mean3</f>
        <v/>
      </c>
      <c r="P6" s="5" t="str">
        <f ca="1">PercLower3</f>
        <v/>
      </c>
      <c r="Q6" s="5" t="str">
        <f ca="1">PercUpper3</f>
        <v/>
      </c>
      <c r="R6" s="67" t="str">
        <f ca="1">Emergency3</f>
        <v/>
      </c>
      <c r="S6" s="5" t="str">
        <f ca="1">IF(M10&gt;=3,O6*H9,"")</f>
        <v/>
      </c>
      <c r="AG6" s="67" t="e">
        <f t="shared" ca="1" si="12"/>
        <v>#VALUE!</v>
      </c>
      <c r="AH6" s="67">
        <v>5</v>
      </c>
      <c r="AI6" s="67">
        <f t="shared" ca="1" si="4"/>
        <v>5</v>
      </c>
      <c r="AJ6" s="39">
        <f t="shared" ca="1" si="5"/>
        <v>0</v>
      </c>
      <c r="AK6" s="39">
        <f t="shared" ca="1" si="6"/>
        <v>0</v>
      </c>
      <c r="AL6" s="39">
        <f t="shared" ca="1" si="7"/>
        <v>0</v>
      </c>
      <c r="AM6" s="39">
        <f t="shared" ca="1" si="8"/>
        <v>0</v>
      </c>
      <c r="AN6" s="39">
        <f t="shared" ca="1" si="9"/>
        <v>0</v>
      </c>
      <c r="AO6" s="39">
        <f t="shared" ca="1" si="0"/>
        <v>0</v>
      </c>
      <c r="AP6" s="39">
        <f t="shared" ca="1" si="1"/>
        <v>0</v>
      </c>
      <c r="AQ6" s="39">
        <f t="shared" ca="1" si="2"/>
        <v>0</v>
      </c>
      <c r="AR6" s="5" t="str">
        <f t="shared" ca="1" si="10"/>
        <v/>
      </c>
      <c r="AS6" s="5" t="str">
        <f t="shared" ca="1" si="3"/>
        <v/>
      </c>
      <c r="AT6" s="5" t="str">
        <f t="shared" ca="1" si="11"/>
        <v/>
      </c>
    </row>
    <row r="7" spans="1:46" x14ac:dyDescent="0.2">
      <c r="B7" s="67" t="s">
        <v>121</v>
      </c>
      <c r="C7" s="67">
        <v>25</v>
      </c>
      <c r="D7" s="67" t="e">
        <f ca="1">IF(AND(C6=2,ISNA(D6)=FALSE),D6+9,NA())</f>
        <v>#N/A</v>
      </c>
      <c r="E7" s="67" t="e">
        <f ca="1">IF(ISNA(D7),NA(),MIN($C$4+52,MaxRows))</f>
        <v>#N/A</v>
      </c>
      <c r="F7" s="67" t="e">
        <f ca="1">IF(ISNA(D6),NA(),E7-D7+1)</f>
        <v>#N/A</v>
      </c>
      <c r="G7" s="67" t="e">
        <f ca="1">IFERROR(G5+H7,NA())</f>
        <v>#N/A</v>
      </c>
      <c r="H7" s="67" t="str">
        <f ca="1">IFERROR(MIN(MaxRows+1-G5-C4,D7+C7-D6,52-G5),"")</f>
        <v/>
      </c>
      <c r="I7" s="67">
        <f ca="1">IFERROR(G7,I5)</f>
        <v>-97</v>
      </c>
      <c r="K7" s="67">
        <v>4</v>
      </c>
      <c r="L7" s="67" t="str">
        <f ca="1">IFERROR(D10,"")</f>
        <v/>
      </c>
      <c r="M7" s="67">
        <f ca="1">IFERROR(H11+L7-1,0)</f>
        <v>0</v>
      </c>
      <c r="N7" s="67" t="str">
        <f ca="1">Sigma4</f>
        <v/>
      </c>
      <c r="O7" s="67" t="str">
        <f ca="1">Mean4</f>
        <v/>
      </c>
      <c r="P7" s="5" t="str">
        <f ca="1">PercLower4</f>
        <v/>
      </c>
      <c r="Q7" s="5" t="str">
        <f ca="1">PercUpper4</f>
        <v/>
      </c>
      <c r="R7" s="67" t="str">
        <f ca="1">Emergency4</f>
        <v/>
      </c>
      <c r="S7" s="5" t="str">
        <f ca="1">IF(M10&gt;=4,O7*H11,"")</f>
        <v/>
      </c>
      <c r="AG7" s="67" t="e">
        <f t="shared" ca="1" si="12"/>
        <v>#VALUE!</v>
      </c>
      <c r="AH7" s="67">
        <v>6</v>
      </c>
      <c r="AI7" s="67">
        <f t="shared" ca="1" si="4"/>
        <v>5</v>
      </c>
      <c r="AJ7" s="39">
        <f t="shared" ca="1" si="5"/>
        <v>0</v>
      </c>
      <c r="AK7" s="39">
        <f t="shared" ca="1" si="6"/>
        <v>0</v>
      </c>
      <c r="AL7" s="39">
        <f t="shared" ca="1" si="7"/>
        <v>0</v>
      </c>
      <c r="AM7" s="39">
        <f t="shared" ca="1" si="8"/>
        <v>0</v>
      </c>
      <c r="AN7" s="39">
        <f t="shared" ca="1" si="9"/>
        <v>0</v>
      </c>
      <c r="AO7" s="39">
        <f t="shared" ca="1" si="0"/>
        <v>0</v>
      </c>
      <c r="AP7" s="39">
        <f t="shared" ca="1" si="1"/>
        <v>0</v>
      </c>
      <c r="AQ7" s="39">
        <f t="shared" ca="1" si="2"/>
        <v>0</v>
      </c>
      <c r="AR7" s="5" t="str">
        <f t="shared" ca="1" si="10"/>
        <v/>
      </c>
      <c r="AS7" s="5" t="str">
        <f t="shared" ca="1" si="3"/>
        <v/>
      </c>
      <c r="AT7" s="5" t="str">
        <f t="shared" ca="1" si="11"/>
        <v/>
      </c>
    </row>
    <row r="8" spans="1:46" x14ac:dyDescent="0.2">
      <c r="B8" s="67" t="s">
        <v>122</v>
      </c>
      <c r="C8" s="35">
        <v>2</v>
      </c>
      <c r="D8" s="67" t="e">
        <f ca="1">IF(AND(G7&lt;=42,MaxRows-(G7+$C$4-1)&gt;10),C7+D7,NA())</f>
        <v>#N/A</v>
      </c>
      <c r="E8" s="67" t="e">
        <f ca="1">D8</f>
        <v>#N/A</v>
      </c>
      <c r="F8" s="67" t="e">
        <f ca="1">IF(ISNA(D8),NA(),1)</f>
        <v>#N/A</v>
      </c>
      <c r="K8" s="67">
        <v>5</v>
      </c>
      <c r="L8" s="67">
        <f ca="1">MATCH(5,$AI$2:$AI$54,0)</f>
        <v>1</v>
      </c>
      <c r="M8" s="67">
        <f ca="1">IF(L8&gt;0,52,0)</f>
        <v>52</v>
      </c>
      <c r="N8" s="70">
        <f ca="1">IF(L8&gt;0,INDIRECT("Sigma"&amp;$M$11),"")</f>
        <v>0</v>
      </c>
      <c r="O8" s="70">
        <f ca="1">IF(M8&gt;0,INDIRECT("Mean"&amp;$M$11),"")</f>
        <v>0</v>
      </c>
      <c r="P8" s="67" t="str">
        <f ca="1">IF(N8&gt;0,INDIRECT("PercLower"&amp;$M$11),"")</f>
        <v/>
      </c>
      <c r="Q8" s="67" t="str">
        <f ca="1">IF(O8&gt;0,INDIRECT("PercUpper"&amp;$M$11),"")</f>
        <v/>
      </c>
      <c r="R8" s="67" t="str">
        <f ca="1">IF(O8&gt;0,INDIRECT("Emergency"&amp;$M$11),"")</f>
        <v/>
      </c>
      <c r="S8" s="5"/>
      <c r="AG8" s="67" t="e">
        <f t="shared" ca="1" si="12"/>
        <v>#VALUE!</v>
      </c>
      <c r="AH8" s="67">
        <v>7</v>
      </c>
      <c r="AI8" s="67">
        <f t="shared" ca="1" si="4"/>
        <v>5</v>
      </c>
      <c r="AJ8" s="39">
        <f t="shared" ca="1" si="5"/>
        <v>0</v>
      </c>
      <c r="AK8" s="39">
        <f t="shared" ca="1" si="6"/>
        <v>0</v>
      </c>
      <c r="AL8" s="39">
        <f t="shared" ca="1" si="7"/>
        <v>0</v>
      </c>
      <c r="AM8" s="39">
        <f t="shared" ca="1" si="8"/>
        <v>0</v>
      </c>
      <c r="AN8" s="39">
        <f t="shared" ca="1" si="9"/>
        <v>0</v>
      </c>
      <c r="AO8" s="39">
        <f t="shared" ca="1" si="0"/>
        <v>0</v>
      </c>
      <c r="AP8" s="39">
        <f t="shared" ca="1" si="1"/>
        <v>0</v>
      </c>
      <c r="AQ8" s="39">
        <f t="shared" ca="1" si="2"/>
        <v>0</v>
      </c>
      <c r="AR8" s="5" t="str">
        <f t="shared" ca="1" si="10"/>
        <v/>
      </c>
      <c r="AS8" s="5" t="str">
        <f t="shared" ca="1" si="3"/>
        <v/>
      </c>
      <c r="AT8" s="5" t="str">
        <f t="shared" ca="1" si="11"/>
        <v/>
      </c>
    </row>
    <row r="9" spans="1:46" x14ac:dyDescent="0.2">
      <c r="B9" s="67" t="s">
        <v>123</v>
      </c>
      <c r="C9" s="67">
        <v>1</v>
      </c>
      <c r="D9" s="67" t="e">
        <f ca="1">IF(AND(C8=2,ISNA(D8)=FALSE),D8+9,NA())</f>
        <v>#N/A</v>
      </c>
      <c r="E9" s="67" t="e">
        <f ca="1">IF(ISNA(D9),NA(),MIN($C$4+52,MaxRows))</f>
        <v>#N/A</v>
      </c>
      <c r="F9" s="67" t="e">
        <f ca="1">IF(ISNA(D8),NA(),E9-D9+1)</f>
        <v>#N/A</v>
      </c>
      <c r="G9" s="67" t="e">
        <f ca="1">IFERROR(G7+H9,NA())</f>
        <v>#N/A</v>
      </c>
      <c r="H9" s="67" t="str">
        <f ca="1">IFERROR(MIN((MaxRows+1-G7-C4),(D9+C9-D8),52-G7),"")</f>
        <v/>
      </c>
      <c r="I9" s="67">
        <f ca="1">IFERROR(G9,I7)</f>
        <v>-97</v>
      </c>
      <c r="S9" s="5"/>
      <c r="AG9" s="67" t="e">
        <f t="shared" ca="1" si="12"/>
        <v>#VALUE!</v>
      </c>
      <c r="AH9" s="67">
        <v>8</v>
      </c>
      <c r="AI9" s="67">
        <f t="shared" ca="1" si="4"/>
        <v>5</v>
      </c>
      <c r="AJ9" s="39">
        <f t="shared" ca="1" si="5"/>
        <v>0</v>
      </c>
      <c r="AK9" s="39">
        <f t="shared" ca="1" si="6"/>
        <v>0</v>
      </c>
      <c r="AL9" s="39">
        <f t="shared" ca="1" si="7"/>
        <v>0</v>
      </c>
      <c r="AM9" s="39">
        <f t="shared" ca="1" si="8"/>
        <v>0</v>
      </c>
      <c r="AN9" s="39">
        <f t="shared" ca="1" si="9"/>
        <v>0</v>
      </c>
      <c r="AO9" s="39">
        <f t="shared" ca="1" si="0"/>
        <v>0</v>
      </c>
      <c r="AP9" s="39">
        <f t="shared" ca="1" si="1"/>
        <v>0</v>
      </c>
      <c r="AQ9" s="39">
        <f t="shared" ca="1" si="2"/>
        <v>0</v>
      </c>
      <c r="AR9" s="5" t="str">
        <f t="shared" ca="1" si="10"/>
        <v/>
      </c>
      <c r="AS9" s="5" t="str">
        <f t="shared" ca="1" si="3"/>
        <v/>
      </c>
      <c r="AT9" s="5" t="str">
        <f t="shared" ca="1" si="11"/>
        <v/>
      </c>
    </row>
    <row r="10" spans="1:46" x14ac:dyDescent="0.2">
      <c r="B10" s="67" t="s">
        <v>124</v>
      </c>
      <c r="C10" s="35">
        <v>2</v>
      </c>
      <c r="D10" s="67" t="e">
        <f ca="1">IF(AND(G9&lt;=42,MaxRows-(G9+$C$4-1)&gt;10),C9+D9,NA())</f>
        <v>#N/A</v>
      </c>
      <c r="E10" s="67" t="e">
        <f ca="1">D10</f>
        <v>#N/A</v>
      </c>
      <c r="F10" s="67" t="e">
        <f ca="1">IF(ISNA(D10),NA(),1)</f>
        <v>#N/A</v>
      </c>
      <c r="L10" s="67" t="s">
        <v>160</v>
      </c>
      <c r="M10" s="67">
        <f ca="1">4-COUNTIF(M4:M7,0)</f>
        <v>1</v>
      </c>
      <c r="S10" s="5">
        <f ca="1">SUM(S4:S7)</f>
        <v>0</v>
      </c>
      <c r="AG10" s="67" t="e">
        <f t="shared" ca="1" si="12"/>
        <v>#VALUE!</v>
      </c>
      <c r="AH10" s="67">
        <v>9</v>
      </c>
      <c r="AI10" s="67">
        <f t="shared" ca="1" si="4"/>
        <v>5</v>
      </c>
      <c r="AJ10" s="39">
        <f t="shared" ca="1" si="5"/>
        <v>0</v>
      </c>
      <c r="AK10" s="39">
        <f t="shared" ca="1" si="6"/>
        <v>0</v>
      </c>
      <c r="AL10" s="39">
        <f t="shared" ca="1" si="7"/>
        <v>0</v>
      </c>
      <c r="AM10" s="39">
        <f t="shared" ca="1" si="8"/>
        <v>0</v>
      </c>
      <c r="AN10" s="39">
        <f t="shared" ca="1" si="9"/>
        <v>0</v>
      </c>
      <c r="AO10" s="39">
        <f t="shared" ca="1" si="0"/>
        <v>0</v>
      </c>
      <c r="AP10" s="39">
        <f t="shared" ca="1" si="1"/>
        <v>0</v>
      </c>
      <c r="AQ10" s="39">
        <f t="shared" ca="1" si="2"/>
        <v>0</v>
      </c>
      <c r="AR10" s="5" t="str">
        <f t="shared" ca="1" si="10"/>
        <v/>
      </c>
      <c r="AS10" s="5" t="str">
        <f t="shared" ca="1" si="3"/>
        <v/>
      </c>
      <c r="AT10" s="5" t="str">
        <f t="shared" ca="1" si="11"/>
        <v/>
      </c>
    </row>
    <row r="11" spans="1:46" x14ac:dyDescent="0.2">
      <c r="B11" s="67" t="s">
        <v>125</v>
      </c>
      <c r="C11" s="67">
        <v>1</v>
      </c>
      <c r="D11" s="67" t="e">
        <f ca="1">IF(AND(C10=2,ISNA(D10)=FALSE),D10+9,NA())</f>
        <v>#N/A</v>
      </c>
      <c r="E11" s="67" t="e">
        <f ca="1">IF(ISNA(D11),NA(),MIN($C$4+52,MaxRows))</f>
        <v>#N/A</v>
      </c>
      <c r="F11" s="67" t="e">
        <f ca="1">IF(ISNA(D10),NA(),E11-D11+1)</f>
        <v>#N/A</v>
      </c>
      <c r="G11" s="67" t="e">
        <f ca="1">IFERROR(G9+H11,NA())</f>
        <v>#N/A</v>
      </c>
      <c r="H11" s="67" t="str">
        <f ca="1">IFERROR(MIN((MaxRows+1-G9-C4),(D11+C11-D10),52-G9),"")</f>
        <v/>
      </c>
      <c r="I11" s="67">
        <f ca="1">IFERROR(G11,I9)</f>
        <v>-97</v>
      </c>
      <c r="M11" s="67">
        <f>IF(SPC_Type="1 Season",1,IF(AND(M10=1,I11&lt;52),1,IF('SPC Chart'!C19="",1,'SPC Chart'!C19)))</f>
        <v>1</v>
      </c>
      <c r="S11" s="5">
        <f ca="1">S10/I11</f>
        <v>0</v>
      </c>
      <c r="AG11" s="67" t="e">
        <f t="shared" ca="1" si="12"/>
        <v>#VALUE!</v>
      </c>
      <c r="AH11" s="67">
        <v>10</v>
      </c>
      <c r="AI11" s="67">
        <f t="shared" ca="1" si="4"/>
        <v>5</v>
      </c>
      <c r="AJ11" s="39">
        <f t="shared" ca="1" si="5"/>
        <v>0</v>
      </c>
      <c r="AK11" s="39">
        <f t="shared" ca="1" si="6"/>
        <v>0</v>
      </c>
      <c r="AL11" s="39">
        <f t="shared" ca="1" si="7"/>
        <v>0</v>
      </c>
      <c r="AM11" s="39">
        <f t="shared" ca="1" si="8"/>
        <v>0</v>
      </c>
      <c r="AN11" s="39">
        <f t="shared" ca="1" si="9"/>
        <v>0</v>
      </c>
      <c r="AO11" s="39">
        <f t="shared" ca="1" si="0"/>
        <v>0</v>
      </c>
      <c r="AP11" s="39">
        <f t="shared" ca="1" si="1"/>
        <v>0</v>
      </c>
      <c r="AQ11" s="39">
        <f t="shared" ca="1" si="2"/>
        <v>0</v>
      </c>
      <c r="AR11" s="5" t="str">
        <f t="shared" ca="1" si="10"/>
        <v/>
      </c>
      <c r="AS11" s="5" t="str">
        <f t="shared" ca="1" si="3"/>
        <v/>
      </c>
      <c r="AT11" s="5" t="str">
        <f t="shared" ca="1" si="11"/>
        <v/>
      </c>
    </row>
    <row r="12" spans="1:46" x14ac:dyDescent="0.2">
      <c r="S12" s="5"/>
      <c r="AG12" s="67" t="e">
        <f t="shared" ca="1" si="12"/>
        <v>#VALUE!</v>
      </c>
      <c r="AH12" s="67">
        <v>11</v>
      </c>
      <c r="AI12" s="67">
        <f t="shared" ca="1" si="4"/>
        <v>5</v>
      </c>
      <c r="AJ12" s="39">
        <f t="shared" ca="1" si="5"/>
        <v>0</v>
      </c>
      <c r="AK12" s="39">
        <f t="shared" ca="1" si="6"/>
        <v>0</v>
      </c>
      <c r="AL12" s="39">
        <f t="shared" ca="1" si="7"/>
        <v>0</v>
      </c>
      <c r="AM12" s="39">
        <f t="shared" ca="1" si="8"/>
        <v>0</v>
      </c>
      <c r="AN12" s="39">
        <f t="shared" ca="1" si="9"/>
        <v>0</v>
      </c>
      <c r="AO12" s="39">
        <f t="shared" ca="1" si="0"/>
        <v>0</v>
      </c>
      <c r="AP12" s="39">
        <f t="shared" ca="1" si="1"/>
        <v>0</v>
      </c>
      <c r="AQ12" s="39">
        <f t="shared" ca="1" si="2"/>
        <v>0</v>
      </c>
      <c r="AR12" s="5" t="str">
        <f t="shared" ca="1" si="10"/>
        <v/>
      </c>
      <c r="AS12" s="5" t="str">
        <f t="shared" ca="1" si="3"/>
        <v/>
      </c>
      <c r="AT12" s="5" t="str">
        <f t="shared" ca="1" si="11"/>
        <v/>
      </c>
    </row>
    <row r="13" spans="1:46" x14ac:dyDescent="0.2">
      <c r="Q13" s="67" t="s">
        <v>161</v>
      </c>
      <c r="AG13" s="67" t="e">
        <f t="shared" ca="1" si="12"/>
        <v>#VALUE!</v>
      </c>
      <c r="AH13" s="67">
        <v>12</v>
      </c>
      <c r="AI13" s="67">
        <f t="shared" ca="1" si="4"/>
        <v>5</v>
      </c>
      <c r="AJ13" s="39">
        <f t="shared" ca="1" si="5"/>
        <v>0</v>
      </c>
      <c r="AK13" s="39">
        <f t="shared" ca="1" si="6"/>
        <v>0</v>
      </c>
      <c r="AL13" s="39">
        <f t="shared" ca="1" si="7"/>
        <v>0</v>
      </c>
      <c r="AM13" s="39">
        <f t="shared" ca="1" si="8"/>
        <v>0</v>
      </c>
      <c r="AN13" s="39">
        <f t="shared" ca="1" si="9"/>
        <v>0</v>
      </c>
      <c r="AO13" s="39">
        <f t="shared" ca="1" si="0"/>
        <v>0</v>
      </c>
      <c r="AP13" s="39">
        <f t="shared" ca="1" si="1"/>
        <v>0</v>
      </c>
      <c r="AQ13" s="39">
        <f t="shared" ca="1" si="2"/>
        <v>0</v>
      </c>
      <c r="AR13" s="5" t="str">
        <f t="shared" ca="1" si="10"/>
        <v/>
      </c>
      <c r="AS13" s="5" t="str">
        <f t="shared" ca="1" si="3"/>
        <v/>
      </c>
      <c r="AT13" s="5" t="str">
        <f t="shared" ca="1" si="11"/>
        <v/>
      </c>
    </row>
    <row r="14" spans="1:46" x14ac:dyDescent="0.2">
      <c r="Q14" s="67" t="s">
        <v>171</v>
      </c>
      <c r="R14" s="67" t="s">
        <v>172</v>
      </c>
      <c r="T14" s="67" t="s">
        <v>173</v>
      </c>
      <c r="V14" s="67" t="s">
        <v>180</v>
      </c>
      <c r="X14" s="67" t="s">
        <v>179</v>
      </c>
      <c r="Z14" s="67" t="s">
        <v>174</v>
      </c>
      <c r="AC14" s="67" t="s">
        <v>162</v>
      </c>
      <c r="AG14" s="67" t="e">
        <f t="shared" ca="1" si="12"/>
        <v>#VALUE!</v>
      </c>
      <c r="AH14" s="67">
        <v>13</v>
      </c>
      <c r="AI14" s="67">
        <f t="shared" ca="1" si="4"/>
        <v>5</v>
      </c>
      <c r="AJ14" s="39">
        <f t="shared" ca="1" si="5"/>
        <v>0</v>
      </c>
      <c r="AK14" s="39">
        <f t="shared" ca="1" si="6"/>
        <v>0</v>
      </c>
      <c r="AL14" s="39">
        <f t="shared" ca="1" si="7"/>
        <v>0</v>
      </c>
      <c r="AM14" s="39">
        <f t="shared" ca="1" si="8"/>
        <v>0</v>
      </c>
      <c r="AN14" s="39">
        <f t="shared" ca="1" si="9"/>
        <v>0</v>
      </c>
      <c r="AO14" s="39">
        <f t="shared" ca="1" si="0"/>
        <v>0</v>
      </c>
      <c r="AP14" s="39">
        <f t="shared" ca="1" si="1"/>
        <v>0</v>
      </c>
      <c r="AQ14" s="39">
        <f t="shared" ca="1" si="2"/>
        <v>0</v>
      </c>
      <c r="AR14" s="5" t="str">
        <f t="shared" ca="1" si="10"/>
        <v/>
      </c>
      <c r="AS14" s="5" t="str">
        <f t="shared" ca="1" si="3"/>
        <v/>
      </c>
      <c r="AT14" s="5" t="str">
        <f t="shared" ca="1" si="11"/>
        <v/>
      </c>
    </row>
    <row r="15" spans="1:46" x14ac:dyDescent="0.2">
      <c r="A15" s="67" t="s">
        <v>56</v>
      </c>
      <c r="B15" s="67" t="s">
        <v>150</v>
      </c>
      <c r="C15" s="67" t="s">
        <v>113</v>
      </c>
      <c r="D15" s="67" t="s">
        <v>52</v>
      </c>
      <c r="E15" s="67" t="s">
        <v>115</v>
      </c>
      <c r="F15" s="67" t="s">
        <v>116</v>
      </c>
      <c r="G15" s="67" t="s">
        <v>117</v>
      </c>
      <c r="H15" s="67" t="s">
        <v>139</v>
      </c>
      <c r="I15" s="67" t="s">
        <v>151</v>
      </c>
      <c r="J15" s="67" t="s">
        <v>140</v>
      </c>
      <c r="K15" s="67" t="s">
        <v>141</v>
      </c>
      <c r="L15" s="67" t="s">
        <v>142</v>
      </c>
      <c r="M15" s="67" t="s">
        <v>143</v>
      </c>
      <c r="N15" s="67" t="s">
        <v>144</v>
      </c>
      <c r="O15" s="67" t="s">
        <v>145</v>
      </c>
      <c r="P15" s="67" t="s">
        <v>146</v>
      </c>
      <c r="Q15" s="67">
        <v>1</v>
      </c>
      <c r="R15" s="67" t="s">
        <v>168</v>
      </c>
      <c r="S15" s="67">
        <v>2</v>
      </c>
      <c r="T15" s="67" t="s">
        <v>183</v>
      </c>
      <c r="U15" s="67" t="s">
        <v>182</v>
      </c>
      <c r="V15" s="67" t="s">
        <v>169</v>
      </c>
      <c r="W15" s="67">
        <v>4</v>
      </c>
      <c r="X15" s="67" t="s">
        <v>170</v>
      </c>
      <c r="Y15" s="67">
        <v>3</v>
      </c>
      <c r="Z15" s="67" t="s">
        <v>182</v>
      </c>
      <c r="AA15" s="67" t="s">
        <v>287</v>
      </c>
      <c r="AC15" s="67" t="s">
        <v>165</v>
      </c>
      <c r="AD15" s="67" t="s">
        <v>166</v>
      </c>
      <c r="AG15" s="67" t="e">
        <f t="shared" ca="1" si="12"/>
        <v>#VALUE!</v>
      </c>
      <c r="AH15" s="67">
        <v>14</v>
      </c>
      <c r="AI15" s="67">
        <f t="shared" ca="1" si="4"/>
        <v>5</v>
      </c>
      <c r="AJ15" s="39">
        <f t="shared" ca="1" si="5"/>
        <v>0</v>
      </c>
      <c r="AK15" s="39">
        <f t="shared" ca="1" si="6"/>
        <v>0</v>
      </c>
      <c r="AL15" s="39">
        <f t="shared" ca="1" si="7"/>
        <v>0</v>
      </c>
      <c r="AM15" s="39">
        <f t="shared" ca="1" si="8"/>
        <v>0</v>
      </c>
      <c r="AN15" s="39">
        <f t="shared" ca="1" si="9"/>
        <v>0</v>
      </c>
      <c r="AO15" s="39">
        <f t="shared" ca="1" si="0"/>
        <v>0</v>
      </c>
      <c r="AP15" s="39">
        <f t="shared" ca="1" si="1"/>
        <v>0</v>
      </c>
      <c r="AQ15" s="39">
        <f t="shared" ca="1" si="2"/>
        <v>0</v>
      </c>
      <c r="AR15" s="5" t="str">
        <f t="shared" ca="1" si="10"/>
        <v/>
      </c>
      <c r="AS15" s="5" t="str">
        <f t="shared" ca="1" si="3"/>
        <v/>
      </c>
      <c r="AT15" s="5" t="str">
        <f t="shared" ca="1" si="11"/>
        <v/>
      </c>
    </row>
    <row r="16" spans="1:46" x14ac:dyDescent="0.2">
      <c r="A16" s="67">
        <f>Demand!C13</f>
        <v>1</v>
      </c>
      <c r="B16" s="67">
        <v>1</v>
      </c>
      <c r="C16" s="5">
        <f ca="1">'Demand background (hide)'!Y4</f>
        <v>0</v>
      </c>
      <c r="D16" s="67">
        <f>IF(AND($B16&gt;=$C$4,$B16&lt;=$D$5+$C$5-1),1,0)</f>
        <v>0</v>
      </c>
      <c r="E16" s="67" t="e">
        <f ca="1">IF(AND($B16&gt;=$D$6,$B16&lt;=$D$7+$C$7-1),1,0)</f>
        <v>#N/A</v>
      </c>
      <c r="F16" s="67" t="e">
        <f ca="1">IF(AND($B16&gt;=$D$8,$B16&lt;=$D$9+$C$9-1),1,0)</f>
        <v>#N/A</v>
      </c>
      <c r="G16" s="67" t="e">
        <f ca="1">IF(AND($B16&gt;=$D$10,$B16&lt;=$D$11+$C$11-1),1,0)</f>
        <v>#N/A</v>
      </c>
      <c r="H16" s="67" t="e">
        <f>IF('Demand background (hide)'!AN4&lt;&gt;"",'SPC background (hide)'!C16,NA())</f>
        <v>#N/A</v>
      </c>
      <c r="I16" s="67" t="e">
        <f ca="1">VLOOKUP(A16,$AG$2:$AI$54,3,0)</f>
        <v>#N/A</v>
      </c>
      <c r="J16" s="5" t="e">
        <f t="shared" ref="J16:P16" ca="1" si="13">VLOOKUP($A16,$AG$2:$AQ$54,COLUMN(E$1),0)</f>
        <v>#N/A</v>
      </c>
      <c r="K16" s="5" t="e">
        <f t="shared" ca="1" si="13"/>
        <v>#N/A</v>
      </c>
      <c r="L16" s="5" t="e">
        <f t="shared" ca="1" si="13"/>
        <v>#N/A</v>
      </c>
      <c r="M16" s="5" t="e">
        <f t="shared" ca="1" si="13"/>
        <v>#N/A</v>
      </c>
      <c r="N16" s="5" t="e">
        <f t="shared" ca="1" si="13"/>
        <v>#N/A</v>
      </c>
      <c r="O16" s="5" t="e">
        <f t="shared" ca="1" si="13"/>
        <v>#N/A</v>
      </c>
      <c r="P16" s="5" t="e">
        <f t="shared" ca="1" si="13"/>
        <v>#N/A</v>
      </c>
      <c r="Q16" s="5" t="e">
        <f ca="1">IF(ISNA(H16)=TRUE,IF(OR(C16&gt;P16,C16&lt;J16),C16,NA()),NA())</f>
        <v>#N/A</v>
      </c>
      <c r="V16" s="5" t="e">
        <f t="shared" ref="V16:V79" ca="1" si="14">IF(C16&lt;M16,-1,IF(C16&gt;M16,1,0))</f>
        <v>#N/A</v>
      </c>
      <c r="W16" s="5" t="e">
        <f ca="1">IF(ISNA(H16)=TRUE,IF(ABS(SUM(V16:V24))=9,C16,NA()),NA())</f>
        <v>#N/A</v>
      </c>
      <c r="AA16" s="5" t="str">
        <f>IF(Setup!$I$15="Yes",'Demand background (hide)'!AJ4+'SPC background (hide)'!C16,"")</f>
        <v/>
      </c>
      <c r="AC16" s="5" t="e">
        <f ca="1">VLOOKUP($A16,$AG$2:$AS$54,12,0)</f>
        <v>#N/A</v>
      </c>
      <c r="AD16" s="5" t="e">
        <f ca="1">VLOOKUP($A16,$AG$2:$AS$54,13,0)</f>
        <v>#N/A</v>
      </c>
      <c r="AG16" s="67" t="e">
        <f t="shared" ca="1" si="12"/>
        <v>#VALUE!</v>
      </c>
      <c r="AH16" s="67">
        <v>15</v>
      </c>
      <c r="AI16" s="67">
        <f t="shared" ca="1" si="4"/>
        <v>5</v>
      </c>
      <c r="AJ16" s="39">
        <f t="shared" ca="1" si="5"/>
        <v>0</v>
      </c>
      <c r="AK16" s="39">
        <f t="shared" ca="1" si="6"/>
        <v>0</v>
      </c>
      <c r="AL16" s="39">
        <f t="shared" ca="1" si="7"/>
        <v>0</v>
      </c>
      <c r="AM16" s="39">
        <f t="shared" ca="1" si="8"/>
        <v>0</v>
      </c>
      <c r="AN16" s="39">
        <f t="shared" ca="1" si="9"/>
        <v>0</v>
      </c>
      <c r="AO16" s="39">
        <f t="shared" ca="1" si="0"/>
        <v>0</v>
      </c>
      <c r="AP16" s="39">
        <f t="shared" ca="1" si="1"/>
        <v>0</v>
      </c>
      <c r="AQ16" s="39">
        <f t="shared" ca="1" si="2"/>
        <v>0</v>
      </c>
      <c r="AR16" s="5" t="str">
        <f t="shared" ca="1" si="10"/>
        <v/>
      </c>
      <c r="AS16" s="5" t="str">
        <f t="shared" ca="1" si="3"/>
        <v/>
      </c>
      <c r="AT16" s="5" t="str">
        <f t="shared" ca="1" si="11"/>
        <v/>
      </c>
    </row>
    <row r="17" spans="1:46" x14ac:dyDescent="0.2">
      <c r="A17" s="67" t="str">
        <f ca="1">Demand!C14</f>
        <v/>
      </c>
      <c r="B17" s="67">
        <v>2</v>
      </c>
      <c r="C17" s="5">
        <f ca="1">'Demand background (hide)'!Y5</f>
        <v>0</v>
      </c>
      <c r="D17" s="67">
        <f t="shared" ref="D17:D80" si="15">IF(AND($B17&gt;=$C$4,$B17&lt;=$D$5+$C$5-1),1,0)</f>
        <v>0</v>
      </c>
      <c r="E17" s="67" t="e">
        <f t="shared" ref="E17:E80" ca="1" si="16">IF(AND($B17&gt;=$D$6,$B17&lt;=$D$7+$C$7-1),1,0)</f>
        <v>#N/A</v>
      </c>
      <c r="F17" s="67" t="e">
        <f t="shared" ref="F17:F80" ca="1" si="17">IF(AND($B17&gt;=$D$8,$B17&lt;=$D$9+$C$9-1),1,0)</f>
        <v>#N/A</v>
      </c>
      <c r="G17" s="67" t="e">
        <f t="shared" ref="G17:G80" ca="1" si="18">IF(AND($B17&gt;=$D$10,$B17&lt;=$D$11+$C$11-1),1,0)</f>
        <v>#N/A</v>
      </c>
      <c r="H17" s="67" t="e">
        <f>IF('Demand background (hide)'!AN5&lt;&gt;"",'SPC background (hide)'!C17,NA())</f>
        <v>#N/A</v>
      </c>
      <c r="I17" s="67">
        <f t="shared" ref="I17:I80" ca="1" si="19">VLOOKUP(A17,$AG$2:$AI$54,3,0)</f>
        <v>5</v>
      </c>
      <c r="J17" s="5">
        <f t="shared" ref="J17:J80" ca="1" si="20">VLOOKUP($A17,$AG$2:$AQ$54,COLUMN(E$1),0)</f>
        <v>0</v>
      </c>
      <c r="K17" s="5">
        <f t="shared" ref="K17:K80" ca="1" si="21">VLOOKUP($A17,$AG$2:$AQ$54,COLUMN(F$1),0)</f>
        <v>0</v>
      </c>
      <c r="L17" s="5">
        <f t="shared" ref="L17:L80" ca="1" si="22">VLOOKUP($A17,$AG$2:$AQ$54,COLUMN(G$1),0)</f>
        <v>0</v>
      </c>
      <c r="M17" s="5">
        <f t="shared" ref="M17:M80" ca="1" si="23">VLOOKUP($A17,$AG$2:$AQ$54,COLUMN(H$1),0)</f>
        <v>0</v>
      </c>
      <c r="N17" s="5">
        <f t="shared" ref="N17:N80" ca="1" si="24">VLOOKUP($A17,$AG$2:$AQ$54,COLUMN(I$1),0)</f>
        <v>0</v>
      </c>
      <c r="O17" s="5">
        <f t="shared" ref="O17:O80" ca="1" si="25">VLOOKUP($A17,$AG$2:$AQ$54,COLUMN(J$1),0)</f>
        <v>0</v>
      </c>
      <c r="P17" s="5">
        <f t="shared" ref="P17:P80" ca="1" si="26">VLOOKUP($A17,$AG$2:$AQ$54,COLUMN(K$1),0)</f>
        <v>0</v>
      </c>
      <c r="Q17" s="5" t="e">
        <f t="shared" ref="Q17:Q80" ca="1" si="27">IF(ISNA(H17)=TRUE,IF(OR(C17&gt;P17,C17&lt;J17),C17,NA()),NA())</f>
        <v>#N/A</v>
      </c>
      <c r="R17" s="5">
        <f ca="1">IF(C17&gt;O17,2,IF(C17&lt;K17,-2,IF(C17&gt;M17,1,IF(C17&lt;M17,-1,0))))</f>
        <v>0</v>
      </c>
      <c r="S17" s="67" t="e">
        <f ca="1">IF(ISNA(H17),IF(ABS(SUM(R17:R19))&gt;=5,C17,NA()),NA())</f>
        <v>#N/A</v>
      </c>
      <c r="T17" s="67">
        <f ca="1">IF(C17&gt;N17,2,IF(C17&lt;L17,-2,IF(C17&gt;M17,1,IF(C17&lt;M17,-1,0))))</f>
        <v>0</v>
      </c>
      <c r="U17" s="67" t="e">
        <f ca="1">IF(ISNA(H17)=TRUE,IF(ABS(SUM(T17:T21))&gt;=9,C17,NA()),NA())</f>
        <v>#N/A</v>
      </c>
      <c r="V17" s="5">
        <f t="shared" ca="1" si="14"/>
        <v>0</v>
      </c>
      <c r="W17" s="5" t="e">
        <f t="shared" ref="W17:W80" ca="1" si="28">IF(ISNA(H17)=TRUE,IF(ABS(SUM(V17:V25))=9,C17,NA()),NA())</f>
        <v>#N/A</v>
      </c>
      <c r="X17" s="67">
        <f t="shared" ref="X17:X80" ca="1" si="29">IF(C17&gt;C16,1,IF(C17&lt;C16,-1,0))</f>
        <v>0</v>
      </c>
      <c r="Y17" s="67" t="e">
        <f ca="1">IF(ISNA(H17)=TRUE,IF(ABS(SUM(X17:X22))=6,C17,NA()),NA())</f>
        <v>#N/A</v>
      </c>
      <c r="Z17" s="67" t="e">
        <f ca="1">IF(ISNA(H17)=TRUE,IF(AND(ABS(SUM(T17:T24))=8,SUM(T17:T24)&lt;ABS(SUM(T17:T24))),C17,NA()),NA())</f>
        <v>#N/A</v>
      </c>
      <c r="AA17" s="5" t="str">
        <f>IF(Setup!$I$15="Yes",'Demand background (hide)'!AJ5+'SPC background (hide)'!C17,"")</f>
        <v/>
      </c>
      <c r="AC17" s="5" t="str">
        <f t="shared" ref="AC17:AC80" ca="1" si="30">VLOOKUP($A17,$AG$2:$AS$54,12,0)</f>
        <v/>
      </c>
      <c r="AD17" s="5" t="str">
        <f t="shared" ref="AD17:AD80" ca="1" si="31">VLOOKUP($A17,$AG$2:$AS$54,13,0)</f>
        <v/>
      </c>
      <c r="AG17" s="67" t="e">
        <f t="shared" ca="1" si="12"/>
        <v>#VALUE!</v>
      </c>
      <c r="AH17" s="67">
        <v>16</v>
      </c>
      <c r="AI17" s="67">
        <f t="shared" ca="1" si="4"/>
        <v>5</v>
      </c>
      <c r="AJ17" s="39">
        <f t="shared" ca="1" si="5"/>
        <v>0</v>
      </c>
      <c r="AK17" s="39">
        <f t="shared" ca="1" si="6"/>
        <v>0</v>
      </c>
      <c r="AL17" s="39">
        <f t="shared" ca="1" si="7"/>
        <v>0</v>
      </c>
      <c r="AM17" s="39">
        <f t="shared" ca="1" si="8"/>
        <v>0</v>
      </c>
      <c r="AN17" s="39">
        <f t="shared" ca="1" si="9"/>
        <v>0</v>
      </c>
      <c r="AO17" s="39">
        <f t="shared" ca="1" si="0"/>
        <v>0</v>
      </c>
      <c r="AP17" s="39">
        <f t="shared" ca="1" si="1"/>
        <v>0</v>
      </c>
      <c r="AQ17" s="39">
        <f t="shared" ca="1" si="2"/>
        <v>0</v>
      </c>
      <c r="AR17" s="5" t="str">
        <f t="shared" ca="1" si="10"/>
        <v/>
      </c>
      <c r="AS17" s="5" t="str">
        <f t="shared" ca="1" si="3"/>
        <v/>
      </c>
      <c r="AT17" s="5" t="str">
        <f t="shared" ca="1" si="11"/>
        <v/>
      </c>
    </row>
    <row r="18" spans="1:46" x14ac:dyDescent="0.2">
      <c r="A18" s="67" t="str">
        <f ca="1">Demand!C15</f>
        <v/>
      </c>
      <c r="B18" s="67">
        <v>3</v>
      </c>
      <c r="C18" s="5">
        <f ca="1">'Demand background (hide)'!Y6</f>
        <v>0</v>
      </c>
      <c r="D18" s="67">
        <f t="shared" si="15"/>
        <v>0</v>
      </c>
      <c r="E18" s="67" t="e">
        <f t="shared" ca="1" si="16"/>
        <v>#N/A</v>
      </c>
      <c r="F18" s="67" t="e">
        <f t="shared" ca="1" si="17"/>
        <v>#N/A</v>
      </c>
      <c r="G18" s="67" t="e">
        <f t="shared" ca="1" si="18"/>
        <v>#N/A</v>
      </c>
      <c r="H18" s="67" t="e">
        <f>IF('Demand background (hide)'!AN6&lt;&gt;"",'SPC background (hide)'!C18,NA())</f>
        <v>#N/A</v>
      </c>
      <c r="I18" s="67">
        <f t="shared" ca="1" si="19"/>
        <v>5</v>
      </c>
      <c r="J18" s="5">
        <f t="shared" ca="1" si="20"/>
        <v>0</v>
      </c>
      <c r="K18" s="5">
        <f t="shared" ca="1" si="21"/>
        <v>0</v>
      </c>
      <c r="L18" s="5">
        <f t="shared" ca="1" si="22"/>
        <v>0</v>
      </c>
      <c r="M18" s="5">
        <f t="shared" ca="1" si="23"/>
        <v>0</v>
      </c>
      <c r="N18" s="5">
        <f t="shared" ca="1" si="24"/>
        <v>0</v>
      </c>
      <c r="O18" s="5">
        <f t="shared" ca="1" si="25"/>
        <v>0</v>
      </c>
      <c r="P18" s="5">
        <f t="shared" ca="1" si="26"/>
        <v>0</v>
      </c>
      <c r="Q18" s="5" t="e">
        <f t="shared" ca="1" si="27"/>
        <v>#N/A</v>
      </c>
      <c r="R18" s="5">
        <f t="shared" ref="R18:R81" ca="1" si="32">IF(C18&gt;O18,2,IF(C18&lt;K18,-2,IF(C18&gt;M18,1,IF(C18&lt;M18,-1,0))))</f>
        <v>0</v>
      </c>
      <c r="S18" s="67" t="e">
        <f t="shared" ref="S18:S81" ca="1" si="33">IF(ISNA(H18),IF(ABS(SUM(R18:R20))&gt;=5,C18,NA()),NA())</f>
        <v>#N/A</v>
      </c>
      <c r="T18" s="67">
        <f t="shared" ref="T18:T81" ca="1" si="34">IF(C18&gt;N18,2,IF(C18&lt;L18,-2,IF(C18&gt;M18,1,IF(C18&lt;M18,-1,0))))</f>
        <v>0</v>
      </c>
      <c r="U18" s="67" t="e">
        <f t="shared" ref="U18:U81" ca="1" si="35">IF(ISNA(H18)=TRUE,IF(ABS(SUM(T18:T22))&gt;=9,C18,NA()),NA())</f>
        <v>#N/A</v>
      </c>
      <c r="V18" s="5">
        <f t="shared" ca="1" si="14"/>
        <v>0</v>
      </c>
      <c r="W18" s="5" t="e">
        <f t="shared" ca="1" si="28"/>
        <v>#N/A</v>
      </c>
      <c r="X18" s="67">
        <f t="shared" ca="1" si="29"/>
        <v>0</v>
      </c>
      <c r="Y18" s="67" t="e">
        <f t="shared" ref="Y18:Y81" ca="1" si="36">IF(ISNA(H18)=TRUE,IF(ABS(SUM(X18:X23))=6,C18,NA()),NA())</f>
        <v>#N/A</v>
      </c>
      <c r="Z18" s="67" t="e">
        <f t="shared" ref="Z18:Z81" ca="1" si="37">IF(ISNA(H18)=TRUE,IF(AND(ABS(SUM(T18:T25))=8,SUM(T18:T25)&lt;ABS(SUM(T18:T25))),C18,NA()),NA())</f>
        <v>#N/A</v>
      </c>
      <c r="AA18" s="5" t="str">
        <f>IF(Setup!$I$15="Yes",'Demand background (hide)'!AJ6+'SPC background (hide)'!C18,"")</f>
        <v/>
      </c>
      <c r="AC18" s="5" t="str">
        <f t="shared" ca="1" si="30"/>
        <v/>
      </c>
      <c r="AD18" s="5" t="str">
        <f t="shared" ca="1" si="31"/>
        <v/>
      </c>
      <c r="AG18" s="67" t="e">
        <f t="shared" ca="1" si="12"/>
        <v>#VALUE!</v>
      </c>
      <c r="AH18" s="67">
        <v>17</v>
      </c>
      <c r="AI18" s="67">
        <f t="shared" ca="1" si="4"/>
        <v>5</v>
      </c>
      <c r="AJ18" s="39">
        <f t="shared" ca="1" si="5"/>
        <v>0</v>
      </c>
      <c r="AK18" s="39">
        <f t="shared" ca="1" si="6"/>
        <v>0</v>
      </c>
      <c r="AL18" s="39">
        <f t="shared" ca="1" si="7"/>
        <v>0</v>
      </c>
      <c r="AM18" s="39">
        <f t="shared" ca="1" si="8"/>
        <v>0</v>
      </c>
      <c r="AN18" s="39">
        <f t="shared" ca="1" si="9"/>
        <v>0</v>
      </c>
      <c r="AO18" s="39">
        <f t="shared" ca="1" si="0"/>
        <v>0</v>
      </c>
      <c r="AP18" s="39">
        <f t="shared" ca="1" si="1"/>
        <v>0</v>
      </c>
      <c r="AQ18" s="39">
        <f t="shared" ca="1" si="2"/>
        <v>0</v>
      </c>
      <c r="AR18" s="5" t="str">
        <f t="shared" ca="1" si="10"/>
        <v/>
      </c>
      <c r="AS18" s="5" t="str">
        <f t="shared" ca="1" si="3"/>
        <v/>
      </c>
      <c r="AT18" s="5" t="str">
        <f t="shared" ca="1" si="11"/>
        <v/>
      </c>
    </row>
    <row r="19" spans="1:46" x14ac:dyDescent="0.2">
      <c r="A19" s="67" t="str">
        <f ca="1">Demand!C16</f>
        <v/>
      </c>
      <c r="B19" s="67">
        <v>4</v>
      </c>
      <c r="C19" s="5">
        <f ca="1">'Demand background (hide)'!Y7</f>
        <v>0</v>
      </c>
      <c r="D19" s="67">
        <f t="shared" si="15"/>
        <v>0</v>
      </c>
      <c r="E19" s="67" t="e">
        <f t="shared" ca="1" si="16"/>
        <v>#N/A</v>
      </c>
      <c r="F19" s="67" t="e">
        <f t="shared" ca="1" si="17"/>
        <v>#N/A</v>
      </c>
      <c r="G19" s="67" t="e">
        <f t="shared" ca="1" si="18"/>
        <v>#N/A</v>
      </c>
      <c r="H19" s="67" t="e">
        <f>IF('Demand background (hide)'!AN7&lt;&gt;"",'SPC background (hide)'!C19,NA())</f>
        <v>#N/A</v>
      </c>
      <c r="I19" s="67">
        <f t="shared" ca="1" si="19"/>
        <v>5</v>
      </c>
      <c r="J19" s="5">
        <f t="shared" ca="1" si="20"/>
        <v>0</v>
      </c>
      <c r="K19" s="5">
        <f t="shared" ca="1" si="21"/>
        <v>0</v>
      </c>
      <c r="L19" s="5">
        <f t="shared" ca="1" si="22"/>
        <v>0</v>
      </c>
      <c r="M19" s="5">
        <f t="shared" ca="1" si="23"/>
        <v>0</v>
      </c>
      <c r="N19" s="5">
        <f t="shared" ca="1" si="24"/>
        <v>0</v>
      </c>
      <c r="O19" s="5">
        <f t="shared" ca="1" si="25"/>
        <v>0</v>
      </c>
      <c r="P19" s="5">
        <f t="shared" ca="1" si="26"/>
        <v>0</v>
      </c>
      <c r="Q19" s="5" t="e">
        <f t="shared" ca="1" si="27"/>
        <v>#N/A</v>
      </c>
      <c r="R19" s="5">
        <f t="shared" ca="1" si="32"/>
        <v>0</v>
      </c>
      <c r="S19" s="67" t="e">
        <f t="shared" ca="1" si="33"/>
        <v>#N/A</v>
      </c>
      <c r="T19" s="67">
        <f t="shared" ca="1" si="34"/>
        <v>0</v>
      </c>
      <c r="U19" s="67" t="e">
        <f t="shared" ca="1" si="35"/>
        <v>#N/A</v>
      </c>
      <c r="V19" s="5">
        <f t="shared" ca="1" si="14"/>
        <v>0</v>
      </c>
      <c r="W19" s="5" t="e">
        <f t="shared" ca="1" si="28"/>
        <v>#N/A</v>
      </c>
      <c r="X19" s="67">
        <f t="shared" ca="1" si="29"/>
        <v>0</v>
      </c>
      <c r="Y19" s="67" t="e">
        <f t="shared" ca="1" si="36"/>
        <v>#N/A</v>
      </c>
      <c r="Z19" s="67" t="e">
        <f t="shared" ca="1" si="37"/>
        <v>#N/A</v>
      </c>
      <c r="AA19" s="5" t="str">
        <f>IF(Setup!$I$15="Yes",'Demand background (hide)'!AJ7+'SPC background (hide)'!C19,"")</f>
        <v/>
      </c>
      <c r="AC19" s="5" t="str">
        <f t="shared" ca="1" si="30"/>
        <v/>
      </c>
      <c r="AD19" s="5" t="str">
        <f t="shared" ca="1" si="31"/>
        <v/>
      </c>
      <c r="AG19" s="67" t="e">
        <f t="shared" ca="1" si="12"/>
        <v>#VALUE!</v>
      </c>
      <c r="AH19" s="67">
        <v>18</v>
      </c>
      <c r="AI19" s="67">
        <f t="shared" ca="1" si="4"/>
        <v>5</v>
      </c>
      <c r="AJ19" s="39">
        <f t="shared" ca="1" si="5"/>
        <v>0</v>
      </c>
      <c r="AK19" s="39">
        <f t="shared" ca="1" si="6"/>
        <v>0</v>
      </c>
      <c r="AL19" s="39">
        <f t="shared" ca="1" si="7"/>
        <v>0</v>
      </c>
      <c r="AM19" s="39">
        <f t="shared" ca="1" si="8"/>
        <v>0</v>
      </c>
      <c r="AN19" s="39">
        <f t="shared" ca="1" si="9"/>
        <v>0</v>
      </c>
      <c r="AO19" s="39">
        <f t="shared" ca="1" si="0"/>
        <v>0</v>
      </c>
      <c r="AP19" s="39">
        <f t="shared" ca="1" si="1"/>
        <v>0</v>
      </c>
      <c r="AQ19" s="39">
        <f t="shared" ca="1" si="2"/>
        <v>0</v>
      </c>
      <c r="AR19" s="5" t="str">
        <f t="shared" ca="1" si="10"/>
        <v/>
      </c>
      <c r="AS19" s="5" t="str">
        <f t="shared" ca="1" si="3"/>
        <v/>
      </c>
      <c r="AT19" s="5" t="str">
        <f t="shared" ca="1" si="11"/>
        <v/>
      </c>
    </row>
    <row r="20" spans="1:46" x14ac:dyDescent="0.2">
      <c r="A20" s="67" t="str">
        <f ca="1">Demand!C17</f>
        <v/>
      </c>
      <c r="B20" s="67">
        <v>5</v>
      </c>
      <c r="C20" s="5">
        <f ca="1">'Demand background (hide)'!Y8</f>
        <v>0</v>
      </c>
      <c r="D20" s="67">
        <f t="shared" si="15"/>
        <v>0</v>
      </c>
      <c r="E20" s="67" t="e">
        <f t="shared" ca="1" si="16"/>
        <v>#N/A</v>
      </c>
      <c r="F20" s="67" t="e">
        <f t="shared" ca="1" si="17"/>
        <v>#N/A</v>
      </c>
      <c r="G20" s="67" t="e">
        <f t="shared" ca="1" si="18"/>
        <v>#N/A</v>
      </c>
      <c r="H20" s="67" t="e">
        <f>IF('Demand background (hide)'!AN8&lt;&gt;"",'SPC background (hide)'!C20,NA())</f>
        <v>#N/A</v>
      </c>
      <c r="I20" s="67">
        <f t="shared" ca="1" si="19"/>
        <v>5</v>
      </c>
      <c r="J20" s="5">
        <f t="shared" ca="1" si="20"/>
        <v>0</v>
      </c>
      <c r="K20" s="5">
        <f t="shared" ca="1" si="21"/>
        <v>0</v>
      </c>
      <c r="L20" s="5">
        <f t="shared" ca="1" si="22"/>
        <v>0</v>
      </c>
      <c r="M20" s="5">
        <f t="shared" ca="1" si="23"/>
        <v>0</v>
      </c>
      <c r="N20" s="5">
        <f t="shared" ca="1" si="24"/>
        <v>0</v>
      </c>
      <c r="O20" s="5">
        <f t="shared" ca="1" si="25"/>
        <v>0</v>
      </c>
      <c r="P20" s="5">
        <f t="shared" ca="1" si="26"/>
        <v>0</v>
      </c>
      <c r="Q20" s="5" t="e">
        <f t="shared" ca="1" si="27"/>
        <v>#N/A</v>
      </c>
      <c r="R20" s="5">
        <f t="shared" ca="1" si="32"/>
        <v>0</v>
      </c>
      <c r="S20" s="67" t="e">
        <f t="shared" ca="1" si="33"/>
        <v>#N/A</v>
      </c>
      <c r="T20" s="67">
        <f t="shared" ca="1" si="34"/>
        <v>0</v>
      </c>
      <c r="U20" s="67" t="e">
        <f t="shared" ca="1" si="35"/>
        <v>#N/A</v>
      </c>
      <c r="V20" s="5">
        <f t="shared" ca="1" si="14"/>
        <v>0</v>
      </c>
      <c r="W20" s="5" t="e">
        <f t="shared" ca="1" si="28"/>
        <v>#N/A</v>
      </c>
      <c r="X20" s="67">
        <f t="shared" ca="1" si="29"/>
        <v>0</v>
      </c>
      <c r="Y20" s="67" t="e">
        <f t="shared" ca="1" si="36"/>
        <v>#N/A</v>
      </c>
      <c r="Z20" s="67" t="e">
        <f t="shared" ca="1" si="37"/>
        <v>#N/A</v>
      </c>
      <c r="AA20" s="5" t="str">
        <f>IF(Setup!$I$15="Yes",'Demand background (hide)'!AJ8+'SPC background (hide)'!C20,"")</f>
        <v/>
      </c>
      <c r="AC20" s="5" t="str">
        <f t="shared" ca="1" si="30"/>
        <v/>
      </c>
      <c r="AD20" s="5" t="str">
        <f t="shared" ca="1" si="31"/>
        <v/>
      </c>
      <c r="AG20" s="67" t="e">
        <f t="shared" ca="1" si="12"/>
        <v>#VALUE!</v>
      </c>
      <c r="AH20" s="67">
        <v>19</v>
      </c>
      <c r="AI20" s="67">
        <f t="shared" ca="1" si="4"/>
        <v>5</v>
      </c>
      <c r="AJ20" s="39">
        <f t="shared" ca="1" si="5"/>
        <v>0</v>
      </c>
      <c r="AK20" s="39">
        <f t="shared" ca="1" si="6"/>
        <v>0</v>
      </c>
      <c r="AL20" s="39">
        <f t="shared" ca="1" si="7"/>
        <v>0</v>
      </c>
      <c r="AM20" s="39">
        <f t="shared" ca="1" si="8"/>
        <v>0</v>
      </c>
      <c r="AN20" s="39">
        <f t="shared" ca="1" si="9"/>
        <v>0</v>
      </c>
      <c r="AO20" s="39">
        <f t="shared" ca="1" si="0"/>
        <v>0</v>
      </c>
      <c r="AP20" s="39">
        <f t="shared" ca="1" si="1"/>
        <v>0</v>
      </c>
      <c r="AQ20" s="39">
        <f t="shared" ca="1" si="2"/>
        <v>0</v>
      </c>
      <c r="AR20" s="5" t="str">
        <f t="shared" ca="1" si="10"/>
        <v/>
      </c>
      <c r="AS20" s="5" t="str">
        <f t="shared" ca="1" si="3"/>
        <v/>
      </c>
      <c r="AT20" s="5" t="str">
        <f t="shared" ca="1" si="11"/>
        <v/>
      </c>
    </row>
    <row r="21" spans="1:46" x14ac:dyDescent="0.2">
      <c r="A21" s="67" t="str">
        <f ca="1">Demand!C18</f>
        <v/>
      </c>
      <c r="B21" s="67">
        <v>6</v>
      </c>
      <c r="C21" s="5">
        <f ca="1">'Demand background (hide)'!Y9</f>
        <v>0</v>
      </c>
      <c r="D21" s="67">
        <f t="shared" si="15"/>
        <v>0</v>
      </c>
      <c r="E21" s="67" t="e">
        <f t="shared" ca="1" si="16"/>
        <v>#N/A</v>
      </c>
      <c r="F21" s="67" t="e">
        <f t="shared" ca="1" si="17"/>
        <v>#N/A</v>
      </c>
      <c r="G21" s="67" t="e">
        <f t="shared" ca="1" si="18"/>
        <v>#N/A</v>
      </c>
      <c r="H21" s="67" t="e">
        <f>IF('Demand background (hide)'!AN9&lt;&gt;"",'SPC background (hide)'!C21,NA())</f>
        <v>#N/A</v>
      </c>
      <c r="I21" s="67">
        <f t="shared" ca="1" si="19"/>
        <v>5</v>
      </c>
      <c r="J21" s="5">
        <f t="shared" ca="1" si="20"/>
        <v>0</v>
      </c>
      <c r="K21" s="5">
        <f t="shared" ca="1" si="21"/>
        <v>0</v>
      </c>
      <c r="L21" s="5">
        <f t="shared" ca="1" si="22"/>
        <v>0</v>
      </c>
      <c r="M21" s="5">
        <f t="shared" ca="1" si="23"/>
        <v>0</v>
      </c>
      <c r="N21" s="5">
        <f t="shared" ca="1" si="24"/>
        <v>0</v>
      </c>
      <c r="O21" s="5">
        <f t="shared" ca="1" si="25"/>
        <v>0</v>
      </c>
      <c r="P21" s="5">
        <f t="shared" ca="1" si="26"/>
        <v>0</v>
      </c>
      <c r="Q21" s="5" t="e">
        <f t="shared" ca="1" si="27"/>
        <v>#N/A</v>
      </c>
      <c r="R21" s="5">
        <f t="shared" ca="1" si="32"/>
        <v>0</v>
      </c>
      <c r="S21" s="67" t="e">
        <f t="shared" ca="1" si="33"/>
        <v>#N/A</v>
      </c>
      <c r="T21" s="67">
        <f t="shared" ca="1" si="34"/>
        <v>0</v>
      </c>
      <c r="U21" s="67" t="e">
        <f t="shared" ca="1" si="35"/>
        <v>#N/A</v>
      </c>
      <c r="V21" s="5">
        <f t="shared" ca="1" si="14"/>
        <v>0</v>
      </c>
      <c r="W21" s="5" t="e">
        <f t="shared" ca="1" si="28"/>
        <v>#N/A</v>
      </c>
      <c r="X21" s="67">
        <f t="shared" ca="1" si="29"/>
        <v>0</v>
      </c>
      <c r="Y21" s="67" t="e">
        <f t="shared" ca="1" si="36"/>
        <v>#N/A</v>
      </c>
      <c r="Z21" s="67" t="e">
        <f t="shared" ca="1" si="37"/>
        <v>#N/A</v>
      </c>
      <c r="AA21" s="5" t="str">
        <f>IF(Setup!$I$15="Yes",'Demand background (hide)'!AJ9+'SPC background (hide)'!C21,"")</f>
        <v/>
      </c>
      <c r="AC21" s="5" t="str">
        <f t="shared" ca="1" si="30"/>
        <v/>
      </c>
      <c r="AD21" s="5" t="str">
        <f t="shared" ca="1" si="31"/>
        <v/>
      </c>
      <c r="AG21" s="67" t="e">
        <f t="shared" ca="1" si="12"/>
        <v>#VALUE!</v>
      </c>
      <c r="AH21" s="67">
        <v>20</v>
      </c>
      <c r="AI21" s="67">
        <f t="shared" ca="1" si="4"/>
        <v>5</v>
      </c>
      <c r="AJ21" s="39">
        <f t="shared" ca="1" si="5"/>
        <v>0</v>
      </c>
      <c r="AK21" s="39">
        <f t="shared" ca="1" si="6"/>
        <v>0</v>
      </c>
      <c r="AL21" s="39">
        <f t="shared" ca="1" si="7"/>
        <v>0</v>
      </c>
      <c r="AM21" s="39">
        <f t="shared" ca="1" si="8"/>
        <v>0</v>
      </c>
      <c r="AN21" s="39">
        <f t="shared" ca="1" si="9"/>
        <v>0</v>
      </c>
      <c r="AO21" s="39">
        <f t="shared" ca="1" si="0"/>
        <v>0</v>
      </c>
      <c r="AP21" s="39">
        <f t="shared" ca="1" si="1"/>
        <v>0</v>
      </c>
      <c r="AQ21" s="39">
        <f t="shared" ca="1" si="2"/>
        <v>0</v>
      </c>
      <c r="AR21" s="5" t="str">
        <f t="shared" ca="1" si="10"/>
        <v/>
      </c>
      <c r="AS21" s="5" t="str">
        <f t="shared" ca="1" si="3"/>
        <v/>
      </c>
      <c r="AT21" s="5" t="str">
        <f t="shared" ca="1" si="11"/>
        <v/>
      </c>
    </row>
    <row r="22" spans="1:46" x14ac:dyDescent="0.2">
      <c r="A22" s="67" t="str">
        <f ca="1">Demand!C19</f>
        <v/>
      </c>
      <c r="B22" s="67">
        <v>7</v>
      </c>
      <c r="C22" s="5">
        <f ca="1">'Demand background (hide)'!Y10</f>
        <v>0</v>
      </c>
      <c r="D22" s="67">
        <f t="shared" si="15"/>
        <v>0</v>
      </c>
      <c r="E22" s="67" t="e">
        <f t="shared" ca="1" si="16"/>
        <v>#N/A</v>
      </c>
      <c r="F22" s="67" t="e">
        <f t="shared" ca="1" si="17"/>
        <v>#N/A</v>
      </c>
      <c r="G22" s="67" t="e">
        <f t="shared" ca="1" si="18"/>
        <v>#N/A</v>
      </c>
      <c r="H22" s="67" t="e">
        <f>IF('Demand background (hide)'!AN10&lt;&gt;"",'SPC background (hide)'!C22,NA())</f>
        <v>#N/A</v>
      </c>
      <c r="I22" s="67">
        <f t="shared" ca="1" si="19"/>
        <v>5</v>
      </c>
      <c r="J22" s="5">
        <f t="shared" ca="1" si="20"/>
        <v>0</v>
      </c>
      <c r="K22" s="5">
        <f t="shared" ca="1" si="21"/>
        <v>0</v>
      </c>
      <c r="L22" s="5">
        <f t="shared" ca="1" si="22"/>
        <v>0</v>
      </c>
      <c r="M22" s="5">
        <f t="shared" ca="1" si="23"/>
        <v>0</v>
      </c>
      <c r="N22" s="5">
        <f t="shared" ca="1" si="24"/>
        <v>0</v>
      </c>
      <c r="O22" s="5">
        <f t="shared" ca="1" si="25"/>
        <v>0</v>
      </c>
      <c r="P22" s="5">
        <f t="shared" ca="1" si="26"/>
        <v>0</v>
      </c>
      <c r="Q22" s="5" t="e">
        <f t="shared" ca="1" si="27"/>
        <v>#N/A</v>
      </c>
      <c r="R22" s="5">
        <f t="shared" ca="1" si="32"/>
        <v>0</v>
      </c>
      <c r="S22" s="67" t="e">
        <f t="shared" ca="1" si="33"/>
        <v>#N/A</v>
      </c>
      <c r="T22" s="67">
        <f t="shared" ca="1" si="34"/>
        <v>0</v>
      </c>
      <c r="U22" s="67" t="e">
        <f t="shared" ca="1" si="35"/>
        <v>#N/A</v>
      </c>
      <c r="V22" s="5">
        <f t="shared" ca="1" si="14"/>
        <v>0</v>
      </c>
      <c r="W22" s="5" t="e">
        <f t="shared" ca="1" si="28"/>
        <v>#N/A</v>
      </c>
      <c r="X22" s="67">
        <f t="shared" ca="1" si="29"/>
        <v>0</v>
      </c>
      <c r="Y22" s="67" t="e">
        <f t="shared" ca="1" si="36"/>
        <v>#N/A</v>
      </c>
      <c r="Z22" s="67" t="e">
        <f t="shared" ca="1" si="37"/>
        <v>#N/A</v>
      </c>
      <c r="AA22" s="5" t="str">
        <f>IF(Setup!$I$15="Yes",'Demand background (hide)'!AJ10+'SPC background (hide)'!C22,"")</f>
        <v/>
      </c>
      <c r="AC22" s="5" t="str">
        <f t="shared" ca="1" si="30"/>
        <v/>
      </c>
      <c r="AD22" s="5" t="str">
        <f t="shared" ca="1" si="31"/>
        <v/>
      </c>
      <c r="AG22" s="67" t="e">
        <f t="shared" ca="1" si="12"/>
        <v>#VALUE!</v>
      </c>
      <c r="AH22" s="67">
        <v>21</v>
      </c>
      <c r="AI22" s="67">
        <f t="shared" ca="1" si="4"/>
        <v>5</v>
      </c>
      <c r="AJ22" s="39">
        <f t="shared" ca="1" si="5"/>
        <v>0</v>
      </c>
      <c r="AK22" s="39">
        <f t="shared" ca="1" si="6"/>
        <v>0</v>
      </c>
      <c r="AL22" s="39">
        <f t="shared" ca="1" si="7"/>
        <v>0</v>
      </c>
      <c r="AM22" s="39">
        <f t="shared" ca="1" si="8"/>
        <v>0</v>
      </c>
      <c r="AN22" s="39">
        <f t="shared" ca="1" si="9"/>
        <v>0</v>
      </c>
      <c r="AO22" s="39">
        <f t="shared" ca="1" si="0"/>
        <v>0</v>
      </c>
      <c r="AP22" s="39">
        <f t="shared" ca="1" si="1"/>
        <v>0</v>
      </c>
      <c r="AQ22" s="39">
        <f t="shared" ca="1" si="2"/>
        <v>0</v>
      </c>
      <c r="AR22" s="5" t="str">
        <f t="shared" ca="1" si="10"/>
        <v/>
      </c>
      <c r="AS22" s="5" t="str">
        <f t="shared" ca="1" si="3"/>
        <v/>
      </c>
      <c r="AT22" s="5" t="str">
        <f t="shared" ca="1" si="11"/>
        <v/>
      </c>
    </row>
    <row r="23" spans="1:46" x14ac:dyDescent="0.2">
      <c r="A23" s="67" t="str">
        <f ca="1">Demand!C20</f>
        <v/>
      </c>
      <c r="B23" s="67">
        <v>8</v>
      </c>
      <c r="C23" s="5">
        <f ca="1">'Demand background (hide)'!Y11</f>
        <v>0</v>
      </c>
      <c r="D23" s="67">
        <f t="shared" si="15"/>
        <v>0</v>
      </c>
      <c r="E23" s="67" t="e">
        <f t="shared" ca="1" si="16"/>
        <v>#N/A</v>
      </c>
      <c r="F23" s="67" t="e">
        <f t="shared" ca="1" si="17"/>
        <v>#N/A</v>
      </c>
      <c r="G23" s="67" t="e">
        <f t="shared" ca="1" si="18"/>
        <v>#N/A</v>
      </c>
      <c r="H23" s="67" t="e">
        <f>IF('Demand background (hide)'!AN11&lt;&gt;"",'SPC background (hide)'!C23,NA())</f>
        <v>#N/A</v>
      </c>
      <c r="I23" s="67">
        <f t="shared" ca="1" si="19"/>
        <v>5</v>
      </c>
      <c r="J23" s="5">
        <f t="shared" ca="1" si="20"/>
        <v>0</v>
      </c>
      <c r="K23" s="5">
        <f t="shared" ca="1" si="21"/>
        <v>0</v>
      </c>
      <c r="L23" s="5">
        <f t="shared" ca="1" si="22"/>
        <v>0</v>
      </c>
      <c r="M23" s="5">
        <f t="shared" ca="1" si="23"/>
        <v>0</v>
      </c>
      <c r="N23" s="5">
        <f t="shared" ca="1" si="24"/>
        <v>0</v>
      </c>
      <c r="O23" s="5">
        <f t="shared" ca="1" si="25"/>
        <v>0</v>
      </c>
      <c r="P23" s="5">
        <f t="shared" ca="1" si="26"/>
        <v>0</v>
      </c>
      <c r="Q23" s="5" t="e">
        <f t="shared" ca="1" si="27"/>
        <v>#N/A</v>
      </c>
      <c r="R23" s="5">
        <f t="shared" ca="1" si="32"/>
        <v>0</v>
      </c>
      <c r="S23" s="67" t="e">
        <f t="shared" ca="1" si="33"/>
        <v>#N/A</v>
      </c>
      <c r="T23" s="67">
        <f t="shared" ca="1" si="34"/>
        <v>0</v>
      </c>
      <c r="U23" s="67" t="e">
        <f t="shared" ca="1" si="35"/>
        <v>#N/A</v>
      </c>
      <c r="V23" s="5">
        <f t="shared" ca="1" si="14"/>
        <v>0</v>
      </c>
      <c r="W23" s="5" t="e">
        <f t="shared" ca="1" si="28"/>
        <v>#N/A</v>
      </c>
      <c r="X23" s="67">
        <f t="shared" ca="1" si="29"/>
        <v>0</v>
      </c>
      <c r="Y23" s="67" t="e">
        <f t="shared" ca="1" si="36"/>
        <v>#N/A</v>
      </c>
      <c r="Z23" s="67" t="e">
        <f t="shared" ca="1" si="37"/>
        <v>#N/A</v>
      </c>
      <c r="AA23" s="5" t="str">
        <f>IF(Setup!$I$15="Yes",'Demand background (hide)'!AJ11+'SPC background (hide)'!C23,"")</f>
        <v/>
      </c>
      <c r="AC23" s="5" t="str">
        <f t="shared" ca="1" si="30"/>
        <v/>
      </c>
      <c r="AD23" s="5" t="str">
        <f t="shared" ca="1" si="31"/>
        <v/>
      </c>
      <c r="AG23" s="67" t="e">
        <f t="shared" ca="1" si="12"/>
        <v>#VALUE!</v>
      </c>
      <c r="AH23" s="67">
        <v>22</v>
      </c>
      <c r="AI23" s="67">
        <f t="shared" ca="1" si="4"/>
        <v>5</v>
      </c>
      <c r="AJ23" s="39">
        <f t="shared" ca="1" si="5"/>
        <v>0</v>
      </c>
      <c r="AK23" s="39">
        <f t="shared" ca="1" si="6"/>
        <v>0</v>
      </c>
      <c r="AL23" s="39">
        <f t="shared" ca="1" si="7"/>
        <v>0</v>
      </c>
      <c r="AM23" s="39">
        <f t="shared" ca="1" si="8"/>
        <v>0</v>
      </c>
      <c r="AN23" s="39">
        <f t="shared" ca="1" si="9"/>
        <v>0</v>
      </c>
      <c r="AO23" s="39">
        <f t="shared" ca="1" si="0"/>
        <v>0</v>
      </c>
      <c r="AP23" s="39">
        <f t="shared" ca="1" si="1"/>
        <v>0</v>
      </c>
      <c r="AQ23" s="39">
        <f t="shared" ca="1" si="2"/>
        <v>0</v>
      </c>
      <c r="AR23" s="5" t="str">
        <f t="shared" ca="1" si="10"/>
        <v/>
      </c>
      <c r="AS23" s="5" t="str">
        <f t="shared" ca="1" si="3"/>
        <v/>
      </c>
      <c r="AT23" s="5" t="str">
        <f t="shared" ca="1" si="11"/>
        <v/>
      </c>
    </row>
    <row r="24" spans="1:46" x14ac:dyDescent="0.2">
      <c r="A24" s="67" t="str">
        <f ca="1">Demand!C21</f>
        <v/>
      </c>
      <c r="B24" s="67">
        <v>9</v>
      </c>
      <c r="C24" s="5">
        <f ca="1">'Demand background (hide)'!Y12</f>
        <v>0</v>
      </c>
      <c r="D24" s="67">
        <f t="shared" si="15"/>
        <v>0</v>
      </c>
      <c r="E24" s="67" t="e">
        <f t="shared" ca="1" si="16"/>
        <v>#N/A</v>
      </c>
      <c r="F24" s="67" t="e">
        <f t="shared" ca="1" si="17"/>
        <v>#N/A</v>
      </c>
      <c r="G24" s="67" t="e">
        <f t="shared" ca="1" si="18"/>
        <v>#N/A</v>
      </c>
      <c r="H24" s="67" t="e">
        <f>IF('Demand background (hide)'!AN12&lt;&gt;"",'SPC background (hide)'!C24,NA())</f>
        <v>#N/A</v>
      </c>
      <c r="I24" s="67">
        <f t="shared" ca="1" si="19"/>
        <v>5</v>
      </c>
      <c r="J24" s="5">
        <f t="shared" ca="1" si="20"/>
        <v>0</v>
      </c>
      <c r="K24" s="5">
        <f t="shared" ca="1" si="21"/>
        <v>0</v>
      </c>
      <c r="L24" s="5">
        <f t="shared" ca="1" si="22"/>
        <v>0</v>
      </c>
      <c r="M24" s="5">
        <f t="shared" ca="1" si="23"/>
        <v>0</v>
      </c>
      <c r="N24" s="5">
        <f t="shared" ca="1" si="24"/>
        <v>0</v>
      </c>
      <c r="O24" s="5">
        <f t="shared" ca="1" si="25"/>
        <v>0</v>
      </c>
      <c r="P24" s="5">
        <f t="shared" ca="1" si="26"/>
        <v>0</v>
      </c>
      <c r="Q24" s="5" t="e">
        <f t="shared" ca="1" si="27"/>
        <v>#N/A</v>
      </c>
      <c r="R24" s="5">
        <f t="shared" ca="1" si="32"/>
        <v>0</v>
      </c>
      <c r="S24" s="67" t="e">
        <f t="shared" ca="1" si="33"/>
        <v>#N/A</v>
      </c>
      <c r="T24" s="67">
        <f t="shared" ca="1" si="34"/>
        <v>0</v>
      </c>
      <c r="U24" s="67" t="e">
        <f t="shared" ca="1" si="35"/>
        <v>#N/A</v>
      </c>
      <c r="V24" s="5">
        <f t="shared" ca="1" si="14"/>
        <v>0</v>
      </c>
      <c r="W24" s="5" t="e">
        <f t="shared" ca="1" si="28"/>
        <v>#N/A</v>
      </c>
      <c r="X24" s="67">
        <f t="shared" ca="1" si="29"/>
        <v>0</v>
      </c>
      <c r="Y24" s="67" t="e">
        <f t="shared" ca="1" si="36"/>
        <v>#N/A</v>
      </c>
      <c r="Z24" s="67" t="e">
        <f t="shared" ca="1" si="37"/>
        <v>#N/A</v>
      </c>
      <c r="AA24" s="5" t="str">
        <f>IF(Setup!$I$15="Yes",'Demand background (hide)'!AJ12+'SPC background (hide)'!C24,"")</f>
        <v/>
      </c>
      <c r="AC24" s="5" t="str">
        <f t="shared" ca="1" si="30"/>
        <v/>
      </c>
      <c r="AD24" s="5" t="str">
        <f t="shared" ca="1" si="31"/>
        <v/>
      </c>
      <c r="AG24" s="67" t="e">
        <f t="shared" ca="1" si="12"/>
        <v>#VALUE!</v>
      </c>
      <c r="AH24" s="67">
        <v>23</v>
      </c>
      <c r="AI24" s="67">
        <f t="shared" ca="1" si="4"/>
        <v>5</v>
      </c>
      <c r="AJ24" s="39">
        <f t="shared" ca="1" si="5"/>
        <v>0</v>
      </c>
      <c r="AK24" s="39">
        <f t="shared" ca="1" si="6"/>
        <v>0</v>
      </c>
      <c r="AL24" s="39">
        <f t="shared" ca="1" si="7"/>
        <v>0</v>
      </c>
      <c r="AM24" s="39">
        <f t="shared" ca="1" si="8"/>
        <v>0</v>
      </c>
      <c r="AN24" s="39">
        <f t="shared" ca="1" si="9"/>
        <v>0</v>
      </c>
      <c r="AO24" s="39">
        <f t="shared" ca="1" si="0"/>
        <v>0</v>
      </c>
      <c r="AP24" s="39">
        <f t="shared" ca="1" si="1"/>
        <v>0</v>
      </c>
      <c r="AQ24" s="39">
        <f t="shared" ca="1" si="2"/>
        <v>0</v>
      </c>
      <c r="AR24" s="5" t="str">
        <f t="shared" ca="1" si="10"/>
        <v/>
      </c>
      <c r="AS24" s="5" t="str">
        <f t="shared" ca="1" si="3"/>
        <v/>
      </c>
      <c r="AT24" s="5" t="str">
        <f t="shared" ca="1" si="11"/>
        <v/>
      </c>
    </row>
    <row r="25" spans="1:46" x14ac:dyDescent="0.2">
      <c r="A25" s="67" t="str">
        <f ca="1">Demand!C22</f>
        <v/>
      </c>
      <c r="B25" s="67">
        <v>10</v>
      </c>
      <c r="C25" s="5">
        <f ca="1">'Demand background (hide)'!Y13</f>
        <v>0</v>
      </c>
      <c r="D25" s="67">
        <f t="shared" si="15"/>
        <v>0</v>
      </c>
      <c r="E25" s="67" t="e">
        <f t="shared" ca="1" si="16"/>
        <v>#N/A</v>
      </c>
      <c r="F25" s="67" t="e">
        <f t="shared" ca="1" si="17"/>
        <v>#N/A</v>
      </c>
      <c r="G25" s="67" t="e">
        <f t="shared" ca="1" si="18"/>
        <v>#N/A</v>
      </c>
      <c r="H25" s="67" t="e">
        <f>IF('Demand background (hide)'!AN13&lt;&gt;"",'SPC background (hide)'!C25,NA())</f>
        <v>#N/A</v>
      </c>
      <c r="I25" s="67">
        <f t="shared" ca="1" si="19"/>
        <v>5</v>
      </c>
      <c r="J25" s="5">
        <f t="shared" ca="1" si="20"/>
        <v>0</v>
      </c>
      <c r="K25" s="5">
        <f t="shared" ca="1" si="21"/>
        <v>0</v>
      </c>
      <c r="L25" s="5">
        <f t="shared" ca="1" si="22"/>
        <v>0</v>
      </c>
      <c r="M25" s="5">
        <f t="shared" ca="1" si="23"/>
        <v>0</v>
      </c>
      <c r="N25" s="5">
        <f t="shared" ca="1" si="24"/>
        <v>0</v>
      </c>
      <c r="O25" s="5">
        <f t="shared" ca="1" si="25"/>
        <v>0</v>
      </c>
      <c r="P25" s="5">
        <f t="shared" ca="1" si="26"/>
        <v>0</v>
      </c>
      <c r="Q25" s="5" t="e">
        <f t="shared" ca="1" si="27"/>
        <v>#N/A</v>
      </c>
      <c r="R25" s="5">
        <f t="shared" ca="1" si="32"/>
        <v>0</v>
      </c>
      <c r="S25" s="67" t="e">
        <f t="shared" ca="1" si="33"/>
        <v>#N/A</v>
      </c>
      <c r="T25" s="67">
        <f t="shared" ca="1" si="34"/>
        <v>0</v>
      </c>
      <c r="U25" s="67" t="e">
        <f t="shared" ca="1" si="35"/>
        <v>#N/A</v>
      </c>
      <c r="V25" s="5">
        <f t="shared" ca="1" si="14"/>
        <v>0</v>
      </c>
      <c r="W25" s="5" t="e">
        <f t="shared" ca="1" si="28"/>
        <v>#N/A</v>
      </c>
      <c r="X25" s="67">
        <f t="shared" ca="1" si="29"/>
        <v>0</v>
      </c>
      <c r="Y25" s="67" t="e">
        <f t="shared" ca="1" si="36"/>
        <v>#N/A</v>
      </c>
      <c r="Z25" s="67" t="e">
        <f t="shared" ca="1" si="37"/>
        <v>#N/A</v>
      </c>
      <c r="AA25" s="5" t="str">
        <f>IF(Setup!$I$15="Yes",'Demand background (hide)'!AJ13+'SPC background (hide)'!C25,"")</f>
        <v/>
      </c>
      <c r="AC25" s="5" t="str">
        <f t="shared" ca="1" si="30"/>
        <v/>
      </c>
      <c r="AD25" s="5" t="str">
        <f t="shared" ca="1" si="31"/>
        <v/>
      </c>
      <c r="AG25" s="67" t="e">
        <f t="shared" ca="1" si="12"/>
        <v>#VALUE!</v>
      </c>
      <c r="AH25" s="67">
        <v>24</v>
      </c>
      <c r="AI25" s="67">
        <f t="shared" ca="1" si="4"/>
        <v>5</v>
      </c>
      <c r="AJ25" s="39">
        <f t="shared" ca="1" si="5"/>
        <v>0</v>
      </c>
      <c r="AK25" s="39">
        <f t="shared" ca="1" si="6"/>
        <v>0</v>
      </c>
      <c r="AL25" s="39">
        <f t="shared" ca="1" si="7"/>
        <v>0</v>
      </c>
      <c r="AM25" s="39">
        <f t="shared" ca="1" si="8"/>
        <v>0</v>
      </c>
      <c r="AN25" s="39">
        <f t="shared" ca="1" si="9"/>
        <v>0</v>
      </c>
      <c r="AO25" s="39">
        <f t="shared" ca="1" si="0"/>
        <v>0</v>
      </c>
      <c r="AP25" s="39">
        <f t="shared" ca="1" si="1"/>
        <v>0</v>
      </c>
      <c r="AQ25" s="39">
        <f t="shared" ca="1" si="2"/>
        <v>0</v>
      </c>
      <c r="AR25" s="5" t="str">
        <f t="shared" ca="1" si="10"/>
        <v/>
      </c>
      <c r="AS25" s="5" t="str">
        <f t="shared" ca="1" si="3"/>
        <v/>
      </c>
      <c r="AT25" s="5" t="str">
        <f t="shared" ca="1" si="11"/>
        <v/>
      </c>
    </row>
    <row r="26" spans="1:46" x14ac:dyDescent="0.2">
      <c r="A26" s="67" t="str">
        <f ca="1">Demand!C23</f>
        <v/>
      </c>
      <c r="B26" s="67">
        <v>11</v>
      </c>
      <c r="C26" s="5">
        <f ca="1">'Demand background (hide)'!Y14</f>
        <v>0</v>
      </c>
      <c r="D26" s="67">
        <f t="shared" si="15"/>
        <v>0</v>
      </c>
      <c r="E26" s="67" t="e">
        <f t="shared" ca="1" si="16"/>
        <v>#N/A</v>
      </c>
      <c r="F26" s="67" t="e">
        <f t="shared" ca="1" si="17"/>
        <v>#N/A</v>
      </c>
      <c r="G26" s="67" t="e">
        <f t="shared" ca="1" si="18"/>
        <v>#N/A</v>
      </c>
      <c r="H26" s="67" t="e">
        <f>IF('Demand background (hide)'!AN14&lt;&gt;"",'SPC background (hide)'!C26,NA())</f>
        <v>#N/A</v>
      </c>
      <c r="I26" s="67">
        <f t="shared" ca="1" si="19"/>
        <v>5</v>
      </c>
      <c r="J26" s="5">
        <f t="shared" ca="1" si="20"/>
        <v>0</v>
      </c>
      <c r="K26" s="5">
        <f t="shared" ca="1" si="21"/>
        <v>0</v>
      </c>
      <c r="L26" s="5">
        <f t="shared" ca="1" si="22"/>
        <v>0</v>
      </c>
      <c r="M26" s="5">
        <f t="shared" ca="1" si="23"/>
        <v>0</v>
      </c>
      <c r="N26" s="5">
        <f t="shared" ca="1" si="24"/>
        <v>0</v>
      </c>
      <c r="O26" s="5">
        <f t="shared" ca="1" si="25"/>
        <v>0</v>
      </c>
      <c r="P26" s="5">
        <f t="shared" ca="1" si="26"/>
        <v>0</v>
      </c>
      <c r="Q26" s="5" t="e">
        <f t="shared" ca="1" si="27"/>
        <v>#N/A</v>
      </c>
      <c r="R26" s="5">
        <f t="shared" ca="1" si="32"/>
        <v>0</v>
      </c>
      <c r="S26" s="67" t="e">
        <f t="shared" ca="1" si="33"/>
        <v>#N/A</v>
      </c>
      <c r="T26" s="67">
        <f t="shared" ca="1" si="34"/>
        <v>0</v>
      </c>
      <c r="U26" s="67" t="e">
        <f t="shared" ca="1" si="35"/>
        <v>#N/A</v>
      </c>
      <c r="V26" s="5">
        <f t="shared" ca="1" si="14"/>
        <v>0</v>
      </c>
      <c r="W26" s="5" t="e">
        <f t="shared" ca="1" si="28"/>
        <v>#N/A</v>
      </c>
      <c r="X26" s="67">
        <f t="shared" ca="1" si="29"/>
        <v>0</v>
      </c>
      <c r="Y26" s="67" t="e">
        <f t="shared" ca="1" si="36"/>
        <v>#N/A</v>
      </c>
      <c r="Z26" s="67" t="e">
        <f t="shared" ca="1" si="37"/>
        <v>#N/A</v>
      </c>
      <c r="AA26" s="5" t="str">
        <f>IF(Setup!$I$15="Yes",'Demand background (hide)'!AJ14+'SPC background (hide)'!C26,"")</f>
        <v/>
      </c>
      <c r="AC26" s="5" t="str">
        <f t="shared" ca="1" si="30"/>
        <v/>
      </c>
      <c r="AD26" s="5" t="str">
        <f t="shared" ca="1" si="31"/>
        <v/>
      </c>
      <c r="AG26" s="67" t="e">
        <f t="shared" ca="1" si="12"/>
        <v>#VALUE!</v>
      </c>
      <c r="AH26" s="67">
        <v>25</v>
      </c>
      <c r="AI26" s="67">
        <f t="shared" ca="1" si="4"/>
        <v>5</v>
      </c>
      <c r="AJ26" s="39">
        <f t="shared" ca="1" si="5"/>
        <v>0</v>
      </c>
      <c r="AK26" s="39">
        <f t="shared" ca="1" si="6"/>
        <v>0</v>
      </c>
      <c r="AL26" s="39">
        <f t="shared" ca="1" si="7"/>
        <v>0</v>
      </c>
      <c r="AM26" s="39">
        <f t="shared" ca="1" si="8"/>
        <v>0</v>
      </c>
      <c r="AN26" s="39">
        <f t="shared" ca="1" si="9"/>
        <v>0</v>
      </c>
      <c r="AO26" s="39">
        <f t="shared" ca="1" si="0"/>
        <v>0</v>
      </c>
      <c r="AP26" s="39">
        <f t="shared" ca="1" si="1"/>
        <v>0</v>
      </c>
      <c r="AQ26" s="39">
        <f t="shared" ca="1" si="2"/>
        <v>0</v>
      </c>
      <c r="AR26" s="5" t="str">
        <f t="shared" ca="1" si="10"/>
        <v/>
      </c>
      <c r="AS26" s="5" t="str">
        <f t="shared" ca="1" si="3"/>
        <v/>
      </c>
      <c r="AT26" s="5" t="str">
        <f t="shared" ca="1" si="11"/>
        <v/>
      </c>
    </row>
    <row r="27" spans="1:46" x14ac:dyDescent="0.2">
      <c r="A27" s="67" t="str">
        <f ca="1">Demand!C24</f>
        <v/>
      </c>
      <c r="B27" s="67">
        <v>12</v>
      </c>
      <c r="C27" s="5">
        <f ca="1">'Demand background (hide)'!Y15</f>
        <v>0</v>
      </c>
      <c r="D27" s="67">
        <f t="shared" si="15"/>
        <v>0</v>
      </c>
      <c r="E27" s="67" t="e">
        <f t="shared" ca="1" si="16"/>
        <v>#N/A</v>
      </c>
      <c r="F27" s="67" t="e">
        <f t="shared" ca="1" si="17"/>
        <v>#N/A</v>
      </c>
      <c r="G27" s="67" t="e">
        <f t="shared" ca="1" si="18"/>
        <v>#N/A</v>
      </c>
      <c r="H27" s="67" t="e">
        <f>IF('Demand background (hide)'!AN15&lt;&gt;"",'SPC background (hide)'!C27,NA())</f>
        <v>#N/A</v>
      </c>
      <c r="I27" s="67">
        <f t="shared" ca="1" si="19"/>
        <v>5</v>
      </c>
      <c r="J27" s="5">
        <f t="shared" ca="1" si="20"/>
        <v>0</v>
      </c>
      <c r="K27" s="5">
        <f t="shared" ca="1" si="21"/>
        <v>0</v>
      </c>
      <c r="L27" s="5">
        <f t="shared" ca="1" si="22"/>
        <v>0</v>
      </c>
      <c r="M27" s="5">
        <f t="shared" ca="1" si="23"/>
        <v>0</v>
      </c>
      <c r="N27" s="5">
        <f t="shared" ca="1" si="24"/>
        <v>0</v>
      </c>
      <c r="O27" s="5">
        <f t="shared" ca="1" si="25"/>
        <v>0</v>
      </c>
      <c r="P27" s="5">
        <f t="shared" ca="1" si="26"/>
        <v>0</v>
      </c>
      <c r="Q27" s="5" t="e">
        <f t="shared" ca="1" si="27"/>
        <v>#N/A</v>
      </c>
      <c r="R27" s="5">
        <f t="shared" ca="1" si="32"/>
        <v>0</v>
      </c>
      <c r="S27" s="67" t="e">
        <f t="shared" ca="1" si="33"/>
        <v>#N/A</v>
      </c>
      <c r="T27" s="67">
        <f t="shared" ca="1" si="34"/>
        <v>0</v>
      </c>
      <c r="U27" s="67" t="e">
        <f t="shared" ca="1" si="35"/>
        <v>#N/A</v>
      </c>
      <c r="V27" s="5">
        <f t="shared" ca="1" si="14"/>
        <v>0</v>
      </c>
      <c r="W27" s="5" t="e">
        <f t="shared" ca="1" si="28"/>
        <v>#N/A</v>
      </c>
      <c r="X27" s="67">
        <f t="shared" ca="1" si="29"/>
        <v>0</v>
      </c>
      <c r="Y27" s="67" t="e">
        <f t="shared" ca="1" si="36"/>
        <v>#N/A</v>
      </c>
      <c r="Z27" s="67" t="e">
        <f t="shared" ca="1" si="37"/>
        <v>#N/A</v>
      </c>
      <c r="AA27" s="5" t="str">
        <f>IF(Setup!$I$15="Yes",'Demand background (hide)'!AJ15+'SPC background (hide)'!C27,"")</f>
        <v/>
      </c>
      <c r="AC27" s="5" t="str">
        <f t="shared" ca="1" si="30"/>
        <v/>
      </c>
      <c r="AD27" s="5" t="str">
        <f t="shared" ca="1" si="31"/>
        <v/>
      </c>
      <c r="AG27" s="67" t="e">
        <f t="shared" ca="1" si="12"/>
        <v>#VALUE!</v>
      </c>
      <c r="AH27" s="67">
        <v>26</v>
      </c>
      <c r="AI27" s="67">
        <f t="shared" ca="1" si="4"/>
        <v>5</v>
      </c>
      <c r="AJ27" s="39">
        <f t="shared" ca="1" si="5"/>
        <v>0</v>
      </c>
      <c r="AK27" s="39">
        <f t="shared" ca="1" si="6"/>
        <v>0</v>
      </c>
      <c r="AL27" s="39">
        <f t="shared" ca="1" si="7"/>
        <v>0</v>
      </c>
      <c r="AM27" s="39">
        <f t="shared" ca="1" si="8"/>
        <v>0</v>
      </c>
      <c r="AN27" s="39">
        <f t="shared" ca="1" si="9"/>
        <v>0</v>
      </c>
      <c r="AO27" s="39">
        <f t="shared" ca="1" si="0"/>
        <v>0</v>
      </c>
      <c r="AP27" s="39">
        <f t="shared" ca="1" si="1"/>
        <v>0</v>
      </c>
      <c r="AQ27" s="39">
        <f t="shared" ca="1" si="2"/>
        <v>0</v>
      </c>
      <c r="AR27" s="5" t="str">
        <f t="shared" ca="1" si="10"/>
        <v/>
      </c>
      <c r="AS27" s="5" t="str">
        <f t="shared" ca="1" si="3"/>
        <v/>
      </c>
      <c r="AT27" s="5" t="str">
        <f t="shared" ca="1" si="11"/>
        <v/>
      </c>
    </row>
    <row r="28" spans="1:46" x14ac:dyDescent="0.2">
      <c r="A28" s="67" t="str">
        <f ca="1">Demand!C25</f>
        <v/>
      </c>
      <c r="B28" s="67">
        <v>13</v>
      </c>
      <c r="C28" s="5">
        <f ca="1">'Demand background (hide)'!Y16</f>
        <v>0</v>
      </c>
      <c r="D28" s="67">
        <f t="shared" si="15"/>
        <v>0</v>
      </c>
      <c r="E28" s="67" t="e">
        <f t="shared" ca="1" si="16"/>
        <v>#N/A</v>
      </c>
      <c r="F28" s="67" t="e">
        <f t="shared" ca="1" si="17"/>
        <v>#N/A</v>
      </c>
      <c r="G28" s="67" t="e">
        <f t="shared" ca="1" si="18"/>
        <v>#N/A</v>
      </c>
      <c r="H28" s="67" t="e">
        <f>IF('Demand background (hide)'!AN16&lt;&gt;"",'SPC background (hide)'!C28,NA())</f>
        <v>#N/A</v>
      </c>
      <c r="I28" s="67">
        <f t="shared" ca="1" si="19"/>
        <v>5</v>
      </c>
      <c r="J28" s="5">
        <f t="shared" ca="1" si="20"/>
        <v>0</v>
      </c>
      <c r="K28" s="5">
        <f t="shared" ca="1" si="21"/>
        <v>0</v>
      </c>
      <c r="L28" s="5">
        <f t="shared" ca="1" si="22"/>
        <v>0</v>
      </c>
      <c r="M28" s="5">
        <f t="shared" ca="1" si="23"/>
        <v>0</v>
      </c>
      <c r="N28" s="5">
        <f t="shared" ca="1" si="24"/>
        <v>0</v>
      </c>
      <c r="O28" s="5">
        <f t="shared" ca="1" si="25"/>
        <v>0</v>
      </c>
      <c r="P28" s="5">
        <f t="shared" ca="1" si="26"/>
        <v>0</v>
      </c>
      <c r="Q28" s="5" t="e">
        <f t="shared" ca="1" si="27"/>
        <v>#N/A</v>
      </c>
      <c r="R28" s="5">
        <f t="shared" ca="1" si="32"/>
        <v>0</v>
      </c>
      <c r="S28" s="67" t="e">
        <f t="shared" ca="1" si="33"/>
        <v>#N/A</v>
      </c>
      <c r="T28" s="67">
        <f t="shared" ca="1" si="34"/>
        <v>0</v>
      </c>
      <c r="U28" s="67" t="e">
        <f t="shared" ca="1" si="35"/>
        <v>#N/A</v>
      </c>
      <c r="V28" s="5">
        <f t="shared" ca="1" si="14"/>
        <v>0</v>
      </c>
      <c r="W28" s="5" t="e">
        <f t="shared" ca="1" si="28"/>
        <v>#N/A</v>
      </c>
      <c r="X28" s="67">
        <f t="shared" ca="1" si="29"/>
        <v>0</v>
      </c>
      <c r="Y28" s="67" t="e">
        <f t="shared" ca="1" si="36"/>
        <v>#N/A</v>
      </c>
      <c r="Z28" s="67" t="e">
        <f t="shared" ca="1" si="37"/>
        <v>#N/A</v>
      </c>
      <c r="AA28" s="5" t="str">
        <f>IF(Setup!$I$15="Yes",'Demand background (hide)'!AJ16+'SPC background (hide)'!C28,"")</f>
        <v/>
      </c>
      <c r="AC28" s="5" t="str">
        <f t="shared" ca="1" si="30"/>
        <v/>
      </c>
      <c r="AD28" s="5" t="str">
        <f t="shared" ca="1" si="31"/>
        <v/>
      </c>
      <c r="AG28" s="67" t="e">
        <f t="shared" ca="1" si="12"/>
        <v>#VALUE!</v>
      </c>
      <c r="AH28" s="67">
        <v>27</v>
      </c>
      <c r="AI28" s="67">
        <f t="shared" ca="1" si="4"/>
        <v>5</v>
      </c>
      <c r="AJ28" s="39">
        <f t="shared" ca="1" si="5"/>
        <v>0</v>
      </c>
      <c r="AK28" s="39">
        <f t="shared" ca="1" si="6"/>
        <v>0</v>
      </c>
      <c r="AL28" s="39">
        <f t="shared" ca="1" si="7"/>
        <v>0</v>
      </c>
      <c r="AM28" s="39">
        <f t="shared" ca="1" si="8"/>
        <v>0</v>
      </c>
      <c r="AN28" s="39">
        <f t="shared" ca="1" si="9"/>
        <v>0</v>
      </c>
      <c r="AO28" s="39">
        <f t="shared" ca="1" si="0"/>
        <v>0</v>
      </c>
      <c r="AP28" s="39">
        <f t="shared" ca="1" si="1"/>
        <v>0</v>
      </c>
      <c r="AQ28" s="39">
        <f t="shared" ca="1" si="2"/>
        <v>0</v>
      </c>
      <c r="AR28" s="5" t="str">
        <f t="shared" ca="1" si="10"/>
        <v/>
      </c>
      <c r="AS28" s="5" t="str">
        <f t="shared" ca="1" si="3"/>
        <v/>
      </c>
      <c r="AT28" s="5" t="str">
        <f t="shared" ca="1" si="11"/>
        <v/>
      </c>
    </row>
    <row r="29" spans="1:46" x14ac:dyDescent="0.2">
      <c r="A29" s="67" t="str">
        <f ca="1">Demand!C26</f>
        <v/>
      </c>
      <c r="B29" s="67">
        <v>14</v>
      </c>
      <c r="C29" s="5">
        <f ca="1">'Demand background (hide)'!Y17</f>
        <v>0</v>
      </c>
      <c r="D29" s="67">
        <f t="shared" si="15"/>
        <v>0</v>
      </c>
      <c r="E29" s="67" t="e">
        <f t="shared" ca="1" si="16"/>
        <v>#N/A</v>
      </c>
      <c r="F29" s="67" t="e">
        <f t="shared" ca="1" si="17"/>
        <v>#N/A</v>
      </c>
      <c r="G29" s="67" t="e">
        <f t="shared" ca="1" si="18"/>
        <v>#N/A</v>
      </c>
      <c r="H29" s="67" t="e">
        <f>IF('Demand background (hide)'!AN17&lt;&gt;"",'SPC background (hide)'!C29,NA())</f>
        <v>#N/A</v>
      </c>
      <c r="I29" s="67">
        <f t="shared" ca="1" si="19"/>
        <v>5</v>
      </c>
      <c r="J29" s="5">
        <f t="shared" ca="1" si="20"/>
        <v>0</v>
      </c>
      <c r="K29" s="5">
        <f t="shared" ca="1" si="21"/>
        <v>0</v>
      </c>
      <c r="L29" s="5">
        <f t="shared" ca="1" si="22"/>
        <v>0</v>
      </c>
      <c r="M29" s="5">
        <f t="shared" ca="1" si="23"/>
        <v>0</v>
      </c>
      <c r="N29" s="5">
        <f t="shared" ca="1" si="24"/>
        <v>0</v>
      </c>
      <c r="O29" s="5">
        <f t="shared" ca="1" si="25"/>
        <v>0</v>
      </c>
      <c r="P29" s="5">
        <f t="shared" ca="1" si="26"/>
        <v>0</v>
      </c>
      <c r="Q29" s="5" t="e">
        <f t="shared" ca="1" si="27"/>
        <v>#N/A</v>
      </c>
      <c r="R29" s="5">
        <f t="shared" ca="1" si="32"/>
        <v>0</v>
      </c>
      <c r="S29" s="67" t="e">
        <f t="shared" ca="1" si="33"/>
        <v>#N/A</v>
      </c>
      <c r="T29" s="67">
        <f t="shared" ca="1" si="34"/>
        <v>0</v>
      </c>
      <c r="U29" s="67" t="e">
        <f t="shared" ca="1" si="35"/>
        <v>#N/A</v>
      </c>
      <c r="V29" s="5">
        <f t="shared" ca="1" si="14"/>
        <v>0</v>
      </c>
      <c r="W29" s="5" t="e">
        <f t="shared" ca="1" si="28"/>
        <v>#N/A</v>
      </c>
      <c r="X29" s="67">
        <f t="shared" ca="1" si="29"/>
        <v>0</v>
      </c>
      <c r="Y29" s="67" t="e">
        <f t="shared" ca="1" si="36"/>
        <v>#N/A</v>
      </c>
      <c r="Z29" s="67" t="e">
        <f t="shared" ca="1" si="37"/>
        <v>#N/A</v>
      </c>
      <c r="AA29" s="5" t="str">
        <f>IF(Setup!$I$15="Yes",'Demand background (hide)'!AJ17+'SPC background (hide)'!C29,"")</f>
        <v/>
      </c>
      <c r="AC29" s="5" t="str">
        <f t="shared" ca="1" si="30"/>
        <v/>
      </c>
      <c r="AD29" s="5" t="str">
        <f t="shared" ca="1" si="31"/>
        <v/>
      </c>
      <c r="AG29" s="67" t="e">
        <f t="shared" ca="1" si="12"/>
        <v>#VALUE!</v>
      </c>
      <c r="AH29" s="67">
        <v>28</v>
      </c>
      <c r="AI29" s="67">
        <f t="shared" ca="1" si="4"/>
        <v>5</v>
      </c>
      <c r="AJ29" s="39">
        <f t="shared" ca="1" si="5"/>
        <v>0</v>
      </c>
      <c r="AK29" s="39">
        <f t="shared" ca="1" si="6"/>
        <v>0</v>
      </c>
      <c r="AL29" s="39">
        <f t="shared" ca="1" si="7"/>
        <v>0</v>
      </c>
      <c r="AM29" s="39">
        <f t="shared" ca="1" si="8"/>
        <v>0</v>
      </c>
      <c r="AN29" s="39">
        <f t="shared" ca="1" si="9"/>
        <v>0</v>
      </c>
      <c r="AO29" s="39">
        <f t="shared" ca="1" si="0"/>
        <v>0</v>
      </c>
      <c r="AP29" s="39">
        <f t="shared" ca="1" si="1"/>
        <v>0</v>
      </c>
      <c r="AQ29" s="39">
        <f t="shared" ca="1" si="2"/>
        <v>0</v>
      </c>
      <c r="AR29" s="5" t="str">
        <f t="shared" ca="1" si="10"/>
        <v/>
      </c>
      <c r="AS29" s="5" t="str">
        <f t="shared" ca="1" si="3"/>
        <v/>
      </c>
      <c r="AT29" s="5" t="str">
        <f t="shared" ca="1" si="11"/>
        <v/>
      </c>
    </row>
    <row r="30" spans="1:46" x14ac:dyDescent="0.2">
      <c r="A30" s="67" t="str">
        <f ca="1">Demand!C27</f>
        <v/>
      </c>
      <c r="B30" s="67">
        <v>15</v>
      </c>
      <c r="C30" s="5">
        <f ca="1">'Demand background (hide)'!Y18</f>
        <v>0</v>
      </c>
      <c r="D30" s="67">
        <f t="shared" si="15"/>
        <v>0</v>
      </c>
      <c r="E30" s="67" t="e">
        <f t="shared" ca="1" si="16"/>
        <v>#N/A</v>
      </c>
      <c r="F30" s="67" t="e">
        <f t="shared" ca="1" si="17"/>
        <v>#N/A</v>
      </c>
      <c r="G30" s="67" t="e">
        <f t="shared" ca="1" si="18"/>
        <v>#N/A</v>
      </c>
      <c r="H30" s="67" t="e">
        <f>IF('Demand background (hide)'!AN18&lt;&gt;"",'SPC background (hide)'!C30,NA())</f>
        <v>#N/A</v>
      </c>
      <c r="I30" s="67">
        <f t="shared" ca="1" si="19"/>
        <v>5</v>
      </c>
      <c r="J30" s="5">
        <f t="shared" ca="1" si="20"/>
        <v>0</v>
      </c>
      <c r="K30" s="5">
        <f t="shared" ca="1" si="21"/>
        <v>0</v>
      </c>
      <c r="L30" s="5">
        <f t="shared" ca="1" si="22"/>
        <v>0</v>
      </c>
      <c r="M30" s="5">
        <f t="shared" ca="1" si="23"/>
        <v>0</v>
      </c>
      <c r="N30" s="5">
        <f t="shared" ca="1" si="24"/>
        <v>0</v>
      </c>
      <c r="O30" s="5">
        <f t="shared" ca="1" si="25"/>
        <v>0</v>
      </c>
      <c r="P30" s="5">
        <f t="shared" ca="1" si="26"/>
        <v>0</v>
      </c>
      <c r="Q30" s="5" t="e">
        <f t="shared" ca="1" si="27"/>
        <v>#N/A</v>
      </c>
      <c r="R30" s="5">
        <f t="shared" ca="1" si="32"/>
        <v>0</v>
      </c>
      <c r="S30" s="67" t="e">
        <f t="shared" ca="1" si="33"/>
        <v>#N/A</v>
      </c>
      <c r="T30" s="67">
        <f t="shared" ca="1" si="34"/>
        <v>0</v>
      </c>
      <c r="U30" s="67" t="e">
        <f t="shared" ca="1" si="35"/>
        <v>#N/A</v>
      </c>
      <c r="V30" s="5">
        <f t="shared" ca="1" si="14"/>
        <v>0</v>
      </c>
      <c r="W30" s="5" t="e">
        <f t="shared" ca="1" si="28"/>
        <v>#N/A</v>
      </c>
      <c r="X30" s="67">
        <f t="shared" ca="1" si="29"/>
        <v>0</v>
      </c>
      <c r="Y30" s="67" t="e">
        <f t="shared" ca="1" si="36"/>
        <v>#N/A</v>
      </c>
      <c r="Z30" s="67" t="e">
        <f t="shared" ca="1" si="37"/>
        <v>#N/A</v>
      </c>
      <c r="AA30" s="5" t="str">
        <f>IF(Setup!$I$15="Yes",'Demand background (hide)'!AJ18+'SPC background (hide)'!C30,"")</f>
        <v/>
      </c>
      <c r="AC30" s="5" t="str">
        <f t="shared" ca="1" si="30"/>
        <v/>
      </c>
      <c r="AD30" s="5" t="str">
        <f t="shared" ca="1" si="31"/>
        <v/>
      </c>
      <c r="AG30" s="67" t="e">
        <f t="shared" ca="1" si="12"/>
        <v>#VALUE!</v>
      </c>
      <c r="AH30" s="67">
        <v>29</v>
      </c>
      <c r="AI30" s="67">
        <f t="shared" ca="1" si="4"/>
        <v>5</v>
      </c>
      <c r="AJ30" s="39">
        <f t="shared" ca="1" si="5"/>
        <v>0</v>
      </c>
      <c r="AK30" s="39">
        <f t="shared" ca="1" si="6"/>
        <v>0</v>
      </c>
      <c r="AL30" s="39">
        <f t="shared" ca="1" si="7"/>
        <v>0</v>
      </c>
      <c r="AM30" s="39">
        <f t="shared" ca="1" si="8"/>
        <v>0</v>
      </c>
      <c r="AN30" s="39">
        <f t="shared" ca="1" si="9"/>
        <v>0</v>
      </c>
      <c r="AO30" s="39">
        <f t="shared" ca="1" si="0"/>
        <v>0</v>
      </c>
      <c r="AP30" s="39">
        <f t="shared" ca="1" si="1"/>
        <v>0</v>
      </c>
      <c r="AQ30" s="39">
        <f t="shared" ca="1" si="2"/>
        <v>0</v>
      </c>
      <c r="AR30" s="5" t="str">
        <f t="shared" ca="1" si="10"/>
        <v/>
      </c>
      <c r="AS30" s="5" t="str">
        <f t="shared" ca="1" si="3"/>
        <v/>
      </c>
      <c r="AT30" s="5" t="str">
        <f t="shared" ca="1" si="11"/>
        <v/>
      </c>
    </row>
    <row r="31" spans="1:46" x14ac:dyDescent="0.2">
      <c r="A31" s="67" t="str">
        <f ca="1">Demand!C28</f>
        <v/>
      </c>
      <c r="B31" s="67">
        <v>16</v>
      </c>
      <c r="C31" s="5">
        <f ca="1">'Demand background (hide)'!Y19</f>
        <v>0</v>
      </c>
      <c r="D31" s="67">
        <f t="shared" si="15"/>
        <v>0</v>
      </c>
      <c r="E31" s="67" t="e">
        <f t="shared" ca="1" si="16"/>
        <v>#N/A</v>
      </c>
      <c r="F31" s="67" t="e">
        <f t="shared" ca="1" si="17"/>
        <v>#N/A</v>
      </c>
      <c r="G31" s="67" t="e">
        <f t="shared" ca="1" si="18"/>
        <v>#N/A</v>
      </c>
      <c r="H31" s="67" t="e">
        <f>IF('Demand background (hide)'!AN19&lt;&gt;"",'SPC background (hide)'!C31,NA())</f>
        <v>#N/A</v>
      </c>
      <c r="I31" s="67">
        <f t="shared" ca="1" si="19"/>
        <v>5</v>
      </c>
      <c r="J31" s="5">
        <f t="shared" ca="1" si="20"/>
        <v>0</v>
      </c>
      <c r="K31" s="5">
        <f t="shared" ca="1" si="21"/>
        <v>0</v>
      </c>
      <c r="L31" s="5">
        <f t="shared" ca="1" si="22"/>
        <v>0</v>
      </c>
      <c r="M31" s="5">
        <f t="shared" ca="1" si="23"/>
        <v>0</v>
      </c>
      <c r="N31" s="5">
        <f t="shared" ca="1" si="24"/>
        <v>0</v>
      </c>
      <c r="O31" s="5">
        <f t="shared" ca="1" si="25"/>
        <v>0</v>
      </c>
      <c r="P31" s="5">
        <f t="shared" ca="1" si="26"/>
        <v>0</v>
      </c>
      <c r="Q31" s="5" t="e">
        <f t="shared" ca="1" si="27"/>
        <v>#N/A</v>
      </c>
      <c r="R31" s="5">
        <f t="shared" ca="1" si="32"/>
        <v>0</v>
      </c>
      <c r="S31" s="67" t="e">
        <f t="shared" ca="1" si="33"/>
        <v>#N/A</v>
      </c>
      <c r="T31" s="67">
        <f t="shared" ca="1" si="34"/>
        <v>0</v>
      </c>
      <c r="U31" s="67" t="e">
        <f t="shared" ca="1" si="35"/>
        <v>#N/A</v>
      </c>
      <c r="V31" s="5">
        <f t="shared" ca="1" si="14"/>
        <v>0</v>
      </c>
      <c r="W31" s="5" t="e">
        <f t="shared" ca="1" si="28"/>
        <v>#N/A</v>
      </c>
      <c r="X31" s="67">
        <f t="shared" ca="1" si="29"/>
        <v>0</v>
      </c>
      <c r="Y31" s="67" t="e">
        <f t="shared" ca="1" si="36"/>
        <v>#N/A</v>
      </c>
      <c r="Z31" s="67" t="e">
        <f t="shared" ca="1" si="37"/>
        <v>#N/A</v>
      </c>
      <c r="AA31" s="5" t="str">
        <f>IF(Setup!$I$15="Yes",'Demand background (hide)'!AJ19+'SPC background (hide)'!C31,"")</f>
        <v/>
      </c>
      <c r="AC31" s="5" t="str">
        <f t="shared" ca="1" si="30"/>
        <v/>
      </c>
      <c r="AD31" s="5" t="str">
        <f t="shared" ca="1" si="31"/>
        <v/>
      </c>
      <c r="AG31" s="67" t="e">
        <f t="shared" ca="1" si="12"/>
        <v>#VALUE!</v>
      </c>
      <c r="AH31" s="67">
        <v>30</v>
      </c>
      <c r="AI31" s="67">
        <f t="shared" ca="1" si="4"/>
        <v>5</v>
      </c>
      <c r="AJ31" s="39">
        <f t="shared" ca="1" si="5"/>
        <v>0</v>
      </c>
      <c r="AK31" s="39">
        <f t="shared" ca="1" si="6"/>
        <v>0</v>
      </c>
      <c r="AL31" s="39">
        <f t="shared" ca="1" si="7"/>
        <v>0</v>
      </c>
      <c r="AM31" s="39">
        <f t="shared" ca="1" si="8"/>
        <v>0</v>
      </c>
      <c r="AN31" s="39">
        <f t="shared" ca="1" si="9"/>
        <v>0</v>
      </c>
      <c r="AO31" s="39">
        <f t="shared" ca="1" si="0"/>
        <v>0</v>
      </c>
      <c r="AP31" s="39">
        <f t="shared" ca="1" si="1"/>
        <v>0</v>
      </c>
      <c r="AQ31" s="39">
        <f t="shared" ca="1" si="2"/>
        <v>0</v>
      </c>
      <c r="AR31" s="5" t="str">
        <f t="shared" ca="1" si="10"/>
        <v/>
      </c>
      <c r="AS31" s="5" t="str">
        <f t="shared" ca="1" si="3"/>
        <v/>
      </c>
      <c r="AT31" s="5" t="str">
        <f t="shared" ca="1" si="11"/>
        <v/>
      </c>
    </row>
    <row r="32" spans="1:46" x14ac:dyDescent="0.2">
      <c r="A32" s="67" t="str">
        <f ca="1">Demand!C29</f>
        <v/>
      </c>
      <c r="B32" s="67">
        <v>17</v>
      </c>
      <c r="C32" s="5">
        <f ca="1">'Demand background (hide)'!Y20</f>
        <v>0</v>
      </c>
      <c r="D32" s="67">
        <f t="shared" si="15"/>
        <v>0</v>
      </c>
      <c r="E32" s="67" t="e">
        <f t="shared" ca="1" si="16"/>
        <v>#N/A</v>
      </c>
      <c r="F32" s="67" t="e">
        <f t="shared" ca="1" si="17"/>
        <v>#N/A</v>
      </c>
      <c r="G32" s="67" t="e">
        <f t="shared" ca="1" si="18"/>
        <v>#N/A</v>
      </c>
      <c r="H32" s="67" t="e">
        <f>IF('Demand background (hide)'!AN20&lt;&gt;"",'SPC background (hide)'!C32,NA())</f>
        <v>#N/A</v>
      </c>
      <c r="I32" s="67">
        <f t="shared" ca="1" si="19"/>
        <v>5</v>
      </c>
      <c r="J32" s="5">
        <f t="shared" ca="1" si="20"/>
        <v>0</v>
      </c>
      <c r="K32" s="5">
        <f t="shared" ca="1" si="21"/>
        <v>0</v>
      </c>
      <c r="L32" s="5">
        <f t="shared" ca="1" si="22"/>
        <v>0</v>
      </c>
      <c r="M32" s="5">
        <f t="shared" ca="1" si="23"/>
        <v>0</v>
      </c>
      <c r="N32" s="5">
        <f t="shared" ca="1" si="24"/>
        <v>0</v>
      </c>
      <c r="O32" s="5">
        <f t="shared" ca="1" si="25"/>
        <v>0</v>
      </c>
      <c r="P32" s="5">
        <f t="shared" ca="1" si="26"/>
        <v>0</v>
      </c>
      <c r="Q32" s="5" t="e">
        <f t="shared" ca="1" si="27"/>
        <v>#N/A</v>
      </c>
      <c r="R32" s="5">
        <f t="shared" ca="1" si="32"/>
        <v>0</v>
      </c>
      <c r="S32" s="67" t="e">
        <f t="shared" ca="1" si="33"/>
        <v>#N/A</v>
      </c>
      <c r="T32" s="67">
        <f t="shared" ca="1" si="34"/>
        <v>0</v>
      </c>
      <c r="U32" s="67" t="e">
        <f t="shared" ca="1" si="35"/>
        <v>#N/A</v>
      </c>
      <c r="V32" s="5">
        <f t="shared" ca="1" si="14"/>
        <v>0</v>
      </c>
      <c r="W32" s="5" t="e">
        <f t="shared" ca="1" si="28"/>
        <v>#N/A</v>
      </c>
      <c r="X32" s="67">
        <f t="shared" ca="1" si="29"/>
        <v>0</v>
      </c>
      <c r="Y32" s="67" t="e">
        <f t="shared" ca="1" si="36"/>
        <v>#N/A</v>
      </c>
      <c r="Z32" s="67" t="e">
        <f t="shared" ca="1" si="37"/>
        <v>#N/A</v>
      </c>
      <c r="AA32" s="5" t="str">
        <f>IF(Setup!$I$15="Yes",'Demand background (hide)'!AJ20+'SPC background (hide)'!C32,"")</f>
        <v/>
      </c>
      <c r="AC32" s="5" t="str">
        <f t="shared" ca="1" si="30"/>
        <v/>
      </c>
      <c r="AD32" s="5" t="str">
        <f t="shared" ca="1" si="31"/>
        <v/>
      </c>
      <c r="AG32" s="67" t="e">
        <f t="shared" ca="1" si="12"/>
        <v>#VALUE!</v>
      </c>
      <c r="AH32" s="67">
        <v>31</v>
      </c>
      <c r="AI32" s="67">
        <f t="shared" ca="1" si="4"/>
        <v>5</v>
      </c>
      <c r="AJ32" s="39">
        <f t="shared" ca="1" si="5"/>
        <v>0</v>
      </c>
      <c r="AK32" s="39">
        <f t="shared" ca="1" si="6"/>
        <v>0</v>
      </c>
      <c r="AL32" s="39">
        <f t="shared" ca="1" si="7"/>
        <v>0</v>
      </c>
      <c r="AM32" s="39">
        <f t="shared" ca="1" si="8"/>
        <v>0</v>
      </c>
      <c r="AN32" s="39">
        <f t="shared" ca="1" si="9"/>
        <v>0</v>
      </c>
      <c r="AO32" s="39">
        <f t="shared" ca="1" si="0"/>
        <v>0</v>
      </c>
      <c r="AP32" s="39">
        <f t="shared" ca="1" si="1"/>
        <v>0</v>
      </c>
      <c r="AQ32" s="39">
        <f t="shared" ca="1" si="2"/>
        <v>0</v>
      </c>
      <c r="AR32" s="5" t="str">
        <f t="shared" ca="1" si="10"/>
        <v/>
      </c>
      <c r="AS32" s="5" t="str">
        <f t="shared" ca="1" si="3"/>
        <v/>
      </c>
      <c r="AT32" s="5" t="str">
        <f t="shared" ca="1" si="11"/>
        <v/>
      </c>
    </row>
    <row r="33" spans="1:46" x14ac:dyDescent="0.2">
      <c r="A33" s="67" t="str">
        <f ca="1">Demand!C30</f>
        <v/>
      </c>
      <c r="B33" s="67">
        <v>18</v>
      </c>
      <c r="C33" s="5">
        <f ca="1">'Demand background (hide)'!Y21</f>
        <v>0</v>
      </c>
      <c r="D33" s="67">
        <f t="shared" si="15"/>
        <v>0</v>
      </c>
      <c r="E33" s="67" t="e">
        <f t="shared" ca="1" si="16"/>
        <v>#N/A</v>
      </c>
      <c r="F33" s="67" t="e">
        <f t="shared" ca="1" si="17"/>
        <v>#N/A</v>
      </c>
      <c r="G33" s="67" t="e">
        <f t="shared" ca="1" si="18"/>
        <v>#N/A</v>
      </c>
      <c r="H33" s="67" t="e">
        <f>IF('Demand background (hide)'!AN21&lt;&gt;"",'SPC background (hide)'!C33,NA())</f>
        <v>#N/A</v>
      </c>
      <c r="I33" s="67">
        <f t="shared" ca="1" si="19"/>
        <v>5</v>
      </c>
      <c r="J33" s="5">
        <f t="shared" ca="1" si="20"/>
        <v>0</v>
      </c>
      <c r="K33" s="5">
        <f t="shared" ca="1" si="21"/>
        <v>0</v>
      </c>
      <c r="L33" s="5">
        <f t="shared" ca="1" si="22"/>
        <v>0</v>
      </c>
      <c r="M33" s="5">
        <f t="shared" ca="1" si="23"/>
        <v>0</v>
      </c>
      <c r="N33" s="5">
        <f t="shared" ca="1" si="24"/>
        <v>0</v>
      </c>
      <c r="O33" s="5">
        <f t="shared" ca="1" si="25"/>
        <v>0</v>
      </c>
      <c r="P33" s="5">
        <f t="shared" ca="1" si="26"/>
        <v>0</v>
      </c>
      <c r="Q33" s="5" t="e">
        <f t="shared" ca="1" si="27"/>
        <v>#N/A</v>
      </c>
      <c r="R33" s="5">
        <f t="shared" ca="1" si="32"/>
        <v>0</v>
      </c>
      <c r="S33" s="67" t="e">
        <f t="shared" ca="1" si="33"/>
        <v>#N/A</v>
      </c>
      <c r="T33" s="67">
        <f t="shared" ca="1" si="34"/>
        <v>0</v>
      </c>
      <c r="U33" s="67" t="e">
        <f t="shared" ca="1" si="35"/>
        <v>#N/A</v>
      </c>
      <c r="V33" s="5">
        <f t="shared" ca="1" si="14"/>
        <v>0</v>
      </c>
      <c r="W33" s="5" t="e">
        <f t="shared" ca="1" si="28"/>
        <v>#N/A</v>
      </c>
      <c r="X33" s="67">
        <f t="shared" ca="1" si="29"/>
        <v>0</v>
      </c>
      <c r="Y33" s="67" t="e">
        <f t="shared" ca="1" si="36"/>
        <v>#N/A</v>
      </c>
      <c r="Z33" s="67" t="e">
        <f t="shared" ca="1" si="37"/>
        <v>#N/A</v>
      </c>
      <c r="AA33" s="5" t="str">
        <f>IF(Setup!$I$15="Yes",'Demand background (hide)'!AJ21+'SPC background (hide)'!C33,"")</f>
        <v/>
      </c>
      <c r="AC33" s="5" t="str">
        <f t="shared" ca="1" si="30"/>
        <v/>
      </c>
      <c r="AD33" s="5" t="str">
        <f t="shared" ca="1" si="31"/>
        <v/>
      </c>
      <c r="AG33" s="67" t="e">
        <f t="shared" ca="1" si="12"/>
        <v>#VALUE!</v>
      </c>
      <c r="AH33" s="67">
        <v>32</v>
      </c>
      <c r="AI33" s="67">
        <f t="shared" ca="1" si="4"/>
        <v>5</v>
      </c>
      <c r="AJ33" s="39">
        <f t="shared" ca="1" si="5"/>
        <v>0</v>
      </c>
      <c r="AK33" s="39">
        <f t="shared" ca="1" si="6"/>
        <v>0</v>
      </c>
      <c r="AL33" s="39">
        <f t="shared" ca="1" si="7"/>
        <v>0</v>
      </c>
      <c r="AM33" s="39">
        <f t="shared" ca="1" si="8"/>
        <v>0</v>
      </c>
      <c r="AN33" s="39">
        <f t="shared" ca="1" si="9"/>
        <v>0</v>
      </c>
      <c r="AO33" s="39">
        <f t="shared" ca="1" si="0"/>
        <v>0</v>
      </c>
      <c r="AP33" s="39">
        <f t="shared" ca="1" si="1"/>
        <v>0</v>
      </c>
      <c r="AQ33" s="39">
        <f t="shared" ca="1" si="2"/>
        <v>0</v>
      </c>
      <c r="AR33" s="5" t="str">
        <f t="shared" ca="1" si="10"/>
        <v/>
      </c>
      <c r="AS33" s="5" t="str">
        <f t="shared" ca="1" si="3"/>
        <v/>
      </c>
      <c r="AT33" s="5" t="str">
        <f t="shared" ca="1" si="11"/>
        <v/>
      </c>
    </row>
    <row r="34" spans="1:46" x14ac:dyDescent="0.2">
      <c r="A34" s="67" t="str">
        <f ca="1">Demand!C31</f>
        <v/>
      </c>
      <c r="B34" s="67">
        <v>19</v>
      </c>
      <c r="C34" s="5">
        <f ca="1">'Demand background (hide)'!Y22</f>
        <v>0</v>
      </c>
      <c r="D34" s="67">
        <f t="shared" si="15"/>
        <v>0</v>
      </c>
      <c r="E34" s="67" t="e">
        <f t="shared" ca="1" si="16"/>
        <v>#N/A</v>
      </c>
      <c r="F34" s="67" t="e">
        <f t="shared" ca="1" si="17"/>
        <v>#N/A</v>
      </c>
      <c r="G34" s="67" t="e">
        <f t="shared" ca="1" si="18"/>
        <v>#N/A</v>
      </c>
      <c r="H34" s="67" t="e">
        <f>IF('Demand background (hide)'!AN22&lt;&gt;"",'SPC background (hide)'!C34,NA())</f>
        <v>#N/A</v>
      </c>
      <c r="I34" s="67">
        <f t="shared" ca="1" si="19"/>
        <v>5</v>
      </c>
      <c r="J34" s="5">
        <f t="shared" ca="1" si="20"/>
        <v>0</v>
      </c>
      <c r="K34" s="5">
        <f t="shared" ca="1" si="21"/>
        <v>0</v>
      </c>
      <c r="L34" s="5">
        <f t="shared" ca="1" si="22"/>
        <v>0</v>
      </c>
      <c r="M34" s="5">
        <f t="shared" ca="1" si="23"/>
        <v>0</v>
      </c>
      <c r="N34" s="5">
        <f t="shared" ca="1" si="24"/>
        <v>0</v>
      </c>
      <c r="O34" s="5">
        <f t="shared" ca="1" si="25"/>
        <v>0</v>
      </c>
      <c r="P34" s="5">
        <f t="shared" ca="1" si="26"/>
        <v>0</v>
      </c>
      <c r="Q34" s="5" t="e">
        <f t="shared" ca="1" si="27"/>
        <v>#N/A</v>
      </c>
      <c r="R34" s="5">
        <f t="shared" ca="1" si="32"/>
        <v>0</v>
      </c>
      <c r="S34" s="67" t="e">
        <f t="shared" ca="1" si="33"/>
        <v>#N/A</v>
      </c>
      <c r="T34" s="67">
        <f t="shared" ca="1" si="34"/>
        <v>0</v>
      </c>
      <c r="U34" s="67" t="e">
        <f t="shared" ca="1" si="35"/>
        <v>#N/A</v>
      </c>
      <c r="V34" s="5">
        <f t="shared" ca="1" si="14"/>
        <v>0</v>
      </c>
      <c r="W34" s="5" t="e">
        <f t="shared" ca="1" si="28"/>
        <v>#N/A</v>
      </c>
      <c r="X34" s="67">
        <f t="shared" ca="1" si="29"/>
        <v>0</v>
      </c>
      <c r="Y34" s="67" t="e">
        <f t="shared" ca="1" si="36"/>
        <v>#N/A</v>
      </c>
      <c r="Z34" s="67" t="e">
        <f t="shared" ca="1" si="37"/>
        <v>#N/A</v>
      </c>
      <c r="AA34" s="5" t="str">
        <f>IF(Setup!$I$15="Yes",'Demand background (hide)'!AJ22+'SPC background (hide)'!C34,"")</f>
        <v/>
      </c>
      <c r="AC34" s="5" t="str">
        <f t="shared" ca="1" si="30"/>
        <v/>
      </c>
      <c r="AD34" s="5" t="str">
        <f t="shared" ca="1" si="31"/>
        <v/>
      </c>
      <c r="AG34" s="67" t="e">
        <f ca="1">IF(MOD(AG33+1,53)=0,53,MOD(AG33+1,53))</f>
        <v>#VALUE!</v>
      </c>
      <c r="AH34" s="67">
        <v>33</v>
      </c>
      <c r="AI34" s="67">
        <f t="shared" ca="1" si="4"/>
        <v>5</v>
      </c>
      <c r="AJ34" s="39">
        <f t="shared" ca="1" si="5"/>
        <v>0</v>
      </c>
      <c r="AK34" s="39">
        <f t="shared" ca="1" si="6"/>
        <v>0</v>
      </c>
      <c r="AL34" s="39">
        <f t="shared" ca="1" si="7"/>
        <v>0</v>
      </c>
      <c r="AM34" s="39">
        <f t="shared" ca="1" si="8"/>
        <v>0</v>
      </c>
      <c r="AN34" s="39">
        <f t="shared" ca="1" si="9"/>
        <v>0</v>
      </c>
      <c r="AO34" s="39">
        <f t="shared" ca="1" si="0"/>
        <v>0</v>
      </c>
      <c r="AP34" s="39">
        <f t="shared" ca="1" si="1"/>
        <v>0</v>
      </c>
      <c r="AQ34" s="39">
        <f t="shared" ca="1" si="2"/>
        <v>0</v>
      </c>
      <c r="AR34" s="5" t="str">
        <f t="shared" ca="1" si="10"/>
        <v/>
      </c>
      <c r="AS34" s="5" t="str">
        <f t="shared" ca="1" si="3"/>
        <v/>
      </c>
      <c r="AT34" s="5" t="str">
        <f t="shared" ca="1" si="11"/>
        <v/>
      </c>
    </row>
    <row r="35" spans="1:46" x14ac:dyDescent="0.2">
      <c r="A35" s="67" t="str">
        <f ca="1">Demand!C32</f>
        <v/>
      </c>
      <c r="B35" s="67">
        <v>20</v>
      </c>
      <c r="C35" s="5">
        <f ca="1">'Demand background (hide)'!Y23</f>
        <v>0</v>
      </c>
      <c r="D35" s="67">
        <f t="shared" si="15"/>
        <v>0</v>
      </c>
      <c r="E35" s="67" t="e">
        <f t="shared" ca="1" si="16"/>
        <v>#N/A</v>
      </c>
      <c r="F35" s="67" t="e">
        <f t="shared" ca="1" si="17"/>
        <v>#N/A</v>
      </c>
      <c r="G35" s="67" t="e">
        <f t="shared" ca="1" si="18"/>
        <v>#N/A</v>
      </c>
      <c r="H35" s="67" t="e">
        <f>IF('Demand background (hide)'!AN23&lt;&gt;"",'SPC background (hide)'!C35,NA())</f>
        <v>#N/A</v>
      </c>
      <c r="I35" s="67">
        <f t="shared" ca="1" si="19"/>
        <v>5</v>
      </c>
      <c r="J35" s="5">
        <f t="shared" ca="1" si="20"/>
        <v>0</v>
      </c>
      <c r="K35" s="5">
        <f t="shared" ca="1" si="21"/>
        <v>0</v>
      </c>
      <c r="L35" s="5">
        <f t="shared" ca="1" si="22"/>
        <v>0</v>
      </c>
      <c r="M35" s="5">
        <f t="shared" ca="1" si="23"/>
        <v>0</v>
      </c>
      <c r="N35" s="5">
        <f t="shared" ca="1" si="24"/>
        <v>0</v>
      </c>
      <c r="O35" s="5">
        <f t="shared" ca="1" si="25"/>
        <v>0</v>
      </c>
      <c r="P35" s="5">
        <f t="shared" ca="1" si="26"/>
        <v>0</v>
      </c>
      <c r="Q35" s="5" t="e">
        <f t="shared" ca="1" si="27"/>
        <v>#N/A</v>
      </c>
      <c r="R35" s="5">
        <f t="shared" ca="1" si="32"/>
        <v>0</v>
      </c>
      <c r="S35" s="67" t="e">
        <f t="shared" ca="1" si="33"/>
        <v>#N/A</v>
      </c>
      <c r="T35" s="67">
        <f t="shared" ca="1" si="34"/>
        <v>0</v>
      </c>
      <c r="U35" s="67" t="e">
        <f t="shared" ca="1" si="35"/>
        <v>#N/A</v>
      </c>
      <c r="V35" s="5">
        <f t="shared" ca="1" si="14"/>
        <v>0</v>
      </c>
      <c r="W35" s="5" t="e">
        <f t="shared" ca="1" si="28"/>
        <v>#N/A</v>
      </c>
      <c r="X35" s="67">
        <f t="shared" ca="1" si="29"/>
        <v>0</v>
      </c>
      <c r="Y35" s="67" t="e">
        <f t="shared" ca="1" si="36"/>
        <v>#N/A</v>
      </c>
      <c r="Z35" s="67" t="e">
        <f t="shared" ca="1" si="37"/>
        <v>#N/A</v>
      </c>
      <c r="AA35" s="5" t="str">
        <f>IF(Setup!$I$15="Yes",'Demand background (hide)'!AJ23+'SPC background (hide)'!C35,"")</f>
        <v/>
      </c>
      <c r="AC35" s="5" t="str">
        <f t="shared" ca="1" si="30"/>
        <v/>
      </c>
      <c r="AD35" s="5" t="str">
        <f t="shared" ca="1" si="31"/>
        <v/>
      </c>
      <c r="AG35" s="67" t="e">
        <f t="shared" ca="1" si="12"/>
        <v>#VALUE!</v>
      </c>
      <c r="AH35" s="67">
        <v>34</v>
      </c>
      <c r="AI35" s="67">
        <f t="shared" ca="1" si="4"/>
        <v>5</v>
      </c>
      <c r="AJ35" s="39">
        <f t="shared" ca="1" si="5"/>
        <v>0</v>
      </c>
      <c r="AK35" s="39">
        <f t="shared" ca="1" si="6"/>
        <v>0</v>
      </c>
      <c r="AL35" s="39">
        <f t="shared" ca="1" si="7"/>
        <v>0</v>
      </c>
      <c r="AM35" s="39">
        <f t="shared" ca="1" si="8"/>
        <v>0</v>
      </c>
      <c r="AN35" s="39">
        <f t="shared" ca="1" si="9"/>
        <v>0</v>
      </c>
      <c r="AO35" s="39">
        <f t="shared" ca="1" si="0"/>
        <v>0</v>
      </c>
      <c r="AP35" s="39">
        <f t="shared" ca="1" si="1"/>
        <v>0</v>
      </c>
      <c r="AQ35" s="39">
        <f t="shared" ca="1" si="2"/>
        <v>0</v>
      </c>
      <c r="AR35" s="5" t="str">
        <f t="shared" ca="1" si="10"/>
        <v/>
      </c>
      <c r="AS35" s="5" t="str">
        <f t="shared" ca="1" si="3"/>
        <v/>
      </c>
      <c r="AT35" s="5" t="str">
        <f t="shared" ca="1" si="11"/>
        <v/>
      </c>
    </row>
    <row r="36" spans="1:46" x14ac:dyDescent="0.2">
      <c r="A36" s="67" t="str">
        <f ca="1">Demand!C33</f>
        <v/>
      </c>
      <c r="B36" s="67">
        <v>21</v>
      </c>
      <c r="C36" s="5">
        <f ca="1">'Demand background (hide)'!Y24</f>
        <v>0</v>
      </c>
      <c r="D36" s="67">
        <f t="shared" si="15"/>
        <v>0</v>
      </c>
      <c r="E36" s="67" t="e">
        <f t="shared" ca="1" si="16"/>
        <v>#N/A</v>
      </c>
      <c r="F36" s="67" t="e">
        <f t="shared" ca="1" si="17"/>
        <v>#N/A</v>
      </c>
      <c r="G36" s="67" t="e">
        <f t="shared" ca="1" si="18"/>
        <v>#N/A</v>
      </c>
      <c r="H36" s="67" t="e">
        <f>IF('Demand background (hide)'!AN24&lt;&gt;"",'SPC background (hide)'!C36,NA())</f>
        <v>#N/A</v>
      </c>
      <c r="I36" s="67">
        <f t="shared" ca="1" si="19"/>
        <v>5</v>
      </c>
      <c r="J36" s="5">
        <f t="shared" ca="1" si="20"/>
        <v>0</v>
      </c>
      <c r="K36" s="5">
        <f t="shared" ca="1" si="21"/>
        <v>0</v>
      </c>
      <c r="L36" s="5">
        <f t="shared" ca="1" si="22"/>
        <v>0</v>
      </c>
      <c r="M36" s="5">
        <f t="shared" ca="1" si="23"/>
        <v>0</v>
      </c>
      <c r="N36" s="5">
        <f t="shared" ca="1" si="24"/>
        <v>0</v>
      </c>
      <c r="O36" s="5">
        <f t="shared" ca="1" si="25"/>
        <v>0</v>
      </c>
      <c r="P36" s="5">
        <f t="shared" ca="1" si="26"/>
        <v>0</v>
      </c>
      <c r="Q36" s="5" t="e">
        <f t="shared" ca="1" si="27"/>
        <v>#N/A</v>
      </c>
      <c r="R36" s="5">
        <f t="shared" ca="1" si="32"/>
        <v>0</v>
      </c>
      <c r="S36" s="67" t="e">
        <f t="shared" ca="1" si="33"/>
        <v>#N/A</v>
      </c>
      <c r="T36" s="67">
        <f t="shared" ca="1" si="34"/>
        <v>0</v>
      </c>
      <c r="U36" s="67" t="e">
        <f t="shared" ca="1" si="35"/>
        <v>#N/A</v>
      </c>
      <c r="V36" s="5">
        <f t="shared" ca="1" si="14"/>
        <v>0</v>
      </c>
      <c r="W36" s="5" t="e">
        <f t="shared" ca="1" si="28"/>
        <v>#N/A</v>
      </c>
      <c r="X36" s="67">
        <f t="shared" ca="1" si="29"/>
        <v>0</v>
      </c>
      <c r="Y36" s="67" t="e">
        <f t="shared" ca="1" si="36"/>
        <v>#N/A</v>
      </c>
      <c r="Z36" s="67" t="e">
        <f t="shared" ca="1" si="37"/>
        <v>#N/A</v>
      </c>
      <c r="AA36" s="5" t="str">
        <f>IF(Setup!$I$15="Yes",'Demand background (hide)'!AJ24+'SPC background (hide)'!C36,"")</f>
        <v/>
      </c>
      <c r="AC36" s="5" t="str">
        <f t="shared" ca="1" si="30"/>
        <v/>
      </c>
      <c r="AD36" s="5" t="str">
        <f t="shared" ca="1" si="31"/>
        <v/>
      </c>
      <c r="AG36" s="67" t="e">
        <f t="shared" ca="1" si="12"/>
        <v>#VALUE!</v>
      </c>
      <c r="AH36" s="67">
        <v>35</v>
      </c>
      <c r="AI36" s="67">
        <f t="shared" ca="1" si="4"/>
        <v>5</v>
      </c>
      <c r="AJ36" s="39">
        <f t="shared" ca="1" si="5"/>
        <v>0</v>
      </c>
      <c r="AK36" s="39">
        <f t="shared" ca="1" si="6"/>
        <v>0</v>
      </c>
      <c r="AL36" s="39">
        <f t="shared" ca="1" si="7"/>
        <v>0</v>
      </c>
      <c r="AM36" s="39">
        <f t="shared" ca="1" si="8"/>
        <v>0</v>
      </c>
      <c r="AN36" s="39">
        <f t="shared" ca="1" si="9"/>
        <v>0</v>
      </c>
      <c r="AO36" s="39">
        <f t="shared" ca="1" si="0"/>
        <v>0</v>
      </c>
      <c r="AP36" s="39">
        <f t="shared" ca="1" si="1"/>
        <v>0</v>
      </c>
      <c r="AQ36" s="39">
        <f t="shared" ca="1" si="2"/>
        <v>0</v>
      </c>
      <c r="AR36" s="5" t="str">
        <f t="shared" ca="1" si="10"/>
        <v/>
      </c>
      <c r="AS36" s="5" t="str">
        <f t="shared" ca="1" si="3"/>
        <v/>
      </c>
      <c r="AT36" s="5" t="str">
        <f t="shared" ca="1" si="11"/>
        <v/>
      </c>
    </row>
    <row r="37" spans="1:46" x14ac:dyDescent="0.2">
      <c r="A37" s="67" t="str">
        <f ca="1">Demand!C34</f>
        <v/>
      </c>
      <c r="B37" s="67">
        <v>22</v>
      </c>
      <c r="C37" s="5">
        <f ca="1">'Demand background (hide)'!Y25</f>
        <v>0</v>
      </c>
      <c r="D37" s="67">
        <f t="shared" si="15"/>
        <v>0</v>
      </c>
      <c r="E37" s="67" t="e">
        <f t="shared" ca="1" si="16"/>
        <v>#N/A</v>
      </c>
      <c r="F37" s="67" t="e">
        <f t="shared" ca="1" si="17"/>
        <v>#N/A</v>
      </c>
      <c r="G37" s="67" t="e">
        <f t="shared" ca="1" si="18"/>
        <v>#N/A</v>
      </c>
      <c r="H37" s="67" t="e">
        <f>IF('Demand background (hide)'!AN25&lt;&gt;"",'SPC background (hide)'!C37,NA())</f>
        <v>#N/A</v>
      </c>
      <c r="I37" s="67">
        <f t="shared" ca="1" si="19"/>
        <v>5</v>
      </c>
      <c r="J37" s="5">
        <f t="shared" ca="1" si="20"/>
        <v>0</v>
      </c>
      <c r="K37" s="5">
        <f t="shared" ca="1" si="21"/>
        <v>0</v>
      </c>
      <c r="L37" s="5">
        <f t="shared" ca="1" si="22"/>
        <v>0</v>
      </c>
      <c r="M37" s="5">
        <f t="shared" ca="1" si="23"/>
        <v>0</v>
      </c>
      <c r="N37" s="5">
        <f t="shared" ca="1" si="24"/>
        <v>0</v>
      </c>
      <c r="O37" s="5">
        <f t="shared" ca="1" si="25"/>
        <v>0</v>
      </c>
      <c r="P37" s="5">
        <f t="shared" ca="1" si="26"/>
        <v>0</v>
      </c>
      <c r="Q37" s="5" t="e">
        <f t="shared" ca="1" si="27"/>
        <v>#N/A</v>
      </c>
      <c r="R37" s="5">
        <f t="shared" ca="1" si="32"/>
        <v>0</v>
      </c>
      <c r="S37" s="67" t="e">
        <f t="shared" ca="1" si="33"/>
        <v>#N/A</v>
      </c>
      <c r="T37" s="67">
        <f t="shared" ca="1" si="34"/>
        <v>0</v>
      </c>
      <c r="U37" s="67" t="e">
        <f t="shared" ca="1" si="35"/>
        <v>#N/A</v>
      </c>
      <c r="V37" s="5">
        <f t="shared" ca="1" si="14"/>
        <v>0</v>
      </c>
      <c r="W37" s="5" t="e">
        <f t="shared" ca="1" si="28"/>
        <v>#N/A</v>
      </c>
      <c r="X37" s="67">
        <f t="shared" ca="1" si="29"/>
        <v>0</v>
      </c>
      <c r="Y37" s="67" t="e">
        <f t="shared" ca="1" si="36"/>
        <v>#N/A</v>
      </c>
      <c r="Z37" s="67" t="e">
        <f t="shared" ca="1" si="37"/>
        <v>#N/A</v>
      </c>
      <c r="AA37" s="5" t="str">
        <f>IF(Setup!$I$15="Yes",'Demand background (hide)'!AJ25+'SPC background (hide)'!C37,"")</f>
        <v/>
      </c>
      <c r="AC37" s="5" t="str">
        <f t="shared" ca="1" si="30"/>
        <v/>
      </c>
      <c r="AD37" s="5" t="str">
        <f t="shared" ca="1" si="31"/>
        <v/>
      </c>
      <c r="AG37" s="67" t="e">
        <f t="shared" ca="1" si="12"/>
        <v>#VALUE!</v>
      </c>
      <c r="AH37" s="67">
        <v>36</v>
      </c>
      <c r="AI37" s="67">
        <f t="shared" ca="1" si="4"/>
        <v>5</v>
      </c>
      <c r="AJ37" s="39">
        <f t="shared" ca="1" si="5"/>
        <v>0</v>
      </c>
      <c r="AK37" s="39">
        <f t="shared" ca="1" si="6"/>
        <v>0</v>
      </c>
      <c r="AL37" s="39">
        <f t="shared" ca="1" si="7"/>
        <v>0</v>
      </c>
      <c r="AM37" s="39">
        <f t="shared" ca="1" si="8"/>
        <v>0</v>
      </c>
      <c r="AN37" s="39">
        <f t="shared" ca="1" si="9"/>
        <v>0</v>
      </c>
      <c r="AO37" s="39">
        <f t="shared" ca="1" si="0"/>
        <v>0</v>
      </c>
      <c r="AP37" s="39">
        <f t="shared" ca="1" si="1"/>
        <v>0</v>
      </c>
      <c r="AQ37" s="39">
        <f t="shared" ca="1" si="2"/>
        <v>0</v>
      </c>
      <c r="AR37" s="5" t="str">
        <f t="shared" ca="1" si="10"/>
        <v/>
      </c>
      <c r="AS37" s="5" t="str">
        <f t="shared" ca="1" si="3"/>
        <v/>
      </c>
      <c r="AT37" s="5" t="str">
        <f t="shared" ca="1" si="11"/>
        <v/>
      </c>
    </row>
    <row r="38" spans="1:46" x14ac:dyDescent="0.2">
      <c r="A38" s="67" t="str">
        <f ca="1">Demand!C35</f>
        <v/>
      </c>
      <c r="B38" s="67">
        <v>23</v>
      </c>
      <c r="C38" s="5">
        <f ca="1">'Demand background (hide)'!Y26</f>
        <v>0</v>
      </c>
      <c r="D38" s="67">
        <f t="shared" si="15"/>
        <v>0</v>
      </c>
      <c r="E38" s="67" t="e">
        <f t="shared" ca="1" si="16"/>
        <v>#N/A</v>
      </c>
      <c r="F38" s="67" t="e">
        <f t="shared" ca="1" si="17"/>
        <v>#N/A</v>
      </c>
      <c r="G38" s="67" t="e">
        <f t="shared" ca="1" si="18"/>
        <v>#N/A</v>
      </c>
      <c r="H38" s="67" t="e">
        <f>IF('Demand background (hide)'!AN26&lt;&gt;"",'SPC background (hide)'!C38,NA())</f>
        <v>#N/A</v>
      </c>
      <c r="I38" s="67">
        <f t="shared" ca="1" si="19"/>
        <v>5</v>
      </c>
      <c r="J38" s="5">
        <f t="shared" ca="1" si="20"/>
        <v>0</v>
      </c>
      <c r="K38" s="5">
        <f t="shared" ca="1" si="21"/>
        <v>0</v>
      </c>
      <c r="L38" s="5">
        <f t="shared" ca="1" si="22"/>
        <v>0</v>
      </c>
      <c r="M38" s="5">
        <f t="shared" ca="1" si="23"/>
        <v>0</v>
      </c>
      <c r="N38" s="5">
        <f t="shared" ca="1" si="24"/>
        <v>0</v>
      </c>
      <c r="O38" s="5">
        <f t="shared" ca="1" si="25"/>
        <v>0</v>
      </c>
      <c r="P38" s="5">
        <f t="shared" ca="1" si="26"/>
        <v>0</v>
      </c>
      <c r="Q38" s="5" t="e">
        <f t="shared" ca="1" si="27"/>
        <v>#N/A</v>
      </c>
      <c r="R38" s="5">
        <f t="shared" ca="1" si="32"/>
        <v>0</v>
      </c>
      <c r="S38" s="67" t="e">
        <f t="shared" ca="1" si="33"/>
        <v>#N/A</v>
      </c>
      <c r="T38" s="67">
        <f t="shared" ca="1" si="34"/>
        <v>0</v>
      </c>
      <c r="U38" s="67" t="e">
        <f t="shared" ca="1" si="35"/>
        <v>#N/A</v>
      </c>
      <c r="V38" s="5">
        <f t="shared" ca="1" si="14"/>
        <v>0</v>
      </c>
      <c r="W38" s="5" t="e">
        <f t="shared" ca="1" si="28"/>
        <v>#N/A</v>
      </c>
      <c r="X38" s="67">
        <f t="shared" ca="1" si="29"/>
        <v>0</v>
      </c>
      <c r="Y38" s="67" t="e">
        <f t="shared" ca="1" si="36"/>
        <v>#N/A</v>
      </c>
      <c r="Z38" s="67" t="e">
        <f t="shared" ca="1" si="37"/>
        <v>#N/A</v>
      </c>
      <c r="AA38" s="5" t="str">
        <f>IF(Setup!$I$15="Yes",'Demand background (hide)'!AJ26+'SPC background (hide)'!C38,"")</f>
        <v/>
      </c>
      <c r="AC38" s="5" t="str">
        <f t="shared" ca="1" si="30"/>
        <v/>
      </c>
      <c r="AD38" s="5" t="str">
        <f t="shared" ca="1" si="31"/>
        <v/>
      </c>
      <c r="AG38" s="67" t="e">
        <f t="shared" ca="1" si="12"/>
        <v>#VALUE!</v>
      </c>
      <c r="AH38" s="67">
        <v>37</v>
      </c>
      <c r="AI38" s="67">
        <f t="shared" ca="1" si="4"/>
        <v>5</v>
      </c>
      <c r="AJ38" s="39">
        <f t="shared" ca="1" si="5"/>
        <v>0</v>
      </c>
      <c r="AK38" s="39">
        <f t="shared" ca="1" si="6"/>
        <v>0</v>
      </c>
      <c r="AL38" s="39">
        <f t="shared" ca="1" si="7"/>
        <v>0</v>
      </c>
      <c r="AM38" s="39">
        <f t="shared" ca="1" si="8"/>
        <v>0</v>
      </c>
      <c r="AN38" s="39">
        <f t="shared" ca="1" si="9"/>
        <v>0</v>
      </c>
      <c r="AO38" s="39">
        <f t="shared" ca="1" si="0"/>
        <v>0</v>
      </c>
      <c r="AP38" s="39">
        <f t="shared" ca="1" si="1"/>
        <v>0</v>
      </c>
      <c r="AQ38" s="39">
        <f t="shared" ca="1" si="2"/>
        <v>0</v>
      </c>
      <c r="AR38" s="5" t="str">
        <f t="shared" ca="1" si="10"/>
        <v/>
      </c>
      <c r="AS38" s="5" t="str">
        <f t="shared" ca="1" si="3"/>
        <v/>
      </c>
      <c r="AT38" s="5" t="str">
        <f t="shared" ca="1" si="11"/>
        <v/>
      </c>
    </row>
    <row r="39" spans="1:46" x14ac:dyDescent="0.2">
      <c r="A39" s="67" t="str">
        <f ca="1">Demand!C36</f>
        <v/>
      </c>
      <c r="B39" s="67">
        <v>24</v>
      </c>
      <c r="C39" s="5">
        <f ca="1">'Demand background (hide)'!Y27</f>
        <v>0</v>
      </c>
      <c r="D39" s="67">
        <f t="shared" si="15"/>
        <v>0</v>
      </c>
      <c r="E39" s="67" t="e">
        <f t="shared" ca="1" si="16"/>
        <v>#N/A</v>
      </c>
      <c r="F39" s="67" t="e">
        <f t="shared" ca="1" si="17"/>
        <v>#N/A</v>
      </c>
      <c r="G39" s="67" t="e">
        <f t="shared" ca="1" si="18"/>
        <v>#N/A</v>
      </c>
      <c r="H39" s="67" t="e">
        <f>IF('Demand background (hide)'!AN27&lt;&gt;"",'SPC background (hide)'!C39,NA())</f>
        <v>#N/A</v>
      </c>
      <c r="I39" s="67">
        <f t="shared" ca="1" si="19"/>
        <v>5</v>
      </c>
      <c r="J39" s="5">
        <f t="shared" ca="1" si="20"/>
        <v>0</v>
      </c>
      <c r="K39" s="5">
        <f t="shared" ca="1" si="21"/>
        <v>0</v>
      </c>
      <c r="L39" s="5">
        <f t="shared" ca="1" si="22"/>
        <v>0</v>
      </c>
      <c r="M39" s="5">
        <f t="shared" ca="1" si="23"/>
        <v>0</v>
      </c>
      <c r="N39" s="5">
        <f t="shared" ca="1" si="24"/>
        <v>0</v>
      </c>
      <c r="O39" s="5">
        <f t="shared" ca="1" si="25"/>
        <v>0</v>
      </c>
      <c r="P39" s="5">
        <f t="shared" ca="1" si="26"/>
        <v>0</v>
      </c>
      <c r="Q39" s="5" t="e">
        <f t="shared" ca="1" si="27"/>
        <v>#N/A</v>
      </c>
      <c r="R39" s="5">
        <f t="shared" ca="1" si="32"/>
        <v>0</v>
      </c>
      <c r="S39" s="67" t="e">
        <f t="shared" ca="1" si="33"/>
        <v>#N/A</v>
      </c>
      <c r="T39" s="67">
        <f t="shared" ca="1" si="34"/>
        <v>0</v>
      </c>
      <c r="U39" s="67" t="e">
        <f t="shared" ca="1" si="35"/>
        <v>#N/A</v>
      </c>
      <c r="V39" s="5">
        <f t="shared" ca="1" si="14"/>
        <v>0</v>
      </c>
      <c r="W39" s="5" t="e">
        <f t="shared" ca="1" si="28"/>
        <v>#N/A</v>
      </c>
      <c r="X39" s="67">
        <f t="shared" ca="1" si="29"/>
        <v>0</v>
      </c>
      <c r="Y39" s="67" t="e">
        <f t="shared" ca="1" si="36"/>
        <v>#N/A</v>
      </c>
      <c r="Z39" s="67" t="e">
        <f t="shared" ca="1" si="37"/>
        <v>#N/A</v>
      </c>
      <c r="AA39" s="5" t="str">
        <f>IF(Setup!$I$15="Yes",'Demand background (hide)'!AJ27+'SPC background (hide)'!C39,"")</f>
        <v/>
      </c>
      <c r="AC39" s="5" t="str">
        <f t="shared" ca="1" si="30"/>
        <v/>
      </c>
      <c r="AD39" s="5" t="str">
        <f t="shared" ca="1" si="31"/>
        <v/>
      </c>
      <c r="AG39" s="67" t="e">
        <f t="shared" ca="1" si="12"/>
        <v>#VALUE!</v>
      </c>
      <c r="AH39" s="67">
        <v>38</v>
      </c>
      <c r="AI39" s="67">
        <f t="shared" ca="1" si="4"/>
        <v>5</v>
      </c>
      <c r="AJ39" s="39">
        <f t="shared" ca="1" si="5"/>
        <v>0</v>
      </c>
      <c r="AK39" s="39">
        <f t="shared" ca="1" si="6"/>
        <v>0</v>
      </c>
      <c r="AL39" s="39">
        <f t="shared" ca="1" si="7"/>
        <v>0</v>
      </c>
      <c r="AM39" s="39">
        <f t="shared" ca="1" si="8"/>
        <v>0</v>
      </c>
      <c r="AN39" s="39">
        <f t="shared" ca="1" si="9"/>
        <v>0</v>
      </c>
      <c r="AO39" s="39">
        <f t="shared" ca="1" si="0"/>
        <v>0</v>
      </c>
      <c r="AP39" s="39">
        <f t="shared" ca="1" si="1"/>
        <v>0</v>
      </c>
      <c r="AQ39" s="39">
        <f t="shared" ca="1" si="2"/>
        <v>0</v>
      </c>
      <c r="AR39" s="5" t="str">
        <f t="shared" ca="1" si="10"/>
        <v/>
      </c>
      <c r="AS39" s="5" t="str">
        <f t="shared" ca="1" si="3"/>
        <v/>
      </c>
      <c r="AT39" s="5" t="str">
        <f t="shared" ca="1" si="11"/>
        <v/>
      </c>
    </row>
    <row r="40" spans="1:46" x14ac:dyDescent="0.2">
      <c r="A40" s="67" t="str">
        <f ca="1">Demand!C37</f>
        <v/>
      </c>
      <c r="B40" s="67">
        <v>25</v>
      </c>
      <c r="C40" s="5">
        <f ca="1">'Demand background (hide)'!Y28</f>
        <v>0</v>
      </c>
      <c r="D40" s="67">
        <f t="shared" si="15"/>
        <v>0</v>
      </c>
      <c r="E40" s="67" t="e">
        <f t="shared" ca="1" si="16"/>
        <v>#N/A</v>
      </c>
      <c r="F40" s="67" t="e">
        <f t="shared" ca="1" si="17"/>
        <v>#N/A</v>
      </c>
      <c r="G40" s="67" t="e">
        <f t="shared" ca="1" si="18"/>
        <v>#N/A</v>
      </c>
      <c r="H40" s="67" t="e">
        <f>IF('Demand background (hide)'!AN28&lt;&gt;"",'SPC background (hide)'!C40,NA())</f>
        <v>#N/A</v>
      </c>
      <c r="I40" s="67">
        <f t="shared" ca="1" si="19"/>
        <v>5</v>
      </c>
      <c r="J40" s="5">
        <f t="shared" ca="1" si="20"/>
        <v>0</v>
      </c>
      <c r="K40" s="5">
        <f t="shared" ca="1" si="21"/>
        <v>0</v>
      </c>
      <c r="L40" s="5">
        <f t="shared" ca="1" si="22"/>
        <v>0</v>
      </c>
      <c r="M40" s="5">
        <f t="shared" ca="1" si="23"/>
        <v>0</v>
      </c>
      <c r="N40" s="5">
        <f t="shared" ca="1" si="24"/>
        <v>0</v>
      </c>
      <c r="O40" s="5">
        <f t="shared" ca="1" si="25"/>
        <v>0</v>
      </c>
      <c r="P40" s="5">
        <f t="shared" ca="1" si="26"/>
        <v>0</v>
      </c>
      <c r="Q40" s="5" t="e">
        <f t="shared" ca="1" si="27"/>
        <v>#N/A</v>
      </c>
      <c r="R40" s="5">
        <f t="shared" ca="1" si="32"/>
        <v>0</v>
      </c>
      <c r="S40" s="67" t="e">
        <f t="shared" ca="1" si="33"/>
        <v>#N/A</v>
      </c>
      <c r="T40" s="67">
        <f t="shared" ca="1" si="34"/>
        <v>0</v>
      </c>
      <c r="U40" s="67" t="e">
        <f t="shared" ca="1" si="35"/>
        <v>#N/A</v>
      </c>
      <c r="V40" s="5">
        <f t="shared" ca="1" si="14"/>
        <v>0</v>
      </c>
      <c r="W40" s="5" t="e">
        <f t="shared" ca="1" si="28"/>
        <v>#N/A</v>
      </c>
      <c r="X40" s="67">
        <f t="shared" ca="1" si="29"/>
        <v>0</v>
      </c>
      <c r="Y40" s="67" t="e">
        <f t="shared" ca="1" si="36"/>
        <v>#N/A</v>
      </c>
      <c r="Z40" s="67" t="e">
        <f t="shared" ca="1" si="37"/>
        <v>#N/A</v>
      </c>
      <c r="AA40" s="5" t="str">
        <f>IF(Setup!$I$15="Yes",'Demand background (hide)'!AJ28+'SPC background (hide)'!C40,"")</f>
        <v/>
      </c>
      <c r="AC40" s="5" t="str">
        <f t="shared" ca="1" si="30"/>
        <v/>
      </c>
      <c r="AD40" s="5" t="str">
        <f t="shared" ca="1" si="31"/>
        <v/>
      </c>
      <c r="AG40" s="67" t="e">
        <f t="shared" ca="1" si="12"/>
        <v>#VALUE!</v>
      </c>
      <c r="AH40" s="67">
        <v>39</v>
      </c>
      <c r="AI40" s="67">
        <f t="shared" ca="1" si="4"/>
        <v>5</v>
      </c>
      <c r="AJ40" s="39">
        <f t="shared" ca="1" si="5"/>
        <v>0</v>
      </c>
      <c r="AK40" s="39">
        <f t="shared" ca="1" si="6"/>
        <v>0</v>
      </c>
      <c r="AL40" s="39">
        <f t="shared" ca="1" si="7"/>
        <v>0</v>
      </c>
      <c r="AM40" s="39">
        <f t="shared" ca="1" si="8"/>
        <v>0</v>
      </c>
      <c r="AN40" s="39">
        <f t="shared" ca="1" si="9"/>
        <v>0</v>
      </c>
      <c r="AO40" s="39">
        <f t="shared" ca="1" si="0"/>
        <v>0</v>
      </c>
      <c r="AP40" s="39">
        <f t="shared" ca="1" si="1"/>
        <v>0</v>
      </c>
      <c r="AQ40" s="39">
        <f t="shared" ca="1" si="2"/>
        <v>0</v>
      </c>
      <c r="AR40" s="5" t="str">
        <f t="shared" ca="1" si="10"/>
        <v/>
      </c>
      <c r="AS40" s="5" t="str">
        <f t="shared" ca="1" si="3"/>
        <v/>
      </c>
      <c r="AT40" s="5" t="str">
        <f t="shared" ca="1" si="11"/>
        <v/>
      </c>
    </row>
    <row r="41" spans="1:46" x14ac:dyDescent="0.2">
      <c r="A41" s="67" t="str">
        <f ca="1">Demand!C38</f>
        <v/>
      </c>
      <c r="B41" s="67">
        <v>26</v>
      </c>
      <c r="C41" s="5">
        <f ca="1">'Demand background (hide)'!Y29</f>
        <v>0</v>
      </c>
      <c r="D41" s="67">
        <f t="shared" si="15"/>
        <v>0</v>
      </c>
      <c r="E41" s="67" t="e">
        <f t="shared" ca="1" si="16"/>
        <v>#N/A</v>
      </c>
      <c r="F41" s="67" t="e">
        <f t="shared" ca="1" si="17"/>
        <v>#N/A</v>
      </c>
      <c r="G41" s="67" t="e">
        <f t="shared" ca="1" si="18"/>
        <v>#N/A</v>
      </c>
      <c r="H41" s="67" t="e">
        <f>IF('Demand background (hide)'!AN29&lt;&gt;"",'SPC background (hide)'!C41,NA())</f>
        <v>#N/A</v>
      </c>
      <c r="I41" s="67">
        <f t="shared" ca="1" si="19"/>
        <v>5</v>
      </c>
      <c r="J41" s="5">
        <f t="shared" ca="1" si="20"/>
        <v>0</v>
      </c>
      <c r="K41" s="5">
        <f t="shared" ca="1" si="21"/>
        <v>0</v>
      </c>
      <c r="L41" s="5">
        <f t="shared" ca="1" si="22"/>
        <v>0</v>
      </c>
      <c r="M41" s="5">
        <f t="shared" ca="1" si="23"/>
        <v>0</v>
      </c>
      <c r="N41" s="5">
        <f t="shared" ca="1" si="24"/>
        <v>0</v>
      </c>
      <c r="O41" s="5">
        <f t="shared" ca="1" si="25"/>
        <v>0</v>
      </c>
      <c r="P41" s="5">
        <f t="shared" ca="1" si="26"/>
        <v>0</v>
      </c>
      <c r="Q41" s="5" t="e">
        <f t="shared" ca="1" si="27"/>
        <v>#N/A</v>
      </c>
      <c r="R41" s="5">
        <f t="shared" ca="1" si="32"/>
        <v>0</v>
      </c>
      <c r="S41" s="67" t="e">
        <f t="shared" ca="1" si="33"/>
        <v>#N/A</v>
      </c>
      <c r="T41" s="67">
        <f t="shared" ca="1" si="34"/>
        <v>0</v>
      </c>
      <c r="U41" s="67" t="e">
        <f t="shared" ca="1" si="35"/>
        <v>#N/A</v>
      </c>
      <c r="V41" s="5">
        <f t="shared" ca="1" si="14"/>
        <v>0</v>
      </c>
      <c r="W41" s="5" t="e">
        <f t="shared" ca="1" si="28"/>
        <v>#N/A</v>
      </c>
      <c r="X41" s="67">
        <f t="shared" ca="1" si="29"/>
        <v>0</v>
      </c>
      <c r="Y41" s="67" t="e">
        <f t="shared" ca="1" si="36"/>
        <v>#N/A</v>
      </c>
      <c r="Z41" s="67" t="e">
        <f t="shared" ca="1" si="37"/>
        <v>#N/A</v>
      </c>
      <c r="AA41" s="5" t="str">
        <f>IF(Setup!$I$15="Yes",'Demand background (hide)'!AJ29+'SPC background (hide)'!C41,"")</f>
        <v/>
      </c>
      <c r="AC41" s="5" t="str">
        <f t="shared" ca="1" si="30"/>
        <v/>
      </c>
      <c r="AD41" s="5" t="str">
        <f t="shared" ca="1" si="31"/>
        <v/>
      </c>
      <c r="AG41" s="67" t="e">
        <f t="shared" ca="1" si="12"/>
        <v>#VALUE!</v>
      </c>
      <c r="AH41" s="67">
        <v>40</v>
      </c>
      <c r="AI41" s="67">
        <f t="shared" ca="1" si="4"/>
        <v>5</v>
      </c>
      <c r="AJ41" s="39">
        <f t="shared" ca="1" si="5"/>
        <v>0</v>
      </c>
      <c r="AK41" s="39">
        <f t="shared" ca="1" si="6"/>
        <v>0</v>
      </c>
      <c r="AL41" s="39">
        <f t="shared" ca="1" si="7"/>
        <v>0</v>
      </c>
      <c r="AM41" s="39">
        <f t="shared" ca="1" si="8"/>
        <v>0</v>
      </c>
      <c r="AN41" s="39">
        <f t="shared" ca="1" si="9"/>
        <v>0</v>
      </c>
      <c r="AO41" s="39">
        <f t="shared" ca="1" si="0"/>
        <v>0</v>
      </c>
      <c r="AP41" s="39">
        <f t="shared" ca="1" si="1"/>
        <v>0</v>
      </c>
      <c r="AQ41" s="39">
        <f t="shared" ca="1" si="2"/>
        <v>0</v>
      </c>
      <c r="AR41" s="5" t="str">
        <f t="shared" ca="1" si="10"/>
        <v/>
      </c>
      <c r="AS41" s="5" t="str">
        <f t="shared" ca="1" si="3"/>
        <v/>
      </c>
      <c r="AT41" s="5" t="str">
        <f t="shared" ca="1" si="11"/>
        <v/>
      </c>
    </row>
    <row r="42" spans="1:46" x14ac:dyDescent="0.2">
      <c r="A42" s="67" t="str">
        <f ca="1">Demand!C39</f>
        <v/>
      </c>
      <c r="B42" s="67">
        <v>27</v>
      </c>
      <c r="C42" s="5">
        <f ca="1">'Demand background (hide)'!Y30</f>
        <v>0</v>
      </c>
      <c r="D42" s="67">
        <f t="shared" si="15"/>
        <v>0</v>
      </c>
      <c r="E42" s="67" t="e">
        <f t="shared" ca="1" si="16"/>
        <v>#N/A</v>
      </c>
      <c r="F42" s="67" t="e">
        <f t="shared" ca="1" si="17"/>
        <v>#N/A</v>
      </c>
      <c r="G42" s="67" t="e">
        <f t="shared" ca="1" si="18"/>
        <v>#N/A</v>
      </c>
      <c r="H42" s="67" t="e">
        <f>IF('Demand background (hide)'!AN30&lt;&gt;"",'SPC background (hide)'!C42,NA())</f>
        <v>#N/A</v>
      </c>
      <c r="I42" s="67">
        <f t="shared" ca="1" si="19"/>
        <v>5</v>
      </c>
      <c r="J42" s="5">
        <f t="shared" ca="1" si="20"/>
        <v>0</v>
      </c>
      <c r="K42" s="5">
        <f t="shared" ca="1" si="21"/>
        <v>0</v>
      </c>
      <c r="L42" s="5">
        <f t="shared" ca="1" si="22"/>
        <v>0</v>
      </c>
      <c r="M42" s="5">
        <f t="shared" ca="1" si="23"/>
        <v>0</v>
      </c>
      <c r="N42" s="5">
        <f t="shared" ca="1" si="24"/>
        <v>0</v>
      </c>
      <c r="O42" s="5">
        <f t="shared" ca="1" si="25"/>
        <v>0</v>
      </c>
      <c r="P42" s="5">
        <f t="shared" ca="1" si="26"/>
        <v>0</v>
      </c>
      <c r="Q42" s="5" t="e">
        <f t="shared" ca="1" si="27"/>
        <v>#N/A</v>
      </c>
      <c r="R42" s="5">
        <f t="shared" ca="1" si="32"/>
        <v>0</v>
      </c>
      <c r="S42" s="67" t="e">
        <f t="shared" ca="1" si="33"/>
        <v>#N/A</v>
      </c>
      <c r="T42" s="67">
        <f t="shared" ca="1" si="34"/>
        <v>0</v>
      </c>
      <c r="U42" s="67" t="e">
        <f t="shared" ca="1" si="35"/>
        <v>#N/A</v>
      </c>
      <c r="V42" s="5">
        <f t="shared" ca="1" si="14"/>
        <v>0</v>
      </c>
      <c r="W42" s="5" t="e">
        <f t="shared" ca="1" si="28"/>
        <v>#N/A</v>
      </c>
      <c r="X42" s="67">
        <f t="shared" ca="1" si="29"/>
        <v>0</v>
      </c>
      <c r="Y42" s="67" t="e">
        <f t="shared" ca="1" si="36"/>
        <v>#N/A</v>
      </c>
      <c r="Z42" s="67" t="e">
        <f t="shared" ca="1" si="37"/>
        <v>#N/A</v>
      </c>
      <c r="AA42" s="5" t="str">
        <f>IF(Setup!$I$15="Yes",'Demand background (hide)'!AJ30+'SPC background (hide)'!C42,"")</f>
        <v/>
      </c>
      <c r="AC42" s="5" t="str">
        <f t="shared" ca="1" si="30"/>
        <v/>
      </c>
      <c r="AD42" s="5" t="str">
        <f t="shared" ca="1" si="31"/>
        <v/>
      </c>
      <c r="AG42" s="67" t="e">
        <f t="shared" ca="1" si="12"/>
        <v>#VALUE!</v>
      </c>
      <c r="AH42" s="67">
        <v>41</v>
      </c>
      <c r="AI42" s="67">
        <f t="shared" ca="1" si="4"/>
        <v>5</v>
      </c>
      <c r="AJ42" s="39">
        <f t="shared" ca="1" si="5"/>
        <v>0</v>
      </c>
      <c r="AK42" s="39">
        <f t="shared" ca="1" si="6"/>
        <v>0</v>
      </c>
      <c r="AL42" s="39">
        <f t="shared" ca="1" si="7"/>
        <v>0</v>
      </c>
      <c r="AM42" s="39">
        <f t="shared" ca="1" si="8"/>
        <v>0</v>
      </c>
      <c r="AN42" s="39">
        <f t="shared" ca="1" si="9"/>
        <v>0</v>
      </c>
      <c r="AO42" s="39">
        <f t="shared" ca="1" si="0"/>
        <v>0</v>
      </c>
      <c r="AP42" s="39">
        <f t="shared" ca="1" si="1"/>
        <v>0</v>
      </c>
      <c r="AQ42" s="39">
        <f t="shared" ca="1" si="2"/>
        <v>0</v>
      </c>
      <c r="AR42" s="5" t="str">
        <f t="shared" ca="1" si="10"/>
        <v/>
      </c>
      <c r="AS42" s="5" t="str">
        <f t="shared" ca="1" si="3"/>
        <v/>
      </c>
      <c r="AT42" s="5" t="str">
        <f t="shared" ca="1" si="11"/>
        <v/>
      </c>
    </row>
    <row r="43" spans="1:46" x14ac:dyDescent="0.2">
      <c r="A43" s="67" t="str">
        <f ca="1">Demand!C40</f>
        <v/>
      </c>
      <c r="B43" s="67">
        <v>28</v>
      </c>
      <c r="C43" s="5">
        <f ca="1">'Demand background (hide)'!Y31</f>
        <v>0</v>
      </c>
      <c r="D43" s="67">
        <f t="shared" si="15"/>
        <v>0</v>
      </c>
      <c r="E43" s="67" t="e">
        <f t="shared" ca="1" si="16"/>
        <v>#N/A</v>
      </c>
      <c r="F43" s="67" t="e">
        <f t="shared" ca="1" si="17"/>
        <v>#N/A</v>
      </c>
      <c r="G43" s="67" t="e">
        <f t="shared" ca="1" si="18"/>
        <v>#N/A</v>
      </c>
      <c r="H43" s="67" t="e">
        <f>IF('Demand background (hide)'!AN31&lt;&gt;"",'SPC background (hide)'!C43,NA())</f>
        <v>#N/A</v>
      </c>
      <c r="I43" s="67">
        <f t="shared" ca="1" si="19"/>
        <v>5</v>
      </c>
      <c r="J43" s="5">
        <f t="shared" ca="1" si="20"/>
        <v>0</v>
      </c>
      <c r="K43" s="5">
        <f t="shared" ca="1" si="21"/>
        <v>0</v>
      </c>
      <c r="L43" s="5">
        <f t="shared" ca="1" si="22"/>
        <v>0</v>
      </c>
      <c r="M43" s="5">
        <f t="shared" ca="1" si="23"/>
        <v>0</v>
      </c>
      <c r="N43" s="5">
        <f t="shared" ca="1" si="24"/>
        <v>0</v>
      </c>
      <c r="O43" s="5">
        <f t="shared" ca="1" si="25"/>
        <v>0</v>
      </c>
      <c r="P43" s="5">
        <f t="shared" ca="1" si="26"/>
        <v>0</v>
      </c>
      <c r="Q43" s="5" t="e">
        <f t="shared" ca="1" si="27"/>
        <v>#N/A</v>
      </c>
      <c r="R43" s="5">
        <f t="shared" ca="1" si="32"/>
        <v>0</v>
      </c>
      <c r="S43" s="67" t="e">
        <f t="shared" ca="1" si="33"/>
        <v>#N/A</v>
      </c>
      <c r="T43" s="67">
        <f t="shared" ca="1" si="34"/>
        <v>0</v>
      </c>
      <c r="U43" s="67" t="e">
        <f t="shared" ca="1" si="35"/>
        <v>#N/A</v>
      </c>
      <c r="V43" s="5">
        <f t="shared" ca="1" si="14"/>
        <v>0</v>
      </c>
      <c r="W43" s="5" t="e">
        <f t="shared" ca="1" si="28"/>
        <v>#N/A</v>
      </c>
      <c r="X43" s="67">
        <f t="shared" ca="1" si="29"/>
        <v>0</v>
      </c>
      <c r="Y43" s="67" t="e">
        <f t="shared" ca="1" si="36"/>
        <v>#N/A</v>
      </c>
      <c r="Z43" s="67" t="e">
        <f t="shared" ca="1" si="37"/>
        <v>#N/A</v>
      </c>
      <c r="AA43" s="5" t="str">
        <f>IF(Setup!$I$15="Yes",'Demand background (hide)'!AJ31+'SPC background (hide)'!C43,"")</f>
        <v/>
      </c>
      <c r="AC43" s="5" t="str">
        <f t="shared" ca="1" si="30"/>
        <v/>
      </c>
      <c r="AD43" s="5" t="str">
        <f t="shared" ca="1" si="31"/>
        <v/>
      </c>
      <c r="AG43" s="67" t="e">
        <f t="shared" ca="1" si="12"/>
        <v>#VALUE!</v>
      </c>
      <c r="AH43" s="67">
        <v>42</v>
      </c>
      <c r="AI43" s="67">
        <f t="shared" ca="1" si="4"/>
        <v>5</v>
      </c>
      <c r="AJ43" s="39">
        <f t="shared" ca="1" si="5"/>
        <v>0</v>
      </c>
      <c r="AK43" s="39">
        <f t="shared" ca="1" si="6"/>
        <v>0</v>
      </c>
      <c r="AL43" s="39">
        <f t="shared" ca="1" si="7"/>
        <v>0</v>
      </c>
      <c r="AM43" s="39">
        <f t="shared" ca="1" si="8"/>
        <v>0</v>
      </c>
      <c r="AN43" s="39">
        <f t="shared" ca="1" si="9"/>
        <v>0</v>
      </c>
      <c r="AO43" s="39">
        <f t="shared" ca="1" si="0"/>
        <v>0</v>
      </c>
      <c r="AP43" s="39">
        <f t="shared" ca="1" si="1"/>
        <v>0</v>
      </c>
      <c r="AQ43" s="39">
        <f t="shared" ca="1" si="2"/>
        <v>0</v>
      </c>
      <c r="AR43" s="5" t="str">
        <f t="shared" ca="1" si="10"/>
        <v/>
      </c>
      <c r="AS43" s="5" t="str">
        <f t="shared" ca="1" si="3"/>
        <v/>
      </c>
      <c r="AT43" s="5" t="str">
        <f t="shared" ca="1" si="11"/>
        <v/>
      </c>
    </row>
    <row r="44" spans="1:46" x14ac:dyDescent="0.2">
      <c r="A44" s="67" t="str">
        <f ca="1">Demand!C41</f>
        <v/>
      </c>
      <c r="B44" s="67">
        <v>29</v>
      </c>
      <c r="C44" s="5">
        <f ca="1">'Demand background (hide)'!Y32</f>
        <v>0</v>
      </c>
      <c r="D44" s="67">
        <f t="shared" si="15"/>
        <v>0</v>
      </c>
      <c r="E44" s="67" t="e">
        <f t="shared" ca="1" si="16"/>
        <v>#N/A</v>
      </c>
      <c r="F44" s="67" t="e">
        <f t="shared" ca="1" si="17"/>
        <v>#N/A</v>
      </c>
      <c r="G44" s="67" t="e">
        <f t="shared" ca="1" si="18"/>
        <v>#N/A</v>
      </c>
      <c r="H44" s="67" t="e">
        <f>IF('Demand background (hide)'!AN32&lt;&gt;"",'SPC background (hide)'!C44,NA())</f>
        <v>#N/A</v>
      </c>
      <c r="I44" s="67">
        <f t="shared" ca="1" si="19"/>
        <v>5</v>
      </c>
      <c r="J44" s="5">
        <f t="shared" ca="1" si="20"/>
        <v>0</v>
      </c>
      <c r="K44" s="5">
        <f t="shared" ca="1" si="21"/>
        <v>0</v>
      </c>
      <c r="L44" s="5">
        <f t="shared" ca="1" si="22"/>
        <v>0</v>
      </c>
      <c r="M44" s="5">
        <f t="shared" ca="1" si="23"/>
        <v>0</v>
      </c>
      <c r="N44" s="5">
        <f t="shared" ca="1" si="24"/>
        <v>0</v>
      </c>
      <c r="O44" s="5">
        <f t="shared" ca="1" si="25"/>
        <v>0</v>
      </c>
      <c r="P44" s="5">
        <f t="shared" ca="1" si="26"/>
        <v>0</v>
      </c>
      <c r="Q44" s="5" t="e">
        <f t="shared" ca="1" si="27"/>
        <v>#N/A</v>
      </c>
      <c r="R44" s="5">
        <f t="shared" ca="1" si="32"/>
        <v>0</v>
      </c>
      <c r="S44" s="67" t="e">
        <f t="shared" ca="1" si="33"/>
        <v>#N/A</v>
      </c>
      <c r="T44" s="67">
        <f t="shared" ca="1" si="34"/>
        <v>0</v>
      </c>
      <c r="U44" s="67" t="e">
        <f t="shared" ca="1" si="35"/>
        <v>#N/A</v>
      </c>
      <c r="V44" s="5">
        <f t="shared" ca="1" si="14"/>
        <v>0</v>
      </c>
      <c r="W44" s="5" t="e">
        <f t="shared" ca="1" si="28"/>
        <v>#N/A</v>
      </c>
      <c r="X44" s="67">
        <f t="shared" ca="1" si="29"/>
        <v>0</v>
      </c>
      <c r="Y44" s="67" t="e">
        <f t="shared" ca="1" si="36"/>
        <v>#N/A</v>
      </c>
      <c r="Z44" s="67" t="e">
        <f t="shared" ca="1" si="37"/>
        <v>#N/A</v>
      </c>
      <c r="AA44" s="5" t="str">
        <f>IF(Setup!$I$15="Yes",'Demand background (hide)'!AJ32+'SPC background (hide)'!C44,"")</f>
        <v/>
      </c>
      <c r="AC44" s="5" t="str">
        <f t="shared" ca="1" si="30"/>
        <v/>
      </c>
      <c r="AD44" s="5" t="str">
        <f t="shared" ca="1" si="31"/>
        <v/>
      </c>
      <c r="AG44" s="67" t="e">
        <f t="shared" ca="1" si="12"/>
        <v>#VALUE!</v>
      </c>
      <c r="AH44" s="67">
        <v>43</v>
      </c>
      <c r="AI44" s="67">
        <f t="shared" ca="1" si="4"/>
        <v>5</v>
      </c>
      <c r="AJ44" s="39">
        <f t="shared" ca="1" si="5"/>
        <v>0</v>
      </c>
      <c r="AK44" s="39">
        <f t="shared" ca="1" si="6"/>
        <v>0</v>
      </c>
      <c r="AL44" s="39">
        <f t="shared" ca="1" si="7"/>
        <v>0</v>
      </c>
      <c r="AM44" s="39">
        <f t="shared" ca="1" si="8"/>
        <v>0</v>
      </c>
      <c r="AN44" s="39">
        <f t="shared" ca="1" si="9"/>
        <v>0</v>
      </c>
      <c r="AO44" s="39">
        <f t="shared" ca="1" si="0"/>
        <v>0</v>
      </c>
      <c r="AP44" s="39">
        <f t="shared" ca="1" si="1"/>
        <v>0</v>
      </c>
      <c r="AQ44" s="39">
        <f t="shared" ca="1" si="2"/>
        <v>0</v>
      </c>
      <c r="AR44" s="5" t="str">
        <f t="shared" ca="1" si="10"/>
        <v/>
      </c>
      <c r="AS44" s="5" t="str">
        <f t="shared" ca="1" si="3"/>
        <v/>
      </c>
      <c r="AT44" s="5" t="str">
        <f t="shared" ca="1" si="11"/>
        <v/>
      </c>
    </row>
    <row r="45" spans="1:46" x14ac:dyDescent="0.2">
      <c r="A45" s="67" t="str">
        <f ca="1">Demand!C42</f>
        <v/>
      </c>
      <c r="B45" s="67">
        <v>30</v>
      </c>
      <c r="C45" s="5">
        <f ca="1">'Demand background (hide)'!Y33</f>
        <v>0</v>
      </c>
      <c r="D45" s="67">
        <f t="shared" si="15"/>
        <v>0</v>
      </c>
      <c r="E45" s="67" t="e">
        <f t="shared" ca="1" si="16"/>
        <v>#N/A</v>
      </c>
      <c r="F45" s="67" t="e">
        <f t="shared" ca="1" si="17"/>
        <v>#N/A</v>
      </c>
      <c r="G45" s="67" t="e">
        <f t="shared" ca="1" si="18"/>
        <v>#N/A</v>
      </c>
      <c r="H45" s="67" t="e">
        <f>IF('Demand background (hide)'!AN33&lt;&gt;"",'SPC background (hide)'!C45,NA())</f>
        <v>#N/A</v>
      </c>
      <c r="I45" s="67">
        <f t="shared" ca="1" si="19"/>
        <v>5</v>
      </c>
      <c r="J45" s="5">
        <f t="shared" ca="1" si="20"/>
        <v>0</v>
      </c>
      <c r="K45" s="5">
        <f t="shared" ca="1" si="21"/>
        <v>0</v>
      </c>
      <c r="L45" s="5">
        <f t="shared" ca="1" si="22"/>
        <v>0</v>
      </c>
      <c r="M45" s="5">
        <f t="shared" ca="1" si="23"/>
        <v>0</v>
      </c>
      <c r="N45" s="5">
        <f t="shared" ca="1" si="24"/>
        <v>0</v>
      </c>
      <c r="O45" s="5">
        <f t="shared" ca="1" si="25"/>
        <v>0</v>
      </c>
      <c r="P45" s="5">
        <f t="shared" ca="1" si="26"/>
        <v>0</v>
      </c>
      <c r="Q45" s="5" t="e">
        <f t="shared" ca="1" si="27"/>
        <v>#N/A</v>
      </c>
      <c r="R45" s="5">
        <f t="shared" ca="1" si="32"/>
        <v>0</v>
      </c>
      <c r="S45" s="67" t="e">
        <f t="shared" ca="1" si="33"/>
        <v>#N/A</v>
      </c>
      <c r="T45" s="67">
        <f t="shared" ca="1" si="34"/>
        <v>0</v>
      </c>
      <c r="U45" s="67" t="e">
        <f t="shared" ca="1" si="35"/>
        <v>#N/A</v>
      </c>
      <c r="V45" s="5">
        <f t="shared" ca="1" si="14"/>
        <v>0</v>
      </c>
      <c r="W45" s="5" t="e">
        <f t="shared" ca="1" si="28"/>
        <v>#N/A</v>
      </c>
      <c r="X45" s="67">
        <f t="shared" ca="1" si="29"/>
        <v>0</v>
      </c>
      <c r="Y45" s="67" t="e">
        <f t="shared" ca="1" si="36"/>
        <v>#N/A</v>
      </c>
      <c r="Z45" s="67" t="e">
        <f t="shared" ca="1" si="37"/>
        <v>#N/A</v>
      </c>
      <c r="AA45" s="5" t="str">
        <f>IF(Setup!$I$15="Yes",'Demand background (hide)'!AJ33+'SPC background (hide)'!C45,"")</f>
        <v/>
      </c>
      <c r="AC45" s="5" t="str">
        <f t="shared" ca="1" si="30"/>
        <v/>
      </c>
      <c r="AD45" s="5" t="str">
        <f t="shared" ca="1" si="31"/>
        <v/>
      </c>
      <c r="AG45" s="67" t="e">
        <f t="shared" ca="1" si="12"/>
        <v>#VALUE!</v>
      </c>
      <c r="AH45" s="67">
        <v>44</v>
      </c>
      <c r="AI45" s="67">
        <f t="shared" ca="1" si="4"/>
        <v>5</v>
      </c>
      <c r="AJ45" s="39">
        <f t="shared" ca="1" si="5"/>
        <v>0</v>
      </c>
      <c r="AK45" s="39">
        <f t="shared" ca="1" si="6"/>
        <v>0</v>
      </c>
      <c r="AL45" s="39">
        <f t="shared" ca="1" si="7"/>
        <v>0</v>
      </c>
      <c r="AM45" s="39">
        <f t="shared" ca="1" si="8"/>
        <v>0</v>
      </c>
      <c r="AN45" s="39">
        <f t="shared" ca="1" si="9"/>
        <v>0</v>
      </c>
      <c r="AO45" s="39">
        <f t="shared" ca="1" si="0"/>
        <v>0</v>
      </c>
      <c r="AP45" s="39">
        <f t="shared" ca="1" si="1"/>
        <v>0</v>
      </c>
      <c r="AQ45" s="39">
        <f t="shared" ca="1" si="2"/>
        <v>0</v>
      </c>
      <c r="AR45" s="5" t="str">
        <f t="shared" ca="1" si="10"/>
        <v/>
      </c>
      <c r="AS45" s="5" t="str">
        <f t="shared" ca="1" si="3"/>
        <v/>
      </c>
      <c r="AT45" s="5" t="str">
        <f t="shared" ca="1" si="11"/>
        <v/>
      </c>
    </row>
    <row r="46" spans="1:46" x14ac:dyDescent="0.2">
      <c r="A46" s="67" t="str">
        <f ca="1">Demand!C43</f>
        <v/>
      </c>
      <c r="B46" s="67">
        <v>31</v>
      </c>
      <c r="C46" s="5">
        <f ca="1">'Demand background (hide)'!Y34</f>
        <v>0</v>
      </c>
      <c r="D46" s="67">
        <f t="shared" si="15"/>
        <v>0</v>
      </c>
      <c r="E46" s="67" t="e">
        <f t="shared" ca="1" si="16"/>
        <v>#N/A</v>
      </c>
      <c r="F46" s="67" t="e">
        <f t="shared" ca="1" si="17"/>
        <v>#N/A</v>
      </c>
      <c r="G46" s="67" t="e">
        <f t="shared" ca="1" si="18"/>
        <v>#N/A</v>
      </c>
      <c r="H46" s="67" t="e">
        <f>IF('Demand background (hide)'!AN34&lt;&gt;"",'SPC background (hide)'!C46,NA())</f>
        <v>#N/A</v>
      </c>
      <c r="I46" s="67">
        <f t="shared" ca="1" si="19"/>
        <v>5</v>
      </c>
      <c r="J46" s="5">
        <f t="shared" ca="1" si="20"/>
        <v>0</v>
      </c>
      <c r="K46" s="5">
        <f t="shared" ca="1" si="21"/>
        <v>0</v>
      </c>
      <c r="L46" s="5">
        <f t="shared" ca="1" si="22"/>
        <v>0</v>
      </c>
      <c r="M46" s="5">
        <f t="shared" ca="1" si="23"/>
        <v>0</v>
      </c>
      <c r="N46" s="5">
        <f t="shared" ca="1" si="24"/>
        <v>0</v>
      </c>
      <c r="O46" s="5">
        <f t="shared" ca="1" si="25"/>
        <v>0</v>
      </c>
      <c r="P46" s="5">
        <f t="shared" ca="1" si="26"/>
        <v>0</v>
      </c>
      <c r="Q46" s="5" t="e">
        <f t="shared" ca="1" si="27"/>
        <v>#N/A</v>
      </c>
      <c r="R46" s="5">
        <f t="shared" ca="1" si="32"/>
        <v>0</v>
      </c>
      <c r="S46" s="67" t="e">
        <f t="shared" ca="1" si="33"/>
        <v>#N/A</v>
      </c>
      <c r="T46" s="67">
        <f t="shared" ca="1" si="34"/>
        <v>0</v>
      </c>
      <c r="U46" s="67" t="e">
        <f t="shared" ca="1" si="35"/>
        <v>#N/A</v>
      </c>
      <c r="V46" s="5">
        <f t="shared" ca="1" si="14"/>
        <v>0</v>
      </c>
      <c r="W46" s="5" t="e">
        <f t="shared" ca="1" si="28"/>
        <v>#N/A</v>
      </c>
      <c r="X46" s="67">
        <f t="shared" ca="1" si="29"/>
        <v>0</v>
      </c>
      <c r="Y46" s="67" t="e">
        <f t="shared" ca="1" si="36"/>
        <v>#N/A</v>
      </c>
      <c r="Z46" s="67" t="e">
        <f t="shared" ca="1" si="37"/>
        <v>#N/A</v>
      </c>
      <c r="AA46" s="5" t="str">
        <f>IF(Setup!$I$15="Yes",'Demand background (hide)'!AJ34+'SPC background (hide)'!C46,"")</f>
        <v/>
      </c>
      <c r="AC46" s="5" t="str">
        <f t="shared" ca="1" si="30"/>
        <v/>
      </c>
      <c r="AD46" s="5" t="str">
        <f t="shared" ca="1" si="31"/>
        <v/>
      </c>
      <c r="AG46" s="67" t="e">
        <f t="shared" ca="1" si="12"/>
        <v>#VALUE!</v>
      </c>
      <c r="AH46" s="67">
        <v>45</v>
      </c>
      <c r="AI46" s="67">
        <f t="shared" ca="1" si="4"/>
        <v>5</v>
      </c>
      <c r="AJ46" s="39">
        <f t="shared" ca="1" si="5"/>
        <v>0</v>
      </c>
      <c r="AK46" s="39">
        <f t="shared" ca="1" si="6"/>
        <v>0</v>
      </c>
      <c r="AL46" s="39">
        <f t="shared" ca="1" si="7"/>
        <v>0</v>
      </c>
      <c r="AM46" s="39">
        <f t="shared" ca="1" si="8"/>
        <v>0</v>
      </c>
      <c r="AN46" s="39">
        <f t="shared" ca="1" si="9"/>
        <v>0</v>
      </c>
      <c r="AO46" s="39">
        <f t="shared" ca="1" si="0"/>
        <v>0</v>
      </c>
      <c r="AP46" s="39">
        <f t="shared" ca="1" si="1"/>
        <v>0</v>
      </c>
      <c r="AQ46" s="39">
        <f t="shared" ca="1" si="2"/>
        <v>0</v>
      </c>
      <c r="AR46" s="5" t="str">
        <f t="shared" ca="1" si="10"/>
        <v/>
      </c>
      <c r="AS46" s="5" t="str">
        <f t="shared" ca="1" si="3"/>
        <v/>
      </c>
      <c r="AT46" s="5" t="str">
        <f t="shared" ca="1" si="11"/>
        <v/>
      </c>
    </row>
    <row r="47" spans="1:46" x14ac:dyDescent="0.2">
      <c r="A47" s="67" t="str">
        <f ca="1">Demand!C44</f>
        <v/>
      </c>
      <c r="B47" s="67">
        <v>32</v>
      </c>
      <c r="C47" s="5">
        <f ca="1">'Demand background (hide)'!Y35</f>
        <v>0</v>
      </c>
      <c r="D47" s="67">
        <f t="shared" si="15"/>
        <v>0</v>
      </c>
      <c r="E47" s="67" t="e">
        <f t="shared" ca="1" si="16"/>
        <v>#N/A</v>
      </c>
      <c r="F47" s="67" t="e">
        <f t="shared" ca="1" si="17"/>
        <v>#N/A</v>
      </c>
      <c r="G47" s="67" t="e">
        <f t="shared" ca="1" si="18"/>
        <v>#N/A</v>
      </c>
      <c r="H47" s="67" t="e">
        <f>IF('Demand background (hide)'!AN35&lt;&gt;"",'SPC background (hide)'!C47,NA())</f>
        <v>#N/A</v>
      </c>
      <c r="I47" s="67">
        <f t="shared" ca="1" si="19"/>
        <v>5</v>
      </c>
      <c r="J47" s="5">
        <f t="shared" ca="1" si="20"/>
        <v>0</v>
      </c>
      <c r="K47" s="5">
        <f t="shared" ca="1" si="21"/>
        <v>0</v>
      </c>
      <c r="L47" s="5">
        <f t="shared" ca="1" si="22"/>
        <v>0</v>
      </c>
      <c r="M47" s="5">
        <f t="shared" ca="1" si="23"/>
        <v>0</v>
      </c>
      <c r="N47" s="5">
        <f t="shared" ca="1" si="24"/>
        <v>0</v>
      </c>
      <c r="O47" s="5">
        <f t="shared" ca="1" si="25"/>
        <v>0</v>
      </c>
      <c r="P47" s="5">
        <f t="shared" ca="1" si="26"/>
        <v>0</v>
      </c>
      <c r="Q47" s="5" t="e">
        <f t="shared" ca="1" si="27"/>
        <v>#N/A</v>
      </c>
      <c r="R47" s="5">
        <f t="shared" ca="1" si="32"/>
        <v>0</v>
      </c>
      <c r="S47" s="67" t="e">
        <f t="shared" ca="1" si="33"/>
        <v>#N/A</v>
      </c>
      <c r="T47" s="67">
        <f t="shared" ca="1" si="34"/>
        <v>0</v>
      </c>
      <c r="U47" s="67" t="e">
        <f t="shared" ca="1" si="35"/>
        <v>#N/A</v>
      </c>
      <c r="V47" s="5">
        <f t="shared" ca="1" si="14"/>
        <v>0</v>
      </c>
      <c r="W47" s="5" t="e">
        <f t="shared" ca="1" si="28"/>
        <v>#N/A</v>
      </c>
      <c r="X47" s="67">
        <f t="shared" ca="1" si="29"/>
        <v>0</v>
      </c>
      <c r="Y47" s="67" t="e">
        <f t="shared" ca="1" si="36"/>
        <v>#N/A</v>
      </c>
      <c r="Z47" s="67" t="e">
        <f t="shared" ca="1" si="37"/>
        <v>#N/A</v>
      </c>
      <c r="AA47" s="5" t="str">
        <f>IF(Setup!$I$15="Yes",'Demand background (hide)'!AJ35+'SPC background (hide)'!C47,"")</f>
        <v/>
      </c>
      <c r="AC47" s="5" t="str">
        <f t="shared" ca="1" si="30"/>
        <v/>
      </c>
      <c r="AD47" s="5" t="str">
        <f t="shared" ca="1" si="31"/>
        <v/>
      </c>
      <c r="AG47" s="67" t="e">
        <f t="shared" ca="1" si="12"/>
        <v>#VALUE!</v>
      </c>
      <c r="AH47" s="67">
        <v>46</v>
      </c>
      <c r="AI47" s="67">
        <f t="shared" ca="1" si="4"/>
        <v>5</v>
      </c>
      <c r="AJ47" s="39">
        <f t="shared" ca="1" si="5"/>
        <v>0</v>
      </c>
      <c r="AK47" s="39">
        <f t="shared" ca="1" si="6"/>
        <v>0</v>
      </c>
      <c r="AL47" s="39">
        <f t="shared" ca="1" si="7"/>
        <v>0</v>
      </c>
      <c r="AM47" s="39">
        <f t="shared" ca="1" si="8"/>
        <v>0</v>
      </c>
      <c r="AN47" s="39">
        <f t="shared" ca="1" si="9"/>
        <v>0</v>
      </c>
      <c r="AO47" s="39">
        <f t="shared" ca="1" si="0"/>
        <v>0</v>
      </c>
      <c r="AP47" s="39">
        <f t="shared" ca="1" si="1"/>
        <v>0</v>
      </c>
      <c r="AQ47" s="39">
        <f t="shared" ca="1" si="2"/>
        <v>0</v>
      </c>
      <c r="AR47" s="5" t="str">
        <f t="shared" ca="1" si="10"/>
        <v/>
      </c>
      <c r="AS47" s="5" t="str">
        <f t="shared" ca="1" si="3"/>
        <v/>
      </c>
      <c r="AT47" s="5" t="str">
        <f t="shared" ca="1" si="11"/>
        <v/>
      </c>
    </row>
    <row r="48" spans="1:46" x14ac:dyDescent="0.2">
      <c r="A48" s="67" t="str">
        <f ca="1">Demand!C45</f>
        <v/>
      </c>
      <c r="B48" s="67">
        <v>33</v>
      </c>
      <c r="C48" s="5">
        <f ca="1">'Demand background (hide)'!Y36</f>
        <v>0</v>
      </c>
      <c r="D48" s="67">
        <f t="shared" si="15"/>
        <v>0</v>
      </c>
      <c r="E48" s="67" t="e">
        <f t="shared" ca="1" si="16"/>
        <v>#N/A</v>
      </c>
      <c r="F48" s="67" t="e">
        <f t="shared" ca="1" si="17"/>
        <v>#N/A</v>
      </c>
      <c r="G48" s="67" t="e">
        <f t="shared" ca="1" si="18"/>
        <v>#N/A</v>
      </c>
      <c r="H48" s="67" t="e">
        <f>IF('Demand background (hide)'!AN36&lt;&gt;"",'SPC background (hide)'!C48,NA())</f>
        <v>#N/A</v>
      </c>
      <c r="I48" s="67">
        <f t="shared" ca="1" si="19"/>
        <v>5</v>
      </c>
      <c r="J48" s="5">
        <f t="shared" ca="1" si="20"/>
        <v>0</v>
      </c>
      <c r="K48" s="5">
        <f t="shared" ca="1" si="21"/>
        <v>0</v>
      </c>
      <c r="L48" s="5">
        <f t="shared" ca="1" si="22"/>
        <v>0</v>
      </c>
      <c r="M48" s="5">
        <f t="shared" ca="1" si="23"/>
        <v>0</v>
      </c>
      <c r="N48" s="5">
        <f t="shared" ca="1" si="24"/>
        <v>0</v>
      </c>
      <c r="O48" s="5">
        <f t="shared" ca="1" si="25"/>
        <v>0</v>
      </c>
      <c r="P48" s="5">
        <f t="shared" ca="1" si="26"/>
        <v>0</v>
      </c>
      <c r="Q48" s="5" t="e">
        <f t="shared" ca="1" si="27"/>
        <v>#N/A</v>
      </c>
      <c r="R48" s="5">
        <f t="shared" ca="1" si="32"/>
        <v>0</v>
      </c>
      <c r="S48" s="67" t="e">
        <f t="shared" ca="1" si="33"/>
        <v>#N/A</v>
      </c>
      <c r="T48" s="67">
        <f t="shared" ca="1" si="34"/>
        <v>0</v>
      </c>
      <c r="U48" s="67" t="e">
        <f t="shared" ca="1" si="35"/>
        <v>#N/A</v>
      </c>
      <c r="V48" s="5">
        <f t="shared" ca="1" si="14"/>
        <v>0</v>
      </c>
      <c r="W48" s="5" t="e">
        <f t="shared" ca="1" si="28"/>
        <v>#N/A</v>
      </c>
      <c r="X48" s="67">
        <f t="shared" ca="1" si="29"/>
        <v>0</v>
      </c>
      <c r="Y48" s="67" t="e">
        <f t="shared" ca="1" si="36"/>
        <v>#N/A</v>
      </c>
      <c r="Z48" s="67" t="e">
        <f t="shared" ca="1" si="37"/>
        <v>#N/A</v>
      </c>
      <c r="AA48" s="5" t="str">
        <f>IF(Setup!$I$15="Yes",'Demand background (hide)'!AJ36+'SPC background (hide)'!C48,"")</f>
        <v/>
      </c>
      <c r="AC48" s="5" t="str">
        <f t="shared" ca="1" si="30"/>
        <v/>
      </c>
      <c r="AD48" s="5" t="str">
        <f t="shared" ca="1" si="31"/>
        <v/>
      </c>
      <c r="AG48" s="67" t="e">
        <f t="shared" ca="1" si="12"/>
        <v>#VALUE!</v>
      </c>
      <c r="AH48" s="67">
        <v>47</v>
      </c>
      <c r="AI48" s="67">
        <f t="shared" ca="1" si="4"/>
        <v>5</v>
      </c>
      <c r="AJ48" s="39">
        <f t="shared" ca="1" si="5"/>
        <v>0</v>
      </c>
      <c r="AK48" s="39">
        <f t="shared" ca="1" si="6"/>
        <v>0</v>
      </c>
      <c r="AL48" s="39">
        <f t="shared" ca="1" si="7"/>
        <v>0</v>
      </c>
      <c r="AM48" s="39">
        <f t="shared" ca="1" si="8"/>
        <v>0</v>
      </c>
      <c r="AN48" s="39">
        <f t="shared" ca="1" si="9"/>
        <v>0</v>
      </c>
      <c r="AO48" s="39">
        <f t="shared" ca="1" si="0"/>
        <v>0</v>
      </c>
      <c r="AP48" s="39">
        <f t="shared" ca="1" si="1"/>
        <v>0</v>
      </c>
      <c r="AQ48" s="39">
        <f t="shared" ca="1" si="2"/>
        <v>0</v>
      </c>
      <c r="AR48" s="5" t="str">
        <f t="shared" ca="1" si="10"/>
        <v/>
      </c>
      <c r="AS48" s="5" t="str">
        <f t="shared" ca="1" si="3"/>
        <v/>
      </c>
      <c r="AT48" s="5" t="str">
        <f t="shared" ca="1" si="11"/>
        <v/>
      </c>
    </row>
    <row r="49" spans="1:46" x14ac:dyDescent="0.2">
      <c r="A49" s="67" t="str">
        <f ca="1">Demand!C46</f>
        <v/>
      </c>
      <c r="B49" s="67">
        <v>34</v>
      </c>
      <c r="C49" s="5">
        <f ca="1">'Demand background (hide)'!Y37</f>
        <v>0</v>
      </c>
      <c r="D49" s="67">
        <f t="shared" si="15"/>
        <v>0</v>
      </c>
      <c r="E49" s="67" t="e">
        <f t="shared" ca="1" si="16"/>
        <v>#N/A</v>
      </c>
      <c r="F49" s="67" t="e">
        <f t="shared" ca="1" si="17"/>
        <v>#N/A</v>
      </c>
      <c r="G49" s="67" t="e">
        <f t="shared" ca="1" si="18"/>
        <v>#N/A</v>
      </c>
      <c r="H49" s="67" t="e">
        <f>IF('Demand background (hide)'!AN37&lt;&gt;"",'SPC background (hide)'!C49,NA())</f>
        <v>#N/A</v>
      </c>
      <c r="I49" s="67">
        <f t="shared" ca="1" si="19"/>
        <v>5</v>
      </c>
      <c r="J49" s="5">
        <f t="shared" ca="1" si="20"/>
        <v>0</v>
      </c>
      <c r="K49" s="5">
        <f t="shared" ca="1" si="21"/>
        <v>0</v>
      </c>
      <c r="L49" s="5">
        <f t="shared" ca="1" si="22"/>
        <v>0</v>
      </c>
      <c r="M49" s="5">
        <f t="shared" ca="1" si="23"/>
        <v>0</v>
      </c>
      <c r="N49" s="5">
        <f t="shared" ca="1" si="24"/>
        <v>0</v>
      </c>
      <c r="O49" s="5">
        <f t="shared" ca="1" si="25"/>
        <v>0</v>
      </c>
      <c r="P49" s="5">
        <f t="shared" ca="1" si="26"/>
        <v>0</v>
      </c>
      <c r="Q49" s="5" t="e">
        <f t="shared" ca="1" si="27"/>
        <v>#N/A</v>
      </c>
      <c r="R49" s="5">
        <f t="shared" ca="1" si="32"/>
        <v>0</v>
      </c>
      <c r="S49" s="67" t="e">
        <f t="shared" ca="1" si="33"/>
        <v>#N/A</v>
      </c>
      <c r="T49" s="67">
        <f t="shared" ca="1" si="34"/>
        <v>0</v>
      </c>
      <c r="U49" s="67" t="e">
        <f t="shared" ca="1" si="35"/>
        <v>#N/A</v>
      </c>
      <c r="V49" s="5">
        <f t="shared" ca="1" si="14"/>
        <v>0</v>
      </c>
      <c r="W49" s="5" t="e">
        <f t="shared" ca="1" si="28"/>
        <v>#N/A</v>
      </c>
      <c r="X49" s="67">
        <f t="shared" ca="1" si="29"/>
        <v>0</v>
      </c>
      <c r="Y49" s="67" t="e">
        <f t="shared" ca="1" si="36"/>
        <v>#N/A</v>
      </c>
      <c r="Z49" s="67" t="e">
        <f t="shared" ca="1" si="37"/>
        <v>#N/A</v>
      </c>
      <c r="AA49" s="5" t="str">
        <f>IF(Setup!$I$15="Yes",'Demand background (hide)'!AJ37+'SPC background (hide)'!C49,"")</f>
        <v/>
      </c>
      <c r="AC49" s="5" t="str">
        <f t="shared" ca="1" si="30"/>
        <v/>
      </c>
      <c r="AD49" s="5" t="str">
        <f t="shared" ca="1" si="31"/>
        <v/>
      </c>
      <c r="AG49" s="67" t="e">
        <f t="shared" ca="1" si="12"/>
        <v>#VALUE!</v>
      </c>
      <c r="AH49" s="67">
        <v>48</v>
      </c>
      <c r="AI49" s="67">
        <f t="shared" ca="1" si="4"/>
        <v>5</v>
      </c>
      <c r="AJ49" s="39">
        <f t="shared" ca="1" si="5"/>
        <v>0</v>
      </c>
      <c r="AK49" s="39">
        <f t="shared" ca="1" si="6"/>
        <v>0</v>
      </c>
      <c r="AL49" s="39">
        <f t="shared" ca="1" si="7"/>
        <v>0</v>
      </c>
      <c r="AM49" s="39">
        <f t="shared" ca="1" si="8"/>
        <v>0</v>
      </c>
      <c r="AN49" s="39">
        <f t="shared" ca="1" si="9"/>
        <v>0</v>
      </c>
      <c r="AO49" s="39">
        <f t="shared" ca="1" si="0"/>
        <v>0</v>
      </c>
      <c r="AP49" s="39">
        <f t="shared" ca="1" si="1"/>
        <v>0</v>
      </c>
      <c r="AQ49" s="39">
        <f t="shared" ca="1" si="2"/>
        <v>0</v>
      </c>
      <c r="AR49" s="5" t="str">
        <f t="shared" ca="1" si="10"/>
        <v/>
      </c>
      <c r="AS49" s="5" t="str">
        <f t="shared" ca="1" si="3"/>
        <v/>
      </c>
      <c r="AT49" s="5" t="str">
        <f t="shared" ca="1" si="11"/>
        <v/>
      </c>
    </row>
    <row r="50" spans="1:46" x14ac:dyDescent="0.2">
      <c r="A50" s="67" t="str">
        <f ca="1">Demand!C47</f>
        <v/>
      </c>
      <c r="B50" s="67">
        <v>35</v>
      </c>
      <c r="C50" s="5">
        <f ca="1">'Demand background (hide)'!Y38</f>
        <v>0</v>
      </c>
      <c r="D50" s="67">
        <f t="shared" si="15"/>
        <v>0</v>
      </c>
      <c r="E50" s="67" t="e">
        <f t="shared" ca="1" si="16"/>
        <v>#N/A</v>
      </c>
      <c r="F50" s="67" t="e">
        <f t="shared" ca="1" si="17"/>
        <v>#N/A</v>
      </c>
      <c r="G50" s="67" t="e">
        <f t="shared" ca="1" si="18"/>
        <v>#N/A</v>
      </c>
      <c r="H50" s="67" t="e">
        <f>IF('Demand background (hide)'!AN38&lt;&gt;"",'SPC background (hide)'!C50,NA())</f>
        <v>#N/A</v>
      </c>
      <c r="I50" s="67">
        <f t="shared" ca="1" si="19"/>
        <v>5</v>
      </c>
      <c r="J50" s="5">
        <f t="shared" ca="1" si="20"/>
        <v>0</v>
      </c>
      <c r="K50" s="5">
        <f t="shared" ca="1" si="21"/>
        <v>0</v>
      </c>
      <c r="L50" s="5">
        <f t="shared" ca="1" si="22"/>
        <v>0</v>
      </c>
      <c r="M50" s="5">
        <f t="shared" ca="1" si="23"/>
        <v>0</v>
      </c>
      <c r="N50" s="5">
        <f t="shared" ca="1" si="24"/>
        <v>0</v>
      </c>
      <c r="O50" s="5">
        <f t="shared" ca="1" si="25"/>
        <v>0</v>
      </c>
      <c r="P50" s="5">
        <f t="shared" ca="1" si="26"/>
        <v>0</v>
      </c>
      <c r="Q50" s="5" t="e">
        <f t="shared" ca="1" si="27"/>
        <v>#N/A</v>
      </c>
      <c r="R50" s="5">
        <f t="shared" ca="1" si="32"/>
        <v>0</v>
      </c>
      <c r="S50" s="67" t="e">
        <f t="shared" ca="1" si="33"/>
        <v>#N/A</v>
      </c>
      <c r="T50" s="67">
        <f t="shared" ca="1" si="34"/>
        <v>0</v>
      </c>
      <c r="U50" s="67" t="e">
        <f t="shared" ca="1" si="35"/>
        <v>#N/A</v>
      </c>
      <c r="V50" s="5">
        <f t="shared" ca="1" si="14"/>
        <v>0</v>
      </c>
      <c r="W50" s="5" t="e">
        <f t="shared" ca="1" si="28"/>
        <v>#N/A</v>
      </c>
      <c r="X50" s="67">
        <f t="shared" ca="1" si="29"/>
        <v>0</v>
      </c>
      <c r="Y50" s="67" t="e">
        <f t="shared" ca="1" si="36"/>
        <v>#N/A</v>
      </c>
      <c r="Z50" s="67" t="e">
        <f t="shared" ca="1" si="37"/>
        <v>#N/A</v>
      </c>
      <c r="AA50" s="5" t="str">
        <f>IF(Setup!$I$15="Yes",'Demand background (hide)'!AJ38+'SPC background (hide)'!C50,"")</f>
        <v/>
      </c>
      <c r="AC50" s="5" t="str">
        <f t="shared" ca="1" si="30"/>
        <v/>
      </c>
      <c r="AD50" s="5" t="str">
        <f t="shared" ca="1" si="31"/>
        <v/>
      </c>
      <c r="AG50" s="67" t="e">
        <f t="shared" ca="1" si="12"/>
        <v>#VALUE!</v>
      </c>
      <c r="AH50" s="67">
        <v>49</v>
      </c>
      <c r="AI50" s="67">
        <f t="shared" ca="1" si="4"/>
        <v>5</v>
      </c>
      <c r="AJ50" s="39">
        <f t="shared" ca="1" si="5"/>
        <v>0</v>
      </c>
      <c r="AK50" s="39">
        <f t="shared" ca="1" si="6"/>
        <v>0</v>
      </c>
      <c r="AL50" s="39">
        <f t="shared" ca="1" si="7"/>
        <v>0</v>
      </c>
      <c r="AM50" s="39">
        <f t="shared" ca="1" si="8"/>
        <v>0</v>
      </c>
      <c r="AN50" s="39">
        <f t="shared" ca="1" si="9"/>
        <v>0</v>
      </c>
      <c r="AO50" s="39">
        <f t="shared" ca="1" si="0"/>
        <v>0</v>
      </c>
      <c r="AP50" s="39">
        <f t="shared" ca="1" si="1"/>
        <v>0</v>
      </c>
      <c r="AQ50" s="39">
        <f t="shared" ca="1" si="2"/>
        <v>0</v>
      </c>
      <c r="AR50" s="5" t="str">
        <f t="shared" ca="1" si="10"/>
        <v/>
      </c>
      <c r="AS50" s="5" t="str">
        <f t="shared" ca="1" si="3"/>
        <v/>
      </c>
      <c r="AT50" s="5" t="str">
        <f t="shared" ca="1" si="11"/>
        <v/>
      </c>
    </row>
    <row r="51" spans="1:46" x14ac:dyDescent="0.2">
      <c r="A51" s="67" t="str">
        <f ca="1">Demand!C48</f>
        <v/>
      </c>
      <c r="B51" s="67">
        <v>36</v>
      </c>
      <c r="C51" s="5">
        <f ca="1">'Demand background (hide)'!Y39</f>
        <v>0</v>
      </c>
      <c r="D51" s="67">
        <f t="shared" si="15"/>
        <v>0</v>
      </c>
      <c r="E51" s="67" t="e">
        <f t="shared" ca="1" si="16"/>
        <v>#N/A</v>
      </c>
      <c r="F51" s="67" t="e">
        <f t="shared" ca="1" si="17"/>
        <v>#N/A</v>
      </c>
      <c r="G51" s="67" t="e">
        <f t="shared" ca="1" si="18"/>
        <v>#N/A</v>
      </c>
      <c r="H51" s="67" t="e">
        <f>IF('Demand background (hide)'!AN39&lt;&gt;"",'SPC background (hide)'!C51,NA())</f>
        <v>#N/A</v>
      </c>
      <c r="I51" s="67">
        <f t="shared" ca="1" si="19"/>
        <v>5</v>
      </c>
      <c r="J51" s="5">
        <f t="shared" ca="1" si="20"/>
        <v>0</v>
      </c>
      <c r="K51" s="5">
        <f t="shared" ca="1" si="21"/>
        <v>0</v>
      </c>
      <c r="L51" s="5">
        <f t="shared" ca="1" si="22"/>
        <v>0</v>
      </c>
      <c r="M51" s="5">
        <f t="shared" ca="1" si="23"/>
        <v>0</v>
      </c>
      <c r="N51" s="5">
        <f t="shared" ca="1" si="24"/>
        <v>0</v>
      </c>
      <c r="O51" s="5">
        <f t="shared" ca="1" si="25"/>
        <v>0</v>
      </c>
      <c r="P51" s="5">
        <f t="shared" ca="1" si="26"/>
        <v>0</v>
      </c>
      <c r="Q51" s="5" t="e">
        <f t="shared" ca="1" si="27"/>
        <v>#N/A</v>
      </c>
      <c r="R51" s="5">
        <f t="shared" ca="1" si="32"/>
        <v>0</v>
      </c>
      <c r="S51" s="67" t="e">
        <f t="shared" ca="1" si="33"/>
        <v>#N/A</v>
      </c>
      <c r="T51" s="67">
        <f t="shared" ca="1" si="34"/>
        <v>0</v>
      </c>
      <c r="U51" s="67" t="e">
        <f t="shared" ca="1" si="35"/>
        <v>#N/A</v>
      </c>
      <c r="V51" s="5">
        <f t="shared" ca="1" si="14"/>
        <v>0</v>
      </c>
      <c r="W51" s="5" t="e">
        <f t="shared" ca="1" si="28"/>
        <v>#N/A</v>
      </c>
      <c r="X51" s="67">
        <f t="shared" ca="1" si="29"/>
        <v>0</v>
      </c>
      <c r="Y51" s="67" t="e">
        <f t="shared" ca="1" si="36"/>
        <v>#N/A</v>
      </c>
      <c r="Z51" s="67" t="e">
        <f t="shared" ca="1" si="37"/>
        <v>#N/A</v>
      </c>
      <c r="AA51" s="5" t="str">
        <f>IF(Setup!$I$15="Yes",'Demand background (hide)'!AJ39+'SPC background (hide)'!C51,"")</f>
        <v/>
      </c>
      <c r="AC51" s="5" t="str">
        <f t="shared" ca="1" si="30"/>
        <v/>
      </c>
      <c r="AD51" s="5" t="str">
        <f t="shared" ca="1" si="31"/>
        <v/>
      </c>
      <c r="AG51" s="67" t="e">
        <f t="shared" ca="1" si="12"/>
        <v>#VALUE!</v>
      </c>
      <c r="AH51" s="67">
        <v>50</v>
      </c>
      <c r="AI51" s="67">
        <f t="shared" ca="1" si="4"/>
        <v>5</v>
      </c>
      <c r="AJ51" s="39">
        <f t="shared" ca="1" si="5"/>
        <v>0</v>
      </c>
      <c r="AK51" s="39">
        <f t="shared" ca="1" si="6"/>
        <v>0</v>
      </c>
      <c r="AL51" s="39">
        <f t="shared" ca="1" si="7"/>
        <v>0</v>
      </c>
      <c r="AM51" s="39">
        <f t="shared" ca="1" si="8"/>
        <v>0</v>
      </c>
      <c r="AN51" s="39">
        <f t="shared" ca="1" si="9"/>
        <v>0</v>
      </c>
      <c r="AO51" s="39">
        <f t="shared" ca="1" si="0"/>
        <v>0</v>
      </c>
      <c r="AP51" s="39">
        <f t="shared" ca="1" si="1"/>
        <v>0</v>
      </c>
      <c r="AQ51" s="39">
        <f t="shared" ca="1" si="2"/>
        <v>0</v>
      </c>
      <c r="AR51" s="5" t="str">
        <f t="shared" ca="1" si="10"/>
        <v/>
      </c>
      <c r="AS51" s="5" t="str">
        <f t="shared" ca="1" si="3"/>
        <v/>
      </c>
      <c r="AT51" s="5" t="str">
        <f t="shared" ca="1" si="11"/>
        <v/>
      </c>
    </row>
    <row r="52" spans="1:46" x14ac:dyDescent="0.2">
      <c r="A52" s="67" t="str">
        <f ca="1">Demand!C49</f>
        <v/>
      </c>
      <c r="B52" s="67">
        <v>37</v>
      </c>
      <c r="C52" s="5">
        <f ca="1">'Demand background (hide)'!Y40</f>
        <v>0</v>
      </c>
      <c r="D52" s="67">
        <f t="shared" si="15"/>
        <v>0</v>
      </c>
      <c r="E52" s="67" t="e">
        <f t="shared" ca="1" si="16"/>
        <v>#N/A</v>
      </c>
      <c r="F52" s="67" t="e">
        <f t="shared" ca="1" si="17"/>
        <v>#N/A</v>
      </c>
      <c r="G52" s="67" t="e">
        <f t="shared" ca="1" si="18"/>
        <v>#N/A</v>
      </c>
      <c r="H52" s="67" t="e">
        <f>IF('Demand background (hide)'!AN40&lt;&gt;"",'SPC background (hide)'!C52,NA())</f>
        <v>#N/A</v>
      </c>
      <c r="I52" s="67">
        <f t="shared" ca="1" si="19"/>
        <v>5</v>
      </c>
      <c r="J52" s="5">
        <f t="shared" ca="1" si="20"/>
        <v>0</v>
      </c>
      <c r="K52" s="5">
        <f t="shared" ca="1" si="21"/>
        <v>0</v>
      </c>
      <c r="L52" s="5">
        <f t="shared" ca="1" si="22"/>
        <v>0</v>
      </c>
      <c r="M52" s="5">
        <f t="shared" ca="1" si="23"/>
        <v>0</v>
      </c>
      <c r="N52" s="5">
        <f t="shared" ca="1" si="24"/>
        <v>0</v>
      </c>
      <c r="O52" s="5">
        <f t="shared" ca="1" si="25"/>
        <v>0</v>
      </c>
      <c r="P52" s="5">
        <f t="shared" ca="1" si="26"/>
        <v>0</v>
      </c>
      <c r="Q52" s="5" t="e">
        <f t="shared" ca="1" si="27"/>
        <v>#N/A</v>
      </c>
      <c r="R52" s="5">
        <f t="shared" ca="1" si="32"/>
        <v>0</v>
      </c>
      <c r="S52" s="67" t="e">
        <f t="shared" ca="1" si="33"/>
        <v>#N/A</v>
      </c>
      <c r="T52" s="67">
        <f t="shared" ca="1" si="34"/>
        <v>0</v>
      </c>
      <c r="U52" s="67" t="e">
        <f t="shared" ca="1" si="35"/>
        <v>#N/A</v>
      </c>
      <c r="V52" s="5">
        <f t="shared" ca="1" si="14"/>
        <v>0</v>
      </c>
      <c r="W52" s="5" t="e">
        <f t="shared" ca="1" si="28"/>
        <v>#N/A</v>
      </c>
      <c r="X52" s="67">
        <f t="shared" ca="1" si="29"/>
        <v>0</v>
      </c>
      <c r="Y52" s="67" t="e">
        <f t="shared" ca="1" si="36"/>
        <v>#N/A</v>
      </c>
      <c r="Z52" s="67" t="e">
        <f t="shared" ca="1" si="37"/>
        <v>#N/A</v>
      </c>
      <c r="AA52" s="5" t="str">
        <f>IF(Setup!$I$15="Yes",'Demand background (hide)'!AJ40+'SPC background (hide)'!C52,"")</f>
        <v/>
      </c>
      <c r="AC52" s="5" t="str">
        <f t="shared" ca="1" si="30"/>
        <v/>
      </c>
      <c r="AD52" s="5" t="str">
        <f t="shared" ca="1" si="31"/>
        <v/>
      </c>
      <c r="AG52" s="67" t="e">
        <f t="shared" ca="1" si="12"/>
        <v>#VALUE!</v>
      </c>
      <c r="AH52" s="67">
        <v>51</v>
      </c>
      <c r="AI52" s="67">
        <f t="shared" ca="1" si="4"/>
        <v>5</v>
      </c>
      <c r="AJ52" s="39">
        <f t="shared" ca="1" si="5"/>
        <v>0</v>
      </c>
      <c r="AK52" s="39">
        <f t="shared" ca="1" si="6"/>
        <v>0</v>
      </c>
      <c r="AL52" s="39">
        <f t="shared" ca="1" si="7"/>
        <v>0</v>
      </c>
      <c r="AM52" s="39">
        <f t="shared" ca="1" si="8"/>
        <v>0</v>
      </c>
      <c r="AN52" s="39">
        <f t="shared" ca="1" si="9"/>
        <v>0</v>
      </c>
      <c r="AO52" s="39">
        <f t="shared" ca="1" si="0"/>
        <v>0</v>
      </c>
      <c r="AP52" s="39">
        <f t="shared" ca="1" si="1"/>
        <v>0</v>
      </c>
      <c r="AQ52" s="39">
        <f t="shared" ca="1" si="2"/>
        <v>0</v>
      </c>
      <c r="AR52" s="5" t="str">
        <f t="shared" ca="1" si="10"/>
        <v/>
      </c>
      <c r="AS52" s="5" t="str">
        <f t="shared" ca="1" si="3"/>
        <v/>
      </c>
      <c r="AT52" s="5" t="str">
        <f t="shared" ca="1" si="11"/>
        <v/>
      </c>
    </row>
    <row r="53" spans="1:46" x14ac:dyDescent="0.2">
      <c r="A53" s="67" t="str">
        <f ca="1">Demand!C50</f>
        <v/>
      </c>
      <c r="B53" s="67">
        <v>38</v>
      </c>
      <c r="C53" s="5">
        <f ca="1">'Demand background (hide)'!Y41</f>
        <v>0</v>
      </c>
      <c r="D53" s="67">
        <f t="shared" si="15"/>
        <v>0</v>
      </c>
      <c r="E53" s="67" t="e">
        <f t="shared" ca="1" si="16"/>
        <v>#N/A</v>
      </c>
      <c r="F53" s="67" t="e">
        <f t="shared" ca="1" si="17"/>
        <v>#N/A</v>
      </c>
      <c r="G53" s="67" t="e">
        <f t="shared" ca="1" si="18"/>
        <v>#N/A</v>
      </c>
      <c r="H53" s="67" t="e">
        <f>IF('Demand background (hide)'!AN41&lt;&gt;"",'SPC background (hide)'!C53,NA())</f>
        <v>#N/A</v>
      </c>
      <c r="I53" s="67">
        <f t="shared" ca="1" si="19"/>
        <v>5</v>
      </c>
      <c r="J53" s="5">
        <f t="shared" ca="1" si="20"/>
        <v>0</v>
      </c>
      <c r="K53" s="5">
        <f t="shared" ca="1" si="21"/>
        <v>0</v>
      </c>
      <c r="L53" s="5">
        <f t="shared" ca="1" si="22"/>
        <v>0</v>
      </c>
      <c r="M53" s="5">
        <f t="shared" ca="1" si="23"/>
        <v>0</v>
      </c>
      <c r="N53" s="5">
        <f t="shared" ca="1" si="24"/>
        <v>0</v>
      </c>
      <c r="O53" s="5">
        <f t="shared" ca="1" si="25"/>
        <v>0</v>
      </c>
      <c r="P53" s="5">
        <f t="shared" ca="1" si="26"/>
        <v>0</v>
      </c>
      <c r="Q53" s="5" t="e">
        <f t="shared" ca="1" si="27"/>
        <v>#N/A</v>
      </c>
      <c r="R53" s="5">
        <f t="shared" ca="1" si="32"/>
        <v>0</v>
      </c>
      <c r="S53" s="67" t="e">
        <f t="shared" ca="1" si="33"/>
        <v>#N/A</v>
      </c>
      <c r="T53" s="67">
        <f t="shared" ca="1" si="34"/>
        <v>0</v>
      </c>
      <c r="U53" s="67" t="e">
        <f t="shared" ca="1" si="35"/>
        <v>#N/A</v>
      </c>
      <c r="V53" s="5">
        <f t="shared" ca="1" si="14"/>
        <v>0</v>
      </c>
      <c r="W53" s="5" t="e">
        <f t="shared" ca="1" si="28"/>
        <v>#N/A</v>
      </c>
      <c r="X53" s="67">
        <f t="shared" ca="1" si="29"/>
        <v>0</v>
      </c>
      <c r="Y53" s="67" t="e">
        <f t="shared" ca="1" si="36"/>
        <v>#N/A</v>
      </c>
      <c r="Z53" s="67" t="e">
        <f t="shared" ca="1" si="37"/>
        <v>#N/A</v>
      </c>
      <c r="AA53" s="5" t="str">
        <f>IF(Setup!$I$15="Yes",'Demand background (hide)'!AJ41+'SPC background (hide)'!C53,"")</f>
        <v/>
      </c>
      <c r="AC53" s="5" t="str">
        <f t="shared" ca="1" si="30"/>
        <v/>
      </c>
      <c r="AD53" s="5" t="str">
        <f t="shared" ca="1" si="31"/>
        <v/>
      </c>
      <c r="AG53" s="67" t="e">
        <f t="shared" ca="1" si="12"/>
        <v>#VALUE!</v>
      </c>
      <c r="AH53" s="67">
        <v>52</v>
      </c>
      <c r="AI53" s="67">
        <f t="shared" ca="1" si="4"/>
        <v>5</v>
      </c>
      <c r="AJ53" s="39">
        <f t="shared" ca="1" si="5"/>
        <v>0</v>
      </c>
      <c r="AK53" s="39">
        <f t="shared" ca="1" si="6"/>
        <v>0</v>
      </c>
      <c r="AL53" s="39">
        <f t="shared" ca="1" si="7"/>
        <v>0</v>
      </c>
      <c r="AM53" s="39">
        <f t="shared" ca="1" si="8"/>
        <v>0</v>
      </c>
      <c r="AN53" s="39">
        <f t="shared" ca="1" si="9"/>
        <v>0</v>
      </c>
      <c r="AO53" s="39">
        <f t="shared" ca="1" si="0"/>
        <v>0</v>
      </c>
      <c r="AP53" s="39">
        <f t="shared" ca="1" si="1"/>
        <v>0</v>
      </c>
      <c r="AQ53" s="39">
        <f t="shared" ca="1" si="2"/>
        <v>0</v>
      </c>
      <c r="AR53" s="5" t="str">
        <f t="shared" ca="1" si="10"/>
        <v/>
      </c>
      <c r="AS53" s="5" t="str">
        <f t="shared" ca="1" si="3"/>
        <v/>
      </c>
      <c r="AT53" s="5" t="str">
        <f t="shared" ca="1" si="11"/>
        <v/>
      </c>
    </row>
    <row r="54" spans="1:46" x14ac:dyDescent="0.2">
      <c r="A54" s="67" t="str">
        <f ca="1">Demand!C51</f>
        <v/>
      </c>
      <c r="B54" s="67">
        <v>39</v>
      </c>
      <c r="C54" s="5">
        <f ca="1">'Demand background (hide)'!Y42</f>
        <v>0</v>
      </c>
      <c r="D54" s="67">
        <f t="shared" si="15"/>
        <v>0</v>
      </c>
      <c r="E54" s="67" t="e">
        <f t="shared" ca="1" si="16"/>
        <v>#N/A</v>
      </c>
      <c r="F54" s="67" t="e">
        <f t="shared" ca="1" si="17"/>
        <v>#N/A</v>
      </c>
      <c r="G54" s="67" t="e">
        <f t="shared" ca="1" si="18"/>
        <v>#N/A</v>
      </c>
      <c r="H54" s="67" t="e">
        <f>IF('Demand background (hide)'!AN42&lt;&gt;"",'SPC background (hide)'!C54,NA())</f>
        <v>#N/A</v>
      </c>
      <c r="I54" s="67">
        <f t="shared" ca="1" si="19"/>
        <v>5</v>
      </c>
      <c r="J54" s="5">
        <f t="shared" ca="1" si="20"/>
        <v>0</v>
      </c>
      <c r="K54" s="5">
        <f t="shared" ca="1" si="21"/>
        <v>0</v>
      </c>
      <c r="L54" s="5">
        <f t="shared" ca="1" si="22"/>
        <v>0</v>
      </c>
      <c r="M54" s="5">
        <f t="shared" ca="1" si="23"/>
        <v>0</v>
      </c>
      <c r="N54" s="5">
        <f t="shared" ca="1" si="24"/>
        <v>0</v>
      </c>
      <c r="O54" s="5">
        <f t="shared" ca="1" si="25"/>
        <v>0</v>
      </c>
      <c r="P54" s="5">
        <f t="shared" ca="1" si="26"/>
        <v>0</v>
      </c>
      <c r="Q54" s="5" t="e">
        <f t="shared" ca="1" si="27"/>
        <v>#N/A</v>
      </c>
      <c r="R54" s="5">
        <f t="shared" ca="1" si="32"/>
        <v>0</v>
      </c>
      <c r="S54" s="67" t="e">
        <f t="shared" ca="1" si="33"/>
        <v>#N/A</v>
      </c>
      <c r="T54" s="67">
        <f t="shared" ca="1" si="34"/>
        <v>0</v>
      </c>
      <c r="U54" s="67" t="e">
        <f t="shared" ca="1" si="35"/>
        <v>#N/A</v>
      </c>
      <c r="V54" s="5">
        <f t="shared" ca="1" si="14"/>
        <v>0</v>
      </c>
      <c r="W54" s="5" t="e">
        <f t="shared" ca="1" si="28"/>
        <v>#N/A</v>
      </c>
      <c r="X54" s="67">
        <f t="shared" ca="1" si="29"/>
        <v>0</v>
      </c>
      <c r="Y54" s="67" t="e">
        <f t="shared" ca="1" si="36"/>
        <v>#N/A</v>
      </c>
      <c r="Z54" s="67" t="e">
        <f t="shared" ca="1" si="37"/>
        <v>#N/A</v>
      </c>
      <c r="AA54" s="5" t="str">
        <f>IF(Setup!$I$15="Yes",'Demand background (hide)'!AJ42+'SPC background (hide)'!C54,"")</f>
        <v/>
      </c>
      <c r="AC54" s="5" t="str">
        <f t="shared" ca="1" si="30"/>
        <v/>
      </c>
      <c r="AD54" s="5" t="str">
        <f t="shared" ca="1" si="31"/>
        <v/>
      </c>
      <c r="AG54" s="67" t="e">
        <f t="shared" ca="1" si="12"/>
        <v>#VALUE!</v>
      </c>
      <c r="AH54" s="67">
        <v>53</v>
      </c>
      <c r="AI54" s="67">
        <f t="shared" ca="1" si="4"/>
        <v>5</v>
      </c>
      <c r="AJ54" s="39">
        <f t="shared" ca="1" si="5"/>
        <v>0</v>
      </c>
      <c r="AK54" s="39">
        <f t="shared" ca="1" si="6"/>
        <v>0</v>
      </c>
      <c r="AL54" s="39">
        <f t="shared" ca="1" si="7"/>
        <v>0</v>
      </c>
      <c r="AM54" s="39">
        <f t="shared" ca="1" si="8"/>
        <v>0</v>
      </c>
      <c r="AN54" s="39">
        <f t="shared" ca="1" si="9"/>
        <v>0</v>
      </c>
      <c r="AO54" s="39">
        <f t="shared" ca="1" si="0"/>
        <v>0</v>
      </c>
      <c r="AP54" s="39">
        <f t="shared" ca="1" si="1"/>
        <v>0</v>
      </c>
      <c r="AQ54" s="39">
        <f t="shared" ca="1" si="2"/>
        <v>0</v>
      </c>
      <c r="AR54" s="5" t="str">
        <f t="shared" ca="1" si="10"/>
        <v/>
      </c>
      <c r="AS54" s="5" t="str">
        <f t="shared" ca="1" si="3"/>
        <v/>
      </c>
      <c r="AT54" s="5" t="str">
        <f t="shared" ca="1" si="11"/>
        <v/>
      </c>
    </row>
    <row r="55" spans="1:46" x14ac:dyDescent="0.2">
      <c r="A55" s="67" t="str">
        <f ca="1">Demand!C52</f>
        <v/>
      </c>
      <c r="B55" s="67">
        <v>40</v>
      </c>
      <c r="C55" s="5">
        <f ca="1">'Demand background (hide)'!Y43</f>
        <v>0</v>
      </c>
      <c r="D55" s="67">
        <f t="shared" si="15"/>
        <v>0</v>
      </c>
      <c r="E55" s="67" t="e">
        <f t="shared" ca="1" si="16"/>
        <v>#N/A</v>
      </c>
      <c r="F55" s="67" t="e">
        <f t="shared" ca="1" si="17"/>
        <v>#N/A</v>
      </c>
      <c r="G55" s="67" t="e">
        <f t="shared" ca="1" si="18"/>
        <v>#N/A</v>
      </c>
      <c r="H55" s="67" t="e">
        <f>IF('Demand background (hide)'!AN43&lt;&gt;"",'SPC background (hide)'!C55,NA())</f>
        <v>#N/A</v>
      </c>
      <c r="I55" s="67">
        <f t="shared" ca="1" si="19"/>
        <v>5</v>
      </c>
      <c r="J55" s="5">
        <f t="shared" ca="1" si="20"/>
        <v>0</v>
      </c>
      <c r="K55" s="5">
        <f t="shared" ca="1" si="21"/>
        <v>0</v>
      </c>
      <c r="L55" s="5">
        <f t="shared" ca="1" si="22"/>
        <v>0</v>
      </c>
      <c r="M55" s="5">
        <f t="shared" ca="1" si="23"/>
        <v>0</v>
      </c>
      <c r="N55" s="5">
        <f t="shared" ca="1" si="24"/>
        <v>0</v>
      </c>
      <c r="O55" s="5">
        <f t="shared" ca="1" si="25"/>
        <v>0</v>
      </c>
      <c r="P55" s="5">
        <f t="shared" ca="1" si="26"/>
        <v>0</v>
      </c>
      <c r="Q55" s="5" t="e">
        <f t="shared" ca="1" si="27"/>
        <v>#N/A</v>
      </c>
      <c r="R55" s="5">
        <f t="shared" ca="1" si="32"/>
        <v>0</v>
      </c>
      <c r="S55" s="67" t="e">
        <f t="shared" ca="1" si="33"/>
        <v>#N/A</v>
      </c>
      <c r="T55" s="67">
        <f t="shared" ca="1" si="34"/>
        <v>0</v>
      </c>
      <c r="U55" s="67" t="e">
        <f t="shared" ca="1" si="35"/>
        <v>#N/A</v>
      </c>
      <c r="V55" s="5">
        <f t="shared" ca="1" si="14"/>
        <v>0</v>
      </c>
      <c r="W55" s="5" t="e">
        <f t="shared" ca="1" si="28"/>
        <v>#N/A</v>
      </c>
      <c r="X55" s="67">
        <f t="shared" ca="1" si="29"/>
        <v>0</v>
      </c>
      <c r="Y55" s="67" t="e">
        <f t="shared" ca="1" si="36"/>
        <v>#N/A</v>
      </c>
      <c r="Z55" s="67" t="e">
        <f t="shared" ca="1" si="37"/>
        <v>#N/A</v>
      </c>
      <c r="AA55" s="5" t="str">
        <f>IF(Setup!$I$15="Yes",'Demand background (hide)'!AJ43+'SPC background (hide)'!C55,"")</f>
        <v/>
      </c>
      <c r="AC55" s="5" t="str">
        <f t="shared" ca="1" si="30"/>
        <v/>
      </c>
      <c r="AD55" s="5" t="str">
        <f t="shared" ca="1" si="31"/>
        <v/>
      </c>
    </row>
    <row r="56" spans="1:46" x14ac:dyDescent="0.2">
      <c r="A56" s="67" t="str">
        <f ca="1">Demand!C53</f>
        <v/>
      </c>
      <c r="B56" s="67">
        <v>41</v>
      </c>
      <c r="C56" s="5">
        <f ca="1">'Demand background (hide)'!Y44</f>
        <v>0</v>
      </c>
      <c r="D56" s="67">
        <f t="shared" si="15"/>
        <v>0</v>
      </c>
      <c r="E56" s="67" t="e">
        <f t="shared" ca="1" si="16"/>
        <v>#N/A</v>
      </c>
      <c r="F56" s="67" t="e">
        <f t="shared" ca="1" si="17"/>
        <v>#N/A</v>
      </c>
      <c r="G56" s="67" t="e">
        <f t="shared" ca="1" si="18"/>
        <v>#N/A</v>
      </c>
      <c r="H56" s="67" t="e">
        <f>IF('Demand background (hide)'!AN44&lt;&gt;"",'SPC background (hide)'!C56,NA())</f>
        <v>#N/A</v>
      </c>
      <c r="I56" s="67">
        <f t="shared" ca="1" si="19"/>
        <v>5</v>
      </c>
      <c r="J56" s="5">
        <f t="shared" ca="1" si="20"/>
        <v>0</v>
      </c>
      <c r="K56" s="5">
        <f t="shared" ca="1" si="21"/>
        <v>0</v>
      </c>
      <c r="L56" s="5">
        <f t="shared" ca="1" si="22"/>
        <v>0</v>
      </c>
      <c r="M56" s="5">
        <f t="shared" ca="1" si="23"/>
        <v>0</v>
      </c>
      <c r="N56" s="5">
        <f t="shared" ca="1" si="24"/>
        <v>0</v>
      </c>
      <c r="O56" s="5">
        <f t="shared" ca="1" si="25"/>
        <v>0</v>
      </c>
      <c r="P56" s="5">
        <f t="shared" ca="1" si="26"/>
        <v>0</v>
      </c>
      <c r="Q56" s="5" t="e">
        <f t="shared" ca="1" si="27"/>
        <v>#N/A</v>
      </c>
      <c r="R56" s="5">
        <f t="shared" ca="1" si="32"/>
        <v>0</v>
      </c>
      <c r="S56" s="67" t="e">
        <f t="shared" ca="1" si="33"/>
        <v>#N/A</v>
      </c>
      <c r="T56" s="67">
        <f t="shared" ca="1" si="34"/>
        <v>0</v>
      </c>
      <c r="U56" s="67" t="e">
        <f t="shared" ca="1" si="35"/>
        <v>#N/A</v>
      </c>
      <c r="V56" s="5">
        <f t="shared" ca="1" si="14"/>
        <v>0</v>
      </c>
      <c r="W56" s="5" t="e">
        <f t="shared" ca="1" si="28"/>
        <v>#N/A</v>
      </c>
      <c r="X56" s="67">
        <f t="shared" ca="1" si="29"/>
        <v>0</v>
      </c>
      <c r="Y56" s="67" t="e">
        <f t="shared" ca="1" si="36"/>
        <v>#N/A</v>
      </c>
      <c r="Z56" s="67" t="e">
        <f t="shared" ca="1" si="37"/>
        <v>#N/A</v>
      </c>
      <c r="AA56" s="5" t="str">
        <f>IF(Setup!$I$15="Yes",'Demand background (hide)'!AJ44+'SPC background (hide)'!C56,"")</f>
        <v/>
      </c>
      <c r="AC56" s="5" t="str">
        <f t="shared" ca="1" si="30"/>
        <v/>
      </c>
      <c r="AD56" s="5" t="str">
        <f t="shared" ca="1" si="31"/>
        <v/>
      </c>
    </row>
    <row r="57" spans="1:46" x14ac:dyDescent="0.2">
      <c r="A57" s="67" t="str">
        <f ca="1">Demand!C54</f>
        <v/>
      </c>
      <c r="B57" s="67">
        <v>42</v>
      </c>
      <c r="C57" s="5">
        <f ca="1">'Demand background (hide)'!Y45</f>
        <v>0</v>
      </c>
      <c r="D57" s="67">
        <f t="shared" si="15"/>
        <v>0</v>
      </c>
      <c r="E57" s="67" t="e">
        <f t="shared" ca="1" si="16"/>
        <v>#N/A</v>
      </c>
      <c r="F57" s="67" t="e">
        <f t="shared" ca="1" si="17"/>
        <v>#N/A</v>
      </c>
      <c r="G57" s="67" t="e">
        <f t="shared" ca="1" si="18"/>
        <v>#N/A</v>
      </c>
      <c r="H57" s="67" t="e">
        <f>IF('Demand background (hide)'!AN45&lt;&gt;"",'SPC background (hide)'!C57,NA())</f>
        <v>#N/A</v>
      </c>
      <c r="I57" s="67">
        <f t="shared" ca="1" si="19"/>
        <v>5</v>
      </c>
      <c r="J57" s="5">
        <f t="shared" ca="1" si="20"/>
        <v>0</v>
      </c>
      <c r="K57" s="5">
        <f t="shared" ca="1" si="21"/>
        <v>0</v>
      </c>
      <c r="L57" s="5">
        <f t="shared" ca="1" si="22"/>
        <v>0</v>
      </c>
      <c r="M57" s="5">
        <f t="shared" ca="1" si="23"/>
        <v>0</v>
      </c>
      <c r="N57" s="5">
        <f t="shared" ca="1" si="24"/>
        <v>0</v>
      </c>
      <c r="O57" s="5">
        <f t="shared" ca="1" si="25"/>
        <v>0</v>
      </c>
      <c r="P57" s="5">
        <f t="shared" ca="1" si="26"/>
        <v>0</v>
      </c>
      <c r="Q57" s="5" t="e">
        <f t="shared" ca="1" si="27"/>
        <v>#N/A</v>
      </c>
      <c r="R57" s="5">
        <f t="shared" ca="1" si="32"/>
        <v>0</v>
      </c>
      <c r="S57" s="67" t="e">
        <f t="shared" ca="1" si="33"/>
        <v>#N/A</v>
      </c>
      <c r="T57" s="67">
        <f t="shared" ca="1" si="34"/>
        <v>0</v>
      </c>
      <c r="U57" s="67" t="e">
        <f t="shared" ca="1" si="35"/>
        <v>#N/A</v>
      </c>
      <c r="V57" s="5">
        <f t="shared" ca="1" si="14"/>
        <v>0</v>
      </c>
      <c r="W57" s="5" t="e">
        <f t="shared" ca="1" si="28"/>
        <v>#N/A</v>
      </c>
      <c r="X57" s="67">
        <f t="shared" ca="1" si="29"/>
        <v>0</v>
      </c>
      <c r="Y57" s="67" t="e">
        <f t="shared" ca="1" si="36"/>
        <v>#N/A</v>
      </c>
      <c r="Z57" s="67" t="e">
        <f t="shared" ca="1" si="37"/>
        <v>#N/A</v>
      </c>
      <c r="AA57" s="5" t="str">
        <f>IF(Setup!$I$15="Yes",'Demand background (hide)'!AJ45+'SPC background (hide)'!C57,"")</f>
        <v/>
      </c>
      <c r="AC57" s="5" t="str">
        <f t="shared" ca="1" si="30"/>
        <v/>
      </c>
      <c r="AD57" s="5" t="str">
        <f t="shared" ca="1" si="31"/>
        <v/>
      </c>
    </row>
    <row r="58" spans="1:46" x14ac:dyDescent="0.2">
      <c r="A58" s="67" t="str">
        <f ca="1">Demand!C55</f>
        <v/>
      </c>
      <c r="B58" s="67">
        <v>43</v>
      </c>
      <c r="C58" s="5">
        <f ca="1">'Demand background (hide)'!Y46</f>
        <v>0</v>
      </c>
      <c r="D58" s="67">
        <f t="shared" si="15"/>
        <v>0</v>
      </c>
      <c r="E58" s="67" t="e">
        <f t="shared" ca="1" si="16"/>
        <v>#N/A</v>
      </c>
      <c r="F58" s="67" t="e">
        <f t="shared" ca="1" si="17"/>
        <v>#N/A</v>
      </c>
      <c r="G58" s="67" t="e">
        <f t="shared" ca="1" si="18"/>
        <v>#N/A</v>
      </c>
      <c r="H58" s="67" t="e">
        <f>IF('Demand background (hide)'!AN46&lt;&gt;"",'SPC background (hide)'!C58,NA())</f>
        <v>#N/A</v>
      </c>
      <c r="I58" s="67">
        <f t="shared" ca="1" si="19"/>
        <v>5</v>
      </c>
      <c r="J58" s="5">
        <f t="shared" ca="1" si="20"/>
        <v>0</v>
      </c>
      <c r="K58" s="5">
        <f t="shared" ca="1" si="21"/>
        <v>0</v>
      </c>
      <c r="L58" s="5">
        <f t="shared" ca="1" si="22"/>
        <v>0</v>
      </c>
      <c r="M58" s="5">
        <f t="shared" ca="1" si="23"/>
        <v>0</v>
      </c>
      <c r="N58" s="5">
        <f t="shared" ca="1" si="24"/>
        <v>0</v>
      </c>
      <c r="O58" s="5">
        <f t="shared" ca="1" si="25"/>
        <v>0</v>
      </c>
      <c r="P58" s="5">
        <f t="shared" ca="1" si="26"/>
        <v>0</v>
      </c>
      <c r="Q58" s="5" t="e">
        <f t="shared" ca="1" si="27"/>
        <v>#N/A</v>
      </c>
      <c r="R58" s="5">
        <f t="shared" ca="1" si="32"/>
        <v>0</v>
      </c>
      <c r="S58" s="67" t="e">
        <f t="shared" ca="1" si="33"/>
        <v>#N/A</v>
      </c>
      <c r="T58" s="67">
        <f t="shared" ca="1" si="34"/>
        <v>0</v>
      </c>
      <c r="U58" s="67" t="e">
        <f t="shared" ca="1" si="35"/>
        <v>#N/A</v>
      </c>
      <c r="V58" s="5">
        <f t="shared" ca="1" si="14"/>
        <v>0</v>
      </c>
      <c r="W58" s="5" t="e">
        <f t="shared" ca="1" si="28"/>
        <v>#N/A</v>
      </c>
      <c r="X58" s="67">
        <f t="shared" ca="1" si="29"/>
        <v>0</v>
      </c>
      <c r="Y58" s="67" t="e">
        <f t="shared" ca="1" si="36"/>
        <v>#N/A</v>
      </c>
      <c r="Z58" s="67" t="e">
        <f t="shared" ca="1" si="37"/>
        <v>#N/A</v>
      </c>
      <c r="AA58" s="5" t="str">
        <f>IF(Setup!$I$15="Yes",'Demand background (hide)'!AJ46+'SPC background (hide)'!C58,"")</f>
        <v/>
      </c>
      <c r="AC58" s="5" t="str">
        <f t="shared" ca="1" si="30"/>
        <v/>
      </c>
      <c r="AD58" s="5" t="str">
        <f t="shared" ca="1" si="31"/>
        <v/>
      </c>
    </row>
    <row r="59" spans="1:46" x14ac:dyDescent="0.2">
      <c r="A59" s="67" t="str">
        <f ca="1">Demand!C56</f>
        <v/>
      </c>
      <c r="B59" s="67">
        <v>44</v>
      </c>
      <c r="C59" s="5">
        <f ca="1">'Demand background (hide)'!Y47</f>
        <v>0</v>
      </c>
      <c r="D59" s="67">
        <f t="shared" si="15"/>
        <v>0</v>
      </c>
      <c r="E59" s="67" t="e">
        <f t="shared" ca="1" si="16"/>
        <v>#N/A</v>
      </c>
      <c r="F59" s="67" t="e">
        <f t="shared" ca="1" si="17"/>
        <v>#N/A</v>
      </c>
      <c r="G59" s="67" t="e">
        <f t="shared" ca="1" si="18"/>
        <v>#N/A</v>
      </c>
      <c r="H59" s="67" t="e">
        <f>IF('Demand background (hide)'!AN47&lt;&gt;"",'SPC background (hide)'!C59,NA())</f>
        <v>#N/A</v>
      </c>
      <c r="I59" s="67">
        <f t="shared" ca="1" si="19"/>
        <v>5</v>
      </c>
      <c r="J59" s="5">
        <f t="shared" ca="1" si="20"/>
        <v>0</v>
      </c>
      <c r="K59" s="5">
        <f t="shared" ca="1" si="21"/>
        <v>0</v>
      </c>
      <c r="L59" s="5">
        <f t="shared" ca="1" si="22"/>
        <v>0</v>
      </c>
      <c r="M59" s="5">
        <f t="shared" ca="1" si="23"/>
        <v>0</v>
      </c>
      <c r="N59" s="5">
        <f t="shared" ca="1" si="24"/>
        <v>0</v>
      </c>
      <c r="O59" s="5">
        <f t="shared" ca="1" si="25"/>
        <v>0</v>
      </c>
      <c r="P59" s="5">
        <f t="shared" ca="1" si="26"/>
        <v>0</v>
      </c>
      <c r="Q59" s="5" t="e">
        <f t="shared" ca="1" si="27"/>
        <v>#N/A</v>
      </c>
      <c r="R59" s="5">
        <f t="shared" ca="1" si="32"/>
        <v>0</v>
      </c>
      <c r="S59" s="67" t="e">
        <f t="shared" ca="1" si="33"/>
        <v>#N/A</v>
      </c>
      <c r="T59" s="67">
        <f t="shared" ca="1" si="34"/>
        <v>0</v>
      </c>
      <c r="U59" s="67" t="e">
        <f t="shared" ca="1" si="35"/>
        <v>#N/A</v>
      </c>
      <c r="V59" s="5">
        <f t="shared" ca="1" si="14"/>
        <v>0</v>
      </c>
      <c r="W59" s="5" t="e">
        <f t="shared" ca="1" si="28"/>
        <v>#N/A</v>
      </c>
      <c r="X59" s="67">
        <f t="shared" ca="1" si="29"/>
        <v>0</v>
      </c>
      <c r="Y59" s="67" t="e">
        <f t="shared" ca="1" si="36"/>
        <v>#N/A</v>
      </c>
      <c r="Z59" s="67" t="e">
        <f t="shared" ca="1" si="37"/>
        <v>#N/A</v>
      </c>
      <c r="AA59" s="5" t="str">
        <f>IF(Setup!$I$15="Yes",'Demand background (hide)'!AJ47+'SPC background (hide)'!C59,"")</f>
        <v/>
      </c>
      <c r="AC59" s="5" t="str">
        <f t="shared" ca="1" si="30"/>
        <v/>
      </c>
      <c r="AD59" s="5" t="str">
        <f t="shared" ca="1" si="31"/>
        <v/>
      </c>
    </row>
    <row r="60" spans="1:46" x14ac:dyDescent="0.2">
      <c r="A60" s="67" t="str">
        <f ca="1">Demand!C57</f>
        <v/>
      </c>
      <c r="B60" s="67">
        <v>45</v>
      </c>
      <c r="C60" s="5">
        <f ca="1">'Demand background (hide)'!Y48</f>
        <v>0</v>
      </c>
      <c r="D60" s="67">
        <f t="shared" si="15"/>
        <v>0</v>
      </c>
      <c r="E60" s="67" t="e">
        <f t="shared" ca="1" si="16"/>
        <v>#N/A</v>
      </c>
      <c r="F60" s="67" t="e">
        <f t="shared" ca="1" si="17"/>
        <v>#N/A</v>
      </c>
      <c r="G60" s="67" t="e">
        <f t="shared" ca="1" si="18"/>
        <v>#N/A</v>
      </c>
      <c r="H60" s="67" t="e">
        <f>IF('Demand background (hide)'!AN48&lt;&gt;"",'SPC background (hide)'!C60,NA())</f>
        <v>#N/A</v>
      </c>
      <c r="I60" s="67">
        <f t="shared" ca="1" si="19"/>
        <v>5</v>
      </c>
      <c r="J60" s="5">
        <f t="shared" ca="1" si="20"/>
        <v>0</v>
      </c>
      <c r="K60" s="5">
        <f t="shared" ca="1" si="21"/>
        <v>0</v>
      </c>
      <c r="L60" s="5">
        <f t="shared" ca="1" si="22"/>
        <v>0</v>
      </c>
      <c r="M60" s="5">
        <f t="shared" ca="1" si="23"/>
        <v>0</v>
      </c>
      <c r="N60" s="5">
        <f t="shared" ca="1" si="24"/>
        <v>0</v>
      </c>
      <c r="O60" s="5">
        <f t="shared" ca="1" si="25"/>
        <v>0</v>
      </c>
      <c r="P60" s="5">
        <f t="shared" ca="1" si="26"/>
        <v>0</v>
      </c>
      <c r="Q60" s="5" t="e">
        <f t="shared" ca="1" si="27"/>
        <v>#N/A</v>
      </c>
      <c r="R60" s="5">
        <f t="shared" ca="1" si="32"/>
        <v>0</v>
      </c>
      <c r="S60" s="67" t="e">
        <f t="shared" ca="1" si="33"/>
        <v>#N/A</v>
      </c>
      <c r="T60" s="67">
        <f t="shared" ca="1" si="34"/>
        <v>0</v>
      </c>
      <c r="U60" s="67" t="e">
        <f t="shared" ca="1" si="35"/>
        <v>#N/A</v>
      </c>
      <c r="V60" s="5">
        <f t="shared" ca="1" si="14"/>
        <v>0</v>
      </c>
      <c r="W60" s="5" t="e">
        <f t="shared" ca="1" si="28"/>
        <v>#N/A</v>
      </c>
      <c r="X60" s="67">
        <f t="shared" ca="1" si="29"/>
        <v>0</v>
      </c>
      <c r="Y60" s="67" t="e">
        <f t="shared" ca="1" si="36"/>
        <v>#N/A</v>
      </c>
      <c r="Z60" s="67" t="e">
        <f t="shared" ca="1" si="37"/>
        <v>#N/A</v>
      </c>
      <c r="AA60" s="5" t="str">
        <f>IF(Setup!$I$15="Yes",'Demand background (hide)'!AJ48+'SPC background (hide)'!C60,"")</f>
        <v/>
      </c>
      <c r="AC60" s="5" t="str">
        <f t="shared" ca="1" si="30"/>
        <v/>
      </c>
      <c r="AD60" s="5" t="str">
        <f t="shared" ca="1" si="31"/>
        <v/>
      </c>
    </row>
    <row r="61" spans="1:46" x14ac:dyDescent="0.2">
      <c r="A61" s="67" t="str">
        <f ca="1">Demand!C58</f>
        <v/>
      </c>
      <c r="B61" s="67">
        <v>46</v>
      </c>
      <c r="C61" s="5">
        <f ca="1">'Demand background (hide)'!Y49</f>
        <v>0</v>
      </c>
      <c r="D61" s="67">
        <f t="shared" si="15"/>
        <v>0</v>
      </c>
      <c r="E61" s="67" t="e">
        <f t="shared" ca="1" si="16"/>
        <v>#N/A</v>
      </c>
      <c r="F61" s="67" t="e">
        <f t="shared" ca="1" si="17"/>
        <v>#N/A</v>
      </c>
      <c r="G61" s="67" t="e">
        <f t="shared" ca="1" si="18"/>
        <v>#N/A</v>
      </c>
      <c r="H61" s="67" t="e">
        <f>IF('Demand background (hide)'!AN49&lt;&gt;"",'SPC background (hide)'!C61,NA())</f>
        <v>#N/A</v>
      </c>
      <c r="I61" s="67">
        <f t="shared" ca="1" si="19"/>
        <v>5</v>
      </c>
      <c r="J61" s="5">
        <f t="shared" ca="1" si="20"/>
        <v>0</v>
      </c>
      <c r="K61" s="5">
        <f t="shared" ca="1" si="21"/>
        <v>0</v>
      </c>
      <c r="L61" s="5">
        <f t="shared" ca="1" si="22"/>
        <v>0</v>
      </c>
      <c r="M61" s="5">
        <f t="shared" ca="1" si="23"/>
        <v>0</v>
      </c>
      <c r="N61" s="5">
        <f t="shared" ca="1" si="24"/>
        <v>0</v>
      </c>
      <c r="O61" s="5">
        <f t="shared" ca="1" si="25"/>
        <v>0</v>
      </c>
      <c r="P61" s="5">
        <f t="shared" ca="1" si="26"/>
        <v>0</v>
      </c>
      <c r="Q61" s="5" t="e">
        <f t="shared" ca="1" si="27"/>
        <v>#N/A</v>
      </c>
      <c r="R61" s="5">
        <f t="shared" ca="1" si="32"/>
        <v>0</v>
      </c>
      <c r="S61" s="67" t="e">
        <f t="shared" ca="1" si="33"/>
        <v>#N/A</v>
      </c>
      <c r="T61" s="67">
        <f t="shared" ca="1" si="34"/>
        <v>0</v>
      </c>
      <c r="U61" s="67" t="e">
        <f t="shared" ca="1" si="35"/>
        <v>#N/A</v>
      </c>
      <c r="V61" s="5">
        <f t="shared" ca="1" si="14"/>
        <v>0</v>
      </c>
      <c r="W61" s="5" t="e">
        <f t="shared" ca="1" si="28"/>
        <v>#N/A</v>
      </c>
      <c r="X61" s="67">
        <f t="shared" ca="1" si="29"/>
        <v>0</v>
      </c>
      <c r="Y61" s="67" t="e">
        <f t="shared" ca="1" si="36"/>
        <v>#N/A</v>
      </c>
      <c r="Z61" s="67" t="e">
        <f t="shared" ca="1" si="37"/>
        <v>#N/A</v>
      </c>
      <c r="AA61" s="5" t="str">
        <f>IF(Setup!$I$15="Yes",'Demand background (hide)'!AJ49+'SPC background (hide)'!C61,"")</f>
        <v/>
      </c>
      <c r="AC61" s="5" t="str">
        <f t="shared" ca="1" si="30"/>
        <v/>
      </c>
      <c r="AD61" s="5" t="str">
        <f t="shared" ca="1" si="31"/>
        <v/>
      </c>
    </row>
    <row r="62" spans="1:46" x14ac:dyDescent="0.2">
      <c r="A62" s="67" t="str">
        <f ca="1">Demand!C59</f>
        <v/>
      </c>
      <c r="B62" s="67">
        <v>47</v>
      </c>
      <c r="C62" s="5">
        <f ca="1">'Demand background (hide)'!Y50</f>
        <v>0</v>
      </c>
      <c r="D62" s="67">
        <f t="shared" si="15"/>
        <v>0</v>
      </c>
      <c r="E62" s="67" t="e">
        <f t="shared" ca="1" si="16"/>
        <v>#N/A</v>
      </c>
      <c r="F62" s="67" t="e">
        <f t="shared" ca="1" si="17"/>
        <v>#N/A</v>
      </c>
      <c r="G62" s="67" t="e">
        <f t="shared" ca="1" si="18"/>
        <v>#N/A</v>
      </c>
      <c r="H62" s="67" t="e">
        <f>IF('Demand background (hide)'!AN50&lt;&gt;"",'SPC background (hide)'!C62,NA())</f>
        <v>#N/A</v>
      </c>
      <c r="I62" s="67">
        <f t="shared" ca="1" si="19"/>
        <v>5</v>
      </c>
      <c r="J62" s="5">
        <f t="shared" ca="1" si="20"/>
        <v>0</v>
      </c>
      <c r="K62" s="5">
        <f t="shared" ca="1" si="21"/>
        <v>0</v>
      </c>
      <c r="L62" s="5">
        <f t="shared" ca="1" si="22"/>
        <v>0</v>
      </c>
      <c r="M62" s="5">
        <f t="shared" ca="1" si="23"/>
        <v>0</v>
      </c>
      <c r="N62" s="5">
        <f t="shared" ca="1" si="24"/>
        <v>0</v>
      </c>
      <c r="O62" s="5">
        <f t="shared" ca="1" si="25"/>
        <v>0</v>
      </c>
      <c r="P62" s="5">
        <f t="shared" ca="1" si="26"/>
        <v>0</v>
      </c>
      <c r="Q62" s="5" t="e">
        <f t="shared" ca="1" si="27"/>
        <v>#N/A</v>
      </c>
      <c r="R62" s="5">
        <f t="shared" ca="1" si="32"/>
        <v>0</v>
      </c>
      <c r="S62" s="67" t="e">
        <f t="shared" ca="1" si="33"/>
        <v>#N/A</v>
      </c>
      <c r="T62" s="67">
        <f t="shared" ca="1" si="34"/>
        <v>0</v>
      </c>
      <c r="U62" s="67" t="e">
        <f t="shared" ca="1" si="35"/>
        <v>#N/A</v>
      </c>
      <c r="V62" s="5">
        <f t="shared" ca="1" si="14"/>
        <v>0</v>
      </c>
      <c r="W62" s="5" t="e">
        <f t="shared" ca="1" si="28"/>
        <v>#N/A</v>
      </c>
      <c r="X62" s="67">
        <f t="shared" ca="1" si="29"/>
        <v>0</v>
      </c>
      <c r="Y62" s="67" t="e">
        <f t="shared" ca="1" si="36"/>
        <v>#N/A</v>
      </c>
      <c r="Z62" s="67" t="e">
        <f t="shared" ca="1" si="37"/>
        <v>#N/A</v>
      </c>
      <c r="AA62" s="5" t="str">
        <f>IF(Setup!$I$15="Yes",'Demand background (hide)'!AJ50+'SPC background (hide)'!C62,"")</f>
        <v/>
      </c>
      <c r="AC62" s="5" t="str">
        <f t="shared" ca="1" si="30"/>
        <v/>
      </c>
      <c r="AD62" s="5" t="str">
        <f t="shared" ca="1" si="31"/>
        <v/>
      </c>
    </row>
    <row r="63" spans="1:46" x14ac:dyDescent="0.2">
      <c r="A63" s="67" t="str">
        <f ca="1">Demand!C60</f>
        <v/>
      </c>
      <c r="B63" s="67">
        <v>48</v>
      </c>
      <c r="C63" s="5">
        <f ca="1">'Demand background (hide)'!Y51</f>
        <v>0</v>
      </c>
      <c r="D63" s="67">
        <f t="shared" si="15"/>
        <v>0</v>
      </c>
      <c r="E63" s="67" t="e">
        <f t="shared" ca="1" si="16"/>
        <v>#N/A</v>
      </c>
      <c r="F63" s="67" t="e">
        <f t="shared" ca="1" si="17"/>
        <v>#N/A</v>
      </c>
      <c r="G63" s="67" t="e">
        <f t="shared" ca="1" si="18"/>
        <v>#N/A</v>
      </c>
      <c r="H63" s="67" t="e">
        <f>IF('Demand background (hide)'!AN51&lt;&gt;"",'SPC background (hide)'!C63,NA())</f>
        <v>#N/A</v>
      </c>
      <c r="I63" s="67">
        <f t="shared" ca="1" si="19"/>
        <v>5</v>
      </c>
      <c r="J63" s="5">
        <f t="shared" ca="1" si="20"/>
        <v>0</v>
      </c>
      <c r="K63" s="5">
        <f t="shared" ca="1" si="21"/>
        <v>0</v>
      </c>
      <c r="L63" s="5">
        <f t="shared" ca="1" si="22"/>
        <v>0</v>
      </c>
      <c r="M63" s="5">
        <f t="shared" ca="1" si="23"/>
        <v>0</v>
      </c>
      <c r="N63" s="5">
        <f t="shared" ca="1" si="24"/>
        <v>0</v>
      </c>
      <c r="O63" s="5">
        <f t="shared" ca="1" si="25"/>
        <v>0</v>
      </c>
      <c r="P63" s="5">
        <f t="shared" ca="1" si="26"/>
        <v>0</v>
      </c>
      <c r="Q63" s="5" t="e">
        <f t="shared" ca="1" si="27"/>
        <v>#N/A</v>
      </c>
      <c r="R63" s="5">
        <f t="shared" ca="1" si="32"/>
        <v>0</v>
      </c>
      <c r="S63" s="67" t="e">
        <f t="shared" ca="1" si="33"/>
        <v>#N/A</v>
      </c>
      <c r="T63" s="67">
        <f t="shared" ca="1" si="34"/>
        <v>0</v>
      </c>
      <c r="U63" s="67" t="e">
        <f t="shared" ca="1" si="35"/>
        <v>#N/A</v>
      </c>
      <c r="V63" s="5">
        <f t="shared" ca="1" si="14"/>
        <v>0</v>
      </c>
      <c r="W63" s="5" t="e">
        <f t="shared" ca="1" si="28"/>
        <v>#N/A</v>
      </c>
      <c r="X63" s="67">
        <f t="shared" ca="1" si="29"/>
        <v>0</v>
      </c>
      <c r="Y63" s="67" t="e">
        <f t="shared" ca="1" si="36"/>
        <v>#N/A</v>
      </c>
      <c r="Z63" s="67" t="e">
        <f t="shared" ca="1" si="37"/>
        <v>#N/A</v>
      </c>
      <c r="AA63" s="5" t="str">
        <f>IF(Setup!$I$15="Yes",'Demand background (hide)'!AJ51+'SPC background (hide)'!C63,"")</f>
        <v/>
      </c>
      <c r="AC63" s="5" t="str">
        <f t="shared" ca="1" si="30"/>
        <v/>
      </c>
      <c r="AD63" s="5" t="str">
        <f t="shared" ca="1" si="31"/>
        <v/>
      </c>
    </row>
    <row r="64" spans="1:46" x14ac:dyDescent="0.2">
      <c r="A64" s="67" t="str">
        <f ca="1">Demand!C61</f>
        <v/>
      </c>
      <c r="B64" s="67">
        <v>49</v>
      </c>
      <c r="C64" s="5">
        <f ca="1">'Demand background (hide)'!Y52</f>
        <v>0</v>
      </c>
      <c r="D64" s="67">
        <f t="shared" si="15"/>
        <v>0</v>
      </c>
      <c r="E64" s="67" t="e">
        <f t="shared" ca="1" si="16"/>
        <v>#N/A</v>
      </c>
      <c r="F64" s="67" t="e">
        <f t="shared" ca="1" si="17"/>
        <v>#N/A</v>
      </c>
      <c r="G64" s="67" t="e">
        <f t="shared" ca="1" si="18"/>
        <v>#N/A</v>
      </c>
      <c r="H64" s="67" t="e">
        <f>IF('Demand background (hide)'!AN52&lt;&gt;"",'SPC background (hide)'!C64,NA())</f>
        <v>#N/A</v>
      </c>
      <c r="I64" s="67">
        <f t="shared" ca="1" si="19"/>
        <v>5</v>
      </c>
      <c r="J64" s="5">
        <f t="shared" ca="1" si="20"/>
        <v>0</v>
      </c>
      <c r="K64" s="5">
        <f t="shared" ca="1" si="21"/>
        <v>0</v>
      </c>
      <c r="L64" s="5">
        <f t="shared" ca="1" si="22"/>
        <v>0</v>
      </c>
      <c r="M64" s="5">
        <f t="shared" ca="1" si="23"/>
        <v>0</v>
      </c>
      <c r="N64" s="5">
        <f t="shared" ca="1" si="24"/>
        <v>0</v>
      </c>
      <c r="O64" s="5">
        <f t="shared" ca="1" si="25"/>
        <v>0</v>
      </c>
      <c r="P64" s="5">
        <f t="shared" ca="1" si="26"/>
        <v>0</v>
      </c>
      <c r="Q64" s="5" t="e">
        <f t="shared" ca="1" si="27"/>
        <v>#N/A</v>
      </c>
      <c r="R64" s="5">
        <f t="shared" ca="1" si="32"/>
        <v>0</v>
      </c>
      <c r="S64" s="67" t="e">
        <f t="shared" ca="1" si="33"/>
        <v>#N/A</v>
      </c>
      <c r="T64" s="67">
        <f t="shared" ca="1" si="34"/>
        <v>0</v>
      </c>
      <c r="U64" s="67" t="e">
        <f t="shared" ca="1" si="35"/>
        <v>#N/A</v>
      </c>
      <c r="V64" s="5">
        <f t="shared" ca="1" si="14"/>
        <v>0</v>
      </c>
      <c r="W64" s="5" t="e">
        <f t="shared" ca="1" si="28"/>
        <v>#N/A</v>
      </c>
      <c r="X64" s="67">
        <f t="shared" ca="1" si="29"/>
        <v>0</v>
      </c>
      <c r="Y64" s="67" t="e">
        <f t="shared" ca="1" si="36"/>
        <v>#N/A</v>
      </c>
      <c r="Z64" s="67" t="e">
        <f t="shared" ca="1" si="37"/>
        <v>#N/A</v>
      </c>
      <c r="AA64" s="5" t="str">
        <f>IF(Setup!$I$15="Yes",'Demand background (hide)'!AJ52+'SPC background (hide)'!C64,"")</f>
        <v/>
      </c>
      <c r="AC64" s="5" t="str">
        <f t="shared" ca="1" si="30"/>
        <v/>
      </c>
      <c r="AD64" s="5" t="str">
        <f t="shared" ca="1" si="31"/>
        <v/>
      </c>
    </row>
    <row r="65" spans="1:30" x14ac:dyDescent="0.2">
      <c r="A65" s="67" t="str">
        <f ca="1">Demand!C62</f>
        <v/>
      </c>
      <c r="B65" s="67">
        <v>50</v>
      </c>
      <c r="C65" s="5">
        <f ca="1">'Demand background (hide)'!Y53</f>
        <v>0</v>
      </c>
      <c r="D65" s="67">
        <f t="shared" si="15"/>
        <v>0</v>
      </c>
      <c r="E65" s="67" t="e">
        <f t="shared" ca="1" si="16"/>
        <v>#N/A</v>
      </c>
      <c r="F65" s="67" t="e">
        <f t="shared" ca="1" si="17"/>
        <v>#N/A</v>
      </c>
      <c r="G65" s="67" t="e">
        <f t="shared" ca="1" si="18"/>
        <v>#N/A</v>
      </c>
      <c r="H65" s="67" t="e">
        <f>IF('Demand background (hide)'!AN53&lt;&gt;"",'SPC background (hide)'!C65,NA())</f>
        <v>#N/A</v>
      </c>
      <c r="I65" s="67">
        <f t="shared" ca="1" si="19"/>
        <v>5</v>
      </c>
      <c r="J65" s="5">
        <f t="shared" ca="1" si="20"/>
        <v>0</v>
      </c>
      <c r="K65" s="5">
        <f t="shared" ca="1" si="21"/>
        <v>0</v>
      </c>
      <c r="L65" s="5">
        <f t="shared" ca="1" si="22"/>
        <v>0</v>
      </c>
      <c r="M65" s="5">
        <f t="shared" ca="1" si="23"/>
        <v>0</v>
      </c>
      <c r="N65" s="5">
        <f t="shared" ca="1" si="24"/>
        <v>0</v>
      </c>
      <c r="O65" s="5">
        <f t="shared" ca="1" si="25"/>
        <v>0</v>
      </c>
      <c r="P65" s="5">
        <f t="shared" ca="1" si="26"/>
        <v>0</v>
      </c>
      <c r="Q65" s="5" t="e">
        <f t="shared" ca="1" si="27"/>
        <v>#N/A</v>
      </c>
      <c r="R65" s="5">
        <f t="shared" ca="1" si="32"/>
        <v>0</v>
      </c>
      <c r="S65" s="67" t="e">
        <f t="shared" ca="1" si="33"/>
        <v>#N/A</v>
      </c>
      <c r="T65" s="67">
        <f t="shared" ca="1" si="34"/>
        <v>0</v>
      </c>
      <c r="U65" s="67" t="e">
        <f t="shared" ca="1" si="35"/>
        <v>#N/A</v>
      </c>
      <c r="V65" s="5">
        <f t="shared" ca="1" si="14"/>
        <v>0</v>
      </c>
      <c r="W65" s="5" t="e">
        <f t="shared" ca="1" si="28"/>
        <v>#N/A</v>
      </c>
      <c r="X65" s="67">
        <f t="shared" ca="1" si="29"/>
        <v>0</v>
      </c>
      <c r="Y65" s="67" t="e">
        <f t="shared" ca="1" si="36"/>
        <v>#N/A</v>
      </c>
      <c r="Z65" s="67" t="e">
        <f t="shared" ca="1" si="37"/>
        <v>#N/A</v>
      </c>
      <c r="AA65" s="5" t="str">
        <f>IF(Setup!$I$15="Yes",'Demand background (hide)'!AJ53+'SPC background (hide)'!C65,"")</f>
        <v/>
      </c>
      <c r="AC65" s="5" t="str">
        <f t="shared" ca="1" si="30"/>
        <v/>
      </c>
      <c r="AD65" s="5" t="str">
        <f t="shared" ca="1" si="31"/>
        <v/>
      </c>
    </row>
    <row r="66" spans="1:30" x14ac:dyDescent="0.2">
      <c r="A66" s="67" t="str">
        <f ca="1">Demand!C63</f>
        <v/>
      </c>
      <c r="B66" s="67">
        <v>51</v>
      </c>
      <c r="C66" s="5">
        <f ca="1">'Demand background (hide)'!Y54</f>
        <v>0</v>
      </c>
      <c r="D66" s="67">
        <f t="shared" si="15"/>
        <v>0</v>
      </c>
      <c r="E66" s="67" t="e">
        <f t="shared" ca="1" si="16"/>
        <v>#N/A</v>
      </c>
      <c r="F66" s="67" t="e">
        <f t="shared" ca="1" si="17"/>
        <v>#N/A</v>
      </c>
      <c r="G66" s="67" t="e">
        <f t="shared" ca="1" si="18"/>
        <v>#N/A</v>
      </c>
      <c r="H66" s="67" t="e">
        <f>IF('Demand background (hide)'!AN54&lt;&gt;"",'SPC background (hide)'!C66,NA())</f>
        <v>#N/A</v>
      </c>
      <c r="I66" s="67">
        <f t="shared" ca="1" si="19"/>
        <v>5</v>
      </c>
      <c r="J66" s="5">
        <f t="shared" ca="1" si="20"/>
        <v>0</v>
      </c>
      <c r="K66" s="5">
        <f t="shared" ca="1" si="21"/>
        <v>0</v>
      </c>
      <c r="L66" s="5">
        <f t="shared" ca="1" si="22"/>
        <v>0</v>
      </c>
      <c r="M66" s="5">
        <f t="shared" ca="1" si="23"/>
        <v>0</v>
      </c>
      <c r="N66" s="5">
        <f t="shared" ca="1" si="24"/>
        <v>0</v>
      </c>
      <c r="O66" s="5">
        <f t="shared" ca="1" si="25"/>
        <v>0</v>
      </c>
      <c r="P66" s="5">
        <f t="shared" ca="1" si="26"/>
        <v>0</v>
      </c>
      <c r="Q66" s="5" t="e">
        <f t="shared" ca="1" si="27"/>
        <v>#N/A</v>
      </c>
      <c r="R66" s="5">
        <f t="shared" ca="1" si="32"/>
        <v>0</v>
      </c>
      <c r="S66" s="67" t="e">
        <f t="shared" ca="1" si="33"/>
        <v>#N/A</v>
      </c>
      <c r="T66" s="67">
        <f t="shared" ca="1" si="34"/>
        <v>0</v>
      </c>
      <c r="U66" s="67" t="e">
        <f t="shared" ca="1" si="35"/>
        <v>#N/A</v>
      </c>
      <c r="V66" s="5">
        <f t="shared" ca="1" si="14"/>
        <v>0</v>
      </c>
      <c r="W66" s="5" t="e">
        <f t="shared" ca="1" si="28"/>
        <v>#N/A</v>
      </c>
      <c r="X66" s="67">
        <f t="shared" ca="1" si="29"/>
        <v>0</v>
      </c>
      <c r="Y66" s="67" t="e">
        <f t="shared" ca="1" si="36"/>
        <v>#N/A</v>
      </c>
      <c r="Z66" s="67" t="e">
        <f t="shared" ca="1" si="37"/>
        <v>#N/A</v>
      </c>
      <c r="AA66" s="5" t="str">
        <f>IF(Setup!$I$15="Yes",'Demand background (hide)'!AJ54+'SPC background (hide)'!C66,"")</f>
        <v/>
      </c>
      <c r="AC66" s="5" t="str">
        <f t="shared" ca="1" si="30"/>
        <v/>
      </c>
      <c r="AD66" s="5" t="str">
        <f t="shared" ca="1" si="31"/>
        <v/>
      </c>
    </row>
    <row r="67" spans="1:30" x14ac:dyDescent="0.2">
      <c r="A67" s="67" t="str">
        <f ca="1">Demand!C64</f>
        <v/>
      </c>
      <c r="B67" s="67">
        <v>52</v>
      </c>
      <c r="C67" s="5">
        <f ca="1">'Demand background (hide)'!Y55</f>
        <v>0</v>
      </c>
      <c r="D67" s="67">
        <f t="shared" si="15"/>
        <v>0</v>
      </c>
      <c r="E67" s="67" t="e">
        <f t="shared" ca="1" si="16"/>
        <v>#N/A</v>
      </c>
      <c r="F67" s="67" t="e">
        <f t="shared" ca="1" si="17"/>
        <v>#N/A</v>
      </c>
      <c r="G67" s="67" t="e">
        <f t="shared" ca="1" si="18"/>
        <v>#N/A</v>
      </c>
      <c r="H67" s="67" t="e">
        <f>IF('Demand background (hide)'!AN55&lt;&gt;"",'SPC background (hide)'!C67,NA())</f>
        <v>#N/A</v>
      </c>
      <c r="I67" s="67">
        <f t="shared" ca="1" si="19"/>
        <v>5</v>
      </c>
      <c r="J67" s="5">
        <f t="shared" ca="1" si="20"/>
        <v>0</v>
      </c>
      <c r="K67" s="5">
        <f t="shared" ca="1" si="21"/>
        <v>0</v>
      </c>
      <c r="L67" s="5">
        <f t="shared" ca="1" si="22"/>
        <v>0</v>
      </c>
      <c r="M67" s="5">
        <f t="shared" ca="1" si="23"/>
        <v>0</v>
      </c>
      <c r="N67" s="5">
        <f t="shared" ca="1" si="24"/>
        <v>0</v>
      </c>
      <c r="O67" s="5">
        <f t="shared" ca="1" si="25"/>
        <v>0</v>
      </c>
      <c r="P67" s="5">
        <f t="shared" ca="1" si="26"/>
        <v>0</v>
      </c>
      <c r="Q67" s="5" t="e">
        <f t="shared" ca="1" si="27"/>
        <v>#N/A</v>
      </c>
      <c r="R67" s="5">
        <f t="shared" ca="1" si="32"/>
        <v>0</v>
      </c>
      <c r="S67" s="67" t="e">
        <f t="shared" ca="1" si="33"/>
        <v>#N/A</v>
      </c>
      <c r="T67" s="67">
        <f t="shared" ca="1" si="34"/>
        <v>0</v>
      </c>
      <c r="U67" s="67" t="e">
        <f t="shared" ca="1" si="35"/>
        <v>#N/A</v>
      </c>
      <c r="V67" s="5">
        <f t="shared" ca="1" si="14"/>
        <v>0</v>
      </c>
      <c r="W67" s="5" t="e">
        <f t="shared" ca="1" si="28"/>
        <v>#N/A</v>
      </c>
      <c r="X67" s="67">
        <f t="shared" ca="1" si="29"/>
        <v>0</v>
      </c>
      <c r="Y67" s="67" t="e">
        <f t="shared" ca="1" si="36"/>
        <v>#N/A</v>
      </c>
      <c r="Z67" s="67" t="e">
        <f t="shared" ca="1" si="37"/>
        <v>#N/A</v>
      </c>
      <c r="AA67" s="5" t="str">
        <f>IF(Setup!$I$15="Yes",'Demand background (hide)'!AJ55+'SPC background (hide)'!C67,"")</f>
        <v/>
      </c>
      <c r="AC67" s="5" t="str">
        <f t="shared" ca="1" si="30"/>
        <v/>
      </c>
      <c r="AD67" s="5" t="str">
        <f t="shared" ca="1" si="31"/>
        <v/>
      </c>
    </row>
    <row r="68" spans="1:30" x14ac:dyDescent="0.2">
      <c r="A68" s="67" t="str">
        <f ca="1">Demand!C65</f>
        <v/>
      </c>
      <c r="B68" s="67">
        <v>53</v>
      </c>
      <c r="C68" s="5">
        <f ca="1">'Demand background (hide)'!Y56</f>
        <v>0</v>
      </c>
      <c r="D68" s="67">
        <f t="shared" si="15"/>
        <v>0</v>
      </c>
      <c r="E68" s="67" t="e">
        <f t="shared" ca="1" si="16"/>
        <v>#N/A</v>
      </c>
      <c r="F68" s="67" t="e">
        <f t="shared" ca="1" si="17"/>
        <v>#N/A</v>
      </c>
      <c r="G68" s="67" t="e">
        <f t="shared" ca="1" si="18"/>
        <v>#N/A</v>
      </c>
      <c r="H68" s="67" t="e">
        <f>IF('Demand background (hide)'!AN56&lt;&gt;"",'SPC background (hide)'!C68,NA())</f>
        <v>#N/A</v>
      </c>
      <c r="I68" s="67">
        <f t="shared" ca="1" si="19"/>
        <v>5</v>
      </c>
      <c r="J68" s="5">
        <f t="shared" ca="1" si="20"/>
        <v>0</v>
      </c>
      <c r="K68" s="5">
        <f t="shared" ca="1" si="21"/>
        <v>0</v>
      </c>
      <c r="L68" s="5">
        <f t="shared" ca="1" si="22"/>
        <v>0</v>
      </c>
      <c r="M68" s="5">
        <f t="shared" ca="1" si="23"/>
        <v>0</v>
      </c>
      <c r="N68" s="5">
        <f t="shared" ca="1" si="24"/>
        <v>0</v>
      </c>
      <c r="O68" s="5">
        <f t="shared" ca="1" si="25"/>
        <v>0</v>
      </c>
      <c r="P68" s="5">
        <f t="shared" ca="1" si="26"/>
        <v>0</v>
      </c>
      <c r="Q68" s="5" t="e">
        <f t="shared" ca="1" si="27"/>
        <v>#N/A</v>
      </c>
      <c r="R68" s="5">
        <f t="shared" ca="1" si="32"/>
        <v>0</v>
      </c>
      <c r="S68" s="67" t="e">
        <f t="shared" ca="1" si="33"/>
        <v>#N/A</v>
      </c>
      <c r="T68" s="67">
        <f t="shared" ca="1" si="34"/>
        <v>0</v>
      </c>
      <c r="U68" s="67" t="e">
        <f t="shared" ca="1" si="35"/>
        <v>#N/A</v>
      </c>
      <c r="V68" s="5">
        <f t="shared" ca="1" si="14"/>
        <v>0</v>
      </c>
      <c r="W68" s="5" t="e">
        <f t="shared" ca="1" si="28"/>
        <v>#N/A</v>
      </c>
      <c r="X68" s="67">
        <f t="shared" ca="1" si="29"/>
        <v>0</v>
      </c>
      <c r="Y68" s="67" t="e">
        <f t="shared" ca="1" si="36"/>
        <v>#N/A</v>
      </c>
      <c r="Z68" s="67" t="e">
        <f t="shared" ca="1" si="37"/>
        <v>#N/A</v>
      </c>
      <c r="AA68" s="5" t="str">
        <f>IF(Setup!$I$15="Yes",'Demand background (hide)'!AJ56+'SPC background (hide)'!C68,"")</f>
        <v/>
      </c>
      <c r="AC68" s="5" t="str">
        <f t="shared" ca="1" si="30"/>
        <v/>
      </c>
      <c r="AD68" s="5" t="str">
        <f t="shared" ca="1" si="31"/>
        <v/>
      </c>
    </row>
    <row r="69" spans="1:30" x14ac:dyDescent="0.2">
      <c r="A69" s="67" t="str">
        <f ca="1">Demand!C66</f>
        <v/>
      </c>
      <c r="B69" s="67">
        <v>54</v>
      </c>
      <c r="C69" s="5">
        <f ca="1">'Demand background (hide)'!Y57</f>
        <v>0</v>
      </c>
      <c r="D69" s="67">
        <f t="shared" si="15"/>
        <v>0</v>
      </c>
      <c r="E69" s="67" t="e">
        <f t="shared" ca="1" si="16"/>
        <v>#N/A</v>
      </c>
      <c r="F69" s="67" t="e">
        <f t="shared" ca="1" si="17"/>
        <v>#N/A</v>
      </c>
      <c r="G69" s="67" t="e">
        <f t="shared" ca="1" si="18"/>
        <v>#N/A</v>
      </c>
      <c r="H69" s="67" t="e">
        <f>IF('Demand background (hide)'!AN57&lt;&gt;"",'SPC background (hide)'!C69,NA())</f>
        <v>#N/A</v>
      </c>
      <c r="I69" s="67">
        <f t="shared" ca="1" si="19"/>
        <v>5</v>
      </c>
      <c r="J69" s="5">
        <f t="shared" ca="1" si="20"/>
        <v>0</v>
      </c>
      <c r="K69" s="5">
        <f t="shared" ca="1" si="21"/>
        <v>0</v>
      </c>
      <c r="L69" s="5">
        <f t="shared" ca="1" si="22"/>
        <v>0</v>
      </c>
      <c r="M69" s="5">
        <f t="shared" ca="1" si="23"/>
        <v>0</v>
      </c>
      <c r="N69" s="5">
        <f t="shared" ca="1" si="24"/>
        <v>0</v>
      </c>
      <c r="O69" s="5">
        <f t="shared" ca="1" si="25"/>
        <v>0</v>
      </c>
      <c r="P69" s="5">
        <f t="shared" ca="1" si="26"/>
        <v>0</v>
      </c>
      <c r="Q69" s="5" t="e">
        <f t="shared" ca="1" si="27"/>
        <v>#N/A</v>
      </c>
      <c r="R69" s="5">
        <f t="shared" ca="1" si="32"/>
        <v>0</v>
      </c>
      <c r="S69" s="67" t="e">
        <f t="shared" ca="1" si="33"/>
        <v>#N/A</v>
      </c>
      <c r="T69" s="67">
        <f t="shared" ca="1" si="34"/>
        <v>0</v>
      </c>
      <c r="U69" s="67" t="e">
        <f t="shared" ca="1" si="35"/>
        <v>#N/A</v>
      </c>
      <c r="V69" s="5">
        <f t="shared" ca="1" si="14"/>
        <v>0</v>
      </c>
      <c r="W69" s="5" t="e">
        <f t="shared" ca="1" si="28"/>
        <v>#N/A</v>
      </c>
      <c r="X69" s="67">
        <f t="shared" ca="1" si="29"/>
        <v>0</v>
      </c>
      <c r="Y69" s="67" t="e">
        <f t="shared" ca="1" si="36"/>
        <v>#N/A</v>
      </c>
      <c r="Z69" s="67" t="e">
        <f t="shared" ca="1" si="37"/>
        <v>#N/A</v>
      </c>
      <c r="AA69" s="5" t="str">
        <f>IF(Setup!$I$15="Yes",'Demand background (hide)'!AJ57+'SPC background (hide)'!C69,"")</f>
        <v/>
      </c>
      <c r="AC69" s="5" t="str">
        <f t="shared" ca="1" si="30"/>
        <v/>
      </c>
      <c r="AD69" s="5" t="str">
        <f t="shared" ca="1" si="31"/>
        <v/>
      </c>
    </row>
    <row r="70" spans="1:30" x14ac:dyDescent="0.2">
      <c r="A70" s="67" t="str">
        <f ca="1">Demand!C67</f>
        <v/>
      </c>
      <c r="B70" s="67">
        <v>55</v>
      </c>
      <c r="C70" s="5">
        <f ca="1">'Demand background (hide)'!Y58</f>
        <v>0</v>
      </c>
      <c r="D70" s="67">
        <f t="shared" si="15"/>
        <v>0</v>
      </c>
      <c r="E70" s="67" t="e">
        <f t="shared" ca="1" si="16"/>
        <v>#N/A</v>
      </c>
      <c r="F70" s="67" t="e">
        <f t="shared" ca="1" si="17"/>
        <v>#N/A</v>
      </c>
      <c r="G70" s="67" t="e">
        <f t="shared" ca="1" si="18"/>
        <v>#N/A</v>
      </c>
      <c r="H70" s="67" t="e">
        <f>IF('Demand background (hide)'!AN58&lt;&gt;"",'SPC background (hide)'!C70,NA())</f>
        <v>#N/A</v>
      </c>
      <c r="I70" s="67">
        <f t="shared" ca="1" si="19"/>
        <v>5</v>
      </c>
      <c r="J70" s="5">
        <f t="shared" ca="1" si="20"/>
        <v>0</v>
      </c>
      <c r="K70" s="5">
        <f t="shared" ca="1" si="21"/>
        <v>0</v>
      </c>
      <c r="L70" s="5">
        <f t="shared" ca="1" si="22"/>
        <v>0</v>
      </c>
      <c r="M70" s="5">
        <f t="shared" ca="1" si="23"/>
        <v>0</v>
      </c>
      <c r="N70" s="5">
        <f t="shared" ca="1" si="24"/>
        <v>0</v>
      </c>
      <c r="O70" s="5">
        <f t="shared" ca="1" si="25"/>
        <v>0</v>
      </c>
      <c r="P70" s="5">
        <f t="shared" ca="1" si="26"/>
        <v>0</v>
      </c>
      <c r="Q70" s="5" t="e">
        <f t="shared" ca="1" si="27"/>
        <v>#N/A</v>
      </c>
      <c r="R70" s="5">
        <f t="shared" ca="1" si="32"/>
        <v>0</v>
      </c>
      <c r="S70" s="67" t="e">
        <f t="shared" ca="1" si="33"/>
        <v>#N/A</v>
      </c>
      <c r="T70" s="67">
        <f t="shared" ca="1" si="34"/>
        <v>0</v>
      </c>
      <c r="U70" s="67" t="e">
        <f t="shared" ca="1" si="35"/>
        <v>#N/A</v>
      </c>
      <c r="V70" s="5">
        <f t="shared" ca="1" si="14"/>
        <v>0</v>
      </c>
      <c r="W70" s="5" t="e">
        <f t="shared" ca="1" si="28"/>
        <v>#N/A</v>
      </c>
      <c r="X70" s="67">
        <f t="shared" ca="1" si="29"/>
        <v>0</v>
      </c>
      <c r="Y70" s="67" t="e">
        <f t="shared" ca="1" si="36"/>
        <v>#N/A</v>
      </c>
      <c r="Z70" s="67" t="e">
        <f t="shared" ca="1" si="37"/>
        <v>#N/A</v>
      </c>
      <c r="AA70" s="5" t="str">
        <f>IF(Setup!$I$15="Yes",'Demand background (hide)'!AJ58+'SPC background (hide)'!C70,"")</f>
        <v/>
      </c>
      <c r="AC70" s="5" t="str">
        <f t="shared" ca="1" si="30"/>
        <v/>
      </c>
      <c r="AD70" s="5" t="str">
        <f t="shared" ca="1" si="31"/>
        <v/>
      </c>
    </row>
    <row r="71" spans="1:30" x14ac:dyDescent="0.2">
      <c r="A71" s="67" t="str">
        <f ca="1">Demand!C68</f>
        <v/>
      </c>
      <c r="B71" s="67">
        <v>56</v>
      </c>
      <c r="C71" s="5">
        <f ca="1">'Demand background (hide)'!Y59</f>
        <v>0</v>
      </c>
      <c r="D71" s="67">
        <f t="shared" si="15"/>
        <v>0</v>
      </c>
      <c r="E71" s="67" t="e">
        <f t="shared" ca="1" si="16"/>
        <v>#N/A</v>
      </c>
      <c r="F71" s="67" t="e">
        <f t="shared" ca="1" si="17"/>
        <v>#N/A</v>
      </c>
      <c r="G71" s="67" t="e">
        <f t="shared" ca="1" si="18"/>
        <v>#N/A</v>
      </c>
      <c r="H71" s="67" t="e">
        <f>IF('Demand background (hide)'!AN59&lt;&gt;"",'SPC background (hide)'!C71,NA())</f>
        <v>#N/A</v>
      </c>
      <c r="I71" s="67">
        <f t="shared" ca="1" si="19"/>
        <v>5</v>
      </c>
      <c r="J71" s="5">
        <f t="shared" ca="1" si="20"/>
        <v>0</v>
      </c>
      <c r="K71" s="5">
        <f t="shared" ca="1" si="21"/>
        <v>0</v>
      </c>
      <c r="L71" s="5">
        <f t="shared" ca="1" si="22"/>
        <v>0</v>
      </c>
      <c r="M71" s="5">
        <f t="shared" ca="1" si="23"/>
        <v>0</v>
      </c>
      <c r="N71" s="5">
        <f t="shared" ca="1" si="24"/>
        <v>0</v>
      </c>
      <c r="O71" s="5">
        <f t="shared" ca="1" si="25"/>
        <v>0</v>
      </c>
      <c r="P71" s="5">
        <f t="shared" ca="1" si="26"/>
        <v>0</v>
      </c>
      <c r="Q71" s="5" t="e">
        <f t="shared" ca="1" si="27"/>
        <v>#N/A</v>
      </c>
      <c r="R71" s="5">
        <f t="shared" ca="1" si="32"/>
        <v>0</v>
      </c>
      <c r="S71" s="67" t="e">
        <f t="shared" ca="1" si="33"/>
        <v>#N/A</v>
      </c>
      <c r="T71" s="67">
        <f t="shared" ca="1" si="34"/>
        <v>0</v>
      </c>
      <c r="U71" s="67" t="e">
        <f t="shared" ca="1" si="35"/>
        <v>#N/A</v>
      </c>
      <c r="V71" s="5">
        <f t="shared" ca="1" si="14"/>
        <v>0</v>
      </c>
      <c r="W71" s="5" t="e">
        <f t="shared" ca="1" si="28"/>
        <v>#N/A</v>
      </c>
      <c r="X71" s="67">
        <f t="shared" ca="1" si="29"/>
        <v>0</v>
      </c>
      <c r="Y71" s="67" t="e">
        <f t="shared" ca="1" si="36"/>
        <v>#N/A</v>
      </c>
      <c r="Z71" s="67" t="e">
        <f t="shared" ca="1" si="37"/>
        <v>#N/A</v>
      </c>
      <c r="AA71" s="5" t="str">
        <f>IF(Setup!$I$15="Yes",'Demand background (hide)'!AJ59+'SPC background (hide)'!C71,"")</f>
        <v/>
      </c>
      <c r="AC71" s="5" t="str">
        <f t="shared" ca="1" si="30"/>
        <v/>
      </c>
      <c r="AD71" s="5" t="str">
        <f t="shared" ca="1" si="31"/>
        <v/>
      </c>
    </row>
    <row r="72" spans="1:30" x14ac:dyDescent="0.2">
      <c r="A72" s="67" t="str">
        <f ca="1">Demand!C69</f>
        <v/>
      </c>
      <c r="B72" s="67">
        <v>57</v>
      </c>
      <c r="C72" s="5">
        <f ca="1">'Demand background (hide)'!Y60</f>
        <v>0</v>
      </c>
      <c r="D72" s="67">
        <f t="shared" si="15"/>
        <v>0</v>
      </c>
      <c r="E72" s="67" t="e">
        <f t="shared" ca="1" si="16"/>
        <v>#N/A</v>
      </c>
      <c r="F72" s="67" t="e">
        <f t="shared" ca="1" si="17"/>
        <v>#N/A</v>
      </c>
      <c r="G72" s="67" t="e">
        <f t="shared" ca="1" si="18"/>
        <v>#N/A</v>
      </c>
      <c r="H72" s="67" t="e">
        <f>IF('Demand background (hide)'!AN60&lt;&gt;"",'SPC background (hide)'!C72,NA())</f>
        <v>#N/A</v>
      </c>
      <c r="I72" s="67">
        <f t="shared" ca="1" si="19"/>
        <v>5</v>
      </c>
      <c r="J72" s="5">
        <f t="shared" ca="1" si="20"/>
        <v>0</v>
      </c>
      <c r="K72" s="5">
        <f t="shared" ca="1" si="21"/>
        <v>0</v>
      </c>
      <c r="L72" s="5">
        <f t="shared" ca="1" si="22"/>
        <v>0</v>
      </c>
      <c r="M72" s="5">
        <f t="shared" ca="1" si="23"/>
        <v>0</v>
      </c>
      <c r="N72" s="5">
        <f t="shared" ca="1" si="24"/>
        <v>0</v>
      </c>
      <c r="O72" s="5">
        <f t="shared" ca="1" si="25"/>
        <v>0</v>
      </c>
      <c r="P72" s="5">
        <f t="shared" ca="1" si="26"/>
        <v>0</v>
      </c>
      <c r="Q72" s="5" t="e">
        <f t="shared" ca="1" si="27"/>
        <v>#N/A</v>
      </c>
      <c r="R72" s="5">
        <f t="shared" ca="1" si="32"/>
        <v>0</v>
      </c>
      <c r="S72" s="67" t="e">
        <f t="shared" ca="1" si="33"/>
        <v>#N/A</v>
      </c>
      <c r="T72" s="67">
        <f t="shared" ca="1" si="34"/>
        <v>0</v>
      </c>
      <c r="U72" s="67" t="e">
        <f t="shared" ca="1" si="35"/>
        <v>#N/A</v>
      </c>
      <c r="V72" s="5">
        <f t="shared" ca="1" si="14"/>
        <v>0</v>
      </c>
      <c r="W72" s="5" t="e">
        <f t="shared" ca="1" si="28"/>
        <v>#N/A</v>
      </c>
      <c r="X72" s="67">
        <f t="shared" ca="1" si="29"/>
        <v>0</v>
      </c>
      <c r="Y72" s="67" t="e">
        <f t="shared" ca="1" si="36"/>
        <v>#N/A</v>
      </c>
      <c r="Z72" s="67" t="e">
        <f t="shared" ca="1" si="37"/>
        <v>#N/A</v>
      </c>
      <c r="AA72" s="5" t="str">
        <f>IF(Setup!$I$15="Yes",'Demand background (hide)'!AJ60+'SPC background (hide)'!C72,"")</f>
        <v/>
      </c>
      <c r="AC72" s="5" t="str">
        <f t="shared" ca="1" si="30"/>
        <v/>
      </c>
      <c r="AD72" s="5" t="str">
        <f t="shared" ca="1" si="31"/>
        <v/>
      </c>
    </row>
    <row r="73" spans="1:30" x14ac:dyDescent="0.2">
      <c r="A73" s="67" t="str">
        <f ca="1">Demand!C70</f>
        <v/>
      </c>
      <c r="B73" s="67">
        <v>58</v>
      </c>
      <c r="C73" s="5">
        <f ca="1">'Demand background (hide)'!Y61</f>
        <v>0</v>
      </c>
      <c r="D73" s="67">
        <f t="shared" si="15"/>
        <v>0</v>
      </c>
      <c r="E73" s="67" t="e">
        <f t="shared" ca="1" si="16"/>
        <v>#N/A</v>
      </c>
      <c r="F73" s="67" t="e">
        <f t="shared" ca="1" si="17"/>
        <v>#N/A</v>
      </c>
      <c r="G73" s="67" t="e">
        <f t="shared" ca="1" si="18"/>
        <v>#N/A</v>
      </c>
      <c r="H73" s="67" t="e">
        <f>IF('Demand background (hide)'!AN61&lt;&gt;"",'SPC background (hide)'!C73,NA())</f>
        <v>#N/A</v>
      </c>
      <c r="I73" s="67">
        <f t="shared" ca="1" si="19"/>
        <v>5</v>
      </c>
      <c r="J73" s="5">
        <f t="shared" ca="1" si="20"/>
        <v>0</v>
      </c>
      <c r="K73" s="5">
        <f t="shared" ca="1" si="21"/>
        <v>0</v>
      </c>
      <c r="L73" s="5">
        <f t="shared" ca="1" si="22"/>
        <v>0</v>
      </c>
      <c r="M73" s="5">
        <f t="shared" ca="1" si="23"/>
        <v>0</v>
      </c>
      <c r="N73" s="5">
        <f t="shared" ca="1" si="24"/>
        <v>0</v>
      </c>
      <c r="O73" s="5">
        <f t="shared" ca="1" si="25"/>
        <v>0</v>
      </c>
      <c r="P73" s="5">
        <f t="shared" ca="1" si="26"/>
        <v>0</v>
      </c>
      <c r="Q73" s="5" t="e">
        <f t="shared" ca="1" si="27"/>
        <v>#N/A</v>
      </c>
      <c r="R73" s="5">
        <f t="shared" ca="1" si="32"/>
        <v>0</v>
      </c>
      <c r="S73" s="67" t="e">
        <f t="shared" ca="1" si="33"/>
        <v>#N/A</v>
      </c>
      <c r="T73" s="67">
        <f t="shared" ca="1" si="34"/>
        <v>0</v>
      </c>
      <c r="U73" s="67" t="e">
        <f t="shared" ca="1" si="35"/>
        <v>#N/A</v>
      </c>
      <c r="V73" s="5">
        <f t="shared" ca="1" si="14"/>
        <v>0</v>
      </c>
      <c r="W73" s="5" t="e">
        <f t="shared" ca="1" si="28"/>
        <v>#N/A</v>
      </c>
      <c r="X73" s="67">
        <f t="shared" ca="1" si="29"/>
        <v>0</v>
      </c>
      <c r="Y73" s="67" t="e">
        <f t="shared" ca="1" si="36"/>
        <v>#N/A</v>
      </c>
      <c r="Z73" s="67" t="e">
        <f t="shared" ca="1" si="37"/>
        <v>#N/A</v>
      </c>
      <c r="AA73" s="5" t="str">
        <f>IF(Setup!$I$15="Yes",'Demand background (hide)'!AJ61+'SPC background (hide)'!C73,"")</f>
        <v/>
      </c>
      <c r="AC73" s="5" t="str">
        <f t="shared" ca="1" si="30"/>
        <v/>
      </c>
      <c r="AD73" s="5" t="str">
        <f t="shared" ca="1" si="31"/>
        <v/>
      </c>
    </row>
    <row r="74" spans="1:30" x14ac:dyDescent="0.2">
      <c r="A74" s="67" t="str">
        <f ca="1">Demand!C71</f>
        <v/>
      </c>
      <c r="B74" s="67">
        <v>59</v>
      </c>
      <c r="C74" s="5">
        <f ca="1">'Demand background (hide)'!Y62</f>
        <v>0</v>
      </c>
      <c r="D74" s="67">
        <f t="shared" si="15"/>
        <v>0</v>
      </c>
      <c r="E74" s="67" t="e">
        <f t="shared" ca="1" si="16"/>
        <v>#N/A</v>
      </c>
      <c r="F74" s="67" t="e">
        <f t="shared" ca="1" si="17"/>
        <v>#N/A</v>
      </c>
      <c r="G74" s="67" t="e">
        <f t="shared" ca="1" si="18"/>
        <v>#N/A</v>
      </c>
      <c r="H74" s="67" t="e">
        <f>IF('Demand background (hide)'!AN62&lt;&gt;"",'SPC background (hide)'!C74,NA())</f>
        <v>#N/A</v>
      </c>
      <c r="I74" s="67">
        <f t="shared" ca="1" si="19"/>
        <v>5</v>
      </c>
      <c r="J74" s="5">
        <f t="shared" ca="1" si="20"/>
        <v>0</v>
      </c>
      <c r="K74" s="5">
        <f t="shared" ca="1" si="21"/>
        <v>0</v>
      </c>
      <c r="L74" s="5">
        <f t="shared" ca="1" si="22"/>
        <v>0</v>
      </c>
      <c r="M74" s="5">
        <f t="shared" ca="1" si="23"/>
        <v>0</v>
      </c>
      <c r="N74" s="5">
        <f t="shared" ca="1" si="24"/>
        <v>0</v>
      </c>
      <c r="O74" s="5">
        <f t="shared" ca="1" si="25"/>
        <v>0</v>
      </c>
      <c r="P74" s="5">
        <f t="shared" ca="1" si="26"/>
        <v>0</v>
      </c>
      <c r="Q74" s="5" t="e">
        <f t="shared" ca="1" si="27"/>
        <v>#N/A</v>
      </c>
      <c r="R74" s="5">
        <f t="shared" ca="1" si="32"/>
        <v>0</v>
      </c>
      <c r="S74" s="67" t="e">
        <f t="shared" ca="1" si="33"/>
        <v>#N/A</v>
      </c>
      <c r="T74" s="67">
        <f t="shared" ca="1" si="34"/>
        <v>0</v>
      </c>
      <c r="U74" s="67" t="e">
        <f t="shared" ca="1" si="35"/>
        <v>#N/A</v>
      </c>
      <c r="V74" s="5">
        <f t="shared" ca="1" si="14"/>
        <v>0</v>
      </c>
      <c r="W74" s="5" t="e">
        <f t="shared" ca="1" si="28"/>
        <v>#N/A</v>
      </c>
      <c r="X74" s="67">
        <f t="shared" ca="1" si="29"/>
        <v>0</v>
      </c>
      <c r="Y74" s="67" t="e">
        <f t="shared" ca="1" si="36"/>
        <v>#N/A</v>
      </c>
      <c r="Z74" s="67" t="e">
        <f t="shared" ca="1" si="37"/>
        <v>#N/A</v>
      </c>
      <c r="AA74" s="5" t="str">
        <f>IF(Setup!$I$15="Yes",'Demand background (hide)'!AJ62+'SPC background (hide)'!C74,"")</f>
        <v/>
      </c>
      <c r="AC74" s="5" t="str">
        <f t="shared" ca="1" si="30"/>
        <v/>
      </c>
      <c r="AD74" s="5" t="str">
        <f t="shared" ca="1" si="31"/>
        <v/>
      </c>
    </row>
    <row r="75" spans="1:30" x14ac:dyDescent="0.2">
      <c r="A75" s="67" t="str">
        <f ca="1">Demand!C72</f>
        <v/>
      </c>
      <c r="B75" s="67">
        <v>60</v>
      </c>
      <c r="C75" s="5">
        <f ca="1">'Demand background (hide)'!Y63</f>
        <v>0</v>
      </c>
      <c r="D75" s="67">
        <f t="shared" si="15"/>
        <v>0</v>
      </c>
      <c r="E75" s="67" t="e">
        <f t="shared" ca="1" si="16"/>
        <v>#N/A</v>
      </c>
      <c r="F75" s="67" t="e">
        <f t="shared" ca="1" si="17"/>
        <v>#N/A</v>
      </c>
      <c r="G75" s="67" t="e">
        <f t="shared" ca="1" si="18"/>
        <v>#N/A</v>
      </c>
      <c r="H75" s="67" t="e">
        <f>IF('Demand background (hide)'!AN63&lt;&gt;"",'SPC background (hide)'!C75,NA())</f>
        <v>#N/A</v>
      </c>
      <c r="I75" s="67">
        <f t="shared" ca="1" si="19"/>
        <v>5</v>
      </c>
      <c r="J75" s="5">
        <f t="shared" ca="1" si="20"/>
        <v>0</v>
      </c>
      <c r="K75" s="5">
        <f t="shared" ca="1" si="21"/>
        <v>0</v>
      </c>
      <c r="L75" s="5">
        <f t="shared" ca="1" si="22"/>
        <v>0</v>
      </c>
      <c r="M75" s="5">
        <f t="shared" ca="1" si="23"/>
        <v>0</v>
      </c>
      <c r="N75" s="5">
        <f t="shared" ca="1" si="24"/>
        <v>0</v>
      </c>
      <c r="O75" s="5">
        <f t="shared" ca="1" si="25"/>
        <v>0</v>
      </c>
      <c r="P75" s="5">
        <f t="shared" ca="1" si="26"/>
        <v>0</v>
      </c>
      <c r="Q75" s="5" t="e">
        <f t="shared" ca="1" si="27"/>
        <v>#N/A</v>
      </c>
      <c r="R75" s="5">
        <f t="shared" ca="1" si="32"/>
        <v>0</v>
      </c>
      <c r="S75" s="67" t="e">
        <f t="shared" ca="1" si="33"/>
        <v>#N/A</v>
      </c>
      <c r="T75" s="67">
        <f t="shared" ca="1" si="34"/>
        <v>0</v>
      </c>
      <c r="U75" s="67" t="e">
        <f t="shared" ca="1" si="35"/>
        <v>#N/A</v>
      </c>
      <c r="V75" s="5">
        <f t="shared" ca="1" si="14"/>
        <v>0</v>
      </c>
      <c r="W75" s="5" t="e">
        <f t="shared" ca="1" si="28"/>
        <v>#N/A</v>
      </c>
      <c r="X75" s="67">
        <f t="shared" ca="1" si="29"/>
        <v>0</v>
      </c>
      <c r="Y75" s="67" t="e">
        <f t="shared" ca="1" si="36"/>
        <v>#N/A</v>
      </c>
      <c r="Z75" s="67" t="e">
        <f t="shared" ca="1" si="37"/>
        <v>#N/A</v>
      </c>
      <c r="AA75" s="5" t="str">
        <f>IF(Setup!$I$15="Yes",'Demand background (hide)'!AJ63+'SPC background (hide)'!C75,"")</f>
        <v/>
      </c>
      <c r="AC75" s="5" t="str">
        <f t="shared" ca="1" si="30"/>
        <v/>
      </c>
      <c r="AD75" s="5" t="str">
        <f t="shared" ca="1" si="31"/>
        <v/>
      </c>
    </row>
    <row r="76" spans="1:30" x14ac:dyDescent="0.2">
      <c r="A76" s="67" t="str">
        <f ca="1">Demand!C73</f>
        <v/>
      </c>
      <c r="B76" s="67">
        <v>61</v>
      </c>
      <c r="C76" s="5">
        <f ca="1">'Demand background (hide)'!Y64</f>
        <v>0</v>
      </c>
      <c r="D76" s="67">
        <f t="shared" si="15"/>
        <v>0</v>
      </c>
      <c r="E76" s="67" t="e">
        <f t="shared" ca="1" si="16"/>
        <v>#N/A</v>
      </c>
      <c r="F76" s="67" t="e">
        <f t="shared" ca="1" si="17"/>
        <v>#N/A</v>
      </c>
      <c r="G76" s="67" t="e">
        <f t="shared" ca="1" si="18"/>
        <v>#N/A</v>
      </c>
      <c r="H76" s="67" t="e">
        <f>IF('Demand background (hide)'!AN64&lt;&gt;"",'SPC background (hide)'!C76,NA())</f>
        <v>#N/A</v>
      </c>
      <c r="I76" s="67">
        <f t="shared" ca="1" si="19"/>
        <v>5</v>
      </c>
      <c r="J76" s="5">
        <f t="shared" ca="1" si="20"/>
        <v>0</v>
      </c>
      <c r="K76" s="5">
        <f t="shared" ca="1" si="21"/>
        <v>0</v>
      </c>
      <c r="L76" s="5">
        <f t="shared" ca="1" si="22"/>
        <v>0</v>
      </c>
      <c r="M76" s="5">
        <f t="shared" ca="1" si="23"/>
        <v>0</v>
      </c>
      <c r="N76" s="5">
        <f t="shared" ca="1" si="24"/>
        <v>0</v>
      </c>
      <c r="O76" s="5">
        <f t="shared" ca="1" si="25"/>
        <v>0</v>
      </c>
      <c r="P76" s="5">
        <f t="shared" ca="1" si="26"/>
        <v>0</v>
      </c>
      <c r="Q76" s="5" t="e">
        <f t="shared" ca="1" si="27"/>
        <v>#N/A</v>
      </c>
      <c r="R76" s="5">
        <f t="shared" ca="1" si="32"/>
        <v>0</v>
      </c>
      <c r="S76" s="67" t="e">
        <f t="shared" ca="1" si="33"/>
        <v>#N/A</v>
      </c>
      <c r="T76" s="67">
        <f t="shared" ca="1" si="34"/>
        <v>0</v>
      </c>
      <c r="U76" s="67" t="e">
        <f t="shared" ca="1" si="35"/>
        <v>#N/A</v>
      </c>
      <c r="V76" s="5">
        <f t="shared" ca="1" si="14"/>
        <v>0</v>
      </c>
      <c r="W76" s="5" t="e">
        <f t="shared" ca="1" si="28"/>
        <v>#N/A</v>
      </c>
      <c r="X76" s="67">
        <f t="shared" ca="1" si="29"/>
        <v>0</v>
      </c>
      <c r="Y76" s="67" t="e">
        <f t="shared" ca="1" si="36"/>
        <v>#N/A</v>
      </c>
      <c r="Z76" s="67" t="e">
        <f t="shared" ca="1" si="37"/>
        <v>#N/A</v>
      </c>
      <c r="AA76" s="5" t="str">
        <f>IF(Setup!$I$15="Yes",'Demand background (hide)'!AJ64+'SPC background (hide)'!C76,"")</f>
        <v/>
      </c>
      <c r="AC76" s="5" t="str">
        <f t="shared" ca="1" si="30"/>
        <v/>
      </c>
      <c r="AD76" s="5" t="str">
        <f t="shared" ca="1" si="31"/>
        <v/>
      </c>
    </row>
    <row r="77" spans="1:30" x14ac:dyDescent="0.2">
      <c r="A77" s="67" t="str">
        <f ca="1">Demand!C74</f>
        <v/>
      </c>
      <c r="B77" s="67">
        <v>62</v>
      </c>
      <c r="C77" s="5">
        <f ca="1">'Demand background (hide)'!Y65</f>
        <v>0</v>
      </c>
      <c r="D77" s="67">
        <f t="shared" si="15"/>
        <v>0</v>
      </c>
      <c r="E77" s="67" t="e">
        <f t="shared" ca="1" si="16"/>
        <v>#N/A</v>
      </c>
      <c r="F77" s="67" t="e">
        <f t="shared" ca="1" si="17"/>
        <v>#N/A</v>
      </c>
      <c r="G77" s="67" t="e">
        <f t="shared" ca="1" si="18"/>
        <v>#N/A</v>
      </c>
      <c r="H77" s="67" t="e">
        <f>IF('Demand background (hide)'!AN65&lt;&gt;"",'SPC background (hide)'!C77,NA())</f>
        <v>#N/A</v>
      </c>
      <c r="I77" s="67">
        <f t="shared" ca="1" si="19"/>
        <v>5</v>
      </c>
      <c r="J77" s="5">
        <f t="shared" ca="1" si="20"/>
        <v>0</v>
      </c>
      <c r="K77" s="5">
        <f t="shared" ca="1" si="21"/>
        <v>0</v>
      </c>
      <c r="L77" s="5">
        <f t="shared" ca="1" si="22"/>
        <v>0</v>
      </c>
      <c r="M77" s="5">
        <f t="shared" ca="1" si="23"/>
        <v>0</v>
      </c>
      <c r="N77" s="5">
        <f t="shared" ca="1" si="24"/>
        <v>0</v>
      </c>
      <c r="O77" s="5">
        <f t="shared" ca="1" si="25"/>
        <v>0</v>
      </c>
      <c r="P77" s="5">
        <f t="shared" ca="1" si="26"/>
        <v>0</v>
      </c>
      <c r="Q77" s="5" t="e">
        <f t="shared" ca="1" si="27"/>
        <v>#N/A</v>
      </c>
      <c r="R77" s="5">
        <f t="shared" ca="1" si="32"/>
        <v>0</v>
      </c>
      <c r="S77" s="67" t="e">
        <f t="shared" ca="1" si="33"/>
        <v>#N/A</v>
      </c>
      <c r="T77" s="67">
        <f t="shared" ca="1" si="34"/>
        <v>0</v>
      </c>
      <c r="U77" s="67" t="e">
        <f t="shared" ca="1" si="35"/>
        <v>#N/A</v>
      </c>
      <c r="V77" s="5">
        <f t="shared" ca="1" si="14"/>
        <v>0</v>
      </c>
      <c r="W77" s="5" t="e">
        <f t="shared" ca="1" si="28"/>
        <v>#N/A</v>
      </c>
      <c r="X77" s="67">
        <f t="shared" ca="1" si="29"/>
        <v>0</v>
      </c>
      <c r="Y77" s="67" t="e">
        <f t="shared" ca="1" si="36"/>
        <v>#N/A</v>
      </c>
      <c r="Z77" s="67" t="e">
        <f t="shared" ca="1" si="37"/>
        <v>#N/A</v>
      </c>
      <c r="AA77" s="5" t="str">
        <f>IF(Setup!$I$15="Yes",'Demand background (hide)'!AJ65+'SPC background (hide)'!C77,"")</f>
        <v/>
      </c>
      <c r="AC77" s="5" t="str">
        <f t="shared" ca="1" si="30"/>
        <v/>
      </c>
      <c r="AD77" s="5" t="str">
        <f t="shared" ca="1" si="31"/>
        <v/>
      </c>
    </row>
    <row r="78" spans="1:30" x14ac:dyDescent="0.2">
      <c r="A78" s="67" t="str">
        <f ca="1">Demand!C75</f>
        <v/>
      </c>
      <c r="B78" s="67">
        <v>63</v>
      </c>
      <c r="C78" s="5">
        <f ca="1">'Demand background (hide)'!Y66</f>
        <v>0</v>
      </c>
      <c r="D78" s="67">
        <f t="shared" si="15"/>
        <v>0</v>
      </c>
      <c r="E78" s="67" t="e">
        <f t="shared" ca="1" si="16"/>
        <v>#N/A</v>
      </c>
      <c r="F78" s="67" t="e">
        <f t="shared" ca="1" si="17"/>
        <v>#N/A</v>
      </c>
      <c r="G78" s="67" t="e">
        <f t="shared" ca="1" si="18"/>
        <v>#N/A</v>
      </c>
      <c r="H78" s="67" t="e">
        <f>IF('Demand background (hide)'!AN66&lt;&gt;"",'SPC background (hide)'!C78,NA())</f>
        <v>#N/A</v>
      </c>
      <c r="I78" s="67">
        <f t="shared" ca="1" si="19"/>
        <v>5</v>
      </c>
      <c r="J78" s="5">
        <f t="shared" ca="1" si="20"/>
        <v>0</v>
      </c>
      <c r="K78" s="5">
        <f t="shared" ca="1" si="21"/>
        <v>0</v>
      </c>
      <c r="L78" s="5">
        <f t="shared" ca="1" si="22"/>
        <v>0</v>
      </c>
      <c r="M78" s="5">
        <f t="shared" ca="1" si="23"/>
        <v>0</v>
      </c>
      <c r="N78" s="5">
        <f t="shared" ca="1" si="24"/>
        <v>0</v>
      </c>
      <c r="O78" s="5">
        <f t="shared" ca="1" si="25"/>
        <v>0</v>
      </c>
      <c r="P78" s="5">
        <f t="shared" ca="1" si="26"/>
        <v>0</v>
      </c>
      <c r="Q78" s="5" t="e">
        <f t="shared" ca="1" si="27"/>
        <v>#N/A</v>
      </c>
      <c r="R78" s="5">
        <f t="shared" ca="1" si="32"/>
        <v>0</v>
      </c>
      <c r="S78" s="67" t="e">
        <f t="shared" ca="1" si="33"/>
        <v>#N/A</v>
      </c>
      <c r="T78" s="67">
        <f t="shared" ca="1" si="34"/>
        <v>0</v>
      </c>
      <c r="U78" s="67" t="e">
        <f t="shared" ca="1" si="35"/>
        <v>#N/A</v>
      </c>
      <c r="V78" s="5">
        <f t="shared" ca="1" si="14"/>
        <v>0</v>
      </c>
      <c r="W78" s="5" t="e">
        <f t="shared" ca="1" si="28"/>
        <v>#N/A</v>
      </c>
      <c r="X78" s="67">
        <f t="shared" ca="1" si="29"/>
        <v>0</v>
      </c>
      <c r="Y78" s="67" t="e">
        <f t="shared" ca="1" si="36"/>
        <v>#N/A</v>
      </c>
      <c r="Z78" s="67" t="e">
        <f t="shared" ca="1" si="37"/>
        <v>#N/A</v>
      </c>
      <c r="AA78" s="5" t="str">
        <f>IF(Setup!$I$15="Yes",'Demand background (hide)'!AJ66+'SPC background (hide)'!C78,"")</f>
        <v/>
      </c>
      <c r="AC78" s="5" t="str">
        <f t="shared" ca="1" si="30"/>
        <v/>
      </c>
      <c r="AD78" s="5" t="str">
        <f t="shared" ca="1" si="31"/>
        <v/>
      </c>
    </row>
    <row r="79" spans="1:30" x14ac:dyDescent="0.2">
      <c r="A79" s="67" t="str">
        <f ca="1">Demand!C76</f>
        <v/>
      </c>
      <c r="B79" s="67">
        <v>64</v>
      </c>
      <c r="C79" s="5">
        <f ca="1">'Demand background (hide)'!Y67</f>
        <v>0</v>
      </c>
      <c r="D79" s="67">
        <f t="shared" si="15"/>
        <v>0</v>
      </c>
      <c r="E79" s="67" t="e">
        <f t="shared" ca="1" si="16"/>
        <v>#N/A</v>
      </c>
      <c r="F79" s="67" t="e">
        <f t="shared" ca="1" si="17"/>
        <v>#N/A</v>
      </c>
      <c r="G79" s="67" t="e">
        <f t="shared" ca="1" si="18"/>
        <v>#N/A</v>
      </c>
      <c r="H79" s="67" t="e">
        <f>IF('Demand background (hide)'!AN67&lt;&gt;"",'SPC background (hide)'!C79,NA())</f>
        <v>#N/A</v>
      </c>
      <c r="I79" s="67">
        <f t="shared" ca="1" si="19"/>
        <v>5</v>
      </c>
      <c r="J79" s="5">
        <f t="shared" ca="1" si="20"/>
        <v>0</v>
      </c>
      <c r="K79" s="5">
        <f t="shared" ca="1" si="21"/>
        <v>0</v>
      </c>
      <c r="L79" s="5">
        <f t="shared" ca="1" si="22"/>
        <v>0</v>
      </c>
      <c r="M79" s="5">
        <f t="shared" ca="1" si="23"/>
        <v>0</v>
      </c>
      <c r="N79" s="5">
        <f t="shared" ca="1" si="24"/>
        <v>0</v>
      </c>
      <c r="O79" s="5">
        <f t="shared" ca="1" si="25"/>
        <v>0</v>
      </c>
      <c r="P79" s="5">
        <f t="shared" ca="1" si="26"/>
        <v>0</v>
      </c>
      <c r="Q79" s="5" t="e">
        <f t="shared" ca="1" si="27"/>
        <v>#N/A</v>
      </c>
      <c r="R79" s="5">
        <f t="shared" ca="1" si="32"/>
        <v>0</v>
      </c>
      <c r="S79" s="67" t="e">
        <f t="shared" ca="1" si="33"/>
        <v>#N/A</v>
      </c>
      <c r="T79" s="67">
        <f t="shared" ca="1" si="34"/>
        <v>0</v>
      </c>
      <c r="U79" s="67" t="e">
        <f t="shared" ca="1" si="35"/>
        <v>#N/A</v>
      </c>
      <c r="V79" s="5">
        <f t="shared" ca="1" si="14"/>
        <v>0</v>
      </c>
      <c r="W79" s="5" t="e">
        <f t="shared" ca="1" si="28"/>
        <v>#N/A</v>
      </c>
      <c r="X79" s="67">
        <f t="shared" ca="1" si="29"/>
        <v>0</v>
      </c>
      <c r="Y79" s="67" t="e">
        <f t="shared" ca="1" si="36"/>
        <v>#N/A</v>
      </c>
      <c r="Z79" s="67" t="e">
        <f t="shared" ca="1" si="37"/>
        <v>#N/A</v>
      </c>
      <c r="AA79" s="5" t="str">
        <f>IF(Setup!$I$15="Yes",'Demand background (hide)'!AJ67+'SPC background (hide)'!C79,"")</f>
        <v/>
      </c>
      <c r="AC79" s="5" t="str">
        <f t="shared" ca="1" si="30"/>
        <v/>
      </c>
      <c r="AD79" s="5" t="str">
        <f t="shared" ca="1" si="31"/>
        <v/>
      </c>
    </row>
    <row r="80" spans="1:30" x14ac:dyDescent="0.2">
      <c r="A80" s="67" t="str">
        <f ca="1">Demand!C77</f>
        <v/>
      </c>
      <c r="B80" s="67">
        <v>65</v>
      </c>
      <c r="C80" s="5">
        <f ca="1">'Demand background (hide)'!Y68</f>
        <v>0</v>
      </c>
      <c r="D80" s="67">
        <f t="shared" si="15"/>
        <v>0</v>
      </c>
      <c r="E80" s="67" t="e">
        <f t="shared" ca="1" si="16"/>
        <v>#N/A</v>
      </c>
      <c r="F80" s="67" t="e">
        <f t="shared" ca="1" si="17"/>
        <v>#N/A</v>
      </c>
      <c r="G80" s="67" t="e">
        <f t="shared" ca="1" si="18"/>
        <v>#N/A</v>
      </c>
      <c r="H80" s="67" t="e">
        <f>IF('Demand background (hide)'!AN68&lt;&gt;"",'SPC background (hide)'!C80,NA())</f>
        <v>#N/A</v>
      </c>
      <c r="I80" s="67">
        <f t="shared" ca="1" si="19"/>
        <v>5</v>
      </c>
      <c r="J80" s="5">
        <f t="shared" ca="1" si="20"/>
        <v>0</v>
      </c>
      <c r="K80" s="5">
        <f t="shared" ca="1" si="21"/>
        <v>0</v>
      </c>
      <c r="L80" s="5">
        <f t="shared" ca="1" si="22"/>
        <v>0</v>
      </c>
      <c r="M80" s="5">
        <f t="shared" ca="1" si="23"/>
        <v>0</v>
      </c>
      <c r="N80" s="5">
        <f t="shared" ca="1" si="24"/>
        <v>0</v>
      </c>
      <c r="O80" s="5">
        <f t="shared" ca="1" si="25"/>
        <v>0</v>
      </c>
      <c r="P80" s="5">
        <f t="shared" ca="1" si="26"/>
        <v>0</v>
      </c>
      <c r="Q80" s="5" t="e">
        <f t="shared" ca="1" si="27"/>
        <v>#N/A</v>
      </c>
      <c r="R80" s="5">
        <f t="shared" ca="1" si="32"/>
        <v>0</v>
      </c>
      <c r="S80" s="67" t="e">
        <f t="shared" ca="1" si="33"/>
        <v>#N/A</v>
      </c>
      <c r="T80" s="67">
        <f t="shared" ca="1" si="34"/>
        <v>0</v>
      </c>
      <c r="U80" s="67" t="e">
        <f t="shared" ca="1" si="35"/>
        <v>#N/A</v>
      </c>
      <c r="V80" s="5">
        <f t="shared" ref="V80:V143" ca="1" si="38">IF(C80&lt;M80,-1,IF(C80&gt;M80,1,0))</f>
        <v>0</v>
      </c>
      <c r="W80" s="5" t="e">
        <f t="shared" ca="1" si="28"/>
        <v>#N/A</v>
      </c>
      <c r="X80" s="67">
        <f t="shared" ca="1" si="29"/>
        <v>0</v>
      </c>
      <c r="Y80" s="67" t="e">
        <f t="shared" ca="1" si="36"/>
        <v>#N/A</v>
      </c>
      <c r="Z80" s="67" t="e">
        <f t="shared" ca="1" si="37"/>
        <v>#N/A</v>
      </c>
      <c r="AA80" s="5" t="str">
        <f>IF(Setup!$I$15="Yes",'Demand background (hide)'!AJ68+'SPC background (hide)'!C80,"")</f>
        <v/>
      </c>
      <c r="AC80" s="5" t="str">
        <f t="shared" ca="1" si="30"/>
        <v/>
      </c>
      <c r="AD80" s="5" t="str">
        <f t="shared" ca="1" si="31"/>
        <v/>
      </c>
    </row>
    <row r="81" spans="1:30" x14ac:dyDescent="0.2">
      <c r="A81" s="67" t="str">
        <f ca="1">Demand!C78</f>
        <v/>
      </c>
      <c r="B81" s="67">
        <v>66</v>
      </c>
      <c r="C81" s="5">
        <f ca="1">'Demand background (hide)'!Y69</f>
        <v>0</v>
      </c>
      <c r="D81" s="67">
        <f t="shared" ref="D81:D144" si="39">IF(AND($B81&gt;=$C$4,$B81&lt;=$D$5+$C$5-1),1,0)</f>
        <v>0</v>
      </c>
      <c r="E81" s="67" t="e">
        <f t="shared" ref="E81:E144" ca="1" si="40">IF(AND($B81&gt;=$D$6,$B81&lt;=$D$7+$C$7-1),1,0)</f>
        <v>#N/A</v>
      </c>
      <c r="F81" s="67" t="e">
        <f t="shared" ref="F81:F144" ca="1" si="41">IF(AND($B81&gt;=$D$8,$B81&lt;=$D$9+$C$9-1),1,0)</f>
        <v>#N/A</v>
      </c>
      <c r="G81" s="67" t="e">
        <f t="shared" ref="G81:G144" ca="1" si="42">IF(AND($B81&gt;=$D$10,$B81&lt;=$D$11+$C$11-1),1,0)</f>
        <v>#N/A</v>
      </c>
      <c r="H81" s="67" t="e">
        <f>IF('Demand background (hide)'!AN69&lt;&gt;"",'SPC background (hide)'!C81,NA())</f>
        <v>#N/A</v>
      </c>
      <c r="I81" s="67">
        <f t="shared" ref="I81:I144" ca="1" si="43">VLOOKUP(A81,$AG$2:$AI$54,3,0)</f>
        <v>5</v>
      </c>
      <c r="J81" s="5">
        <f t="shared" ref="J81:J144" ca="1" si="44">VLOOKUP($A81,$AG$2:$AQ$54,COLUMN(E$1),0)</f>
        <v>0</v>
      </c>
      <c r="K81" s="5">
        <f t="shared" ref="K81:K144" ca="1" si="45">VLOOKUP($A81,$AG$2:$AQ$54,COLUMN(F$1),0)</f>
        <v>0</v>
      </c>
      <c r="L81" s="5">
        <f t="shared" ref="L81:L144" ca="1" si="46">VLOOKUP($A81,$AG$2:$AQ$54,COLUMN(G$1),0)</f>
        <v>0</v>
      </c>
      <c r="M81" s="5">
        <f t="shared" ref="M81:M144" ca="1" si="47">VLOOKUP($A81,$AG$2:$AQ$54,COLUMN(H$1),0)</f>
        <v>0</v>
      </c>
      <c r="N81" s="5">
        <f t="shared" ref="N81:N144" ca="1" si="48">VLOOKUP($A81,$AG$2:$AQ$54,COLUMN(I$1),0)</f>
        <v>0</v>
      </c>
      <c r="O81" s="5">
        <f t="shared" ref="O81:O144" ca="1" si="49">VLOOKUP($A81,$AG$2:$AQ$54,COLUMN(J$1),0)</f>
        <v>0</v>
      </c>
      <c r="P81" s="5">
        <f t="shared" ref="P81:P144" ca="1" si="50">VLOOKUP($A81,$AG$2:$AQ$54,COLUMN(K$1),0)</f>
        <v>0</v>
      </c>
      <c r="Q81" s="5" t="e">
        <f t="shared" ref="Q81:Q144" ca="1" si="51">IF(ISNA(H81)=TRUE,IF(OR(C81&gt;P81,C81&lt;J81),C81,NA()),NA())</f>
        <v>#N/A</v>
      </c>
      <c r="R81" s="5">
        <f t="shared" ca="1" si="32"/>
        <v>0</v>
      </c>
      <c r="S81" s="67" t="e">
        <f t="shared" ca="1" si="33"/>
        <v>#N/A</v>
      </c>
      <c r="T81" s="67">
        <f t="shared" ca="1" si="34"/>
        <v>0</v>
      </c>
      <c r="U81" s="67" t="e">
        <f t="shared" ca="1" si="35"/>
        <v>#N/A</v>
      </c>
      <c r="V81" s="5">
        <f t="shared" ca="1" si="38"/>
        <v>0</v>
      </c>
      <c r="W81" s="5" t="e">
        <f t="shared" ref="W81:W144" ca="1" si="52">IF(ISNA(H81)=TRUE,IF(ABS(SUM(V81:V89))=9,C81,NA()),NA())</f>
        <v>#N/A</v>
      </c>
      <c r="X81" s="67">
        <f t="shared" ref="X81:X144" ca="1" si="53">IF(C81&gt;C80,1,IF(C81&lt;C80,-1,0))</f>
        <v>0</v>
      </c>
      <c r="Y81" s="67" t="e">
        <f t="shared" ca="1" si="36"/>
        <v>#N/A</v>
      </c>
      <c r="Z81" s="67" t="e">
        <f t="shared" ca="1" si="37"/>
        <v>#N/A</v>
      </c>
      <c r="AA81" s="5" t="str">
        <f>IF(Setup!$I$15="Yes",'Demand background (hide)'!AJ69+'SPC background (hide)'!C81,"")</f>
        <v/>
      </c>
      <c r="AC81" s="5" t="str">
        <f t="shared" ref="AC81:AC144" ca="1" si="54">VLOOKUP($A81,$AG$2:$AS$54,12,0)</f>
        <v/>
      </c>
      <c r="AD81" s="5" t="str">
        <f t="shared" ref="AD81:AD144" ca="1" si="55">VLOOKUP($A81,$AG$2:$AS$54,13,0)</f>
        <v/>
      </c>
    </row>
    <row r="82" spans="1:30" x14ac:dyDescent="0.2">
      <c r="A82" s="67" t="str">
        <f ca="1">Demand!C79</f>
        <v/>
      </c>
      <c r="B82" s="67">
        <v>67</v>
      </c>
      <c r="C82" s="5">
        <f ca="1">'Demand background (hide)'!Y70</f>
        <v>0</v>
      </c>
      <c r="D82" s="67">
        <f t="shared" si="39"/>
        <v>0</v>
      </c>
      <c r="E82" s="67" t="e">
        <f t="shared" ca="1" si="40"/>
        <v>#N/A</v>
      </c>
      <c r="F82" s="67" t="e">
        <f t="shared" ca="1" si="41"/>
        <v>#N/A</v>
      </c>
      <c r="G82" s="67" t="e">
        <f t="shared" ca="1" si="42"/>
        <v>#N/A</v>
      </c>
      <c r="H82" s="67" t="e">
        <f>IF('Demand background (hide)'!AN70&lt;&gt;"",'SPC background (hide)'!C82,NA())</f>
        <v>#N/A</v>
      </c>
      <c r="I82" s="67">
        <f t="shared" ca="1" si="43"/>
        <v>5</v>
      </c>
      <c r="J82" s="5">
        <f t="shared" ca="1" si="44"/>
        <v>0</v>
      </c>
      <c r="K82" s="5">
        <f t="shared" ca="1" si="45"/>
        <v>0</v>
      </c>
      <c r="L82" s="5">
        <f t="shared" ca="1" si="46"/>
        <v>0</v>
      </c>
      <c r="M82" s="5">
        <f t="shared" ca="1" si="47"/>
        <v>0</v>
      </c>
      <c r="N82" s="5">
        <f t="shared" ca="1" si="48"/>
        <v>0</v>
      </c>
      <c r="O82" s="5">
        <f t="shared" ca="1" si="49"/>
        <v>0</v>
      </c>
      <c r="P82" s="5">
        <f t="shared" ca="1" si="50"/>
        <v>0</v>
      </c>
      <c r="Q82" s="5" t="e">
        <f t="shared" ca="1" si="51"/>
        <v>#N/A</v>
      </c>
      <c r="R82" s="5">
        <f t="shared" ref="R82:R145" ca="1" si="56">IF(C82&gt;O82,2,IF(C82&lt;K82,-2,IF(C82&gt;M82,1,IF(C82&lt;M82,-1,0))))</f>
        <v>0</v>
      </c>
      <c r="S82" s="67" t="e">
        <f t="shared" ref="S82:S145" ca="1" si="57">IF(ISNA(H82),IF(ABS(SUM(R82:R84))&gt;=5,C82,NA()),NA())</f>
        <v>#N/A</v>
      </c>
      <c r="T82" s="67">
        <f t="shared" ref="T82:T145" ca="1" si="58">IF(C82&gt;N82,2,IF(C82&lt;L82,-2,IF(C82&gt;M82,1,IF(C82&lt;M82,-1,0))))</f>
        <v>0</v>
      </c>
      <c r="U82" s="67" t="e">
        <f t="shared" ref="U82:U145" ca="1" si="59">IF(ISNA(H82)=TRUE,IF(ABS(SUM(T82:T86))&gt;=9,C82,NA()),NA())</f>
        <v>#N/A</v>
      </c>
      <c r="V82" s="5">
        <f t="shared" ca="1" si="38"/>
        <v>0</v>
      </c>
      <c r="W82" s="5" t="e">
        <f t="shared" ca="1" si="52"/>
        <v>#N/A</v>
      </c>
      <c r="X82" s="67">
        <f t="shared" ca="1" si="53"/>
        <v>0</v>
      </c>
      <c r="Y82" s="67" t="e">
        <f t="shared" ref="Y82:Y145" ca="1" si="60">IF(ISNA(H82)=TRUE,IF(ABS(SUM(X82:X87))=6,C82,NA()),NA())</f>
        <v>#N/A</v>
      </c>
      <c r="Z82" s="67" t="e">
        <f t="shared" ref="Z82:Z145" ca="1" si="61">IF(ISNA(H82)=TRUE,IF(AND(ABS(SUM(T82:T89))=8,SUM(T82:T89)&lt;ABS(SUM(T82:T89))),C82,NA()),NA())</f>
        <v>#N/A</v>
      </c>
      <c r="AA82" s="5" t="str">
        <f>IF(Setup!$I$15="Yes",'Demand background (hide)'!AJ70+'SPC background (hide)'!C82,"")</f>
        <v/>
      </c>
      <c r="AC82" s="5" t="str">
        <f t="shared" ca="1" si="54"/>
        <v/>
      </c>
      <c r="AD82" s="5" t="str">
        <f t="shared" ca="1" si="55"/>
        <v/>
      </c>
    </row>
    <row r="83" spans="1:30" x14ac:dyDescent="0.2">
      <c r="A83" s="67" t="str">
        <f ca="1">Demand!C80</f>
        <v/>
      </c>
      <c r="B83" s="67">
        <v>68</v>
      </c>
      <c r="C83" s="5">
        <f ca="1">'Demand background (hide)'!Y71</f>
        <v>0</v>
      </c>
      <c r="D83" s="67">
        <f t="shared" si="39"/>
        <v>0</v>
      </c>
      <c r="E83" s="67" t="e">
        <f t="shared" ca="1" si="40"/>
        <v>#N/A</v>
      </c>
      <c r="F83" s="67" t="e">
        <f t="shared" ca="1" si="41"/>
        <v>#N/A</v>
      </c>
      <c r="G83" s="67" t="e">
        <f t="shared" ca="1" si="42"/>
        <v>#N/A</v>
      </c>
      <c r="H83" s="67" t="e">
        <f>IF('Demand background (hide)'!AN71&lt;&gt;"",'SPC background (hide)'!C83,NA())</f>
        <v>#N/A</v>
      </c>
      <c r="I83" s="67">
        <f t="shared" ca="1" si="43"/>
        <v>5</v>
      </c>
      <c r="J83" s="5">
        <f t="shared" ca="1" si="44"/>
        <v>0</v>
      </c>
      <c r="K83" s="5">
        <f t="shared" ca="1" si="45"/>
        <v>0</v>
      </c>
      <c r="L83" s="5">
        <f t="shared" ca="1" si="46"/>
        <v>0</v>
      </c>
      <c r="M83" s="5">
        <f t="shared" ca="1" si="47"/>
        <v>0</v>
      </c>
      <c r="N83" s="5">
        <f t="shared" ca="1" si="48"/>
        <v>0</v>
      </c>
      <c r="O83" s="5">
        <f t="shared" ca="1" si="49"/>
        <v>0</v>
      </c>
      <c r="P83" s="5">
        <f t="shared" ca="1" si="50"/>
        <v>0</v>
      </c>
      <c r="Q83" s="5" t="e">
        <f t="shared" ca="1" si="51"/>
        <v>#N/A</v>
      </c>
      <c r="R83" s="5">
        <f t="shared" ca="1" si="56"/>
        <v>0</v>
      </c>
      <c r="S83" s="67" t="e">
        <f t="shared" ca="1" si="57"/>
        <v>#N/A</v>
      </c>
      <c r="T83" s="67">
        <f t="shared" ca="1" si="58"/>
        <v>0</v>
      </c>
      <c r="U83" s="67" t="e">
        <f t="shared" ca="1" si="59"/>
        <v>#N/A</v>
      </c>
      <c r="V83" s="5">
        <f t="shared" ca="1" si="38"/>
        <v>0</v>
      </c>
      <c r="W83" s="5" t="e">
        <f t="shared" ca="1" si="52"/>
        <v>#N/A</v>
      </c>
      <c r="X83" s="67">
        <f t="shared" ca="1" si="53"/>
        <v>0</v>
      </c>
      <c r="Y83" s="67" t="e">
        <f t="shared" ca="1" si="60"/>
        <v>#N/A</v>
      </c>
      <c r="Z83" s="67" t="e">
        <f t="shared" ca="1" si="61"/>
        <v>#N/A</v>
      </c>
      <c r="AA83" s="5" t="str">
        <f>IF(Setup!$I$15="Yes",'Demand background (hide)'!AJ71+'SPC background (hide)'!C83,"")</f>
        <v/>
      </c>
      <c r="AC83" s="5" t="str">
        <f t="shared" ca="1" si="54"/>
        <v/>
      </c>
      <c r="AD83" s="5" t="str">
        <f t="shared" ca="1" si="55"/>
        <v/>
      </c>
    </row>
    <row r="84" spans="1:30" x14ac:dyDescent="0.2">
      <c r="A84" s="67" t="str">
        <f ca="1">Demand!C81</f>
        <v/>
      </c>
      <c r="B84" s="67">
        <v>69</v>
      </c>
      <c r="C84" s="5">
        <f ca="1">'Demand background (hide)'!Y72</f>
        <v>0</v>
      </c>
      <c r="D84" s="67">
        <f t="shared" si="39"/>
        <v>0</v>
      </c>
      <c r="E84" s="67" t="e">
        <f t="shared" ca="1" si="40"/>
        <v>#N/A</v>
      </c>
      <c r="F84" s="67" t="e">
        <f t="shared" ca="1" si="41"/>
        <v>#N/A</v>
      </c>
      <c r="G84" s="67" t="e">
        <f t="shared" ca="1" si="42"/>
        <v>#N/A</v>
      </c>
      <c r="H84" s="67" t="e">
        <f>IF('Demand background (hide)'!AN72&lt;&gt;"",'SPC background (hide)'!C84,NA())</f>
        <v>#N/A</v>
      </c>
      <c r="I84" s="67">
        <f t="shared" ca="1" si="43"/>
        <v>5</v>
      </c>
      <c r="J84" s="5">
        <f t="shared" ca="1" si="44"/>
        <v>0</v>
      </c>
      <c r="K84" s="5">
        <f t="shared" ca="1" si="45"/>
        <v>0</v>
      </c>
      <c r="L84" s="5">
        <f t="shared" ca="1" si="46"/>
        <v>0</v>
      </c>
      <c r="M84" s="5">
        <f t="shared" ca="1" si="47"/>
        <v>0</v>
      </c>
      <c r="N84" s="5">
        <f t="shared" ca="1" si="48"/>
        <v>0</v>
      </c>
      <c r="O84" s="5">
        <f t="shared" ca="1" si="49"/>
        <v>0</v>
      </c>
      <c r="P84" s="5">
        <f t="shared" ca="1" si="50"/>
        <v>0</v>
      </c>
      <c r="Q84" s="5" t="e">
        <f t="shared" ca="1" si="51"/>
        <v>#N/A</v>
      </c>
      <c r="R84" s="5">
        <f t="shared" ca="1" si="56"/>
        <v>0</v>
      </c>
      <c r="S84" s="67" t="e">
        <f t="shared" ca="1" si="57"/>
        <v>#N/A</v>
      </c>
      <c r="T84" s="67">
        <f t="shared" ca="1" si="58"/>
        <v>0</v>
      </c>
      <c r="U84" s="67" t="e">
        <f t="shared" ca="1" si="59"/>
        <v>#N/A</v>
      </c>
      <c r="V84" s="5">
        <f t="shared" ca="1" si="38"/>
        <v>0</v>
      </c>
      <c r="W84" s="5" t="e">
        <f t="shared" ca="1" si="52"/>
        <v>#N/A</v>
      </c>
      <c r="X84" s="67">
        <f t="shared" ca="1" si="53"/>
        <v>0</v>
      </c>
      <c r="Y84" s="67" t="e">
        <f t="shared" ca="1" si="60"/>
        <v>#N/A</v>
      </c>
      <c r="Z84" s="67" t="e">
        <f t="shared" ca="1" si="61"/>
        <v>#N/A</v>
      </c>
      <c r="AA84" s="5" t="str">
        <f>IF(Setup!$I$15="Yes",'Demand background (hide)'!AJ72+'SPC background (hide)'!C84,"")</f>
        <v/>
      </c>
      <c r="AC84" s="5" t="str">
        <f t="shared" ca="1" si="54"/>
        <v/>
      </c>
      <c r="AD84" s="5" t="str">
        <f t="shared" ca="1" si="55"/>
        <v/>
      </c>
    </row>
    <row r="85" spans="1:30" x14ac:dyDescent="0.2">
      <c r="A85" s="67" t="str">
        <f ca="1">Demand!C82</f>
        <v/>
      </c>
      <c r="B85" s="67">
        <v>70</v>
      </c>
      <c r="C85" s="5">
        <f ca="1">'Demand background (hide)'!Y73</f>
        <v>0</v>
      </c>
      <c r="D85" s="67">
        <f t="shared" si="39"/>
        <v>0</v>
      </c>
      <c r="E85" s="67" t="e">
        <f t="shared" ca="1" si="40"/>
        <v>#N/A</v>
      </c>
      <c r="F85" s="67" t="e">
        <f t="shared" ca="1" si="41"/>
        <v>#N/A</v>
      </c>
      <c r="G85" s="67" t="e">
        <f t="shared" ca="1" si="42"/>
        <v>#N/A</v>
      </c>
      <c r="H85" s="67" t="e">
        <f>IF('Demand background (hide)'!AN73&lt;&gt;"",'SPC background (hide)'!C85,NA())</f>
        <v>#N/A</v>
      </c>
      <c r="I85" s="67">
        <f t="shared" ca="1" si="43"/>
        <v>5</v>
      </c>
      <c r="J85" s="5">
        <f t="shared" ca="1" si="44"/>
        <v>0</v>
      </c>
      <c r="K85" s="5">
        <f t="shared" ca="1" si="45"/>
        <v>0</v>
      </c>
      <c r="L85" s="5">
        <f t="shared" ca="1" si="46"/>
        <v>0</v>
      </c>
      <c r="M85" s="5">
        <f t="shared" ca="1" si="47"/>
        <v>0</v>
      </c>
      <c r="N85" s="5">
        <f t="shared" ca="1" si="48"/>
        <v>0</v>
      </c>
      <c r="O85" s="5">
        <f t="shared" ca="1" si="49"/>
        <v>0</v>
      </c>
      <c r="P85" s="5">
        <f t="shared" ca="1" si="50"/>
        <v>0</v>
      </c>
      <c r="Q85" s="5" t="e">
        <f t="shared" ca="1" si="51"/>
        <v>#N/A</v>
      </c>
      <c r="R85" s="5">
        <f t="shared" ca="1" si="56"/>
        <v>0</v>
      </c>
      <c r="S85" s="67" t="e">
        <f t="shared" ca="1" si="57"/>
        <v>#N/A</v>
      </c>
      <c r="T85" s="67">
        <f t="shared" ca="1" si="58"/>
        <v>0</v>
      </c>
      <c r="U85" s="67" t="e">
        <f t="shared" ca="1" si="59"/>
        <v>#N/A</v>
      </c>
      <c r="V85" s="5">
        <f t="shared" ca="1" si="38"/>
        <v>0</v>
      </c>
      <c r="W85" s="5" t="e">
        <f t="shared" ca="1" si="52"/>
        <v>#N/A</v>
      </c>
      <c r="X85" s="67">
        <f t="shared" ca="1" si="53"/>
        <v>0</v>
      </c>
      <c r="Y85" s="67" t="e">
        <f t="shared" ca="1" si="60"/>
        <v>#N/A</v>
      </c>
      <c r="Z85" s="67" t="e">
        <f t="shared" ca="1" si="61"/>
        <v>#N/A</v>
      </c>
      <c r="AA85" s="5" t="str">
        <f>IF(Setup!$I$15="Yes",'Demand background (hide)'!AJ73+'SPC background (hide)'!C85,"")</f>
        <v/>
      </c>
      <c r="AC85" s="5" t="str">
        <f t="shared" ca="1" si="54"/>
        <v/>
      </c>
      <c r="AD85" s="5" t="str">
        <f t="shared" ca="1" si="55"/>
        <v/>
      </c>
    </row>
    <row r="86" spans="1:30" x14ac:dyDescent="0.2">
      <c r="A86" s="67" t="str">
        <f ca="1">Demand!C83</f>
        <v/>
      </c>
      <c r="B86" s="67">
        <v>71</v>
      </c>
      <c r="C86" s="5">
        <f ca="1">'Demand background (hide)'!Y74</f>
        <v>0</v>
      </c>
      <c r="D86" s="67">
        <f t="shared" si="39"/>
        <v>0</v>
      </c>
      <c r="E86" s="67" t="e">
        <f t="shared" ca="1" si="40"/>
        <v>#N/A</v>
      </c>
      <c r="F86" s="67" t="e">
        <f t="shared" ca="1" si="41"/>
        <v>#N/A</v>
      </c>
      <c r="G86" s="67" t="e">
        <f t="shared" ca="1" si="42"/>
        <v>#N/A</v>
      </c>
      <c r="H86" s="67" t="e">
        <f>IF('Demand background (hide)'!AN74&lt;&gt;"",'SPC background (hide)'!C86,NA())</f>
        <v>#N/A</v>
      </c>
      <c r="I86" s="67">
        <f t="shared" ca="1" si="43"/>
        <v>5</v>
      </c>
      <c r="J86" s="5">
        <f t="shared" ca="1" si="44"/>
        <v>0</v>
      </c>
      <c r="K86" s="5">
        <f t="shared" ca="1" si="45"/>
        <v>0</v>
      </c>
      <c r="L86" s="5">
        <f t="shared" ca="1" si="46"/>
        <v>0</v>
      </c>
      <c r="M86" s="5">
        <f t="shared" ca="1" si="47"/>
        <v>0</v>
      </c>
      <c r="N86" s="5">
        <f t="shared" ca="1" si="48"/>
        <v>0</v>
      </c>
      <c r="O86" s="5">
        <f t="shared" ca="1" si="49"/>
        <v>0</v>
      </c>
      <c r="P86" s="5">
        <f t="shared" ca="1" si="50"/>
        <v>0</v>
      </c>
      <c r="Q86" s="5" t="e">
        <f t="shared" ca="1" si="51"/>
        <v>#N/A</v>
      </c>
      <c r="R86" s="5">
        <f t="shared" ca="1" si="56"/>
        <v>0</v>
      </c>
      <c r="S86" s="67" t="e">
        <f t="shared" ca="1" si="57"/>
        <v>#N/A</v>
      </c>
      <c r="T86" s="67">
        <f t="shared" ca="1" si="58"/>
        <v>0</v>
      </c>
      <c r="U86" s="67" t="e">
        <f t="shared" ca="1" si="59"/>
        <v>#N/A</v>
      </c>
      <c r="V86" s="5">
        <f t="shared" ca="1" si="38"/>
        <v>0</v>
      </c>
      <c r="W86" s="5" t="e">
        <f t="shared" ca="1" si="52"/>
        <v>#N/A</v>
      </c>
      <c r="X86" s="67">
        <f t="shared" ca="1" si="53"/>
        <v>0</v>
      </c>
      <c r="Y86" s="67" t="e">
        <f t="shared" ca="1" si="60"/>
        <v>#N/A</v>
      </c>
      <c r="Z86" s="67" t="e">
        <f t="shared" ca="1" si="61"/>
        <v>#N/A</v>
      </c>
      <c r="AA86" s="5" t="str">
        <f>IF(Setup!$I$15="Yes",'Demand background (hide)'!AJ74+'SPC background (hide)'!C86,"")</f>
        <v/>
      </c>
      <c r="AC86" s="5" t="str">
        <f t="shared" ca="1" si="54"/>
        <v/>
      </c>
      <c r="AD86" s="5" t="str">
        <f t="shared" ca="1" si="55"/>
        <v/>
      </c>
    </row>
    <row r="87" spans="1:30" x14ac:dyDescent="0.2">
      <c r="A87" s="67" t="str">
        <f ca="1">Demand!C84</f>
        <v/>
      </c>
      <c r="B87" s="67">
        <v>72</v>
      </c>
      <c r="C87" s="5">
        <f ca="1">'Demand background (hide)'!Y75</f>
        <v>0</v>
      </c>
      <c r="D87" s="67">
        <f t="shared" si="39"/>
        <v>0</v>
      </c>
      <c r="E87" s="67" t="e">
        <f t="shared" ca="1" si="40"/>
        <v>#N/A</v>
      </c>
      <c r="F87" s="67" t="e">
        <f t="shared" ca="1" si="41"/>
        <v>#N/A</v>
      </c>
      <c r="G87" s="67" t="e">
        <f t="shared" ca="1" si="42"/>
        <v>#N/A</v>
      </c>
      <c r="H87" s="67" t="e">
        <f>IF('Demand background (hide)'!AN75&lt;&gt;"",'SPC background (hide)'!C87,NA())</f>
        <v>#N/A</v>
      </c>
      <c r="I87" s="67">
        <f t="shared" ca="1" si="43"/>
        <v>5</v>
      </c>
      <c r="J87" s="5">
        <f t="shared" ca="1" si="44"/>
        <v>0</v>
      </c>
      <c r="K87" s="5">
        <f t="shared" ca="1" si="45"/>
        <v>0</v>
      </c>
      <c r="L87" s="5">
        <f t="shared" ca="1" si="46"/>
        <v>0</v>
      </c>
      <c r="M87" s="5">
        <f t="shared" ca="1" si="47"/>
        <v>0</v>
      </c>
      <c r="N87" s="5">
        <f t="shared" ca="1" si="48"/>
        <v>0</v>
      </c>
      <c r="O87" s="5">
        <f t="shared" ca="1" si="49"/>
        <v>0</v>
      </c>
      <c r="P87" s="5">
        <f t="shared" ca="1" si="50"/>
        <v>0</v>
      </c>
      <c r="Q87" s="5" t="e">
        <f t="shared" ca="1" si="51"/>
        <v>#N/A</v>
      </c>
      <c r="R87" s="5">
        <f t="shared" ca="1" si="56"/>
        <v>0</v>
      </c>
      <c r="S87" s="67" t="e">
        <f t="shared" ca="1" si="57"/>
        <v>#N/A</v>
      </c>
      <c r="T87" s="67">
        <f t="shared" ca="1" si="58"/>
        <v>0</v>
      </c>
      <c r="U87" s="67" t="e">
        <f t="shared" ca="1" si="59"/>
        <v>#N/A</v>
      </c>
      <c r="V87" s="5">
        <f t="shared" ca="1" si="38"/>
        <v>0</v>
      </c>
      <c r="W87" s="5" t="e">
        <f t="shared" ca="1" si="52"/>
        <v>#N/A</v>
      </c>
      <c r="X87" s="67">
        <f t="shared" ca="1" si="53"/>
        <v>0</v>
      </c>
      <c r="Y87" s="67" t="e">
        <f t="shared" ca="1" si="60"/>
        <v>#N/A</v>
      </c>
      <c r="Z87" s="67" t="e">
        <f t="shared" ca="1" si="61"/>
        <v>#N/A</v>
      </c>
      <c r="AA87" s="5" t="str">
        <f>IF(Setup!$I$15="Yes",'Demand background (hide)'!AJ75+'SPC background (hide)'!C87,"")</f>
        <v/>
      </c>
      <c r="AC87" s="5" t="str">
        <f t="shared" ca="1" si="54"/>
        <v/>
      </c>
      <c r="AD87" s="5" t="str">
        <f t="shared" ca="1" si="55"/>
        <v/>
      </c>
    </row>
    <row r="88" spans="1:30" x14ac:dyDescent="0.2">
      <c r="A88" s="67" t="str">
        <f ca="1">Demand!C85</f>
        <v/>
      </c>
      <c r="B88" s="67">
        <v>73</v>
      </c>
      <c r="C88" s="5">
        <f ca="1">'Demand background (hide)'!Y76</f>
        <v>0</v>
      </c>
      <c r="D88" s="67">
        <f t="shared" si="39"/>
        <v>0</v>
      </c>
      <c r="E88" s="67" t="e">
        <f t="shared" ca="1" si="40"/>
        <v>#N/A</v>
      </c>
      <c r="F88" s="67" t="e">
        <f t="shared" ca="1" si="41"/>
        <v>#N/A</v>
      </c>
      <c r="G88" s="67" t="e">
        <f t="shared" ca="1" si="42"/>
        <v>#N/A</v>
      </c>
      <c r="H88" s="67" t="e">
        <f>IF('Demand background (hide)'!AN76&lt;&gt;"",'SPC background (hide)'!C88,NA())</f>
        <v>#N/A</v>
      </c>
      <c r="I88" s="67">
        <f t="shared" ca="1" si="43"/>
        <v>5</v>
      </c>
      <c r="J88" s="5">
        <f t="shared" ca="1" si="44"/>
        <v>0</v>
      </c>
      <c r="K88" s="5">
        <f t="shared" ca="1" si="45"/>
        <v>0</v>
      </c>
      <c r="L88" s="5">
        <f t="shared" ca="1" si="46"/>
        <v>0</v>
      </c>
      <c r="M88" s="5">
        <f t="shared" ca="1" si="47"/>
        <v>0</v>
      </c>
      <c r="N88" s="5">
        <f t="shared" ca="1" si="48"/>
        <v>0</v>
      </c>
      <c r="O88" s="5">
        <f t="shared" ca="1" si="49"/>
        <v>0</v>
      </c>
      <c r="P88" s="5">
        <f t="shared" ca="1" si="50"/>
        <v>0</v>
      </c>
      <c r="Q88" s="5" t="e">
        <f t="shared" ca="1" si="51"/>
        <v>#N/A</v>
      </c>
      <c r="R88" s="5">
        <f t="shared" ca="1" si="56"/>
        <v>0</v>
      </c>
      <c r="S88" s="67" t="e">
        <f t="shared" ca="1" si="57"/>
        <v>#N/A</v>
      </c>
      <c r="T88" s="67">
        <f t="shared" ca="1" si="58"/>
        <v>0</v>
      </c>
      <c r="U88" s="67" t="e">
        <f t="shared" ca="1" si="59"/>
        <v>#N/A</v>
      </c>
      <c r="V88" s="5">
        <f t="shared" ca="1" si="38"/>
        <v>0</v>
      </c>
      <c r="W88" s="5" t="e">
        <f t="shared" ca="1" si="52"/>
        <v>#N/A</v>
      </c>
      <c r="X88" s="67">
        <f t="shared" ca="1" si="53"/>
        <v>0</v>
      </c>
      <c r="Y88" s="67" t="e">
        <f t="shared" ca="1" si="60"/>
        <v>#N/A</v>
      </c>
      <c r="Z88" s="67" t="e">
        <f t="shared" ca="1" si="61"/>
        <v>#N/A</v>
      </c>
      <c r="AA88" s="5" t="str">
        <f>IF(Setup!$I$15="Yes",'Demand background (hide)'!AJ76+'SPC background (hide)'!C88,"")</f>
        <v/>
      </c>
      <c r="AC88" s="5" t="str">
        <f t="shared" ca="1" si="54"/>
        <v/>
      </c>
      <c r="AD88" s="5" t="str">
        <f t="shared" ca="1" si="55"/>
        <v/>
      </c>
    </row>
    <row r="89" spans="1:30" x14ac:dyDescent="0.2">
      <c r="A89" s="67" t="str">
        <f ca="1">Demand!C86</f>
        <v/>
      </c>
      <c r="B89" s="67">
        <v>74</v>
      </c>
      <c r="C89" s="5">
        <f ca="1">'Demand background (hide)'!Y77</f>
        <v>0</v>
      </c>
      <c r="D89" s="67">
        <f t="shared" si="39"/>
        <v>0</v>
      </c>
      <c r="E89" s="67" t="e">
        <f t="shared" ca="1" si="40"/>
        <v>#N/A</v>
      </c>
      <c r="F89" s="67" t="e">
        <f t="shared" ca="1" si="41"/>
        <v>#N/A</v>
      </c>
      <c r="G89" s="67" t="e">
        <f t="shared" ca="1" si="42"/>
        <v>#N/A</v>
      </c>
      <c r="H89" s="67" t="e">
        <f>IF('Demand background (hide)'!AN77&lt;&gt;"",'SPC background (hide)'!C89,NA())</f>
        <v>#N/A</v>
      </c>
      <c r="I89" s="67">
        <f t="shared" ca="1" si="43"/>
        <v>5</v>
      </c>
      <c r="J89" s="5">
        <f t="shared" ca="1" si="44"/>
        <v>0</v>
      </c>
      <c r="K89" s="5">
        <f t="shared" ca="1" si="45"/>
        <v>0</v>
      </c>
      <c r="L89" s="5">
        <f t="shared" ca="1" si="46"/>
        <v>0</v>
      </c>
      <c r="M89" s="5">
        <f t="shared" ca="1" si="47"/>
        <v>0</v>
      </c>
      <c r="N89" s="5">
        <f t="shared" ca="1" si="48"/>
        <v>0</v>
      </c>
      <c r="O89" s="5">
        <f t="shared" ca="1" si="49"/>
        <v>0</v>
      </c>
      <c r="P89" s="5">
        <f t="shared" ca="1" si="50"/>
        <v>0</v>
      </c>
      <c r="Q89" s="5" t="e">
        <f t="shared" ca="1" si="51"/>
        <v>#N/A</v>
      </c>
      <c r="R89" s="5">
        <f t="shared" ca="1" si="56"/>
        <v>0</v>
      </c>
      <c r="S89" s="67" t="e">
        <f t="shared" ca="1" si="57"/>
        <v>#N/A</v>
      </c>
      <c r="T89" s="67">
        <f t="shared" ca="1" si="58"/>
        <v>0</v>
      </c>
      <c r="U89" s="67" t="e">
        <f t="shared" ca="1" si="59"/>
        <v>#N/A</v>
      </c>
      <c r="V89" s="5">
        <f t="shared" ca="1" si="38"/>
        <v>0</v>
      </c>
      <c r="W89" s="5" t="e">
        <f t="shared" ca="1" si="52"/>
        <v>#N/A</v>
      </c>
      <c r="X89" s="67">
        <f t="shared" ca="1" si="53"/>
        <v>0</v>
      </c>
      <c r="Y89" s="67" t="e">
        <f t="shared" ca="1" si="60"/>
        <v>#N/A</v>
      </c>
      <c r="Z89" s="67" t="e">
        <f t="shared" ca="1" si="61"/>
        <v>#N/A</v>
      </c>
      <c r="AA89" s="5" t="str">
        <f>IF(Setup!$I$15="Yes",'Demand background (hide)'!AJ77+'SPC background (hide)'!C89,"")</f>
        <v/>
      </c>
      <c r="AC89" s="5" t="str">
        <f t="shared" ca="1" si="54"/>
        <v/>
      </c>
      <c r="AD89" s="5" t="str">
        <f t="shared" ca="1" si="55"/>
        <v/>
      </c>
    </row>
    <row r="90" spans="1:30" x14ac:dyDescent="0.2">
      <c r="A90" s="67" t="str">
        <f ca="1">Demand!C87</f>
        <v/>
      </c>
      <c r="B90" s="67">
        <v>75</v>
      </c>
      <c r="C90" s="5">
        <f ca="1">'Demand background (hide)'!Y78</f>
        <v>0</v>
      </c>
      <c r="D90" s="67">
        <f t="shared" si="39"/>
        <v>0</v>
      </c>
      <c r="E90" s="67" t="e">
        <f t="shared" ca="1" si="40"/>
        <v>#N/A</v>
      </c>
      <c r="F90" s="67" t="e">
        <f t="shared" ca="1" si="41"/>
        <v>#N/A</v>
      </c>
      <c r="G90" s="67" t="e">
        <f t="shared" ca="1" si="42"/>
        <v>#N/A</v>
      </c>
      <c r="H90" s="67" t="e">
        <f>IF('Demand background (hide)'!AN78&lt;&gt;"",'SPC background (hide)'!C90,NA())</f>
        <v>#N/A</v>
      </c>
      <c r="I90" s="67">
        <f t="shared" ca="1" si="43"/>
        <v>5</v>
      </c>
      <c r="J90" s="5">
        <f t="shared" ca="1" si="44"/>
        <v>0</v>
      </c>
      <c r="K90" s="5">
        <f t="shared" ca="1" si="45"/>
        <v>0</v>
      </c>
      <c r="L90" s="5">
        <f t="shared" ca="1" si="46"/>
        <v>0</v>
      </c>
      <c r="M90" s="5">
        <f t="shared" ca="1" si="47"/>
        <v>0</v>
      </c>
      <c r="N90" s="5">
        <f t="shared" ca="1" si="48"/>
        <v>0</v>
      </c>
      <c r="O90" s="5">
        <f t="shared" ca="1" si="49"/>
        <v>0</v>
      </c>
      <c r="P90" s="5">
        <f t="shared" ca="1" si="50"/>
        <v>0</v>
      </c>
      <c r="Q90" s="5" t="e">
        <f t="shared" ca="1" si="51"/>
        <v>#N/A</v>
      </c>
      <c r="R90" s="5">
        <f t="shared" ca="1" si="56"/>
        <v>0</v>
      </c>
      <c r="S90" s="67" t="e">
        <f t="shared" ca="1" si="57"/>
        <v>#N/A</v>
      </c>
      <c r="T90" s="67">
        <f t="shared" ca="1" si="58"/>
        <v>0</v>
      </c>
      <c r="U90" s="67" t="e">
        <f t="shared" ca="1" si="59"/>
        <v>#N/A</v>
      </c>
      <c r="V90" s="5">
        <f t="shared" ca="1" si="38"/>
        <v>0</v>
      </c>
      <c r="W90" s="5" t="e">
        <f t="shared" ca="1" si="52"/>
        <v>#N/A</v>
      </c>
      <c r="X90" s="67">
        <f t="shared" ca="1" si="53"/>
        <v>0</v>
      </c>
      <c r="Y90" s="67" t="e">
        <f t="shared" ca="1" si="60"/>
        <v>#N/A</v>
      </c>
      <c r="Z90" s="67" t="e">
        <f t="shared" ca="1" si="61"/>
        <v>#N/A</v>
      </c>
      <c r="AA90" s="5" t="str">
        <f>IF(Setup!$I$15="Yes",'Demand background (hide)'!AJ78+'SPC background (hide)'!C90,"")</f>
        <v/>
      </c>
      <c r="AC90" s="5" t="str">
        <f t="shared" ca="1" si="54"/>
        <v/>
      </c>
      <c r="AD90" s="5" t="str">
        <f t="shared" ca="1" si="55"/>
        <v/>
      </c>
    </row>
    <row r="91" spans="1:30" x14ac:dyDescent="0.2">
      <c r="A91" s="67" t="str">
        <f ca="1">Demand!C88</f>
        <v/>
      </c>
      <c r="B91" s="67">
        <v>76</v>
      </c>
      <c r="C91" s="5">
        <f ca="1">'Demand background (hide)'!Y79</f>
        <v>0</v>
      </c>
      <c r="D91" s="67">
        <f t="shared" si="39"/>
        <v>0</v>
      </c>
      <c r="E91" s="67" t="e">
        <f t="shared" ca="1" si="40"/>
        <v>#N/A</v>
      </c>
      <c r="F91" s="67" t="e">
        <f t="shared" ca="1" si="41"/>
        <v>#N/A</v>
      </c>
      <c r="G91" s="67" t="e">
        <f t="shared" ca="1" si="42"/>
        <v>#N/A</v>
      </c>
      <c r="H91" s="67" t="e">
        <f>IF('Demand background (hide)'!AN79&lt;&gt;"",'SPC background (hide)'!C91,NA())</f>
        <v>#N/A</v>
      </c>
      <c r="I91" s="67">
        <f t="shared" ca="1" si="43"/>
        <v>5</v>
      </c>
      <c r="J91" s="5">
        <f t="shared" ca="1" si="44"/>
        <v>0</v>
      </c>
      <c r="K91" s="5">
        <f t="shared" ca="1" si="45"/>
        <v>0</v>
      </c>
      <c r="L91" s="5">
        <f t="shared" ca="1" si="46"/>
        <v>0</v>
      </c>
      <c r="M91" s="5">
        <f t="shared" ca="1" si="47"/>
        <v>0</v>
      </c>
      <c r="N91" s="5">
        <f t="shared" ca="1" si="48"/>
        <v>0</v>
      </c>
      <c r="O91" s="5">
        <f t="shared" ca="1" si="49"/>
        <v>0</v>
      </c>
      <c r="P91" s="5">
        <f t="shared" ca="1" si="50"/>
        <v>0</v>
      </c>
      <c r="Q91" s="5" t="e">
        <f t="shared" ca="1" si="51"/>
        <v>#N/A</v>
      </c>
      <c r="R91" s="5">
        <f t="shared" ca="1" si="56"/>
        <v>0</v>
      </c>
      <c r="S91" s="67" t="e">
        <f t="shared" ca="1" si="57"/>
        <v>#N/A</v>
      </c>
      <c r="T91" s="67">
        <f t="shared" ca="1" si="58"/>
        <v>0</v>
      </c>
      <c r="U91" s="67" t="e">
        <f t="shared" ca="1" si="59"/>
        <v>#N/A</v>
      </c>
      <c r="V91" s="5">
        <f t="shared" ca="1" si="38"/>
        <v>0</v>
      </c>
      <c r="W91" s="5" t="e">
        <f t="shared" ca="1" si="52"/>
        <v>#N/A</v>
      </c>
      <c r="X91" s="67">
        <f t="shared" ca="1" si="53"/>
        <v>0</v>
      </c>
      <c r="Y91" s="67" t="e">
        <f t="shared" ca="1" si="60"/>
        <v>#N/A</v>
      </c>
      <c r="Z91" s="67" t="e">
        <f t="shared" ca="1" si="61"/>
        <v>#N/A</v>
      </c>
      <c r="AA91" s="5" t="str">
        <f>IF(Setup!$I$15="Yes",'Demand background (hide)'!AJ79+'SPC background (hide)'!C91,"")</f>
        <v/>
      </c>
      <c r="AC91" s="5" t="str">
        <f t="shared" ca="1" si="54"/>
        <v/>
      </c>
      <c r="AD91" s="5" t="str">
        <f t="shared" ca="1" si="55"/>
        <v/>
      </c>
    </row>
    <row r="92" spans="1:30" x14ac:dyDescent="0.2">
      <c r="A92" s="67" t="str">
        <f ca="1">Demand!C89</f>
        <v/>
      </c>
      <c r="B92" s="67">
        <v>77</v>
      </c>
      <c r="C92" s="5">
        <f ca="1">'Demand background (hide)'!Y80</f>
        <v>0</v>
      </c>
      <c r="D92" s="67">
        <f t="shared" si="39"/>
        <v>0</v>
      </c>
      <c r="E92" s="67" t="e">
        <f t="shared" ca="1" si="40"/>
        <v>#N/A</v>
      </c>
      <c r="F92" s="67" t="e">
        <f t="shared" ca="1" si="41"/>
        <v>#N/A</v>
      </c>
      <c r="G92" s="67" t="e">
        <f t="shared" ca="1" si="42"/>
        <v>#N/A</v>
      </c>
      <c r="H92" s="67" t="e">
        <f>IF('Demand background (hide)'!AN80&lt;&gt;"",'SPC background (hide)'!C92,NA())</f>
        <v>#N/A</v>
      </c>
      <c r="I92" s="67">
        <f t="shared" ca="1" si="43"/>
        <v>5</v>
      </c>
      <c r="J92" s="5">
        <f t="shared" ca="1" si="44"/>
        <v>0</v>
      </c>
      <c r="K92" s="5">
        <f t="shared" ca="1" si="45"/>
        <v>0</v>
      </c>
      <c r="L92" s="5">
        <f t="shared" ca="1" si="46"/>
        <v>0</v>
      </c>
      <c r="M92" s="5">
        <f t="shared" ca="1" si="47"/>
        <v>0</v>
      </c>
      <c r="N92" s="5">
        <f t="shared" ca="1" si="48"/>
        <v>0</v>
      </c>
      <c r="O92" s="5">
        <f t="shared" ca="1" si="49"/>
        <v>0</v>
      </c>
      <c r="P92" s="5">
        <f t="shared" ca="1" si="50"/>
        <v>0</v>
      </c>
      <c r="Q92" s="5" t="e">
        <f t="shared" ca="1" si="51"/>
        <v>#N/A</v>
      </c>
      <c r="R92" s="5">
        <f t="shared" ca="1" si="56"/>
        <v>0</v>
      </c>
      <c r="S92" s="67" t="e">
        <f t="shared" ca="1" si="57"/>
        <v>#N/A</v>
      </c>
      <c r="T92" s="67">
        <f t="shared" ca="1" si="58"/>
        <v>0</v>
      </c>
      <c r="U92" s="67" t="e">
        <f t="shared" ca="1" si="59"/>
        <v>#N/A</v>
      </c>
      <c r="V92" s="5">
        <f t="shared" ca="1" si="38"/>
        <v>0</v>
      </c>
      <c r="W92" s="5" t="e">
        <f t="shared" ca="1" si="52"/>
        <v>#N/A</v>
      </c>
      <c r="X92" s="67">
        <f t="shared" ca="1" si="53"/>
        <v>0</v>
      </c>
      <c r="Y92" s="67" t="e">
        <f t="shared" ca="1" si="60"/>
        <v>#N/A</v>
      </c>
      <c r="Z92" s="67" t="e">
        <f t="shared" ca="1" si="61"/>
        <v>#N/A</v>
      </c>
      <c r="AA92" s="5" t="str">
        <f>IF(Setup!$I$15="Yes",'Demand background (hide)'!AJ80+'SPC background (hide)'!C92,"")</f>
        <v/>
      </c>
      <c r="AC92" s="5" t="str">
        <f t="shared" ca="1" si="54"/>
        <v/>
      </c>
      <c r="AD92" s="5" t="str">
        <f t="shared" ca="1" si="55"/>
        <v/>
      </c>
    </row>
    <row r="93" spans="1:30" x14ac:dyDescent="0.2">
      <c r="A93" s="67" t="str">
        <f ca="1">Demand!C90</f>
        <v/>
      </c>
      <c r="B93" s="67">
        <v>78</v>
      </c>
      <c r="C93" s="5">
        <f ca="1">'Demand background (hide)'!Y81</f>
        <v>0</v>
      </c>
      <c r="D93" s="67">
        <f t="shared" si="39"/>
        <v>0</v>
      </c>
      <c r="E93" s="67" t="e">
        <f t="shared" ca="1" si="40"/>
        <v>#N/A</v>
      </c>
      <c r="F93" s="67" t="e">
        <f t="shared" ca="1" si="41"/>
        <v>#N/A</v>
      </c>
      <c r="G93" s="67" t="e">
        <f t="shared" ca="1" si="42"/>
        <v>#N/A</v>
      </c>
      <c r="H93" s="67" t="e">
        <f>IF('Demand background (hide)'!AN81&lt;&gt;"",'SPC background (hide)'!C93,NA())</f>
        <v>#N/A</v>
      </c>
      <c r="I93" s="67">
        <f t="shared" ca="1" si="43"/>
        <v>5</v>
      </c>
      <c r="J93" s="5">
        <f t="shared" ca="1" si="44"/>
        <v>0</v>
      </c>
      <c r="K93" s="5">
        <f t="shared" ca="1" si="45"/>
        <v>0</v>
      </c>
      <c r="L93" s="5">
        <f t="shared" ca="1" si="46"/>
        <v>0</v>
      </c>
      <c r="M93" s="5">
        <f t="shared" ca="1" si="47"/>
        <v>0</v>
      </c>
      <c r="N93" s="5">
        <f t="shared" ca="1" si="48"/>
        <v>0</v>
      </c>
      <c r="O93" s="5">
        <f t="shared" ca="1" si="49"/>
        <v>0</v>
      </c>
      <c r="P93" s="5">
        <f t="shared" ca="1" si="50"/>
        <v>0</v>
      </c>
      <c r="Q93" s="5" t="e">
        <f t="shared" ca="1" si="51"/>
        <v>#N/A</v>
      </c>
      <c r="R93" s="5">
        <f t="shared" ca="1" si="56"/>
        <v>0</v>
      </c>
      <c r="S93" s="67" t="e">
        <f t="shared" ca="1" si="57"/>
        <v>#N/A</v>
      </c>
      <c r="T93" s="67">
        <f t="shared" ca="1" si="58"/>
        <v>0</v>
      </c>
      <c r="U93" s="67" t="e">
        <f t="shared" ca="1" si="59"/>
        <v>#N/A</v>
      </c>
      <c r="V93" s="5">
        <f t="shared" ca="1" si="38"/>
        <v>0</v>
      </c>
      <c r="W93" s="5" t="e">
        <f t="shared" ca="1" si="52"/>
        <v>#N/A</v>
      </c>
      <c r="X93" s="67">
        <f t="shared" ca="1" si="53"/>
        <v>0</v>
      </c>
      <c r="Y93" s="67" t="e">
        <f t="shared" ca="1" si="60"/>
        <v>#N/A</v>
      </c>
      <c r="Z93" s="67" t="e">
        <f t="shared" ca="1" si="61"/>
        <v>#N/A</v>
      </c>
      <c r="AA93" s="5" t="str">
        <f>IF(Setup!$I$15="Yes",'Demand background (hide)'!AJ81+'SPC background (hide)'!C93,"")</f>
        <v/>
      </c>
      <c r="AC93" s="5" t="str">
        <f t="shared" ca="1" si="54"/>
        <v/>
      </c>
      <c r="AD93" s="5" t="str">
        <f t="shared" ca="1" si="55"/>
        <v/>
      </c>
    </row>
    <row r="94" spans="1:30" x14ac:dyDescent="0.2">
      <c r="A94" s="67" t="str">
        <f ca="1">Demand!C91</f>
        <v/>
      </c>
      <c r="B94" s="67">
        <v>79</v>
      </c>
      <c r="C94" s="5">
        <f ca="1">'Demand background (hide)'!Y82</f>
        <v>0</v>
      </c>
      <c r="D94" s="67">
        <f t="shared" si="39"/>
        <v>0</v>
      </c>
      <c r="E94" s="67" t="e">
        <f t="shared" ca="1" si="40"/>
        <v>#N/A</v>
      </c>
      <c r="F94" s="67" t="e">
        <f t="shared" ca="1" si="41"/>
        <v>#N/A</v>
      </c>
      <c r="G94" s="67" t="e">
        <f t="shared" ca="1" si="42"/>
        <v>#N/A</v>
      </c>
      <c r="H94" s="67" t="e">
        <f>IF('Demand background (hide)'!AN82&lt;&gt;"",'SPC background (hide)'!C94,NA())</f>
        <v>#N/A</v>
      </c>
      <c r="I94" s="67">
        <f t="shared" ca="1" si="43"/>
        <v>5</v>
      </c>
      <c r="J94" s="5">
        <f t="shared" ca="1" si="44"/>
        <v>0</v>
      </c>
      <c r="K94" s="5">
        <f t="shared" ca="1" si="45"/>
        <v>0</v>
      </c>
      <c r="L94" s="5">
        <f t="shared" ca="1" si="46"/>
        <v>0</v>
      </c>
      <c r="M94" s="5">
        <f t="shared" ca="1" si="47"/>
        <v>0</v>
      </c>
      <c r="N94" s="5">
        <f t="shared" ca="1" si="48"/>
        <v>0</v>
      </c>
      <c r="O94" s="5">
        <f t="shared" ca="1" si="49"/>
        <v>0</v>
      </c>
      <c r="P94" s="5">
        <f t="shared" ca="1" si="50"/>
        <v>0</v>
      </c>
      <c r="Q94" s="5" t="e">
        <f t="shared" ca="1" si="51"/>
        <v>#N/A</v>
      </c>
      <c r="R94" s="5">
        <f t="shared" ca="1" si="56"/>
        <v>0</v>
      </c>
      <c r="S94" s="67" t="e">
        <f t="shared" ca="1" si="57"/>
        <v>#N/A</v>
      </c>
      <c r="T94" s="67">
        <f t="shared" ca="1" si="58"/>
        <v>0</v>
      </c>
      <c r="U94" s="67" t="e">
        <f t="shared" ca="1" si="59"/>
        <v>#N/A</v>
      </c>
      <c r="V94" s="5">
        <f t="shared" ca="1" si="38"/>
        <v>0</v>
      </c>
      <c r="W94" s="5" t="e">
        <f t="shared" ca="1" si="52"/>
        <v>#N/A</v>
      </c>
      <c r="X94" s="67">
        <f t="shared" ca="1" si="53"/>
        <v>0</v>
      </c>
      <c r="Y94" s="67" t="e">
        <f t="shared" ca="1" si="60"/>
        <v>#N/A</v>
      </c>
      <c r="Z94" s="67" t="e">
        <f t="shared" ca="1" si="61"/>
        <v>#N/A</v>
      </c>
      <c r="AA94" s="5" t="str">
        <f>IF(Setup!$I$15="Yes",'Demand background (hide)'!AJ82+'SPC background (hide)'!C94,"")</f>
        <v/>
      </c>
      <c r="AC94" s="5" t="str">
        <f t="shared" ca="1" si="54"/>
        <v/>
      </c>
      <c r="AD94" s="5" t="str">
        <f t="shared" ca="1" si="55"/>
        <v/>
      </c>
    </row>
    <row r="95" spans="1:30" x14ac:dyDescent="0.2">
      <c r="A95" s="67" t="str">
        <f ca="1">Demand!C92</f>
        <v/>
      </c>
      <c r="B95" s="67">
        <v>80</v>
      </c>
      <c r="C95" s="5">
        <f ca="1">'Demand background (hide)'!Y83</f>
        <v>0</v>
      </c>
      <c r="D95" s="67">
        <f t="shared" si="39"/>
        <v>0</v>
      </c>
      <c r="E95" s="67" t="e">
        <f t="shared" ca="1" si="40"/>
        <v>#N/A</v>
      </c>
      <c r="F95" s="67" t="e">
        <f t="shared" ca="1" si="41"/>
        <v>#N/A</v>
      </c>
      <c r="G95" s="67" t="e">
        <f t="shared" ca="1" si="42"/>
        <v>#N/A</v>
      </c>
      <c r="H95" s="67" t="e">
        <f>IF('Demand background (hide)'!AN83&lt;&gt;"",'SPC background (hide)'!C95,NA())</f>
        <v>#N/A</v>
      </c>
      <c r="I95" s="67">
        <f t="shared" ca="1" si="43"/>
        <v>5</v>
      </c>
      <c r="J95" s="5">
        <f t="shared" ca="1" si="44"/>
        <v>0</v>
      </c>
      <c r="K95" s="5">
        <f t="shared" ca="1" si="45"/>
        <v>0</v>
      </c>
      <c r="L95" s="5">
        <f t="shared" ca="1" si="46"/>
        <v>0</v>
      </c>
      <c r="M95" s="5">
        <f t="shared" ca="1" si="47"/>
        <v>0</v>
      </c>
      <c r="N95" s="5">
        <f t="shared" ca="1" si="48"/>
        <v>0</v>
      </c>
      <c r="O95" s="5">
        <f t="shared" ca="1" si="49"/>
        <v>0</v>
      </c>
      <c r="P95" s="5">
        <f t="shared" ca="1" si="50"/>
        <v>0</v>
      </c>
      <c r="Q95" s="5" t="e">
        <f t="shared" ca="1" si="51"/>
        <v>#N/A</v>
      </c>
      <c r="R95" s="5">
        <f t="shared" ca="1" si="56"/>
        <v>0</v>
      </c>
      <c r="S95" s="67" t="e">
        <f t="shared" ca="1" si="57"/>
        <v>#N/A</v>
      </c>
      <c r="T95" s="67">
        <f t="shared" ca="1" si="58"/>
        <v>0</v>
      </c>
      <c r="U95" s="67" t="e">
        <f t="shared" ca="1" si="59"/>
        <v>#N/A</v>
      </c>
      <c r="V95" s="5">
        <f t="shared" ca="1" si="38"/>
        <v>0</v>
      </c>
      <c r="W95" s="5" t="e">
        <f t="shared" ca="1" si="52"/>
        <v>#N/A</v>
      </c>
      <c r="X95" s="67">
        <f t="shared" ca="1" si="53"/>
        <v>0</v>
      </c>
      <c r="Y95" s="67" t="e">
        <f t="shared" ca="1" si="60"/>
        <v>#N/A</v>
      </c>
      <c r="Z95" s="67" t="e">
        <f t="shared" ca="1" si="61"/>
        <v>#N/A</v>
      </c>
      <c r="AA95" s="5" t="str">
        <f>IF(Setup!$I$15="Yes",'Demand background (hide)'!AJ83+'SPC background (hide)'!C95,"")</f>
        <v/>
      </c>
      <c r="AC95" s="5" t="str">
        <f t="shared" ca="1" si="54"/>
        <v/>
      </c>
      <c r="AD95" s="5" t="str">
        <f t="shared" ca="1" si="55"/>
        <v/>
      </c>
    </row>
    <row r="96" spans="1:30" x14ac:dyDescent="0.2">
      <c r="A96" s="67" t="str">
        <f ca="1">Demand!C93</f>
        <v/>
      </c>
      <c r="B96" s="67">
        <v>81</v>
      </c>
      <c r="C96" s="5">
        <f ca="1">'Demand background (hide)'!Y84</f>
        <v>0</v>
      </c>
      <c r="D96" s="67">
        <f t="shared" si="39"/>
        <v>0</v>
      </c>
      <c r="E96" s="67" t="e">
        <f t="shared" ca="1" si="40"/>
        <v>#N/A</v>
      </c>
      <c r="F96" s="67" t="e">
        <f t="shared" ca="1" si="41"/>
        <v>#N/A</v>
      </c>
      <c r="G96" s="67" t="e">
        <f t="shared" ca="1" si="42"/>
        <v>#N/A</v>
      </c>
      <c r="H96" s="67" t="e">
        <f>IF('Demand background (hide)'!AN84&lt;&gt;"",'SPC background (hide)'!C96,NA())</f>
        <v>#N/A</v>
      </c>
      <c r="I96" s="67">
        <f t="shared" ca="1" si="43"/>
        <v>5</v>
      </c>
      <c r="J96" s="5">
        <f t="shared" ca="1" si="44"/>
        <v>0</v>
      </c>
      <c r="K96" s="5">
        <f t="shared" ca="1" si="45"/>
        <v>0</v>
      </c>
      <c r="L96" s="5">
        <f t="shared" ca="1" si="46"/>
        <v>0</v>
      </c>
      <c r="M96" s="5">
        <f t="shared" ca="1" si="47"/>
        <v>0</v>
      </c>
      <c r="N96" s="5">
        <f t="shared" ca="1" si="48"/>
        <v>0</v>
      </c>
      <c r="O96" s="5">
        <f t="shared" ca="1" si="49"/>
        <v>0</v>
      </c>
      <c r="P96" s="5">
        <f t="shared" ca="1" si="50"/>
        <v>0</v>
      </c>
      <c r="Q96" s="5" t="e">
        <f t="shared" ca="1" si="51"/>
        <v>#N/A</v>
      </c>
      <c r="R96" s="5">
        <f t="shared" ca="1" si="56"/>
        <v>0</v>
      </c>
      <c r="S96" s="67" t="e">
        <f t="shared" ca="1" si="57"/>
        <v>#N/A</v>
      </c>
      <c r="T96" s="67">
        <f t="shared" ca="1" si="58"/>
        <v>0</v>
      </c>
      <c r="U96" s="67" t="e">
        <f t="shared" ca="1" si="59"/>
        <v>#N/A</v>
      </c>
      <c r="V96" s="5">
        <f t="shared" ca="1" si="38"/>
        <v>0</v>
      </c>
      <c r="W96" s="5" t="e">
        <f t="shared" ca="1" si="52"/>
        <v>#N/A</v>
      </c>
      <c r="X96" s="67">
        <f t="shared" ca="1" si="53"/>
        <v>0</v>
      </c>
      <c r="Y96" s="67" t="e">
        <f t="shared" ca="1" si="60"/>
        <v>#N/A</v>
      </c>
      <c r="Z96" s="67" t="e">
        <f t="shared" ca="1" si="61"/>
        <v>#N/A</v>
      </c>
      <c r="AA96" s="5" t="str">
        <f>IF(Setup!$I$15="Yes",'Demand background (hide)'!AJ84+'SPC background (hide)'!C96,"")</f>
        <v/>
      </c>
      <c r="AC96" s="5" t="str">
        <f t="shared" ca="1" si="54"/>
        <v/>
      </c>
      <c r="AD96" s="5" t="str">
        <f t="shared" ca="1" si="55"/>
        <v/>
      </c>
    </row>
    <row r="97" spans="1:30" x14ac:dyDescent="0.2">
      <c r="A97" s="67" t="str">
        <f ca="1">Demand!C94</f>
        <v/>
      </c>
      <c r="B97" s="67">
        <v>82</v>
      </c>
      <c r="C97" s="5">
        <f ca="1">'Demand background (hide)'!Y85</f>
        <v>0</v>
      </c>
      <c r="D97" s="67">
        <f t="shared" si="39"/>
        <v>0</v>
      </c>
      <c r="E97" s="67" t="e">
        <f t="shared" ca="1" si="40"/>
        <v>#N/A</v>
      </c>
      <c r="F97" s="67" t="e">
        <f t="shared" ca="1" si="41"/>
        <v>#N/A</v>
      </c>
      <c r="G97" s="67" t="e">
        <f t="shared" ca="1" si="42"/>
        <v>#N/A</v>
      </c>
      <c r="H97" s="67" t="e">
        <f>IF('Demand background (hide)'!AN85&lt;&gt;"",'SPC background (hide)'!C97,NA())</f>
        <v>#N/A</v>
      </c>
      <c r="I97" s="67">
        <f t="shared" ca="1" si="43"/>
        <v>5</v>
      </c>
      <c r="J97" s="5">
        <f t="shared" ca="1" si="44"/>
        <v>0</v>
      </c>
      <c r="K97" s="5">
        <f t="shared" ca="1" si="45"/>
        <v>0</v>
      </c>
      <c r="L97" s="5">
        <f t="shared" ca="1" si="46"/>
        <v>0</v>
      </c>
      <c r="M97" s="5">
        <f t="shared" ca="1" si="47"/>
        <v>0</v>
      </c>
      <c r="N97" s="5">
        <f t="shared" ca="1" si="48"/>
        <v>0</v>
      </c>
      <c r="O97" s="5">
        <f t="shared" ca="1" si="49"/>
        <v>0</v>
      </c>
      <c r="P97" s="5">
        <f t="shared" ca="1" si="50"/>
        <v>0</v>
      </c>
      <c r="Q97" s="5" t="e">
        <f t="shared" ca="1" si="51"/>
        <v>#N/A</v>
      </c>
      <c r="R97" s="5">
        <f t="shared" ca="1" si="56"/>
        <v>0</v>
      </c>
      <c r="S97" s="67" t="e">
        <f t="shared" ca="1" si="57"/>
        <v>#N/A</v>
      </c>
      <c r="T97" s="67">
        <f t="shared" ca="1" si="58"/>
        <v>0</v>
      </c>
      <c r="U97" s="67" t="e">
        <f t="shared" ca="1" si="59"/>
        <v>#N/A</v>
      </c>
      <c r="V97" s="5">
        <f t="shared" ca="1" si="38"/>
        <v>0</v>
      </c>
      <c r="W97" s="5" t="e">
        <f t="shared" ca="1" si="52"/>
        <v>#N/A</v>
      </c>
      <c r="X97" s="67">
        <f t="shared" ca="1" si="53"/>
        <v>0</v>
      </c>
      <c r="Y97" s="67" t="e">
        <f t="shared" ca="1" si="60"/>
        <v>#N/A</v>
      </c>
      <c r="Z97" s="67" t="e">
        <f t="shared" ca="1" si="61"/>
        <v>#N/A</v>
      </c>
      <c r="AA97" s="5" t="str">
        <f>IF(Setup!$I$15="Yes",'Demand background (hide)'!AJ85+'SPC background (hide)'!C97,"")</f>
        <v/>
      </c>
      <c r="AC97" s="5" t="str">
        <f t="shared" ca="1" si="54"/>
        <v/>
      </c>
      <c r="AD97" s="5" t="str">
        <f t="shared" ca="1" si="55"/>
        <v/>
      </c>
    </row>
    <row r="98" spans="1:30" x14ac:dyDescent="0.2">
      <c r="A98" s="67" t="str">
        <f ca="1">Demand!C95</f>
        <v/>
      </c>
      <c r="B98" s="67">
        <v>83</v>
      </c>
      <c r="C98" s="5">
        <f ca="1">'Demand background (hide)'!Y86</f>
        <v>0</v>
      </c>
      <c r="D98" s="67">
        <f t="shared" si="39"/>
        <v>0</v>
      </c>
      <c r="E98" s="67" t="e">
        <f t="shared" ca="1" si="40"/>
        <v>#N/A</v>
      </c>
      <c r="F98" s="67" t="e">
        <f t="shared" ca="1" si="41"/>
        <v>#N/A</v>
      </c>
      <c r="G98" s="67" t="e">
        <f t="shared" ca="1" si="42"/>
        <v>#N/A</v>
      </c>
      <c r="H98" s="67" t="e">
        <f>IF('Demand background (hide)'!AN86&lt;&gt;"",'SPC background (hide)'!C98,NA())</f>
        <v>#N/A</v>
      </c>
      <c r="I98" s="67">
        <f t="shared" ca="1" si="43"/>
        <v>5</v>
      </c>
      <c r="J98" s="5">
        <f t="shared" ca="1" si="44"/>
        <v>0</v>
      </c>
      <c r="K98" s="5">
        <f t="shared" ca="1" si="45"/>
        <v>0</v>
      </c>
      <c r="L98" s="5">
        <f t="shared" ca="1" si="46"/>
        <v>0</v>
      </c>
      <c r="M98" s="5">
        <f t="shared" ca="1" si="47"/>
        <v>0</v>
      </c>
      <c r="N98" s="5">
        <f t="shared" ca="1" si="48"/>
        <v>0</v>
      </c>
      <c r="O98" s="5">
        <f t="shared" ca="1" si="49"/>
        <v>0</v>
      </c>
      <c r="P98" s="5">
        <f t="shared" ca="1" si="50"/>
        <v>0</v>
      </c>
      <c r="Q98" s="5" t="e">
        <f t="shared" ca="1" si="51"/>
        <v>#N/A</v>
      </c>
      <c r="R98" s="5">
        <f t="shared" ca="1" si="56"/>
        <v>0</v>
      </c>
      <c r="S98" s="67" t="e">
        <f t="shared" ca="1" si="57"/>
        <v>#N/A</v>
      </c>
      <c r="T98" s="67">
        <f t="shared" ca="1" si="58"/>
        <v>0</v>
      </c>
      <c r="U98" s="67" t="e">
        <f t="shared" ca="1" si="59"/>
        <v>#N/A</v>
      </c>
      <c r="V98" s="5">
        <f t="shared" ca="1" si="38"/>
        <v>0</v>
      </c>
      <c r="W98" s="5" t="e">
        <f t="shared" ca="1" si="52"/>
        <v>#N/A</v>
      </c>
      <c r="X98" s="67">
        <f t="shared" ca="1" si="53"/>
        <v>0</v>
      </c>
      <c r="Y98" s="67" t="e">
        <f t="shared" ca="1" si="60"/>
        <v>#N/A</v>
      </c>
      <c r="Z98" s="67" t="e">
        <f t="shared" ca="1" si="61"/>
        <v>#N/A</v>
      </c>
      <c r="AA98" s="5" t="str">
        <f>IF(Setup!$I$15="Yes",'Demand background (hide)'!AJ86+'SPC background (hide)'!C98,"")</f>
        <v/>
      </c>
      <c r="AC98" s="5" t="str">
        <f t="shared" ca="1" si="54"/>
        <v/>
      </c>
      <c r="AD98" s="5" t="str">
        <f t="shared" ca="1" si="55"/>
        <v/>
      </c>
    </row>
    <row r="99" spans="1:30" x14ac:dyDescent="0.2">
      <c r="A99" s="67" t="str">
        <f ca="1">Demand!C96</f>
        <v/>
      </c>
      <c r="B99" s="67">
        <v>84</v>
      </c>
      <c r="C99" s="5">
        <f ca="1">'Demand background (hide)'!Y87</f>
        <v>0</v>
      </c>
      <c r="D99" s="67">
        <f t="shared" si="39"/>
        <v>0</v>
      </c>
      <c r="E99" s="67" t="e">
        <f t="shared" ca="1" si="40"/>
        <v>#N/A</v>
      </c>
      <c r="F99" s="67" t="e">
        <f t="shared" ca="1" si="41"/>
        <v>#N/A</v>
      </c>
      <c r="G99" s="67" t="e">
        <f t="shared" ca="1" si="42"/>
        <v>#N/A</v>
      </c>
      <c r="H99" s="67" t="e">
        <f>IF('Demand background (hide)'!AN87&lt;&gt;"",'SPC background (hide)'!C99,NA())</f>
        <v>#N/A</v>
      </c>
      <c r="I99" s="67">
        <f t="shared" ca="1" si="43"/>
        <v>5</v>
      </c>
      <c r="J99" s="5">
        <f t="shared" ca="1" si="44"/>
        <v>0</v>
      </c>
      <c r="K99" s="5">
        <f t="shared" ca="1" si="45"/>
        <v>0</v>
      </c>
      <c r="L99" s="5">
        <f t="shared" ca="1" si="46"/>
        <v>0</v>
      </c>
      <c r="M99" s="5">
        <f t="shared" ca="1" si="47"/>
        <v>0</v>
      </c>
      <c r="N99" s="5">
        <f t="shared" ca="1" si="48"/>
        <v>0</v>
      </c>
      <c r="O99" s="5">
        <f t="shared" ca="1" si="49"/>
        <v>0</v>
      </c>
      <c r="P99" s="5">
        <f t="shared" ca="1" si="50"/>
        <v>0</v>
      </c>
      <c r="Q99" s="5" t="e">
        <f t="shared" ca="1" si="51"/>
        <v>#N/A</v>
      </c>
      <c r="R99" s="5">
        <f t="shared" ca="1" si="56"/>
        <v>0</v>
      </c>
      <c r="S99" s="67" t="e">
        <f t="shared" ca="1" si="57"/>
        <v>#N/A</v>
      </c>
      <c r="T99" s="67">
        <f t="shared" ca="1" si="58"/>
        <v>0</v>
      </c>
      <c r="U99" s="67" t="e">
        <f t="shared" ca="1" si="59"/>
        <v>#N/A</v>
      </c>
      <c r="V99" s="5">
        <f t="shared" ca="1" si="38"/>
        <v>0</v>
      </c>
      <c r="W99" s="5" t="e">
        <f t="shared" ca="1" si="52"/>
        <v>#N/A</v>
      </c>
      <c r="X99" s="67">
        <f t="shared" ca="1" si="53"/>
        <v>0</v>
      </c>
      <c r="Y99" s="67" t="e">
        <f t="shared" ca="1" si="60"/>
        <v>#N/A</v>
      </c>
      <c r="Z99" s="67" t="e">
        <f t="shared" ca="1" si="61"/>
        <v>#N/A</v>
      </c>
      <c r="AA99" s="5" t="str">
        <f>IF(Setup!$I$15="Yes",'Demand background (hide)'!AJ87+'SPC background (hide)'!C99,"")</f>
        <v/>
      </c>
      <c r="AC99" s="5" t="str">
        <f t="shared" ca="1" si="54"/>
        <v/>
      </c>
      <c r="AD99" s="5" t="str">
        <f t="shared" ca="1" si="55"/>
        <v/>
      </c>
    </row>
    <row r="100" spans="1:30" x14ac:dyDescent="0.2">
      <c r="A100" s="67" t="str">
        <f ca="1">Demand!C97</f>
        <v/>
      </c>
      <c r="B100" s="67">
        <v>85</v>
      </c>
      <c r="C100" s="5">
        <f ca="1">'Demand background (hide)'!Y88</f>
        <v>0</v>
      </c>
      <c r="D100" s="67">
        <f t="shared" si="39"/>
        <v>0</v>
      </c>
      <c r="E100" s="67" t="e">
        <f t="shared" ca="1" si="40"/>
        <v>#N/A</v>
      </c>
      <c r="F100" s="67" t="e">
        <f t="shared" ca="1" si="41"/>
        <v>#N/A</v>
      </c>
      <c r="G100" s="67" t="e">
        <f t="shared" ca="1" si="42"/>
        <v>#N/A</v>
      </c>
      <c r="H100" s="67" t="e">
        <f>IF('Demand background (hide)'!AN88&lt;&gt;"",'SPC background (hide)'!C100,NA())</f>
        <v>#N/A</v>
      </c>
      <c r="I100" s="67">
        <f t="shared" ca="1" si="43"/>
        <v>5</v>
      </c>
      <c r="J100" s="5">
        <f t="shared" ca="1" si="44"/>
        <v>0</v>
      </c>
      <c r="K100" s="5">
        <f t="shared" ca="1" si="45"/>
        <v>0</v>
      </c>
      <c r="L100" s="5">
        <f t="shared" ca="1" si="46"/>
        <v>0</v>
      </c>
      <c r="M100" s="5">
        <f t="shared" ca="1" si="47"/>
        <v>0</v>
      </c>
      <c r="N100" s="5">
        <f t="shared" ca="1" si="48"/>
        <v>0</v>
      </c>
      <c r="O100" s="5">
        <f t="shared" ca="1" si="49"/>
        <v>0</v>
      </c>
      <c r="P100" s="5">
        <f t="shared" ca="1" si="50"/>
        <v>0</v>
      </c>
      <c r="Q100" s="5" t="e">
        <f t="shared" ca="1" si="51"/>
        <v>#N/A</v>
      </c>
      <c r="R100" s="5">
        <f t="shared" ca="1" si="56"/>
        <v>0</v>
      </c>
      <c r="S100" s="67" t="e">
        <f t="shared" ca="1" si="57"/>
        <v>#N/A</v>
      </c>
      <c r="T100" s="67">
        <f t="shared" ca="1" si="58"/>
        <v>0</v>
      </c>
      <c r="U100" s="67" t="e">
        <f t="shared" ca="1" si="59"/>
        <v>#N/A</v>
      </c>
      <c r="V100" s="5">
        <f t="shared" ca="1" si="38"/>
        <v>0</v>
      </c>
      <c r="W100" s="5" t="e">
        <f t="shared" ca="1" si="52"/>
        <v>#N/A</v>
      </c>
      <c r="X100" s="67">
        <f t="shared" ca="1" si="53"/>
        <v>0</v>
      </c>
      <c r="Y100" s="67" t="e">
        <f t="shared" ca="1" si="60"/>
        <v>#N/A</v>
      </c>
      <c r="Z100" s="67" t="e">
        <f t="shared" ca="1" si="61"/>
        <v>#N/A</v>
      </c>
      <c r="AA100" s="5" t="str">
        <f>IF(Setup!$I$15="Yes",'Demand background (hide)'!AJ88+'SPC background (hide)'!C100,"")</f>
        <v/>
      </c>
      <c r="AC100" s="5" t="str">
        <f t="shared" ca="1" si="54"/>
        <v/>
      </c>
      <c r="AD100" s="5" t="str">
        <f t="shared" ca="1" si="55"/>
        <v/>
      </c>
    </row>
    <row r="101" spans="1:30" x14ac:dyDescent="0.2">
      <c r="A101" s="67" t="str">
        <f ca="1">Demand!C98</f>
        <v/>
      </c>
      <c r="B101" s="67">
        <v>86</v>
      </c>
      <c r="C101" s="5">
        <f ca="1">'Demand background (hide)'!Y89</f>
        <v>0</v>
      </c>
      <c r="D101" s="67">
        <f t="shared" si="39"/>
        <v>0</v>
      </c>
      <c r="E101" s="67" t="e">
        <f t="shared" ca="1" si="40"/>
        <v>#N/A</v>
      </c>
      <c r="F101" s="67" t="e">
        <f t="shared" ca="1" si="41"/>
        <v>#N/A</v>
      </c>
      <c r="G101" s="67" t="e">
        <f t="shared" ca="1" si="42"/>
        <v>#N/A</v>
      </c>
      <c r="H101" s="67" t="e">
        <f>IF('Demand background (hide)'!AN89&lt;&gt;"",'SPC background (hide)'!C101,NA())</f>
        <v>#N/A</v>
      </c>
      <c r="I101" s="67">
        <f t="shared" ca="1" si="43"/>
        <v>5</v>
      </c>
      <c r="J101" s="5">
        <f t="shared" ca="1" si="44"/>
        <v>0</v>
      </c>
      <c r="K101" s="5">
        <f t="shared" ca="1" si="45"/>
        <v>0</v>
      </c>
      <c r="L101" s="5">
        <f t="shared" ca="1" si="46"/>
        <v>0</v>
      </c>
      <c r="M101" s="5">
        <f t="shared" ca="1" si="47"/>
        <v>0</v>
      </c>
      <c r="N101" s="5">
        <f t="shared" ca="1" si="48"/>
        <v>0</v>
      </c>
      <c r="O101" s="5">
        <f t="shared" ca="1" si="49"/>
        <v>0</v>
      </c>
      <c r="P101" s="5">
        <f t="shared" ca="1" si="50"/>
        <v>0</v>
      </c>
      <c r="Q101" s="5" t="e">
        <f t="shared" ca="1" si="51"/>
        <v>#N/A</v>
      </c>
      <c r="R101" s="5">
        <f t="shared" ca="1" si="56"/>
        <v>0</v>
      </c>
      <c r="S101" s="67" t="e">
        <f t="shared" ca="1" si="57"/>
        <v>#N/A</v>
      </c>
      <c r="T101" s="67">
        <f t="shared" ca="1" si="58"/>
        <v>0</v>
      </c>
      <c r="U101" s="67" t="e">
        <f t="shared" ca="1" si="59"/>
        <v>#N/A</v>
      </c>
      <c r="V101" s="5">
        <f t="shared" ca="1" si="38"/>
        <v>0</v>
      </c>
      <c r="W101" s="5" t="e">
        <f t="shared" ca="1" si="52"/>
        <v>#N/A</v>
      </c>
      <c r="X101" s="67">
        <f t="shared" ca="1" si="53"/>
        <v>0</v>
      </c>
      <c r="Y101" s="67" t="e">
        <f t="shared" ca="1" si="60"/>
        <v>#N/A</v>
      </c>
      <c r="Z101" s="67" t="e">
        <f t="shared" ca="1" si="61"/>
        <v>#N/A</v>
      </c>
      <c r="AA101" s="5" t="str">
        <f>IF(Setup!$I$15="Yes",'Demand background (hide)'!AJ89+'SPC background (hide)'!C101,"")</f>
        <v/>
      </c>
      <c r="AC101" s="5" t="str">
        <f t="shared" ca="1" si="54"/>
        <v/>
      </c>
      <c r="AD101" s="5" t="str">
        <f t="shared" ca="1" si="55"/>
        <v/>
      </c>
    </row>
    <row r="102" spans="1:30" x14ac:dyDescent="0.2">
      <c r="A102" s="67" t="str">
        <f ca="1">Demand!C99</f>
        <v/>
      </c>
      <c r="B102" s="67">
        <v>87</v>
      </c>
      <c r="C102" s="5">
        <f ca="1">'Demand background (hide)'!Y90</f>
        <v>0</v>
      </c>
      <c r="D102" s="67">
        <f t="shared" si="39"/>
        <v>0</v>
      </c>
      <c r="E102" s="67" t="e">
        <f t="shared" ca="1" si="40"/>
        <v>#N/A</v>
      </c>
      <c r="F102" s="67" t="e">
        <f t="shared" ca="1" si="41"/>
        <v>#N/A</v>
      </c>
      <c r="G102" s="67" t="e">
        <f t="shared" ca="1" si="42"/>
        <v>#N/A</v>
      </c>
      <c r="H102" s="67" t="e">
        <f>IF('Demand background (hide)'!AN90&lt;&gt;"",'SPC background (hide)'!C102,NA())</f>
        <v>#N/A</v>
      </c>
      <c r="I102" s="67">
        <f t="shared" ca="1" si="43"/>
        <v>5</v>
      </c>
      <c r="J102" s="5">
        <f t="shared" ca="1" si="44"/>
        <v>0</v>
      </c>
      <c r="K102" s="5">
        <f t="shared" ca="1" si="45"/>
        <v>0</v>
      </c>
      <c r="L102" s="5">
        <f t="shared" ca="1" si="46"/>
        <v>0</v>
      </c>
      <c r="M102" s="5">
        <f t="shared" ca="1" si="47"/>
        <v>0</v>
      </c>
      <c r="N102" s="5">
        <f t="shared" ca="1" si="48"/>
        <v>0</v>
      </c>
      <c r="O102" s="5">
        <f t="shared" ca="1" si="49"/>
        <v>0</v>
      </c>
      <c r="P102" s="5">
        <f t="shared" ca="1" si="50"/>
        <v>0</v>
      </c>
      <c r="Q102" s="5" t="e">
        <f t="shared" ca="1" si="51"/>
        <v>#N/A</v>
      </c>
      <c r="R102" s="5">
        <f t="shared" ca="1" si="56"/>
        <v>0</v>
      </c>
      <c r="S102" s="67" t="e">
        <f t="shared" ca="1" si="57"/>
        <v>#N/A</v>
      </c>
      <c r="T102" s="67">
        <f t="shared" ca="1" si="58"/>
        <v>0</v>
      </c>
      <c r="U102" s="67" t="e">
        <f t="shared" ca="1" si="59"/>
        <v>#N/A</v>
      </c>
      <c r="V102" s="5">
        <f t="shared" ca="1" si="38"/>
        <v>0</v>
      </c>
      <c r="W102" s="5" t="e">
        <f t="shared" ca="1" si="52"/>
        <v>#N/A</v>
      </c>
      <c r="X102" s="67">
        <f t="shared" ca="1" si="53"/>
        <v>0</v>
      </c>
      <c r="Y102" s="67" t="e">
        <f t="shared" ca="1" si="60"/>
        <v>#N/A</v>
      </c>
      <c r="Z102" s="67" t="e">
        <f t="shared" ca="1" si="61"/>
        <v>#N/A</v>
      </c>
      <c r="AA102" s="5" t="str">
        <f>IF(Setup!$I$15="Yes",'Demand background (hide)'!AJ90+'SPC background (hide)'!C102,"")</f>
        <v/>
      </c>
      <c r="AC102" s="5" t="str">
        <f t="shared" ca="1" si="54"/>
        <v/>
      </c>
      <c r="AD102" s="5" t="str">
        <f t="shared" ca="1" si="55"/>
        <v/>
      </c>
    </row>
    <row r="103" spans="1:30" x14ac:dyDescent="0.2">
      <c r="A103" s="67" t="str">
        <f ca="1">Demand!C100</f>
        <v/>
      </c>
      <c r="B103" s="67">
        <v>88</v>
      </c>
      <c r="C103" s="5">
        <f ca="1">'Demand background (hide)'!Y91</f>
        <v>0</v>
      </c>
      <c r="D103" s="67">
        <f t="shared" si="39"/>
        <v>0</v>
      </c>
      <c r="E103" s="67" t="e">
        <f t="shared" ca="1" si="40"/>
        <v>#N/A</v>
      </c>
      <c r="F103" s="67" t="e">
        <f t="shared" ca="1" si="41"/>
        <v>#N/A</v>
      </c>
      <c r="G103" s="67" t="e">
        <f t="shared" ca="1" si="42"/>
        <v>#N/A</v>
      </c>
      <c r="H103" s="67" t="e">
        <f>IF('Demand background (hide)'!AN91&lt;&gt;"",'SPC background (hide)'!C103,NA())</f>
        <v>#N/A</v>
      </c>
      <c r="I103" s="67">
        <f t="shared" ca="1" si="43"/>
        <v>5</v>
      </c>
      <c r="J103" s="5">
        <f t="shared" ca="1" si="44"/>
        <v>0</v>
      </c>
      <c r="K103" s="5">
        <f t="shared" ca="1" si="45"/>
        <v>0</v>
      </c>
      <c r="L103" s="5">
        <f t="shared" ca="1" si="46"/>
        <v>0</v>
      </c>
      <c r="M103" s="5">
        <f t="shared" ca="1" si="47"/>
        <v>0</v>
      </c>
      <c r="N103" s="5">
        <f t="shared" ca="1" si="48"/>
        <v>0</v>
      </c>
      <c r="O103" s="5">
        <f t="shared" ca="1" si="49"/>
        <v>0</v>
      </c>
      <c r="P103" s="5">
        <f t="shared" ca="1" si="50"/>
        <v>0</v>
      </c>
      <c r="Q103" s="5" t="e">
        <f t="shared" ca="1" si="51"/>
        <v>#N/A</v>
      </c>
      <c r="R103" s="5">
        <f t="shared" ca="1" si="56"/>
        <v>0</v>
      </c>
      <c r="S103" s="67" t="e">
        <f t="shared" ca="1" si="57"/>
        <v>#N/A</v>
      </c>
      <c r="T103" s="67">
        <f t="shared" ca="1" si="58"/>
        <v>0</v>
      </c>
      <c r="U103" s="67" t="e">
        <f t="shared" ca="1" si="59"/>
        <v>#N/A</v>
      </c>
      <c r="V103" s="5">
        <f t="shared" ca="1" si="38"/>
        <v>0</v>
      </c>
      <c r="W103" s="5" t="e">
        <f t="shared" ca="1" si="52"/>
        <v>#N/A</v>
      </c>
      <c r="X103" s="67">
        <f t="shared" ca="1" si="53"/>
        <v>0</v>
      </c>
      <c r="Y103" s="67" t="e">
        <f t="shared" ca="1" si="60"/>
        <v>#N/A</v>
      </c>
      <c r="Z103" s="67" t="e">
        <f t="shared" ca="1" si="61"/>
        <v>#N/A</v>
      </c>
      <c r="AA103" s="5" t="str">
        <f>IF(Setup!$I$15="Yes",'Demand background (hide)'!AJ91+'SPC background (hide)'!C103,"")</f>
        <v/>
      </c>
      <c r="AC103" s="5" t="str">
        <f t="shared" ca="1" si="54"/>
        <v/>
      </c>
      <c r="AD103" s="5" t="str">
        <f t="shared" ca="1" si="55"/>
        <v/>
      </c>
    </row>
    <row r="104" spans="1:30" x14ac:dyDescent="0.2">
      <c r="A104" s="67" t="str">
        <f ca="1">Demand!C101</f>
        <v/>
      </c>
      <c r="B104" s="67">
        <v>89</v>
      </c>
      <c r="C104" s="5">
        <f ca="1">'Demand background (hide)'!Y92</f>
        <v>0</v>
      </c>
      <c r="D104" s="67">
        <f t="shared" si="39"/>
        <v>0</v>
      </c>
      <c r="E104" s="67" t="e">
        <f t="shared" ca="1" si="40"/>
        <v>#N/A</v>
      </c>
      <c r="F104" s="67" t="e">
        <f t="shared" ca="1" si="41"/>
        <v>#N/A</v>
      </c>
      <c r="G104" s="67" t="e">
        <f t="shared" ca="1" si="42"/>
        <v>#N/A</v>
      </c>
      <c r="H104" s="67" t="e">
        <f>IF('Demand background (hide)'!AN92&lt;&gt;"",'SPC background (hide)'!C104,NA())</f>
        <v>#N/A</v>
      </c>
      <c r="I104" s="67">
        <f t="shared" ca="1" si="43"/>
        <v>5</v>
      </c>
      <c r="J104" s="5">
        <f t="shared" ca="1" si="44"/>
        <v>0</v>
      </c>
      <c r="K104" s="5">
        <f t="shared" ca="1" si="45"/>
        <v>0</v>
      </c>
      <c r="L104" s="5">
        <f t="shared" ca="1" si="46"/>
        <v>0</v>
      </c>
      <c r="M104" s="5">
        <f t="shared" ca="1" si="47"/>
        <v>0</v>
      </c>
      <c r="N104" s="5">
        <f t="shared" ca="1" si="48"/>
        <v>0</v>
      </c>
      <c r="O104" s="5">
        <f t="shared" ca="1" si="49"/>
        <v>0</v>
      </c>
      <c r="P104" s="5">
        <f t="shared" ca="1" si="50"/>
        <v>0</v>
      </c>
      <c r="Q104" s="5" t="e">
        <f t="shared" ca="1" si="51"/>
        <v>#N/A</v>
      </c>
      <c r="R104" s="5">
        <f t="shared" ca="1" si="56"/>
        <v>0</v>
      </c>
      <c r="S104" s="67" t="e">
        <f t="shared" ca="1" si="57"/>
        <v>#N/A</v>
      </c>
      <c r="T104" s="67">
        <f t="shared" ca="1" si="58"/>
        <v>0</v>
      </c>
      <c r="U104" s="67" t="e">
        <f t="shared" ca="1" si="59"/>
        <v>#N/A</v>
      </c>
      <c r="V104" s="5">
        <f t="shared" ca="1" si="38"/>
        <v>0</v>
      </c>
      <c r="W104" s="5" t="e">
        <f t="shared" ca="1" si="52"/>
        <v>#N/A</v>
      </c>
      <c r="X104" s="67">
        <f t="shared" ca="1" si="53"/>
        <v>0</v>
      </c>
      <c r="Y104" s="67" t="e">
        <f t="shared" ca="1" si="60"/>
        <v>#N/A</v>
      </c>
      <c r="Z104" s="67" t="e">
        <f t="shared" ca="1" si="61"/>
        <v>#N/A</v>
      </c>
      <c r="AA104" s="5" t="str">
        <f>IF(Setup!$I$15="Yes",'Demand background (hide)'!AJ92+'SPC background (hide)'!C104,"")</f>
        <v/>
      </c>
      <c r="AC104" s="5" t="str">
        <f t="shared" ca="1" si="54"/>
        <v/>
      </c>
      <c r="AD104" s="5" t="str">
        <f t="shared" ca="1" si="55"/>
        <v/>
      </c>
    </row>
    <row r="105" spans="1:30" x14ac:dyDescent="0.2">
      <c r="A105" s="67" t="str">
        <f ca="1">Demand!C102</f>
        <v/>
      </c>
      <c r="B105" s="67">
        <v>90</v>
      </c>
      <c r="C105" s="5">
        <f ca="1">'Demand background (hide)'!Y93</f>
        <v>0</v>
      </c>
      <c r="D105" s="67">
        <f t="shared" si="39"/>
        <v>0</v>
      </c>
      <c r="E105" s="67" t="e">
        <f t="shared" ca="1" si="40"/>
        <v>#N/A</v>
      </c>
      <c r="F105" s="67" t="e">
        <f t="shared" ca="1" si="41"/>
        <v>#N/A</v>
      </c>
      <c r="G105" s="67" t="e">
        <f t="shared" ca="1" si="42"/>
        <v>#N/A</v>
      </c>
      <c r="H105" s="67" t="e">
        <f>IF('Demand background (hide)'!AN93&lt;&gt;"",'SPC background (hide)'!C105,NA())</f>
        <v>#N/A</v>
      </c>
      <c r="I105" s="67">
        <f t="shared" ca="1" si="43"/>
        <v>5</v>
      </c>
      <c r="J105" s="5">
        <f t="shared" ca="1" si="44"/>
        <v>0</v>
      </c>
      <c r="K105" s="5">
        <f t="shared" ca="1" si="45"/>
        <v>0</v>
      </c>
      <c r="L105" s="5">
        <f t="shared" ca="1" si="46"/>
        <v>0</v>
      </c>
      <c r="M105" s="5">
        <f t="shared" ca="1" si="47"/>
        <v>0</v>
      </c>
      <c r="N105" s="5">
        <f t="shared" ca="1" si="48"/>
        <v>0</v>
      </c>
      <c r="O105" s="5">
        <f t="shared" ca="1" si="49"/>
        <v>0</v>
      </c>
      <c r="P105" s="5">
        <f t="shared" ca="1" si="50"/>
        <v>0</v>
      </c>
      <c r="Q105" s="5" t="e">
        <f t="shared" ca="1" si="51"/>
        <v>#N/A</v>
      </c>
      <c r="R105" s="5">
        <f t="shared" ca="1" si="56"/>
        <v>0</v>
      </c>
      <c r="S105" s="67" t="e">
        <f t="shared" ca="1" si="57"/>
        <v>#N/A</v>
      </c>
      <c r="T105" s="67">
        <f t="shared" ca="1" si="58"/>
        <v>0</v>
      </c>
      <c r="U105" s="67" t="e">
        <f t="shared" ca="1" si="59"/>
        <v>#N/A</v>
      </c>
      <c r="V105" s="5">
        <f t="shared" ca="1" si="38"/>
        <v>0</v>
      </c>
      <c r="W105" s="5" t="e">
        <f t="shared" ca="1" si="52"/>
        <v>#N/A</v>
      </c>
      <c r="X105" s="67">
        <f t="shared" ca="1" si="53"/>
        <v>0</v>
      </c>
      <c r="Y105" s="67" t="e">
        <f t="shared" ca="1" si="60"/>
        <v>#N/A</v>
      </c>
      <c r="Z105" s="67" t="e">
        <f t="shared" ca="1" si="61"/>
        <v>#N/A</v>
      </c>
      <c r="AA105" s="5" t="str">
        <f>IF(Setup!$I$15="Yes",'Demand background (hide)'!AJ93+'SPC background (hide)'!C105,"")</f>
        <v/>
      </c>
      <c r="AC105" s="5" t="str">
        <f t="shared" ca="1" si="54"/>
        <v/>
      </c>
      <c r="AD105" s="5" t="str">
        <f t="shared" ca="1" si="55"/>
        <v/>
      </c>
    </row>
    <row r="106" spans="1:30" x14ac:dyDescent="0.2">
      <c r="A106" s="67" t="str">
        <f ca="1">Demand!C103</f>
        <v/>
      </c>
      <c r="B106" s="67">
        <v>91</v>
      </c>
      <c r="C106" s="5">
        <f ca="1">'Demand background (hide)'!Y94</f>
        <v>0</v>
      </c>
      <c r="D106" s="67">
        <f t="shared" si="39"/>
        <v>0</v>
      </c>
      <c r="E106" s="67" t="e">
        <f t="shared" ca="1" si="40"/>
        <v>#N/A</v>
      </c>
      <c r="F106" s="67" t="e">
        <f t="shared" ca="1" si="41"/>
        <v>#N/A</v>
      </c>
      <c r="G106" s="67" t="e">
        <f t="shared" ca="1" si="42"/>
        <v>#N/A</v>
      </c>
      <c r="H106" s="67" t="e">
        <f>IF('Demand background (hide)'!AN94&lt;&gt;"",'SPC background (hide)'!C106,NA())</f>
        <v>#N/A</v>
      </c>
      <c r="I106" s="67">
        <f t="shared" ca="1" si="43"/>
        <v>5</v>
      </c>
      <c r="J106" s="5">
        <f t="shared" ca="1" si="44"/>
        <v>0</v>
      </c>
      <c r="K106" s="5">
        <f t="shared" ca="1" si="45"/>
        <v>0</v>
      </c>
      <c r="L106" s="5">
        <f t="shared" ca="1" si="46"/>
        <v>0</v>
      </c>
      <c r="M106" s="5">
        <f t="shared" ca="1" si="47"/>
        <v>0</v>
      </c>
      <c r="N106" s="5">
        <f t="shared" ca="1" si="48"/>
        <v>0</v>
      </c>
      <c r="O106" s="5">
        <f t="shared" ca="1" si="49"/>
        <v>0</v>
      </c>
      <c r="P106" s="5">
        <f t="shared" ca="1" si="50"/>
        <v>0</v>
      </c>
      <c r="Q106" s="5" t="e">
        <f t="shared" ca="1" si="51"/>
        <v>#N/A</v>
      </c>
      <c r="R106" s="5">
        <f t="shared" ca="1" si="56"/>
        <v>0</v>
      </c>
      <c r="S106" s="67" t="e">
        <f t="shared" ca="1" si="57"/>
        <v>#N/A</v>
      </c>
      <c r="T106" s="67">
        <f t="shared" ca="1" si="58"/>
        <v>0</v>
      </c>
      <c r="U106" s="67" t="e">
        <f t="shared" ca="1" si="59"/>
        <v>#N/A</v>
      </c>
      <c r="V106" s="5">
        <f t="shared" ca="1" si="38"/>
        <v>0</v>
      </c>
      <c r="W106" s="5" t="e">
        <f t="shared" ca="1" si="52"/>
        <v>#N/A</v>
      </c>
      <c r="X106" s="67">
        <f t="shared" ca="1" si="53"/>
        <v>0</v>
      </c>
      <c r="Y106" s="67" t="e">
        <f t="shared" ca="1" si="60"/>
        <v>#N/A</v>
      </c>
      <c r="Z106" s="67" t="e">
        <f t="shared" ca="1" si="61"/>
        <v>#N/A</v>
      </c>
      <c r="AA106" s="5" t="str">
        <f>IF(Setup!$I$15="Yes",'Demand background (hide)'!AJ94+'SPC background (hide)'!C106,"")</f>
        <v/>
      </c>
      <c r="AC106" s="5" t="str">
        <f t="shared" ca="1" si="54"/>
        <v/>
      </c>
      <c r="AD106" s="5" t="str">
        <f t="shared" ca="1" si="55"/>
        <v/>
      </c>
    </row>
    <row r="107" spans="1:30" x14ac:dyDescent="0.2">
      <c r="A107" s="67" t="str">
        <f ca="1">Demand!C104</f>
        <v/>
      </c>
      <c r="B107" s="67">
        <v>92</v>
      </c>
      <c r="C107" s="5">
        <f ca="1">'Demand background (hide)'!Y95</f>
        <v>0</v>
      </c>
      <c r="D107" s="67">
        <f t="shared" si="39"/>
        <v>0</v>
      </c>
      <c r="E107" s="67" t="e">
        <f t="shared" ca="1" si="40"/>
        <v>#N/A</v>
      </c>
      <c r="F107" s="67" t="e">
        <f t="shared" ca="1" si="41"/>
        <v>#N/A</v>
      </c>
      <c r="G107" s="67" t="e">
        <f t="shared" ca="1" si="42"/>
        <v>#N/A</v>
      </c>
      <c r="H107" s="67" t="e">
        <f>IF('Demand background (hide)'!AN95&lt;&gt;"",'SPC background (hide)'!C107,NA())</f>
        <v>#N/A</v>
      </c>
      <c r="I107" s="67">
        <f t="shared" ca="1" si="43"/>
        <v>5</v>
      </c>
      <c r="J107" s="5">
        <f t="shared" ca="1" si="44"/>
        <v>0</v>
      </c>
      <c r="K107" s="5">
        <f t="shared" ca="1" si="45"/>
        <v>0</v>
      </c>
      <c r="L107" s="5">
        <f t="shared" ca="1" si="46"/>
        <v>0</v>
      </c>
      <c r="M107" s="5">
        <f t="shared" ca="1" si="47"/>
        <v>0</v>
      </c>
      <c r="N107" s="5">
        <f t="shared" ca="1" si="48"/>
        <v>0</v>
      </c>
      <c r="O107" s="5">
        <f t="shared" ca="1" si="49"/>
        <v>0</v>
      </c>
      <c r="P107" s="5">
        <f t="shared" ca="1" si="50"/>
        <v>0</v>
      </c>
      <c r="Q107" s="5" t="e">
        <f t="shared" ca="1" si="51"/>
        <v>#N/A</v>
      </c>
      <c r="R107" s="5">
        <f t="shared" ca="1" si="56"/>
        <v>0</v>
      </c>
      <c r="S107" s="67" t="e">
        <f t="shared" ca="1" si="57"/>
        <v>#N/A</v>
      </c>
      <c r="T107" s="67">
        <f t="shared" ca="1" si="58"/>
        <v>0</v>
      </c>
      <c r="U107" s="67" t="e">
        <f t="shared" ca="1" si="59"/>
        <v>#N/A</v>
      </c>
      <c r="V107" s="5">
        <f t="shared" ca="1" si="38"/>
        <v>0</v>
      </c>
      <c r="W107" s="5" t="e">
        <f t="shared" ca="1" si="52"/>
        <v>#N/A</v>
      </c>
      <c r="X107" s="67">
        <f t="shared" ca="1" si="53"/>
        <v>0</v>
      </c>
      <c r="Y107" s="67" t="e">
        <f t="shared" ca="1" si="60"/>
        <v>#N/A</v>
      </c>
      <c r="Z107" s="67" t="e">
        <f t="shared" ca="1" si="61"/>
        <v>#N/A</v>
      </c>
      <c r="AA107" s="5" t="str">
        <f>IF(Setup!$I$15="Yes",'Demand background (hide)'!AJ95+'SPC background (hide)'!C107,"")</f>
        <v/>
      </c>
      <c r="AC107" s="5" t="str">
        <f t="shared" ca="1" si="54"/>
        <v/>
      </c>
      <c r="AD107" s="5" t="str">
        <f t="shared" ca="1" si="55"/>
        <v/>
      </c>
    </row>
    <row r="108" spans="1:30" x14ac:dyDescent="0.2">
      <c r="A108" s="67" t="str">
        <f ca="1">Demand!C105</f>
        <v/>
      </c>
      <c r="B108" s="67">
        <v>93</v>
      </c>
      <c r="C108" s="5">
        <f ca="1">'Demand background (hide)'!Y96</f>
        <v>0</v>
      </c>
      <c r="D108" s="67">
        <f t="shared" si="39"/>
        <v>0</v>
      </c>
      <c r="E108" s="67" t="e">
        <f t="shared" ca="1" si="40"/>
        <v>#N/A</v>
      </c>
      <c r="F108" s="67" t="e">
        <f t="shared" ca="1" si="41"/>
        <v>#N/A</v>
      </c>
      <c r="G108" s="67" t="e">
        <f t="shared" ca="1" si="42"/>
        <v>#N/A</v>
      </c>
      <c r="H108" s="67" t="e">
        <f>IF('Demand background (hide)'!AN96&lt;&gt;"",'SPC background (hide)'!C108,NA())</f>
        <v>#N/A</v>
      </c>
      <c r="I108" s="67">
        <f t="shared" ca="1" si="43"/>
        <v>5</v>
      </c>
      <c r="J108" s="5">
        <f t="shared" ca="1" si="44"/>
        <v>0</v>
      </c>
      <c r="K108" s="5">
        <f t="shared" ca="1" si="45"/>
        <v>0</v>
      </c>
      <c r="L108" s="5">
        <f t="shared" ca="1" si="46"/>
        <v>0</v>
      </c>
      <c r="M108" s="5">
        <f t="shared" ca="1" si="47"/>
        <v>0</v>
      </c>
      <c r="N108" s="5">
        <f t="shared" ca="1" si="48"/>
        <v>0</v>
      </c>
      <c r="O108" s="5">
        <f t="shared" ca="1" si="49"/>
        <v>0</v>
      </c>
      <c r="P108" s="5">
        <f t="shared" ca="1" si="50"/>
        <v>0</v>
      </c>
      <c r="Q108" s="5" t="e">
        <f t="shared" ca="1" si="51"/>
        <v>#N/A</v>
      </c>
      <c r="R108" s="5">
        <f t="shared" ca="1" si="56"/>
        <v>0</v>
      </c>
      <c r="S108" s="67" t="e">
        <f t="shared" ca="1" si="57"/>
        <v>#N/A</v>
      </c>
      <c r="T108" s="67">
        <f t="shared" ca="1" si="58"/>
        <v>0</v>
      </c>
      <c r="U108" s="67" t="e">
        <f t="shared" ca="1" si="59"/>
        <v>#N/A</v>
      </c>
      <c r="V108" s="5">
        <f t="shared" ca="1" si="38"/>
        <v>0</v>
      </c>
      <c r="W108" s="5" t="e">
        <f t="shared" ca="1" si="52"/>
        <v>#N/A</v>
      </c>
      <c r="X108" s="67">
        <f t="shared" ca="1" si="53"/>
        <v>0</v>
      </c>
      <c r="Y108" s="67" t="e">
        <f t="shared" ca="1" si="60"/>
        <v>#N/A</v>
      </c>
      <c r="Z108" s="67" t="e">
        <f t="shared" ca="1" si="61"/>
        <v>#N/A</v>
      </c>
      <c r="AA108" s="5" t="str">
        <f>IF(Setup!$I$15="Yes",'Demand background (hide)'!AJ96+'SPC background (hide)'!C108,"")</f>
        <v/>
      </c>
      <c r="AC108" s="5" t="str">
        <f t="shared" ca="1" si="54"/>
        <v/>
      </c>
      <c r="AD108" s="5" t="str">
        <f t="shared" ca="1" si="55"/>
        <v/>
      </c>
    </row>
    <row r="109" spans="1:30" x14ac:dyDescent="0.2">
      <c r="A109" s="67" t="str">
        <f ca="1">Demand!C106</f>
        <v/>
      </c>
      <c r="B109" s="67">
        <v>94</v>
      </c>
      <c r="C109" s="5">
        <f ca="1">'Demand background (hide)'!Y97</f>
        <v>0</v>
      </c>
      <c r="D109" s="67">
        <f t="shared" si="39"/>
        <v>0</v>
      </c>
      <c r="E109" s="67" t="e">
        <f t="shared" ca="1" si="40"/>
        <v>#N/A</v>
      </c>
      <c r="F109" s="67" t="e">
        <f t="shared" ca="1" si="41"/>
        <v>#N/A</v>
      </c>
      <c r="G109" s="67" t="e">
        <f t="shared" ca="1" si="42"/>
        <v>#N/A</v>
      </c>
      <c r="H109" s="67" t="e">
        <f>IF('Demand background (hide)'!AN97&lt;&gt;"",'SPC background (hide)'!C109,NA())</f>
        <v>#N/A</v>
      </c>
      <c r="I109" s="67">
        <f t="shared" ca="1" si="43"/>
        <v>5</v>
      </c>
      <c r="J109" s="5">
        <f t="shared" ca="1" si="44"/>
        <v>0</v>
      </c>
      <c r="K109" s="5">
        <f t="shared" ca="1" si="45"/>
        <v>0</v>
      </c>
      <c r="L109" s="5">
        <f t="shared" ca="1" si="46"/>
        <v>0</v>
      </c>
      <c r="M109" s="5">
        <f t="shared" ca="1" si="47"/>
        <v>0</v>
      </c>
      <c r="N109" s="5">
        <f t="shared" ca="1" si="48"/>
        <v>0</v>
      </c>
      <c r="O109" s="5">
        <f t="shared" ca="1" si="49"/>
        <v>0</v>
      </c>
      <c r="P109" s="5">
        <f t="shared" ca="1" si="50"/>
        <v>0</v>
      </c>
      <c r="Q109" s="5" t="e">
        <f t="shared" ca="1" si="51"/>
        <v>#N/A</v>
      </c>
      <c r="R109" s="5">
        <f t="shared" ca="1" si="56"/>
        <v>0</v>
      </c>
      <c r="S109" s="67" t="e">
        <f t="shared" ca="1" si="57"/>
        <v>#N/A</v>
      </c>
      <c r="T109" s="67">
        <f t="shared" ca="1" si="58"/>
        <v>0</v>
      </c>
      <c r="U109" s="67" t="e">
        <f t="shared" ca="1" si="59"/>
        <v>#N/A</v>
      </c>
      <c r="V109" s="5">
        <f t="shared" ca="1" si="38"/>
        <v>0</v>
      </c>
      <c r="W109" s="5" t="e">
        <f t="shared" ca="1" si="52"/>
        <v>#N/A</v>
      </c>
      <c r="X109" s="67">
        <f t="shared" ca="1" si="53"/>
        <v>0</v>
      </c>
      <c r="Y109" s="67" t="e">
        <f t="shared" ca="1" si="60"/>
        <v>#N/A</v>
      </c>
      <c r="Z109" s="67" t="e">
        <f t="shared" ca="1" si="61"/>
        <v>#N/A</v>
      </c>
      <c r="AA109" s="5" t="str">
        <f>IF(Setup!$I$15="Yes",'Demand background (hide)'!AJ97+'SPC background (hide)'!C109,"")</f>
        <v/>
      </c>
      <c r="AC109" s="5" t="str">
        <f t="shared" ca="1" si="54"/>
        <v/>
      </c>
      <c r="AD109" s="5" t="str">
        <f t="shared" ca="1" si="55"/>
        <v/>
      </c>
    </row>
    <row r="110" spans="1:30" x14ac:dyDescent="0.2">
      <c r="A110" s="67" t="str">
        <f ca="1">Demand!C107</f>
        <v/>
      </c>
      <c r="B110" s="67">
        <v>95</v>
      </c>
      <c r="C110" s="5">
        <f ca="1">'Demand background (hide)'!Y98</f>
        <v>0</v>
      </c>
      <c r="D110" s="67">
        <f t="shared" si="39"/>
        <v>0</v>
      </c>
      <c r="E110" s="67" t="e">
        <f t="shared" ca="1" si="40"/>
        <v>#N/A</v>
      </c>
      <c r="F110" s="67" t="e">
        <f t="shared" ca="1" si="41"/>
        <v>#N/A</v>
      </c>
      <c r="G110" s="67" t="e">
        <f t="shared" ca="1" si="42"/>
        <v>#N/A</v>
      </c>
      <c r="H110" s="67" t="e">
        <f>IF('Demand background (hide)'!AN98&lt;&gt;"",'SPC background (hide)'!C110,NA())</f>
        <v>#N/A</v>
      </c>
      <c r="I110" s="67">
        <f t="shared" ca="1" si="43"/>
        <v>5</v>
      </c>
      <c r="J110" s="5">
        <f t="shared" ca="1" si="44"/>
        <v>0</v>
      </c>
      <c r="K110" s="5">
        <f t="shared" ca="1" si="45"/>
        <v>0</v>
      </c>
      <c r="L110" s="5">
        <f t="shared" ca="1" si="46"/>
        <v>0</v>
      </c>
      <c r="M110" s="5">
        <f t="shared" ca="1" si="47"/>
        <v>0</v>
      </c>
      <c r="N110" s="5">
        <f t="shared" ca="1" si="48"/>
        <v>0</v>
      </c>
      <c r="O110" s="5">
        <f t="shared" ca="1" si="49"/>
        <v>0</v>
      </c>
      <c r="P110" s="5">
        <f t="shared" ca="1" si="50"/>
        <v>0</v>
      </c>
      <c r="Q110" s="5" t="e">
        <f t="shared" ca="1" si="51"/>
        <v>#N/A</v>
      </c>
      <c r="R110" s="5">
        <f t="shared" ca="1" si="56"/>
        <v>0</v>
      </c>
      <c r="S110" s="67" t="e">
        <f t="shared" ca="1" si="57"/>
        <v>#N/A</v>
      </c>
      <c r="T110" s="67">
        <f t="shared" ca="1" si="58"/>
        <v>0</v>
      </c>
      <c r="U110" s="67" t="e">
        <f t="shared" ca="1" si="59"/>
        <v>#N/A</v>
      </c>
      <c r="V110" s="5">
        <f t="shared" ca="1" si="38"/>
        <v>0</v>
      </c>
      <c r="W110" s="5" t="e">
        <f t="shared" ca="1" si="52"/>
        <v>#N/A</v>
      </c>
      <c r="X110" s="67">
        <f t="shared" ca="1" si="53"/>
        <v>0</v>
      </c>
      <c r="Y110" s="67" t="e">
        <f t="shared" ca="1" si="60"/>
        <v>#N/A</v>
      </c>
      <c r="Z110" s="67" t="e">
        <f t="shared" ca="1" si="61"/>
        <v>#N/A</v>
      </c>
      <c r="AA110" s="5" t="str">
        <f>IF(Setup!$I$15="Yes",'Demand background (hide)'!AJ98+'SPC background (hide)'!C110,"")</f>
        <v/>
      </c>
      <c r="AC110" s="5" t="str">
        <f t="shared" ca="1" si="54"/>
        <v/>
      </c>
      <c r="AD110" s="5" t="str">
        <f t="shared" ca="1" si="55"/>
        <v/>
      </c>
    </row>
    <row r="111" spans="1:30" x14ac:dyDescent="0.2">
      <c r="A111" s="67" t="str">
        <f ca="1">Demand!C108</f>
        <v/>
      </c>
      <c r="B111" s="67">
        <v>96</v>
      </c>
      <c r="C111" s="5">
        <f ca="1">'Demand background (hide)'!Y99</f>
        <v>0</v>
      </c>
      <c r="D111" s="67">
        <f t="shared" si="39"/>
        <v>0</v>
      </c>
      <c r="E111" s="67" t="e">
        <f t="shared" ca="1" si="40"/>
        <v>#N/A</v>
      </c>
      <c r="F111" s="67" t="e">
        <f t="shared" ca="1" si="41"/>
        <v>#N/A</v>
      </c>
      <c r="G111" s="67" t="e">
        <f t="shared" ca="1" si="42"/>
        <v>#N/A</v>
      </c>
      <c r="H111" s="67" t="e">
        <f>IF('Demand background (hide)'!AN99&lt;&gt;"",'SPC background (hide)'!C111,NA())</f>
        <v>#N/A</v>
      </c>
      <c r="I111" s="67">
        <f t="shared" ca="1" si="43"/>
        <v>5</v>
      </c>
      <c r="J111" s="5">
        <f t="shared" ca="1" si="44"/>
        <v>0</v>
      </c>
      <c r="K111" s="5">
        <f t="shared" ca="1" si="45"/>
        <v>0</v>
      </c>
      <c r="L111" s="5">
        <f t="shared" ca="1" si="46"/>
        <v>0</v>
      </c>
      <c r="M111" s="5">
        <f t="shared" ca="1" si="47"/>
        <v>0</v>
      </c>
      <c r="N111" s="5">
        <f t="shared" ca="1" si="48"/>
        <v>0</v>
      </c>
      <c r="O111" s="5">
        <f t="shared" ca="1" si="49"/>
        <v>0</v>
      </c>
      <c r="P111" s="5">
        <f t="shared" ca="1" si="50"/>
        <v>0</v>
      </c>
      <c r="Q111" s="5" t="e">
        <f t="shared" ca="1" si="51"/>
        <v>#N/A</v>
      </c>
      <c r="R111" s="5">
        <f t="shared" ca="1" si="56"/>
        <v>0</v>
      </c>
      <c r="S111" s="67" t="e">
        <f t="shared" ca="1" si="57"/>
        <v>#N/A</v>
      </c>
      <c r="T111" s="67">
        <f t="shared" ca="1" si="58"/>
        <v>0</v>
      </c>
      <c r="U111" s="67" t="e">
        <f t="shared" ca="1" si="59"/>
        <v>#N/A</v>
      </c>
      <c r="V111" s="5">
        <f t="shared" ca="1" si="38"/>
        <v>0</v>
      </c>
      <c r="W111" s="5" t="e">
        <f t="shared" ca="1" si="52"/>
        <v>#N/A</v>
      </c>
      <c r="X111" s="67">
        <f t="shared" ca="1" si="53"/>
        <v>0</v>
      </c>
      <c r="Y111" s="67" t="e">
        <f t="shared" ca="1" si="60"/>
        <v>#N/A</v>
      </c>
      <c r="Z111" s="67" t="e">
        <f t="shared" ca="1" si="61"/>
        <v>#N/A</v>
      </c>
      <c r="AA111" s="5" t="str">
        <f>IF(Setup!$I$15="Yes",'Demand background (hide)'!AJ99+'SPC background (hide)'!C111,"")</f>
        <v/>
      </c>
      <c r="AC111" s="5" t="str">
        <f t="shared" ca="1" si="54"/>
        <v/>
      </c>
      <c r="AD111" s="5" t="str">
        <f t="shared" ca="1" si="55"/>
        <v/>
      </c>
    </row>
    <row r="112" spans="1:30" x14ac:dyDescent="0.2">
      <c r="A112" s="67" t="str">
        <f ca="1">Demand!C109</f>
        <v/>
      </c>
      <c r="B112" s="67">
        <v>97</v>
      </c>
      <c r="C112" s="5">
        <f ca="1">'Demand background (hide)'!Y100</f>
        <v>0</v>
      </c>
      <c r="D112" s="67">
        <f t="shared" si="39"/>
        <v>0</v>
      </c>
      <c r="E112" s="67" t="e">
        <f t="shared" ca="1" si="40"/>
        <v>#N/A</v>
      </c>
      <c r="F112" s="67" t="e">
        <f t="shared" ca="1" si="41"/>
        <v>#N/A</v>
      </c>
      <c r="G112" s="67" t="e">
        <f t="shared" ca="1" si="42"/>
        <v>#N/A</v>
      </c>
      <c r="H112" s="67" t="e">
        <f>IF('Demand background (hide)'!AN100&lt;&gt;"",'SPC background (hide)'!C112,NA())</f>
        <v>#N/A</v>
      </c>
      <c r="I112" s="67">
        <f t="shared" ca="1" si="43"/>
        <v>5</v>
      </c>
      <c r="J112" s="5">
        <f t="shared" ca="1" si="44"/>
        <v>0</v>
      </c>
      <c r="K112" s="5">
        <f t="shared" ca="1" si="45"/>
        <v>0</v>
      </c>
      <c r="L112" s="5">
        <f t="shared" ca="1" si="46"/>
        <v>0</v>
      </c>
      <c r="M112" s="5">
        <f t="shared" ca="1" si="47"/>
        <v>0</v>
      </c>
      <c r="N112" s="5">
        <f t="shared" ca="1" si="48"/>
        <v>0</v>
      </c>
      <c r="O112" s="5">
        <f t="shared" ca="1" si="49"/>
        <v>0</v>
      </c>
      <c r="P112" s="5">
        <f t="shared" ca="1" si="50"/>
        <v>0</v>
      </c>
      <c r="Q112" s="5" t="e">
        <f t="shared" ca="1" si="51"/>
        <v>#N/A</v>
      </c>
      <c r="R112" s="5">
        <f t="shared" ca="1" si="56"/>
        <v>0</v>
      </c>
      <c r="S112" s="67" t="e">
        <f t="shared" ca="1" si="57"/>
        <v>#N/A</v>
      </c>
      <c r="T112" s="67">
        <f t="shared" ca="1" si="58"/>
        <v>0</v>
      </c>
      <c r="U112" s="67" t="e">
        <f t="shared" ca="1" si="59"/>
        <v>#N/A</v>
      </c>
      <c r="V112" s="5">
        <f t="shared" ca="1" si="38"/>
        <v>0</v>
      </c>
      <c r="W112" s="5" t="e">
        <f t="shared" ca="1" si="52"/>
        <v>#N/A</v>
      </c>
      <c r="X112" s="67">
        <f t="shared" ca="1" si="53"/>
        <v>0</v>
      </c>
      <c r="Y112" s="67" t="e">
        <f t="shared" ca="1" si="60"/>
        <v>#N/A</v>
      </c>
      <c r="Z112" s="67" t="e">
        <f t="shared" ca="1" si="61"/>
        <v>#N/A</v>
      </c>
      <c r="AA112" s="5" t="str">
        <f>IF(Setup!$I$15="Yes",'Demand background (hide)'!AJ100+'SPC background (hide)'!C112,"")</f>
        <v/>
      </c>
      <c r="AC112" s="5" t="str">
        <f t="shared" ca="1" si="54"/>
        <v/>
      </c>
      <c r="AD112" s="5" t="str">
        <f t="shared" ca="1" si="55"/>
        <v/>
      </c>
    </row>
    <row r="113" spans="1:30" x14ac:dyDescent="0.2">
      <c r="A113" s="67" t="str">
        <f ca="1">Demand!C110</f>
        <v/>
      </c>
      <c r="B113" s="67">
        <v>98</v>
      </c>
      <c r="C113" s="5">
        <f ca="1">'Demand background (hide)'!Y101</f>
        <v>0</v>
      </c>
      <c r="D113" s="67">
        <f t="shared" si="39"/>
        <v>0</v>
      </c>
      <c r="E113" s="67" t="e">
        <f t="shared" ca="1" si="40"/>
        <v>#N/A</v>
      </c>
      <c r="F113" s="67" t="e">
        <f t="shared" ca="1" si="41"/>
        <v>#N/A</v>
      </c>
      <c r="G113" s="67" t="e">
        <f t="shared" ca="1" si="42"/>
        <v>#N/A</v>
      </c>
      <c r="H113" s="67" t="e">
        <f>IF('Demand background (hide)'!AN101&lt;&gt;"",'SPC background (hide)'!C113,NA())</f>
        <v>#N/A</v>
      </c>
      <c r="I113" s="67">
        <f t="shared" ca="1" si="43"/>
        <v>5</v>
      </c>
      <c r="J113" s="5">
        <f t="shared" ca="1" si="44"/>
        <v>0</v>
      </c>
      <c r="K113" s="5">
        <f t="shared" ca="1" si="45"/>
        <v>0</v>
      </c>
      <c r="L113" s="5">
        <f t="shared" ca="1" si="46"/>
        <v>0</v>
      </c>
      <c r="M113" s="5">
        <f t="shared" ca="1" si="47"/>
        <v>0</v>
      </c>
      <c r="N113" s="5">
        <f t="shared" ca="1" si="48"/>
        <v>0</v>
      </c>
      <c r="O113" s="5">
        <f t="shared" ca="1" si="49"/>
        <v>0</v>
      </c>
      <c r="P113" s="5">
        <f t="shared" ca="1" si="50"/>
        <v>0</v>
      </c>
      <c r="Q113" s="5" t="e">
        <f t="shared" ca="1" si="51"/>
        <v>#N/A</v>
      </c>
      <c r="R113" s="5">
        <f t="shared" ca="1" si="56"/>
        <v>0</v>
      </c>
      <c r="S113" s="67" t="e">
        <f t="shared" ca="1" si="57"/>
        <v>#N/A</v>
      </c>
      <c r="T113" s="67">
        <f t="shared" ca="1" si="58"/>
        <v>0</v>
      </c>
      <c r="U113" s="67" t="e">
        <f t="shared" ca="1" si="59"/>
        <v>#N/A</v>
      </c>
      <c r="V113" s="5">
        <f t="shared" ca="1" si="38"/>
        <v>0</v>
      </c>
      <c r="W113" s="5" t="e">
        <f t="shared" ca="1" si="52"/>
        <v>#N/A</v>
      </c>
      <c r="X113" s="67">
        <f t="shared" ca="1" si="53"/>
        <v>0</v>
      </c>
      <c r="Y113" s="67" t="e">
        <f t="shared" ca="1" si="60"/>
        <v>#N/A</v>
      </c>
      <c r="Z113" s="67" t="e">
        <f t="shared" ca="1" si="61"/>
        <v>#N/A</v>
      </c>
      <c r="AA113" s="5" t="str">
        <f>IF(Setup!$I$15="Yes",'Demand background (hide)'!AJ101+'SPC background (hide)'!C113,"")</f>
        <v/>
      </c>
      <c r="AC113" s="5" t="str">
        <f t="shared" ca="1" si="54"/>
        <v/>
      </c>
      <c r="AD113" s="5" t="str">
        <f t="shared" ca="1" si="55"/>
        <v/>
      </c>
    </row>
    <row r="114" spans="1:30" x14ac:dyDescent="0.2">
      <c r="A114" s="67" t="str">
        <f ca="1">Demand!C111</f>
        <v/>
      </c>
      <c r="B114" s="67">
        <v>99</v>
      </c>
      <c r="C114" s="5">
        <f ca="1">'Demand background (hide)'!Y102</f>
        <v>0</v>
      </c>
      <c r="D114" s="67">
        <f t="shared" si="39"/>
        <v>1</v>
      </c>
      <c r="E114" s="67" t="e">
        <f t="shared" ca="1" si="40"/>
        <v>#N/A</v>
      </c>
      <c r="F114" s="67" t="e">
        <f t="shared" ca="1" si="41"/>
        <v>#N/A</v>
      </c>
      <c r="G114" s="67" t="e">
        <f t="shared" ca="1" si="42"/>
        <v>#N/A</v>
      </c>
      <c r="H114" s="67" t="e">
        <f>IF('Demand background (hide)'!AN102&lt;&gt;"",'SPC background (hide)'!C114,NA())</f>
        <v>#N/A</v>
      </c>
      <c r="I114" s="67">
        <f t="shared" ca="1" si="43"/>
        <v>5</v>
      </c>
      <c r="J114" s="5">
        <f t="shared" ca="1" si="44"/>
        <v>0</v>
      </c>
      <c r="K114" s="5">
        <f t="shared" ca="1" si="45"/>
        <v>0</v>
      </c>
      <c r="L114" s="5">
        <f t="shared" ca="1" si="46"/>
        <v>0</v>
      </c>
      <c r="M114" s="5">
        <f t="shared" ca="1" si="47"/>
        <v>0</v>
      </c>
      <c r="N114" s="5">
        <f t="shared" ca="1" si="48"/>
        <v>0</v>
      </c>
      <c r="O114" s="5">
        <f t="shared" ca="1" si="49"/>
        <v>0</v>
      </c>
      <c r="P114" s="5">
        <f t="shared" ca="1" si="50"/>
        <v>0</v>
      </c>
      <c r="Q114" s="5" t="e">
        <f t="shared" ca="1" si="51"/>
        <v>#N/A</v>
      </c>
      <c r="R114" s="5">
        <f t="shared" ca="1" si="56"/>
        <v>0</v>
      </c>
      <c r="S114" s="67" t="e">
        <f t="shared" ca="1" si="57"/>
        <v>#N/A</v>
      </c>
      <c r="T114" s="67">
        <f t="shared" ca="1" si="58"/>
        <v>0</v>
      </c>
      <c r="U114" s="67" t="e">
        <f t="shared" ca="1" si="59"/>
        <v>#N/A</v>
      </c>
      <c r="V114" s="5">
        <f t="shared" ca="1" si="38"/>
        <v>0</v>
      </c>
      <c r="W114" s="5" t="e">
        <f t="shared" ca="1" si="52"/>
        <v>#N/A</v>
      </c>
      <c r="X114" s="67">
        <f t="shared" ca="1" si="53"/>
        <v>0</v>
      </c>
      <c r="Y114" s="67" t="e">
        <f t="shared" ca="1" si="60"/>
        <v>#N/A</v>
      </c>
      <c r="Z114" s="67" t="e">
        <f t="shared" ca="1" si="61"/>
        <v>#N/A</v>
      </c>
      <c r="AA114" s="5" t="str">
        <f>IF(Setup!$I$15="Yes",'Demand background (hide)'!AJ102+'SPC background (hide)'!C114,"")</f>
        <v/>
      </c>
      <c r="AC114" s="5" t="str">
        <f t="shared" ca="1" si="54"/>
        <v/>
      </c>
      <c r="AD114" s="5" t="str">
        <f t="shared" ca="1" si="55"/>
        <v/>
      </c>
    </row>
    <row r="115" spans="1:30" x14ac:dyDescent="0.2">
      <c r="A115" s="67" t="str">
        <f ca="1">Demand!C112</f>
        <v/>
      </c>
      <c r="B115" s="67">
        <v>100</v>
      </c>
      <c r="C115" s="5">
        <f ca="1">'Demand background (hide)'!Y103</f>
        <v>0</v>
      </c>
      <c r="D115" s="67">
        <f t="shared" si="39"/>
        <v>1</v>
      </c>
      <c r="E115" s="67" t="e">
        <f t="shared" ca="1" si="40"/>
        <v>#N/A</v>
      </c>
      <c r="F115" s="67" t="e">
        <f t="shared" ca="1" si="41"/>
        <v>#N/A</v>
      </c>
      <c r="G115" s="67" t="e">
        <f t="shared" ca="1" si="42"/>
        <v>#N/A</v>
      </c>
      <c r="H115" s="67" t="e">
        <f>IF('Demand background (hide)'!AN103&lt;&gt;"",'SPC background (hide)'!C115,NA())</f>
        <v>#N/A</v>
      </c>
      <c r="I115" s="67">
        <f t="shared" ca="1" si="43"/>
        <v>5</v>
      </c>
      <c r="J115" s="5">
        <f t="shared" ca="1" si="44"/>
        <v>0</v>
      </c>
      <c r="K115" s="5">
        <f t="shared" ca="1" si="45"/>
        <v>0</v>
      </c>
      <c r="L115" s="5">
        <f t="shared" ca="1" si="46"/>
        <v>0</v>
      </c>
      <c r="M115" s="5">
        <f t="shared" ca="1" si="47"/>
        <v>0</v>
      </c>
      <c r="N115" s="5">
        <f t="shared" ca="1" si="48"/>
        <v>0</v>
      </c>
      <c r="O115" s="5">
        <f t="shared" ca="1" si="49"/>
        <v>0</v>
      </c>
      <c r="P115" s="5">
        <f t="shared" ca="1" si="50"/>
        <v>0</v>
      </c>
      <c r="Q115" s="5" t="e">
        <f t="shared" ca="1" si="51"/>
        <v>#N/A</v>
      </c>
      <c r="R115" s="5">
        <f t="shared" ca="1" si="56"/>
        <v>0</v>
      </c>
      <c r="S115" s="67" t="e">
        <f t="shared" ca="1" si="57"/>
        <v>#N/A</v>
      </c>
      <c r="T115" s="67">
        <f t="shared" ca="1" si="58"/>
        <v>0</v>
      </c>
      <c r="U115" s="67" t="e">
        <f t="shared" ca="1" si="59"/>
        <v>#N/A</v>
      </c>
      <c r="V115" s="5">
        <f t="shared" ca="1" si="38"/>
        <v>0</v>
      </c>
      <c r="W115" s="5" t="e">
        <f t="shared" ca="1" si="52"/>
        <v>#N/A</v>
      </c>
      <c r="X115" s="67">
        <f t="shared" ca="1" si="53"/>
        <v>0</v>
      </c>
      <c r="Y115" s="67" t="e">
        <f t="shared" ca="1" si="60"/>
        <v>#N/A</v>
      </c>
      <c r="Z115" s="67" t="e">
        <f t="shared" ca="1" si="61"/>
        <v>#N/A</v>
      </c>
      <c r="AA115" s="5" t="str">
        <f>IF(Setup!$I$15="Yes",'Demand background (hide)'!AJ103+'SPC background (hide)'!C115,"")</f>
        <v/>
      </c>
      <c r="AC115" s="5" t="str">
        <f t="shared" ca="1" si="54"/>
        <v/>
      </c>
      <c r="AD115" s="5" t="str">
        <f t="shared" ca="1" si="55"/>
        <v/>
      </c>
    </row>
    <row r="116" spans="1:30" x14ac:dyDescent="0.2">
      <c r="A116" s="67" t="str">
        <f ca="1">Demand!C113</f>
        <v/>
      </c>
      <c r="B116" s="67">
        <v>101</v>
      </c>
      <c r="C116" s="5">
        <f ca="1">'Demand background (hide)'!Y104</f>
        <v>0</v>
      </c>
      <c r="D116" s="67">
        <f t="shared" si="39"/>
        <v>1</v>
      </c>
      <c r="E116" s="67" t="e">
        <f t="shared" ca="1" si="40"/>
        <v>#N/A</v>
      </c>
      <c r="F116" s="67" t="e">
        <f t="shared" ca="1" si="41"/>
        <v>#N/A</v>
      </c>
      <c r="G116" s="67" t="e">
        <f t="shared" ca="1" si="42"/>
        <v>#N/A</v>
      </c>
      <c r="H116" s="67" t="e">
        <f>IF('Demand background (hide)'!AN104&lt;&gt;"",'SPC background (hide)'!C116,NA())</f>
        <v>#N/A</v>
      </c>
      <c r="I116" s="67">
        <f t="shared" ca="1" si="43"/>
        <v>5</v>
      </c>
      <c r="J116" s="5">
        <f t="shared" ca="1" si="44"/>
        <v>0</v>
      </c>
      <c r="K116" s="5">
        <f t="shared" ca="1" si="45"/>
        <v>0</v>
      </c>
      <c r="L116" s="5">
        <f t="shared" ca="1" si="46"/>
        <v>0</v>
      </c>
      <c r="M116" s="5">
        <f t="shared" ca="1" si="47"/>
        <v>0</v>
      </c>
      <c r="N116" s="5">
        <f t="shared" ca="1" si="48"/>
        <v>0</v>
      </c>
      <c r="O116" s="5">
        <f t="shared" ca="1" si="49"/>
        <v>0</v>
      </c>
      <c r="P116" s="5">
        <f t="shared" ca="1" si="50"/>
        <v>0</v>
      </c>
      <c r="Q116" s="5" t="e">
        <f t="shared" ca="1" si="51"/>
        <v>#N/A</v>
      </c>
      <c r="R116" s="5">
        <f t="shared" ca="1" si="56"/>
        <v>0</v>
      </c>
      <c r="S116" s="67" t="e">
        <f t="shared" ca="1" si="57"/>
        <v>#N/A</v>
      </c>
      <c r="T116" s="67">
        <f t="shared" ca="1" si="58"/>
        <v>0</v>
      </c>
      <c r="U116" s="67" t="e">
        <f t="shared" ca="1" si="59"/>
        <v>#N/A</v>
      </c>
      <c r="V116" s="5">
        <f t="shared" ca="1" si="38"/>
        <v>0</v>
      </c>
      <c r="W116" s="5" t="e">
        <f t="shared" ca="1" si="52"/>
        <v>#N/A</v>
      </c>
      <c r="X116" s="67">
        <f t="shared" ca="1" si="53"/>
        <v>0</v>
      </c>
      <c r="Y116" s="67" t="e">
        <f t="shared" ca="1" si="60"/>
        <v>#N/A</v>
      </c>
      <c r="Z116" s="67" t="e">
        <f t="shared" ca="1" si="61"/>
        <v>#N/A</v>
      </c>
      <c r="AA116" s="5" t="str">
        <f>IF(Setup!$I$15="Yes",'Demand background (hide)'!AJ104+'SPC background (hide)'!C116,"")</f>
        <v/>
      </c>
      <c r="AC116" s="5" t="str">
        <f t="shared" ca="1" si="54"/>
        <v/>
      </c>
      <c r="AD116" s="5" t="str">
        <f t="shared" ca="1" si="55"/>
        <v/>
      </c>
    </row>
    <row r="117" spans="1:30" x14ac:dyDescent="0.2">
      <c r="A117" s="67" t="str">
        <f ca="1">Demand!C114</f>
        <v/>
      </c>
      <c r="B117" s="67">
        <v>102</v>
      </c>
      <c r="C117" s="5">
        <f ca="1">'Demand background (hide)'!Y105</f>
        <v>0</v>
      </c>
      <c r="D117" s="67">
        <f t="shared" si="39"/>
        <v>1</v>
      </c>
      <c r="E117" s="67" t="e">
        <f t="shared" ca="1" si="40"/>
        <v>#N/A</v>
      </c>
      <c r="F117" s="67" t="e">
        <f t="shared" ca="1" si="41"/>
        <v>#N/A</v>
      </c>
      <c r="G117" s="67" t="e">
        <f t="shared" ca="1" si="42"/>
        <v>#N/A</v>
      </c>
      <c r="H117" s="67" t="e">
        <f>IF('Demand background (hide)'!AN105&lt;&gt;"",'SPC background (hide)'!C117,NA())</f>
        <v>#N/A</v>
      </c>
      <c r="I117" s="67">
        <f t="shared" ca="1" si="43"/>
        <v>5</v>
      </c>
      <c r="J117" s="5">
        <f t="shared" ca="1" si="44"/>
        <v>0</v>
      </c>
      <c r="K117" s="5">
        <f t="shared" ca="1" si="45"/>
        <v>0</v>
      </c>
      <c r="L117" s="5">
        <f t="shared" ca="1" si="46"/>
        <v>0</v>
      </c>
      <c r="M117" s="5">
        <f t="shared" ca="1" si="47"/>
        <v>0</v>
      </c>
      <c r="N117" s="5">
        <f t="shared" ca="1" si="48"/>
        <v>0</v>
      </c>
      <c r="O117" s="5">
        <f t="shared" ca="1" si="49"/>
        <v>0</v>
      </c>
      <c r="P117" s="5">
        <f t="shared" ca="1" si="50"/>
        <v>0</v>
      </c>
      <c r="Q117" s="5" t="e">
        <f t="shared" ca="1" si="51"/>
        <v>#N/A</v>
      </c>
      <c r="R117" s="5">
        <f t="shared" ca="1" si="56"/>
        <v>0</v>
      </c>
      <c r="S117" s="67" t="e">
        <f t="shared" ca="1" si="57"/>
        <v>#N/A</v>
      </c>
      <c r="T117" s="67">
        <f t="shared" ca="1" si="58"/>
        <v>0</v>
      </c>
      <c r="U117" s="67" t="e">
        <f t="shared" ca="1" si="59"/>
        <v>#N/A</v>
      </c>
      <c r="V117" s="5">
        <f t="shared" ca="1" si="38"/>
        <v>0</v>
      </c>
      <c r="W117" s="5" t="e">
        <f t="shared" ca="1" si="52"/>
        <v>#N/A</v>
      </c>
      <c r="X117" s="67">
        <f t="shared" ca="1" si="53"/>
        <v>0</v>
      </c>
      <c r="Y117" s="67" t="e">
        <f t="shared" ca="1" si="60"/>
        <v>#N/A</v>
      </c>
      <c r="Z117" s="67" t="e">
        <f t="shared" ca="1" si="61"/>
        <v>#N/A</v>
      </c>
      <c r="AA117" s="5" t="str">
        <f>IF(Setup!$I$15="Yes",'Demand background (hide)'!AJ105+'SPC background (hide)'!C117,"")</f>
        <v/>
      </c>
      <c r="AC117" s="5" t="str">
        <f t="shared" ca="1" si="54"/>
        <v/>
      </c>
      <c r="AD117" s="5" t="str">
        <f t="shared" ca="1" si="55"/>
        <v/>
      </c>
    </row>
    <row r="118" spans="1:30" x14ac:dyDescent="0.2">
      <c r="A118" s="67" t="str">
        <f ca="1">Demand!C115</f>
        <v/>
      </c>
      <c r="B118" s="67">
        <v>103</v>
      </c>
      <c r="C118" s="5">
        <f ca="1">'Demand background (hide)'!Y106</f>
        <v>0</v>
      </c>
      <c r="D118" s="67">
        <f t="shared" si="39"/>
        <v>1</v>
      </c>
      <c r="E118" s="67" t="e">
        <f t="shared" ca="1" si="40"/>
        <v>#N/A</v>
      </c>
      <c r="F118" s="67" t="e">
        <f t="shared" ca="1" si="41"/>
        <v>#N/A</v>
      </c>
      <c r="G118" s="67" t="e">
        <f t="shared" ca="1" si="42"/>
        <v>#N/A</v>
      </c>
      <c r="H118" s="67" t="e">
        <f>IF('Demand background (hide)'!AN106&lt;&gt;"",'SPC background (hide)'!C118,NA())</f>
        <v>#N/A</v>
      </c>
      <c r="I118" s="67">
        <f t="shared" ca="1" si="43"/>
        <v>5</v>
      </c>
      <c r="J118" s="5">
        <f t="shared" ca="1" si="44"/>
        <v>0</v>
      </c>
      <c r="K118" s="5">
        <f t="shared" ca="1" si="45"/>
        <v>0</v>
      </c>
      <c r="L118" s="5">
        <f t="shared" ca="1" si="46"/>
        <v>0</v>
      </c>
      <c r="M118" s="5">
        <f t="shared" ca="1" si="47"/>
        <v>0</v>
      </c>
      <c r="N118" s="5">
        <f t="shared" ca="1" si="48"/>
        <v>0</v>
      </c>
      <c r="O118" s="5">
        <f t="shared" ca="1" si="49"/>
        <v>0</v>
      </c>
      <c r="P118" s="5">
        <f t="shared" ca="1" si="50"/>
        <v>0</v>
      </c>
      <c r="Q118" s="5" t="e">
        <f t="shared" ca="1" si="51"/>
        <v>#N/A</v>
      </c>
      <c r="R118" s="5">
        <f t="shared" ca="1" si="56"/>
        <v>0</v>
      </c>
      <c r="S118" s="67" t="e">
        <f t="shared" ca="1" si="57"/>
        <v>#N/A</v>
      </c>
      <c r="T118" s="67">
        <f t="shared" ca="1" si="58"/>
        <v>0</v>
      </c>
      <c r="U118" s="67" t="e">
        <f t="shared" ca="1" si="59"/>
        <v>#N/A</v>
      </c>
      <c r="V118" s="5">
        <f t="shared" ca="1" si="38"/>
        <v>0</v>
      </c>
      <c r="W118" s="5" t="e">
        <f t="shared" ca="1" si="52"/>
        <v>#N/A</v>
      </c>
      <c r="X118" s="67">
        <f t="shared" ca="1" si="53"/>
        <v>0</v>
      </c>
      <c r="Y118" s="67" t="e">
        <f t="shared" ca="1" si="60"/>
        <v>#N/A</v>
      </c>
      <c r="Z118" s="67" t="e">
        <f t="shared" ca="1" si="61"/>
        <v>#N/A</v>
      </c>
      <c r="AA118" s="5" t="str">
        <f>IF(Setup!$I$15="Yes",'Demand background (hide)'!AJ106+'SPC background (hide)'!C118,"")</f>
        <v/>
      </c>
      <c r="AC118" s="5" t="str">
        <f t="shared" ca="1" si="54"/>
        <v/>
      </c>
      <c r="AD118" s="5" t="str">
        <f t="shared" ca="1" si="55"/>
        <v/>
      </c>
    </row>
    <row r="119" spans="1:30" x14ac:dyDescent="0.2">
      <c r="A119" s="67" t="str">
        <f ca="1">Demand!C116</f>
        <v/>
      </c>
      <c r="B119" s="67">
        <v>104</v>
      </c>
      <c r="C119" s="5">
        <f ca="1">'Demand background (hide)'!Y107</f>
        <v>0</v>
      </c>
      <c r="D119" s="67">
        <f t="shared" si="39"/>
        <v>1</v>
      </c>
      <c r="E119" s="67" t="e">
        <f t="shared" ca="1" si="40"/>
        <v>#N/A</v>
      </c>
      <c r="F119" s="67" t="e">
        <f t="shared" ca="1" si="41"/>
        <v>#N/A</v>
      </c>
      <c r="G119" s="67" t="e">
        <f t="shared" ca="1" si="42"/>
        <v>#N/A</v>
      </c>
      <c r="H119" s="67" t="e">
        <f>IF('Demand background (hide)'!AN107&lt;&gt;"",'SPC background (hide)'!C119,NA())</f>
        <v>#N/A</v>
      </c>
      <c r="I119" s="67">
        <f t="shared" ca="1" si="43"/>
        <v>5</v>
      </c>
      <c r="J119" s="5">
        <f t="shared" ca="1" si="44"/>
        <v>0</v>
      </c>
      <c r="K119" s="5">
        <f t="shared" ca="1" si="45"/>
        <v>0</v>
      </c>
      <c r="L119" s="5">
        <f t="shared" ca="1" si="46"/>
        <v>0</v>
      </c>
      <c r="M119" s="5">
        <f t="shared" ca="1" si="47"/>
        <v>0</v>
      </c>
      <c r="N119" s="5">
        <f t="shared" ca="1" si="48"/>
        <v>0</v>
      </c>
      <c r="O119" s="5">
        <f t="shared" ca="1" si="49"/>
        <v>0</v>
      </c>
      <c r="P119" s="5">
        <f t="shared" ca="1" si="50"/>
        <v>0</v>
      </c>
      <c r="Q119" s="5" t="e">
        <f t="shared" ca="1" si="51"/>
        <v>#N/A</v>
      </c>
      <c r="R119" s="5">
        <f t="shared" ca="1" si="56"/>
        <v>0</v>
      </c>
      <c r="S119" s="67" t="e">
        <f t="shared" ca="1" si="57"/>
        <v>#N/A</v>
      </c>
      <c r="T119" s="67">
        <f t="shared" ca="1" si="58"/>
        <v>0</v>
      </c>
      <c r="U119" s="67" t="e">
        <f t="shared" ca="1" si="59"/>
        <v>#N/A</v>
      </c>
      <c r="V119" s="5">
        <f t="shared" ca="1" si="38"/>
        <v>0</v>
      </c>
      <c r="W119" s="5" t="e">
        <f t="shared" ca="1" si="52"/>
        <v>#N/A</v>
      </c>
      <c r="X119" s="67">
        <f t="shared" ca="1" si="53"/>
        <v>0</v>
      </c>
      <c r="Y119" s="67" t="e">
        <f t="shared" ca="1" si="60"/>
        <v>#N/A</v>
      </c>
      <c r="Z119" s="67" t="e">
        <f t="shared" ca="1" si="61"/>
        <v>#N/A</v>
      </c>
      <c r="AA119" s="5" t="str">
        <f>IF(Setup!$I$15="Yes",'Demand background (hide)'!AJ107+'SPC background (hide)'!C119,"")</f>
        <v/>
      </c>
      <c r="AC119" s="5" t="str">
        <f t="shared" ca="1" si="54"/>
        <v/>
      </c>
      <c r="AD119" s="5" t="str">
        <f t="shared" ca="1" si="55"/>
        <v/>
      </c>
    </row>
    <row r="120" spans="1:30" x14ac:dyDescent="0.2">
      <c r="A120" s="67" t="str">
        <f ca="1">Demand!C117</f>
        <v/>
      </c>
      <c r="B120" s="67">
        <v>105</v>
      </c>
      <c r="C120" s="5">
        <f ca="1">'Demand background (hide)'!Y108</f>
        <v>0</v>
      </c>
      <c r="D120" s="67">
        <f t="shared" si="39"/>
        <v>1</v>
      </c>
      <c r="E120" s="67" t="e">
        <f t="shared" ca="1" si="40"/>
        <v>#N/A</v>
      </c>
      <c r="F120" s="67" t="e">
        <f t="shared" ca="1" si="41"/>
        <v>#N/A</v>
      </c>
      <c r="G120" s="67" t="e">
        <f t="shared" ca="1" si="42"/>
        <v>#N/A</v>
      </c>
      <c r="H120" s="67" t="e">
        <f>IF('Demand background (hide)'!AN108&lt;&gt;"",'SPC background (hide)'!C120,NA())</f>
        <v>#N/A</v>
      </c>
      <c r="I120" s="67">
        <f t="shared" ca="1" si="43"/>
        <v>5</v>
      </c>
      <c r="J120" s="5">
        <f t="shared" ca="1" si="44"/>
        <v>0</v>
      </c>
      <c r="K120" s="5">
        <f t="shared" ca="1" si="45"/>
        <v>0</v>
      </c>
      <c r="L120" s="5">
        <f t="shared" ca="1" si="46"/>
        <v>0</v>
      </c>
      <c r="M120" s="5">
        <f t="shared" ca="1" si="47"/>
        <v>0</v>
      </c>
      <c r="N120" s="5">
        <f t="shared" ca="1" si="48"/>
        <v>0</v>
      </c>
      <c r="O120" s="5">
        <f t="shared" ca="1" si="49"/>
        <v>0</v>
      </c>
      <c r="P120" s="5">
        <f t="shared" ca="1" si="50"/>
        <v>0</v>
      </c>
      <c r="Q120" s="5" t="e">
        <f t="shared" ca="1" si="51"/>
        <v>#N/A</v>
      </c>
      <c r="R120" s="5">
        <f t="shared" ca="1" si="56"/>
        <v>0</v>
      </c>
      <c r="S120" s="67" t="e">
        <f t="shared" ca="1" si="57"/>
        <v>#N/A</v>
      </c>
      <c r="T120" s="67">
        <f t="shared" ca="1" si="58"/>
        <v>0</v>
      </c>
      <c r="U120" s="67" t="e">
        <f t="shared" ca="1" si="59"/>
        <v>#N/A</v>
      </c>
      <c r="V120" s="5">
        <f t="shared" ca="1" si="38"/>
        <v>0</v>
      </c>
      <c r="W120" s="5" t="e">
        <f t="shared" ca="1" si="52"/>
        <v>#N/A</v>
      </c>
      <c r="X120" s="67">
        <f t="shared" ca="1" si="53"/>
        <v>0</v>
      </c>
      <c r="Y120" s="67" t="e">
        <f t="shared" ca="1" si="60"/>
        <v>#N/A</v>
      </c>
      <c r="Z120" s="67" t="e">
        <f t="shared" ca="1" si="61"/>
        <v>#N/A</v>
      </c>
      <c r="AA120" s="5" t="str">
        <f>IF(Setup!$I$15="Yes",'Demand background (hide)'!AJ108+'SPC background (hide)'!C120,"")</f>
        <v/>
      </c>
      <c r="AC120" s="5" t="str">
        <f t="shared" ca="1" si="54"/>
        <v/>
      </c>
      <c r="AD120" s="5" t="str">
        <f t="shared" ca="1" si="55"/>
        <v/>
      </c>
    </row>
    <row r="121" spans="1:30" x14ac:dyDescent="0.2">
      <c r="A121" s="67" t="str">
        <f ca="1">Demand!C118</f>
        <v/>
      </c>
      <c r="B121" s="67">
        <v>106</v>
      </c>
      <c r="C121" s="5">
        <f ca="1">'Demand background (hide)'!Y109</f>
        <v>0</v>
      </c>
      <c r="D121" s="67">
        <f t="shared" si="39"/>
        <v>1</v>
      </c>
      <c r="E121" s="67" t="e">
        <f t="shared" ca="1" si="40"/>
        <v>#N/A</v>
      </c>
      <c r="F121" s="67" t="e">
        <f t="shared" ca="1" si="41"/>
        <v>#N/A</v>
      </c>
      <c r="G121" s="67" t="e">
        <f t="shared" ca="1" si="42"/>
        <v>#N/A</v>
      </c>
      <c r="H121" s="67" t="e">
        <f>IF('Demand background (hide)'!AN109&lt;&gt;"",'SPC background (hide)'!C121,NA())</f>
        <v>#N/A</v>
      </c>
      <c r="I121" s="67">
        <f t="shared" ca="1" si="43"/>
        <v>5</v>
      </c>
      <c r="J121" s="5">
        <f t="shared" ca="1" si="44"/>
        <v>0</v>
      </c>
      <c r="K121" s="5">
        <f t="shared" ca="1" si="45"/>
        <v>0</v>
      </c>
      <c r="L121" s="5">
        <f t="shared" ca="1" si="46"/>
        <v>0</v>
      </c>
      <c r="M121" s="5">
        <f t="shared" ca="1" si="47"/>
        <v>0</v>
      </c>
      <c r="N121" s="5">
        <f t="shared" ca="1" si="48"/>
        <v>0</v>
      </c>
      <c r="O121" s="5">
        <f t="shared" ca="1" si="49"/>
        <v>0</v>
      </c>
      <c r="P121" s="5">
        <f t="shared" ca="1" si="50"/>
        <v>0</v>
      </c>
      <c r="Q121" s="5" t="e">
        <f t="shared" ca="1" si="51"/>
        <v>#N/A</v>
      </c>
      <c r="R121" s="5">
        <f t="shared" ca="1" si="56"/>
        <v>0</v>
      </c>
      <c r="S121" s="67" t="e">
        <f t="shared" ca="1" si="57"/>
        <v>#N/A</v>
      </c>
      <c r="T121" s="67">
        <f t="shared" ca="1" si="58"/>
        <v>0</v>
      </c>
      <c r="U121" s="67" t="e">
        <f t="shared" ca="1" si="59"/>
        <v>#N/A</v>
      </c>
      <c r="V121" s="5">
        <f t="shared" ca="1" si="38"/>
        <v>0</v>
      </c>
      <c r="W121" s="5" t="e">
        <f t="shared" ca="1" si="52"/>
        <v>#N/A</v>
      </c>
      <c r="X121" s="67">
        <f t="shared" ca="1" si="53"/>
        <v>0</v>
      </c>
      <c r="Y121" s="67" t="e">
        <f t="shared" ca="1" si="60"/>
        <v>#N/A</v>
      </c>
      <c r="Z121" s="67" t="e">
        <f t="shared" ca="1" si="61"/>
        <v>#N/A</v>
      </c>
      <c r="AA121" s="5" t="str">
        <f>IF(Setup!$I$15="Yes",'Demand background (hide)'!AJ109+'SPC background (hide)'!C121,"")</f>
        <v/>
      </c>
      <c r="AC121" s="5" t="str">
        <f t="shared" ca="1" si="54"/>
        <v/>
      </c>
      <c r="AD121" s="5" t="str">
        <f t="shared" ca="1" si="55"/>
        <v/>
      </c>
    </row>
    <row r="122" spans="1:30" x14ac:dyDescent="0.2">
      <c r="A122" s="67" t="str">
        <f ca="1">Demand!C119</f>
        <v/>
      </c>
      <c r="B122" s="67">
        <v>107</v>
      </c>
      <c r="C122" s="5">
        <f ca="1">'Demand background (hide)'!Y110</f>
        <v>0</v>
      </c>
      <c r="D122" s="67">
        <f t="shared" si="39"/>
        <v>1</v>
      </c>
      <c r="E122" s="67" t="e">
        <f t="shared" ca="1" si="40"/>
        <v>#N/A</v>
      </c>
      <c r="F122" s="67" t="e">
        <f t="shared" ca="1" si="41"/>
        <v>#N/A</v>
      </c>
      <c r="G122" s="67" t="e">
        <f t="shared" ca="1" si="42"/>
        <v>#N/A</v>
      </c>
      <c r="H122" s="67" t="e">
        <f>IF('Demand background (hide)'!AN110&lt;&gt;"",'SPC background (hide)'!C122,NA())</f>
        <v>#N/A</v>
      </c>
      <c r="I122" s="67">
        <f t="shared" ca="1" si="43"/>
        <v>5</v>
      </c>
      <c r="J122" s="5">
        <f t="shared" ca="1" si="44"/>
        <v>0</v>
      </c>
      <c r="K122" s="5">
        <f t="shared" ca="1" si="45"/>
        <v>0</v>
      </c>
      <c r="L122" s="5">
        <f t="shared" ca="1" si="46"/>
        <v>0</v>
      </c>
      <c r="M122" s="5">
        <f t="shared" ca="1" si="47"/>
        <v>0</v>
      </c>
      <c r="N122" s="5">
        <f t="shared" ca="1" si="48"/>
        <v>0</v>
      </c>
      <c r="O122" s="5">
        <f t="shared" ca="1" si="49"/>
        <v>0</v>
      </c>
      <c r="P122" s="5">
        <f t="shared" ca="1" si="50"/>
        <v>0</v>
      </c>
      <c r="Q122" s="5" t="e">
        <f t="shared" ca="1" si="51"/>
        <v>#N/A</v>
      </c>
      <c r="R122" s="5">
        <f t="shared" ca="1" si="56"/>
        <v>0</v>
      </c>
      <c r="S122" s="67" t="e">
        <f t="shared" ca="1" si="57"/>
        <v>#N/A</v>
      </c>
      <c r="T122" s="67">
        <f t="shared" ca="1" si="58"/>
        <v>0</v>
      </c>
      <c r="U122" s="67" t="e">
        <f t="shared" ca="1" si="59"/>
        <v>#N/A</v>
      </c>
      <c r="V122" s="5">
        <f t="shared" ca="1" si="38"/>
        <v>0</v>
      </c>
      <c r="W122" s="5" t="e">
        <f t="shared" ca="1" si="52"/>
        <v>#N/A</v>
      </c>
      <c r="X122" s="67">
        <f t="shared" ca="1" si="53"/>
        <v>0</v>
      </c>
      <c r="Y122" s="67" t="e">
        <f t="shared" ca="1" si="60"/>
        <v>#N/A</v>
      </c>
      <c r="Z122" s="67" t="e">
        <f t="shared" ca="1" si="61"/>
        <v>#N/A</v>
      </c>
      <c r="AA122" s="5" t="str">
        <f>IF(Setup!$I$15="Yes",'Demand background (hide)'!AJ110+'SPC background (hide)'!C122,"")</f>
        <v/>
      </c>
      <c r="AC122" s="5" t="str">
        <f t="shared" ca="1" si="54"/>
        <v/>
      </c>
      <c r="AD122" s="5" t="str">
        <f t="shared" ca="1" si="55"/>
        <v/>
      </c>
    </row>
    <row r="123" spans="1:30" x14ac:dyDescent="0.2">
      <c r="A123" s="67" t="str">
        <f ca="1">Demand!C120</f>
        <v/>
      </c>
      <c r="B123" s="67">
        <v>108</v>
      </c>
      <c r="C123" s="5">
        <f ca="1">'Demand background (hide)'!Y111</f>
        <v>0</v>
      </c>
      <c r="D123" s="67">
        <f t="shared" si="39"/>
        <v>1</v>
      </c>
      <c r="E123" s="67" t="e">
        <f t="shared" ca="1" si="40"/>
        <v>#N/A</v>
      </c>
      <c r="F123" s="67" t="e">
        <f t="shared" ca="1" si="41"/>
        <v>#N/A</v>
      </c>
      <c r="G123" s="67" t="e">
        <f t="shared" ca="1" si="42"/>
        <v>#N/A</v>
      </c>
      <c r="H123" s="67" t="e">
        <f>IF('Demand background (hide)'!AN111&lt;&gt;"",'SPC background (hide)'!C123,NA())</f>
        <v>#N/A</v>
      </c>
      <c r="I123" s="67">
        <f t="shared" ca="1" si="43"/>
        <v>5</v>
      </c>
      <c r="J123" s="5">
        <f t="shared" ca="1" si="44"/>
        <v>0</v>
      </c>
      <c r="K123" s="5">
        <f t="shared" ca="1" si="45"/>
        <v>0</v>
      </c>
      <c r="L123" s="5">
        <f t="shared" ca="1" si="46"/>
        <v>0</v>
      </c>
      <c r="M123" s="5">
        <f t="shared" ca="1" si="47"/>
        <v>0</v>
      </c>
      <c r="N123" s="5">
        <f t="shared" ca="1" si="48"/>
        <v>0</v>
      </c>
      <c r="O123" s="5">
        <f t="shared" ca="1" si="49"/>
        <v>0</v>
      </c>
      <c r="P123" s="5">
        <f t="shared" ca="1" si="50"/>
        <v>0</v>
      </c>
      <c r="Q123" s="5" t="e">
        <f t="shared" ca="1" si="51"/>
        <v>#N/A</v>
      </c>
      <c r="R123" s="5">
        <f t="shared" ca="1" si="56"/>
        <v>0</v>
      </c>
      <c r="S123" s="67" t="e">
        <f t="shared" ca="1" si="57"/>
        <v>#N/A</v>
      </c>
      <c r="T123" s="67">
        <f t="shared" ca="1" si="58"/>
        <v>0</v>
      </c>
      <c r="U123" s="67" t="e">
        <f t="shared" ca="1" si="59"/>
        <v>#N/A</v>
      </c>
      <c r="V123" s="5">
        <f t="shared" ca="1" si="38"/>
        <v>0</v>
      </c>
      <c r="W123" s="5" t="e">
        <f t="shared" ca="1" si="52"/>
        <v>#N/A</v>
      </c>
      <c r="X123" s="67">
        <f t="shared" ca="1" si="53"/>
        <v>0</v>
      </c>
      <c r="Y123" s="67" t="e">
        <f t="shared" ca="1" si="60"/>
        <v>#N/A</v>
      </c>
      <c r="Z123" s="67" t="e">
        <f t="shared" ca="1" si="61"/>
        <v>#N/A</v>
      </c>
      <c r="AA123" s="5" t="str">
        <f>IF(Setup!$I$15="Yes",'Demand background (hide)'!AJ111+'SPC background (hide)'!C123,"")</f>
        <v/>
      </c>
      <c r="AC123" s="5" t="str">
        <f t="shared" ca="1" si="54"/>
        <v/>
      </c>
      <c r="AD123" s="5" t="str">
        <f t="shared" ca="1" si="55"/>
        <v/>
      </c>
    </row>
    <row r="124" spans="1:30" x14ac:dyDescent="0.2">
      <c r="A124" s="67" t="str">
        <f ca="1">Demand!C121</f>
        <v/>
      </c>
      <c r="B124" s="67">
        <v>109</v>
      </c>
      <c r="C124" s="5">
        <f ca="1">'Demand background (hide)'!Y112</f>
        <v>0</v>
      </c>
      <c r="D124" s="67">
        <f t="shared" si="39"/>
        <v>1</v>
      </c>
      <c r="E124" s="67" t="e">
        <f t="shared" ca="1" si="40"/>
        <v>#N/A</v>
      </c>
      <c r="F124" s="67" t="e">
        <f t="shared" ca="1" si="41"/>
        <v>#N/A</v>
      </c>
      <c r="G124" s="67" t="e">
        <f t="shared" ca="1" si="42"/>
        <v>#N/A</v>
      </c>
      <c r="H124" s="67" t="e">
        <f>IF('Demand background (hide)'!AN112&lt;&gt;"",'SPC background (hide)'!C124,NA())</f>
        <v>#N/A</v>
      </c>
      <c r="I124" s="67">
        <f t="shared" ca="1" si="43"/>
        <v>5</v>
      </c>
      <c r="J124" s="5">
        <f t="shared" ca="1" si="44"/>
        <v>0</v>
      </c>
      <c r="K124" s="5">
        <f t="shared" ca="1" si="45"/>
        <v>0</v>
      </c>
      <c r="L124" s="5">
        <f t="shared" ca="1" si="46"/>
        <v>0</v>
      </c>
      <c r="M124" s="5">
        <f t="shared" ca="1" si="47"/>
        <v>0</v>
      </c>
      <c r="N124" s="5">
        <f t="shared" ca="1" si="48"/>
        <v>0</v>
      </c>
      <c r="O124" s="5">
        <f t="shared" ca="1" si="49"/>
        <v>0</v>
      </c>
      <c r="P124" s="5">
        <f t="shared" ca="1" si="50"/>
        <v>0</v>
      </c>
      <c r="Q124" s="5" t="e">
        <f t="shared" ca="1" si="51"/>
        <v>#N/A</v>
      </c>
      <c r="R124" s="5">
        <f t="shared" ca="1" si="56"/>
        <v>0</v>
      </c>
      <c r="S124" s="67" t="e">
        <f t="shared" ca="1" si="57"/>
        <v>#N/A</v>
      </c>
      <c r="T124" s="67">
        <f t="shared" ca="1" si="58"/>
        <v>0</v>
      </c>
      <c r="U124" s="67" t="e">
        <f t="shared" ca="1" si="59"/>
        <v>#N/A</v>
      </c>
      <c r="V124" s="5">
        <f t="shared" ca="1" si="38"/>
        <v>0</v>
      </c>
      <c r="W124" s="5" t="e">
        <f t="shared" ca="1" si="52"/>
        <v>#N/A</v>
      </c>
      <c r="X124" s="67">
        <f t="shared" ca="1" si="53"/>
        <v>0</v>
      </c>
      <c r="Y124" s="67" t="e">
        <f t="shared" ca="1" si="60"/>
        <v>#N/A</v>
      </c>
      <c r="Z124" s="67" t="e">
        <f t="shared" ca="1" si="61"/>
        <v>#N/A</v>
      </c>
      <c r="AA124" s="5" t="str">
        <f>IF(Setup!$I$15="Yes",'Demand background (hide)'!AJ112+'SPC background (hide)'!C124,"")</f>
        <v/>
      </c>
      <c r="AC124" s="5" t="str">
        <f t="shared" ca="1" si="54"/>
        <v/>
      </c>
      <c r="AD124" s="5" t="str">
        <f t="shared" ca="1" si="55"/>
        <v/>
      </c>
    </row>
    <row r="125" spans="1:30" x14ac:dyDescent="0.2">
      <c r="A125" s="67" t="str">
        <f ca="1">Demand!C122</f>
        <v/>
      </c>
      <c r="B125" s="67">
        <v>110</v>
      </c>
      <c r="C125" s="5">
        <f ca="1">'Demand background (hide)'!Y113</f>
        <v>0</v>
      </c>
      <c r="D125" s="67">
        <f t="shared" si="39"/>
        <v>1</v>
      </c>
      <c r="E125" s="67" t="e">
        <f t="shared" ca="1" si="40"/>
        <v>#N/A</v>
      </c>
      <c r="F125" s="67" t="e">
        <f t="shared" ca="1" si="41"/>
        <v>#N/A</v>
      </c>
      <c r="G125" s="67" t="e">
        <f t="shared" ca="1" si="42"/>
        <v>#N/A</v>
      </c>
      <c r="H125" s="67" t="e">
        <f>IF('Demand background (hide)'!AN113&lt;&gt;"",'SPC background (hide)'!C125,NA())</f>
        <v>#N/A</v>
      </c>
      <c r="I125" s="67">
        <f t="shared" ca="1" si="43"/>
        <v>5</v>
      </c>
      <c r="J125" s="5">
        <f t="shared" ca="1" si="44"/>
        <v>0</v>
      </c>
      <c r="K125" s="5">
        <f t="shared" ca="1" si="45"/>
        <v>0</v>
      </c>
      <c r="L125" s="5">
        <f t="shared" ca="1" si="46"/>
        <v>0</v>
      </c>
      <c r="M125" s="5">
        <f t="shared" ca="1" si="47"/>
        <v>0</v>
      </c>
      <c r="N125" s="5">
        <f t="shared" ca="1" si="48"/>
        <v>0</v>
      </c>
      <c r="O125" s="5">
        <f t="shared" ca="1" si="49"/>
        <v>0</v>
      </c>
      <c r="P125" s="5">
        <f t="shared" ca="1" si="50"/>
        <v>0</v>
      </c>
      <c r="Q125" s="5" t="e">
        <f t="shared" ca="1" si="51"/>
        <v>#N/A</v>
      </c>
      <c r="R125" s="5">
        <f t="shared" ca="1" si="56"/>
        <v>0</v>
      </c>
      <c r="S125" s="67" t="e">
        <f t="shared" ca="1" si="57"/>
        <v>#N/A</v>
      </c>
      <c r="T125" s="67">
        <f t="shared" ca="1" si="58"/>
        <v>0</v>
      </c>
      <c r="U125" s="67" t="e">
        <f t="shared" ca="1" si="59"/>
        <v>#N/A</v>
      </c>
      <c r="V125" s="5">
        <f t="shared" ca="1" si="38"/>
        <v>0</v>
      </c>
      <c r="W125" s="5" t="e">
        <f t="shared" ca="1" si="52"/>
        <v>#N/A</v>
      </c>
      <c r="X125" s="67">
        <f t="shared" ca="1" si="53"/>
        <v>0</v>
      </c>
      <c r="Y125" s="67" t="e">
        <f t="shared" ca="1" si="60"/>
        <v>#N/A</v>
      </c>
      <c r="Z125" s="67" t="e">
        <f t="shared" ca="1" si="61"/>
        <v>#N/A</v>
      </c>
      <c r="AA125" s="5" t="str">
        <f>IF(Setup!$I$15="Yes",'Demand background (hide)'!AJ113+'SPC background (hide)'!C125,"")</f>
        <v/>
      </c>
      <c r="AC125" s="5" t="str">
        <f t="shared" ca="1" si="54"/>
        <v/>
      </c>
      <c r="AD125" s="5" t="str">
        <f t="shared" ca="1" si="55"/>
        <v/>
      </c>
    </row>
    <row r="126" spans="1:30" x14ac:dyDescent="0.2">
      <c r="A126" s="67" t="str">
        <f ca="1">Demand!C123</f>
        <v/>
      </c>
      <c r="B126" s="67">
        <v>111</v>
      </c>
      <c r="C126" s="5">
        <f ca="1">'Demand background (hide)'!Y114</f>
        <v>0</v>
      </c>
      <c r="D126" s="67">
        <f t="shared" si="39"/>
        <v>1</v>
      </c>
      <c r="E126" s="67" t="e">
        <f t="shared" ca="1" si="40"/>
        <v>#N/A</v>
      </c>
      <c r="F126" s="67" t="e">
        <f t="shared" ca="1" si="41"/>
        <v>#N/A</v>
      </c>
      <c r="G126" s="67" t="e">
        <f t="shared" ca="1" si="42"/>
        <v>#N/A</v>
      </c>
      <c r="H126" s="67" t="e">
        <f>IF('Demand background (hide)'!AN114&lt;&gt;"",'SPC background (hide)'!C126,NA())</f>
        <v>#N/A</v>
      </c>
      <c r="I126" s="67">
        <f t="shared" ca="1" si="43"/>
        <v>5</v>
      </c>
      <c r="J126" s="5">
        <f t="shared" ca="1" si="44"/>
        <v>0</v>
      </c>
      <c r="K126" s="5">
        <f t="shared" ca="1" si="45"/>
        <v>0</v>
      </c>
      <c r="L126" s="5">
        <f t="shared" ca="1" si="46"/>
        <v>0</v>
      </c>
      <c r="M126" s="5">
        <f t="shared" ca="1" si="47"/>
        <v>0</v>
      </c>
      <c r="N126" s="5">
        <f t="shared" ca="1" si="48"/>
        <v>0</v>
      </c>
      <c r="O126" s="5">
        <f t="shared" ca="1" si="49"/>
        <v>0</v>
      </c>
      <c r="P126" s="5">
        <f t="shared" ca="1" si="50"/>
        <v>0</v>
      </c>
      <c r="Q126" s="5" t="e">
        <f t="shared" ca="1" si="51"/>
        <v>#N/A</v>
      </c>
      <c r="R126" s="5">
        <f t="shared" ca="1" si="56"/>
        <v>0</v>
      </c>
      <c r="S126" s="67" t="e">
        <f t="shared" ca="1" si="57"/>
        <v>#N/A</v>
      </c>
      <c r="T126" s="67">
        <f t="shared" ca="1" si="58"/>
        <v>0</v>
      </c>
      <c r="U126" s="67" t="e">
        <f t="shared" ca="1" si="59"/>
        <v>#N/A</v>
      </c>
      <c r="V126" s="5">
        <f t="shared" ca="1" si="38"/>
        <v>0</v>
      </c>
      <c r="W126" s="5" t="e">
        <f t="shared" ca="1" si="52"/>
        <v>#N/A</v>
      </c>
      <c r="X126" s="67">
        <f t="shared" ca="1" si="53"/>
        <v>0</v>
      </c>
      <c r="Y126" s="67" t="e">
        <f t="shared" ca="1" si="60"/>
        <v>#N/A</v>
      </c>
      <c r="Z126" s="67" t="e">
        <f t="shared" ca="1" si="61"/>
        <v>#N/A</v>
      </c>
      <c r="AA126" s="5" t="str">
        <f>IF(Setup!$I$15="Yes",'Demand background (hide)'!AJ114+'SPC background (hide)'!C126,"")</f>
        <v/>
      </c>
      <c r="AC126" s="5" t="str">
        <f t="shared" ca="1" si="54"/>
        <v/>
      </c>
      <c r="AD126" s="5" t="str">
        <f t="shared" ca="1" si="55"/>
        <v/>
      </c>
    </row>
    <row r="127" spans="1:30" x14ac:dyDescent="0.2">
      <c r="A127" s="67" t="str">
        <f ca="1">Demand!C124</f>
        <v/>
      </c>
      <c r="B127" s="67">
        <v>112</v>
      </c>
      <c r="C127" s="5">
        <f ca="1">'Demand background (hide)'!Y115</f>
        <v>0</v>
      </c>
      <c r="D127" s="67">
        <f t="shared" si="39"/>
        <v>1</v>
      </c>
      <c r="E127" s="67" t="e">
        <f t="shared" ca="1" si="40"/>
        <v>#N/A</v>
      </c>
      <c r="F127" s="67" t="e">
        <f t="shared" ca="1" si="41"/>
        <v>#N/A</v>
      </c>
      <c r="G127" s="67" t="e">
        <f t="shared" ca="1" si="42"/>
        <v>#N/A</v>
      </c>
      <c r="H127" s="67" t="e">
        <f>IF('Demand background (hide)'!AN115&lt;&gt;"",'SPC background (hide)'!C127,NA())</f>
        <v>#N/A</v>
      </c>
      <c r="I127" s="67">
        <f t="shared" ca="1" si="43"/>
        <v>5</v>
      </c>
      <c r="J127" s="5">
        <f t="shared" ca="1" si="44"/>
        <v>0</v>
      </c>
      <c r="K127" s="5">
        <f t="shared" ca="1" si="45"/>
        <v>0</v>
      </c>
      <c r="L127" s="5">
        <f t="shared" ca="1" si="46"/>
        <v>0</v>
      </c>
      <c r="M127" s="5">
        <f t="shared" ca="1" si="47"/>
        <v>0</v>
      </c>
      <c r="N127" s="5">
        <f t="shared" ca="1" si="48"/>
        <v>0</v>
      </c>
      <c r="O127" s="5">
        <f t="shared" ca="1" si="49"/>
        <v>0</v>
      </c>
      <c r="P127" s="5">
        <f t="shared" ca="1" si="50"/>
        <v>0</v>
      </c>
      <c r="Q127" s="5" t="e">
        <f t="shared" ca="1" si="51"/>
        <v>#N/A</v>
      </c>
      <c r="R127" s="5">
        <f t="shared" ca="1" si="56"/>
        <v>0</v>
      </c>
      <c r="S127" s="67" t="e">
        <f t="shared" ca="1" si="57"/>
        <v>#N/A</v>
      </c>
      <c r="T127" s="67">
        <f t="shared" ca="1" si="58"/>
        <v>0</v>
      </c>
      <c r="U127" s="67" t="e">
        <f t="shared" ca="1" si="59"/>
        <v>#N/A</v>
      </c>
      <c r="V127" s="5">
        <f t="shared" ca="1" si="38"/>
        <v>0</v>
      </c>
      <c r="W127" s="5" t="e">
        <f t="shared" ca="1" si="52"/>
        <v>#N/A</v>
      </c>
      <c r="X127" s="67">
        <f t="shared" ca="1" si="53"/>
        <v>0</v>
      </c>
      <c r="Y127" s="67" t="e">
        <f t="shared" ca="1" si="60"/>
        <v>#N/A</v>
      </c>
      <c r="Z127" s="67" t="e">
        <f t="shared" ca="1" si="61"/>
        <v>#N/A</v>
      </c>
      <c r="AA127" s="5" t="str">
        <f>IF(Setup!$I$15="Yes",'Demand background (hide)'!AJ115+'SPC background (hide)'!C127,"")</f>
        <v/>
      </c>
      <c r="AC127" s="5" t="str">
        <f t="shared" ca="1" si="54"/>
        <v/>
      </c>
      <c r="AD127" s="5" t="str">
        <f t="shared" ca="1" si="55"/>
        <v/>
      </c>
    </row>
    <row r="128" spans="1:30" x14ac:dyDescent="0.2">
      <c r="A128" s="67" t="str">
        <f ca="1">Demand!C125</f>
        <v/>
      </c>
      <c r="B128" s="67">
        <v>113</v>
      </c>
      <c r="C128" s="5">
        <f ca="1">'Demand background (hide)'!Y116</f>
        <v>0</v>
      </c>
      <c r="D128" s="67">
        <f t="shared" si="39"/>
        <v>1</v>
      </c>
      <c r="E128" s="67" t="e">
        <f t="shared" ca="1" si="40"/>
        <v>#N/A</v>
      </c>
      <c r="F128" s="67" t="e">
        <f t="shared" ca="1" si="41"/>
        <v>#N/A</v>
      </c>
      <c r="G128" s="67" t="e">
        <f t="shared" ca="1" si="42"/>
        <v>#N/A</v>
      </c>
      <c r="H128" s="67" t="e">
        <f>IF('Demand background (hide)'!AN116&lt;&gt;"",'SPC background (hide)'!C128,NA())</f>
        <v>#N/A</v>
      </c>
      <c r="I128" s="67">
        <f t="shared" ca="1" si="43"/>
        <v>5</v>
      </c>
      <c r="J128" s="5">
        <f t="shared" ca="1" si="44"/>
        <v>0</v>
      </c>
      <c r="K128" s="5">
        <f t="shared" ca="1" si="45"/>
        <v>0</v>
      </c>
      <c r="L128" s="5">
        <f t="shared" ca="1" si="46"/>
        <v>0</v>
      </c>
      <c r="M128" s="5">
        <f t="shared" ca="1" si="47"/>
        <v>0</v>
      </c>
      <c r="N128" s="5">
        <f t="shared" ca="1" si="48"/>
        <v>0</v>
      </c>
      <c r="O128" s="5">
        <f t="shared" ca="1" si="49"/>
        <v>0</v>
      </c>
      <c r="P128" s="5">
        <f t="shared" ca="1" si="50"/>
        <v>0</v>
      </c>
      <c r="Q128" s="5" t="e">
        <f t="shared" ca="1" si="51"/>
        <v>#N/A</v>
      </c>
      <c r="R128" s="5">
        <f t="shared" ca="1" si="56"/>
        <v>0</v>
      </c>
      <c r="S128" s="67" t="e">
        <f t="shared" ca="1" si="57"/>
        <v>#N/A</v>
      </c>
      <c r="T128" s="67">
        <f t="shared" ca="1" si="58"/>
        <v>0</v>
      </c>
      <c r="U128" s="67" t="e">
        <f t="shared" ca="1" si="59"/>
        <v>#N/A</v>
      </c>
      <c r="V128" s="5">
        <f t="shared" ca="1" si="38"/>
        <v>0</v>
      </c>
      <c r="W128" s="5" t="e">
        <f t="shared" ca="1" si="52"/>
        <v>#N/A</v>
      </c>
      <c r="X128" s="67">
        <f t="shared" ca="1" si="53"/>
        <v>0</v>
      </c>
      <c r="Y128" s="67" t="e">
        <f t="shared" ca="1" si="60"/>
        <v>#N/A</v>
      </c>
      <c r="Z128" s="67" t="e">
        <f t="shared" ca="1" si="61"/>
        <v>#N/A</v>
      </c>
      <c r="AA128" s="5" t="str">
        <f>IF(Setup!$I$15="Yes",'Demand background (hide)'!AJ116+'SPC background (hide)'!C128,"")</f>
        <v/>
      </c>
      <c r="AC128" s="5" t="str">
        <f t="shared" ca="1" si="54"/>
        <v/>
      </c>
      <c r="AD128" s="5" t="str">
        <f t="shared" ca="1" si="55"/>
        <v/>
      </c>
    </row>
    <row r="129" spans="1:30" x14ac:dyDescent="0.2">
      <c r="A129" s="67" t="str">
        <f ca="1">Demand!C126</f>
        <v/>
      </c>
      <c r="B129" s="67">
        <v>114</v>
      </c>
      <c r="C129" s="5">
        <f ca="1">'Demand background (hide)'!Y117</f>
        <v>0</v>
      </c>
      <c r="D129" s="67">
        <f t="shared" si="39"/>
        <v>1</v>
      </c>
      <c r="E129" s="67" t="e">
        <f t="shared" ca="1" si="40"/>
        <v>#N/A</v>
      </c>
      <c r="F129" s="67" t="e">
        <f t="shared" ca="1" si="41"/>
        <v>#N/A</v>
      </c>
      <c r="G129" s="67" t="e">
        <f t="shared" ca="1" si="42"/>
        <v>#N/A</v>
      </c>
      <c r="H129" s="67" t="e">
        <f>IF('Demand background (hide)'!AN117&lt;&gt;"",'SPC background (hide)'!C129,NA())</f>
        <v>#N/A</v>
      </c>
      <c r="I129" s="67">
        <f t="shared" ca="1" si="43"/>
        <v>5</v>
      </c>
      <c r="J129" s="5">
        <f t="shared" ca="1" si="44"/>
        <v>0</v>
      </c>
      <c r="K129" s="5">
        <f t="shared" ca="1" si="45"/>
        <v>0</v>
      </c>
      <c r="L129" s="5">
        <f t="shared" ca="1" si="46"/>
        <v>0</v>
      </c>
      <c r="M129" s="5">
        <f t="shared" ca="1" si="47"/>
        <v>0</v>
      </c>
      <c r="N129" s="5">
        <f t="shared" ca="1" si="48"/>
        <v>0</v>
      </c>
      <c r="O129" s="5">
        <f t="shared" ca="1" si="49"/>
        <v>0</v>
      </c>
      <c r="P129" s="5">
        <f t="shared" ca="1" si="50"/>
        <v>0</v>
      </c>
      <c r="Q129" s="5" t="e">
        <f t="shared" ca="1" si="51"/>
        <v>#N/A</v>
      </c>
      <c r="R129" s="5">
        <f t="shared" ca="1" si="56"/>
        <v>0</v>
      </c>
      <c r="S129" s="67" t="e">
        <f t="shared" ca="1" si="57"/>
        <v>#N/A</v>
      </c>
      <c r="T129" s="67">
        <f t="shared" ca="1" si="58"/>
        <v>0</v>
      </c>
      <c r="U129" s="67" t="e">
        <f t="shared" ca="1" si="59"/>
        <v>#N/A</v>
      </c>
      <c r="V129" s="5">
        <f t="shared" ca="1" si="38"/>
        <v>0</v>
      </c>
      <c r="W129" s="5" t="e">
        <f t="shared" ca="1" si="52"/>
        <v>#N/A</v>
      </c>
      <c r="X129" s="67">
        <f t="shared" ca="1" si="53"/>
        <v>0</v>
      </c>
      <c r="Y129" s="67" t="e">
        <f t="shared" ca="1" si="60"/>
        <v>#N/A</v>
      </c>
      <c r="Z129" s="67" t="e">
        <f t="shared" ca="1" si="61"/>
        <v>#N/A</v>
      </c>
      <c r="AA129" s="5" t="str">
        <f>IF(Setup!$I$15="Yes",'Demand background (hide)'!AJ117+'SPC background (hide)'!C129,"")</f>
        <v/>
      </c>
      <c r="AC129" s="5" t="str">
        <f t="shared" ca="1" si="54"/>
        <v/>
      </c>
      <c r="AD129" s="5" t="str">
        <f t="shared" ca="1" si="55"/>
        <v/>
      </c>
    </row>
    <row r="130" spans="1:30" x14ac:dyDescent="0.2">
      <c r="A130" s="67" t="str">
        <f ca="1">Demand!C127</f>
        <v/>
      </c>
      <c r="B130" s="67">
        <v>115</v>
      </c>
      <c r="C130" s="5">
        <f ca="1">'Demand background (hide)'!Y118</f>
        <v>0</v>
      </c>
      <c r="D130" s="67">
        <f t="shared" si="39"/>
        <v>1</v>
      </c>
      <c r="E130" s="67" t="e">
        <f t="shared" ca="1" si="40"/>
        <v>#N/A</v>
      </c>
      <c r="F130" s="67" t="e">
        <f t="shared" ca="1" si="41"/>
        <v>#N/A</v>
      </c>
      <c r="G130" s="67" t="e">
        <f t="shared" ca="1" si="42"/>
        <v>#N/A</v>
      </c>
      <c r="H130" s="67" t="e">
        <f>IF('Demand background (hide)'!AN118&lt;&gt;"",'SPC background (hide)'!C130,NA())</f>
        <v>#N/A</v>
      </c>
      <c r="I130" s="67">
        <f t="shared" ca="1" si="43"/>
        <v>5</v>
      </c>
      <c r="J130" s="5">
        <f t="shared" ca="1" si="44"/>
        <v>0</v>
      </c>
      <c r="K130" s="5">
        <f t="shared" ca="1" si="45"/>
        <v>0</v>
      </c>
      <c r="L130" s="5">
        <f t="shared" ca="1" si="46"/>
        <v>0</v>
      </c>
      <c r="M130" s="5">
        <f t="shared" ca="1" si="47"/>
        <v>0</v>
      </c>
      <c r="N130" s="5">
        <f t="shared" ca="1" si="48"/>
        <v>0</v>
      </c>
      <c r="O130" s="5">
        <f t="shared" ca="1" si="49"/>
        <v>0</v>
      </c>
      <c r="P130" s="5">
        <f t="shared" ca="1" si="50"/>
        <v>0</v>
      </c>
      <c r="Q130" s="5" t="e">
        <f t="shared" ca="1" si="51"/>
        <v>#N/A</v>
      </c>
      <c r="R130" s="5">
        <f t="shared" ca="1" si="56"/>
        <v>0</v>
      </c>
      <c r="S130" s="67" t="e">
        <f t="shared" ca="1" si="57"/>
        <v>#N/A</v>
      </c>
      <c r="T130" s="67">
        <f t="shared" ca="1" si="58"/>
        <v>0</v>
      </c>
      <c r="U130" s="67" t="e">
        <f t="shared" ca="1" si="59"/>
        <v>#N/A</v>
      </c>
      <c r="V130" s="5">
        <f t="shared" ca="1" si="38"/>
        <v>0</v>
      </c>
      <c r="W130" s="5" t="e">
        <f t="shared" ca="1" si="52"/>
        <v>#N/A</v>
      </c>
      <c r="X130" s="67">
        <f t="shared" ca="1" si="53"/>
        <v>0</v>
      </c>
      <c r="Y130" s="67" t="e">
        <f t="shared" ca="1" si="60"/>
        <v>#N/A</v>
      </c>
      <c r="Z130" s="67" t="e">
        <f t="shared" ca="1" si="61"/>
        <v>#N/A</v>
      </c>
      <c r="AA130" s="5" t="str">
        <f>IF(Setup!$I$15="Yes",'Demand background (hide)'!AJ118+'SPC background (hide)'!C130,"")</f>
        <v/>
      </c>
      <c r="AC130" s="5" t="str">
        <f t="shared" ca="1" si="54"/>
        <v/>
      </c>
      <c r="AD130" s="5" t="str">
        <f t="shared" ca="1" si="55"/>
        <v/>
      </c>
    </row>
    <row r="131" spans="1:30" x14ac:dyDescent="0.2">
      <c r="A131" s="67" t="str">
        <f ca="1">Demand!C128</f>
        <v/>
      </c>
      <c r="B131" s="67">
        <v>116</v>
      </c>
      <c r="C131" s="5">
        <f ca="1">'Demand background (hide)'!Y119</f>
        <v>0</v>
      </c>
      <c r="D131" s="67">
        <f t="shared" si="39"/>
        <v>1</v>
      </c>
      <c r="E131" s="67" t="e">
        <f t="shared" ca="1" si="40"/>
        <v>#N/A</v>
      </c>
      <c r="F131" s="67" t="e">
        <f t="shared" ca="1" si="41"/>
        <v>#N/A</v>
      </c>
      <c r="G131" s="67" t="e">
        <f t="shared" ca="1" si="42"/>
        <v>#N/A</v>
      </c>
      <c r="H131" s="67" t="e">
        <f>IF('Demand background (hide)'!AN119&lt;&gt;"",'SPC background (hide)'!C131,NA())</f>
        <v>#N/A</v>
      </c>
      <c r="I131" s="67">
        <f t="shared" ca="1" si="43"/>
        <v>5</v>
      </c>
      <c r="J131" s="5">
        <f t="shared" ca="1" si="44"/>
        <v>0</v>
      </c>
      <c r="K131" s="5">
        <f t="shared" ca="1" si="45"/>
        <v>0</v>
      </c>
      <c r="L131" s="5">
        <f t="shared" ca="1" si="46"/>
        <v>0</v>
      </c>
      <c r="M131" s="5">
        <f t="shared" ca="1" si="47"/>
        <v>0</v>
      </c>
      <c r="N131" s="5">
        <f t="shared" ca="1" si="48"/>
        <v>0</v>
      </c>
      <c r="O131" s="5">
        <f t="shared" ca="1" si="49"/>
        <v>0</v>
      </c>
      <c r="P131" s="5">
        <f t="shared" ca="1" si="50"/>
        <v>0</v>
      </c>
      <c r="Q131" s="5" t="e">
        <f t="shared" ca="1" si="51"/>
        <v>#N/A</v>
      </c>
      <c r="R131" s="5">
        <f t="shared" ca="1" si="56"/>
        <v>0</v>
      </c>
      <c r="S131" s="67" t="e">
        <f t="shared" ca="1" si="57"/>
        <v>#N/A</v>
      </c>
      <c r="T131" s="67">
        <f t="shared" ca="1" si="58"/>
        <v>0</v>
      </c>
      <c r="U131" s="67" t="e">
        <f t="shared" ca="1" si="59"/>
        <v>#N/A</v>
      </c>
      <c r="V131" s="5">
        <f t="shared" ca="1" si="38"/>
        <v>0</v>
      </c>
      <c r="W131" s="5" t="e">
        <f t="shared" ca="1" si="52"/>
        <v>#N/A</v>
      </c>
      <c r="X131" s="67">
        <f t="shared" ca="1" si="53"/>
        <v>0</v>
      </c>
      <c r="Y131" s="67" t="e">
        <f t="shared" ca="1" si="60"/>
        <v>#N/A</v>
      </c>
      <c r="Z131" s="67" t="e">
        <f t="shared" ca="1" si="61"/>
        <v>#N/A</v>
      </c>
      <c r="AA131" s="5" t="str">
        <f>IF(Setup!$I$15="Yes",'Demand background (hide)'!AJ119+'SPC background (hide)'!C131,"")</f>
        <v/>
      </c>
      <c r="AC131" s="5" t="str">
        <f t="shared" ca="1" si="54"/>
        <v/>
      </c>
      <c r="AD131" s="5" t="str">
        <f t="shared" ca="1" si="55"/>
        <v/>
      </c>
    </row>
    <row r="132" spans="1:30" x14ac:dyDescent="0.2">
      <c r="A132" s="67" t="str">
        <f ca="1">Demand!C129</f>
        <v/>
      </c>
      <c r="B132" s="67">
        <v>117</v>
      </c>
      <c r="C132" s="5">
        <f ca="1">'Demand background (hide)'!Y120</f>
        <v>0</v>
      </c>
      <c r="D132" s="67">
        <f t="shared" si="39"/>
        <v>1</v>
      </c>
      <c r="E132" s="67" t="e">
        <f t="shared" ca="1" si="40"/>
        <v>#N/A</v>
      </c>
      <c r="F132" s="67" t="e">
        <f t="shared" ca="1" si="41"/>
        <v>#N/A</v>
      </c>
      <c r="G132" s="67" t="e">
        <f t="shared" ca="1" si="42"/>
        <v>#N/A</v>
      </c>
      <c r="H132" s="67" t="e">
        <f>IF('Demand background (hide)'!AN120&lt;&gt;"",'SPC background (hide)'!C132,NA())</f>
        <v>#N/A</v>
      </c>
      <c r="I132" s="67">
        <f t="shared" ca="1" si="43"/>
        <v>5</v>
      </c>
      <c r="J132" s="5">
        <f t="shared" ca="1" si="44"/>
        <v>0</v>
      </c>
      <c r="K132" s="5">
        <f t="shared" ca="1" si="45"/>
        <v>0</v>
      </c>
      <c r="L132" s="5">
        <f t="shared" ca="1" si="46"/>
        <v>0</v>
      </c>
      <c r="M132" s="5">
        <f t="shared" ca="1" si="47"/>
        <v>0</v>
      </c>
      <c r="N132" s="5">
        <f t="shared" ca="1" si="48"/>
        <v>0</v>
      </c>
      <c r="O132" s="5">
        <f t="shared" ca="1" si="49"/>
        <v>0</v>
      </c>
      <c r="P132" s="5">
        <f t="shared" ca="1" si="50"/>
        <v>0</v>
      </c>
      <c r="Q132" s="5" t="e">
        <f t="shared" ca="1" si="51"/>
        <v>#N/A</v>
      </c>
      <c r="R132" s="5">
        <f t="shared" ca="1" si="56"/>
        <v>0</v>
      </c>
      <c r="S132" s="67" t="e">
        <f t="shared" ca="1" si="57"/>
        <v>#N/A</v>
      </c>
      <c r="T132" s="67">
        <f t="shared" ca="1" si="58"/>
        <v>0</v>
      </c>
      <c r="U132" s="67" t="e">
        <f t="shared" ca="1" si="59"/>
        <v>#N/A</v>
      </c>
      <c r="V132" s="5">
        <f t="shared" ca="1" si="38"/>
        <v>0</v>
      </c>
      <c r="W132" s="5" t="e">
        <f t="shared" ca="1" si="52"/>
        <v>#N/A</v>
      </c>
      <c r="X132" s="67">
        <f t="shared" ca="1" si="53"/>
        <v>0</v>
      </c>
      <c r="Y132" s="67" t="e">
        <f t="shared" ca="1" si="60"/>
        <v>#N/A</v>
      </c>
      <c r="Z132" s="67" t="e">
        <f t="shared" ca="1" si="61"/>
        <v>#N/A</v>
      </c>
      <c r="AA132" s="5" t="str">
        <f>IF(Setup!$I$15="Yes",'Demand background (hide)'!AJ120+'SPC background (hide)'!C132,"")</f>
        <v/>
      </c>
      <c r="AC132" s="5" t="str">
        <f t="shared" ca="1" si="54"/>
        <v/>
      </c>
      <c r="AD132" s="5" t="str">
        <f t="shared" ca="1" si="55"/>
        <v/>
      </c>
    </row>
    <row r="133" spans="1:30" x14ac:dyDescent="0.2">
      <c r="A133" s="67" t="str">
        <f ca="1">Demand!C130</f>
        <v/>
      </c>
      <c r="B133" s="67">
        <v>118</v>
      </c>
      <c r="C133" s="5">
        <f ca="1">'Demand background (hide)'!Y121</f>
        <v>0</v>
      </c>
      <c r="D133" s="67">
        <f t="shared" si="39"/>
        <v>1</v>
      </c>
      <c r="E133" s="67" t="e">
        <f t="shared" ca="1" si="40"/>
        <v>#N/A</v>
      </c>
      <c r="F133" s="67" t="e">
        <f t="shared" ca="1" si="41"/>
        <v>#N/A</v>
      </c>
      <c r="G133" s="67" t="e">
        <f t="shared" ca="1" si="42"/>
        <v>#N/A</v>
      </c>
      <c r="H133" s="67" t="e">
        <f>IF('Demand background (hide)'!AN121&lt;&gt;"",'SPC background (hide)'!C133,NA())</f>
        <v>#N/A</v>
      </c>
      <c r="I133" s="67">
        <f t="shared" ca="1" si="43"/>
        <v>5</v>
      </c>
      <c r="J133" s="5">
        <f t="shared" ca="1" si="44"/>
        <v>0</v>
      </c>
      <c r="K133" s="5">
        <f t="shared" ca="1" si="45"/>
        <v>0</v>
      </c>
      <c r="L133" s="5">
        <f t="shared" ca="1" si="46"/>
        <v>0</v>
      </c>
      <c r="M133" s="5">
        <f t="shared" ca="1" si="47"/>
        <v>0</v>
      </c>
      <c r="N133" s="5">
        <f t="shared" ca="1" si="48"/>
        <v>0</v>
      </c>
      <c r="O133" s="5">
        <f t="shared" ca="1" si="49"/>
        <v>0</v>
      </c>
      <c r="P133" s="5">
        <f t="shared" ca="1" si="50"/>
        <v>0</v>
      </c>
      <c r="Q133" s="5" t="e">
        <f t="shared" ca="1" si="51"/>
        <v>#N/A</v>
      </c>
      <c r="R133" s="5">
        <f t="shared" ca="1" si="56"/>
        <v>0</v>
      </c>
      <c r="S133" s="67" t="e">
        <f t="shared" ca="1" si="57"/>
        <v>#N/A</v>
      </c>
      <c r="T133" s="67">
        <f t="shared" ca="1" si="58"/>
        <v>0</v>
      </c>
      <c r="U133" s="67" t="e">
        <f t="shared" ca="1" si="59"/>
        <v>#N/A</v>
      </c>
      <c r="V133" s="5">
        <f t="shared" ca="1" si="38"/>
        <v>0</v>
      </c>
      <c r="W133" s="5" t="e">
        <f t="shared" ca="1" si="52"/>
        <v>#N/A</v>
      </c>
      <c r="X133" s="67">
        <f t="shared" ca="1" si="53"/>
        <v>0</v>
      </c>
      <c r="Y133" s="67" t="e">
        <f t="shared" ca="1" si="60"/>
        <v>#N/A</v>
      </c>
      <c r="Z133" s="67" t="e">
        <f t="shared" ca="1" si="61"/>
        <v>#N/A</v>
      </c>
      <c r="AA133" s="5" t="str">
        <f>IF(Setup!$I$15="Yes",'Demand background (hide)'!AJ121+'SPC background (hide)'!C133,"")</f>
        <v/>
      </c>
      <c r="AC133" s="5" t="str">
        <f t="shared" ca="1" si="54"/>
        <v/>
      </c>
      <c r="AD133" s="5" t="str">
        <f t="shared" ca="1" si="55"/>
        <v/>
      </c>
    </row>
    <row r="134" spans="1:30" x14ac:dyDescent="0.2">
      <c r="A134" s="67" t="str">
        <f ca="1">Demand!C131</f>
        <v/>
      </c>
      <c r="B134" s="67">
        <v>119</v>
      </c>
      <c r="C134" s="5">
        <f ca="1">'Demand background (hide)'!Y122</f>
        <v>0</v>
      </c>
      <c r="D134" s="67">
        <f t="shared" si="39"/>
        <v>1</v>
      </c>
      <c r="E134" s="67" t="e">
        <f t="shared" ca="1" si="40"/>
        <v>#N/A</v>
      </c>
      <c r="F134" s="67" t="e">
        <f t="shared" ca="1" si="41"/>
        <v>#N/A</v>
      </c>
      <c r="G134" s="67" t="e">
        <f t="shared" ca="1" si="42"/>
        <v>#N/A</v>
      </c>
      <c r="H134" s="67" t="e">
        <f>IF('Demand background (hide)'!AN122&lt;&gt;"",'SPC background (hide)'!C134,NA())</f>
        <v>#N/A</v>
      </c>
      <c r="I134" s="67">
        <f t="shared" ca="1" si="43"/>
        <v>5</v>
      </c>
      <c r="J134" s="5">
        <f t="shared" ca="1" si="44"/>
        <v>0</v>
      </c>
      <c r="K134" s="5">
        <f t="shared" ca="1" si="45"/>
        <v>0</v>
      </c>
      <c r="L134" s="5">
        <f t="shared" ca="1" si="46"/>
        <v>0</v>
      </c>
      <c r="M134" s="5">
        <f t="shared" ca="1" si="47"/>
        <v>0</v>
      </c>
      <c r="N134" s="5">
        <f t="shared" ca="1" si="48"/>
        <v>0</v>
      </c>
      <c r="O134" s="5">
        <f t="shared" ca="1" si="49"/>
        <v>0</v>
      </c>
      <c r="P134" s="5">
        <f t="shared" ca="1" si="50"/>
        <v>0</v>
      </c>
      <c r="Q134" s="5" t="e">
        <f t="shared" ca="1" si="51"/>
        <v>#N/A</v>
      </c>
      <c r="R134" s="5">
        <f t="shared" ca="1" si="56"/>
        <v>0</v>
      </c>
      <c r="S134" s="67" t="e">
        <f t="shared" ca="1" si="57"/>
        <v>#N/A</v>
      </c>
      <c r="T134" s="67">
        <f t="shared" ca="1" si="58"/>
        <v>0</v>
      </c>
      <c r="U134" s="67" t="e">
        <f t="shared" ca="1" si="59"/>
        <v>#N/A</v>
      </c>
      <c r="V134" s="5">
        <f t="shared" ca="1" si="38"/>
        <v>0</v>
      </c>
      <c r="W134" s="5" t="e">
        <f t="shared" ca="1" si="52"/>
        <v>#N/A</v>
      </c>
      <c r="X134" s="67">
        <f t="shared" ca="1" si="53"/>
        <v>0</v>
      </c>
      <c r="Y134" s="67" t="e">
        <f t="shared" ca="1" si="60"/>
        <v>#N/A</v>
      </c>
      <c r="Z134" s="67" t="e">
        <f t="shared" ca="1" si="61"/>
        <v>#N/A</v>
      </c>
      <c r="AA134" s="5" t="str">
        <f>IF(Setup!$I$15="Yes",'Demand background (hide)'!AJ122+'SPC background (hide)'!C134,"")</f>
        <v/>
      </c>
      <c r="AC134" s="5" t="str">
        <f t="shared" ca="1" si="54"/>
        <v/>
      </c>
      <c r="AD134" s="5" t="str">
        <f t="shared" ca="1" si="55"/>
        <v/>
      </c>
    </row>
    <row r="135" spans="1:30" x14ac:dyDescent="0.2">
      <c r="A135" s="67" t="str">
        <f ca="1">Demand!C132</f>
        <v/>
      </c>
      <c r="B135" s="67">
        <v>120</v>
      </c>
      <c r="C135" s="5">
        <f ca="1">'Demand background (hide)'!Y123</f>
        <v>0</v>
      </c>
      <c r="D135" s="67">
        <f t="shared" si="39"/>
        <v>1</v>
      </c>
      <c r="E135" s="67" t="e">
        <f t="shared" ca="1" si="40"/>
        <v>#N/A</v>
      </c>
      <c r="F135" s="67" t="e">
        <f t="shared" ca="1" si="41"/>
        <v>#N/A</v>
      </c>
      <c r="G135" s="67" t="e">
        <f t="shared" ca="1" si="42"/>
        <v>#N/A</v>
      </c>
      <c r="H135" s="67" t="e">
        <f>IF('Demand background (hide)'!AN123&lt;&gt;"",'SPC background (hide)'!C135,NA())</f>
        <v>#N/A</v>
      </c>
      <c r="I135" s="67">
        <f t="shared" ca="1" si="43"/>
        <v>5</v>
      </c>
      <c r="J135" s="5">
        <f t="shared" ca="1" si="44"/>
        <v>0</v>
      </c>
      <c r="K135" s="5">
        <f t="shared" ca="1" si="45"/>
        <v>0</v>
      </c>
      <c r="L135" s="5">
        <f t="shared" ca="1" si="46"/>
        <v>0</v>
      </c>
      <c r="M135" s="5">
        <f t="shared" ca="1" si="47"/>
        <v>0</v>
      </c>
      <c r="N135" s="5">
        <f t="shared" ca="1" si="48"/>
        <v>0</v>
      </c>
      <c r="O135" s="5">
        <f t="shared" ca="1" si="49"/>
        <v>0</v>
      </c>
      <c r="P135" s="5">
        <f t="shared" ca="1" si="50"/>
        <v>0</v>
      </c>
      <c r="Q135" s="5" t="e">
        <f t="shared" ca="1" si="51"/>
        <v>#N/A</v>
      </c>
      <c r="R135" s="5">
        <f t="shared" ca="1" si="56"/>
        <v>0</v>
      </c>
      <c r="S135" s="67" t="e">
        <f t="shared" ca="1" si="57"/>
        <v>#N/A</v>
      </c>
      <c r="T135" s="67">
        <f t="shared" ca="1" si="58"/>
        <v>0</v>
      </c>
      <c r="U135" s="67" t="e">
        <f t="shared" ca="1" si="59"/>
        <v>#N/A</v>
      </c>
      <c r="V135" s="5">
        <f t="shared" ca="1" si="38"/>
        <v>0</v>
      </c>
      <c r="W135" s="5" t="e">
        <f t="shared" ca="1" si="52"/>
        <v>#N/A</v>
      </c>
      <c r="X135" s="67">
        <f t="shared" ca="1" si="53"/>
        <v>0</v>
      </c>
      <c r="Y135" s="67" t="e">
        <f t="shared" ca="1" si="60"/>
        <v>#N/A</v>
      </c>
      <c r="Z135" s="67" t="e">
        <f t="shared" ca="1" si="61"/>
        <v>#N/A</v>
      </c>
      <c r="AA135" s="5" t="str">
        <f>IF(Setup!$I$15="Yes",'Demand background (hide)'!AJ123+'SPC background (hide)'!C135,"")</f>
        <v/>
      </c>
      <c r="AC135" s="5" t="str">
        <f t="shared" ca="1" si="54"/>
        <v/>
      </c>
      <c r="AD135" s="5" t="str">
        <f t="shared" ca="1" si="55"/>
        <v/>
      </c>
    </row>
    <row r="136" spans="1:30" x14ac:dyDescent="0.2">
      <c r="A136" s="67" t="str">
        <f ca="1">Demand!C133</f>
        <v/>
      </c>
      <c r="B136" s="67">
        <v>121</v>
      </c>
      <c r="C136" s="5">
        <f ca="1">'Demand background (hide)'!Y124</f>
        <v>0</v>
      </c>
      <c r="D136" s="67">
        <f t="shared" si="39"/>
        <v>1</v>
      </c>
      <c r="E136" s="67" t="e">
        <f t="shared" ca="1" si="40"/>
        <v>#N/A</v>
      </c>
      <c r="F136" s="67" t="e">
        <f t="shared" ca="1" si="41"/>
        <v>#N/A</v>
      </c>
      <c r="G136" s="67" t="e">
        <f t="shared" ca="1" si="42"/>
        <v>#N/A</v>
      </c>
      <c r="H136" s="67" t="e">
        <f>IF('Demand background (hide)'!AN124&lt;&gt;"",'SPC background (hide)'!C136,NA())</f>
        <v>#N/A</v>
      </c>
      <c r="I136" s="67">
        <f t="shared" ca="1" si="43"/>
        <v>5</v>
      </c>
      <c r="J136" s="5">
        <f t="shared" ca="1" si="44"/>
        <v>0</v>
      </c>
      <c r="K136" s="5">
        <f t="shared" ca="1" si="45"/>
        <v>0</v>
      </c>
      <c r="L136" s="5">
        <f t="shared" ca="1" si="46"/>
        <v>0</v>
      </c>
      <c r="M136" s="5">
        <f t="shared" ca="1" si="47"/>
        <v>0</v>
      </c>
      <c r="N136" s="5">
        <f t="shared" ca="1" si="48"/>
        <v>0</v>
      </c>
      <c r="O136" s="5">
        <f t="shared" ca="1" si="49"/>
        <v>0</v>
      </c>
      <c r="P136" s="5">
        <f t="shared" ca="1" si="50"/>
        <v>0</v>
      </c>
      <c r="Q136" s="5" t="e">
        <f t="shared" ca="1" si="51"/>
        <v>#N/A</v>
      </c>
      <c r="R136" s="5">
        <f t="shared" ca="1" si="56"/>
        <v>0</v>
      </c>
      <c r="S136" s="67" t="e">
        <f t="shared" ca="1" si="57"/>
        <v>#N/A</v>
      </c>
      <c r="T136" s="67">
        <f t="shared" ca="1" si="58"/>
        <v>0</v>
      </c>
      <c r="U136" s="67" t="e">
        <f t="shared" ca="1" si="59"/>
        <v>#N/A</v>
      </c>
      <c r="V136" s="5">
        <f t="shared" ca="1" si="38"/>
        <v>0</v>
      </c>
      <c r="W136" s="5" t="e">
        <f t="shared" ca="1" si="52"/>
        <v>#N/A</v>
      </c>
      <c r="X136" s="67">
        <f t="shared" ca="1" si="53"/>
        <v>0</v>
      </c>
      <c r="Y136" s="67" t="e">
        <f t="shared" ca="1" si="60"/>
        <v>#N/A</v>
      </c>
      <c r="Z136" s="67" t="e">
        <f t="shared" ca="1" si="61"/>
        <v>#N/A</v>
      </c>
      <c r="AA136" s="5" t="str">
        <f>IF(Setup!$I$15="Yes",'Demand background (hide)'!AJ124+'SPC background (hide)'!C136,"")</f>
        <v/>
      </c>
      <c r="AC136" s="5" t="str">
        <f t="shared" ca="1" si="54"/>
        <v/>
      </c>
      <c r="AD136" s="5" t="str">
        <f t="shared" ca="1" si="55"/>
        <v/>
      </c>
    </row>
    <row r="137" spans="1:30" x14ac:dyDescent="0.2">
      <c r="A137" s="67" t="str">
        <f ca="1">Demand!C134</f>
        <v/>
      </c>
      <c r="B137" s="67">
        <v>122</v>
      </c>
      <c r="C137" s="5">
        <f ca="1">'Demand background (hide)'!Y125</f>
        <v>0</v>
      </c>
      <c r="D137" s="67">
        <f t="shared" si="39"/>
        <v>1</v>
      </c>
      <c r="E137" s="67" t="e">
        <f t="shared" ca="1" si="40"/>
        <v>#N/A</v>
      </c>
      <c r="F137" s="67" t="e">
        <f t="shared" ca="1" si="41"/>
        <v>#N/A</v>
      </c>
      <c r="G137" s="67" t="e">
        <f t="shared" ca="1" si="42"/>
        <v>#N/A</v>
      </c>
      <c r="H137" s="67" t="e">
        <f>IF('Demand background (hide)'!AN125&lt;&gt;"",'SPC background (hide)'!C137,NA())</f>
        <v>#N/A</v>
      </c>
      <c r="I137" s="67">
        <f t="shared" ca="1" si="43"/>
        <v>5</v>
      </c>
      <c r="J137" s="5">
        <f t="shared" ca="1" si="44"/>
        <v>0</v>
      </c>
      <c r="K137" s="5">
        <f t="shared" ca="1" si="45"/>
        <v>0</v>
      </c>
      <c r="L137" s="5">
        <f t="shared" ca="1" si="46"/>
        <v>0</v>
      </c>
      <c r="M137" s="5">
        <f t="shared" ca="1" si="47"/>
        <v>0</v>
      </c>
      <c r="N137" s="5">
        <f t="shared" ca="1" si="48"/>
        <v>0</v>
      </c>
      <c r="O137" s="5">
        <f t="shared" ca="1" si="49"/>
        <v>0</v>
      </c>
      <c r="P137" s="5">
        <f t="shared" ca="1" si="50"/>
        <v>0</v>
      </c>
      <c r="Q137" s="5" t="e">
        <f t="shared" ca="1" si="51"/>
        <v>#N/A</v>
      </c>
      <c r="R137" s="5">
        <f t="shared" ca="1" si="56"/>
        <v>0</v>
      </c>
      <c r="S137" s="67" t="e">
        <f t="shared" ca="1" si="57"/>
        <v>#N/A</v>
      </c>
      <c r="T137" s="67">
        <f t="shared" ca="1" si="58"/>
        <v>0</v>
      </c>
      <c r="U137" s="67" t="e">
        <f t="shared" ca="1" si="59"/>
        <v>#N/A</v>
      </c>
      <c r="V137" s="5">
        <f t="shared" ca="1" si="38"/>
        <v>0</v>
      </c>
      <c r="W137" s="5" t="e">
        <f t="shared" ca="1" si="52"/>
        <v>#N/A</v>
      </c>
      <c r="X137" s="67">
        <f t="shared" ca="1" si="53"/>
        <v>0</v>
      </c>
      <c r="Y137" s="67" t="e">
        <f t="shared" ca="1" si="60"/>
        <v>#N/A</v>
      </c>
      <c r="Z137" s="67" t="e">
        <f t="shared" ca="1" si="61"/>
        <v>#N/A</v>
      </c>
      <c r="AA137" s="5" t="str">
        <f>IF(Setup!$I$15="Yes",'Demand background (hide)'!AJ125+'SPC background (hide)'!C137,"")</f>
        <v/>
      </c>
      <c r="AC137" s="5" t="str">
        <f t="shared" ca="1" si="54"/>
        <v/>
      </c>
      <c r="AD137" s="5" t="str">
        <f t="shared" ca="1" si="55"/>
        <v/>
      </c>
    </row>
    <row r="138" spans="1:30" x14ac:dyDescent="0.2">
      <c r="A138" s="67" t="str">
        <f ca="1">Demand!C135</f>
        <v/>
      </c>
      <c r="B138" s="67">
        <v>123</v>
      </c>
      <c r="C138" s="5">
        <f ca="1">'Demand background (hide)'!Y126</f>
        <v>0</v>
      </c>
      <c r="D138" s="67">
        <f t="shared" si="39"/>
        <v>1</v>
      </c>
      <c r="E138" s="67" t="e">
        <f t="shared" ca="1" si="40"/>
        <v>#N/A</v>
      </c>
      <c r="F138" s="67" t="e">
        <f t="shared" ca="1" si="41"/>
        <v>#N/A</v>
      </c>
      <c r="G138" s="67" t="e">
        <f t="shared" ca="1" si="42"/>
        <v>#N/A</v>
      </c>
      <c r="H138" s="67" t="e">
        <f>IF('Demand background (hide)'!AN126&lt;&gt;"",'SPC background (hide)'!C138,NA())</f>
        <v>#N/A</v>
      </c>
      <c r="I138" s="67">
        <f t="shared" ca="1" si="43"/>
        <v>5</v>
      </c>
      <c r="J138" s="5">
        <f t="shared" ca="1" si="44"/>
        <v>0</v>
      </c>
      <c r="K138" s="5">
        <f t="shared" ca="1" si="45"/>
        <v>0</v>
      </c>
      <c r="L138" s="5">
        <f t="shared" ca="1" si="46"/>
        <v>0</v>
      </c>
      <c r="M138" s="5">
        <f t="shared" ca="1" si="47"/>
        <v>0</v>
      </c>
      <c r="N138" s="5">
        <f t="shared" ca="1" si="48"/>
        <v>0</v>
      </c>
      <c r="O138" s="5">
        <f t="shared" ca="1" si="49"/>
        <v>0</v>
      </c>
      <c r="P138" s="5">
        <f t="shared" ca="1" si="50"/>
        <v>0</v>
      </c>
      <c r="Q138" s="5" t="e">
        <f t="shared" ca="1" si="51"/>
        <v>#N/A</v>
      </c>
      <c r="R138" s="5">
        <f t="shared" ca="1" si="56"/>
        <v>0</v>
      </c>
      <c r="S138" s="67" t="e">
        <f t="shared" ca="1" si="57"/>
        <v>#N/A</v>
      </c>
      <c r="T138" s="67">
        <f t="shared" ca="1" si="58"/>
        <v>0</v>
      </c>
      <c r="U138" s="67" t="e">
        <f t="shared" ca="1" si="59"/>
        <v>#N/A</v>
      </c>
      <c r="V138" s="5">
        <f t="shared" ca="1" si="38"/>
        <v>0</v>
      </c>
      <c r="W138" s="5" t="e">
        <f t="shared" ca="1" si="52"/>
        <v>#N/A</v>
      </c>
      <c r="X138" s="67">
        <f t="shared" ca="1" si="53"/>
        <v>0</v>
      </c>
      <c r="Y138" s="67" t="e">
        <f t="shared" ca="1" si="60"/>
        <v>#N/A</v>
      </c>
      <c r="Z138" s="67" t="e">
        <f t="shared" ca="1" si="61"/>
        <v>#N/A</v>
      </c>
      <c r="AA138" s="5" t="str">
        <f>IF(Setup!$I$15="Yes",'Demand background (hide)'!AJ126+'SPC background (hide)'!C138,"")</f>
        <v/>
      </c>
      <c r="AC138" s="5" t="str">
        <f t="shared" ca="1" si="54"/>
        <v/>
      </c>
      <c r="AD138" s="5" t="str">
        <f t="shared" ca="1" si="55"/>
        <v/>
      </c>
    </row>
    <row r="139" spans="1:30" x14ac:dyDescent="0.2">
      <c r="A139" s="67" t="str">
        <f ca="1">Demand!C136</f>
        <v/>
      </c>
      <c r="B139" s="67">
        <v>124</v>
      </c>
      <c r="C139" s="5">
        <f ca="1">'Demand background (hide)'!Y127</f>
        <v>0</v>
      </c>
      <c r="D139" s="67">
        <f t="shared" si="39"/>
        <v>1</v>
      </c>
      <c r="E139" s="67" t="e">
        <f t="shared" ca="1" si="40"/>
        <v>#N/A</v>
      </c>
      <c r="F139" s="67" t="e">
        <f t="shared" ca="1" si="41"/>
        <v>#N/A</v>
      </c>
      <c r="G139" s="67" t="e">
        <f t="shared" ca="1" si="42"/>
        <v>#N/A</v>
      </c>
      <c r="H139" s="67" t="e">
        <f>IF('Demand background (hide)'!AN127&lt;&gt;"",'SPC background (hide)'!C139,NA())</f>
        <v>#N/A</v>
      </c>
      <c r="I139" s="67">
        <f t="shared" ca="1" si="43"/>
        <v>5</v>
      </c>
      <c r="J139" s="5">
        <f t="shared" ca="1" si="44"/>
        <v>0</v>
      </c>
      <c r="K139" s="5">
        <f t="shared" ca="1" si="45"/>
        <v>0</v>
      </c>
      <c r="L139" s="5">
        <f t="shared" ca="1" si="46"/>
        <v>0</v>
      </c>
      <c r="M139" s="5">
        <f t="shared" ca="1" si="47"/>
        <v>0</v>
      </c>
      <c r="N139" s="5">
        <f t="shared" ca="1" si="48"/>
        <v>0</v>
      </c>
      <c r="O139" s="5">
        <f t="shared" ca="1" si="49"/>
        <v>0</v>
      </c>
      <c r="P139" s="5">
        <f t="shared" ca="1" si="50"/>
        <v>0</v>
      </c>
      <c r="Q139" s="5" t="e">
        <f t="shared" ca="1" si="51"/>
        <v>#N/A</v>
      </c>
      <c r="R139" s="5">
        <f t="shared" ca="1" si="56"/>
        <v>0</v>
      </c>
      <c r="S139" s="67" t="e">
        <f t="shared" ca="1" si="57"/>
        <v>#N/A</v>
      </c>
      <c r="T139" s="67">
        <f t="shared" ca="1" si="58"/>
        <v>0</v>
      </c>
      <c r="U139" s="67" t="e">
        <f t="shared" ca="1" si="59"/>
        <v>#N/A</v>
      </c>
      <c r="V139" s="5">
        <f t="shared" ca="1" si="38"/>
        <v>0</v>
      </c>
      <c r="W139" s="5" t="e">
        <f t="shared" ca="1" si="52"/>
        <v>#N/A</v>
      </c>
      <c r="X139" s="67">
        <f t="shared" ca="1" si="53"/>
        <v>0</v>
      </c>
      <c r="Y139" s="67" t="e">
        <f t="shared" ca="1" si="60"/>
        <v>#N/A</v>
      </c>
      <c r="Z139" s="67" t="e">
        <f t="shared" ca="1" si="61"/>
        <v>#N/A</v>
      </c>
      <c r="AA139" s="5" t="str">
        <f>IF(Setup!$I$15="Yes",'Demand background (hide)'!AJ127+'SPC background (hide)'!C139,"")</f>
        <v/>
      </c>
      <c r="AC139" s="5" t="str">
        <f t="shared" ca="1" si="54"/>
        <v/>
      </c>
      <c r="AD139" s="5" t="str">
        <f t="shared" ca="1" si="55"/>
        <v/>
      </c>
    </row>
    <row r="140" spans="1:30" x14ac:dyDescent="0.2">
      <c r="A140" s="67" t="str">
        <f ca="1">Demand!C137</f>
        <v/>
      </c>
      <c r="B140" s="67">
        <v>125</v>
      </c>
      <c r="C140" s="5">
        <f ca="1">'Demand background (hide)'!Y128</f>
        <v>0</v>
      </c>
      <c r="D140" s="67">
        <f t="shared" si="39"/>
        <v>1</v>
      </c>
      <c r="E140" s="67" t="e">
        <f t="shared" ca="1" si="40"/>
        <v>#N/A</v>
      </c>
      <c r="F140" s="67" t="e">
        <f t="shared" ca="1" si="41"/>
        <v>#N/A</v>
      </c>
      <c r="G140" s="67" t="e">
        <f t="shared" ca="1" si="42"/>
        <v>#N/A</v>
      </c>
      <c r="H140" s="67" t="e">
        <f>IF('Demand background (hide)'!AN128&lt;&gt;"",'SPC background (hide)'!C140,NA())</f>
        <v>#N/A</v>
      </c>
      <c r="I140" s="67">
        <f t="shared" ca="1" si="43"/>
        <v>5</v>
      </c>
      <c r="J140" s="5">
        <f t="shared" ca="1" si="44"/>
        <v>0</v>
      </c>
      <c r="K140" s="5">
        <f t="shared" ca="1" si="45"/>
        <v>0</v>
      </c>
      <c r="L140" s="5">
        <f t="shared" ca="1" si="46"/>
        <v>0</v>
      </c>
      <c r="M140" s="5">
        <f t="shared" ca="1" si="47"/>
        <v>0</v>
      </c>
      <c r="N140" s="5">
        <f t="shared" ca="1" si="48"/>
        <v>0</v>
      </c>
      <c r="O140" s="5">
        <f t="shared" ca="1" si="49"/>
        <v>0</v>
      </c>
      <c r="P140" s="5">
        <f t="shared" ca="1" si="50"/>
        <v>0</v>
      </c>
      <c r="Q140" s="5" t="e">
        <f t="shared" ca="1" si="51"/>
        <v>#N/A</v>
      </c>
      <c r="R140" s="5">
        <f t="shared" ca="1" si="56"/>
        <v>0</v>
      </c>
      <c r="S140" s="67" t="e">
        <f t="shared" ca="1" si="57"/>
        <v>#N/A</v>
      </c>
      <c r="T140" s="67">
        <f t="shared" ca="1" si="58"/>
        <v>0</v>
      </c>
      <c r="U140" s="67" t="e">
        <f t="shared" ca="1" si="59"/>
        <v>#N/A</v>
      </c>
      <c r="V140" s="5">
        <f t="shared" ca="1" si="38"/>
        <v>0</v>
      </c>
      <c r="W140" s="5" t="e">
        <f t="shared" ca="1" si="52"/>
        <v>#N/A</v>
      </c>
      <c r="X140" s="67">
        <f t="shared" ca="1" si="53"/>
        <v>0</v>
      </c>
      <c r="Y140" s="67" t="e">
        <f t="shared" ca="1" si="60"/>
        <v>#N/A</v>
      </c>
      <c r="Z140" s="67" t="e">
        <f t="shared" ca="1" si="61"/>
        <v>#N/A</v>
      </c>
      <c r="AA140" s="5" t="str">
        <f>IF(Setup!$I$15="Yes",'Demand background (hide)'!AJ128+'SPC background (hide)'!C140,"")</f>
        <v/>
      </c>
      <c r="AC140" s="5" t="str">
        <f t="shared" ca="1" si="54"/>
        <v/>
      </c>
      <c r="AD140" s="5" t="str">
        <f t="shared" ca="1" si="55"/>
        <v/>
      </c>
    </row>
    <row r="141" spans="1:30" x14ac:dyDescent="0.2">
      <c r="A141" s="67" t="str">
        <f ca="1">Demand!C138</f>
        <v/>
      </c>
      <c r="B141" s="67">
        <v>126</v>
      </c>
      <c r="C141" s="5">
        <f ca="1">'Demand background (hide)'!Y129</f>
        <v>0</v>
      </c>
      <c r="D141" s="67">
        <f t="shared" si="39"/>
        <v>1</v>
      </c>
      <c r="E141" s="67" t="e">
        <f t="shared" ca="1" si="40"/>
        <v>#N/A</v>
      </c>
      <c r="F141" s="67" t="e">
        <f t="shared" ca="1" si="41"/>
        <v>#N/A</v>
      </c>
      <c r="G141" s="67" t="e">
        <f t="shared" ca="1" si="42"/>
        <v>#N/A</v>
      </c>
      <c r="H141" s="67" t="e">
        <f>IF('Demand background (hide)'!AN129&lt;&gt;"",'SPC background (hide)'!C141,NA())</f>
        <v>#N/A</v>
      </c>
      <c r="I141" s="67">
        <f t="shared" ca="1" si="43"/>
        <v>5</v>
      </c>
      <c r="J141" s="5">
        <f t="shared" ca="1" si="44"/>
        <v>0</v>
      </c>
      <c r="K141" s="5">
        <f t="shared" ca="1" si="45"/>
        <v>0</v>
      </c>
      <c r="L141" s="5">
        <f t="shared" ca="1" si="46"/>
        <v>0</v>
      </c>
      <c r="M141" s="5">
        <f t="shared" ca="1" si="47"/>
        <v>0</v>
      </c>
      <c r="N141" s="5">
        <f t="shared" ca="1" si="48"/>
        <v>0</v>
      </c>
      <c r="O141" s="5">
        <f t="shared" ca="1" si="49"/>
        <v>0</v>
      </c>
      <c r="P141" s="5">
        <f t="shared" ca="1" si="50"/>
        <v>0</v>
      </c>
      <c r="Q141" s="5" t="e">
        <f t="shared" ca="1" si="51"/>
        <v>#N/A</v>
      </c>
      <c r="R141" s="5">
        <f t="shared" ca="1" si="56"/>
        <v>0</v>
      </c>
      <c r="S141" s="67" t="e">
        <f t="shared" ca="1" si="57"/>
        <v>#N/A</v>
      </c>
      <c r="T141" s="67">
        <f t="shared" ca="1" si="58"/>
        <v>0</v>
      </c>
      <c r="U141" s="67" t="e">
        <f t="shared" ca="1" si="59"/>
        <v>#N/A</v>
      </c>
      <c r="V141" s="5">
        <f t="shared" ca="1" si="38"/>
        <v>0</v>
      </c>
      <c r="W141" s="5" t="e">
        <f t="shared" ca="1" si="52"/>
        <v>#N/A</v>
      </c>
      <c r="X141" s="67">
        <f t="shared" ca="1" si="53"/>
        <v>0</v>
      </c>
      <c r="Y141" s="67" t="e">
        <f t="shared" ca="1" si="60"/>
        <v>#N/A</v>
      </c>
      <c r="Z141" s="67" t="e">
        <f t="shared" ca="1" si="61"/>
        <v>#N/A</v>
      </c>
      <c r="AA141" s="5" t="str">
        <f>IF(Setup!$I$15="Yes",'Demand background (hide)'!AJ129+'SPC background (hide)'!C141,"")</f>
        <v/>
      </c>
      <c r="AC141" s="5" t="str">
        <f t="shared" ca="1" si="54"/>
        <v/>
      </c>
      <c r="AD141" s="5" t="str">
        <f t="shared" ca="1" si="55"/>
        <v/>
      </c>
    </row>
    <row r="142" spans="1:30" x14ac:dyDescent="0.2">
      <c r="A142" s="67" t="str">
        <f ca="1">Demand!C139</f>
        <v/>
      </c>
      <c r="B142" s="67">
        <v>127</v>
      </c>
      <c r="C142" s="5">
        <f ca="1">'Demand background (hide)'!Y130</f>
        <v>0</v>
      </c>
      <c r="D142" s="67">
        <f t="shared" si="39"/>
        <v>1</v>
      </c>
      <c r="E142" s="67" t="e">
        <f t="shared" ca="1" si="40"/>
        <v>#N/A</v>
      </c>
      <c r="F142" s="67" t="e">
        <f t="shared" ca="1" si="41"/>
        <v>#N/A</v>
      </c>
      <c r="G142" s="67" t="e">
        <f t="shared" ca="1" si="42"/>
        <v>#N/A</v>
      </c>
      <c r="H142" s="67" t="e">
        <f>IF('Demand background (hide)'!AN130&lt;&gt;"",'SPC background (hide)'!C142,NA())</f>
        <v>#N/A</v>
      </c>
      <c r="I142" s="67">
        <f t="shared" ca="1" si="43"/>
        <v>5</v>
      </c>
      <c r="J142" s="5">
        <f t="shared" ca="1" si="44"/>
        <v>0</v>
      </c>
      <c r="K142" s="5">
        <f t="shared" ca="1" si="45"/>
        <v>0</v>
      </c>
      <c r="L142" s="5">
        <f t="shared" ca="1" si="46"/>
        <v>0</v>
      </c>
      <c r="M142" s="5">
        <f t="shared" ca="1" si="47"/>
        <v>0</v>
      </c>
      <c r="N142" s="5">
        <f t="shared" ca="1" si="48"/>
        <v>0</v>
      </c>
      <c r="O142" s="5">
        <f t="shared" ca="1" si="49"/>
        <v>0</v>
      </c>
      <c r="P142" s="5">
        <f t="shared" ca="1" si="50"/>
        <v>0</v>
      </c>
      <c r="Q142" s="5" t="e">
        <f t="shared" ca="1" si="51"/>
        <v>#N/A</v>
      </c>
      <c r="R142" s="5">
        <f t="shared" ca="1" si="56"/>
        <v>0</v>
      </c>
      <c r="S142" s="67" t="e">
        <f t="shared" ca="1" si="57"/>
        <v>#N/A</v>
      </c>
      <c r="T142" s="67">
        <f t="shared" ca="1" si="58"/>
        <v>0</v>
      </c>
      <c r="U142" s="67" t="e">
        <f t="shared" ca="1" si="59"/>
        <v>#N/A</v>
      </c>
      <c r="V142" s="5">
        <f t="shared" ca="1" si="38"/>
        <v>0</v>
      </c>
      <c r="W142" s="5" t="e">
        <f t="shared" ca="1" si="52"/>
        <v>#N/A</v>
      </c>
      <c r="X142" s="67">
        <f t="shared" ca="1" si="53"/>
        <v>0</v>
      </c>
      <c r="Y142" s="67" t="e">
        <f t="shared" ca="1" si="60"/>
        <v>#N/A</v>
      </c>
      <c r="Z142" s="67" t="e">
        <f t="shared" ca="1" si="61"/>
        <v>#N/A</v>
      </c>
      <c r="AA142" s="5" t="str">
        <f>IF(Setup!$I$15="Yes",'Demand background (hide)'!AJ130+'SPC background (hide)'!C142,"")</f>
        <v/>
      </c>
      <c r="AC142" s="5" t="str">
        <f t="shared" ca="1" si="54"/>
        <v/>
      </c>
      <c r="AD142" s="5" t="str">
        <f t="shared" ca="1" si="55"/>
        <v/>
      </c>
    </row>
    <row r="143" spans="1:30" x14ac:dyDescent="0.2">
      <c r="A143" s="67" t="str">
        <f ca="1">Demand!C140</f>
        <v/>
      </c>
      <c r="B143" s="67">
        <v>128</v>
      </c>
      <c r="C143" s="5">
        <f ca="1">'Demand background (hide)'!Y131</f>
        <v>0</v>
      </c>
      <c r="D143" s="67">
        <f t="shared" si="39"/>
        <v>1</v>
      </c>
      <c r="E143" s="67" t="e">
        <f t="shared" ca="1" si="40"/>
        <v>#N/A</v>
      </c>
      <c r="F143" s="67" t="e">
        <f t="shared" ca="1" si="41"/>
        <v>#N/A</v>
      </c>
      <c r="G143" s="67" t="e">
        <f t="shared" ca="1" si="42"/>
        <v>#N/A</v>
      </c>
      <c r="H143" s="67" t="e">
        <f>IF('Demand background (hide)'!AN131&lt;&gt;"",'SPC background (hide)'!C143,NA())</f>
        <v>#N/A</v>
      </c>
      <c r="I143" s="67">
        <f t="shared" ca="1" si="43"/>
        <v>5</v>
      </c>
      <c r="J143" s="5">
        <f t="shared" ca="1" si="44"/>
        <v>0</v>
      </c>
      <c r="K143" s="5">
        <f t="shared" ca="1" si="45"/>
        <v>0</v>
      </c>
      <c r="L143" s="5">
        <f t="shared" ca="1" si="46"/>
        <v>0</v>
      </c>
      <c r="M143" s="5">
        <f t="shared" ca="1" si="47"/>
        <v>0</v>
      </c>
      <c r="N143" s="5">
        <f t="shared" ca="1" si="48"/>
        <v>0</v>
      </c>
      <c r="O143" s="5">
        <f t="shared" ca="1" si="49"/>
        <v>0</v>
      </c>
      <c r="P143" s="5">
        <f t="shared" ca="1" si="50"/>
        <v>0</v>
      </c>
      <c r="Q143" s="5" t="e">
        <f t="shared" ca="1" si="51"/>
        <v>#N/A</v>
      </c>
      <c r="R143" s="5">
        <f t="shared" ca="1" si="56"/>
        <v>0</v>
      </c>
      <c r="S143" s="67" t="e">
        <f t="shared" ca="1" si="57"/>
        <v>#N/A</v>
      </c>
      <c r="T143" s="67">
        <f t="shared" ca="1" si="58"/>
        <v>0</v>
      </c>
      <c r="U143" s="67" t="e">
        <f t="shared" ca="1" si="59"/>
        <v>#N/A</v>
      </c>
      <c r="V143" s="5">
        <f t="shared" ca="1" si="38"/>
        <v>0</v>
      </c>
      <c r="W143" s="5" t="e">
        <f t="shared" ca="1" si="52"/>
        <v>#N/A</v>
      </c>
      <c r="X143" s="67">
        <f t="shared" ca="1" si="53"/>
        <v>0</v>
      </c>
      <c r="Y143" s="67" t="e">
        <f t="shared" ca="1" si="60"/>
        <v>#N/A</v>
      </c>
      <c r="Z143" s="67" t="e">
        <f t="shared" ca="1" si="61"/>
        <v>#N/A</v>
      </c>
      <c r="AA143" s="5" t="str">
        <f>IF(Setup!$I$15="Yes",'Demand background (hide)'!AJ131+'SPC background (hide)'!C143,"")</f>
        <v/>
      </c>
      <c r="AC143" s="5" t="str">
        <f t="shared" ca="1" si="54"/>
        <v/>
      </c>
      <c r="AD143" s="5" t="str">
        <f t="shared" ca="1" si="55"/>
        <v/>
      </c>
    </row>
    <row r="144" spans="1:30" x14ac:dyDescent="0.2">
      <c r="A144" s="67" t="str">
        <f ca="1">Demand!C141</f>
        <v/>
      </c>
      <c r="B144" s="67">
        <v>129</v>
      </c>
      <c r="C144" s="5">
        <f ca="1">'Demand background (hide)'!Y132</f>
        <v>0</v>
      </c>
      <c r="D144" s="67">
        <f t="shared" si="39"/>
        <v>1</v>
      </c>
      <c r="E144" s="67" t="e">
        <f t="shared" ca="1" si="40"/>
        <v>#N/A</v>
      </c>
      <c r="F144" s="67" t="e">
        <f t="shared" ca="1" si="41"/>
        <v>#N/A</v>
      </c>
      <c r="G144" s="67" t="e">
        <f t="shared" ca="1" si="42"/>
        <v>#N/A</v>
      </c>
      <c r="H144" s="67" t="e">
        <f>IF('Demand background (hide)'!AN132&lt;&gt;"",'SPC background (hide)'!C144,NA())</f>
        <v>#N/A</v>
      </c>
      <c r="I144" s="67">
        <f t="shared" ca="1" si="43"/>
        <v>5</v>
      </c>
      <c r="J144" s="5">
        <f t="shared" ca="1" si="44"/>
        <v>0</v>
      </c>
      <c r="K144" s="5">
        <f t="shared" ca="1" si="45"/>
        <v>0</v>
      </c>
      <c r="L144" s="5">
        <f t="shared" ca="1" si="46"/>
        <v>0</v>
      </c>
      <c r="M144" s="5">
        <f t="shared" ca="1" si="47"/>
        <v>0</v>
      </c>
      <c r="N144" s="5">
        <f t="shared" ca="1" si="48"/>
        <v>0</v>
      </c>
      <c r="O144" s="5">
        <f t="shared" ca="1" si="49"/>
        <v>0</v>
      </c>
      <c r="P144" s="5">
        <f t="shared" ca="1" si="50"/>
        <v>0</v>
      </c>
      <c r="Q144" s="5" t="e">
        <f t="shared" ca="1" si="51"/>
        <v>#N/A</v>
      </c>
      <c r="R144" s="5">
        <f t="shared" ca="1" si="56"/>
        <v>0</v>
      </c>
      <c r="S144" s="67" t="e">
        <f t="shared" ca="1" si="57"/>
        <v>#N/A</v>
      </c>
      <c r="T144" s="67">
        <f t="shared" ca="1" si="58"/>
        <v>0</v>
      </c>
      <c r="U144" s="67" t="e">
        <f t="shared" ca="1" si="59"/>
        <v>#N/A</v>
      </c>
      <c r="V144" s="5">
        <f t="shared" ref="V144:V207" ca="1" si="62">IF(C144&lt;M144,-1,IF(C144&gt;M144,1,0))</f>
        <v>0</v>
      </c>
      <c r="W144" s="5" t="e">
        <f t="shared" ca="1" si="52"/>
        <v>#N/A</v>
      </c>
      <c r="X144" s="67">
        <f t="shared" ca="1" si="53"/>
        <v>0</v>
      </c>
      <c r="Y144" s="67" t="e">
        <f t="shared" ca="1" si="60"/>
        <v>#N/A</v>
      </c>
      <c r="Z144" s="67" t="e">
        <f t="shared" ca="1" si="61"/>
        <v>#N/A</v>
      </c>
      <c r="AA144" s="5" t="str">
        <f>IF(Setup!$I$15="Yes",'Demand background (hide)'!AJ132+'SPC background (hide)'!C144,"")</f>
        <v/>
      </c>
      <c r="AC144" s="5" t="str">
        <f t="shared" ca="1" si="54"/>
        <v/>
      </c>
      <c r="AD144" s="5" t="str">
        <f t="shared" ca="1" si="55"/>
        <v/>
      </c>
    </row>
    <row r="145" spans="1:30" x14ac:dyDescent="0.2">
      <c r="A145" s="67" t="str">
        <f ca="1">Demand!C142</f>
        <v/>
      </c>
      <c r="B145" s="67">
        <v>130</v>
      </c>
      <c r="C145" s="5">
        <f ca="1">'Demand background (hide)'!Y133</f>
        <v>0</v>
      </c>
      <c r="D145" s="67">
        <f t="shared" ref="D145:D208" si="63">IF(AND($B145&gt;=$C$4,$B145&lt;=$D$5+$C$5-1),1,0)</f>
        <v>1</v>
      </c>
      <c r="E145" s="67" t="e">
        <f t="shared" ref="E145:E208" ca="1" si="64">IF(AND($B145&gt;=$D$6,$B145&lt;=$D$7+$C$7-1),1,0)</f>
        <v>#N/A</v>
      </c>
      <c r="F145" s="67" t="e">
        <f t="shared" ref="F145:F208" ca="1" si="65">IF(AND($B145&gt;=$D$8,$B145&lt;=$D$9+$C$9-1),1,0)</f>
        <v>#N/A</v>
      </c>
      <c r="G145" s="67" t="e">
        <f t="shared" ref="G145:G208" ca="1" si="66">IF(AND($B145&gt;=$D$10,$B145&lt;=$D$11+$C$11-1),1,0)</f>
        <v>#N/A</v>
      </c>
      <c r="H145" s="67" t="e">
        <f>IF('Demand background (hide)'!AN133&lt;&gt;"",'SPC background (hide)'!C145,NA())</f>
        <v>#N/A</v>
      </c>
      <c r="I145" s="67">
        <f t="shared" ref="I145:I208" ca="1" si="67">VLOOKUP(A145,$AG$2:$AI$54,3,0)</f>
        <v>5</v>
      </c>
      <c r="J145" s="5">
        <f t="shared" ref="J145:J208" ca="1" si="68">VLOOKUP($A145,$AG$2:$AQ$54,COLUMN(E$1),0)</f>
        <v>0</v>
      </c>
      <c r="K145" s="5">
        <f t="shared" ref="K145:K208" ca="1" si="69">VLOOKUP($A145,$AG$2:$AQ$54,COLUMN(F$1),0)</f>
        <v>0</v>
      </c>
      <c r="L145" s="5">
        <f t="shared" ref="L145:L208" ca="1" si="70">VLOOKUP($A145,$AG$2:$AQ$54,COLUMN(G$1),0)</f>
        <v>0</v>
      </c>
      <c r="M145" s="5">
        <f t="shared" ref="M145:M208" ca="1" si="71">VLOOKUP($A145,$AG$2:$AQ$54,COLUMN(H$1),0)</f>
        <v>0</v>
      </c>
      <c r="N145" s="5">
        <f t="shared" ref="N145:N208" ca="1" si="72">VLOOKUP($A145,$AG$2:$AQ$54,COLUMN(I$1),0)</f>
        <v>0</v>
      </c>
      <c r="O145" s="5">
        <f t="shared" ref="O145:O208" ca="1" si="73">VLOOKUP($A145,$AG$2:$AQ$54,COLUMN(J$1),0)</f>
        <v>0</v>
      </c>
      <c r="P145" s="5">
        <f t="shared" ref="P145:P208" ca="1" si="74">VLOOKUP($A145,$AG$2:$AQ$54,COLUMN(K$1),0)</f>
        <v>0</v>
      </c>
      <c r="Q145" s="5" t="e">
        <f t="shared" ref="Q145:Q208" ca="1" si="75">IF(ISNA(H145)=TRUE,IF(OR(C145&gt;P145,C145&lt;J145),C145,NA()),NA())</f>
        <v>#N/A</v>
      </c>
      <c r="R145" s="5">
        <f t="shared" ca="1" si="56"/>
        <v>0</v>
      </c>
      <c r="S145" s="67" t="e">
        <f t="shared" ca="1" si="57"/>
        <v>#N/A</v>
      </c>
      <c r="T145" s="67">
        <f t="shared" ca="1" si="58"/>
        <v>0</v>
      </c>
      <c r="U145" s="67" t="e">
        <f t="shared" ca="1" si="59"/>
        <v>#N/A</v>
      </c>
      <c r="V145" s="5">
        <f t="shared" ca="1" si="62"/>
        <v>0</v>
      </c>
      <c r="W145" s="5" t="e">
        <f t="shared" ref="W145:W208" ca="1" si="76">IF(ISNA(H145)=TRUE,IF(ABS(SUM(V145:V153))=9,C145,NA()),NA())</f>
        <v>#N/A</v>
      </c>
      <c r="X145" s="67">
        <f t="shared" ref="X145:X208" ca="1" si="77">IF(C145&gt;C144,1,IF(C145&lt;C144,-1,0))</f>
        <v>0</v>
      </c>
      <c r="Y145" s="67" t="e">
        <f t="shared" ca="1" si="60"/>
        <v>#N/A</v>
      </c>
      <c r="Z145" s="67" t="e">
        <f t="shared" ca="1" si="61"/>
        <v>#N/A</v>
      </c>
      <c r="AA145" s="5" t="str">
        <f>IF(Setup!$I$15="Yes",'Demand background (hide)'!AJ133+'SPC background (hide)'!C145,"")</f>
        <v/>
      </c>
      <c r="AC145" s="5" t="str">
        <f t="shared" ref="AC145:AC208" ca="1" si="78">VLOOKUP($A145,$AG$2:$AS$54,12,0)</f>
        <v/>
      </c>
      <c r="AD145" s="5" t="str">
        <f t="shared" ref="AD145:AD208" ca="1" si="79">VLOOKUP($A145,$AG$2:$AS$54,13,0)</f>
        <v/>
      </c>
    </row>
    <row r="146" spans="1:30" x14ac:dyDescent="0.2">
      <c r="A146" s="67" t="str">
        <f ca="1">Demand!C143</f>
        <v/>
      </c>
      <c r="B146" s="67">
        <v>131</v>
      </c>
      <c r="C146" s="5">
        <f ca="1">'Demand background (hide)'!Y134</f>
        <v>0</v>
      </c>
      <c r="D146" s="67">
        <f t="shared" si="63"/>
        <v>1</v>
      </c>
      <c r="E146" s="67" t="e">
        <f t="shared" ca="1" si="64"/>
        <v>#N/A</v>
      </c>
      <c r="F146" s="67" t="e">
        <f t="shared" ca="1" si="65"/>
        <v>#N/A</v>
      </c>
      <c r="G146" s="67" t="e">
        <f t="shared" ca="1" si="66"/>
        <v>#N/A</v>
      </c>
      <c r="H146" s="67" t="e">
        <f>IF('Demand background (hide)'!AN134&lt;&gt;"",'SPC background (hide)'!C146,NA())</f>
        <v>#N/A</v>
      </c>
      <c r="I146" s="67">
        <f t="shared" ca="1" si="67"/>
        <v>5</v>
      </c>
      <c r="J146" s="5">
        <f t="shared" ca="1" si="68"/>
        <v>0</v>
      </c>
      <c r="K146" s="5">
        <f t="shared" ca="1" si="69"/>
        <v>0</v>
      </c>
      <c r="L146" s="5">
        <f t="shared" ca="1" si="70"/>
        <v>0</v>
      </c>
      <c r="M146" s="5">
        <f t="shared" ca="1" si="71"/>
        <v>0</v>
      </c>
      <c r="N146" s="5">
        <f t="shared" ca="1" si="72"/>
        <v>0</v>
      </c>
      <c r="O146" s="5">
        <f t="shared" ca="1" si="73"/>
        <v>0</v>
      </c>
      <c r="P146" s="5">
        <f t="shared" ca="1" si="74"/>
        <v>0</v>
      </c>
      <c r="Q146" s="5" t="e">
        <f t="shared" ca="1" si="75"/>
        <v>#N/A</v>
      </c>
      <c r="R146" s="5">
        <f t="shared" ref="R146:R209" ca="1" si="80">IF(C146&gt;O146,2,IF(C146&lt;K146,-2,IF(C146&gt;M146,1,IF(C146&lt;M146,-1,0))))</f>
        <v>0</v>
      </c>
      <c r="S146" s="67" t="e">
        <f t="shared" ref="S146:S209" ca="1" si="81">IF(ISNA(H146),IF(ABS(SUM(R146:R148))&gt;=5,C146,NA()),NA())</f>
        <v>#N/A</v>
      </c>
      <c r="T146" s="67">
        <f t="shared" ref="T146:T209" ca="1" si="82">IF(C146&gt;N146,2,IF(C146&lt;L146,-2,IF(C146&gt;M146,1,IF(C146&lt;M146,-1,0))))</f>
        <v>0</v>
      </c>
      <c r="U146" s="67" t="e">
        <f t="shared" ref="U146:U209" ca="1" si="83">IF(ISNA(H146)=TRUE,IF(ABS(SUM(T146:T150))&gt;=9,C146,NA()),NA())</f>
        <v>#N/A</v>
      </c>
      <c r="V146" s="5">
        <f t="shared" ca="1" si="62"/>
        <v>0</v>
      </c>
      <c r="W146" s="5" t="e">
        <f t="shared" ca="1" si="76"/>
        <v>#N/A</v>
      </c>
      <c r="X146" s="67">
        <f t="shared" ca="1" si="77"/>
        <v>0</v>
      </c>
      <c r="Y146" s="67" t="e">
        <f t="shared" ref="Y146:Y209" ca="1" si="84">IF(ISNA(H146)=TRUE,IF(ABS(SUM(X146:X151))=6,C146,NA()),NA())</f>
        <v>#N/A</v>
      </c>
      <c r="Z146" s="67" t="e">
        <f t="shared" ref="Z146:Z209" ca="1" si="85">IF(ISNA(H146)=TRUE,IF(AND(ABS(SUM(T146:T153))=8,SUM(T146:T153)&lt;ABS(SUM(T146:T153))),C146,NA()),NA())</f>
        <v>#N/A</v>
      </c>
      <c r="AA146" s="5" t="str">
        <f>IF(Setup!$I$15="Yes",'Demand background (hide)'!AJ134+'SPC background (hide)'!C146,"")</f>
        <v/>
      </c>
      <c r="AC146" s="5" t="str">
        <f t="shared" ca="1" si="78"/>
        <v/>
      </c>
      <c r="AD146" s="5" t="str">
        <f t="shared" ca="1" si="79"/>
        <v/>
      </c>
    </row>
    <row r="147" spans="1:30" x14ac:dyDescent="0.2">
      <c r="A147" s="67" t="str">
        <f ca="1">Demand!C144</f>
        <v/>
      </c>
      <c r="B147" s="67">
        <v>132</v>
      </c>
      <c r="C147" s="5">
        <f ca="1">'Demand background (hide)'!Y135</f>
        <v>0</v>
      </c>
      <c r="D147" s="67">
        <f t="shared" si="63"/>
        <v>1</v>
      </c>
      <c r="E147" s="67" t="e">
        <f t="shared" ca="1" si="64"/>
        <v>#N/A</v>
      </c>
      <c r="F147" s="67" t="e">
        <f t="shared" ca="1" si="65"/>
        <v>#N/A</v>
      </c>
      <c r="G147" s="67" t="e">
        <f t="shared" ca="1" si="66"/>
        <v>#N/A</v>
      </c>
      <c r="H147" s="67" t="e">
        <f>IF('Demand background (hide)'!AN135&lt;&gt;"",'SPC background (hide)'!C147,NA())</f>
        <v>#N/A</v>
      </c>
      <c r="I147" s="67">
        <f t="shared" ca="1" si="67"/>
        <v>5</v>
      </c>
      <c r="J147" s="5">
        <f t="shared" ca="1" si="68"/>
        <v>0</v>
      </c>
      <c r="K147" s="5">
        <f t="shared" ca="1" si="69"/>
        <v>0</v>
      </c>
      <c r="L147" s="5">
        <f t="shared" ca="1" si="70"/>
        <v>0</v>
      </c>
      <c r="M147" s="5">
        <f t="shared" ca="1" si="71"/>
        <v>0</v>
      </c>
      <c r="N147" s="5">
        <f t="shared" ca="1" si="72"/>
        <v>0</v>
      </c>
      <c r="O147" s="5">
        <f t="shared" ca="1" si="73"/>
        <v>0</v>
      </c>
      <c r="P147" s="5">
        <f t="shared" ca="1" si="74"/>
        <v>0</v>
      </c>
      <c r="Q147" s="5" t="e">
        <f t="shared" ca="1" si="75"/>
        <v>#N/A</v>
      </c>
      <c r="R147" s="5">
        <f t="shared" ca="1" si="80"/>
        <v>0</v>
      </c>
      <c r="S147" s="67" t="e">
        <f t="shared" ca="1" si="81"/>
        <v>#N/A</v>
      </c>
      <c r="T147" s="67">
        <f t="shared" ca="1" si="82"/>
        <v>0</v>
      </c>
      <c r="U147" s="67" t="e">
        <f t="shared" ca="1" si="83"/>
        <v>#N/A</v>
      </c>
      <c r="V147" s="5">
        <f t="shared" ca="1" si="62"/>
        <v>0</v>
      </c>
      <c r="W147" s="5" t="e">
        <f t="shared" ca="1" si="76"/>
        <v>#N/A</v>
      </c>
      <c r="X147" s="67">
        <f t="shared" ca="1" si="77"/>
        <v>0</v>
      </c>
      <c r="Y147" s="67" t="e">
        <f t="shared" ca="1" si="84"/>
        <v>#N/A</v>
      </c>
      <c r="Z147" s="67" t="e">
        <f t="shared" ca="1" si="85"/>
        <v>#N/A</v>
      </c>
      <c r="AA147" s="5" t="str">
        <f>IF(Setup!$I$15="Yes",'Demand background (hide)'!AJ135+'SPC background (hide)'!C147,"")</f>
        <v/>
      </c>
      <c r="AC147" s="5" t="str">
        <f t="shared" ca="1" si="78"/>
        <v/>
      </c>
      <c r="AD147" s="5" t="str">
        <f t="shared" ca="1" si="79"/>
        <v/>
      </c>
    </row>
    <row r="148" spans="1:30" x14ac:dyDescent="0.2">
      <c r="A148" s="67" t="str">
        <f ca="1">Demand!C145</f>
        <v/>
      </c>
      <c r="B148" s="67">
        <v>133</v>
      </c>
      <c r="C148" s="5">
        <f ca="1">'Demand background (hide)'!Y136</f>
        <v>0</v>
      </c>
      <c r="D148" s="67">
        <f t="shared" si="63"/>
        <v>1</v>
      </c>
      <c r="E148" s="67" t="e">
        <f t="shared" ca="1" si="64"/>
        <v>#N/A</v>
      </c>
      <c r="F148" s="67" t="e">
        <f t="shared" ca="1" si="65"/>
        <v>#N/A</v>
      </c>
      <c r="G148" s="67" t="e">
        <f t="shared" ca="1" si="66"/>
        <v>#N/A</v>
      </c>
      <c r="H148" s="67" t="e">
        <f>IF('Demand background (hide)'!AN136&lt;&gt;"",'SPC background (hide)'!C148,NA())</f>
        <v>#N/A</v>
      </c>
      <c r="I148" s="67">
        <f t="shared" ca="1" si="67"/>
        <v>5</v>
      </c>
      <c r="J148" s="5">
        <f t="shared" ca="1" si="68"/>
        <v>0</v>
      </c>
      <c r="K148" s="5">
        <f t="shared" ca="1" si="69"/>
        <v>0</v>
      </c>
      <c r="L148" s="5">
        <f t="shared" ca="1" si="70"/>
        <v>0</v>
      </c>
      <c r="M148" s="5">
        <f t="shared" ca="1" si="71"/>
        <v>0</v>
      </c>
      <c r="N148" s="5">
        <f t="shared" ca="1" si="72"/>
        <v>0</v>
      </c>
      <c r="O148" s="5">
        <f t="shared" ca="1" si="73"/>
        <v>0</v>
      </c>
      <c r="P148" s="5">
        <f t="shared" ca="1" si="74"/>
        <v>0</v>
      </c>
      <c r="Q148" s="5" t="e">
        <f t="shared" ca="1" si="75"/>
        <v>#N/A</v>
      </c>
      <c r="R148" s="5">
        <f t="shared" ca="1" si="80"/>
        <v>0</v>
      </c>
      <c r="S148" s="67" t="e">
        <f t="shared" ca="1" si="81"/>
        <v>#N/A</v>
      </c>
      <c r="T148" s="67">
        <f t="shared" ca="1" si="82"/>
        <v>0</v>
      </c>
      <c r="U148" s="67" t="e">
        <f t="shared" ca="1" si="83"/>
        <v>#N/A</v>
      </c>
      <c r="V148" s="5">
        <f t="shared" ca="1" si="62"/>
        <v>0</v>
      </c>
      <c r="W148" s="5" t="e">
        <f t="shared" ca="1" si="76"/>
        <v>#N/A</v>
      </c>
      <c r="X148" s="67">
        <f t="shared" ca="1" si="77"/>
        <v>0</v>
      </c>
      <c r="Y148" s="67" t="e">
        <f t="shared" ca="1" si="84"/>
        <v>#N/A</v>
      </c>
      <c r="Z148" s="67" t="e">
        <f t="shared" ca="1" si="85"/>
        <v>#N/A</v>
      </c>
      <c r="AA148" s="5" t="str">
        <f>IF(Setup!$I$15="Yes",'Demand background (hide)'!AJ136+'SPC background (hide)'!C148,"")</f>
        <v/>
      </c>
      <c r="AC148" s="5" t="str">
        <f t="shared" ca="1" si="78"/>
        <v/>
      </c>
      <c r="AD148" s="5" t="str">
        <f t="shared" ca="1" si="79"/>
        <v/>
      </c>
    </row>
    <row r="149" spans="1:30" x14ac:dyDescent="0.2">
      <c r="A149" s="67" t="str">
        <f ca="1">Demand!C146</f>
        <v/>
      </c>
      <c r="B149" s="67">
        <v>134</v>
      </c>
      <c r="C149" s="5">
        <f ca="1">'Demand background (hide)'!Y137</f>
        <v>0</v>
      </c>
      <c r="D149" s="67">
        <f t="shared" si="63"/>
        <v>1</v>
      </c>
      <c r="E149" s="67" t="e">
        <f t="shared" ca="1" si="64"/>
        <v>#N/A</v>
      </c>
      <c r="F149" s="67" t="e">
        <f t="shared" ca="1" si="65"/>
        <v>#N/A</v>
      </c>
      <c r="G149" s="67" t="e">
        <f t="shared" ca="1" si="66"/>
        <v>#N/A</v>
      </c>
      <c r="H149" s="67" t="e">
        <f>IF('Demand background (hide)'!AN137&lt;&gt;"",'SPC background (hide)'!C149,NA())</f>
        <v>#N/A</v>
      </c>
      <c r="I149" s="67">
        <f t="shared" ca="1" si="67"/>
        <v>5</v>
      </c>
      <c r="J149" s="5">
        <f t="shared" ca="1" si="68"/>
        <v>0</v>
      </c>
      <c r="K149" s="5">
        <f t="shared" ca="1" si="69"/>
        <v>0</v>
      </c>
      <c r="L149" s="5">
        <f t="shared" ca="1" si="70"/>
        <v>0</v>
      </c>
      <c r="M149" s="5">
        <f t="shared" ca="1" si="71"/>
        <v>0</v>
      </c>
      <c r="N149" s="5">
        <f t="shared" ca="1" si="72"/>
        <v>0</v>
      </c>
      <c r="O149" s="5">
        <f t="shared" ca="1" si="73"/>
        <v>0</v>
      </c>
      <c r="P149" s="5">
        <f t="shared" ca="1" si="74"/>
        <v>0</v>
      </c>
      <c r="Q149" s="5" t="e">
        <f t="shared" ca="1" si="75"/>
        <v>#N/A</v>
      </c>
      <c r="R149" s="5">
        <f t="shared" ca="1" si="80"/>
        <v>0</v>
      </c>
      <c r="S149" s="67" t="e">
        <f t="shared" ca="1" si="81"/>
        <v>#N/A</v>
      </c>
      <c r="T149" s="67">
        <f t="shared" ca="1" si="82"/>
        <v>0</v>
      </c>
      <c r="U149" s="67" t="e">
        <f t="shared" ca="1" si="83"/>
        <v>#N/A</v>
      </c>
      <c r="V149" s="5">
        <f t="shared" ca="1" si="62"/>
        <v>0</v>
      </c>
      <c r="W149" s="5" t="e">
        <f t="shared" ca="1" si="76"/>
        <v>#N/A</v>
      </c>
      <c r="X149" s="67">
        <f t="shared" ca="1" si="77"/>
        <v>0</v>
      </c>
      <c r="Y149" s="67" t="e">
        <f t="shared" ca="1" si="84"/>
        <v>#N/A</v>
      </c>
      <c r="Z149" s="67" t="e">
        <f t="shared" ca="1" si="85"/>
        <v>#N/A</v>
      </c>
      <c r="AA149" s="5" t="str">
        <f>IF(Setup!$I$15="Yes",'Demand background (hide)'!AJ137+'SPC background (hide)'!C149,"")</f>
        <v/>
      </c>
      <c r="AC149" s="5" t="str">
        <f t="shared" ca="1" si="78"/>
        <v/>
      </c>
      <c r="AD149" s="5" t="str">
        <f t="shared" ca="1" si="79"/>
        <v/>
      </c>
    </row>
    <row r="150" spans="1:30" x14ac:dyDescent="0.2">
      <c r="A150" s="67" t="str">
        <f ca="1">Demand!C147</f>
        <v/>
      </c>
      <c r="B150" s="67">
        <v>135</v>
      </c>
      <c r="C150" s="5">
        <f ca="1">'Demand background (hide)'!Y138</f>
        <v>0</v>
      </c>
      <c r="D150" s="67">
        <f t="shared" si="63"/>
        <v>1</v>
      </c>
      <c r="E150" s="67" t="e">
        <f t="shared" ca="1" si="64"/>
        <v>#N/A</v>
      </c>
      <c r="F150" s="67" t="e">
        <f t="shared" ca="1" si="65"/>
        <v>#N/A</v>
      </c>
      <c r="G150" s="67" t="e">
        <f t="shared" ca="1" si="66"/>
        <v>#N/A</v>
      </c>
      <c r="H150" s="67" t="e">
        <f>IF('Demand background (hide)'!AN138&lt;&gt;"",'SPC background (hide)'!C150,NA())</f>
        <v>#N/A</v>
      </c>
      <c r="I150" s="67">
        <f t="shared" ca="1" si="67"/>
        <v>5</v>
      </c>
      <c r="J150" s="5">
        <f t="shared" ca="1" si="68"/>
        <v>0</v>
      </c>
      <c r="K150" s="5">
        <f t="shared" ca="1" si="69"/>
        <v>0</v>
      </c>
      <c r="L150" s="5">
        <f t="shared" ca="1" si="70"/>
        <v>0</v>
      </c>
      <c r="M150" s="5">
        <f t="shared" ca="1" si="71"/>
        <v>0</v>
      </c>
      <c r="N150" s="5">
        <f t="shared" ca="1" si="72"/>
        <v>0</v>
      </c>
      <c r="O150" s="5">
        <f t="shared" ca="1" si="73"/>
        <v>0</v>
      </c>
      <c r="P150" s="5">
        <f t="shared" ca="1" si="74"/>
        <v>0</v>
      </c>
      <c r="Q150" s="5" t="e">
        <f t="shared" ca="1" si="75"/>
        <v>#N/A</v>
      </c>
      <c r="R150" s="5">
        <f t="shared" ca="1" si="80"/>
        <v>0</v>
      </c>
      <c r="S150" s="67" t="e">
        <f t="shared" ca="1" si="81"/>
        <v>#N/A</v>
      </c>
      <c r="T150" s="67">
        <f t="shared" ca="1" si="82"/>
        <v>0</v>
      </c>
      <c r="U150" s="67" t="e">
        <f t="shared" ca="1" si="83"/>
        <v>#N/A</v>
      </c>
      <c r="V150" s="5">
        <f t="shared" ca="1" si="62"/>
        <v>0</v>
      </c>
      <c r="W150" s="5" t="e">
        <f t="shared" ca="1" si="76"/>
        <v>#N/A</v>
      </c>
      <c r="X150" s="67">
        <f t="shared" ca="1" si="77"/>
        <v>0</v>
      </c>
      <c r="Y150" s="67" t="e">
        <f t="shared" ca="1" si="84"/>
        <v>#N/A</v>
      </c>
      <c r="Z150" s="67" t="e">
        <f t="shared" ca="1" si="85"/>
        <v>#N/A</v>
      </c>
      <c r="AA150" s="5" t="str">
        <f>IF(Setup!$I$15="Yes",'Demand background (hide)'!AJ138+'SPC background (hide)'!C150,"")</f>
        <v/>
      </c>
      <c r="AC150" s="5" t="str">
        <f t="shared" ca="1" si="78"/>
        <v/>
      </c>
      <c r="AD150" s="5" t="str">
        <f t="shared" ca="1" si="79"/>
        <v/>
      </c>
    </row>
    <row r="151" spans="1:30" x14ac:dyDescent="0.2">
      <c r="A151" s="67" t="str">
        <f ca="1">Demand!C148</f>
        <v/>
      </c>
      <c r="B151" s="67">
        <v>136</v>
      </c>
      <c r="C151" s="5">
        <f ca="1">'Demand background (hide)'!Y139</f>
        <v>0</v>
      </c>
      <c r="D151" s="67">
        <f t="shared" si="63"/>
        <v>1</v>
      </c>
      <c r="E151" s="67" t="e">
        <f t="shared" ca="1" si="64"/>
        <v>#N/A</v>
      </c>
      <c r="F151" s="67" t="e">
        <f t="shared" ca="1" si="65"/>
        <v>#N/A</v>
      </c>
      <c r="G151" s="67" t="e">
        <f t="shared" ca="1" si="66"/>
        <v>#N/A</v>
      </c>
      <c r="H151" s="67" t="e">
        <f>IF('Demand background (hide)'!AN139&lt;&gt;"",'SPC background (hide)'!C151,NA())</f>
        <v>#N/A</v>
      </c>
      <c r="I151" s="67">
        <f t="shared" ca="1" si="67"/>
        <v>5</v>
      </c>
      <c r="J151" s="5">
        <f t="shared" ca="1" si="68"/>
        <v>0</v>
      </c>
      <c r="K151" s="5">
        <f t="shared" ca="1" si="69"/>
        <v>0</v>
      </c>
      <c r="L151" s="5">
        <f t="shared" ca="1" si="70"/>
        <v>0</v>
      </c>
      <c r="M151" s="5">
        <f t="shared" ca="1" si="71"/>
        <v>0</v>
      </c>
      <c r="N151" s="5">
        <f t="shared" ca="1" si="72"/>
        <v>0</v>
      </c>
      <c r="O151" s="5">
        <f t="shared" ca="1" si="73"/>
        <v>0</v>
      </c>
      <c r="P151" s="5">
        <f t="shared" ca="1" si="74"/>
        <v>0</v>
      </c>
      <c r="Q151" s="5" t="e">
        <f t="shared" ca="1" si="75"/>
        <v>#N/A</v>
      </c>
      <c r="R151" s="5">
        <f t="shared" ca="1" si="80"/>
        <v>0</v>
      </c>
      <c r="S151" s="67" t="e">
        <f t="shared" ca="1" si="81"/>
        <v>#N/A</v>
      </c>
      <c r="T151" s="67">
        <f t="shared" ca="1" si="82"/>
        <v>0</v>
      </c>
      <c r="U151" s="67" t="e">
        <f t="shared" ca="1" si="83"/>
        <v>#N/A</v>
      </c>
      <c r="V151" s="5">
        <f t="shared" ca="1" si="62"/>
        <v>0</v>
      </c>
      <c r="W151" s="5" t="e">
        <f t="shared" ca="1" si="76"/>
        <v>#N/A</v>
      </c>
      <c r="X151" s="67">
        <f t="shared" ca="1" si="77"/>
        <v>0</v>
      </c>
      <c r="Y151" s="67" t="e">
        <f t="shared" ca="1" si="84"/>
        <v>#N/A</v>
      </c>
      <c r="Z151" s="67" t="e">
        <f t="shared" ca="1" si="85"/>
        <v>#N/A</v>
      </c>
      <c r="AA151" s="5" t="str">
        <f>IF(Setup!$I$15="Yes",'Demand background (hide)'!AJ139+'SPC background (hide)'!C151,"")</f>
        <v/>
      </c>
      <c r="AC151" s="5" t="str">
        <f t="shared" ca="1" si="78"/>
        <v/>
      </c>
      <c r="AD151" s="5" t="str">
        <f t="shared" ca="1" si="79"/>
        <v/>
      </c>
    </row>
    <row r="152" spans="1:30" x14ac:dyDescent="0.2">
      <c r="A152" s="67" t="str">
        <f ca="1">Demand!C149</f>
        <v/>
      </c>
      <c r="B152" s="67">
        <v>137</v>
      </c>
      <c r="C152" s="5">
        <f ca="1">'Demand background (hide)'!Y140</f>
        <v>0</v>
      </c>
      <c r="D152" s="67">
        <f t="shared" si="63"/>
        <v>1</v>
      </c>
      <c r="E152" s="67" t="e">
        <f t="shared" ca="1" si="64"/>
        <v>#N/A</v>
      </c>
      <c r="F152" s="67" t="e">
        <f t="shared" ca="1" si="65"/>
        <v>#N/A</v>
      </c>
      <c r="G152" s="67" t="e">
        <f t="shared" ca="1" si="66"/>
        <v>#N/A</v>
      </c>
      <c r="H152" s="67" t="e">
        <f>IF('Demand background (hide)'!AN140&lt;&gt;"",'SPC background (hide)'!C152,NA())</f>
        <v>#N/A</v>
      </c>
      <c r="I152" s="67">
        <f t="shared" ca="1" si="67"/>
        <v>5</v>
      </c>
      <c r="J152" s="5">
        <f t="shared" ca="1" si="68"/>
        <v>0</v>
      </c>
      <c r="K152" s="5">
        <f t="shared" ca="1" si="69"/>
        <v>0</v>
      </c>
      <c r="L152" s="5">
        <f t="shared" ca="1" si="70"/>
        <v>0</v>
      </c>
      <c r="M152" s="5">
        <f t="shared" ca="1" si="71"/>
        <v>0</v>
      </c>
      <c r="N152" s="5">
        <f t="shared" ca="1" si="72"/>
        <v>0</v>
      </c>
      <c r="O152" s="5">
        <f t="shared" ca="1" si="73"/>
        <v>0</v>
      </c>
      <c r="P152" s="5">
        <f t="shared" ca="1" si="74"/>
        <v>0</v>
      </c>
      <c r="Q152" s="5" t="e">
        <f t="shared" ca="1" si="75"/>
        <v>#N/A</v>
      </c>
      <c r="R152" s="5">
        <f t="shared" ca="1" si="80"/>
        <v>0</v>
      </c>
      <c r="S152" s="67" t="e">
        <f t="shared" ca="1" si="81"/>
        <v>#N/A</v>
      </c>
      <c r="T152" s="67">
        <f t="shared" ca="1" si="82"/>
        <v>0</v>
      </c>
      <c r="U152" s="67" t="e">
        <f t="shared" ca="1" si="83"/>
        <v>#N/A</v>
      </c>
      <c r="V152" s="5">
        <f t="shared" ca="1" si="62"/>
        <v>0</v>
      </c>
      <c r="W152" s="5" t="e">
        <f t="shared" ca="1" si="76"/>
        <v>#N/A</v>
      </c>
      <c r="X152" s="67">
        <f t="shared" ca="1" si="77"/>
        <v>0</v>
      </c>
      <c r="Y152" s="67" t="e">
        <f t="shared" ca="1" si="84"/>
        <v>#N/A</v>
      </c>
      <c r="Z152" s="67" t="e">
        <f t="shared" ca="1" si="85"/>
        <v>#N/A</v>
      </c>
      <c r="AA152" s="5" t="str">
        <f>IF(Setup!$I$15="Yes",'Demand background (hide)'!AJ140+'SPC background (hide)'!C152,"")</f>
        <v/>
      </c>
      <c r="AC152" s="5" t="str">
        <f t="shared" ca="1" si="78"/>
        <v/>
      </c>
      <c r="AD152" s="5" t="str">
        <f t="shared" ca="1" si="79"/>
        <v/>
      </c>
    </row>
    <row r="153" spans="1:30" x14ac:dyDescent="0.2">
      <c r="A153" s="67" t="str">
        <f ca="1">Demand!C150</f>
        <v/>
      </c>
      <c r="B153" s="67">
        <v>138</v>
      </c>
      <c r="C153" s="5">
        <f ca="1">'Demand background (hide)'!Y141</f>
        <v>0</v>
      </c>
      <c r="D153" s="67">
        <f t="shared" si="63"/>
        <v>1</v>
      </c>
      <c r="E153" s="67" t="e">
        <f t="shared" ca="1" si="64"/>
        <v>#N/A</v>
      </c>
      <c r="F153" s="67" t="e">
        <f t="shared" ca="1" si="65"/>
        <v>#N/A</v>
      </c>
      <c r="G153" s="67" t="e">
        <f t="shared" ca="1" si="66"/>
        <v>#N/A</v>
      </c>
      <c r="H153" s="67" t="e">
        <f>IF('Demand background (hide)'!AN141&lt;&gt;"",'SPC background (hide)'!C153,NA())</f>
        <v>#N/A</v>
      </c>
      <c r="I153" s="67">
        <f t="shared" ca="1" si="67"/>
        <v>5</v>
      </c>
      <c r="J153" s="5">
        <f t="shared" ca="1" si="68"/>
        <v>0</v>
      </c>
      <c r="K153" s="5">
        <f t="shared" ca="1" si="69"/>
        <v>0</v>
      </c>
      <c r="L153" s="5">
        <f t="shared" ca="1" si="70"/>
        <v>0</v>
      </c>
      <c r="M153" s="5">
        <f t="shared" ca="1" si="71"/>
        <v>0</v>
      </c>
      <c r="N153" s="5">
        <f t="shared" ca="1" si="72"/>
        <v>0</v>
      </c>
      <c r="O153" s="5">
        <f t="shared" ca="1" si="73"/>
        <v>0</v>
      </c>
      <c r="P153" s="5">
        <f t="shared" ca="1" si="74"/>
        <v>0</v>
      </c>
      <c r="Q153" s="5" t="e">
        <f t="shared" ca="1" si="75"/>
        <v>#N/A</v>
      </c>
      <c r="R153" s="5">
        <f t="shared" ca="1" si="80"/>
        <v>0</v>
      </c>
      <c r="S153" s="67" t="e">
        <f t="shared" ca="1" si="81"/>
        <v>#N/A</v>
      </c>
      <c r="T153" s="67">
        <f t="shared" ca="1" si="82"/>
        <v>0</v>
      </c>
      <c r="U153" s="67" t="e">
        <f t="shared" ca="1" si="83"/>
        <v>#N/A</v>
      </c>
      <c r="V153" s="5">
        <f t="shared" ca="1" si="62"/>
        <v>0</v>
      </c>
      <c r="W153" s="5" t="e">
        <f t="shared" ca="1" si="76"/>
        <v>#N/A</v>
      </c>
      <c r="X153" s="67">
        <f t="shared" ca="1" si="77"/>
        <v>0</v>
      </c>
      <c r="Y153" s="67" t="e">
        <f t="shared" ca="1" si="84"/>
        <v>#N/A</v>
      </c>
      <c r="Z153" s="67" t="e">
        <f t="shared" ca="1" si="85"/>
        <v>#N/A</v>
      </c>
      <c r="AA153" s="5" t="str">
        <f>IF(Setup!$I$15="Yes",'Demand background (hide)'!AJ141+'SPC background (hide)'!C153,"")</f>
        <v/>
      </c>
      <c r="AC153" s="5" t="str">
        <f t="shared" ca="1" si="78"/>
        <v/>
      </c>
      <c r="AD153" s="5" t="str">
        <f t="shared" ca="1" si="79"/>
        <v/>
      </c>
    </row>
    <row r="154" spans="1:30" x14ac:dyDescent="0.2">
      <c r="A154" s="67" t="str">
        <f ca="1">Demand!C151</f>
        <v/>
      </c>
      <c r="B154" s="67">
        <v>139</v>
      </c>
      <c r="C154" s="5">
        <f ca="1">'Demand background (hide)'!Y142</f>
        <v>0</v>
      </c>
      <c r="D154" s="67">
        <f t="shared" si="63"/>
        <v>1</v>
      </c>
      <c r="E154" s="67" t="e">
        <f t="shared" ca="1" si="64"/>
        <v>#N/A</v>
      </c>
      <c r="F154" s="67" t="e">
        <f t="shared" ca="1" si="65"/>
        <v>#N/A</v>
      </c>
      <c r="G154" s="67" t="e">
        <f t="shared" ca="1" si="66"/>
        <v>#N/A</v>
      </c>
      <c r="H154" s="67" t="e">
        <f>IF('Demand background (hide)'!AN142&lt;&gt;"",'SPC background (hide)'!C154,NA())</f>
        <v>#N/A</v>
      </c>
      <c r="I154" s="67">
        <f t="shared" ca="1" si="67"/>
        <v>5</v>
      </c>
      <c r="J154" s="5">
        <f t="shared" ca="1" si="68"/>
        <v>0</v>
      </c>
      <c r="K154" s="5">
        <f t="shared" ca="1" si="69"/>
        <v>0</v>
      </c>
      <c r="L154" s="5">
        <f t="shared" ca="1" si="70"/>
        <v>0</v>
      </c>
      <c r="M154" s="5">
        <f t="shared" ca="1" si="71"/>
        <v>0</v>
      </c>
      <c r="N154" s="5">
        <f t="shared" ca="1" si="72"/>
        <v>0</v>
      </c>
      <c r="O154" s="5">
        <f t="shared" ca="1" si="73"/>
        <v>0</v>
      </c>
      <c r="P154" s="5">
        <f t="shared" ca="1" si="74"/>
        <v>0</v>
      </c>
      <c r="Q154" s="5" t="e">
        <f t="shared" ca="1" si="75"/>
        <v>#N/A</v>
      </c>
      <c r="R154" s="5">
        <f t="shared" ca="1" si="80"/>
        <v>0</v>
      </c>
      <c r="S154" s="67" t="e">
        <f t="shared" ca="1" si="81"/>
        <v>#N/A</v>
      </c>
      <c r="T154" s="67">
        <f t="shared" ca="1" si="82"/>
        <v>0</v>
      </c>
      <c r="U154" s="67" t="e">
        <f t="shared" ca="1" si="83"/>
        <v>#N/A</v>
      </c>
      <c r="V154" s="5">
        <f t="shared" ca="1" si="62"/>
        <v>0</v>
      </c>
      <c r="W154" s="5" t="e">
        <f t="shared" ca="1" si="76"/>
        <v>#N/A</v>
      </c>
      <c r="X154" s="67">
        <f t="shared" ca="1" si="77"/>
        <v>0</v>
      </c>
      <c r="Y154" s="67" t="e">
        <f t="shared" ca="1" si="84"/>
        <v>#N/A</v>
      </c>
      <c r="Z154" s="67" t="e">
        <f t="shared" ca="1" si="85"/>
        <v>#N/A</v>
      </c>
      <c r="AA154" s="5" t="str">
        <f>IF(Setup!$I$15="Yes",'Demand background (hide)'!AJ142+'SPC background (hide)'!C154,"")</f>
        <v/>
      </c>
      <c r="AC154" s="5" t="str">
        <f t="shared" ca="1" si="78"/>
        <v/>
      </c>
      <c r="AD154" s="5" t="str">
        <f t="shared" ca="1" si="79"/>
        <v/>
      </c>
    </row>
    <row r="155" spans="1:30" x14ac:dyDescent="0.2">
      <c r="A155" s="67" t="str">
        <f ca="1">Demand!C152</f>
        <v/>
      </c>
      <c r="B155" s="67">
        <v>140</v>
      </c>
      <c r="C155" s="5">
        <f ca="1">'Demand background (hide)'!Y143</f>
        <v>0</v>
      </c>
      <c r="D155" s="67">
        <f t="shared" si="63"/>
        <v>1</v>
      </c>
      <c r="E155" s="67" t="e">
        <f t="shared" ca="1" si="64"/>
        <v>#N/A</v>
      </c>
      <c r="F155" s="67" t="e">
        <f t="shared" ca="1" si="65"/>
        <v>#N/A</v>
      </c>
      <c r="G155" s="67" t="e">
        <f t="shared" ca="1" si="66"/>
        <v>#N/A</v>
      </c>
      <c r="H155" s="67" t="e">
        <f>IF('Demand background (hide)'!AN143&lt;&gt;"",'SPC background (hide)'!C155,NA())</f>
        <v>#N/A</v>
      </c>
      <c r="I155" s="67">
        <f t="shared" ca="1" si="67"/>
        <v>5</v>
      </c>
      <c r="J155" s="5">
        <f t="shared" ca="1" si="68"/>
        <v>0</v>
      </c>
      <c r="K155" s="5">
        <f t="shared" ca="1" si="69"/>
        <v>0</v>
      </c>
      <c r="L155" s="5">
        <f t="shared" ca="1" si="70"/>
        <v>0</v>
      </c>
      <c r="M155" s="5">
        <f t="shared" ca="1" si="71"/>
        <v>0</v>
      </c>
      <c r="N155" s="5">
        <f t="shared" ca="1" si="72"/>
        <v>0</v>
      </c>
      <c r="O155" s="5">
        <f t="shared" ca="1" si="73"/>
        <v>0</v>
      </c>
      <c r="P155" s="5">
        <f t="shared" ca="1" si="74"/>
        <v>0</v>
      </c>
      <c r="Q155" s="5" t="e">
        <f t="shared" ca="1" si="75"/>
        <v>#N/A</v>
      </c>
      <c r="R155" s="5">
        <f t="shared" ca="1" si="80"/>
        <v>0</v>
      </c>
      <c r="S155" s="67" t="e">
        <f t="shared" ca="1" si="81"/>
        <v>#N/A</v>
      </c>
      <c r="T155" s="67">
        <f t="shared" ca="1" si="82"/>
        <v>0</v>
      </c>
      <c r="U155" s="67" t="e">
        <f t="shared" ca="1" si="83"/>
        <v>#N/A</v>
      </c>
      <c r="V155" s="5">
        <f t="shared" ca="1" si="62"/>
        <v>0</v>
      </c>
      <c r="W155" s="5" t="e">
        <f t="shared" ca="1" si="76"/>
        <v>#N/A</v>
      </c>
      <c r="X155" s="67">
        <f t="shared" ca="1" si="77"/>
        <v>0</v>
      </c>
      <c r="Y155" s="67" t="e">
        <f t="shared" ca="1" si="84"/>
        <v>#N/A</v>
      </c>
      <c r="Z155" s="67" t="e">
        <f t="shared" ca="1" si="85"/>
        <v>#N/A</v>
      </c>
      <c r="AA155" s="5" t="str">
        <f>IF(Setup!$I$15="Yes",'Demand background (hide)'!AJ143+'SPC background (hide)'!C155,"")</f>
        <v/>
      </c>
      <c r="AC155" s="5" t="str">
        <f t="shared" ca="1" si="78"/>
        <v/>
      </c>
      <c r="AD155" s="5" t="str">
        <f t="shared" ca="1" si="79"/>
        <v/>
      </c>
    </row>
    <row r="156" spans="1:30" x14ac:dyDescent="0.2">
      <c r="A156" s="67" t="str">
        <f ca="1">Demand!C153</f>
        <v/>
      </c>
      <c r="B156" s="67">
        <v>141</v>
      </c>
      <c r="C156" s="5">
        <f ca="1">'Demand background (hide)'!Y144</f>
        <v>0</v>
      </c>
      <c r="D156" s="67">
        <f t="shared" si="63"/>
        <v>1</v>
      </c>
      <c r="E156" s="67" t="e">
        <f t="shared" ca="1" si="64"/>
        <v>#N/A</v>
      </c>
      <c r="F156" s="67" t="e">
        <f t="shared" ca="1" si="65"/>
        <v>#N/A</v>
      </c>
      <c r="G156" s="67" t="e">
        <f t="shared" ca="1" si="66"/>
        <v>#N/A</v>
      </c>
      <c r="H156" s="67" t="e">
        <f>IF('Demand background (hide)'!AN144&lt;&gt;"",'SPC background (hide)'!C156,NA())</f>
        <v>#N/A</v>
      </c>
      <c r="I156" s="67">
        <f t="shared" ca="1" si="67"/>
        <v>5</v>
      </c>
      <c r="J156" s="5">
        <f t="shared" ca="1" si="68"/>
        <v>0</v>
      </c>
      <c r="K156" s="5">
        <f t="shared" ca="1" si="69"/>
        <v>0</v>
      </c>
      <c r="L156" s="5">
        <f t="shared" ca="1" si="70"/>
        <v>0</v>
      </c>
      <c r="M156" s="5">
        <f t="shared" ca="1" si="71"/>
        <v>0</v>
      </c>
      <c r="N156" s="5">
        <f t="shared" ca="1" si="72"/>
        <v>0</v>
      </c>
      <c r="O156" s="5">
        <f t="shared" ca="1" si="73"/>
        <v>0</v>
      </c>
      <c r="P156" s="5">
        <f t="shared" ca="1" si="74"/>
        <v>0</v>
      </c>
      <c r="Q156" s="5" t="e">
        <f t="shared" ca="1" si="75"/>
        <v>#N/A</v>
      </c>
      <c r="R156" s="5">
        <f t="shared" ca="1" si="80"/>
        <v>0</v>
      </c>
      <c r="S156" s="67" t="e">
        <f t="shared" ca="1" si="81"/>
        <v>#N/A</v>
      </c>
      <c r="T156" s="67">
        <f t="shared" ca="1" si="82"/>
        <v>0</v>
      </c>
      <c r="U156" s="67" t="e">
        <f t="shared" ca="1" si="83"/>
        <v>#N/A</v>
      </c>
      <c r="V156" s="5">
        <f t="shared" ca="1" si="62"/>
        <v>0</v>
      </c>
      <c r="W156" s="5" t="e">
        <f t="shared" ca="1" si="76"/>
        <v>#N/A</v>
      </c>
      <c r="X156" s="67">
        <f t="shared" ca="1" si="77"/>
        <v>0</v>
      </c>
      <c r="Y156" s="67" t="e">
        <f t="shared" ca="1" si="84"/>
        <v>#N/A</v>
      </c>
      <c r="Z156" s="67" t="e">
        <f t="shared" ca="1" si="85"/>
        <v>#N/A</v>
      </c>
      <c r="AA156" s="5" t="str">
        <f>IF(Setup!$I$15="Yes",'Demand background (hide)'!AJ144+'SPC background (hide)'!C156,"")</f>
        <v/>
      </c>
      <c r="AC156" s="5" t="str">
        <f t="shared" ca="1" si="78"/>
        <v/>
      </c>
      <c r="AD156" s="5" t="str">
        <f t="shared" ca="1" si="79"/>
        <v/>
      </c>
    </row>
    <row r="157" spans="1:30" x14ac:dyDescent="0.2">
      <c r="A157" s="67" t="str">
        <f ca="1">Demand!C154</f>
        <v/>
      </c>
      <c r="B157" s="67">
        <v>142</v>
      </c>
      <c r="C157" s="5">
        <f ca="1">'Demand background (hide)'!Y145</f>
        <v>0</v>
      </c>
      <c r="D157" s="67">
        <f t="shared" si="63"/>
        <v>1</v>
      </c>
      <c r="E157" s="67" t="e">
        <f t="shared" ca="1" si="64"/>
        <v>#N/A</v>
      </c>
      <c r="F157" s="67" t="e">
        <f t="shared" ca="1" si="65"/>
        <v>#N/A</v>
      </c>
      <c r="G157" s="67" t="e">
        <f t="shared" ca="1" si="66"/>
        <v>#N/A</v>
      </c>
      <c r="H157" s="67" t="e">
        <f>IF('Demand background (hide)'!AN145&lt;&gt;"",'SPC background (hide)'!C157,NA())</f>
        <v>#N/A</v>
      </c>
      <c r="I157" s="67">
        <f t="shared" ca="1" si="67"/>
        <v>5</v>
      </c>
      <c r="J157" s="5">
        <f t="shared" ca="1" si="68"/>
        <v>0</v>
      </c>
      <c r="K157" s="5">
        <f t="shared" ca="1" si="69"/>
        <v>0</v>
      </c>
      <c r="L157" s="5">
        <f t="shared" ca="1" si="70"/>
        <v>0</v>
      </c>
      <c r="M157" s="5">
        <f t="shared" ca="1" si="71"/>
        <v>0</v>
      </c>
      <c r="N157" s="5">
        <f t="shared" ca="1" si="72"/>
        <v>0</v>
      </c>
      <c r="O157" s="5">
        <f t="shared" ca="1" si="73"/>
        <v>0</v>
      </c>
      <c r="P157" s="5">
        <f t="shared" ca="1" si="74"/>
        <v>0</v>
      </c>
      <c r="Q157" s="5" t="e">
        <f t="shared" ca="1" si="75"/>
        <v>#N/A</v>
      </c>
      <c r="R157" s="5">
        <f t="shared" ca="1" si="80"/>
        <v>0</v>
      </c>
      <c r="S157" s="67" t="e">
        <f t="shared" ca="1" si="81"/>
        <v>#N/A</v>
      </c>
      <c r="T157" s="67">
        <f t="shared" ca="1" si="82"/>
        <v>0</v>
      </c>
      <c r="U157" s="67" t="e">
        <f t="shared" ca="1" si="83"/>
        <v>#N/A</v>
      </c>
      <c r="V157" s="5">
        <f t="shared" ca="1" si="62"/>
        <v>0</v>
      </c>
      <c r="W157" s="5" t="e">
        <f t="shared" ca="1" si="76"/>
        <v>#N/A</v>
      </c>
      <c r="X157" s="67">
        <f t="shared" ca="1" si="77"/>
        <v>0</v>
      </c>
      <c r="Y157" s="67" t="e">
        <f t="shared" ca="1" si="84"/>
        <v>#N/A</v>
      </c>
      <c r="Z157" s="67" t="e">
        <f t="shared" ca="1" si="85"/>
        <v>#N/A</v>
      </c>
      <c r="AA157" s="5" t="str">
        <f>IF(Setup!$I$15="Yes",'Demand background (hide)'!AJ145+'SPC background (hide)'!C157,"")</f>
        <v/>
      </c>
      <c r="AC157" s="5" t="str">
        <f t="shared" ca="1" si="78"/>
        <v/>
      </c>
      <c r="AD157" s="5" t="str">
        <f t="shared" ca="1" si="79"/>
        <v/>
      </c>
    </row>
    <row r="158" spans="1:30" x14ac:dyDescent="0.2">
      <c r="A158" s="67" t="str">
        <f ca="1">Demand!C155</f>
        <v/>
      </c>
      <c r="B158" s="67">
        <v>143</v>
      </c>
      <c r="C158" s="5">
        <f ca="1">'Demand background (hide)'!Y146</f>
        <v>0</v>
      </c>
      <c r="D158" s="67">
        <f t="shared" si="63"/>
        <v>1</v>
      </c>
      <c r="E158" s="67" t="e">
        <f t="shared" ca="1" si="64"/>
        <v>#N/A</v>
      </c>
      <c r="F158" s="67" t="e">
        <f t="shared" ca="1" si="65"/>
        <v>#N/A</v>
      </c>
      <c r="G158" s="67" t="e">
        <f t="shared" ca="1" si="66"/>
        <v>#N/A</v>
      </c>
      <c r="H158" s="67" t="e">
        <f>IF('Demand background (hide)'!AN146&lt;&gt;"",'SPC background (hide)'!C158,NA())</f>
        <v>#N/A</v>
      </c>
      <c r="I158" s="67">
        <f t="shared" ca="1" si="67"/>
        <v>5</v>
      </c>
      <c r="J158" s="5">
        <f t="shared" ca="1" si="68"/>
        <v>0</v>
      </c>
      <c r="K158" s="5">
        <f t="shared" ca="1" si="69"/>
        <v>0</v>
      </c>
      <c r="L158" s="5">
        <f t="shared" ca="1" si="70"/>
        <v>0</v>
      </c>
      <c r="M158" s="5">
        <f t="shared" ca="1" si="71"/>
        <v>0</v>
      </c>
      <c r="N158" s="5">
        <f t="shared" ca="1" si="72"/>
        <v>0</v>
      </c>
      <c r="O158" s="5">
        <f t="shared" ca="1" si="73"/>
        <v>0</v>
      </c>
      <c r="P158" s="5">
        <f t="shared" ca="1" si="74"/>
        <v>0</v>
      </c>
      <c r="Q158" s="5" t="e">
        <f t="shared" ca="1" si="75"/>
        <v>#N/A</v>
      </c>
      <c r="R158" s="5">
        <f t="shared" ca="1" si="80"/>
        <v>0</v>
      </c>
      <c r="S158" s="67" t="e">
        <f t="shared" ca="1" si="81"/>
        <v>#N/A</v>
      </c>
      <c r="T158" s="67">
        <f t="shared" ca="1" si="82"/>
        <v>0</v>
      </c>
      <c r="U158" s="67" t="e">
        <f t="shared" ca="1" si="83"/>
        <v>#N/A</v>
      </c>
      <c r="V158" s="5">
        <f t="shared" ca="1" si="62"/>
        <v>0</v>
      </c>
      <c r="W158" s="5" t="e">
        <f t="shared" ca="1" si="76"/>
        <v>#N/A</v>
      </c>
      <c r="X158" s="67">
        <f t="shared" ca="1" si="77"/>
        <v>0</v>
      </c>
      <c r="Y158" s="67" t="e">
        <f t="shared" ca="1" si="84"/>
        <v>#N/A</v>
      </c>
      <c r="Z158" s="67" t="e">
        <f t="shared" ca="1" si="85"/>
        <v>#N/A</v>
      </c>
      <c r="AA158" s="5" t="str">
        <f>IF(Setup!$I$15="Yes",'Demand background (hide)'!AJ146+'SPC background (hide)'!C158,"")</f>
        <v/>
      </c>
      <c r="AC158" s="5" t="str">
        <f t="shared" ca="1" si="78"/>
        <v/>
      </c>
      <c r="AD158" s="5" t="str">
        <f t="shared" ca="1" si="79"/>
        <v/>
      </c>
    </row>
    <row r="159" spans="1:30" x14ac:dyDescent="0.2">
      <c r="A159" s="67" t="str">
        <f ca="1">Demand!C156</f>
        <v/>
      </c>
      <c r="B159" s="67">
        <v>144</v>
      </c>
      <c r="C159" s="5">
        <f ca="1">'Demand background (hide)'!Y147</f>
        <v>0</v>
      </c>
      <c r="D159" s="67">
        <f t="shared" si="63"/>
        <v>1</v>
      </c>
      <c r="E159" s="67" t="e">
        <f t="shared" ca="1" si="64"/>
        <v>#N/A</v>
      </c>
      <c r="F159" s="67" t="e">
        <f t="shared" ca="1" si="65"/>
        <v>#N/A</v>
      </c>
      <c r="G159" s="67" t="e">
        <f t="shared" ca="1" si="66"/>
        <v>#N/A</v>
      </c>
      <c r="H159" s="67" t="e">
        <f>IF('Demand background (hide)'!AN147&lt;&gt;"",'SPC background (hide)'!C159,NA())</f>
        <v>#N/A</v>
      </c>
      <c r="I159" s="67">
        <f t="shared" ca="1" si="67"/>
        <v>5</v>
      </c>
      <c r="J159" s="5">
        <f t="shared" ca="1" si="68"/>
        <v>0</v>
      </c>
      <c r="K159" s="5">
        <f t="shared" ca="1" si="69"/>
        <v>0</v>
      </c>
      <c r="L159" s="5">
        <f t="shared" ca="1" si="70"/>
        <v>0</v>
      </c>
      <c r="M159" s="5">
        <f t="shared" ca="1" si="71"/>
        <v>0</v>
      </c>
      <c r="N159" s="5">
        <f t="shared" ca="1" si="72"/>
        <v>0</v>
      </c>
      <c r="O159" s="5">
        <f t="shared" ca="1" si="73"/>
        <v>0</v>
      </c>
      <c r="P159" s="5">
        <f t="shared" ca="1" si="74"/>
        <v>0</v>
      </c>
      <c r="Q159" s="5" t="e">
        <f t="shared" ca="1" si="75"/>
        <v>#N/A</v>
      </c>
      <c r="R159" s="5">
        <f t="shared" ca="1" si="80"/>
        <v>0</v>
      </c>
      <c r="S159" s="67" t="e">
        <f t="shared" ca="1" si="81"/>
        <v>#N/A</v>
      </c>
      <c r="T159" s="67">
        <f t="shared" ca="1" si="82"/>
        <v>0</v>
      </c>
      <c r="U159" s="67" t="e">
        <f t="shared" ca="1" si="83"/>
        <v>#N/A</v>
      </c>
      <c r="V159" s="5">
        <f t="shared" ca="1" si="62"/>
        <v>0</v>
      </c>
      <c r="W159" s="5" t="e">
        <f t="shared" ca="1" si="76"/>
        <v>#N/A</v>
      </c>
      <c r="X159" s="67">
        <f t="shared" ca="1" si="77"/>
        <v>0</v>
      </c>
      <c r="Y159" s="67" t="e">
        <f t="shared" ca="1" si="84"/>
        <v>#N/A</v>
      </c>
      <c r="Z159" s="67" t="e">
        <f t="shared" ca="1" si="85"/>
        <v>#N/A</v>
      </c>
      <c r="AA159" s="5" t="str">
        <f>IF(Setup!$I$15="Yes",'Demand background (hide)'!AJ147+'SPC background (hide)'!C159,"")</f>
        <v/>
      </c>
      <c r="AC159" s="5" t="str">
        <f t="shared" ca="1" si="78"/>
        <v/>
      </c>
      <c r="AD159" s="5" t="str">
        <f t="shared" ca="1" si="79"/>
        <v/>
      </c>
    </row>
    <row r="160" spans="1:30" x14ac:dyDescent="0.2">
      <c r="A160" s="67" t="str">
        <f ca="1">Demand!C157</f>
        <v/>
      </c>
      <c r="B160" s="67">
        <v>145</v>
      </c>
      <c r="C160" s="5">
        <f ca="1">'Demand background (hide)'!Y148</f>
        <v>0</v>
      </c>
      <c r="D160" s="67">
        <f t="shared" si="63"/>
        <v>1</v>
      </c>
      <c r="E160" s="67" t="e">
        <f t="shared" ca="1" si="64"/>
        <v>#N/A</v>
      </c>
      <c r="F160" s="67" t="e">
        <f t="shared" ca="1" si="65"/>
        <v>#N/A</v>
      </c>
      <c r="G160" s="67" t="e">
        <f t="shared" ca="1" si="66"/>
        <v>#N/A</v>
      </c>
      <c r="H160" s="67" t="e">
        <f>IF('Demand background (hide)'!AN148&lt;&gt;"",'SPC background (hide)'!C160,NA())</f>
        <v>#N/A</v>
      </c>
      <c r="I160" s="67">
        <f t="shared" ca="1" si="67"/>
        <v>5</v>
      </c>
      <c r="J160" s="5">
        <f t="shared" ca="1" si="68"/>
        <v>0</v>
      </c>
      <c r="K160" s="5">
        <f t="shared" ca="1" si="69"/>
        <v>0</v>
      </c>
      <c r="L160" s="5">
        <f t="shared" ca="1" si="70"/>
        <v>0</v>
      </c>
      <c r="M160" s="5">
        <f t="shared" ca="1" si="71"/>
        <v>0</v>
      </c>
      <c r="N160" s="5">
        <f t="shared" ca="1" si="72"/>
        <v>0</v>
      </c>
      <c r="O160" s="5">
        <f t="shared" ca="1" si="73"/>
        <v>0</v>
      </c>
      <c r="P160" s="5">
        <f t="shared" ca="1" si="74"/>
        <v>0</v>
      </c>
      <c r="Q160" s="5" t="e">
        <f t="shared" ca="1" si="75"/>
        <v>#N/A</v>
      </c>
      <c r="R160" s="5">
        <f t="shared" ca="1" si="80"/>
        <v>0</v>
      </c>
      <c r="S160" s="67" t="e">
        <f t="shared" ca="1" si="81"/>
        <v>#N/A</v>
      </c>
      <c r="T160" s="67">
        <f t="shared" ca="1" si="82"/>
        <v>0</v>
      </c>
      <c r="U160" s="67" t="e">
        <f t="shared" ca="1" si="83"/>
        <v>#N/A</v>
      </c>
      <c r="V160" s="5">
        <f t="shared" ca="1" si="62"/>
        <v>0</v>
      </c>
      <c r="W160" s="5" t="e">
        <f t="shared" ca="1" si="76"/>
        <v>#N/A</v>
      </c>
      <c r="X160" s="67">
        <f t="shared" ca="1" si="77"/>
        <v>0</v>
      </c>
      <c r="Y160" s="67" t="e">
        <f t="shared" ca="1" si="84"/>
        <v>#N/A</v>
      </c>
      <c r="Z160" s="67" t="e">
        <f t="shared" ca="1" si="85"/>
        <v>#N/A</v>
      </c>
      <c r="AA160" s="5" t="str">
        <f>IF(Setup!$I$15="Yes",'Demand background (hide)'!AJ148+'SPC background (hide)'!C160,"")</f>
        <v/>
      </c>
      <c r="AC160" s="5" t="str">
        <f t="shared" ca="1" si="78"/>
        <v/>
      </c>
      <c r="AD160" s="5" t="str">
        <f t="shared" ca="1" si="79"/>
        <v/>
      </c>
    </row>
    <row r="161" spans="1:30" x14ac:dyDescent="0.2">
      <c r="A161" s="67" t="str">
        <f ca="1">Demand!C158</f>
        <v/>
      </c>
      <c r="B161" s="67">
        <v>146</v>
      </c>
      <c r="C161" s="5">
        <f ca="1">'Demand background (hide)'!Y149</f>
        <v>0</v>
      </c>
      <c r="D161" s="67">
        <f t="shared" si="63"/>
        <v>1</v>
      </c>
      <c r="E161" s="67" t="e">
        <f t="shared" ca="1" si="64"/>
        <v>#N/A</v>
      </c>
      <c r="F161" s="67" t="e">
        <f t="shared" ca="1" si="65"/>
        <v>#N/A</v>
      </c>
      <c r="G161" s="67" t="e">
        <f t="shared" ca="1" si="66"/>
        <v>#N/A</v>
      </c>
      <c r="H161" s="67" t="e">
        <f>IF('Demand background (hide)'!AN149&lt;&gt;"",'SPC background (hide)'!C161,NA())</f>
        <v>#N/A</v>
      </c>
      <c r="I161" s="67">
        <f t="shared" ca="1" si="67"/>
        <v>5</v>
      </c>
      <c r="J161" s="5">
        <f t="shared" ca="1" si="68"/>
        <v>0</v>
      </c>
      <c r="K161" s="5">
        <f t="shared" ca="1" si="69"/>
        <v>0</v>
      </c>
      <c r="L161" s="5">
        <f t="shared" ca="1" si="70"/>
        <v>0</v>
      </c>
      <c r="M161" s="5">
        <f t="shared" ca="1" si="71"/>
        <v>0</v>
      </c>
      <c r="N161" s="5">
        <f t="shared" ca="1" si="72"/>
        <v>0</v>
      </c>
      <c r="O161" s="5">
        <f t="shared" ca="1" si="73"/>
        <v>0</v>
      </c>
      <c r="P161" s="5">
        <f t="shared" ca="1" si="74"/>
        <v>0</v>
      </c>
      <c r="Q161" s="5" t="e">
        <f t="shared" ca="1" si="75"/>
        <v>#N/A</v>
      </c>
      <c r="R161" s="5">
        <f t="shared" ca="1" si="80"/>
        <v>0</v>
      </c>
      <c r="S161" s="67" t="e">
        <f t="shared" ca="1" si="81"/>
        <v>#N/A</v>
      </c>
      <c r="T161" s="67">
        <f t="shared" ca="1" si="82"/>
        <v>0</v>
      </c>
      <c r="U161" s="67" t="e">
        <f t="shared" ca="1" si="83"/>
        <v>#N/A</v>
      </c>
      <c r="V161" s="5">
        <f t="shared" ca="1" si="62"/>
        <v>0</v>
      </c>
      <c r="W161" s="5" t="e">
        <f t="shared" ca="1" si="76"/>
        <v>#N/A</v>
      </c>
      <c r="X161" s="67">
        <f t="shared" ca="1" si="77"/>
        <v>0</v>
      </c>
      <c r="Y161" s="67" t="e">
        <f t="shared" ca="1" si="84"/>
        <v>#N/A</v>
      </c>
      <c r="Z161" s="67" t="e">
        <f t="shared" ca="1" si="85"/>
        <v>#N/A</v>
      </c>
      <c r="AA161" s="5" t="str">
        <f>IF(Setup!$I$15="Yes",'Demand background (hide)'!AJ149+'SPC background (hide)'!C161,"")</f>
        <v/>
      </c>
      <c r="AC161" s="5" t="str">
        <f t="shared" ca="1" si="78"/>
        <v/>
      </c>
      <c r="AD161" s="5" t="str">
        <f t="shared" ca="1" si="79"/>
        <v/>
      </c>
    </row>
    <row r="162" spans="1:30" x14ac:dyDescent="0.2">
      <c r="A162" s="67" t="str">
        <f ca="1">Demand!C159</f>
        <v/>
      </c>
      <c r="B162" s="67">
        <v>147</v>
      </c>
      <c r="C162" s="5">
        <f ca="1">'Demand background (hide)'!Y150</f>
        <v>0</v>
      </c>
      <c r="D162" s="67">
        <f t="shared" si="63"/>
        <v>1</v>
      </c>
      <c r="E162" s="67" t="e">
        <f t="shared" ca="1" si="64"/>
        <v>#N/A</v>
      </c>
      <c r="F162" s="67" t="e">
        <f t="shared" ca="1" si="65"/>
        <v>#N/A</v>
      </c>
      <c r="G162" s="67" t="e">
        <f t="shared" ca="1" si="66"/>
        <v>#N/A</v>
      </c>
      <c r="H162" s="67" t="e">
        <f>IF('Demand background (hide)'!AN150&lt;&gt;"",'SPC background (hide)'!C162,NA())</f>
        <v>#N/A</v>
      </c>
      <c r="I162" s="67">
        <f t="shared" ca="1" si="67"/>
        <v>5</v>
      </c>
      <c r="J162" s="5">
        <f t="shared" ca="1" si="68"/>
        <v>0</v>
      </c>
      <c r="K162" s="5">
        <f t="shared" ca="1" si="69"/>
        <v>0</v>
      </c>
      <c r="L162" s="5">
        <f t="shared" ca="1" si="70"/>
        <v>0</v>
      </c>
      <c r="M162" s="5">
        <f t="shared" ca="1" si="71"/>
        <v>0</v>
      </c>
      <c r="N162" s="5">
        <f t="shared" ca="1" si="72"/>
        <v>0</v>
      </c>
      <c r="O162" s="5">
        <f t="shared" ca="1" si="73"/>
        <v>0</v>
      </c>
      <c r="P162" s="5">
        <f t="shared" ca="1" si="74"/>
        <v>0</v>
      </c>
      <c r="Q162" s="5" t="e">
        <f t="shared" ca="1" si="75"/>
        <v>#N/A</v>
      </c>
      <c r="R162" s="5">
        <f t="shared" ca="1" si="80"/>
        <v>0</v>
      </c>
      <c r="S162" s="67" t="e">
        <f t="shared" ca="1" si="81"/>
        <v>#N/A</v>
      </c>
      <c r="T162" s="67">
        <f t="shared" ca="1" si="82"/>
        <v>0</v>
      </c>
      <c r="U162" s="67" t="e">
        <f t="shared" ca="1" si="83"/>
        <v>#N/A</v>
      </c>
      <c r="V162" s="5">
        <f t="shared" ca="1" si="62"/>
        <v>0</v>
      </c>
      <c r="W162" s="5" t="e">
        <f t="shared" ca="1" si="76"/>
        <v>#N/A</v>
      </c>
      <c r="X162" s="67">
        <f t="shared" ca="1" si="77"/>
        <v>0</v>
      </c>
      <c r="Y162" s="67" t="e">
        <f t="shared" ca="1" si="84"/>
        <v>#N/A</v>
      </c>
      <c r="Z162" s="67" t="e">
        <f t="shared" ca="1" si="85"/>
        <v>#N/A</v>
      </c>
      <c r="AA162" s="5" t="str">
        <f>IF(Setup!$I$15="Yes",'Demand background (hide)'!AJ150+'SPC background (hide)'!C162,"")</f>
        <v/>
      </c>
      <c r="AC162" s="5" t="str">
        <f t="shared" ca="1" si="78"/>
        <v/>
      </c>
      <c r="AD162" s="5" t="str">
        <f t="shared" ca="1" si="79"/>
        <v/>
      </c>
    </row>
    <row r="163" spans="1:30" x14ac:dyDescent="0.2">
      <c r="A163" s="67" t="str">
        <f ca="1">Demand!C160</f>
        <v/>
      </c>
      <c r="B163" s="67">
        <v>148</v>
      </c>
      <c r="C163" s="5">
        <f ca="1">'Demand background (hide)'!Y151</f>
        <v>0</v>
      </c>
      <c r="D163" s="67">
        <f t="shared" si="63"/>
        <v>1</v>
      </c>
      <c r="E163" s="67" t="e">
        <f t="shared" ca="1" si="64"/>
        <v>#N/A</v>
      </c>
      <c r="F163" s="67" t="e">
        <f t="shared" ca="1" si="65"/>
        <v>#N/A</v>
      </c>
      <c r="G163" s="67" t="e">
        <f t="shared" ca="1" si="66"/>
        <v>#N/A</v>
      </c>
      <c r="H163" s="67" t="e">
        <f>IF('Demand background (hide)'!AN151&lt;&gt;"",'SPC background (hide)'!C163,NA())</f>
        <v>#N/A</v>
      </c>
      <c r="I163" s="67">
        <f t="shared" ca="1" si="67"/>
        <v>5</v>
      </c>
      <c r="J163" s="5">
        <f t="shared" ca="1" si="68"/>
        <v>0</v>
      </c>
      <c r="K163" s="5">
        <f t="shared" ca="1" si="69"/>
        <v>0</v>
      </c>
      <c r="L163" s="5">
        <f t="shared" ca="1" si="70"/>
        <v>0</v>
      </c>
      <c r="M163" s="5">
        <f t="shared" ca="1" si="71"/>
        <v>0</v>
      </c>
      <c r="N163" s="5">
        <f t="shared" ca="1" si="72"/>
        <v>0</v>
      </c>
      <c r="O163" s="5">
        <f t="shared" ca="1" si="73"/>
        <v>0</v>
      </c>
      <c r="P163" s="5">
        <f t="shared" ca="1" si="74"/>
        <v>0</v>
      </c>
      <c r="Q163" s="5" t="e">
        <f t="shared" ca="1" si="75"/>
        <v>#N/A</v>
      </c>
      <c r="R163" s="5">
        <f t="shared" ca="1" si="80"/>
        <v>0</v>
      </c>
      <c r="S163" s="67" t="e">
        <f t="shared" ca="1" si="81"/>
        <v>#N/A</v>
      </c>
      <c r="T163" s="67">
        <f t="shared" ca="1" si="82"/>
        <v>0</v>
      </c>
      <c r="U163" s="67" t="e">
        <f t="shared" ca="1" si="83"/>
        <v>#N/A</v>
      </c>
      <c r="V163" s="5">
        <f t="shared" ca="1" si="62"/>
        <v>0</v>
      </c>
      <c r="W163" s="5" t="e">
        <f t="shared" ca="1" si="76"/>
        <v>#N/A</v>
      </c>
      <c r="X163" s="67">
        <f t="shared" ca="1" si="77"/>
        <v>0</v>
      </c>
      <c r="Y163" s="67" t="e">
        <f t="shared" ca="1" si="84"/>
        <v>#N/A</v>
      </c>
      <c r="Z163" s="67" t="e">
        <f t="shared" ca="1" si="85"/>
        <v>#N/A</v>
      </c>
      <c r="AA163" s="5" t="str">
        <f>IF(Setup!$I$15="Yes",'Demand background (hide)'!AJ151+'SPC background (hide)'!C163,"")</f>
        <v/>
      </c>
      <c r="AC163" s="5" t="str">
        <f t="shared" ca="1" si="78"/>
        <v/>
      </c>
      <c r="AD163" s="5" t="str">
        <f t="shared" ca="1" si="79"/>
        <v/>
      </c>
    </row>
    <row r="164" spans="1:30" x14ac:dyDescent="0.2">
      <c r="A164" s="67" t="str">
        <f ca="1">Demand!C161</f>
        <v/>
      </c>
      <c r="B164" s="67">
        <v>149</v>
      </c>
      <c r="C164" s="5">
        <f ca="1">'Demand background (hide)'!Y152</f>
        <v>0</v>
      </c>
      <c r="D164" s="67">
        <f t="shared" si="63"/>
        <v>1</v>
      </c>
      <c r="E164" s="67" t="e">
        <f t="shared" ca="1" si="64"/>
        <v>#N/A</v>
      </c>
      <c r="F164" s="67" t="e">
        <f t="shared" ca="1" si="65"/>
        <v>#N/A</v>
      </c>
      <c r="G164" s="67" t="e">
        <f t="shared" ca="1" si="66"/>
        <v>#N/A</v>
      </c>
      <c r="H164" s="67" t="e">
        <f>IF('Demand background (hide)'!AN152&lt;&gt;"",'SPC background (hide)'!C164,NA())</f>
        <v>#N/A</v>
      </c>
      <c r="I164" s="67">
        <f t="shared" ca="1" si="67"/>
        <v>5</v>
      </c>
      <c r="J164" s="5">
        <f t="shared" ca="1" si="68"/>
        <v>0</v>
      </c>
      <c r="K164" s="5">
        <f t="shared" ca="1" si="69"/>
        <v>0</v>
      </c>
      <c r="L164" s="5">
        <f t="shared" ca="1" si="70"/>
        <v>0</v>
      </c>
      <c r="M164" s="5">
        <f t="shared" ca="1" si="71"/>
        <v>0</v>
      </c>
      <c r="N164" s="5">
        <f t="shared" ca="1" si="72"/>
        <v>0</v>
      </c>
      <c r="O164" s="5">
        <f t="shared" ca="1" si="73"/>
        <v>0</v>
      </c>
      <c r="P164" s="5">
        <f t="shared" ca="1" si="74"/>
        <v>0</v>
      </c>
      <c r="Q164" s="5" t="e">
        <f t="shared" ca="1" si="75"/>
        <v>#N/A</v>
      </c>
      <c r="R164" s="5">
        <f t="shared" ca="1" si="80"/>
        <v>0</v>
      </c>
      <c r="S164" s="67" t="e">
        <f t="shared" ca="1" si="81"/>
        <v>#N/A</v>
      </c>
      <c r="T164" s="67">
        <f t="shared" ca="1" si="82"/>
        <v>0</v>
      </c>
      <c r="U164" s="67" t="e">
        <f t="shared" ca="1" si="83"/>
        <v>#N/A</v>
      </c>
      <c r="V164" s="5">
        <f t="shared" ca="1" si="62"/>
        <v>0</v>
      </c>
      <c r="W164" s="5" t="e">
        <f t="shared" ca="1" si="76"/>
        <v>#N/A</v>
      </c>
      <c r="X164" s="67">
        <f t="shared" ca="1" si="77"/>
        <v>0</v>
      </c>
      <c r="Y164" s="67" t="e">
        <f t="shared" ca="1" si="84"/>
        <v>#N/A</v>
      </c>
      <c r="Z164" s="67" t="e">
        <f t="shared" ca="1" si="85"/>
        <v>#N/A</v>
      </c>
      <c r="AA164" s="5" t="str">
        <f>IF(Setup!$I$15="Yes",'Demand background (hide)'!AJ152+'SPC background (hide)'!C164,"")</f>
        <v/>
      </c>
      <c r="AC164" s="5" t="str">
        <f t="shared" ca="1" si="78"/>
        <v/>
      </c>
      <c r="AD164" s="5" t="str">
        <f t="shared" ca="1" si="79"/>
        <v/>
      </c>
    </row>
    <row r="165" spans="1:30" x14ac:dyDescent="0.2">
      <c r="A165" s="67" t="str">
        <f ca="1">Demand!C162</f>
        <v/>
      </c>
      <c r="B165" s="67">
        <v>150</v>
      </c>
      <c r="C165" s="5">
        <f ca="1">'Demand background (hide)'!Y153</f>
        <v>0</v>
      </c>
      <c r="D165" s="67">
        <f t="shared" si="63"/>
        <v>1</v>
      </c>
      <c r="E165" s="67" t="e">
        <f t="shared" ca="1" si="64"/>
        <v>#N/A</v>
      </c>
      <c r="F165" s="67" t="e">
        <f t="shared" ca="1" si="65"/>
        <v>#N/A</v>
      </c>
      <c r="G165" s="67" t="e">
        <f t="shared" ca="1" si="66"/>
        <v>#N/A</v>
      </c>
      <c r="H165" s="67" t="e">
        <f>IF('Demand background (hide)'!AN153&lt;&gt;"",'SPC background (hide)'!C165,NA())</f>
        <v>#N/A</v>
      </c>
      <c r="I165" s="67">
        <f t="shared" ca="1" si="67"/>
        <v>5</v>
      </c>
      <c r="J165" s="5">
        <f t="shared" ca="1" si="68"/>
        <v>0</v>
      </c>
      <c r="K165" s="5">
        <f t="shared" ca="1" si="69"/>
        <v>0</v>
      </c>
      <c r="L165" s="5">
        <f t="shared" ca="1" si="70"/>
        <v>0</v>
      </c>
      <c r="M165" s="5">
        <f t="shared" ca="1" si="71"/>
        <v>0</v>
      </c>
      <c r="N165" s="5">
        <f t="shared" ca="1" si="72"/>
        <v>0</v>
      </c>
      <c r="O165" s="5">
        <f t="shared" ca="1" si="73"/>
        <v>0</v>
      </c>
      <c r="P165" s="5">
        <f t="shared" ca="1" si="74"/>
        <v>0</v>
      </c>
      <c r="Q165" s="5" t="e">
        <f t="shared" ca="1" si="75"/>
        <v>#N/A</v>
      </c>
      <c r="R165" s="5">
        <f t="shared" ca="1" si="80"/>
        <v>0</v>
      </c>
      <c r="S165" s="67" t="e">
        <f t="shared" ca="1" si="81"/>
        <v>#N/A</v>
      </c>
      <c r="T165" s="67">
        <f t="shared" ca="1" si="82"/>
        <v>0</v>
      </c>
      <c r="U165" s="67" t="e">
        <f t="shared" ca="1" si="83"/>
        <v>#N/A</v>
      </c>
      <c r="V165" s="5">
        <f t="shared" ca="1" si="62"/>
        <v>0</v>
      </c>
      <c r="W165" s="5" t="e">
        <f t="shared" ca="1" si="76"/>
        <v>#N/A</v>
      </c>
      <c r="X165" s="67">
        <f t="shared" ca="1" si="77"/>
        <v>0</v>
      </c>
      <c r="Y165" s="67" t="e">
        <f t="shared" ca="1" si="84"/>
        <v>#N/A</v>
      </c>
      <c r="Z165" s="67" t="e">
        <f t="shared" ca="1" si="85"/>
        <v>#N/A</v>
      </c>
      <c r="AA165" s="5" t="str">
        <f>IF(Setup!$I$15="Yes",'Demand background (hide)'!AJ153+'SPC background (hide)'!C165,"")</f>
        <v/>
      </c>
      <c r="AC165" s="5" t="str">
        <f t="shared" ca="1" si="78"/>
        <v/>
      </c>
      <c r="AD165" s="5" t="str">
        <f t="shared" ca="1" si="79"/>
        <v/>
      </c>
    </row>
    <row r="166" spans="1:30" x14ac:dyDescent="0.2">
      <c r="A166" s="67" t="str">
        <f ca="1">Demand!C163</f>
        <v/>
      </c>
      <c r="B166" s="67">
        <v>151</v>
      </c>
      <c r="C166" s="5">
        <f ca="1">'Demand background (hide)'!Y154</f>
        <v>0</v>
      </c>
      <c r="D166" s="67">
        <f t="shared" si="63"/>
        <v>1</v>
      </c>
      <c r="E166" s="67" t="e">
        <f t="shared" ca="1" si="64"/>
        <v>#N/A</v>
      </c>
      <c r="F166" s="67" t="e">
        <f t="shared" ca="1" si="65"/>
        <v>#N/A</v>
      </c>
      <c r="G166" s="67" t="e">
        <f t="shared" ca="1" si="66"/>
        <v>#N/A</v>
      </c>
      <c r="H166" s="67" t="e">
        <f>IF('Demand background (hide)'!AN154&lt;&gt;"",'SPC background (hide)'!C166,NA())</f>
        <v>#N/A</v>
      </c>
      <c r="I166" s="67">
        <f t="shared" ca="1" si="67"/>
        <v>5</v>
      </c>
      <c r="J166" s="5">
        <f t="shared" ca="1" si="68"/>
        <v>0</v>
      </c>
      <c r="K166" s="5">
        <f t="shared" ca="1" si="69"/>
        <v>0</v>
      </c>
      <c r="L166" s="5">
        <f t="shared" ca="1" si="70"/>
        <v>0</v>
      </c>
      <c r="M166" s="5">
        <f t="shared" ca="1" si="71"/>
        <v>0</v>
      </c>
      <c r="N166" s="5">
        <f t="shared" ca="1" si="72"/>
        <v>0</v>
      </c>
      <c r="O166" s="5">
        <f t="shared" ca="1" si="73"/>
        <v>0</v>
      </c>
      <c r="P166" s="5">
        <f t="shared" ca="1" si="74"/>
        <v>0</v>
      </c>
      <c r="Q166" s="5" t="e">
        <f t="shared" ca="1" si="75"/>
        <v>#N/A</v>
      </c>
      <c r="R166" s="5">
        <f t="shared" ca="1" si="80"/>
        <v>0</v>
      </c>
      <c r="S166" s="67" t="e">
        <f t="shared" ca="1" si="81"/>
        <v>#N/A</v>
      </c>
      <c r="T166" s="67">
        <f t="shared" ca="1" si="82"/>
        <v>0</v>
      </c>
      <c r="U166" s="67" t="e">
        <f t="shared" ca="1" si="83"/>
        <v>#N/A</v>
      </c>
      <c r="V166" s="5">
        <f t="shared" ca="1" si="62"/>
        <v>0</v>
      </c>
      <c r="W166" s="5" t="e">
        <f t="shared" ca="1" si="76"/>
        <v>#N/A</v>
      </c>
      <c r="X166" s="67">
        <f t="shared" ca="1" si="77"/>
        <v>0</v>
      </c>
      <c r="Y166" s="67" t="e">
        <f t="shared" ca="1" si="84"/>
        <v>#N/A</v>
      </c>
      <c r="Z166" s="67" t="e">
        <f t="shared" ca="1" si="85"/>
        <v>#N/A</v>
      </c>
      <c r="AA166" s="5" t="str">
        <f>IF(Setup!$I$15="Yes",'Demand background (hide)'!AJ154+'SPC background (hide)'!C166,"")</f>
        <v/>
      </c>
      <c r="AC166" s="5" t="str">
        <f t="shared" ca="1" si="78"/>
        <v/>
      </c>
      <c r="AD166" s="5" t="str">
        <f t="shared" ca="1" si="79"/>
        <v/>
      </c>
    </row>
    <row r="167" spans="1:30" x14ac:dyDescent="0.2">
      <c r="A167" s="67" t="str">
        <f ca="1">Demand!C164</f>
        <v/>
      </c>
      <c r="B167" s="67">
        <v>152</v>
      </c>
      <c r="C167" s="5">
        <f ca="1">'Demand background (hide)'!Y155</f>
        <v>0</v>
      </c>
      <c r="D167" s="67">
        <f t="shared" si="63"/>
        <v>0</v>
      </c>
      <c r="E167" s="67" t="e">
        <f t="shared" ca="1" si="64"/>
        <v>#N/A</v>
      </c>
      <c r="F167" s="67" t="e">
        <f t="shared" ca="1" si="65"/>
        <v>#N/A</v>
      </c>
      <c r="G167" s="67" t="e">
        <f t="shared" ca="1" si="66"/>
        <v>#N/A</v>
      </c>
      <c r="H167" s="67" t="e">
        <f>IF('Demand background (hide)'!AN155&lt;&gt;"",'SPC background (hide)'!C167,NA())</f>
        <v>#N/A</v>
      </c>
      <c r="I167" s="67">
        <f t="shared" ca="1" si="67"/>
        <v>5</v>
      </c>
      <c r="J167" s="5">
        <f t="shared" ca="1" si="68"/>
        <v>0</v>
      </c>
      <c r="K167" s="5">
        <f t="shared" ca="1" si="69"/>
        <v>0</v>
      </c>
      <c r="L167" s="5">
        <f t="shared" ca="1" si="70"/>
        <v>0</v>
      </c>
      <c r="M167" s="5">
        <f t="shared" ca="1" si="71"/>
        <v>0</v>
      </c>
      <c r="N167" s="5">
        <f t="shared" ca="1" si="72"/>
        <v>0</v>
      </c>
      <c r="O167" s="5">
        <f t="shared" ca="1" si="73"/>
        <v>0</v>
      </c>
      <c r="P167" s="5">
        <f t="shared" ca="1" si="74"/>
        <v>0</v>
      </c>
      <c r="Q167" s="5" t="e">
        <f t="shared" ca="1" si="75"/>
        <v>#N/A</v>
      </c>
      <c r="R167" s="5">
        <f t="shared" ca="1" si="80"/>
        <v>0</v>
      </c>
      <c r="S167" s="67" t="e">
        <f t="shared" ca="1" si="81"/>
        <v>#N/A</v>
      </c>
      <c r="T167" s="67">
        <f t="shared" ca="1" si="82"/>
        <v>0</v>
      </c>
      <c r="U167" s="67" t="e">
        <f t="shared" ca="1" si="83"/>
        <v>#N/A</v>
      </c>
      <c r="V167" s="5">
        <f t="shared" ca="1" si="62"/>
        <v>0</v>
      </c>
      <c r="W167" s="5" t="e">
        <f t="shared" ca="1" si="76"/>
        <v>#N/A</v>
      </c>
      <c r="X167" s="67">
        <f t="shared" ca="1" si="77"/>
        <v>0</v>
      </c>
      <c r="Y167" s="67" t="e">
        <f t="shared" ca="1" si="84"/>
        <v>#N/A</v>
      </c>
      <c r="Z167" s="67" t="e">
        <f t="shared" ca="1" si="85"/>
        <v>#N/A</v>
      </c>
      <c r="AA167" s="5" t="str">
        <f>IF(Setup!$I$15="Yes",'Demand background (hide)'!AJ155+'SPC background (hide)'!C167,"")</f>
        <v/>
      </c>
      <c r="AC167" s="5" t="str">
        <f t="shared" ca="1" si="78"/>
        <v/>
      </c>
      <c r="AD167" s="5" t="str">
        <f t="shared" ca="1" si="79"/>
        <v/>
      </c>
    </row>
    <row r="168" spans="1:30" x14ac:dyDescent="0.2">
      <c r="A168" s="67" t="str">
        <f ca="1">Demand!C165</f>
        <v/>
      </c>
      <c r="B168" s="67">
        <v>153</v>
      </c>
      <c r="C168" s="5">
        <f ca="1">'Demand background (hide)'!Y156</f>
        <v>0</v>
      </c>
      <c r="D168" s="67">
        <f t="shared" si="63"/>
        <v>0</v>
      </c>
      <c r="E168" s="67" t="e">
        <f t="shared" ca="1" si="64"/>
        <v>#N/A</v>
      </c>
      <c r="F168" s="67" t="e">
        <f t="shared" ca="1" si="65"/>
        <v>#N/A</v>
      </c>
      <c r="G168" s="67" t="e">
        <f t="shared" ca="1" si="66"/>
        <v>#N/A</v>
      </c>
      <c r="H168" s="67" t="e">
        <f>IF('Demand background (hide)'!AN156&lt;&gt;"",'SPC background (hide)'!C168,NA())</f>
        <v>#N/A</v>
      </c>
      <c r="I168" s="67">
        <f t="shared" ca="1" si="67"/>
        <v>5</v>
      </c>
      <c r="J168" s="5">
        <f t="shared" ca="1" si="68"/>
        <v>0</v>
      </c>
      <c r="K168" s="5">
        <f t="shared" ca="1" si="69"/>
        <v>0</v>
      </c>
      <c r="L168" s="5">
        <f t="shared" ca="1" si="70"/>
        <v>0</v>
      </c>
      <c r="M168" s="5">
        <f t="shared" ca="1" si="71"/>
        <v>0</v>
      </c>
      <c r="N168" s="5">
        <f t="shared" ca="1" si="72"/>
        <v>0</v>
      </c>
      <c r="O168" s="5">
        <f t="shared" ca="1" si="73"/>
        <v>0</v>
      </c>
      <c r="P168" s="5">
        <f t="shared" ca="1" si="74"/>
        <v>0</v>
      </c>
      <c r="Q168" s="5" t="e">
        <f t="shared" ca="1" si="75"/>
        <v>#N/A</v>
      </c>
      <c r="R168" s="5">
        <f t="shared" ca="1" si="80"/>
        <v>0</v>
      </c>
      <c r="S168" s="67" t="e">
        <f t="shared" ca="1" si="81"/>
        <v>#N/A</v>
      </c>
      <c r="T168" s="67">
        <f t="shared" ca="1" si="82"/>
        <v>0</v>
      </c>
      <c r="U168" s="67" t="e">
        <f t="shared" ca="1" si="83"/>
        <v>#N/A</v>
      </c>
      <c r="V168" s="5">
        <f t="shared" ca="1" si="62"/>
        <v>0</v>
      </c>
      <c r="W168" s="5" t="e">
        <f t="shared" ca="1" si="76"/>
        <v>#N/A</v>
      </c>
      <c r="X168" s="67">
        <f t="shared" ca="1" si="77"/>
        <v>0</v>
      </c>
      <c r="Y168" s="67" t="e">
        <f t="shared" ca="1" si="84"/>
        <v>#N/A</v>
      </c>
      <c r="Z168" s="67" t="e">
        <f t="shared" ca="1" si="85"/>
        <v>#N/A</v>
      </c>
      <c r="AA168" s="5" t="str">
        <f>IF(Setup!$I$15="Yes",'Demand background (hide)'!AJ156+'SPC background (hide)'!C168,"")</f>
        <v/>
      </c>
      <c r="AC168" s="5" t="str">
        <f t="shared" ca="1" si="78"/>
        <v/>
      </c>
      <c r="AD168" s="5" t="str">
        <f t="shared" ca="1" si="79"/>
        <v/>
      </c>
    </row>
    <row r="169" spans="1:30" x14ac:dyDescent="0.2">
      <c r="A169" s="67" t="str">
        <f ca="1">Demand!C166</f>
        <v/>
      </c>
      <c r="B169" s="67">
        <v>154</v>
      </c>
      <c r="C169" s="5">
        <f ca="1">'Demand background (hide)'!Y157</f>
        <v>0</v>
      </c>
      <c r="D169" s="67">
        <f t="shared" si="63"/>
        <v>0</v>
      </c>
      <c r="E169" s="67" t="e">
        <f t="shared" ca="1" si="64"/>
        <v>#N/A</v>
      </c>
      <c r="F169" s="67" t="e">
        <f t="shared" ca="1" si="65"/>
        <v>#N/A</v>
      </c>
      <c r="G169" s="67" t="e">
        <f t="shared" ca="1" si="66"/>
        <v>#N/A</v>
      </c>
      <c r="H169" s="67" t="e">
        <f>IF('Demand background (hide)'!AN157&lt;&gt;"",'SPC background (hide)'!C169,NA())</f>
        <v>#N/A</v>
      </c>
      <c r="I169" s="67">
        <f t="shared" ca="1" si="67"/>
        <v>5</v>
      </c>
      <c r="J169" s="5">
        <f t="shared" ca="1" si="68"/>
        <v>0</v>
      </c>
      <c r="K169" s="5">
        <f t="shared" ca="1" si="69"/>
        <v>0</v>
      </c>
      <c r="L169" s="5">
        <f t="shared" ca="1" si="70"/>
        <v>0</v>
      </c>
      <c r="M169" s="5">
        <f t="shared" ca="1" si="71"/>
        <v>0</v>
      </c>
      <c r="N169" s="5">
        <f t="shared" ca="1" si="72"/>
        <v>0</v>
      </c>
      <c r="O169" s="5">
        <f t="shared" ca="1" si="73"/>
        <v>0</v>
      </c>
      <c r="P169" s="5">
        <f t="shared" ca="1" si="74"/>
        <v>0</v>
      </c>
      <c r="Q169" s="5" t="e">
        <f t="shared" ca="1" si="75"/>
        <v>#N/A</v>
      </c>
      <c r="R169" s="5">
        <f t="shared" ca="1" si="80"/>
        <v>0</v>
      </c>
      <c r="S169" s="67" t="e">
        <f t="shared" ca="1" si="81"/>
        <v>#N/A</v>
      </c>
      <c r="T169" s="67">
        <f t="shared" ca="1" si="82"/>
        <v>0</v>
      </c>
      <c r="U169" s="67" t="e">
        <f t="shared" ca="1" si="83"/>
        <v>#N/A</v>
      </c>
      <c r="V169" s="5">
        <f t="shared" ca="1" si="62"/>
        <v>0</v>
      </c>
      <c r="W169" s="5" t="e">
        <f t="shared" ca="1" si="76"/>
        <v>#N/A</v>
      </c>
      <c r="X169" s="67">
        <f t="shared" ca="1" si="77"/>
        <v>0</v>
      </c>
      <c r="Y169" s="67" t="e">
        <f t="shared" ca="1" si="84"/>
        <v>#N/A</v>
      </c>
      <c r="Z169" s="67" t="e">
        <f t="shared" ca="1" si="85"/>
        <v>#N/A</v>
      </c>
      <c r="AA169" s="5" t="str">
        <f>IF(Setup!$I$15="Yes",'Demand background (hide)'!AJ157+'SPC background (hide)'!C169,"")</f>
        <v/>
      </c>
      <c r="AC169" s="5" t="str">
        <f t="shared" ca="1" si="78"/>
        <v/>
      </c>
      <c r="AD169" s="5" t="str">
        <f t="shared" ca="1" si="79"/>
        <v/>
      </c>
    </row>
    <row r="170" spans="1:30" x14ac:dyDescent="0.2">
      <c r="A170" s="67" t="str">
        <f ca="1">Demand!C167</f>
        <v/>
      </c>
      <c r="B170" s="67">
        <v>155</v>
      </c>
      <c r="C170" s="5">
        <f ca="1">'Demand background (hide)'!Y158</f>
        <v>0</v>
      </c>
      <c r="D170" s="67">
        <f t="shared" si="63"/>
        <v>0</v>
      </c>
      <c r="E170" s="67" t="e">
        <f t="shared" ca="1" si="64"/>
        <v>#N/A</v>
      </c>
      <c r="F170" s="67" t="e">
        <f t="shared" ca="1" si="65"/>
        <v>#N/A</v>
      </c>
      <c r="G170" s="67" t="e">
        <f t="shared" ca="1" si="66"/>
        <v>#N/A</v>
      </c>
      <c r="H170" s="67" t="e">
        <f>IF('Demand background (hide)'!AN158&lt;&gt;"",'SPC background (hide)'!C170,NA())</f>
        <v>#N/A</v>
      </c>
      <c r="I170" s="67">
        <f t="shared" ca="1" si="67"/>
        <v>5</v>
      </c>
      <c r="J170" s="5">
        <f t="shared" ca="1" si="68"/>
        <v>0</v>
      </c>
      <c r="K170" s="5">
        <f t="shared" ca="1" si="69"/>
        <v>0</v>
      </c>
      <c r="L170" s="5">
        <f t="shared" ca="1" si="70"/>
        <v>0</v>
      </c>
      <c r="M170" s="5">
        <f t="shared" ca="1" si="71"/>
        <v>0</v>
      </c>
      <c r="N170" s="5">
        <f t="shared" ca="1" si="72"/>
        <v>0</v>
      </c>
      <c r="O170" s="5">
        <f t="shared" ca="1" si="73"/>
        <v>0</v>
      </c>
      <c r="P170" s="5">
        <f t="shared" ca="1" si="74"/>
        <v>0</v>
      </c>
      <c r="Q170" s="5" t="e">
        <f t="shared" ca="1" si="75"/>
        <v>#N/A</v>
      </c>
      <c r="R170" s="5">
        <f t="shared" ca="1" si="80"/>
        <v>0</v>
      </c>
      <c r="S170" s="67" t="e">
        <f t="shared" ca="1" si="81"/>
        <v>#N/A</v>
      </c>
      <c r="T170" s="67">
        <f t="shared" ca="1" si="82"/>
        <v>0</v>
      </c>
      <c r="U170" s="67" t="e">
        <f t="shared" ca="1" si="83"/>
        <v>#N/A</v>
      </c>
      <c r="V170" s="5">
        <f t="shared" ca="1" si="62"/>
        <v>0</v>
      </c>
      <c r="W170" s="5" t="e">
        <f t="shared" ca="1" si="76"/>
        <v>#N/A</v>
      </c>
      <c r="X170" s="67">
        <f t="shared" ca="1" si="77"/>
        <v>0</v>
      </c>
      <c r="Y170" s="67" t="e">
        <f t="shared" ca="1" si="84"/>
        <v>#N/A</v>
      </c>
      <c r="Z170" s="67" t="e">
        <f t="shared" ca="1" si="85"/>
        <v>#N/A</v>
      </c>
      <c r="AA170" s="5" t="str">
        <f>IF(Setup!$I$15="Yes",'Demand background (hide)'!AJ158+'SPC background (hide)'!C170,"")</f>
        <v/>
      </c>
      <c r="AC170" s="5" t="str">
        <f t="shared" ca="1" si="78"/>
        <v/>
      </c>
      <c r="AD170" s="5" t="str">
        <f t="shared" ca="1" si="79"/>
        <v/>
      </c>
    </row>
    <row r="171" spans="1:30" x14ac:dyDescent="0.2">
      <c r="A171" s="67" t="str">
        <f ca="1">Demand!C168</f>
        <v/>
      </c>
      <c r="B171" s="67">
        <v>156</v>
      </c>
      <c r="C171" s="5">
        <f ca="1">'Demand background (hide)'!Y159</f>
        <v>0</v>
      </c>
      <c r="D171" s="67">
        <f t="shared" si="63"/>
        <v>0</v>
      </c>
      <c r="E171" s="67" t="e">
        <f t="shared" ca="1" si="64"/>
        <v>#N/A</v>
      </c>
      <c r="F171" s="67" t="e">
        <f t="shared" ca="1" si="65"/>
        <v>#N/A</v>
      </c>
      <c r="G171" s="67" t="e">
        <f t="shared" ca="1" si="66"/>
        <v>#N/A</v>
      </c>
      <c r="H171" s="67" t="e">
        <f>IF('Demand background (hide)'!AN159&lt;&gt;"",'SPC background (hide)'!C171,NA())</f>
        <v>#N/A</v>
      </c>
      <c r="I171" s="67">
        <f t="shared" ca="1" si="67"/>
        <v>5</v>
      </c>
      <c r="J171" s="5">
        <f t="shared" ca="1" si="68"/>
        <v>0</v>
      </c>
      <c r="K171" s="5">
        <f t="shared" ca="1" si="69"/>
        <v>0</v>
      </c>
      <c r="L171" s="5">
        <f t="shared" ca="1" si="70"/>
        <v>0</v>
      </c>
      <c r="M171" s="5">
        <f t="shared" ca="1" si="71"/>
        <v>0</v>
      </c>
      <c r="N171" s="5">
        <f t="shared" ca="1" si="72"/>
        <v>0</v>
      </c>
      <c r="O171" s="5">
        <f t="shared" ca="1" si="73"/>
        <v>0</v>
      </c>
      <c r="P171" s="5">
        <f t="shared" ca="1" si="74"/>
        <v>0</v>
      </c>
      <c r="Q171" s="5" t="e">
        <f t="shared" ca="1" si="75"/>
        <v>#N/A</v>
      </c>
      <c r="R171" s="5">
        <f t="shared" ca="1" si="80"/>
        <v>0</v>
      </c>
      <c r="S171" s="67" t="e">
        <f t="shared" ca="1" si="81"/>
        <v>#N/A</v>
      </c>
      <c r="T171" s="67">
        <f t="shared" ca="1" si="82"/>
        <v>0</v>
      </c>
      <c r="U171" s="67" t="e">
        <f t="shared" ca="1" si="83"/>
        <v>#N/A</v>
      </c>
      <c r="V171" s="5">
        <f t="shared" ca="1" si="62"/>
        <v>0</v>
      </c>
      <c r="W171" s="5" t="e">
        <f t="shared" ca="1" si="76"/>
        <v>#N/A</v>
      </c>
      <c r="X171" s="67">
        <f t="shared" ca="1" si="77"/>
        <v>0</v>
      </c>
      <c r="Y171" s="67" t="e">
        <f t="shared" ca="1" si="84"/>
        <v>#N/A</v>
      </c>
      <c r="Z171" s="67" t="e">
        <f t="shared" ca="1" si="85"/>
        <v>#N/A</v>
      </c>
      <c r="AA171" s="5" t="str">
        <f>IF(Setup!$I$15="Yes",'Demand background (hide)'!AJ159+'SPC background (hide)'!C171,"")</f>
        <v/>
      </c>
      <c r="AC171" s="5" t="str">
        <f t="shared" ca="1" si="78"/>
        <v/>
      </c>
      <c r="AD171" s="5" t="str">
        <f t="shared" ca="1" si="79"/>
        <v/>
      </c>
    </row>
    <row r="172" spans="1:30" x14ac:dyDescent="0.2">
      <c r="A172" s="67" t="str">
        <f ca="1">Demand!C169</f>
        <v/>
      </c>
      <c r="B172" s="67">
        <v>157</v>
      </c>
      <c r="C172" s="5">
        <f ca="1">'Demand background (hide)'!Y160</f>
        <v>0</v>
      </c>
      <c r="D172" s="67">
        <f t="shared" si="63"/>
        <v>0</v>
      </c>
      <c r="E172" s="67" t="e">
        <f t="shared" ca="1" si="64"/>
        <v>#N/A</v>
      </c>
      <c r="F172" s="67" t="e">
        <f t="shared" ca="1" si="65"/>
        <v>#N/A</v>
      </c>
      <c r="G172" s="67" t="e">
        <f t="shared" ca="1" si="66"/>
        <v>#N/A</v>
      </c>
      <c r="H172" s="67" t="e">
        <f>IF('Demand background (hide)'!AN160&lt;&gt;"",'SPC background (hide)'!C172,NA())</f>
        <v>#N/A</v>
      </c>
      <c r="I172" s="67">
        <f t="shared" ca="1" si="67"/>
        <v>5</v>
      </c>
      <c r="J172" s="5">
        <f t="shared" ca="1" si="68"/>
        <v>0</v>
      </c>
      <c r="K172" s="5">
        <f t="shared" ca="1" si="69"/>
        <v>0</v>
      </c>
      <c r="L172" s="5">
        <f t="shared" ca="1" si="70"/>
        <v>0</v>
      </c>
      <c r="M172" s="5">
        <f t="shared" ca="1" si="71"/>
        <v>0</v>
      </c>
      <c r="N172" s="5">
        <f t="shared" ca="1" si="72"/>
        <v>0</v>
      </c>
      <c r="O172" s="5">
        <f t="shared" ca="1" si="73"/>
        <v>0</v>
      </c>
      <c r="P172" s="5">
        <f t="shared" ca="1" si="74"/>
        <v>0</v>
      </c>
      <c r="Q172" s="5" t="e">
        <f t="shared" ca="1" si="75"/>
        <v>#N/A</v>
      </c>
      <c r="R172" s="5">
        <f t="shared" ca="1" si="80"/>
        <v>0</v>
      </c>
      <c r="S172" s="67" t="e">
        <f t="shared" ca="1" si="81"/>
        <v>#N/A</v>
      </c>
      <c r="T172" s="67">
        <f t="shared" ca="1" si="82"/>
        <v>0</v>
      </c>
      <c r="U172" s="67" t="e">
        <f t="shared" ca="1" si="83"/>
        <v>#N/A</v>
      </c>
      <c r="V172" s="5">
        <f t="shared" ca="1" si="62"/>
        <v>0</v>
      </c>
      <c r="W172" s="5" t="e">
        <f t="shared" ca="1" si="76"/>
        <v>#N/A</v>
      </c>
      <c r="X172" s="67">
        <f t="shared" ca="1" si="77"/>
        <v>0</v>
      </c>
      <c r="Y172" s="67" t="e">
        <f t="shared" ca="1" si="84"/>
        <v>#N/A</v>
      </c>
      <c r="Z172" s="67" t="e">
        <f t="shared" ca="1" si="85"/>
        <v>#N/A</v>
      </c>
      <c r="AA172" s="5" t="str">
        <f>IF(Setup!$I$15="Yes",'Demand background (hide)'!AJ160+'SPC background (hide)'!C172,"")</f>
        <v/>
      </c>
      <c r="AC172" s="5" t="str">
        <f t="shared" ca="1" si="78"/>
        <v/>
      </c>
      <c r="AD172" s="5" t="str">
        <f t="shared" ca="1" si="79"/>
        <v/>
      </c>
    </row>
    <row r="173" spans="1:30" x14ac:dyDescent="0.2">
      <c r="A173" s="67" t="str">
        <f ca="1">Demand!C170</f>
        <v/>
      </c>
      <c r="B173" s="67">
        <v>158</v>
      </c>
      <c r="C173" s="5">
        <f ca="1">'Demand background (hide)'!Y161</f>
        <v>0</v>
      </c>
      <c r="D173" s="67">
        <f t="shared" si="63"/>
        <v>0</v>
      </c>
      <c r="E173" s="67" t="e">
        <f t="shared" ca="1" si="64"/>
        <v>#N/A</v>
      </c>
      <c r="F173" s="67" t="e">
        <f t="shared" ca="1" si="65"/>
        <v>#N/A</v>
      </c>
      <c r="G173" s="67" t="e">
        <f t="shared" ca="1" si="66"/>
        <v>#N/A</v>
      </c>
      <c r="H173" s="67" t="e">
        <f>IF('Demand background (hide)'!AN161&lt;&gt;"",'SPC background (hide)'!C173,NA())</f>
        <v>#N/A</v>
      </c>
      <c r="I173" s="67">
        <f t="shared" ca="1" si="67"/>
        <v>5</v>
      </c>
      <c r="J173" s="5">
        <f t="shared" ca="1" si="68"/>
        <v>0</v>
      </c>
      <c r="K173" s="5">
        <f t="shared" ca="1" si="69"/>
        <v>0</v>
      </c>
      <c r="L173" s="5">
        <f t="shared" ca="1" si="70"/>
        <v>0</v>
      </c>
      <c r="M173" s="5">
        <f t="shared" ca="1" si="71"/>
        <v>0</v>
      </c>
      <c r="N173" s="5">
        <f t="shared" ca="1" si="72"/>
        <v>0</v>
      </c>
      <c r="O173" s="5">
        <f t="shared" ca="1" si="73"/>
        <v>0</v>
      </c>
      <c r="P173" s="5">
        <f t="shared" ca="1" si="74"/>
        <v>0</v>
      </c>
      <c r="Q173" s="5" t="e">
        <f t="shared" ca="1" si="75"/>
        <v>#N/A</v>
      </c>
      <c r="R173" s="5">
        <f t="shared" ca="1" si="80"/>
        <v>0</v>
      </c>
      <c r="S173" s="67" t="e">
        <f t="shared" ca="1" si="81"/>
        <v>#N/A</v>
      </c>
      <c r="T173" s="67">
        <f t="shared" ca="1" si="82"/>
        <v>0</v>
      </c>
      <c r="U173" s="67" t="e">
        <f t="shared" ca="1" si="83"/>
        <v>#N/A</v>
      </c>
      <c r="V173" s="5">
        <f t="shared" ca="1" si="62"/>
        <v>0</v>
      </c>
      <c r="W173" s="5" t="e">
        <f t="shared" ca="1" si="76"/>
        <v>#N/A</v>
      </c>
      <c r="X173" s="67">
        <f t="shared" ca="1" si="77"/>
        <v>0</v>
      </c>
      <c r="Y173" s="67" t="e">
        <f t="shared" ca="1" si="84"/>
        <v>#N/A</v>
      </c>
      <c r="Z173" s="67" t="e">
        <f t="shared" ca="1" si="85"/>
        <v>#N/A</v>
      </c>
      <c r="AA173" s="5" t="str">
        <f>IF(Setup!$I$15="Yes",'Demand background (hide)'!AJ161+'SPC background (hide)'!C173,"")</f>
        <v/>
      </c>
      <c r="AC173" s="5" t="str">
        <f t="shared" ca="1" si="78"/>
        <v/>
      </c>
      <c r="AD173" s="5" t="str">
        <f t="shared" ca="1" si="79"/>
        <v/>
      </c>
    </row>
    <row r="174" spans="1:30" x14ac:dyDescent="0.2">
      <c r="A174" s="67" t="str">
        <f ca="1">Demand!C171</f>
        <v/>
      </c>
      <c r="B174" s="67">
        <v>159</v>
      </c>
      <c r="C174" s="5">
        <f ca="1">'Demand background (hide)'!Y162</f>
        <v>0</v>
      </c>
      <c r="D174" s="67">
        <f t="shared" si="63"/>
        <v>0</v>
      </c>
      <c r="E174" s="67" t="e">
        <f t="shared" ca="1" si="64"/>
        <v>#N/A</v>
      </c>
      <c r="F174" s="67" t="e">
        <f t="shared" ca="1" si="65"/>
        <v>#N/A</v>
      </c>
      <c r="G174" s="67" t="e">
        <f t="shared" ca="1" si="66"/>
        <v>#N/A</v>
      </c>
      <c r="H174" s="67" t="e">
        <f>IF('Demand background (hide)'!AN162&lt;&gt;"",'SPC background (hide)'!C174,NA())</f>
        <v>#N/A</v>
      </c>
      <c r="I174" s="67">
        <f t="shared" ca="1" si="67"/>
        <v>5</v>
      </c>
      <c r="J174" s="5">
        <f t="shared" ca="1" si="68"/>
        <v>0</v>
      </c>
      <c r="K174" s="5">
        <f t="shared" ca="1" si="69"/>
        <v>0</v>
      </c>
      <c r="L174" s="5">
        <f t="shared" ca="1" si="70"/>
        <v>0</v>
      </c>
      <c r="M174" s="5">
        <f t="shared" ca="1" si="71"/>
        <v>0</v>
      </c>
      <c r="N174" s="5">
        <f t="shared" ca="1" si="72"/>
        <v>0</v>
      </c>
      <c r="O174" s="5">
        <f t="shared" ca="1" si="73"/>
        <v>0</v>
      </c>
      <c r="P174" s="5">
        <f t="shared" ca="1" si="74"/>
        <v>0</v>
      </c>
      <c r="Q174" s="5" t="e">
        <f t="shared" ca="1" si="75"/>
        <v>#N/A</v>
      </c>
      <c r="R174" s="5">
        <f t="shared" ca="1" si="80"/>
        <v>0</v>
      </c>
      <c r="S174" s="67" t="e">
        <f t="shared" ca="1" si="81"/>
        <v>#N/A</v>
      </c>
      <c r="T174" s="67">
        <f t="shared" ca="1" si="82"/>
        <v>0</v>
      </c>
      <c r="U174" s="67" t="e">
        <f t="shared" ca="1" si="83"/>
        <v>#N/A</v>
      </c>
      <c r="V174" s="5">
        <f t="shared" ca="1" si="62"/>
        <v>0</v>
      </c>
      <c r="W174" s="5" t="e">
        <f t="shared" ca="1" si="76"/>
        <v>#N/A</v>
      </c>
      <c r="X174" s="67">
        <f t="shared" ca="1" si="77"/>
        <v>0</v>
      </c>
      <c r="Y174" s="67" t="e">
        <f t="shared" ca="1" si="84"/>
        <v>#N/A</v>
      </c>
      <c r="Z174" s="67" t="e">
        <f t="shared" ca="1" si="85"/>
        <v>#N/A</v>
      </c>
      <c r="AA174" s="5" t="str">
        <f>IF(Setup!$I$15="Yes",'Demand background (hide)'!AJ162+'SPC background (hide)'!C174,"")</f>
        <v/>
      </c>
      <c r="AC174" s="5" t="str">
        <f t="shared" ca="1" si="78"/>
        <v/>
      </c>
      <c r="AD174" s="5" t="str">
        <f t="shared" ca="1" si="79"/>
        <v/>
      </c>
    </row>
    <row r="175" spans="1:30" x14ac:dyDescent="0.2">
      <c r="A175" s="67" t="str">
        <f ca="1">Demand!C172</f>
        <v/>
      </c>
      <c r="B175" s="67">
        <v>160</v>
      </c>
      <c r="C175" s="5">
        <f ca="1">'Demand background (hide)'!Y163</f>
        <v>0</v>
      </c>
      <c r="D175" s="67">
        <f t="shared" si="63"/>
        <v>0</v>
      </c>
      <c r="E175" s="67" t="e">
        <f t="shared" ca="1" si="64"/>
        <v>#N/A</v>
      </c>
      <c r="F175" s="67" t="e">
        <f t="shared" ca="1" si="65"/>
        <v>#N/A</v>
      </c>
      <c r="G175" s="67" t="e">
        <f t="shared" ca="1" si="66"/>
        <v>#N/A</v>
      </c>
      <c r="H175" s="67" t="e">
        <f>IF('Demand background (hide)'!AN163&lt;&gt;"",'SPC background (hide)'!C175,NA())</f>
        <v>#N/A</v>
      </c>
      <c r="I175" s="67">
        <f t="shared" ca="1" si="67"/>
        <v>5</v>
      </c>
      <c r="J175" s="5">
        <f t="shared" ca="1" si="68"/>
        <v>0</v>
      </c>
      <c r="K175" s="5">
        <f t="shared" ca="1" si="69"/>
        <v>0</v>
      </c>
      <c r="L175" s="5">
        <f t="shared" ca="1" si="70"/>
        <v>0</v>
      </c>
      <c r="M175" s="5">
        <f t="shared" ca="1" si="71"/>
        <v>0</v>
      </c>
      <c r="N175" s="5">
        <f t="shared" ca="1" si="72"/>
        <v>0</v>
      </c>
      <c r="O175" s="5">
        <f t="shared" ca="1" si="73"/>
        <v>0</v>
      </c>
      <c r="P175" s="5">
        <f t="shared" ca="1" si="74"/>
        <v>0</v>
      </c>
      <c r="Q175" s="5" t="e">
        <f t="shared" ca="1" si="75"/>
        <v>#N/A</v>
      </c>
      <c r="R175" s="5">
        <f t="shared" ca="1" si="80"/>
        <v>0</v>
      </c>
      <c r="S175" s="67" t="e">
        <f t="shared" ca="1" si="81"/>
        <v>#N/A</v>
      </c>
      <c r="T175" s="67">
        <f t="shared" ca="1" si="82"/>
        <v>0</v>
      </c>
      <c r="U175" s="67" t="e">
        <f t="shared" ca="1" si="83"/>
        <v>#N/A</v>
      </c>
      <c r="V175" s="5">
        <f t="shared" ca="1" si="62"/>
        <v>0</v>
      </c>
      <c r="W175" s="5" t="e">
        <f t="shared" ca="1" si="76"/>
        <v>#N/A</v>
      </c>
      <c r="X175" s="67">
        <f t="shared" ca="1" si="77"/>
        <v>0</v>
      </c>
      <c r="Y175" s="67" t="e">
        <f t="shared" ca="1" si="84"/>
        <v>#N/A</v>
      </c>
      <c r="Z175" s="67" t="e">
        <f t="shared" ca="1" si="85"/>
        <v>#N/A</v>
      </c>
      <c r="AA175" s="5" t="str">
        <f>IF(Setup!$I$15="Yes",'Demand background (hide)'!AJ163+'SPC background (hide)'!C175,"")</f>
        <v/>
      </c>
      <c r="AC175" s="5" t="str">
        <f t="shared" ca="1" si="78"/>
        <v/>
      </c>
      <c r="AD175" s="5" t="str">
        <f t="shared" ca="1" si="79"/>
        <v/>
      </c>
    </row>
    <row r="176" spans="1:30" x14ac:dyDescent="0.2">
      <c r="A176" s="67" t="str">
        <f ca="1">Demand!C173</f>
        <v/>
      </c>
      <c r="B176" s="67">
        <v>161</v>
      </c>
      <c r="C176" s="5">
        <f ca="1">'Demand background (hide)'!Y164</f>
        <v>0</v>
      </c>
      <c r="D176" s="67">
        <f t="shared" si="63"/>
        <v>0</v>
      </c>
      <c r="E176" s="67" t="e">
        <f t="shared" ca="1" si="64"/>
        <v>#N/A</v>
      </c>
      <c r="F176" s="67" t="e">
        <f t="shared" ca="1" si="65"/>
        <v>#N/A</v>
      </c>
      <c r="G176" s="67" t="e">
        <f t="shared" ca="1" si="66"/>
        <v>#N/A</v>
      </c>
      <c r="H176" s="67" t="e">
        <f>IF('Demand background (hide)'!AN164&lt;&gt;"",'SPC background (hide)'!C176,NA())</f>
        <v>#N/A</v>
      </c>
      <c r="I176" s="67">
        <f t="shared" ca="1" si="67"/>
        <v>5</v>
      </c>
      <c r="J176" s="5">
        <f t="shared" ca="1" si="68"/>
        <v>0</v>
      </c>
      <c r="K176" s="5">
        <f t="shared" ca="1" si="69"/>
        <v>0</v>
      </c>
      <c r="L176" s="5">
        <f t="shared" ca="1" si="70"/>
        <v>0</v>
      </c>
      <c r="M176" s="5">
        <f t="shared" ca="1" si="71"/>
        <v>0</v>
      </c>
      <c r="N176" s="5">
        <f t="shared" ca="1" si="72"/>
        <v>0</v>
      </c>
      <c r="O176" s="5">
        <f t="shared" ca="1" si="73"/>
        <v>0</v>
      </c>
      <c r="P176" s="5">
        <f t="shared" ca="1" si="74"/>
        <v>0</v>
      </c>
      <c r="Q176" s="5" t="e">
        <f t="shared" ca="1" si="75"/>
        <v>#N/A</v>
      </c>
      <c r="R176" s="5">
        <f t="shared" ca="1" si="80"/>
        <v>0</v>
      </c>
      <c r="S176" s="67" t="e">
        <f t="shared" ca="1" si="81"/>
        <v>#N/A</v>
      </c>
      <c r="T176" s="67">
        <f t="shared" ca="1" si="82"/>
        <v>0</v>
      </c>
      <c r="U176" s="67" t="e">
        <f t="shared" ca="1" si="83"/>
        <v>#N/A</v>
      </c>
      <c r="V176" s="5">
        <f t="shared" ca="1" si="62"/>
        <v>0</v>
      </c>
      <c r="W176" s="5" t="e">
        <f t="shared" ca="1" si="76"/>
        <v>#N/A</v>
      </c>
      <c r="X176" s="67">
        <f t="shared" ca="1" si="77"/>
        <v>0</v>
      </c>
      <c r="Y176" s="67" t="e">
        <f t="shared" ca="1" si="84"/>
        <v>#N/A</v>
      </c>
      <c r="Z176" s="67" t="e">
        <f t="shared" ca="1" si="85"/>
        <v>#N/A</v>
      </c>
      <c r="AA176" s="5" t="str">
        <f>IF(Setup!$I$15="Yes",'Demand background (hide)'!AJ164+'SPC background (hide)'!C176,"")</f>
        <v/>
      </c>
      <c r="AC176" s="5" t="str">
        <f t="shared" ca="1" si="78"/>
        <v/>
      </c>
      <c r="AD176" s="5" t="str">
        <f t="shared" ca="1" si="79"/>
        <v/>
      </c>
    </row>
    <row r="177" spans="1:30" x14ac:dyDescent="0.2">
      <c r="A177" s="67" t="str">
        <f ca="1">Demand!C174</f>
        <v/>
      </c>
      <c r="B177" s="67">
        <v>162</v>
      </c>
      <c r="C177" s="5">
        <f ca="1">'Demand background (hide)'!Y165</f>
        <v>0</v>
      </c>
      <c r="D177" s="67">
        <f t="shared" si="63"/>
        <v>0</v>
      </c>
      <c r="E177" s="67" t="e">
        <f t="shared" ca="1" si="64"/>
        <v>#N/A</v>
      </c>
      <c r="F177" s="67" t="e">
        <f t="shared" ca="1" si="65"/>
        <v>#N/A</v>
      </c>
      <c r="G177" s="67" t="e">
        <f t="shared" ca="1" si="66"/>
        <v>#N/A</v>
      </c>
      <c r="H177" s="67" t="e">
        <f>IF('Demand background (hide)'!AN165&lt;&gt;"",'SPC background (hide)'!C177,NA())</f>
        <v>#N/A</v>
      </c>
      <c r="I177" s="67">
        <f t="shared" ca="1" si="67"/>
        <v>5</v>
      </c>
      <c r="J177" s="5">
        <f t="shared" ca="1" si="68"/>
        <v>0</v>
      </c>
      <c r="K177" s="5">
        <f t="shared" ca="1" si="69"/>
        <v>0</v>
      </c>
      <c r="L177" s="5">
        <f t="shared" ca="1" si="70"/>
        <v>0</v>
      </c>
      <c r="M177" s="5">
        <f t="shared" ca="1" si="71"/>
        <v>0</v>
      </c>
      <c r="N177" s="5">
        <f t="shared" ca="1" si="72"/>
        <v>0</v>
      </c>
      <c r="O177" s="5">
        <f t="shared" ca="1" si="73"/>
        <v>0</v>
      </c>
      <c r="P177" s="5">
        <f t="shared" ca="1" si="74"/>
        <v>0</v>
      </c>
      <c r="Q177" s="5" t="e">
        <f t="shared" ca="1" si="75"/>
        <v>#N/A</v>
      </c>
      <c r="R177" s="5">
        <f t="shared" ca="1" si="80"/>
        <v>0</v>
      </c>
      <c r="S177" s="67" t="e">
        <f t="shared" ca="1" si="81"/>
        <v>#N/A</v>
      </c>
      <c r="T177" s="67">
        <f t="shared" ca="1" si="82"/>
        <v>0</v>
      </c>
      <c r="U177" s="67" t="e">
        <f t="shared" ca="1" si="83"/>
        <v>#N/A</v>
      </c>
      <c r="V177" s="5">
        <f t="shared" ca="1" si="62"/>
        <v>0</v>
      </c>
      <c r="W177" s="5" t="e">
        <f t="shared" ca="1" si="76"/>
        <v>#N/A</v>
      </c>
      <c r="X177" s="67">
        <f t="shared" ca="1" si="77"/>
        <v>0</v>
      </c>
      <c r="Y177" s="67" t="e">
        <f t="shared" ca="1" si="84"/>
        <v>#N/A</v>
      </c>
      <c r="Z177" s="67" t="e">
        <f t="shared" ca="1" si="85"/>
        <v>#N/A</v>
      </c>
      <c r="AA177" s="5" t="str">
        <f>IF(Setup!$I$15="Yes",'Demand background (hide)'!AJ165+'SPC background (hide)'!C177,"")</f>
        <v/>
      </c>
      <c r="AC177" s="5" t="str">
        <f t="shared" ca="1" si="78"/>
        <v/>
      </c>
      <c r="AD177" s="5" t="str">
        <f t="shared" ca="1" si="79"/>
        <v/>
      </c>
    </row>
    <row r="178" spans="1:30" x14ac:dyDescent="0.2">
      <c r="A178" s="67" t="str">
        <f ca="1">Demand!C175</f>
        <v/>
      </c>
      <c r="B178" s="67">
        <v>163</v>
      </c>
      <c r="C178" s="5">
        <f ca="1">'Demand background (hide)'!Y166</f>
        <v>0</v>
      </c>
      <c r="D178" s="67">
        <f t="shared" si="63"/>
        <v>0</v>
      </c>
      <c r="E178" s="67" t="e">
        <f t="shared" ca="1" si="64"/>
        <v>#N/A</v>
      </c>
      <c r="F178" s="67" t="e">
        <f t="shared" ca="1" si="65"/>
        <v>#N/A</v>
      </c>
      <c r="G178" s="67" t="e">
        <f t="shared" ca="1" si="66"/>
        <v>#N/A</v>
      </c>
      <c r="H178" s="67" t="e">
        <f>IF('Demand background (hide)'!AN166&lt;&gt;"",'SPC background (hide)'!C178,NA())</f>
        <v>#N/A</v>
      </c>
      <c r="I178" s="67">
        <f t="shared" ca="1" si="67"/>
        <v>5</v>
      </c>
      <c r="J178" s="5">
        <f t="shared" ca="1" si="68"/>
        <v>0</v>
      </c>
      <c r="K178" s="5">
        <f t="shared" ca="1" si="69"/>
        <v>0</v>
      </c>
      <c r="L178" s="5">
        <f t="shared" ca="1" si="70"/>
        <v>0</v>
      </c>
      <c r="M178" s="5">
        <f t="shared" ca="1" si="71"/>
        <v>0</v>
      </c>
      <c r="N178" s="5">
        <f t="shared" ca="1" si="72"/>
        <v>0</v>
      </c>
      <c r="O178" s="5">
        <f t="shared" ca="1" si="73"/>
        <v>0</v>
      </c>
      <c r="P178" s="5">
        <f t="shared" ca="1" si="74"/>
        <v>0</v>
      </c>
      <c r="Q178" s="5" t="e">
        <f t="shared" ca="1" si="75"/>
        <v>#N/A</v>
      </c>
      <c r="R178" s="5">
        <f t="shared" ca="1" si="80"/>
        <v>0</v>
      </c>
      <c r="S178" s="67" t="e">
        <f t="shared" ca="1" si="81"/>
        <v>#N/A</v>
      </c>
      <c r="T178" s="67">
        <f t="shared" ca="1" si="82"/>
        <v>0</v>
      </c>
      <c r="U178" s="67" t="e">
        <f t="shared" ca="1" si="83"/>
        <v>#N/A</v>
      </c>
      <c r="V178" s="5">
        <f t="shared" ca="1" si="62"/>
        <v>0</v>
      </c>
      <c r="W178" s="5" t="e">
        <f t="shared" ca="1" si="76"/>
        <v>#N/A</v>
      </c>
      <c r="X178" s="67">
        <f t="shared" ca="1" si="77"/>
        <v>0</v>
      </c>
      <c r="Y178" s="67" t="e">
        <f t="shared" ca="1" si="84"/>
        <v>#N/A</v>
      </c>
      <c r="Z178" s="67" t="e">
        <f t="shared" ca="1" si="85"/>
        <v>#N/A</v>
      </c>
      <c r="AA178" s="5" t="str">
        <f>IF(Setup!$I$15="Yes",'Demand background (hide)'!AJ166+'SPC background (hide)'!C178,"")</f>
        <v/>
      </c>
      <c r="AC178" s="5" t="str">
        <f t="shared" ca="1" si="78"/>
        <v/>
      </c>
      <c r="AD178" s="5" t="str">
        <f t="shared" ca="1" si="79"/>
        <v/>
      </c>
    </row>
    <row r="179" spans="1:30" x14ac:dyDescent="0.2">
      <c r="A179" s="67" t="str">
        <f ca="1">Demand!C176</f>
        <v/>
      </c>
      <c r="B179" s="67">
        <v>164</v>
      </c>
      <c r="C179" s="5">
        <f ca="1">'Demand background (hide)'!Y167</f>
        <v>0</v>
      </c>
      <c r="D179" s="67">
        <f t="shared" si="63"/>
        <v>0</v>
      </c>
      <c r="E179" s="67" t="e">
        <f t="shared" ca="1" si="64"/>
        <v>#N/A</v>
      </c>
      <c r="F179" s="67" t="e">
        <f t="shared" ca="1" si="65"/>
        <v>#N/A</v>
      </c>
      <c r="G179" s="67" t="e">
        <f t="shared" ca="1" si="66"/>
        <v>#N/A</v>
      </c>
      <c r="H179" s="67" t="e">
        <f>IF('Demand background (hide)'!AN167&lt;&gt;"",'SPC background (hide)'!C179,NA())</f>
        <v>#N/A</v>
      </c>
      <c r="I179" s="67">
        <f t="shared" ca="1" si="67"/>
        <v>5</v>
      </c>
      <c r="J179" s="5">
        <f t="shared" ca="1" si="68"/>
        <v>0</v>
      </c>
      <c r="K179" s="5">
        <f t="shared" ca="1" si="69"/>
        <v>0</v>
      </c>
      <c r="L179" s="5">
        <f t="shared" ca="1" si="70"/>
        <v>0</v>
      </c>
      <c r="M179" s="5">
        <f t="shared" ca="1" si="71"/>
        <v>0</v>
      </c>
      <c r="N179" s="5">
        <f t="shared" ca="1" si="72"/>
        <v>0</v>
      </c>
      <c r="O179" s="5">
        <f t="shared" ca="1" si="73"/>
        <v>0</v>
      </c>
      <c r="P179" s="5">
        <f t="shared" ca="1" si="74"/>
        <v>0</v>
      </c>
      <c r="Q179" s="5" t="e">
        <f t="shared" ca="1" si="75"/>
        <v>#N/A</v>
      </c>
      <c r="R179" s="5">
        <f t="shared" ca="1" si="80"/>
        <v>0</v>
      </c>
      <c r="S179" s="67" t="e">
        <f t="shared" ca="1" si="81"/>
        <v>#N/A</v>
      </c>
      <c r="T179" s="67">
        <f t="shared" ca="1" si="82"/>
        <v>0</v>
      </c>
      <c r="U179" s="67" t="e">
        <f t="shared" ca="1" si="83"/>
        <v>#N/A</v>
      </c>
      <c r="V179" s="5">
        <f t="shared" ca="1" si="62"/>
        <v>0</v>
      </c>
      <c r="W179" s="5" t="e">
        <f t="shared" ca="1" si="76"/>
        <v>#N/A</v>
      </c>
      <c r="X179" s="67">
        <f t="shared" ca="1" si="77"/>
        <v>0</v>
      </c>
      <c r="Y179" s="67" t="e">
        <f t="shared" ca="1" si="84"/>
        <v>#N/A</v>
      </c>
      <c r="Z179" s="67" t="e">
        <f t="shared" ca="1" si="85"/>
        <v>#N/A</v>
      </c>
      <c r="AA179" s="5" t="str">
        <f>IF(Setup!$I$15="Yes",'Demand background (hide)'!AJ167+'SPC background (hide)'!C179,"")</f>
        <v/>
      </c>
      <c r="AC179" s="5" t="str">
        <f t="shared" ca="1" si="78"/>
        <v/>
      </c>
      <c r="AD179" s="5" t="str">
        <f t="shared" ca="1" si="79"/>
        <v/>
      </c>
    </row>
    <row r="180" spans="1:30" x14ac:dyDescent="0.2">
      <c r="A180" s="67" t="str">
        <f ca="1">Demand!C177</f>
        <v/>
      </c>
      <c r="B180" s="67">
        <v>165</v>
      </c>
      <c r="C180" s="5">
        <f ca="1">'Demand background (hide)'!Y168</f>
        <v>0</v>
      </c>
      <c r="D180" s="67">
        <f t="shared" si="63"/>
        <v>0</v>
      </c>
      <c r="E180" s="67" t="e">
        <f t="shared" ca="1" si="64"/>
        <v>#N/A</v>
      </c>
      <c r="F180" s="67" t="e">
        <f t="shared" ca="1" si="65"/>
        <v>#N/A</v>
      </c>
      <c r="G180" s="67" t="e">
        <f t="shared" ca="1" si="66"/>
        <v>#N/A</v>
      </c>
      <c r="H180" s="67" t="e">
        <f>IF('Demand background (hide)'!AN168&lt;&gt;"",'SPC background (hide)'!C180,NA())</f>
        <v>#N/A</v>
      </c>
      <c r="I180" s="67">
        <f t="shared" ca="1" si="67"/>
        <v>5</v>
      </c>
      <c r="J180" s="5">
        <f t="shared" ca="1" si="68"/>
        <v>0</v>
      </c>
      <c r="K180" s="5">
        <f t="shared" ca="1" si="69"/>
        <v>0</v>
      </c>
      <c r="L180" s="5">
        <f t="shared" ca="1" si="70"/>
        <v>0</v>
      </c>
      <c r="M180" s="5">
        <f t="shared" ca="1" si="71"/>
        <v>0</v>
      </c>
      <c r="N180" s="5">
        <f t="shared" ca="1" si="72"/>
        <v>0</v>
      </c>
      <c r="O180" s="5">
        <f t="shared" ca="1" si="73"/>
        <v>0</v>
      </c>
      <c r="P180" s="5">
        <f t="shared" ca="1" si="74"/>
        <v>0</v>
      </c>
      <c r="Q180" s="5" t="e">
        <f t="shared" ca="1" si="75"/>
        <v>#N/A</v>
      </c>
      <c r="R180" s="5">
        <f t="shared" ca="1" si="80"/>
        <v>0</v>
      </c>
      <c r="S180" s="67" t="e">
        <f t="shared" ca="1" si="81"/>
        <v>#N/A</v>
      </c>
      <c r="T180" s="67">
        <f t="shared" ca="1" si="82"/>
        <v>0</v>
      </c>
      <c r="U180" s="67" t="e">
        <f t="shared" ca="1" si="83"/>
        <v>#N/A</v>
      </c>
      <c r="V180" s="5">
        <f t="shared" ca="1" si="62"/>
        <v>0</v>
      </c>
      <c r="W180" s="5" t="e">
        <f t="shared" ca="1" si="76"/>
        <v>#N/A</v>
      </c>
      <c r="X180" s="67">
        <f t="shared" ca="1" si="77"/>
        <v>0</v>
      </c>
      <c r="Y180" s="67" t="e">
        <f t="shared" ca="1" si="84"/>
        <v>#N/A</v>
      </c>
      <c r="Z180" s="67" t="e">
        <f t="shared" ca="1" si="85"/>
        <v>#N/A</v>
      </c>
      <c r="AA180" s="5" t="str">
        <f>IF(Setup!$I$15="Yes",'Demand background (hide)'!AJ168+'SPC background (hide)'!C180,"")</f>
        <v/>
      </c>
      <c r="AC180" s="5" t="str">
        <f t="shared" ca="1" si="78"/>
        <v/>
      </c>
      <c r="AD180" s="5" t="str">
        <f t="shared" ca="1" si="79"/>
        <v/>
      </c>
    </row>
    <row r="181" spans="1:30" x14ac:dyDescent="0.2">
      <c r="A181" s="67" t="str">
        <f ca="1">Demand!C178</f>
        <v/>
      </c>
      <c r="B181" s="67">
        <v>166</v>
      </c>
      <c r="C181" s="5">
        <f ca="1">'Demand background (hide)'!Y169</f>
        <v>0</v>
      </c>
      <c r="D181" s="67">
        <f t="shared" si="63"/>
        <v>0</v>
      </c>
      <c r="E181" s="67" t="e">
        <f t="shared" ca="1" si="64"/>
        <v>#N/A</v>
      </c>
      <c r="F181" s="67" t="e">
        <f t="shared" ca="1" si="65"/>
        <v>#N/A</v>
      </c>
      <c r="G181" s="67" t="e">
        <f t="shared" ca="1" si="66"/>
        <v>#N/A</v>
      </c>
      <c r="H181" s="67" t="e">
        <f>IF('Demand background (hide)'!AN169&lt;&gt;"",'SPC background (hide)'!C181,NA())</f>
        <v>#N/A</v>
      </c>
      <c r="I181" s="67">
        <f t="shared" ca="1" si="67"/>
        <v>5</v>
      </c>
      <c r="J181" s="5">
        <f t="shared" ca="1" si="68"/>
        <v>0</v>
      </c>
      <c r="K181" s="5">
        <f t="shared" ca="1" si="69"/>
        <v>0</v>
      </c>
      <c r="L181" s="5">
        <f t="shared" ca="1" si="70"/>
        <v>0</v>
      </c>
      <c r="M181" s="5">
        <f t="shared" ca="1" si="71"/>
        <v>0</v>
      </c>
      <c r="N181" s="5">
        <f t="shared" ca="1" si="72"/>
        <v>0</v>
      </c>
      <c r="O181" s="5">
        <f t="shared" ca="1" si="73"/>
        <v>0</v>
      </c>
      <c r="P181" s="5">
        <f t="shared" ca="1" si="74"/>
        <v>0</v>
      </c>
      <c r="Q181" s="5" t="e">
        <f t="shared" ca="1" si="75"/>
        <v>#N/A</v>
      </c>
      <c r="R181" s="5">
        <f t="shared" ca="1" si="80"/>
        <v>0</v>
      </c>
      <c r="S181" s="67" t="e">
        <f t="shared" ca="1" si="81"/>
        <v>#N/A</v>
      </c>
      <c r="T181" s="67">
        <f t="shared" ca="1" si="82"/>
        <v>0</v>
      </c>
      <c r="U181" s="67" t="e">
        <f t="shared" ca="1" si="83"/>
        <v>#N/A</v>
      </c>
      <c r="V181" s="5">
        <f t="shared" ca="1" si="62"/>
        <v>0</v>
      </c>
      <c r="W181" s="5" t="e">
        <f t="shared" ca="1" si="76"/>
        <v>#N/A</v>
      </c>
      <c r="X181" s="67">
        <f t="shared" ca="1" si="77"/>
        <v>0</v>
      </c>
      <c r="Y181" s="67" t="e">
        <f t="shared" ca="1" si="84"/>
        <v>#N/A</v>
      </c>
      <c r="Z181" s="67" t="e">
        <f t="shared" ca="1" si="85"/>
        <v>#N/A</v>
      </c>
      <c r="AA181" s="5" t="str">
        <f>IF(Setup!$I$15="Yes",'Demand background (hide)'!AJ169+'SPC background (hide)'!C181,"")</f>
        <v/>
      </c>
      <c r="AC181" s="5" t="str">
        <f t="shared" ca="1" si="78"/>
        <v/>
      </c>
      <c r="AD181" s="5" t="str">
        <f t="shared" ca="1" si="79"/>
        <v/>
      </c>
    </row>
    <row r="182" spans="1:30" x14ac:dyDescent="0.2">
      <c r="A182" s="67" t="str">
        <f ca="1">Demand!C179</f>
        <v/>
      </c>
      <c r="B182" s="67">
        <v>167</v>
      </c>
      <c r="C182" s="5">
        <f ca="1">'Demand background (hide)'!Y170</f>
        <v>0</v>
      </c>
      <c r="D182" s="67">
        <f t="shared" si="63"/>
        <v>0</v>
      </c>
      <c r="E182" s="67" t="e">
        <f t="shared" ca="1" si="64"/>
        <v>#N/A</v>
      </c>
      <c r="F182" s="67" t="e">
        <f t="shared" ca="1" si="65"/>
        <v>#N/A</v>
      </c>
      <c r="G182" s="67" t="e">
        <f t="shared" ca="1" si="66"/>
        <v>#N/A</v>
      </c>
      <c r="H182" s="67" t="e">
        <f>IF('Demand background (hide)'!AN170&lt;&gt;"",'SPC background (hide)'!C182,NA())</f>
        <v>#N/A</v>
      </c>
      <c r="I182" s="67">
        <f t="shared" ca="1" si="67"/>
        <v>5</v>
      </c>
      <c r="J182" s="5">
        <f t="shared" ca="1" si="68"/>
        <v>0</v>
      </c>
      <c r="K182" s="5">
        <f t="shared" ca="1" si="69"/>
        <v>0</v>
      </c>
      <c r="L182" s="5">
        <f t="shared" ca="1" si="70"/>
        <v>0</v>
      </c>
      <c r="M182" s="5">
        <f t="shared" ca="1" si="71"/>
        <v>0</v>
      </c>
      <c r="N182" s="5">
        <f t="shared" ca="1" si="72"/>
        <v>0</v>
      </c>
      <c r="O182" s="5">
        <f t="shared" ca="1" si="73"/>
        <v>0</v>
      </c>
      <c r="P182" s="5">
        <f t="shared" ca="1" si="74"/>
        <v>0</v>
      </c>
      <c r="Q182" s="5" t="e">
        <f t="shared" ca="1" si="75"/>
        <v>#N/A</v>
      </c>
      <c r="R182" s="5">
        <f t="shared" ca="1" si="80"/>
        <v>0</v>
      </c>
      <c r="S182" s="67" t="e">
        <f t="shared" ca="1" si="81"/>
        <v>#N/A</v>
      </c>
      <c r="T182" s="67">
        <f t="shared" ca="1" si="82"/>
        <v>0</v>
      </c>
      <c r="U182" s="67" t="e">
        <f t="shared" ca="1" si="83"/>
        <v>#N/A</v>
      </c>
      <c r="V182" s="5">
        <f t="shared" ca="1" si="62"/>
        <v>0</v>
      </c>
      <c r="W182" s="5" t="e">
        <f t="shared" ca="1" si="76"/>
        <v>#N/A</v>
      </c>
      <c r="X182" s="67">
        <f t="shared" ca="1" si="77"/>
        <v>0</v>
      </c>
      <c r="Y182" s="67" t="e">
        <f t="shared" ca="1" si="84"/>
        <v>#N/A</v>
      </c>
      <c r="Z182" s="67" t="e">
        <f t="shared" ca="1" si="85"/>
        <v>#N/A</v>
      </c>
      <c r="AA182" s="5" t="str">
        <f>IF(Setup!$I$15="Yes",'Demand background (hide)'!AJ170+'SPC background (hide)'!C182,"")</f>
        <v/>
      </c>
      <c r="AC182" s="5" t="str">
        <f t="shared" ca="1" si="78"/>
        <v/>
      </c>
      <c r="AD182" s="5" t="str">
        <f t="shared" ca="1" si="79"/>
        <v/>
      </c>
    </row>
    <row r="183" spans="1:30" x14ac:dyDescent="0.2">
      <c r="A183" s="67" t="str">
        <f ca="1">Demand!C180</f>
        <v/>
      </c>
      <c r="B183" s="67">
        <v>168</v>
      </c>
      <c r="C183" s="5">
        <f ca="1">'Demand background (hide)'!Y171</f>
        <v>0</v>
      </c>
      <c r="D183" s="67">
        <f t="shared" si="63"/>
        <v>0</v>
      </c>
      <c r="E183" s="67" t="e">
        <f t="shared" ca="1" si="64"/>
        <v>#N/A</v>
      </c>
      <c r="F183" s="67" t="e">
        <f t="shared" ca="1" si="65"/>
        <v>#N/A</v>
      </c>
      <c r="G183" s="67" t="e">
        <f t="shared" ca="1" si="66"/>
        <v>#N/A</v>
      </c>
      <c r="H183" s="67" t="e">
        <f>IF('Demand background (hide)'!AN171&lt;&gt;"",'SPC background (hide)'!C183,NA())</f>
        <v>#N/A</v>
      </c>
      <c r="I183" s="67">
        <f t="shared" ca="1" si="67"/>
        <v>5</v>
      </c>
      <c r="J183" s="5">
        <f t="shared" ca="1" si="68"/>
        <v>0</v>
      </c>
      <c r="K183" s="5">
        <f t="shared" ca="1" si="69"/>
        <v>0</v>
      </c>
      <c r="L183" s="5">
        <f t="shared" ca="1" si="70"/>
        <v>0</v>
      </c>
      <c r="M183" s="5">
        <f t="shared" ca="1" si="71"/>
        <v>0</v>
      </c>
      <c r="N183" s="5">
        <f t="shared" ca="1" si="72"/>
        <v>0</v>
      </c>
      <c r="O183" s="5">
        <f t="shared" ca="1" si="73"/>
        <v>0</v>
      </c>
      <c r="P183" s="5">
        <f t="shared" ca="1" si="74"/>
        <v>0</v>
      </c>
      <c r="Q183" s="5" t="e">
        <f t="shared" ca="1" si="75"/>
        <v>#N/A</v>
      </c>
      <c r="R183" s="5">
        <f t="shared" ca="1" si="80"/>
        <v>0</v>
      </c>
      <c r="S183" s="67" t="e">
        <f t="shared" ca="1" si="81"/>
        <v>#N/A</v>
      </c>
      <c r="T183" s="67">
        <f t="shared" ca="1" si="82"/>
        <v>0</v>
      </c>
      <c r="U183" s="67" t="e">
        <f t="shared" ca="1" si="83"/>
        <v>#N/A</v>
      </c>
      <c r="V183" s="5">
        <f t="shared" ca="1" si="62"/>
        <v>0</v>
      </c>
      <c r="W183" s="5" t="e">
        <f t="shared" ca="1" si="76"/>
        <v>#N/A</v>
      </c>
      <c r="X183" s="67">
        <f t="shared" ca="1" si="77"/>
        <v>0</v>
      </c>
      <c r="Y183" s="67" t="e">
        <f t="shared" ca="1" si="84"/>
        <v>#N/A</v>
      </c>
      <c r="Z183" s="67" t="e">
        <f t="shared" ca="1" si="85"/>
        <v>#N/A</v>
      </c>
      <c r="AA183" s="5" t="str">
        <f>IF(Setup!$I$15="Yes",'Demand background (hide)'!AJ171+'SPC background (hide)'!C183,"")</f>
        <v/>
      </c>
      <c r="AC183" s="5" t="str">
        <f t="shared" ca="1" si="78"/>
        <v/>
      </c>
      <c r="AD183" s="5" t="str">
        <f t="shared" ca="1" si="79"/>
        <v/>
      </c>
    </row>
    <row r="184" spans="1:30" x14ac:dyDescent="0.2">
      <c r="A184" s="67" t="str">
        <f ca="1">Demand!C181</f>
        <v/>
      </c>
      <c r="B184" s="67">
        <v>169</v>
      </c>
      <c r="C184" s="5">
        <f ca="1">'Demand background (hide)'!Y172</f>
        <v>0</v>
      </c>
      <c r="D184" s="67">
        <f t="shared" si="63"/>
        <v>0</v>
      </c>
      <c r="E184" s="67" t="e">
        <f t="shared" ca="1" si="64"/>
        <v>#N/A</v>
      </c>
      <c r="F184" s="67" t="e">
        <f t="shared" ca="1" si="65"/>
        <v>#N/A</v>
      </c>
      <c r="G184" s="67" t="e">
        <f t="shared" ca="1" si="66"/>
        <v>#N/A</v>
      </c>
      <c r="H184" s="67" t="e">
        <f>IF('Demand background (hide)'!AN172&lt;&gt;"",'SPC background (hide)'!C184,NA())</f>
        <v>#N/A</v>
      </c>
      <c r="I184" s="67">
        <f t="shared" ca="1" si="67"/>
        <v>5</v>
      </c>
      <c r="J184" s="5">
        <f t="shared" ca="1" si="68"/>
        <v>0</v>
      </c>
      <c r="K184" s="5">
        <f t="shared" ca="1" si="69"/>
        <v>0</v>
      </c>
      <c r="L184" s="5">
        <f t="shared" ca="1" si="70"/>
        <v>0</v>
      </c>
      <c r="M184" s="5">
        <f t="shared" ca="1" si="71"/>
        <v>0</v>
      </c>
      <c r="N184" s="5">
        <f t="shared" ca="1" si="72"/>
        <v>0</v>
      </c>
      <c r="O184" s="5">
        <f t="shared" ca="1" si="73"/>
        <v>0</v>
      </c>
      <c r="P184" s="5">
        <f t="shared" ca="1" si="74"/>
        <v>0</v>
      </c>
      <c r="Q184" s="5" t="e">
        <f t="shared" ca="1" si="75"/>
        <v>#N/A</v>
      </c>
      <c r="R184" s="5">
        <f t="shared" ca="1" si="80"/>
        <v>0</v>
      </c>
      <c r="S184" s="67" t="e">
        <f t="shared" ca="1" si="81"/>
        <v>#N/A</v>
      </c>
      <c r="T184" s="67">
        <f t="shared" ca="1" si="82"/>
        <v>0</v>
      </c>
      <c r="U184" s="67" t="e">
        <f t="shared" ca="1" si="83"/>
        <v>#N/A</v>
      </c>
      <c r="V184" s="5">
        <f t="shared" ca="1" si="62"/>
        <v>0</v>
      </c>
      <c r="W184" s="5" t="e">
        <f t="shared" ca="1" si="76"/>
        <v>#N/A</v>
      </c>
      <c r="X184" s="67">
        <f t="shared" ca="1" si="77"/>
        <v>0</v>
      </c>
      <c r="Y184" s="67" t="e">
        <f t="shared" ca="1" si="84"/>
        <v>#N/A</v>
      </c>
      <c r="Z184" s="67" t="e">
        <f t="shared" ca="1" si="85"/>
        <v>#N/A</v>
      </c>
      <c r="AA184" s="5" t="str">
        <f>IF(Setup!$I$15="Yes",'Demand background (hide)'!AJ172+'SPC background (hide)'!C184,"")</f>
        <v/>
      </c>
      <c r="AC184" s="5" t="str">
        <f t="shared" ca="1" si="78"/>
        <v/>
      </c>
      <c r="AD184" s="5" t="str">
        <f t="shared" ca="1" si="79"/>
        <v/>
      </c>
    </row>
    <row r="185" spans="1:30" x14ac:dyDescent="0.2">
      <c r="A185" s="67" t="str">
        <f ca="1">Demand!C182</f>
        <v/>
      </c>
      <c r="B185" s="67">
        <v>170</v>
      </c>
      <c r="C185" s="5">
        <f ca="1">'Demand background (hide)'!Y173</f>
        <v>0</v>
      </c>
      <c r="D185" s="67">
        <f t="shared" si="63"/>
        <v>0</v>
      </c>
      <c r="E185" s="67" t="e">
        <f t="shared" ca="1" si="64"/>
        <v>#N/A</v>
      </c>
      <c r="F185" s="67" t="e">
        <f t="shared" ca="1" si="65"/>
        <v>#N/A</v>
      </c>
      <c r="G185" s="67" t="e">
        <f t="shared" ca="1" si="66"/>
        <v>#N/A</v>
      </c>
      <c r="H185" s="67" t="e">
        <f>IF('Demand background (hide)'!AN173&lt;&gt;"",'SPC background (hide)'!C185,NA())</f>
        <v>#N/A</v>
      </c>
      <c r="I185" s="67">
        <f t="shared" ca="1" si="67"/>
        <v>5</v>
      </c>
      <c r="J185" s="5">
        <f t="shared" ca="1" si="68"/>
        <v>0</v>
      </c>
      <c r="K185" s="5">
        <f t="shared" ca="1" si="69"/>
        <v>0</v>
      </c>
      <c r="L185" s="5">
        <f t="shared" ca="1" si="70"/>
        <v>0</v>
      </c>
      <c r="M185" s="5">
        <f t="shared" ca="1" si="71"/>
        <v>0</v>
      </c>
      <c r="N185" s="5">
        <f t="shared" ca="1" si="72"/>
        <v>0</v>
      </c>
      <c r="O185" s="5">
        <f t="shared" ca="1" si="73"/>
        <v>0</v>
      </c>
      <c r="P185" s="5">
        <f t="shared" ca="1" si="74"/>
        <v>0</v>
      </c>
      <c r="Q185" s="5" t="e">
        <f t="shared" ca="1" si="75"/>
        <v>#N/A</v>
      </c>
      <c r="R185" s="5">
        <f t="shared" ca="1" si="80"/>
        <v>0</v>
      </c>
      <c r="S185" s="67" t="e">
        <f t="shared" ca="1" si="81"/>
        <v>#N/A</v>
      </c>
      <c r="T185" s="67">
        <f t="shared" ca="1" si="82"/>
        <v>0</v>
      </c>
      <c r="U185" s="67" t="e">
        <f t="shared" ca="1" si="83"/>
        <v>#N/A</v>
      </c>
      <c r="V185" s="5">
        <f t="shared" ca="1" si="62"/>
        <v>0</v>
      </c>
      <c r="W185" s="5" t="e">
        <f t="shared" ca="1" si="76"/>
        <v>#N/A</v>
      </c>
      <c r="X185" s="67">
        <f t="shared" ca="1" si="77"/>
        <v>0</v>
      </c>
      <c r="Y185" s="67" t="e">
        <f t="shared" ca="1" si="84"/>
        <v>#N/A</v>
      </c>
      <c r="Z185" s="67" t="e">
        <f t="shared" ca="1" si="85"/>
        <v>#N/A</v>
      </c>
      <c r="AA185" s="5" t="str">
        <f>IF(Setup!$I$15="Yes",'Demand background (hide)'!AJ173+'SPC background (hide)'!C185,"")</f>
        <v/>
      </c>
      <c r="AC185" s="5" t="str">
        <f t="shared" ca="1" si="78"/>
        <v/>
      </c>
      <c r="AD185" s="5" t="str">
        <f t="shared" ca="1" si="79"/>
        <v/>
      </c>
    </row>
    <row r="186" spans="1:30" x14ac:dyDescent="0.2">
      <c r="A186" s="67" t="str">
        <f ca="1">Demand!C183</f>
        <v/>
      </c>
      <c r="B186" s="67">
        <v>171</v>
      </c>
      <c r="C186" s="5">
        <f ca="1">'Demand background (hide)'!Y174</f>
        <v>0</v>
      </c>
      <c r="D186" s="67">
        <f t="shared" si="63"/>
        <v>0</v>
      </c>
      <c r="E186" s="67" t="e">
        <f t="shared" ca="1" si="64"/>
        <v>#N/A</v>
      </c>
      <c r="F186" s="67" t="e">
        <f t="shared" ca="1" si="65"/>
        <v>#N/A</v>
      </c>
      <c r="G186" s="67" t="e">
        <f t="shared" ca="1" si="66"/>
        <v>#N/A</v>
      </c>
      <c r="H186" s="67" t="e">
        <f>IF('Demand background (hide)'!AN174&lt;&gt;"",'SPC background (hide)'!C186,NA())</f>
        <v>#N/A</v>
      </c>
      <c r="I186" s="67">
        <f t="shared" ca="1" si="67"/>
        <v>5</v>
      </c>
      <c r="J186" s="5">
        <f t="shared" ca="1" si="68"/>
        <v>0</v>
      </c>
      <c r="K186" s="5">
        <f t="shared" ca="1" si="69"/>
        <v>0</v>
      </c>
      <c r="L186" s="5">
        <f t="shared" ca="1" si="70"/>
        <v>0</v>
      </c>
      <c r="M186" s="5">
        <f t="shared" ca="1" si="71"/>
        <v>0</v>
      </c>
      <c r="N186" s="5">
        <f t="shared" ca="1" si="72"/>
        <v>0</v>
      </c>
      <c r="O186" s="5">
        <f t="shared" ca="1" si="73"/>
        <v>0</v>
      </c>
      <c r="P186" s="5">
        <f t="shared" ca="1" si="74"/>
        <v>0</v>
      </c>
      <c r="Q186" s="5" t="e">
        <f t="shared" ca="1" si="75"/>
        <v>#N/A</v>
      </c>
      <c r="R186" s="5">
        <f t="shared" ca="1" si="80"/>
        <v>0</v>
      </c>
      <c r="S186" s="67" t="e">
        <f t="shared" ca="1" si="81"/>
        <v>#N/A</v>
      </c>
      <c r="T186" s="67">
        <f t="shared" ca="1" si="82"/>
        <v>0</v>
      </c>
      <c r="U186" s="67" t="e">
        <f t="shared" ca="1" si="83"/>
        <v>#N/A</v>
      </c>
      <c r="V186" s="5">
        <f t="shared" ca="1" si="62"/>
        <v>0</v>
      </c>
      <c r="W186" s="5" t="e">
        <f t="shared" ca="1" si="76"/>
        <v>#N/A</v>
      </c>
      <c r="X186" s="67">
        <f t="shared" ca="1" si="77"/>
        <v>0</v>
      </c>
      <c r="Y186" s="67" t="e">
        <f t="shared" ca="1" si="84"/>
        <v>#N/A</v>
      </c>
      <c r="Z186" s="67" t="e">
        <f t="shared" ca="1" si="85"/>
        <v>#N/A</v>
      </c>
      <c r="AA186" s="5" t="str">
        <f>IF(Setup!$I$15="Yes",'Demand background (hide)'!AJ174+'SPC background (hide)'!C186,"")</f>
        <v/>
      </c>
      <c r="AC186" s="5" t="str">
        <f t="shared" ca="1" si="78"/>
        <v/>
      </c>
      <c r="AD186" s="5" t="str">
        <f t="shared" ca="1" si="79"/>
        <v/>
      </c>
    </row>
    <row r="187" spans="1:30" x14ac:dyDescent="0.2">
      <c r="A187" s="67" t="str">
        <f ca="1">Demand!C184</f>
        <v/>
      </c>
      <c r="B187" s="67">
        <v>172</v>
      </c>
      <c r="C187" s="5">
        <f ca="1">'Demand background (hide)'!Y175</f>
        <v>0</v>
      </c>
      <c r="D187" s="67">
        <f t="shared" si="63"/>
        <v>0</v>
      </c>
      <c r="E187" s="67" t="e">
        <f t="shared" ca="1" si="64"/>
        <v>#N/A</v>
      </c>
      <c r="F187" s="67" t="e">
        <f t="shared" ca="1" si="65"/>
        <v>#N/A</v>
      </c>
      <c r="G187" s="67" t="e">
        <f t="shared" ca="1" si="66"/>
        <v>#N/A</v>
      </c>
      <c r="H187" s="67" t="e">
        <f>IF('Demand background (hide)'!AN175&lt;&gt;"",'SPC background (hide)'!C187,NA())</f>
        <v>#N/A</v>
      </c>
      <c r="I187" s="67">
        <f t="shared" ca="1" si="67"/>
        <v>5</v>
      </c>
      <c r="J187" s="5">
        <f t="shared" ca="1" si="68"/>
        <v>0</v>
      </c>
      <c r="K187" s="5">
        <f t="shared" ca="1" si="69"/>
        <v>0</v>
      </c>
      <c r="L187" s="5">
        <f t="shared" ca="1" si="70"/>
        <v>0</v>
      </c>
      <c r="M187" s="5">
        <f t="shared" ca="1" si="71"/>
        <v>0</v>
      </c>
      <c r="N187" s="5">
        <f t="shared" ca="1" si="72"/>
        <v>0</v>
      </c>
      <c r="O187" s="5">
        <f t="shared" ca="1" si="73"/>
        <v>0</v>
      </c>
      <c r="P187" s="5">
        <f t="shared" ca="1" si="74"/>
        <v>0</v>
      </c>
      <c r="Q187" s="5" t="e">
        <f t="shared" ca="1" si="75"/>
        <v>#N/A</v>
      </c>
      <c r="R187" s="5">
        <f t="shared" ca="1" si="80"/>
        <v>0</v>
      </c>
      <c r="S187" s="67" t="e">
        <f t="shared" ca="1" si="81"/>
        <v>#N/A</v>
      </c>
      <c r="T187" s="67">
        <f t="shared" ca="1" si="82"/>
        <v>0</v>
      </c>
      <c r="U187" s="67" t="e">
        <f t="shared" ca="1" si="83"/>
        <v>#N/A</v>
      </c>
      <c r="V187" s="5">
        <f t="shared" ca="1" si="62"/>
        <v>0</v>
      </c>
      <c r="W187" s="5" t="e">
        <f t="shared" ca="1" si="76"/>
        <v>#N/A</v>
      </c>
      <c r="X187" s="67">
        <f t="shared" ca="1" si="77"/>
        <v>0</v>
      </c>
      <c r="Y187" s="67" t="e">
        <f t="shared" ca="1" si="84"/>
        <v>#N/A</v>
      </c>
      <c r="Z187" s="67" t="e">
        <f t="shared" ca="1" si="85"/>
        <v>#N/A</v>
      </c>
      <c r="AA187" s="5" t="str">
        <f>IF(Setup!$I$15="Yes",'Demand background (hide)'!AJ175+'SPC background (hide)'!C187,"")</f>
        <v/>
      </c>
      <c r="AC187" s="5" t="str">
        <f t="shared" ca="1" si="78"/>
        <v/>
      </c>
      <c r="AD187" s="5" t="str">
        <f t="shared" ca="1" si="79"/>
        <v/>
      </c>
    </row>
    <row r="188" spans="1:30" x14ac:dyDescent="0.2">
      <c r="A188" s="67" t="str">
        <f ca="1">Demand!C185</f>
        <v/>
      </c>
      <c r="B188" s="67">
        <v>173</v>
      </c>
      <c r="C188" s="5">
        <f ca="1">'Demand background (hide)'!Y176</f>
        <v>0</v>
      </c>
      <c r="D188" s="67">
        <f t="shared" si="63"/>
        <v>0</v>
      </c>
      <c r="E188" s="67" t="e">
        <f t="shared" ca="1" si="64"/>
        <v>#N/A</v>
      </c>
      <c r="F188" s="67" t="e">
        <f t="shared" ca="1" si="65"/>
        <v>#N/A</v>
      </c>
      <c r="G188" s="67" t="e">
        <f t="shared" ca="1" si="66"/>
        <v>#N/A</v>
      </c>
      <c r="H188" s="67" t="e">
        <f>IF('Demand background (hide)'!AN176&lt;&gt;"",'SPC background (hide)'!C188,NA())</f>
        <v>#N/A</v>
      </c>
      <c r="I188" s="67">
        <f t="shared" ca="1" si="67"/>
        <v>5</v>
      </c>
      <c r="J188" s="5">
        <f t="shared" ca="1" si="68"/>
        <v>0</v>
      </c>
      <c r="K188" s="5">
        <f t="shared" ca="1" si="69"/>
        <v>0</v>
      </c>
      <c r="L188" s="5">
        <f t="shared" ca="1" si="70"/>
        <v>0</v>
      </c>
      <c r="M188" s="5">
        <f t="shared" ca="1" si="71"/>
        <v>0</v>
      </c>
      <c r="N188" s="5">
        <f t="shared" ca="1" si="72"/>
        <v>0</v>
      </c>
      <c r="O188" s="5">
        <f t="shared" ca="1" si="73"/>
        <v>0</v>
      </c>
      <c r="P188" s="5">
        <f t="shared" ca="1" si="74"/>
        <v>0</v>
      </c>
      <c r="Q188" s="5" t="e">
        <f t="shared" ca="1" si="75"/>
        <v>#N/A</v>
      </c>
      <c r="R188" s="5">
        <f t="shared" ca="1" si="80"/>
        <v>0</v>
      </c>
      <c r="S188" s="67" t="e">
        <f t="shared" ca="1" si="81"/>
        <v>#N/A</v>
      </c>
      <c r="T188" s="67">
        <f t="shared" ca="1" si="82"/>
        <v>0</v>
      </c>
      <c r="U188" s="67" t="e">
        <f t="shared" ca="1" si="83"/>
        <v>#N/A</v>
      </c>
      <c r="V188" s="5">
        <f t="shared" ca="1" si="62"/>
        <v>0</v>
      </c>
      <c r="W188" s="5" t="e">
        <f t="shared" ca="1" si="76"/>
        <v>#N/A</v>
      </c>
      <c r="X188" s="67">
        <f t="shared" ca="1" si="77"/>
        <v>0</v>
      </c>
      <c r="Y188" s="67" t="e">
        <f t="shared" ca="1" si="84"/>
        <v>#N/A</v>
      </c>
      <c r="Z188" s="67" t="e">
        <f t="shared" ca="1" si="85"/>
        <v>#N/A</v>
      </c>
      <c r="AA188" s="5" t="str">
        <f>IF(Setup!$I$15="Yes",'Demand background (hide)'!AJ176+'SPC background (hide)'!C188,"")</f>
        <v/>
      </c>
      <c r="AC188" s="5" t="str">
        <f t="shared" ca="1" si="78"/>
        <v/>
      </c>
      <c r="AD188" s="5" t="str">
        <f t="shared" ca="1" si="79"/>
        <v/>
      </c>
    </row>
    <row r="189" spans="1:30" x14ac:dyDescent="0.2">
      <c r="A189" s="67" t="str">
        <f ca="1">Demand!C186</f>
        <v/>
      </c>
      <c r="B189" s="67">
        <v>174</v>
      </c>
      <c r="C189" s="5">
        <f ca="1">'Demand background (hide)'!Y177</f>
        <v>0</v>
      </c>
      <c r="D189" s="67">
        <f t="shared" si="63"/>
        <v>0</v>
      </c>
      <c r="E189" s="67" t="e">
        <f t="shared" ca="1" si="64"/>
        <v>#N/A</v>
      </c>
      <c r="F189" s="67" t="e">
        <f t="shared" ca="1" si="65"/>
        <v>#N/A</v>
      </c>
      <c r="G189" s="67" t="e">
        <f t="shared" ca="1" si="66"/>
        <v>#N/A</v>
      </c>
      <c r="H189" s="67" t="e">
        <f>IF('Demand background (hide)'!AN177&lt;&gt;"",'SPC background (hide)'!C189,NA())</f>
        <v>#N/A</v>
      </c>
      <c r="I189" s="67">
        <f t="shared" ca="1" si="67"/>
        <v>5</v>
      </c>
      <c r="J189" s="5">
        <f t="shared" ca="1" si="68"/>
        <v>0</v>
      </c>
      <c r="K189" s="5">
        <f t="shared" ca="1" si="69"/>
        <v>0</v>
      </c>
      <c r="L189" s="5">
        <f t="shared" ca="1" si="70"/>
        <v>0</v>
      </c>
      <c r="M189" s="5">
        <f t="shared" ca="1" si="71"/>
        <v>0</v>
      </c>
      <c r="N189" s="5">
        <f t="shared" ca="1" si="72"/>
        <v>0</v>
      </c>
      <c r="O189" s="5">
        <f t="shared" ca="1" si="73"/>
        <v>0</v>
      </c>
      <c r="P189" s="5">
        <f t="shared" ca="1" si="74"/>
        <v>0</v>
      </c>
      <c r="Q189" s="5" t="e">
        <f t="shared" ca="1" si="75"/>
        <v>#N/A</v>
      </c>
      <c r="R189" s="5">
        <f t="shared" ca="1" si="80"/>
        <v>0</v>
      </c>
      <c r="S189" s="67" t="e">
        <f t="shared" ca="1" si="81"/>
        <v>#N/A</v>
      </c>
      <c r="T189" s="67">
        <f t="shared" ca="1" si="82"/>
        <v>0</v>
      </c>
      <c r="U189" s="67" t="e">
        <f t="shared" ca="1" si="83"/>
        <v>#N/A</v>
      </c>
      <c r="V189" s="5">
        <f t="shared" ca="1" si="62"/>
        <v>0</v>
      </c>
      <c r="W189" s="5" t="e">
        <f t="shared" ca="1" si="76"/>
        <v>#N/A</v>
      </c>
      <c r="X189" s="67">
        <f t="shared" ca="1" si="77"/>
        <v>0</v>
      </c>
      <c r="Y189" s="67" t="e">
        <f t="shared" ca="1" si="84"/>
        <v>#N/A</v>
      </c>
      <c r="Z189" s="67" t="e">
        <f t="shared" ca="1" si="85"/>
        <v>#N/A</v>
      </c>
      <c r="AA189" s="5" t="str">
        <f>IF(Setup!$I$15="Yes",'Demand background (hide)'!AJ177+'SPC background (hide)'!C189,"")</f>
        <v/>
      </c>
      <c r="AC189" s="5" t="str">
        <f t="shared" ca="1" si="78"/>
        <v/>
      </c>
      <c r="AD189" s="5" t="str">
        <f t="shared" ca="1" si="79"/>
        <v/>
      </c>
    </row>
    <row r="190" spans="1:30" x14ac:dyDescent="0.2">
      <c r="A190" s="67" t="str">
        <f ca="1">Demand!C187</f>
        <v/>
      </c>
      <c r="B190" s="67">
        <v>175</v>
      </c>
      <c r="C190" s="5">
        <f ca="1">'Demand background (hide)'!Y178</f>
        <v>0</v>
      </c>
      <c r="D190" s="67">
        <f t="shared" si="63"/>
        <v>0</v>
      </c>
      <c r="E190" s="67" t="e">
        <f t="shared" ca="1" si="64"/>
        <v>#N/A</v>
      </c>
      <c r="F190" s="67" t="e">
        <f t="shared" ca="1" si="65"/>
        <v>#N/A</v>
      </c>
      <c r="G190" s="67" t="e">
        <f t="shared" ca="1" si="66"/>
        <v>#N/A</v>
      </c>
      <c r="H190" s="67" t="e">
        <f>IF('Demand background (hide)'!AN178&lt;&gt;"",'SPC background (hide)'!C190,NA())</f>
        <v>#N/A</v>
      </c>
      <c r="I190" s="67">
        <f t="shared" ca="1" si="67"/>
        <v>5</v>
      </c>
      <c r="J190" s="5">
        <f t="shared" ca="1" si="68"/>
        <v>0</v>
      </c>
      <c r="K190" s="5">
        <f t="shared" ca="1" si="69"/>
        <v>0</v>
      </c>
      <c r="L190" s="5">
        <f t="shared" ca="1" si="70"/>
        <v>0</v>
      </c>
      <c r="M190" s="5">
        <f t="shared" ca="1" si="71"/>
        <v>0</v>
      </c>
      <c r="N190" s="5">
        <f t="shared" ca="1" si="72"/>
        <v>0</v>
      </c>
      <c r="O190" s="5">
        <f t="shared" ca="1" si="73"/>
        <v>0</v>
      </c>
      <c r="P190" s="5">
        <f t="shared" ca="1" si="74"/>
        <v>0</v>
      </c>
      <c r="Q190" s="5" t="e">
        <f t="shared" ca="1" si="75"/>
        <v>#N/A</v>
      </c>
      <c r="R190" s="5">
        <f t="shared" ca="1" si="80"/>
        <v>0</v>
      </c>
      <c r="S190" s="67" t="e">
        <f t="shared" ca="1" si="81"/>
        <v>#N/A</v>
      </c>
      <c r="T190" s="67">
        <f t="shared" ca="1" si="82"/>
        <v>0</v>
      </c>
      <c r="U190" s="67" t="e">
        <f t="shared" ca="1" si="83"/>
        <v>#N/A</v>
      </c>
      <c r="V190" s="5">
        <f t="shared" ca="1" si="62"/>
        <v>0</v>
      </c>
      <c r="W190" s="5" t="e">
        <f t="shared" ca="1" si="76"/>
        <v>#N/A</v>
      </c>
      <c r="X190" s="67">
        <f t="shared" ca="1" si="77"/>
        <v>0</v>
      </c>
      <c r="Y190" s="67" t="e">
        <f t="shared" ca="1" si="84"/>
        <v>#N/A</v>
      </c>
      <c r="Z190" s="67" t="e">
        <f t="shared" ca="1" si="85"/>
        <v>#N/A</v>
      </c>
      <c r="AA190" s="5" t="str">
        <f>IF(Setup!$I$15="Yes",'Demand background (hide)'!AJ178+'SPC background (hide)'!C190,"")</f>
        <v/>
      </c>
      <c r="AC190" s="5" t="str">
        <f t="shared" ca="1" si="78"/>
        <v/>
      </c>
      <c r="AD190" s="5" t="str">
        <f t="shared" ca="1" si="79"/>
        <v/>
      </c>
    </row>
    <row r="191" spans="1:30" x14ac:dyDescent="0.2">
      <c r="A191" s="67" t="str">
        <f ca="1">Demand!C188</f>
        <v/>
      </c>
      <c r="B191" s="67">
        <v>176</v>
      </c>
      <c r="C191" s="5">
        <f ca="1">'Demand background (hide)'!Y179</f>
        <v>0</v>
      </c>
      <c r="D191" s="67">
        <f t="shared" si="63"/>
        <v>0</v>
      </c>
      <c r="E191" s="67" t="e">
        <f t="shared" ca="1" si="64"/>
        <v>#N/A</v>
      </c>
      <c r="F191" s="67" t="e">
        <f t="shared" ca="1" si="65"/>
        <v>#N/A</v>
      </c>
      <c r="G191" s="67" t="e">
        <f t="shared" ca="1" si="66"/>
        <v>#N/A</v>
      </c>
      <c r="H191" s="67" t="e">
        <f>IF('Demand background (hide)'!AN179&lt;&gt;"",'SPC background (hide)'!C191,NA())</f>
        <v>#N/A</v>
      </c>
      <c r="I191" s="67">
        <f t="shared" ca="1" si="67"/>
        <v>5</v>
      </c>
      <c r="J191" s="5">
        <f t="shared" ca="1" si="68"/>
        <v>0</v>
      </c>
      <c r="K191" s="5">
        <f t="shared" ca="1" si="69"/>
        <v>0</v>
      </c>
      <c r="L191" s="5">
        <f t="shared" ca="1" si="70"/>
        <v>0</v>
      </c>
      <c r="M191" s="5">
        <f t="shared" ca="1" si="71"/>
        <v>0</v>
      </c>
      <c r="N191" s="5">
        <f t="shared" ca="1" si="72"/>
        <v>0</v>
      </c>
      <c r="O191" s="5">
        <f t="shared" ca="1" si="73"/>
        <v>0</v>
      </c>
      <c r="P191" s="5">
        <f t="shared" ca="1" si="74"/>
        <v>0</v>
      </c>
      <c r="Q191" s="5" t="e">
        <f t="shared" ca="1" si="75"/>
        <v>#N/A</v>
      </c>
      <c r="R191" s="5">
        <f t="shared" ca="1" si="80"/>
        <v>0</v>
      </c>
      <c r="S191" s="67" t="e">
        <f t="shared" ca="1" si="81"/>
        <v>#N/A</v>
      </c>
      <c r="T191" s="67">
        <f t="shared" ca="1" si="82"/>
        <v>0</v>
      </c>
      <c r="U191" s="67" t="e">
        <f t="shared" ca="1" si="83"/>
        <v>#N/A</v>
      </c>
      <c r="V191" s="5">
        <f t="shared" ca="1" si="62"/>
        <v>0</v>
      </c>
      <c r="W191" s="5" t="e">
        <f t="shared" ca="1" si="76"/>
        <v>#N/A</v>
      </c>
      <c r="X191" s="67">
        <f t="shared" ca="1" si="77"/>
        <v>0</v>
      </c>
      <c r="Y191" s="67" t="e">
        <f t="shared" ca="1" si="84"/>
        <v>#N/A</v>
      </c>
      <c r="Z191" s="67" t="e">
        <f t="shared" ca="1" si="85"/>
        <v>#N/A</v>
      </c>
      <c r="AA191" s="5" t="str">
        <f>IF(Setup!$I$15="Yes",'Demand background (hide)'!AJ179+'SPC background (hide)'!C191,"")</f>
        <v/>
      </c>
      <c r="AC191" s="5" t="str">
        <f t="shared" ca="1" si="78"/>
        <v/>
      </c>
      <c r="AD191" s="5" t="str">
        <f t="shared" ca="1" si="79"/>
        <v/>
      </c>
    </row>
    <row r="192" spans="1:30" x14ac:dyDescent="0.2">
      <c r="A192" s="67" t="str">
        <f ca="1">Demand!C189</f>
        <v/>
      </c>
      <c r="B192" s="67">
        <v>177</v>
      </c>
      <c r="C192" s="5">
        <f ca="1">'Demand background (hide)'!Y180</f>
        <v>0</v>
      </c>
      <c r="D192" s="67">
        <f t="shared" si="63"/>
        <v>0</v>
      </c>
      <c r="E192" s="67" t="e">
        <f t="shared" ca="1" si="64"/>
        <v>#N/A</v>
      </c>
      <c r="F192" s="67" t="e">
        <f t="shared" ca="1" si="65"/>
        <v>#N/A</v>
      </c>
      <c r="G192" s="67" t="e">
        <f t="shared" ca="1" si="66"/>
        <v>#N/A</v>
      </c>
      <c r="H192" s="67" t="e">
        <f>IF('Demand background (hide)'!AN180&lt;&gt;"",'SPC background (hide)'!C192,NA())</f>
        <v>#N/A</v>
      </c>
      <c r="I192" s="67">
        <f t="shared" ca="1" si="67"/>
        <v>5</v>
      </c>
      <c r="J192" s="5">
        <f t="shared" ca="1" si="68"/>
        <v>0</v>
      </c>
      <c r="K192" s="5">
        <f t="shared" ca="1" si="69"/>
        <v>0</v>
      </c>
      <c r="L192" s="5">
        <f t="shared" ca="1" si="70"/>
        <v>0</v>
      </c>
      <c r="M192" s="5">
        <f t="shared" ca="1" si="71"/>
        <v>0</v>
      </c>
      <c r="N192" s="5">
        <f t="shared" ca="1" si="72"/>
        <v>0</v>
      </c>
      <c r="O192" s="5">
        <f t="shared" ca="1" si="73"/>
        <v>0</v>
      </c>
      <c r="P192" s="5">
        <f t="shared" ca="1" si="74"/>
        <v>0</v>
      </c>
      <c r="Q192" s="5" t="e">
        <f t="shared" ca="1" si="75"/>
        <v>#N/A</v>
      </c>
      <c r="R192" s="5">
        <f t="shared" ca="1" si="80"/>
        <v>0</v>
      </c>
      <c r="S192" s="67" t="e">
        <f t="shared" ca="1" si="81"/>
        <v>#N/A</v>
      </c>
      <c r="T192" s="67">
        <f t="shared" ca="1" si="82"/>
        <v>0</v>
      </c>
      <c r="U192" s="67" t="e">
        <f t="shared" ca="1" si="83"/>
        <v>#N/A</v>
      </c>
      <c r="V192" s="5">
        <f t="shared" ca="1" si="62"/>
        <v>0</v>
      </c>
      <c r="W192" s="5" t="e">
        <f t="shared" ca="1" si="76"/>
        <v>#N/A</v>
      </c>
      <c r="X192" s="67">
        <f t="shared" ca="1" si="77"/>
        <v>0</v>
      </c>
      <c r="Y192" s="67" t="e">
        <f t="shared" ca="1" si="84"/>
        <v>#N/A</v>
      </c>
      <c r="Z192" s="67" t="e">
        <f t="shared" ca="1" si="85"/>
        <v>#N/A</v>
      </c>
      <c r="AA192" s="5" t="str">
        <f>IF(Setup!$I$15="Yes",'Demand background (hide)'!AJ180+'SPC background (hide)'!C192,"")</f>
        <v/>
      </c>
      <c r="AC192" s="5" t="str">
        <f t="shared" ca="1" si="78"/>
        <v/>
      </c>
      <c r="AD192" s="5" t="str">
        <f t="shared" ca="1" si="79"/>
        <v/>
      </c>
    </row>
    <row r="193" spans="1:30" x14ac:dyDescent="0.2">
      <c r="A193" s="67" t="str">
        <f ca="1">Demand!C190</f>
        <v/>
      </c>
      <c r="B193" s="67">
        <v>178</v>
      </c>
      <c r="C193" s="5">
        <f ca="1">'Demand background (hide)'!Y181</f>
        <v>0</v>
      </c>
      <c r="D193" s="67">
        <f t="shared" si="63"/>
        <v>0</v>
      </c>
      <c r="E193" s="67" t="e">
        <f t="shared" ca="1" si="64"/>
        <v>#N/A</v>
      </c>
      <c r="F193" s="67" t="e">
        <f t="shared" ca="1" si="65"/>
        <v>#N/A</v>
      </c>
      <c r="G193" s="67" t="e">
        <f t="shared" ca="1" si="66"/>
        <v>#N/A</v>
      </c>
      <c r="H193" s="67" t="e">
        <f>IF('Demand background (hide)'!AN181&lt;&gt;"",'SPC background (hide)'!C193,NA())</f>
        <v>#N/A</v>
      </c>
      <c r="I193" s="67">
        <f t="shared" ca="1" si="67"/>
        <v>5</v>
      </c>
      <c r="J193" s="5">
        <f t="shared" ca="1" si="68"/>
        <v>0</v>
      </c>
      <c r="K193" s="5">
        <f t="shared" ca="1" si="69"/>
        <v>0</v>
      </c>
      <c r="L193" s="5">
        <f t="shared" ca="1" si="70"/>
        <v>0</v>
      </c>
      <c r="M193" s="5">
        <f t="shared" ca="1" si="71"/>
        <v>0</v>
      </c>
      <c r="N193" s="5">
        <f t="shared" ca="1" si="72"/>
        <v>0</v>
      </c>
      <c r="O193" s="5">
        <f t="shared" ca="1" si="73"/>
        <v>0</v>
      </c>
      <c r="P193" s="5">
        <f t="shared" ca="1" si="74"/>
        <v>0</v>
      </c>
      <c r="Q193" s="5" t="e">
        <f t="shared" ca="1" si="75"/>
        <v>#N/A</v>
      </c>
      <c r="R193" s="5">
        <f t="shared" ca="1" si="80"/>
        <v>0</v>
      </c>
      <c r="S193" s="67" t="e">
        <f t="shared" ca="1" si="81"/>
        <v>#N/A</v>
      </c>
      <c r="T193" s="67">
        <f t="shared" ca="1" si="82"/>
        <v>0</v>
      </c>
      <c r="U193" s="67" t="e">
        <f t="shared" ca="1" si="83"/>
        <v>#N/A</v>
      </c>
      <c r="V193" s="5">
        <f t="shared" ca="1" si="62"/>
        <v>0</v>
      </c>
      <c r="W193" s="5" t="e">
        <f t="shared" ca="1" si="76"/>
        <v>#N/A</v>
      </c>
      <c r="X193" s="67">
        <f t="shared" ca="1" si="77"/>
        <v>0</v>
      </c>
      <c r="Y193" s="67" t="e">
        <f t="shared" ca="1" si="84"/>
        <v>#N/A</v>
      </c>
      <c r="Z193" s="67" t="e">
        <f t="shared" ca="1" si="85"/>
        <v>#N/A</v>
      </c>
      <c r="AA193" s="5" t="str">
        <f>IF(Setup!$I$15="Yes",'Demand background (hide)'!AJ181+'SPC background (hide)'!C193,"")</f>
        <v/>
      </c>
      <c r="AC193" s="5" t="str">
        <f t="shared" ca="1" si="78"/>
        <v/>
      </c>
      <c r="AD193" s="5" t="str">
        <f t="shared" ca="1" si="79"/>
        <v/>
      </c>
    </row>
    <row r="194" spans="1:30" x14ac:dyDescent="0.2">
      <c r="A194" s="67" t="str">
        <f ca="1">Demand!C191</f>
        <v/>
      </c>
      <c r="B194" s="67">
        <v>179</v>
      </c>
      <c r="C194" s="5">
        <f ca="1">'Demand background (hide)'!Y182</f>
        <v>0</v>
      </c>
      <c r="D194" s="67">
        <f t="shared" si="63"/>
        <v>0</v>
      </c>
      <c r="E194" s="67" t="e">
        <f t="shared" ca="1" si="64"/>
        <v>#N/A</v>
      </c>
      <c r="F194" s="67" t="e">
        <f t="shared" ca="1" si="65"/>
        <v>#N/A</v>
      </c>
      <c r="G194" s="67" t="e">
        <f t="shared" ca="1" si="66"/>
        <v>#N/A</v>
      </c>
      <c r="H194" s="67" t="e">
        <f>IF('Demand background (hide)'!AN182&lt;&gt;"",'SPC background (hide)'!C194,NA())</f>
        <v>#N/A</v>
      </c>
      <c r="I194" s="67">
        <f t="shared" ca="1" si="67"/>
        <v>5</v>
      </c>
      <c r="J194" s="5">
        <f t="shared" ca="1" si="68"/>
        <v>0</v>
      </c>
      <c r="K194" s="5">
        <f t="shared" ca="1" si="69"/>
        <v>0</v>
      </c>
      <c r="L194" s="5">
        <f t="shared" ca="1" si="70"/>
        <v>0</v>
      </c>
      <c r="M194" s="5">
        <f t="shared" ca="1" si="71"/>
        <v>0</v>
      </c>
      <c r="N194" s="5">
        <f t="shared" ca="1" si="72"/>
        <v>0</v>
      </c>
      <c r="O194" s="5">
        <f t="shared" ca="1" si="73"/>
        <v>0</v>
      </c>
      <c r="P194" s="5">
        <f t="shared" ca="1" si="74"/>
        <v>0</v>
      </c>
      <c r="Q194" s="5" t="e">
        <f t="shared" ca="1" si="75"/>
        <v>#N/A</v>
      </c>
      <c r="R194" s="5">
        <f t="shared" ca="1" si="80"/>
        <v>0</v>
      </c>
      <c r="S194" s="67" t="e">
        <f t="shared" ca="1" si="81"/>
        <v>#N/A</v>
      </c>
      <c r="T194" s="67">
        <f t="shared" ca="1" si="82"/>
        <v>0</v>
      </c>
      <c r="U194" s="67" t="e">
        <f t="shared" ca="1" si="83"/>
        <v>#N/A</v>
      </c>
      <c r="V194" s="5">
        <f t="shared" ca="1" si="62"/>
        <v>0</v>
      </c>
      <c r="W194" s="5" t="e">
        <f t="shared" ca="1" si="76"/>
        <v>#N/A</v>
      </c>
      <c r="X194" s="67">
        <f t="shared" ca="1" si="77"/>
        <v>0</v>
      </c>
      <c r="Y194" s="67" t="e">
        <f t="shared" ca="1" si="84"/>
        <v>#N/A</v>
      </c>
      <c r="Z194" s="67" t="e">
        <f t="shared" ca="1" si="85"/>
        <v>#N/A</v>
      </c>
      <c r="AA194" s="5" t="str">
        <f>IF(Setup!$I$15="Yes",'Demand background (hide)'!AJ182+'SPC background (hide)'!C194,"")</f>
        <v/>
      </c>
      <c r="AC194" s="5" t="str">
        <f t="shared" ca="1" si="78"/>
        <v/>
      </c>
      <c r="AD194" s="5" t="str">
        <f t="shared" ca="1" si="79"/>
        <v/>
      </c>
    </row>
    <row r="195" spans="1:30" x14ac:dyDescent="0.2">
      <c r="A195" s="67" t="str">
        <f ca="1">Demand!C192</f>
        <v/>
      </c>
      <c r="B195" s="67">
        <v>180</v>
      </c>
      <c r="C195" s="5">
        <f ca="1">'Demand background (hide)'!Y183</f>
        <v>0</v>
      </c>
      <c r="D195" s="67">
        <f t="shared" si="63"/>
        <v>0</v>
      </c>
      <c r="E195" s="67" t="e">
        <f t="shared" ca="1" si="64"/>
        <v>#N/A</v>
      </c>
      <c r="F195" s="67" t="e">
        <f t="shared" ca="1" si="65"/>
        <v>#N/A</v>
      </c>
      <c r="G195" s="67" t="e">
        <f t="shared" ca="1" si="66"/>
        <v>#N/A</v>
      </c>
      <c r="H195" s="67" t="e">
        <f>IF('Demand background (hide)'!AN183&lt;&gt;"",'SPC background (hide)'!C195,NA())</f>
        <v>#N/A</v>
      </c>
      <c r="I195" s="67">
        <f t="shared" ca="1" si="67"/>
        <v>5</v>
      </c>
      <c r="J195" s="5">
        <f t="shared" ca="1" si="68"/>
        <v>0</v>
      </c>
      <c r="K195" s="5">
        <f t="shared" ca="1" si="69"/>
        <v>0</v>
      </c>
      <c r="L195" s="5">
        <f t="shared" ca="1" si="70"/>
        <v>0</v>
      </c>
      <c r="M195" s="5">
        <f t="shared" ca="1" si="71"/>
        <v>0</v>
      </c>
      <c r="N195" s="5">
        <f t="shared" ca="1" si="72"/>
        <v>0</v>
      </c>
      <c r="O195" s="5">
        <f t="shared" ca="1" si="73"/>
        <v>0</v>
      </c>
      <c r="P195" s="5">
        <f t="shared" ca="1" si="74"/>
        <v>0</v>
      </c>
      <c r="Q195" s="5" t="e">
        <f t="shared" ca="1" si="75"/>
        <v>#N/A</v>
      </c>
      <c r="R195" s="5">
        <f t="shared" ca="1" si="80"/>
        <v>0</v>
      </c>
      <c r="S195" s="67" t="e">
        <f t="shared" ca="1" si="81"/>
        <v>#N/A</v>
      </c>
      <c r="T195" s="67">
        <f t="shared" ca="1" si="82"/>
        <v>0</v>
      </c>
      <c r="U195" s="67" t="e">
        <f t="shared" ca="1" si="83"/>
        <v>#N/A</v>
      </c>
      <c r="V195" s="5">
        <f t="shared" ca="1" si="62"/>
        <v>0</v>
      </c>
      <c r="W195" s="5" t="e">
        <f t="shared" ca="1" si="76"/>
        <v>#N/A</v>
      </c>
      <c r="X195" s="67">
        <f t="shared" ca="1" si="77"/>
        <v>0</v>
      </c>
      <c r="Y195" s="67" t="e">
        <f t="shared" ca="1" si="84"/>
        <v>#N/A</v>
      </c>
      <c r="Z195" s="67" t="e">
        <f t="shared" ca="1" si="85"/>
        <v>#N/A</v>
      </c>
      <c r="AA195" s="5" t="str">
        <f>IF(Setup!$I$15="Yes",'Demand background (hide)'!AJ183+'SPC background (hide)'!C195,"")</f>
        <v/>
      </c>
      <c r="AC195" s="5" t="str">
        <f t="shared" ca="1" si="78"/>
        <v/>
      </c>
      <c r="AD195" s="5" t="str">
        <f t="shared" ca="1" si="79"/>
        <v/>
      </c>
    </row>
    <row r="196" spans="1:30" x14ac:dyDescent="0.2">
      <c r="A196" s="67" t="str">
        <f ca="1">Demand!C193</f>
        <v/>
      </c>
      <c r="B196" s="67">
        <v>181</v>
      </c>
      <c r="C196" s="5">
        <f ca="1">'Demand background (hide)'!Y184</f>
        <v>0</v>
      </c>
      <c r="D196" s="67">
        <f t="shared" si="63"/>
        <v>0</v>
      </c>
      <c r="E196" s="67" t="e">
        <f t="shared" ca="1" si="64"/>
        <v>#N/A</v>
      </c>
      <c r="F196" s="67" t="e">
        <f t="shared" ca="1" si="65"/>
        <v>#N/A</v>
      </c>
      <c r="G196" s="67" t="e">
        <f t="shared" ca="1" si="66"/>
        <v>#N/A</v>
      </c>
      <c r="H196" s="67" t="e">
        <f>IF('Demand background (hide)'!AN184&lt;&gt;"",'SPC background (hide)'!C196,NA())</f>
        <v>#N/A</v>
      </c>
      <c r="I196" s="67">
        <f t="shared" ca="1" si="67"/>
        <v>5</v>
      </c>
      <c r="J196" s="5">
        <f t="shared" ca="1" si="68"/>
        <v>0</v>
      </c>
      <c r="K196" s="5">
        <f t="shared" ca="1" si="69"/>
        <v>0</v>
      </c>
      <c r="L196" s="5">
        <f t="shared" ca="1" si="70"/>
        <v>0</v>
      </c>
      <c r="M196" s="5">
        <f t="shared" ca="1" si="71"/>
        <v>0</v>
      </c>
      <c r="N196" s="5">
        <f t="shared" ca="1" si="72"/>
        <v>0</v>
      </c>
      <c r="O196" s="5">
        <f t="shared" ca="1" si="73"/>
        <v>0</v>
      </c>
      <c r="P196" s="5">
        <f t="shared" ca="1" si="74"/>
        <v>0</v>
      </c>
      <c r="Q196" s="5" t="e">
        <f t="shared" ca="1" si="75"/>
        <v>#N/A</v>
      </c>
      <c r="R196" s="5">
        <f t="shared" ca="1" si="80"/>
        <v>0</v>
      </c>
      <c r="S196" s="67" t="e">
        <f t="shared" ca="1" si="81"/>
        <v>#N/A</v>
      </c>
      <c r="T196" s="67">
        <f t="shared" ca="1" si="82"/>
        <v>0</v>
      </c>
      <c r="U196" s="67" t="e">
        <f t="shared" ca="1" si="83"/>
        <v>#N/A</v>
      </c>
      <c r="V196" s="5">
        <f t="shared" ca="1" si="62"/>
        <v>0</v>
      </c>
      <c r="W196" s="5" t="e">
        <f t="shared" ca="1" si="76"/>
        <v>#N/A</v>
      </c>
      <c r="X196" s="67">
        <f t="shared" ca="1" si="77"/>
        <v>0</v>
      </c>
      <c r="Y196" s="67" t="e">
        <f t="shared" ca="1" si="84"/>
        <v>#N/A</v>
      </c>
      <c r="Z196" s="67" t="e">
        <f t="shared" ca="1" si="85"/>
        <v>#N/A</v>
      </c>
      <c r="AA196" s="5" t="str">
        <f>IF(Setup!$I$15="Yes",'Demand background (hide)'!AJ184+'SPC background (hide)'!C196,"")</f>
        <v/>
      </c>
      <c r="AC196" s="5" t="str">
        <f t="shared" ca="1" si="78"/>
        <v/>
      </c>
      <c r="AD196" s="5" t="str">
        <f t="shared" ca="1" si="79"/>
        <v/>
      </c>
    </row>
    <row r="197" spans="1:30" x14ac:dyDescent="0.2">
      <c r="A197" s="67" t="str">
        <f ca="1">Demand!C194</f>
        <v/>
      </c>
      <c r="B197" s="67">
        <v>182</v>
      </c>
      <c r="C197" s="5">
        <f ca="1">'Demand background (hide)'!Y185</f>
        <v>0</v>
      </c>
      <c r="D197" s="67">
        <f t="shared" si="63"/>
        <v>0</v>
      </c>
      <c r="E197" s="67" t="e">
        <f t="shared" ca="1" si="64"/>
        <v>#N/A</v>
      </c>
      <c r="F197" s="67" t="e">
        <f t="shared" ca="1" si="65"/>
        <v>#N/A</v>
      </c>
      <c r="G197" s="67" t="e">
        <f t="shared" ca="1" si="66"/>
        <v>#N/A</v>
      </c>
      <c r="H197" s="67" t="e">
        <f>IF('Demand background (hide)'!AN185&lt;&gt;"",'SPC background (hide)'!C197,NA())</f>
        <v>#N/A</v>
      </c>
      <c r="I197" s="67">
        <f t="shared" ca="1" si="67"/>
        <v>5</v>
      </c>
      <c r="J197" s="5">
        <f t="shared" ca="1" si="68"/>
        <v>0</v>
      </c>
      <c r="K197" s="5">
        <f t="shared" ca="1" si="69"/>
        <v>0</v>
      </c>
      <c r="L197" s="5">
        <f t="shared" ca="1" si="70"/>
        <v>0</v>
      </c>
      <c r="M197" s="5">
        <f t="shared" ca="1" si="71"/>
        <v>0</v>
      </c>
      <c r="N197" s="5">
        <f t="shared" ca="1" si="72"/>
        <v>0</v>
      </c>
      <c r="O197" s="5">
        <f t="shared" ca="1" si="73"/>
        <v>0</v>
      </c>
      <c r="P197" s="5">
        <f t="shared" ca="1" si="74"/>
        <v>0</v>
      </c>
      <c r="Q197" s="5" t="e">
        <f t="shared" ca="1" si="75"/>
        <v>#N/A</v>
      </c>
      <c r="R197" s="5">
        <f t="shared" ca="1" si="80"/>
        <v>0</v>
      </c>
      <c r="S197" s="67" t="e">
        <f t="shared" ca="1" si="81"/>
        <v>#N/A</v>
      </c>
      <c r="T197" s="67">
        <f t="shared" ca="1" si="82"/>
        <v>0</v>
      </c>
      <c r="U197" s="67" t="e">
        <f t="shared" ca="1" si="83"/>
        <v>#N/A</v>
      </c>
      <c r="V197" s="5">
        <f t="shared" ca="1" si="62"/>
        <v>0</v>
      </c>
      <c r="W197" s="5" t="e">
        <f t="shared" ca="1" si="76"/>
        <v>#N/A</v>
      </c>
      <c r="X197" s="67">
        <f t="shared" ca="1" si="77"/>
        <v>0</v>
      </c>
      <c r="Y197" s="67" t="e">
        <f t="shared" ca="1" si="84"/>
        <v>#N/A</v>
      </c>
      <c r="Z197" s="67" t="e">
        <f t="shared" ca="1" si="85"/>
        <v>#N/A</v>
      </c>
      <c r="AA197" s="5" t="str">
        <f>IF(Setup!$I$15="Yes",'Demand background (hide)'!AJ185+'SPC background (hide)'!C197,"")</f>
        <v/>
      </c>
      <c r="AC197" s="5" t="str">
        <f t="shared" ca="1" si="78"/>
        <v/>
      </c>
      <c r="AD197" s="5" t="str">
        <f t="shared" ca="1" si="79"/>
        <v/>
      </c>
    </row>
    <row r="198" spans="1:30" x14ac:dyDescent="0.2">
      <c r="A198" s="67" t="str">
        <f ca="1">Demand!C195</f>
        <v/>
      </c>
      <c r="B198" s="67">
        <v>183</v>
      </c>
      <c r="C198" s="5">
        <f ca="1">'Demand background (hide)'!Y186</f>
        <v>0</v>
      </c>
      <c r="D198" s="67">
        <f t="shared" si="63"/>
        <v>0</v>
      </c>
      <c r="E198" s="67" t="e">
        <f t="shared" ca="1" si="64"/>
        <v>#N/A</v>
      </c>
      <c r="F198" s="67" t="e">
        <f t="shared" ca="1" si="65"/>
        <v>#N/A</v>
      </c>
      <c r="G198" s="67" t="e">
        <f t="shared" ca="1" si="66"/>
        <v>#N/A</v>
      </c>
      <c r="H198" s="67" t="e">
        <f>IF('Demand background (hide)'!AN186&lt;&gt;"",'SPC background (hide)'!C198,NA())</f>
        <v>#N/A</v>
      </c>
      <c r="I198" s="67">
        <f t="shared" ca="1" si="67"/>
        <v>5</v>
      </c>
      <c r="J198" s="5">
        <f t="shared" ca="1" si="68"/>
        <v>0</v>
      </c>
      <c r="K198" s="5">
        <f t="shared" ca="1" si="69"/>
        <v>0</v>
      </c>
      <c r="L198" s="5">
        <f t="shared" ca="1" si="70"/>
        <v>0</v>
      </c>
      <c r="M198" s="5">
        <f t="shared" ca="1" si="71"/>
        <v>0</v>
      </c>
      <c r="N198" s="5">
        <f t="shared" ca="1" si="72"/>
        <v>0</v>
      </c>
      <c r="O198" s="5">
        <f t="shared" ca="1" si="73"/>
        <v>0</v>
      </c>
      <c r="P198" s="5">
        <f t="shared" ca="1" si="74"/>
        <v>0</v>
      </c>
      <c r="Q198" s="5" t="e">
        <f t="shared" ca="1" si="75"/>
        <v>#N/A</v>
      </c>
      <c r="R198" s="5">
        <f t="shared" ca="1" si="80"/>
        <v>0</v>
      </c>
      <c r="S198" s="67" t="e">
        <f t="shared" ca="1" si="81"/>
        <v>#N/A</v>
      </c>
      <c r="T198" s="67">
        <f t="shared" ca="1" si="82"/>
        <v>0</v>
      </c>
      <c r="U198" s="67" t="e">
        <f t="shared" ca="1" si="83"/>
        <v>#N/A</v>
      </c>
      <c r="V198" s="5">
        <f t="shared" ca="1" si="62"/>
        <v>0</v>
      </c>
      <c r="W198" s="5" t="e">
        <f t="shared" ca="1" si="76"/>
        <v>#N/A</v>
      </c>
      <c r="X198" s="67">
        <f t="shared" ca="1" si="77"/>
        <v>0</v>
      </c>
      <c r="Y198" s="67" t="e">
        <f t="shared" ca="1" si="84"/>
        <v>#N/A</v>
      </c>
      <c r="Z198" s="67" t="e">
        <f t="shared" ca="1" si="85"/>
        <v>#N/A</v>
      </c>
      <c r="AA198" s="5" t="str">
        <f>IF(Setup!$I$15="Yes",'Demand background (hide)'!AJ186+'SPC background (hide)'!C198,"")</f>
        <v/>
      </c>
      <c r="AC198" s="5" t="str">
        <f t="shared" ca="1" si="78"/>
        <v/>
      </c>
      <c r="AD198" s="5" t="str">
        <f t="shared" ca="1" si="79"/>
        <v/>
      </c>
    </row>
    <row r="199" spans="1:30" x14ac:dyDescent="0.2">
      <c r="A199" s="67" t="str">
        <f ca="1">Demand!C196</f>
        <v/>
      </c>
      <c r="B199" s="67">
        <v>184</v>
      </c>
      <c r="C199" s="5">
        <f ca="1">'Demand background (hide)'!Y187</f>
        <v>0</v>
      </c>
      <c r="D199" s="67">
        <f t="shared" si="63"/>
        <v>0</v>
      </c>
      <c r="E199" s="67" t="e">
        <f t="shared" ca="1" si="64"/>
        <v>#N/A</v>
      </c>
      <c r="F199" s="67" t="e">
        <f t="shared" ca="1" si="65"/>
        <v>#N/A</v>
      </c>
      <c r="G199" s="67" t="e">
        <f t="shared" ca="1" si="66"/>
        <v>#N/A</v>
      </c>
      <c r="H199" s="67" t="e">
        <f>IF('Demand background (hide)'!AN187&lt;&gt;"",'SPC background (hide)'!C199,NA())</f>
        <v>#N/A</v>
      </c>
      <c r="I199" s="67">
        <f t="shared" ca="1" si="67"/>
        <v>5</v>
      </c>
      <c r="J199" s="5">
        <f t="shared" ca="1" si="68"/>
        <v>0</v>
      </c>
      <c r="K199" s="5">
        <f t="shared" ca="1" si="69"/>
        <v>0</v>
      </c>
      <c r="L199" s="5">
        <f t="shared" ca="1" si="70"/>
        <v>0</v>
      </c>
      <c r="M199" s="5">
        <f t="shared" ca="1" si="71"/>
        <v>0</v>
      </c>
      <c r="N199" s="5">
        <f t="shared" ca="1" si="72"/>
        <v>0</v>
      </c>
      <c r="O199" s="5">
        <f t="shared" ca="1" si="73"/>
        <v>0</v>
      </c>
      <c r="P199" s="5">
        <f t="shared" ca="1" si="74"/>
        <v>0</v>
      </c>
      <c r="Q199" s="5" t="e">
        <f t="shared" ca="1" si="75"/>
        <v>#N/A</v>
      </c>
      <c r="R199" s="5">
        <f t="shared" ca="1" si="80"/>
        <v>0</v>
      </c>
      <c r="S199" s="67" t="e">
        <f t="shared" ca="1" si="81"/>
        <v>#N/A</v>
      </c>
      <c r="T199" s="67">
        <f t="shared" ca="1" si="82"/>
        <v>0</v>
      </c>
      <c r="U199" s="67" t="e">
        <f t="shared" ca="1" si="83"/>
        <v>#N/A</v>
      </c>
      <c r="V199" s="5">
        <f t="shared" ca="1" si="62"/>
        <v>0</v>
      </c>
      <c r="W199" s="5" t="e">
        <f t="shared" ca="1" si="76"/>
        <v>#N/A</v>
      </c>
      <c r="X199" s="67">
        <f t="shared" ca="1" si="77"/>
        <v>0</v>
      </c>
      <c r="Y199" s="67" t="e">
        <f t="shared" ca="1" si="84"/>
        <v>#N/A</v>
      </c>
      <c r="Z199" s="67" t="e">
        <f t="shared" ca="1" si="85"/>
        <v>#N/A</v>
      </c>
      <c r="AA199" s="5" t="str">
        <f>IF(Setup!$I$15="Yes",'Demand background (hide)'!AJ187+'SPC background (hide)'!C199,"")</f>
        <v/>
      </c>
      <c r="AC199" s="5" t="str">
        <f t="shared" ca="1" si="78"/>
        <v/>
      </c>
      <c r="AD199" s="5" t="str">
        <f t="shared" ca="1" si="79"/>
        <v/>
      </c>
    </row>
    <row r="200" spans="1:30" x14ac:dyDescent="0.2">
      <c r="A200" s="67" t="str">
        <f ca="1">Demand!C197</f>
        <v/>
      </c>
      <c r="B200" s="67">
        <v>185</v>
      </c>
      <c r="C200" s="5">
        <f ca="1">'Demand background (hide)'!Y188</f>
        <v>0</v>
      </c>
      <c r="D200" s="67">
        <f t="shared" si="63"/>
        <v>0</v>
      </c>
      <c r="E200" s="67" t="e">
        <f t="shared" ca="1" si="64"/>
        <v>#N/A</v>
      </c>
      <c r="F200" s="67" t="e">
        <f t="shared" ca="1" si="65"/>
        <v>#N/A</v>
      </c>
      <c r="G200" s="67" t="e">
        <f t="shared" ca="1" si="66"/>
        <v>#N/A</v>
      </c>
      <c r="H200" s="67" t="e">
        <f>IF('Demand background (hide)'!AN188&lt;&gt;"",'SPC background (hide)'!C200,NA())</f>
        <v>#N/A</v>
      </c>
      <c r="I200" s="67">
        <f t="shared" ca="1" si="67"/>
        <v>5</v>
      </c>
      <c r="J200" s="5">
        <f t="shared" ca="1" si="68"/>
        <v>0</v>
      </c>
      <c r="K200" s="5">
        <f t="shared" ca="1" si="69"/>
        <v>0</v>
      </c>
      <c r="L200" s="5">
        <f t="shared" ca="1" si="70"/>
        <v>0</v>
      </c>
      <c r="M200" s="5">
        <f t="shared" ca="1" si="71"/>
        <v>0</v>
      </c>
      <c r="N200" s="5">
        <f t="shared" ca="1" si="72"/>
        <v>0</v>
      </c>
      <c r="O200" s="5">
        <f t="shared" ca="1" si="73"/>
        <v>0</v>
      </c>
      <c r="P200" s="5">
        <f t="shared" ca="1" si="74"/>
        <v>0</v>
      </c>
      <c r="Q200" s="5" t="e">
        <f t="shared" ca="1" si="75"/>
        <v>#N/A</v>
      </c>
      <c r="R200" s="5">
        <f t="shared" ca="1" si="80"/>
        <v>0</v>
      </c>
      <c r="S200" s="67" t="e">
        <f t="shared" ca="1" si="81"/>
        <v>#N/A</v>
      </c>
      <c r="T200" s="67">
        <f t="shared" ca="1" si="82"/>
        <v>0</v>
      </c>
      <c r="U200" s="67" t="e">
        <f t="shared" ca="1" si="83"/>
        <v>#N/A</v>
      </c>
      <c r="V200" s="5">
        <f t="shared" ca="1" si="62"/>
        <v>0</v>
      </c>
      <c r="W200" s="5" t="e">
        <f t="shared" ca="1" si="76"/>
        <v>#N/A</v>
      </c>
      <c r="X200" s="67">
        <f t="shared" ca="1" si="77"/>
        <v>0</v>
      </c>
      <c r="Y200" s="67" t="e">
        <f t="shared" ca="1" si="84"/>
        <v>#N/A</v>
      </c>
      <c r="Z200" s="67" t="e">
        <f t="shared" ca="1" si="85"/>
        <v>#N/A</v>
      </c>
      <c r="AA200" s="5" t="str">
        <f>IF(Setup!$I$15="Yes",'Demand background (hide)'!AJ188+'SPC background (hide)'!C200,"")</f>
        <v/>
      </c>
      <c r="AC200" s="5" t="str">
        <f t="shared" ca="1" si="78"/>
        <v/>
      </c>
      <c r="AD200" s="5" t="str">
        <f t="shared" ca="1" si="79"/>
        <v/>
      </c>
    </row>
    <row r="201" spans="1:30" x14ac:dyDescent="0.2">
      <c r="A201" s="67" t="str">
        <f ca="1">Demand!C198</f>
        <v/>
      </c>
      <c r="B201" s="67">
        <v>186</v>
      </c>
      <c r="C201" s="5">
        <f ca="1">'Demand background (hide)'!Y189</f>
        <v>0</v>
      </c>
      <c r="D201" s="67">
        <f t="shared" si="63"/>
        <v>0</v>
      </c>
      <c r="E201" s="67" t="e">
        <f t="shared" ca="1" si="64"/>
        <v>#N/A</v>
      </c>
      <c r="F201" s="67" t="e">
        <f t="shared" ca="1" si="65"/>
        <v>#N/A</v>
      </c>
      <c r="G201" s="67" t="e">
        <f t="shared" ca="1" si="66"/>
        <v>#N/A</v>
      </c>
      <c r="H201" s="67" t="e">
        <f>IF('Demand background (hide)'!AN189&lt;&gt;"",'SPC background (hide)'!C201,NA())</f>
        <v>#N/A</v>
      </c>
      <c r="I201" s="67">
        <f t="shared" ca="1" si="67"/>
        <v>5</v>
      </c>
      <c r="J201" s="5">
        <f t="shared" ca="1" si="68"/>
        <v>0</v>
      </c>
      <c r="K201" s="5">
        <f t="shared" ca="1" si="69"/>
        <v>0</v>
      </c>
      <c r="L201" s="5">
        <f t="shared" ca="1" si="70"/>
        <v>0</v>
      </c>
      <c r="M201" s="5">
        <f t="shared" ca="1" si="71"/>
        <v>0</v>
      </c>
      <c r="N201" s="5">
        <f t="shared" ca="1" si="72"/>
        <v>0</v>
      </c>
      <c r="O201" s="5">
        <f t="shared" ca="1" si="73"/>
        <v>0</v>
      </c>
      <c r="P201" s="5">
        <f t="shared" ca="1" si="74"/>
        <v>0</v>
      </c>
      <c r="Q201" s="5" t="e">
        <f t="shared" ca="1" si="75"/>
        <v>#N/A</v>
      </c>
      <c r="R201" s="5">
        <f t="shared" ca="1" si="80"/>
        <v>0</v>
      </c>
      <c r="S201" s="67" t="e">
        <f t="shared" ca="1" si="81"/>
        <v>#N/A</v>
      </c>
      <c r="T201" s="67">
        <f t="shared" ca="1" si="82"/>
        <v>0</v>
      </c>
      <c r="U201" s="67" t="e">
        <f t="shared" ca="1" si="83"/>
        <v>#N/A</v>
      </c>
      <c r="V201" s="5">
        <f t="shared" ca="1" si="62"/>
        <v>0</v>
      </c>
      <c r="W201" s="5" t="e">
        <f t="shared" ca="1" si="76"/>
        <v>#N/A</v>
      </c>
      <c r="X201" s="67">
        <f t="shared" ca="1" si="77"/>
        <v>0</v>
      </c>
      <c r="Y201" s="67" t="e">
        <f t="shared" ca="1" si="84"/>
        <v>#N/A</v>
      </c>
      <c r="Z201" s="67" t="e">
        <f t="shared" ca="1" si="85"/>
        <v>#N/A</v>
      </c>
      <c r="AA201" s="5" t="str">
        <f>IF(Setup!$I$15="Yes",'Demand background (hide)'!AJ189+'SPC background (hide)'!C201,"")</f>
        <v/>
      </c>
      <c r="AC201" s="5" t="str">
        <f t="shared" ca="1" si="78"/>
        <v/>
      </c>
      <c r="AD201" s="5" t="str">
        <f t="shared" ca="1" si="79"/>
        <v/>
      </c>
    </row>
    <row r="202" spans="1:30" x14ac:dyDescent="0.2">
      <c r="A202" s="67" t="str">
        <f ca="1">Demand!C199</f>
        <v/>
      </c>
      <c r="B202" s="67">
        <v>187</v>
      </c>
      <c r="C202" s="5">
        <f ca="1">'Demand background (hide)'!Y190</f>
        <v>0</v>
      </c>
      <c r="D202" s="67">
        <f t="shared" si="63"/>
        <v>0</v>
      </c>
      <c r="E202" s="67" t="e">
        <f t="shared" ca="1" si="64"/>
        <v>#N/A</v>
      </c>
      <c r="F202" s="67" t="e">
        <f t="shared" ca="1" si="65"/>
        <v>#N/A</v>
      </c>
      <c r="G202" s="67" t="e">
        <f t="shared" ca="1" si="66"/>
        <v>#N/A</v>
      </c>
      <c r="H202" s="67" t="e">
        <f>IF('Demand background (hide)'!AN190&lt;&gt;"",'SPC background (hide)'!C202,NA())</f>
        <v>#N/A</v>
      </c>
      <c r="I202" s="67">
        <f t="shared" ca="1" si="67"/>
        <v>5</v>
      </c>
      <c r="J202" s="5">
        <f t="shared" ca="1" si="68"/>
        <v>0</v>
      </c>
      <c r="K202" s="5">
        <f t="shared" ca="1" si="69"/>
        <v>0</v>
      </c>
      <c r="L202" s="5">
        <f t="shared" ca="1" si="70"/>
        <v>0</v>
      </c>
      <c r="M202" s="5">
        <f t="shared" ca="1" si="71"/>
        <v>0</v>
      </c>
      <c r="N202" s="5">
        <f t="shared" ca="1" si="72"/>
        <v>0</v>
      </c>
      <c r="O202" s="5">
        <f t="shared" ca="1" si="73"/>
        <v>0</v>
      </c>
      <c r="P202" s="5">
        <f t="shared" ca="1" si="74"/>
        <v>0</v>
      </c>
      <c r="Q202" s="5" t="e">
        <f t="shared" ca="1" si="75"/>
        <v>#N/A</v>
      </c>
      <c r="R202" s="5">
        <f t="shared" ca="1" si="80"/>
        <v>0</v>
      </c>
      <c r="S202" s="67" t="e">
        <f t="shared" ca="1" si="81"/>
        <v>#N/A</v>
      </c>
      <c r="T202" s="67">
        <f t="shared" ca="1" si="82"/>
        <v>0</v>
      </c>
      <c r="U202" s="67" t="e">
        <f t="shared" ca="1" si="83"/>
        <v>#N/A</v>
      </c>
      <c r="V202" s="5">
        <f t="shared" ca="1" si="62"/>
        <v>0</v>
      </c>
      <c r="W202" s="5" t="e">
        <f t="shared" ca="1" si="76"/>
        <v>#N/A</v>
      </c>
      <c r="X202" s="67">
        <f t="shared" ca="1" si="77"/>
        <v>0</v>
      </c>
      <c r="Y202" s="67" t="e">
        <f t="shared" ca="1" si="84"/>
        <v>#N/A</v>
      </c>
      <c r="Z202" s="67" t="e">
        <f t="shared" ca="1" si="85"/>
        <v>#N/A</v>
      </c>
      <c r="AA202" s="5" t="str">
        <f>IF(Setup!$I$15="Yes",'Demand background (hide)'!AJ190+'SPC background (hide)'!C202,"")</f>
        <v/>
      </c>
      <c r="AC202" s="5" t="str">
        <f t="shared" ca="1" si="78"/>
        <v/>
      </c>
      <c r="AD202" s="5" t="str">
        <f t="shared" ca="1" si="79"/>
        <v/>
      </c>
    </row>
    <row r="203" spans="1:30" x14ac:dyDescent="0.2">
      <c r="A203" s="67" t="str">
        <f ca="1">Demand!C200</f>
        <v/>
      </c>
      <c r="B203" s="67">
        <v>188</v>
      </c>
      <c r="C203" s="5">
        <f ca="1">'Demand background (hide)'!Y191</f>
        <v>0</v>
      </c>
      <c r="D203" s="67">
        <f t="shared" si="63"/>
        <v>0</v>
      </c>
      <c r="E203" s="67" t="e">
        <f t="shared" ca="1" si="64"/>
        <v>#N/A</v>
      </c>
      <c r="F203" s="67" t="e">
        <f t="shared" ca="1" si="65"/>
        <v>#N/A</v>
      </c>
      <c r="G203" s="67" t="e">
        <f t="shared" ca="1" si="66"/>
        <v>#N/A</v>
      </c>
      <c r="H203" s="67" t="e">
        <f>IF('Demand background (hide)'!AN191&lt;&gt;"",'SPC background (hide)'!C203,NA())</f>
        <v>#N/A</v>
      </c>
      <c r="I203" s="67">
        <f t="shared" ca="1" si="67"/>
        <v>5</v>
      </c>
      <c r="J203" s="5">
        <f t="shared" ca="1" si="68"/>
        <v>0</v>
      </c>
      <c r="K203" s="5">
        <f t="shared" ca="1" si="69"/>
        <v>0</v>
      </c>
      <c r="L203" s="5">
        <f t="shared" ca="1" si="70"/>
        <v>0</v>
      </c>
      <c r="M203" s="5">
        <f t="shared" ca="1" si="71"/>
        <v>0</v>
      </c>
      <c r="N203" s="5">
        <f t="shared" ca="1" si="72"/>
        <v>0</v>
      </c>
      <c r="O203" s="5">
        <f t="shared" ca="1" si="73"/>
        <v>0</v>
      </c>
      <c r="P203" s="5">
        <f t="shared" ca="1" si="74"/>
        <v>0</v>
      </c>
      <c r="Q203" s="5" t="e">
        <f t="shared" ca="1" si="75"/>
        <v>#N/A</v>
      </c>
      <c r="R203" s="5">
        <f t="shared" ca="1" si="80"/>
        <v>0</v>
      </c>
      <c r="S203" s="67" t="e">
        <f t="shared" ca="1" si="81"/>
        <v>#N/A</v>
      </c>
      <c r="T203" s="67">
        <f t="shared" ca="1" si="82"/>
        <v>0</v>
      </c>
      <c r="U203" s="67" t="e">
        <f t="shared" ca="1" si="83"/>
        <v>#N/A</v>
      </c>
      <c r="V203" s="5">
        <f t="shared" ca="1" si="62"/>
        <v>0</v>
      </c>
      <c r="W203" s="5" t="e">
        <f t="shared" ca="1" si="76"/>
        <v>#N/A</v>
      </c>
      <c r="X203" s="67">
        <f t="shared" ca="1" si="77"/>
        <v>0</v>
      </c>
      <c r="Y203" s="67" t="e">
        <f t="shared" ca="1" si="84"/>
        <v>#N/A</v>
      </c>
      <c r="Z203" s="67" t="e">
        <f t="shared" ca="1" si="85"/>
        <v>#N/A</v>
      </c>
      <c r="AA203" s="5" t="str">
        <f>IF(Setup!$I$15="Yes",'Demand background (hide)'!AJ191+'SPC background (hide)'!C203,"")</f>
        <v/>
      </c>
      <c r="AC203" s="5" t="str">
        <f t="shared" ca="1" si="78"/>
        <v/>
      </c>
      <c r="AD203" s="5" t="str">
        <f t="shared" ca="1" si="79"/>
        <v/>
      </c>
    </row>
    <row r="204" spans="1:30" x14ac:dyDescent="0.2">
      <c r="A204" s="67" t="str">
        <f ca="1">Demand!C201</f>
        <v/>
      </c>
      <c r="B204" s="67">
        <v>189</v>
      </c>
      <c r="C204" s="5">
        <f ca="1">'Demand background (hide)'!Y192</f>
        <v>0</v>
      </c>
      <c r="D204" s="67">
        <f t="shared" si="63"/>
        <v>0</v>
      </c>
      <c r="E204" s="67" t="e">
        <f t="shared" ca="1" si="64"/>
        <v>#N/A</v>
      </c>
      <c r="F204" s="67" t="e">
        <f t="shared" ca="1" si="65"/>
        <v>#N/A</v>
      </c>
      <c r="G204" s="67" t="e">
        <f t="shared" ca="1" si="66"/>
        <v>#N/A</v>
      </c>
      <c r="H204" s="67" t="e">
        <f>IF('Demand background (hide)'!AN192&lt;&gt;"",'SPC background (hide)'!C204,NA())</f>
        <v>#N/A</v>
      </c>
      <c r="I204" s="67">
        <f t="shared" ca="1" si="67"/>
        <v>5</v>
      </c>
      <c r="J204" s="5">
        <f t="shared" ca="1" si="68"/>
        <v>0</v>
      </c>
      <c r="K204" s="5">
        <f t="shared" ca="1" si="69"/>
        <v>0</v>
      </c>
      <c r="L204" s="5">
        <f t="shared" ca="1" si="70"/>
        <v>0</v>
      </c>
      <c r="M204" s="5">
        <f t="shared" ca="1" si="71"/>
        <v>0</v>
      </c>
      <c r="N204" s="5">
        <f t="shared" ca="1" si="72"/>
        <v>0</v>
      </c>
      <c r="O204" s="5">
        <f t="shared" ca="1" si="73"/>
        <v>0</v>
      </c>
      <c r="P204" s="5">
        <f t="shared" ca="1" si="74"/>
        <v>0</v>
      </c>
      <c r="Q204" s="5" t="e">
        <f t="shared" ca="1" si="75"/>
        <v>#N/A</v>
      </c>
      <c r="R204" s="5">
        <f t="shared" ca="1" si="80"/>
        <v>0</v>
      </c>
      <c r="S204" s="67" t="e">
        <f t="shared" ca="1" si="81"/>
        <v>#N/A</v>
      </c>
      <c r="T204" s="67">
        <f t="shared" ca="1" si="82"/>
        <v>0</v>
      </c>
      <c r="U204" s="67" t="e">
        <f t="shared" ca="1" si="83"/>
        <v>#N/A</v>
      </c>
      <c r="V204" s="5">
        <f t="shared" ca="1" si="62"/>
        <v>0</v>
      </c>
      <c r="W204" s="5" t="e">
        <f t="shared" ca="1" si="76"/>
        <v>#N/A</v>
      </c>
      <c r="X204" s="67">
        <f t="shared" ca="1" si="77"/>
        <v>0</v>
      </c>
      <c r="Y204" s="67" t="e">
        <f t="shared" ca="1" si="84"/>
        <v>#N/A</v>
      </c>
      <c r="Z204" s="67" t="e">
        <f t="shared" ca="1" si="85"/>
        <v>#N/A</v>
      </c>
      <c r="AA204" s="5" t="str">
        <f>IF(Setup!$I$15="Yes",'Demand background (hide)'!AJ192+'SPC background (hide)'!C204,"")</f>
        <v/>
      </c>
      <c r="AC204" s="5" t="str">
        <f t="shared" ca="1" si="78"/>
        <v/>
      </c>
      <c r="AD204" s="5" t="str">
        <f t="shared" ca="1" si="79"/>
        <v/>
      </c>
    </row>
    <row r="205" spans="1:30" x14ac:dyDescent="0.2">
      <c r="A205" s="67" t="str">
        <f ca="1">Demand!C202</f>
        <v/>
      </c>
      <c r="B205" s="67">
        <v>190</v>
      </c>
      <c r="C205" s="5">
        <f ca="1">'Demand background (hide)'!Y193</f>
        <v>0</v>
      </c>
      <c r="D205" s="67">
        <f t="shared" si="63"/>
        <v>0</v>
      </c>
      <c r="E205" s="67" t="e">
        <f t="shared" ca="1" si="64"/>
        <v>#N/A</v>
      </c>
      <c r="F205" s="67" t="e">
        <f t="shared" ca="1" si="65"/>
        <v>#N/A</v>
      </c>
      <c r="G205" s="67" t="e">
        <f t="shared" ca="1" si="66"/>
        <v>#N/A</v>
      </c>
      <c r="H205" s="67" t="e">
        <f>IF('Demand background (hide)'!AN193&lt;&gt;"",'SPC background (hide)'!C205,NA())</f>
        <v>#N/A</v>
      </c>
      <c r="I205" s="67">
        <f t="shared" ca="1" si="67"/>
        <v>5</v>
      </c>
      <c r="J205" s="5">
        <f t="shared" ca="1" si="68"/>
        <v>0</v>
      </c>
      <c r="K205" s="5">
        <f t="shared" ca="1" si="69"/>
        <v>0</v>
      </c>
      <c r="L205" s="5">
        <f t="shared" ca="1" si="70"/>
        <v>0</v>
      </c>
      <c r="M205" s="5">
        <f t="shared" ca="1" si="71"/>
        <v>0</v>
      </c>
      <c r="N205" s="5">
        <f t="shared" ca="1" si="72"/>
        <v>0</v>
      </c>
      <c r="O205" s="5">
        <f t="shared" ca="1" si="73"/>
        <v>0</v>
      </c>
      <c r="P205" s="5">
        <f t="shared" ca="1" si="74"/>
        <v>0</v>
      </c>
      <c r="Q205" s="5" t="e">
        <f t="shared" ca="1" si="75"/>
        <v>#N/A</v>
      </c>
      <c r="R205" s="5">
        <f t="shared" ca="1" si="80"/>
        <v>0</v>
      </c>
      <c r="S205" s="67" t="e">
        <f t="shared" ca="1" si="81"/>
        <v>#N/A</v>
      </c>
      <c r="T205" s="67">
        <f t="shared" ca="1" si="82"/>
        <v>0</v>
      </c>
      <c r="U205" s="67" t="e">
        <f t="shared" ca="1" si="83"/>
        <v>#N/A</v>
      </c>
      <c r="V205" s="5">
        <f t="shared" ca="1" si="62"/>
        <v>0</v>
      </c>
      <c r="W205" s="5" t="e">
        <f t="shared" ca="1" si="76"/>
        <v>#N/A</v>
      </c>
      <c r="X205" s="67">
        <f t="shared" ca="1" si="77"/>
        <v>0</v>
      </c>
      <c r="Y205" s="67" t="e">
        <f t="shared" ca="1" si="84"/>
        <v>#N/A</v>
      </c>
      <c r="Z205" s="67" t="e">
        <f t="shared" ca="1" si="85"/>
        <v>#N/A</v>
      </c>
      <c r="AA205" s="5" t="str">
        <f>IF(Setup!$I$15="Yes",'Demand background (hide)'!AJ193+'SPC background (hide)'!C205,"")</f>
        <v/>
      </c>
      <c r="AC205" s="5" t="str">
        <f t="shared" ca="1" si="78"/>
        <v/>
      </c>
      <c r="AD205" s="5" t="str">
        <f t="shared" ca="1" si="79"/>
        <v/>
      </c>
    </row>
    <row r="206" spans="1:30" x14ac:dyDescent="0.2">
      <c r="A206" s="67" t="str">
        <f ca="1">Demand!C203</f>
        <v/>
      </c>
      <c r="B206" s="67">
        <v>191</v>
      </c>
      <c r="C206" s="5">
        <f ca="1">'Demand background (hide)'!Y194</f>
        <v>0</v>
      </c>
      <c r="D206" s="67">
        <f t="shared" si="63"/>
        <v>0</v>
      </c>
      <c r="E206" s="67" t="e">
        <f t="shared" ca="1" si="64"/>
        <v>#N/A</v>
      </c>
      <c r="F206" s="67" t="e">
        <f t="shared" ca="1" si="65"/>
        <v>#N/A</v>
      </c>
      <c r="G206" s="67" t="e">
        <f t="shared" ca="1" si="66"/>
        <v>#N/A</v>
      </c>
      <c r="H206" s="67" t="e">
        <f>IF('Demand background (hide)'!AN194&lt;&gt;"",'SPC background (hide)'!C206,NA())</f>
        <v>#N/A</v>
      </c>
      <c r="I206" s="67">
        <f t="shared" ca="1" si="67"/>
        <v>5</v>
      </c>
      <c r="J206" s="5">
        <f t="shared" ca="1" si="68"/>
        <v>0</v>
      </c>
      <c r="K206" s="5">
        <f t="shared" ca="1" si="69"/>
        <v>0</v>
      </c>
      <c r="L206" s="5">
        <f t="shared" ca="1" si="70"/>
        <v>0</v>
      </c>
      <c r="M206" s="5">
        <f t="shared" ca="1" si="71"/>
        <v>0</v>
      </c>
      <c r="N206" s="5">
        <f t="shared" ca="1" si="72"/>
        <v>0</v>
      </c>
      <c r="O206" s="5">
        <f t="shared" ca="1" si="73"/>
        <v>0</v>
      </c>
      <c r="P206" s="5">
        <f t="shared" ca="1" si="74"/>
        <v>0</v>
      </c>
      <c r="Q206" s="5" t="e">
        <f t="shared" ca="1" si="75"/>
        <v>#N/A</v>
      </c>
      <c r="R206" s="5">
        <f t="shared" ca="1" si="80"/>
        <v>0</v>
      </c>
      <c r="S206" s="67" t="e">
        <f t="shared" ca="1" si="81"/>
        <v>#N/A</v>
      </c>
      <c r="T206" s="67">
        <f t="shared" ca="1" si="82"/>
        <v>0</v>
      </c>
      <c r="U206" s="67" t="e">
        <f t="shared" ca="1" si="83"/>
        <v>#N/A</v>
      </c>
      <c r="V206" s="5">
        <f t="shared" ca="1" si="62"/>
        <v>0</v>
      </c>
      <c r="W206" s="5" t="e">
        <f t="shared" ca="1" si="76"/>
        <v>#N/A</v>
      </c>
      <c r="X206" s="67">
        <f t="shared" ca="1" si="77"/>
        <v>0</v>
      </c>
      <c r="Y206" s="67" t="e">
        <f t="shared" ca="1" si="84"/>
        <v>#N/A</v>
      </c>
      <c r="Z206" s="67" t="e">
        <f t="shared" ca="1" si="85"/>
        <v>#N/A</v>
      </c>
      <c r="AA206" s="5" t="str">
        <f>IF(Setup!$I$15="Yes",'Demand background (hide)'!AJ194+'SPC background (hide)'!C206,"")</f>
        <v/>
      </c>
      <c r="AC206" s="5" t="str">
        <f t="shared" ca="1" si="78"/>
        <v/>
      </c>
      <c r="AD206" s="5" t="str">
        <f t="shared" ca="1" si="79"/>
        <v/>
      </c>
    </row>
    <row r="207" spans="1:30" x14ac:dyDescent="0.2">
      <c r="A207" s="67" t="str">
        <f ca="1">Demand!C204</f>
        <v/>
      </c>
      <c r="B207" s="67">
        <v>192</v>
      </c>
      <c r="C207" s="5">
        <f ca="1">'Demand background (hide)'!Y195</f>
        <v>0</v>
      </c>
      <c r="D207" s="67">
        <f t="shared" si="63"/>
        <v>0</v>
      </c>
      <c r="E207" s="67" t="e">
        <f t="shared" ca="1" si="64"/>
        <v>#N/A</v>
      </c>
      <c r="F207" s="67" t="e">
        <f t="shared" ca="1" si="65"/>
        <v>#N/A</v>
      </c>
      <c r="G207" s="67" t="e">
        <f t="shared" ca="1" si="66"/>
        <v>#N/A</v>
      </c>
      <c r="H207" s="67" t="e">
        <f>IF('Demand background (hide)'!AN195&lt;&gt;"",'SPC background (hide)'!C207,NA())</f>
        <v>#N/A</v>
      </c>
      <c r="I207" s="67">
        <f t="shared" ca="1" si="67"/>
        <v>5</v>
      </c>
      <c r="J207" s="5">
        <f t="shared" ca="1" si="68"/>
        <v>0</v>
      </c>
      <c r="K207" s="5">
        <f t="shared" ca="1" si="69"/>
        <v>0</v>
      </c>
      <c r="L207" s="5">
        <f t="shared" ca="1" si="70"/>
        <v>0</v>
      </c>
      <c r="M207" s="5">
        <f t="shared" ca="1" si="71"/>
        <v>0</v>
      </c>
      <c r="N207" s="5">
        <f t="shared" ca="1" si="72"/>
        <v>0</v>
      </c>
      <c r="O207" s="5">
        <f t="shared" ca="1" si="73"/>
        <v>0</v>
      </c>
      <c r="P207" s="5">
        <f t="shared" ca="1" si="74"/>
        <v>0</v>
      </c>
      <c r="Q207" s="5" t="e">
        <f t="shared" ca="1" si="75"/>
        <v>#N/A</v>
      </c>
      <c r="R207" s="5">
        <f t="shared" ca="1" si="80"/>
        <v>0</v>
      </c>
      <c r="S207" s="67" t="e">
        <f t="shared" ca="1" si="81"/>
        <v>#N/A</v>
      </c>
      <c r="T207" s="67">
        <f t="shared" ca="1" si="82"/>
        <v>0</v>
      </c>
      <c r="U207" s="67" t="e">
        <f t="shared" ca="1" si="83"/>
        <v>#N/A</v>
      </c>
      <c r="V207" s="5">
        <f t="shared" ca="1" si="62"/>
        <v>0</v>
      </c>
      <c r="W207" s="5" t="e">
        <f t="shared" ca="1" si="76"/>
        <v>#N/A</v>
      </c>
      <c r="X207" s="67">
        <f t="shared" ca="1" si="77"/>
        <v>0</v>
      </c>
      <c r="Y207" s="67" t="e">
        <f t="shared" ca="1" si="84"/>
        <v>#N/A</v>
      </c>
      <c r="Z207" s="67" t="e">
        <f t="shared" ca="1" si="85"/>
        <v>#N/A</v>
      </c>
      <c r="AA207" s="5" t="str">
        <f>IF(Setup!$I$15="Yes",'Demand background (hide)'!AJ195+'SPC background (hide)'!C207,"")</f>
        <v/>
      </c>
      <c r="AC207" s="5" t="str">
        <f t="shared" ca="1" si="78"/>
        <v/>
      </c>
      <c r="AD207" s="5" t="str">
        <f t="shared" ca="1" si="79"/>
        <v/>
      </c>
    </row>
    <row r="208" spans="1:30" x14ac:dyDescent="0.2">
      <c r="A208" s="67" t="str">
        <f ca="1">Demand!C205</f>
        <v/>
      </c>
      <c r="B208" s="67">
        <v>193</v>
      </c>
      <c r="C208" s="5">
        <f ca="1">'Demand background (hide)'!Y196</f>
        <v>0</v>
      </c>
      <c r="D208" s="67">
        <f t="shared" si="63"/>
        <v>0</v>
      </c>
      <c r="E208" s="67" t="e">
        <f t="shared" ca="1" si="64"/>
        <v>#N/A</v>
      </c>
      <c r="F208" s="67" t="e">
        <f t="shared" ca="1" si="65"/>
        <v>#N/A</v>
      </c>
      <c r="G208" s="67" t="e">
        <f t="shared" ca="1" si="66"/>
        <v>#N/A</v>
      </c>
      <c r="H208" s="67" t="e">
        <f>IF('Demand background (hide)'!AN196&lt;&gt;"",'SPC background (hide)'!C208,NA())</f>
        <v>#N/A</v>
      </c>
      <c r="I208" s="67">
        <f t="shared" ca="1" si="67"/>
        <v>5</v>
      </c>
      <c r="J208" s="5">
        <f t="shared" ca="1" si="68"/>
        <v>0</v>
      </c>
      <c r="K208" s="5">
        <f t="shared" ca="1" si="69"/>
        <v>0</v>
      </c>
      <c r="L208" s="5">
        <f t="shared" ca="1" si="70"/>
        <v>0</v>
      </c>
      <c r="M208" s="5">
        <f t="shared" ca="1" si="71"/>
        <v>0</v>
      </c>
      <c r="N208" s="5">
        <f t="shared" ca="1" si="72"/>
        <v>0</v>
      </c>
      <c r="O208" s="5">
        <f t="shared" ca="1" si="73"/>
        <v>0</v>
      </c>
      <c r="P208" s="5">
        <f t="shared" ca="1" si="74"/>
        <v>0</v>
      </c>
      <c r="Q208" s="5" t="e">
        <f t="shared" ca="1" si="75"/>
        <v>#N/A</v>
      </c>
      <c r="R208" s="5">
        <f t="shared" ca="1" si="80"/>
        <v>0</v>
      </c>
      <c r="S208" s="67" t="e">
        <f t="shared" ca="1" si="81"/>
        <v>#N/A</v>
      </c>
      <c r="T208" s="67">
        <f t="shared" ca="1" si="82"/>
        <v>0</v>
      </c>
      <c r="U208" s="67" t="e">
        <f t="shared" ca="1" si="83"/>
        <v>#N/A</v>
      </c>
      <c r="V208" s="5">
        <f t="shared" ref="V208:V275" ca="1" si="86">IF(C208&lt;M208,-1,IF(C208&gt;M208,1,0))</f>
        <v>0</v>
      </c>
      <c r="W208" s="5" t="e">
        <f t="shared" ca="1" si="76"/>
        <v>#N/A</v>
      </c>
      <c r="X208" s="67">
        <f t="shared" ca="1" si="77"/>
        <v>0</v>
      </c>
      <c r="Y208" s="67" t="e">
        <f t="shared" ca="1" si="84"/>
        <v>#N/A</v>
      </c>
      <c r="Z208" s="67" t="e">
        <f t="shared" ca="1" si="85"/>
        <v>#N/A</v>
      </c>
      <c r="AA208" s="5" t="str">
        <f>IF(Setup!$I$15="Yes",'Demand background (hide)'!AJ196+'SPC background (hide)'!C208,"")</f>
        <v/>
      </c>
      <c r="AC208" s="5" t="str">
        <f t="shared" ca="1" si="78"/>
        <v/>
      </c>
      <c r="AD208" s="5" t="str">
        <f t="shared" ca="1" si="79"/>
        <v/>
      </c>
    </row>
    <row r="209" spans="1:30" x14ac:dyDescent="0.2">
      <c r="A209" s="67" t="str">
        <f ca="1">Demand!C206</f>
        <v/>
      </c>
      <c r="B209" s="67">
        <v>194</v>
      </c>
      <c r="C209" s="5">
        <f ca="1">'Demand background (hide)'!Y197</f>
        <v>0</v>
      </c>
      <c r="D209" s="67">
        <f t="shared" ref="D209:D272" si="87">IF(AND($B209&gt;=$C$4,$B209&lt;=$D$5+$C$5-1),1,0)</f>
        <v>0</v>
      </c>
      <c r="E209" s="67" t="e">
        <f t="shared" ref="E209:E272" ca="1" si="88">IF(AND($B209&gt;=$D$6,$B209&lt;=$D$7+$C$7-1),1,0)</f>
        <v>#N/A</v>
      </c>
      <c r="F209" s="67" t="e">
        <f t="shared" ref="F209:F272" ca="1" si="89">IF(AND($B209&gt;=$D$8,$B209&lt;=$D$9+$C$9-1),1,0)</f>
        <v>#N/A</v>
      </c>
      <c r="G209" s="67" t="e">
        <f t="shared" ref="G209:G272" ca="1" si="90">IF(AND($B209&gt;=$D$10,$B209&lt;=$D$11+$C$11-1),1,0)</f>
        <v>#N/A</v>
      </c>
      <c r="H209" s="67" t="e">
        <f>IF('Demand background (hide)'!AN197&lt;&gt;"",'SPC background (hide)'!C209,NA())</f>
        <v>#N/A</v>
      </c>
      <c r="I209" s="67">
        <f t="shared" ref="I209:I272" ca="1" si="91">VLOOKUP(A209,$AG$2:$AI$54,3,0)</f>
        <v>5</v>
      </c>
      <c r="J209" s="5">
        <f t="shared" ref="J209:J272" ca="1" si="92">VLOOKUP($A209,$AG$2:$AQ$54,COLUMN(E$1),0)</f>
        <v>0</v>
      </c>
      <c r="K209" s="5">
        <f t="shared" ref="K209:K272" ca="1" si="93">VLOOKUP($A209,$AG$2:$AQ$54,COLUMN(F$1),0)</f>
        <v>0</v>
      </c>
      <c r="L209" s="5">
        <f t="shared" ref="L209:L272" ca="1" si="94">VLOOKUP($A209,$AG$2:$AQ$54,COLUMN(G$1),0)</f>
        <v>0</v>
      </c>
      <c r="M209" s="5">
        <f t="shared" ref="M209:M272" ca="1" si="95">VLOOKUP($A209,$AG$2:$AQ$54,COLUMN(H$1),0)</f>
        <v>0</v>
      </c>
      <c r="N209" s="5">
        <f t="shared" ref="N209:N272" ca="1" si="96">VLOOKUP($A209,$AG$2:$AQ$54,COLUMN(I$1),0)</f>
        <v>0</v>
      </c>
      <c r="O209" s="5">
        <f t="shared" ref="O209:O272" ca="1" si="97">VLOOKUP($A209,$AG$2:$AQ$54,COLUMN(J$1),0)</f>
        <v>0</v>
      </c>
      <c r="P209" s="5">
        <f t="shared" ref="P209:P272" ca="1" si="98">VLOOKUP($A209,$AG$2:$AQ$54,COLUMN(K$1),0)</f>
        <v>0</v>
      </c>
      <c r="Q209" s="5" t="e">
        <f t="shared" ref="Q209:Q272" ca="1" si="99">IF(ISNA(H209)=TRUE,IF(OR(C209&gt;P209,C209&lt;J209),C209,NA()),NA())</f>
        <v>#N/A</v>
      </c>
      <c r="R209" s="5">
        <f t="shared" ca="1" si="80"/>
        <v>0</v>
      </c>
      <c r="S209" s="67" t="e">
        <f t="shared" ca="1" si="81"/>
        <v>#N/A</v>
      </c>
      <c r="T209" s="67">
        <f t="shared" ca="1" si="82"/>
        <v>0</v>
      </c>
      <c r="U209" s="67" t="e">
        <f t="shared" ca="1" si="83"/>
        <v>#N/A</v>
      </c>
      <c r="V209" s="5">
        <f t="shared" ca="1" si="86"/>
        <v>0</v>
      </c>
      <c r="W209" s="5" t="e">
        <f t="shared" ref="W209:W272" ca="1" si="100">IF(ISNA(H209)=TRUE,IF(ABS(SUM(V209:V217))=9,C209,NA()),NA())</f>
        <v>#N/A</v>
      </c>
      <c r="X209" s="67">
        <f t="shared" ref="X209:X275" ca="1" si="101">IF(C209&gt;C208,1,IF(C209&lt;C208,-1,0))</f>
        <v>0</v>
      </c>
      <c r="Y209" s="67" t="e">
        <f t="shared" ca="1" si="84"/>
        <v>#N/A</v>
      </c>
      <c r="Z209" s="67" t="e">
        <f t="shared" ca="1" si="85"/>
        <v>#N/A</v>
      </c>
      <c r="AA209" s="5" t="str">
        <f>IF(Setup!$I$15="Yes",'Demand background (hide)'!AJ197+'SPC background (hide)'!C209,"")</f>
        <v/>
      </c>
      <c r="AC209" s="5" t="str">
        <f t="shared" ref="AC209:AC272" ca="1" si="102">VLOOKUP($A209,$AG$2:$AS$54,12,0)</f>
        <v/>
      </c>
      <c r="AD209" s="5" t="str">
        <f t="shared" ref="AD209:AD272" ca="1" si="103">VLOOKUP($A209,$AG$2:$AS$54,13,0)</f>
        <v/>
      </c>
    </row>
    <row r="210" spans="1:30" x14ac:dyDescent="0.2">
      <c r="A210" s="67" t="str">
        <f ca="1">Demand!C207</f>
        <v/>
      </c>
      <c r="B210" s="67">
        <v>195</v>
      </c>
      <c r="C210" s="5">
        <f ca="1">'Demand background (hide)'!Y198</f>
        <v>0</v>
      </c>
      <c r="D210" s="67">
        <f t="shared" si="87"/>
        <v>0</v>
      </c>
      <c r="E210" s="67" t="e">
        <f t="shared" ca="1" si="88"/>
        <v>#N/A</v>
      </c>
      <c r="F210" s="67" t="e">
        <f t="shared" ca="1" si="89"/>
        <v>#N/A</v>
      </c>
      <c r="G210" s="67" t="e">
        <f t="shared" ca="1" si="90"/>
        <v>#N/A</v>
      </c>
      <c r="H210" s="67" t="e">
        <f>IF('Demand background (hide)'!AN198&lt;&gt;"",'SPC background (hide)'!C210,NA())</f>
        <v>#N/A</v>
      </c>
      <c r="I210" s="67">
        <f t="shared" ca="1" si="91"/>
        <v>5</v>
      </c>
      <c r="J210" s="5">
        <f t="shared" ca="1" si="92"/>
        <v>0</v>
      </c>
      <c r="K210" s="5">
        <f t="shared" ca="1" si="93"/>
        <v>0</v>
      </c>
      <c r="L210" s="5">
        <f t="shared" ca="1" si="94"/>
        <v>0</v>
      </c>
      <c r="M210" s="5">
        <f t="shared" ca="1" si="95"/>
        <v>0</v>
      </c>
      <c r="N210" s="5">
        <f t="shared" ca="1" si="96"/>
        <v>0</v>
      </c>
      <c r="O210" s="5">
        <f t="shared" ca="1" si="97"/>
        <v>0</v>
      </c>
      <c r="P210" s="5">
        <f t="shared" ca="1" si="98"/>
        <v>0</v>
      </c>
      <c r="Q210" s="5" t="e">
        <f t="shared" ca="1" si="99"/>
        <v>#N/A</v>
      </c>
      <c r="R210" s="5">
        <f t="shared" ref="R210:R273" ca="1" si="104">IF(C210&gt;O210,2,IF(C210&lt;K210,-2,IF(C210&gt;M210,1,IF(C210&lt;M210,-1,0))))</f>
        <v>0</v>
      </c>
      <c r="S210" s="67" t="e">
        <f t="shared" ref="S210:S273" ca="1" si="105">IF(ISNA(H210),IF(ABS(SUM(R210:R212))&gt;=5,C210,NA()),NA())</f>
        <v>#N/A</v>
      </c>
      <c r="T210" s="67">
        <f t="shared" ref="T210:T273" ca="1" si="106">IF(C210&gt;N210,2,IF(C210&lt;L210,-2,IF(C210&gt;M210,1,IF(C210&lt;M210,-1,0))))</f>
        <v>0</v>
      </c>
      <c r="U210" s="67" t="e">
        <f t="shared" ref="U210:U273" ca="1" si="107">IF(ISNA(H210)=TRUE,IF(ABS(SUM(T210:T214))&gt;=9,C210,NA()),NA())</f>
        <v>#N/A</v>
      </c>
      <c r="V210" s="5">
        <f t="shared" ca="1" si="86"/>
        <v>0</v>
      </c>
      <c r="W210" s="5" t="e">
        <f t="shared" ca="1" si="100"/>
        <v>#N/A</v>
      </c>
      <c r="X210" s="67">
        <f t="shared" ca="1" si="101"/>
        <v>0</v>
      </c>
      <c r="Y210" s="67" t="e">
        <f t="shared" ref="Y210:Y273" ca="1" si="108">IF(ISNA(H210)=TRUE,IF(ABS(SUM(X210:X215))=6,C210,NA()),NA())</f>
        <v>#N/A</v>
      </c>
      <c r="Z210" s="67" t="e">
        <f t="shared" ref="Z210:Z273" ca="1" si="109">IF(ISNA(H210)=TRUE,IF(AND(ABS(SUM(T210:T217))=8,SUM(T210:T217)&lt;ABS(SUM(T210:T217))),C210,NA()),NA())</f>
        <v>#N/A</v>
      </c>
      <c r="AA210" s="5" t="str">
        <f>IF(Setup!$I$15="Yes",'Demand background (hide)'!AJ198+'SPC background (hide)'!C210,"")</f>
        <v/>
      </c>
      <c r="AC210" s="5" t="str">
        <f t="shared" ca="1" si="102"/>
        <v/>
      </c>
      <c r="AD210" s="5" t="str">
        <f t="shared" ca="1" si="103"/>
        <v/>
      </c>
    </row>
    <row r="211" spans="1:30" x14ac:dyDescent="0.2">
      <c r="A211" s="67" t="str">
        <f ca="1">Demand!C208</f>
        <v/>
      </c>
      <c r="B211" s="67">
        <v>196</v>
      </c>
      <c r="C211" s="5">
        <f ca="1">'Demand background (hide)'!Y199</f>
        <v>0</v>
      </c>
      <c r="D211" s="67">
        <f t="shared" si="87"/>
        <v>0</v>
      </c>
      <c r="E211" s="67" t="e">
        <f t="shared" ca="1" si="88"/>
        <v>#N/A</v>
      </c>
      <c r="F211" s="67" t="e">
        <f t="shared" ca="1" si="89"/>
        <v>#N/A</v>
      </c>
      <c r="G211" s="67" t="e">
        <f t="shared" ca="1" si="90"/>
        <v>#N/A</v>
      </c>
      <c r="H211" s="67" t="e">
        <f>IF('Demand background (hide)'!AN199&lt;&gt;"",'SPC background (hide)'!C211,NA())</f>
        <v>#N/A</v>
      </c>
      <c r="I211" s="67">
        <f t="shared" ca="1" si="91"/>
        <v>5</v>
      </c>
      <c r="J211" s="5">
        <f t="shared" ca="1" si="92"/>
        <v>0</v>
      </c>
      <c r="K211" s="5">
        <f t="shared" ca="1" si="93"/>
        <v>0</v>
      </c>
      <c r="L211" s="5">
        <f t="shared" ca="1" si="94"/>
        <v>0</v>
      </c>
      <c r="M211" s="5">
        <f t="shared" ca="1" si="95"/>
        <v>0</v>
      </c>
      <c r="N211" s="5">
        <f t="shared" ca="1" si="96"/>
        <v>0</v>
      </c>
      <c r="O211" s="5">
        <f t="shared" ca="1" si="97"/>
        <v>0</v>
      </c>
      <c r="P211" s="5">
        <f t="shared" ca="1" si="98"/>
        <v>0</v>
      </c>
      <c r="Q211" s="5" t="e">
        <f t="shared" ca="1" si="99"/>
        <v>#N/A</v>
      </c>
      <c r="R211" s="5">
        <f t="shared" ca="1" si="104"/>
        <v>0</v>
      </c>
      <c r="S211" s="67" t="e">
        <f t="shared" ca="1" si="105"/>
        <v>#N/A</v>
      </c>
      <c r="T211" s="67">
        <f t="shared" ca="1" si="106"/>
        <v>0</v>
      </c>
      <c r="U211" s="67" t="e">
        <f t="shared" ca="1" si="107"/>
        <v>#N/A</v>
      </c>
      <c r="V211" s="5">
        <f t="shared" ca="1" si="86"/>
        <v>0</v>
      </c>
      <c r="W211" s="5" t="e">
        <f t="shared" ca="1" si="100"/>
        <v>#N/A</v>
      </c>
      <c r="X211" s="67">
        <f t="shared" ca="1" si="101"/>
        <v>0</v>
      </c>
      <c r="Y211" s="67" t="e">
        <f t="shared" ca="1" si="108"/>
        <v>#N/A</v>
      </c>
      <c r="Z211" s="67" t="e">
        <f t="shared" ca="1" si="109"/>
        <v>#N/A</v>
      </c>
      <c r="AA211" s="5" t="str">
        <f>IF(Setup!$I$15="Yes",'Demand background (hide)'!AJ199+'SPC background (hide)'!C211,"")</f>
        <v/>
      </c>
      <c r="AC211" s="5" t="str">
        <f t="shared" ca="1" si="102"/>
        <v/>
      </c>
      <c r="AD211" s="5" t="str">
        <f t="shared" ca="1" si="103"/>
        <v/>
      </c>
    </row>
    <row r="212" spans="1:30" x14ac:dyDescent="0.2">
      <c r="A212" s="67" t="str">
        <f ca="1">Demand!C209</f>
        <v/>
      </c>
      <c r="B212" s="67">
        <v>197</v>
      </c>
      <c r="C212" s="5">
        <f ca="1">'Demand background (hide)'!Y200</f>
        <v>0</v>
      </c>
      <c r="D212" s="67">
        <f t="shared" si="87"/>
        <v>0</v>
      </c>
      <c r="E212" s="67" t="e">
        <f t="shared" ca="1" si="88"/>
        <v>#N/A</v>
      </c>
      <c r="F212" s="67" t="e">
        <f t="shared" ca="1" si="89"/>
        <v>#N/A</v>
      </c>
      <c r="G212" s="67" t="e">
        <f t="shared" ca="1" si="90"/>
        <v>#N/A</v>
      </c>
      <c r="H212" s="67" t="e">
        <f>IF('Demand background (hide)'!AN200&lt;&gt;"",'SPC background (hide)'!C212,NA())</f>
        <v>#N/A</v>
      </c>
      <c r="I212" s="67">
        <f t="shared" ca="1" si="91"/>
        <v>5</v>
      </c>
      <c r="J212" s="5">
        <f t="shared" ca="1" si="92"/>
        <v>0</v>
      </c>
      <c r="K212" s="5">
        <f t="shared" ca="1" si="93"/>
        <v>0</v>
      </c>
      <c r="L212" s="5">
        <f t="shared" ca="1" si="94"/>
        <v>0</v>
      </c>
      <c r="M212" s="5">
        <f t="shared" ca="1" si="95"/>
        <v>0</v>
      </c>
      <c r="N212" s="5">
        <f t="shared" ca="1" si="96"/>
        <v>0</v>
      </c>
      <c r="O212" s="5">
        <f t="shared" ca="1" si="97"/>
        <v>0</v>
      </c>
      <c r="P212" s="5">
        <f t="shared" ca="1" si="98"/>
        <v>0</v>
      </c>
      <c r="Q212" s="5" t="e">
        <f t="shared" ca="1" si="99"/>
        <v>#N/A</v>
      </c>
      <c r="R212" s="5">
        <f t="shared" ca="1" si="104"/>
        <v>0</v>
      </c>
      <c r="S212" s="67" t="e">
        <f t="shared" ca="1" si="105"/>
        <v>#N/A</v>
      </c>
      <c r="T212" s="67">
        <f t="shared" ca="1" si="106"/>
        <v>0</v>
      </c>
      <c r="U212" s="67" t="e">
        <f t="shared" ca="1" si="107"/>
        <v>#N/A</v>
      </c>
      <c r="V212" s="5">
        <f t="shared" ca="1" si="86"/>
        <v>0</v>
      </c>
      <c r="W212" s="5" t="e">
        <f t="shared" ca="1" si="100"/>
        <v>#N/A</v>
      </c>
      <c r="X212" s="67">
        <f t="shared" ca="1" si="101"/>
        <v>0</v>
      </c>
      <c r="Y212" s="67" t="e">
        <f t="shared" ca="1" si="108"/>
        <v>#N/A</v>
      </c>
      <c r="Z212" s="67" t="e">
        <f t="shared" ca="1" si="109"/>
        <v>#N/A</v>
      </c>
      <c r="AA212" s="5" t="str">
        <f>IF(Setup!$I$15="Yes",'Demand background (hide)'!AJ200+'SPC background (hide)'!C212,"")</f>
        <v/>
      </c>
      <c r="AC212" s="5" t="str">
        <f t="shared" ca="1" si="102"/>
        <v/>
      </c>
      <c r="AD212" s="5" t="str">
        <f t="shared" ca="1" si="103"/>
        <v/>
      </c>
    </row>
    <row r="213" spans="1:30" x14ac:dyDescent="0.2">
      <c r="A213" s="67" t="str">
        <f ca="1">Demand!C210</f>
        <v/>
      </c>
      <c r="B213" s="67">
        <v>198</v>
      </c>
      <c r="C213" s="5">
        <f ca="1">'Demand background (hide)'!Y201</f>
        <v>0</v>
      </c>
      <c r="D213" s="67">
        <f t="shared" si="87"/>
        <v>0</v>
      </c>
      <c r="E213" s="67" t="e">
        <f t="shared" ca="1" si="88"/>
        <v>#N/A</v>
      </c>
      <c r="F213" s="67" t="e">
        <f t="shared" ca="1" si="89"/>
        <v>#N/A</v>
      </c>
      <c r="G213" s="67" t="e">
        <f t="shared" ca="1" si="90"/>
        <v>#N/A</v>
      </c>
      <c r="H213" s="67" t="e">
        <f>IF('Demand background (hide)'!AN201&lt;&gt;"",'SPC background (hide)'!C213,NA())</f>
        <v>#N/A</v>
      </c>
      <c r="I213" s="67">
        <f t="shared" ca="1" si="91"/>
        <v>5</v>
      </c>
      <c r="J213" s="5">
        <f t="shared" ca="1" si="92"/>
        <v>0</v>
      </c>
      <c r="K213" s="5">
        <f t="shared" ca="1" si="93"/>
        <v>0</v>
      </c>
      <c r="L213" s="5">
        <f t="shared" ca="1" si="94"/>
        <v>0</v>
      </c>
      <c r="M213" s="5">
        <f t="shared" ca="1" si="95"/>
        <v>0</v>
      </c>
      <c r="N213" s="5">
        <f t="shared" ca="1" si="96"/>
        <v>0</v>
      </c>
      <c r="O213" s="5">
        <f t="shared" ca="1" si="97"/>
        <v>0</v>
      </c>
      <c r="P213" s="5">
        <f t="shared" ca="1" si="98"/>
        <v>0</v>
      </c>
      <c r="Q213" s="5" t="e">
        <f t="shared" ca="1" si="99"/>
        <v>#N/A</v>
      </c>
      <c r="R213" s="5">
        <f t="shared" ca="1" si="104"/>
        <v>0</v>
      </c>
      <c r="S213" s="67" t="e">
        <f t="shared" ca="1" si="105"/>
        <v>#N/A</v>
      </c>
      <c r="T213" s="67">
        <f t="shared" ca="1" si="106"/>
        <v>0</v>
      </c>
      <c r="U213" s="67" t="e">
        <f t="shared" ca="1" si="107"/>
        <v>#N/A</v>
      </c>
      <c r="V213" s="5">
        <f t="shared" ca="1" si="86"/>
        <v>0</v>
      </c>
      <c r="W213" s="5" t="e">
        <f t="shared" ca="1" si="100"/>
        <v>#N/A</v>
      </c>
      <c r="X213" s="67">
        <f t="shared" ca="1" si="101"/>
        <v>0</v>
      </c>
      <c r="Y213" s="67" t="e">
        <f t="shared" ca="1" si="108"/>
        <v>#N/A</v>
      </c>
      <c r="Z213" s="67" t="e">
        <f t="shared" ca="1" si="109"/>
        <v>#N/A</v>
      </c>
      <c r="AA213" s="5" t="str">
        <f>IF(Setup!$I$15="Yes",'Demand background (hide)'!AJ201+'SPC background (hide)'!C213,"")</f>
        <v/>
      </c>
      <c r="AC213" s="5" t="str">
        <f t="shared" ca="1" si="102"/>
        <v/>
      </c>
      <c r="AD213" s="5" t="str">
        <f t="shared" ca="1" si="103"/>
        <v/>
      </c>
    </row>
    <row r="214" spans="1:30" x14ac:dyDescent="0.2">
      <c r="A214" s="67" t="str">
        <f ca="1">Demand!C211</f>
        <v/>
      </c>
      <c r="B214" s="67">
        <v>199</v>
      </c>
      <c r="C214" s="5">
        <f ca="1">'Demand background (hide)'!Y202</f>
        <v>0</v>
      </c>
      <c r="D214" s="67">
        <f t="shared" si="87"/>
        <v>0</v>
      </c>
      <c r="E214" s="67" t="e">
        <f t="shared" ca="1" si="88"/>
        <v>#N/A</v>
      </c>
      <c r="F214" s="67" t="e">
        <f t="shared" ca="1" si="89"/>
        <v>#N/A</v>
      </c>
      <c r="G214" s="67" t="e">
        <f t="shared" ca="1" si="90"/>
        <v>#N/A</v>
      </c>
      <c r="H214" s="67" t="e">
        <f>IF('Demand background (hide)'!AN202&lt;&gt;"",'SPC background (hide)'!C214,NA())</f>
        <v>#N/A</v>
      </c>
      <c r="I214" s="67">
        <f t="shared" ca="1" si="91"/>
        <v>5</v>
      </c>
      <c r="J214" s="5">
        <f t="shared" ca="1" si="92"/>
        <v>0</v>
      </c>
      <c r="K214" s="5">
        <f t="shared" ca="1" si="93"/>
        <v>0</v>
      </c>
      <c r="L214" s="5">
        <f t="shared" ca="1" si="94"/>
        <v>0</v>
      </c>
      <c r="M214" s="5">
        <f t="shared" ca="1" si="95"/>
        <v>0</v>
      </c>
      <c r="N214" s="5">
        <f t="shared" ca="1" si="96"/>
        <v>0</v>
      </c>
      <c r="O214" s="5">
        <f t="shared" ca="1" si="97"/>
        <v>0</v>
      </c>
      <c r="P214" s="5">
        <f t="shared" ca="1" si="98"/>
        <v>0</v>
      </c>
      <c r="Q214" s="5" t="e">
        <f t="shared" ca="1" si="99"/>
        <v>#N/A</v>
      </c>
      <c r="R214" s="5">
        <f t="shared" ca="1" si="104"/>
        <v>0</v>
      </c>
      <c r="S214" s="67" t="e">
        <f t="shared" ca="1" si="105"/>
        <v>#N/A</v>
      </c>
      <c r="T214" s="67">
        <f t="shared" ca="1" si="106"/>
        <v>0</v>
      </c>
      <c r="U214" s="67" t="e">
        <f t="shared" ca="1" si="107"/>
        <v>#N/A</v>
      </c>
      <c r="V214" s="5">
        <f t="shared" ca="1" si="86"/>
        <v>0</v>
      </c>
      <c r="W214" s="5" t="e">
        <f t="shared" ca="1" si="100"/>
        <v>#N/A</v>
      </c>
      <c r="X214" s="67">
        <f t="shared" ca="1" si="101"/>
        <v>0</v>
      </c>
      <c r="Y214" s="67" t="e">
        <f t="shared" ca="1" si="108"/>
        <v>#N/A</v>
      </c>
      <c r="Z214" s="67" t="e">
        <f t="shared" ca="1" si="109"/>
        <v>#N/A</v>
      </c>
      <c r="AA214" s="5" t="str">
        <f>IF(Setup!$I$15="Yes",'Demand background (hide)'!AJ202+'SPC background (hide)'!C214,"")</f>
        <v/>
      </c>
      <c r="AC214" s="5" t="str">
        <f t="shared" ca="1" si="102"/>
        <v/>
      </c>
      <c r="AD214" s="5" t="str">
        <f t="shared" ca="1" si="103"/>
        <v/>
      </c>
    </row>
    <row r="215" spans="1:30" x14ac:dyDescent="0.2">
      <c r="A215" s="67" t="str">
        <f ca="1">Demand!C212</f>
        <v/>
      </c>
      <c r="B215" s="67">
        <v>200</v>
      </c>
      <c r="C215" s="5">
        <f ca="1">'Demand background (hide)'!Y203</f>
        <v>0</v>
      </c>
      <c r="D215" s="67">
        <f t="shared" si="87"/>
        <v>0</v>
      </c>
      <c r="E215" s="67" t="e">
        <f t="shared" ca="1" si="88"/>
        <v>#N/A</v>
      </c>
      <c r="F215" s="67" t="e">
        <f t="shared" ca="1" si="89"/>
        <v>#N/A</v>
      </c>
      <c r="G215" s="67" t="e">
        <f t="shared" ca="1" si="90"/>
        <v>#N/A</v>
      </c>
      <c r="H215" s="67" t="e">
        <f>IF('Demand background (hide)'!AN203&lt;&gt;"",'SPC background (hide)'!C215,NA())</f>
        <v>#N/A</v>
      </c>
      <c r="I215" s="67">
        <f t="shared" ca="1" si="91"/>
        <v>5</v>
      </c>
      <c r="J215" s="5">
        <f t="shared" ca="1" si="92"/>
        <v>0</v>
      </c>
      <c r="K215" s="5">
        <f t="shared" ca="1" si="93"/>
        <v>0</v>
      </c>
      <c r="L215" s="5">
        <f t="shared" ca="1" si="94"/>
        <v>0</v>
      </c>
      <c r="M215" s="5">
        <f t="shared" ca="1" si="95"/>
        <v>0</v>
      </c>
      <c r="N215" s="5">
        <f t="shared" ca="1" si="96"/>
        <v>0</v>
      </c>
      <c r="O215" s="5">
        <f t="shared" ca="1" si="97"/>
        <v>0</v>
      </c>
      <c r="P215" s="5">
        <f t="shared" ca="1" si="98"/>
        <v>0</v>
      </c>
      <c r="Q215" s="5" t="e">
        <f t="shared" ca="1" si="99"/>
        <v>#N/A</v>
      </c>
      <c r="R215" s="5">
        <f t="shared" ca="1" si="104"/>
        <v>0</v>
      </c>
      <c r="S215" s="67" t="e">
        <f t="shared" ca="1" si="105"/>
        <v>#N/A</v>
      </c>
      <c r="T215" s="67">
        <f t="shared" ca="1" si="106"/>
        <v>0</v>
      </c>
      <c r="U215" s="67" t="e">
        <f t="shared" ca="1" si="107"/>
        <v>#N/A</v>
      </c>
      <c r="V215" s="5">
        <f t="shared" ca="1" si="86"/>
        <v>0</v>
      </c>
      <c r="W215" s="5" t="e">
        <f t="shared" ca="1" si="100"/>
        <v>#N/A</v>
      </c>
      <c r="X215" s="67">
        <f t="shared" ca="1" si="101"/>
        <v>0</v>
      </c>
      <c r="Y215" s="67" t="e">
        <f t="shared" ca="1" si="108"/>
        <v>#N/A</v>
      </c>
      <c r="Z215" s="67" t="e">
        <f t="shared" ca="1" si="109"/>
        <v>#N/A</v>
      </c>
      <c r="AA215" s="5" t="str">
        <f>IF(Setup!$I$15="Yes",'Demand background (hide)'!AJ203+'SPC background (hide)'!C215,"")</f>
        <v/>
      </c>
      <c r="AC215" s="5" t="str">
        <f t="shared" ca="1" si="102"/>
        <v/>
      </c>
      <c r="AD215" s="5" t="str">
        <f t="shared" ca="1" si="103"/>
        <v/>
      </c>
    </row>
    <row r="216" spans="1:30" x14ac:dyDescent="0.2">
      <c r="A216" s="67" t="str">
        <f ca="1">Demand!C213</f>
        <v/>
      </c>
      <c r="B216" s="67">
        <v>201</v>
      </c>
      <c r="C216" s="5">
        <f ca="1">'Demand background (hide)'!Y204</f>
        <v>0</v>
      </c>
      <c r="D216" s="67">
        <f t="shared" si="87"/>
        <v>0</v>
      </c>
      <c r="E216" s="67" t="e">
        <f t="shared" ca="1" si="88"/>
        <v>#N/A</v>
      </c>
      <c r="F216" s="67" t="e">
        <f t="shared" ca="1" si="89"/>
        <v>#N/A</v>
      </c>
      <c r="G216" s="67" t="e">
        <f t="shared" ca="1" si="90"/>
        <v>#N/A</v>
      </c>
      <c r="H216" s="67" t="e">
        <f>IF('Demand background (hide)'!AN204&lt;&gt;"",'SPC background (hide)'!C216,NA())</f>
        <v>#N/A</v>
      </c>
      <c r="I216" s="67">
        <f t="shared" ca="1" si="91"/>
        <v>5</v>
      </c>
      <c r="J216" s="5">
        <f t="shared" ca="1" si="92"/>
        <v>0</v>
      </c>
      <c r="K216" s="5">
        <f t="shared" ca="1" si="93"/>
        <v>0</v>
      </c>
      <c r="L216" s="5">
        <f t="shared" ca="1" si="94"/>
        <v>0</v>
      </c>
      <c r="M216" s="5">
        <f t="shared" ca="1" si="95"/>
        <v>0</v>
      </c>
      <c r="N216" s="5">
        <f t="shared" ca="1" si="96"/>
        <v>0</v>
      </c>
      <c r="O216" s="5">
        <f t="shared" ca="1" si="97"/>
        <v>0</v>
      </c>
      <c r="P216" s="5">
        <f t="shared" ca="1" si="98"/>
        <v>0</v>
      </c>
      <c r="Q216" s="5" t="e">
        <f t="shared" ca="1" si="99"/>
        <v>#N/A</v>
      </c>
      <c r="R216" s="5">
        <f t="shared" ca="1" si="104"/>
        <v>0</v>
      </c>
      <c r="S216" s="67" t="e">
        <f t="shared" ca="1" si="105"/>
        <v>#N/A</v>
      </c>
      <c r="T216" s="67">
        <f t="shared" ca="1" si="106"/>
        <v>0</v>
      </c>
      <c r="U216" s="67" t="e">
        <f t="shared" ca="1" si="107"/>
        <v>#N/A</v>
      </c>
      <c r="V216" s="5">
        <f t="shared" ca="1" si="86"/>
        <v>0</v>
      </c>
      <c r="W216" s="5" t="e">
        <f t="shared" ca="1" si="100"/>
        <v>#N/A</v>
      </c>
      <c r="X216" s="67">
        <f t="shared" ca="1" si="101"/>
        <v>0</v>
      </c>
      <c r="Y216" s="67" t="e">
        <f t="shared" ca="1" si="108"/>
        <v>#N/A</v>
      </c>
      <c r="Z216" s="67" t="e">
        <f t="shared" ca="1" si="109"/>
        <v>#N/A</v>
      </c>
      <c r="AA216" s="5" t="str">
        <f>IF(Setup!$I$15="Yes",'Demand background (hide)'!AJ204+'SPC background (hide)'!C216,"")</f>
        <v/>
      </c>
      <c r="AC216" s="5" t="str">
        <f t="shared" ca="1" si="102"/>
        <v/>
      </c>
      <c r="AD216" s="5" t="str">
        <f t="shared" ca="1" si="103"/>
        <v/>
      </c>
    </row>
    <row r="217" spans="1:30" x14ac:dyDescent="0.2">
      <c r="A217" s="67" t="str">
        <f ca="1">Demand!C214</f>
        <v/>
      </c>
      <c r="B217" s="67">
        <v>202</v>
      </c>
      <c r="C217" s="5">
        <f ca="1">'Demand background (hide)'!Y205</f>
        <v>0</v>
      </c>
      <c r="D217" s="67">
        <f t="shared" si="87"/>
        <v>0</v>
      </c>
      <c r="E217" s="67" t="e">
        <f t="shared" ca="1" si="88"/>
        <v>#N/A</v>
      </c>
      <c r="F217" s="67" t="e">
        <f t="shared" ca="1" si="89"/>
        <v>#N/A</v>
      </c>
      <c r="G217" s="67" t="e">
        <f t="shared" ca="1" si="90"/>
        <v>#N/A</v>
      </c>
      <c r="H217" s="67" t="e">
        <f>IF('Demand background (hide)'!AN205&lt;&gt;"",'SPC background (hide)'!C217,NA())</f>
        <v>#N/A</v>
      </c>
      <c r="I217" s="67">
        <f t="shared" ca="1" si="91"/>
        <v>5</v>
      </c>
      <c r="J217" s="5">
        <f t="shared" ca="1" si="92"/>
        <v>0</v>
      </c>
      <c r="K217" s="5">
        <f t="shared" ca="1" si="93"/>
        <v>0</v>
      </c>
      <c r="L217" s="5">
        <f t="shared" ca="1" si="94"/>
        <v>0</v>
      </c>
      <c r="M217" s="5">
        <f t="shared" ca="1" si="95"/>
        <v>0</v>
      </c>
      <c r="N217" s="5">
        <f t="shared" ca="1" si="96"/>
        <v>0</v>
      </c>
      <c r="O217" s="5">
        <f t="shared" ca="1" si="97"/>
        <v>0</v>
      </c>
      <c r="P217" s="5">
        <f t="shared" ca="1" si="98"/>
        <v>0</v>
      </c>
      <c r="Q217" s="5" t="e">
        <f t="shared" ca="1" si="99"/>
        <v>#N/A</v>
      </c>
      <c r="R217" s="5">
        <f t="shared" ca="1" si="104"/>
        <v>0</v>
      </c>
      <c r="S217" s="67" t="e">
        <f t="shared" ca="1" si="105"/>
        <v>#N/A</v>
      </c>
      <c r="T217" s="67">
        <f t="shared" ca="1" si="106"/>
        <v>0</v>
      </c>
      <c r="U217" s="67" t="e">
        <f t="shared" ca="1" si="107"/>
        <v>#N/A</v>
      </c>
      <c r="V217" s="5">
        <f t="shared" ca="1" si="86"/>
        <v>0</v>
      </c>
      <c r="W217" s="5" t="e">
        <f t="shared" ca="1" si="100"/>
        <v>#N/A</v>
      </c>
      <c r="X217" s="67">
        <f t="shared" ca="1" si="101"/>
        <v>0</v>
      </c>
      <c r="Y217" s="67" t="e">
        <f t="shared" ca="1" si="108"/>
        <v>#N/A</v>
      </c>
      <c r="Z217" s="67" t="e">
        <f t="shared" ca="1" si="109"/>
        <v>#N/A</v>
      </c>
      <c r="AA217" s="5" t="str">
        <f>IF(Setup!$I$15="Yes",'Demand background (hide)'!AJ205+'SPC background (hide)'!C217,"")</f>
        <v/>
      </c>
      <c r="AC217" s="5" t="str">
        <f t="shared" ca="1" si="102"/>
        <v/>
      </c>
      <c r="AD217" s="5" t="str">
        <f t="shared" ca="1" si="103"/>
        <v/>
      </c>
    </row>
    <row r="218" spans="1:30" x14ac:dyDescent="0.2">
      <c r="A218" s="67" t="str">
        <f ca="1">Demand!C215</f>
        <v/>
      </c>
      <c r="B218" s="67">
        <v>203</v>
      </c>
      <c r="C218" s="5">
        <f ca="1">'Demand background (hide)'!Y206</f>
        <v>0</v>
      </c>
      <c r="D218" s="67">
        <f t="shared" si="87"/>
        <v>0</v>
      </c>
      <c r="E218" s="67" t="e">
        <f t="shared" ca="1" si="88"/>
        <v>#N/A</v>
      </c>
      <c r="F218" s="67" t="e">
        <f t="shared" ca="1" si="89"/>
        <v>#N/A</v>
      </c>
      <c r="G218" s="67" t="e">
        <f t="shared" ca="1" si="90"/>
        <v>#N/A</v>
      </c>
      <c r="H218" s="67" t="e">
        <f>IF('Demand background (hide)'!AN206&lt;&gt;"",'SPC background (hide)'!C218,NA())</f>
        <v>#N/A</v>
      </c>
      <c r="I218" s="67">
        <f t="shared" ca="1" si="91"/>
        <v>5</v>
      </c>
      <c r="J218" s="5">
        <f t="shared" ca="1" si="92"/>
        <v>0</v>
      </c>
      <c r="K218" s="5">
        <f t="shared" ca="1" si="93"/>
        <v>0</v>
      </c>
      <c r="L218" s="5">
        <f t="shared" ca="1" si="94"/>
        <v>0</v>
      </c>
      <c r="M218" s="5">
        <f t="shared" ca="1" si="95"/>
        <v>0</v>
      </c>
      <c r="N218" s="5">
        <f t="shared" ca="1" si="96"/>
        <v>0</v>
      </c>
      <c r="O218" s="5">
        <f t="shared" ca="1" si="97"/>
        <v>0</v>
      </c>
      <c r="P218" s="5">
        <f t="shared" ca="1" si="98"/>
        <v>0</v>
      </c>
      <c r="Q218" s="5" t="e">
        <f t="shared" ca="1" si="99"/>
        <v>#N/A</v>
      </c>
      <c r="R218" s="5">
        <f t="shared" ca="1" si="104"/>
        <v>0</v>
      </c>
      <c r="S218" s="67" t="e">
        <f t="shared" ca="1" si="105"/>
        <v>#N/A</v>
      </c>
      <c r="T218" s="67">
        <f t="shared" ca="1" si="106"/>
        <v>0</v>
      </c>
      <c r="U218" s="67" t="e">
        <f t="shared" ca="1" si="107"/>
        <v>#N/A</v>
      </c>
      <c r="V218" s="5">
        <f t="shared" ca="1" si="86"/>
        <v>0</v>
      </c>
      <c r="W218" s="5" t="e">
        <f t="shared" ca="1" si="100"/>
        <v>#N/A</v>
      </c>
      <c r="X218" s="67">
        <f t="shared" ca="1" si="101"/>
        <v>0</v>
      </c>
      <c r="Y218" s="67" t="e">
        <f t="shared" ca="1" si="108"/>
        <v>#N/A</v>
      </c>
      <c r="Z218" s="67" t="e">
        <f t="shared" ca="1" si="109"/>
        <v>#N/A</v>
      </c>
      <c r="AA218" s="5" t="str">
        <f>IF(Setup!$I$15="Yes",'Demand background (hide)'!AJ206+'SPC background (hide)'!C218,"")</f>
        <v/>
      </c>
      <c r="AC218" s="5" t="str">
        <f t="shared" ca="1" si="102"/>
        <v/>
      </c>
      <c r="AD218" s="5" t="str">
        <f t="shared" ca="1" si="103"/>
        <v/>
      </c>
    </row>
    <row r="219" spans="1:30" x14ac:dyDescent="0.2">
      <c r="A219" s="67" t="str">
        <f ca="1">Demand!C216</f>
        <v/>
      </c>
      <c r="B219" s="67">
        <v>204</v>
      </c>
      <c r="C219" s="5">
        <f ca="1">'Demand background (hide)'!Y207</f>
        <v>0</v>
      </c>
      <c r="D219" s="67">
        <f t="shared" si="87"/>
        <v>0</v>
      </c>
      <c r="E219" s="67" t="e">
        <f t="shared" ca="1" si="88"/>
        <v>#N/A</v>
      </c>
      <c r="F219" s="67" t="e">
        <f t="shared" ca="1" si="89"/>
        <v>#N/A</v>
      </c>
      <c r="G219" s="67" t="e">
        <f t="shared" ca="1" si="90"/>
        <v>#N/A</v>
      </c>
      <c r="H219" s="67" t="e">
        <f>IF('Demand background (hide)'!AN207&lt;&gt;"",'SPC background (hide)'!C219,NA())</f>
        <v>#N/A</v>
      </c>
      <c r="I219" s="67">
        <f t="shared" ca="1" si="91"/>
        <v>5</v>
      </c>
      <c r="J219" s="5">
        <f t="shared" ca="1" si="92"/>
        <v>0</v>
      </c>
      <c r="K219" s="5">
        <f t="shared" ca="1" si="93"/>
        <v>0</v>
      </c>
      <c r="L219" s="5">
        <f t="shared" ca="1" si="94"/>
        <v>0</v>
      </c>
      <c r="M219" s="5">
        <f t="shared" ca="1" si="95"/>
        <v>0</v>
      </c>
      <c r="N219" s="5">
        <f t="shared" ca="1" si="96"/>
        <v>0</v>
      </c>
      <c r="O219" s="5">
        <f t="shared" ca="1" si="97"/>
        <v>0</v>
      </c>
      <c r="P219" s="5">
        <f t="shared" ca="1" si="98"/>
        <v>0</v>
      </c>
      <c r="Q219" s="5" t="e">
        <f t="shared" ca="1" si="99"/>
        <v>#N/A</v>
      </c>
      <c r="R219" s="5">
        <f t="shared" ca="1" si="104"/>
        <v>0</v>
      </c>
      <c r="S219" s="67" t="e">
        <f t="shared" ca="1" si="105"/>
        <v>#N/A</v>
      </c>
      <c r="T219" s="67">
        <f t="shared" ca="1" si="106"/>
        <v>0</v>
      </c>
      <c r="U219" s="67" t="e">
        <f t="shared" ca="1" si="107"/>
        <v>#N/A</v>
      </c>
      <c r="V219" s="5">
        <f t="shared" ca="1" si="86"/>
        <v>0</v>
      </c>
      <c r="W219" s="5" t="e">
        <f t="shared" ca="1" si="100"/>
        <v>#N/A</v>
      </c>
      <c r="X219" s="67">
        <f t="shared" ca="1" si="101"/>
        <v>0</v>
      </c>
      <c r="Y219" s="67" t="e">
        <f t="shared" ca="1" si="108"/>
        <v>#N/A</v>
      </c>
      <c r="Z219" s="67" t="e">
        <f t="shared" ca="1" si="109"/>
        <v>#N/A</v>
      </c>
      <c r="AA219" s="5" t="str">
        <f>IF(Setup!$I$15="Yes",'Demand background (hide)'!AJ207+'SPC background (hide)'!C219,"")</f>
        <v/>
      </c>
      <c r="AC219" s="5" t="str">
        <f t="shared" ca="1" si="102"/>
        <v/>
      </c>
      <c r="AD219" s="5" t="str">
        <f t="shared" ca="1" si="103"/>
        <v/>
      </c>
    </row>
    <row r="220" spans="1:30" x14ac:dyDescent="0.2">
      <c r="A220" s="67" t="str">
        <f ca="1">Demand!C217</f>
        <v/>
      </c>
      <c r="B220" s="67">
        <v>205</v>
      </c>
      <c r="C220" s="5">
        <f ca="1">'Demand background (hide)'!Y208</f>
        <v>0</v>
      </c>
      <c r="D220" s="67">
        <f t="shared" si="87"/>
        <v>0</v>
      </c>
      <c r="E220" s="67" t="e">
        <f t="shared" ca="1" si="88"/>
        <v>#N/A</v>
      </c>
      <c r="F220" s="67" t="e">
        <f t="shared" ca="1" si="89"/>
        <v>#N/A</v>
      </c>
      <c r="G220" s="67" t="e">
        <f t="shared" ca="1" si="90"/>
        <v>#N/A</v>
      </c>
      <c r="H220" s="67" t="e">
        <f>IF('Demand background (hide)'!AN208&lt;&gt;"",'SPC background (hide)'!C220,NA())</f>
        <v>#N/A</v>
      </c>
      <c r="I220" s="67">
        <f t="shared" ca="1" si="91"/>
        <v>5</v>
      </c>
      <c r="J220" s="5">
        <f t="shared" ca="1" si="92"/>
        <v>0</v>
      </c>
      <c r="K220" s="5">
        <f t="shared" ca="1" si="93"/>
        <v>0</v>
      </c>
      <c r="L220" s="5">
        <f t="shared" ca="1" si="94"/>
        <v>0</v>
      </c>
      <c r="M220" s="5">
        <f t="shared" ca="1" si="95"/>
        <v>0</v>
      </c>
      <c r="N220" s="5">
        <f t="shared" ca="1" si="96"/>
        <v>0</v>
      </c>
      <c r="O220" s="5">
        <f t="shared" ca="1" si="97"/>
        <v>0</v>
      </c>
      <c r="P220" s="5">
        <f t="shared" ca="1" si="98"/>
        <v>0</v>
      </c>
      <c r="Q220" s="5" t="e">
        <f t="shared" ca="1" si="99"/>
        <v>#N/A</v>
      </c>
      <c r="R220" s="5">
        <f t="shared" ca="1" si="104"/>
        <v>0</v>
      </c>
      <c r="S220" s="67" t="e">
        <f t="shared" ca="1" si="105"/>
        <v>#N/A</v>
      </c>
      <c r="T220" s="67">
        <f t="shared" ca="1" si="106"/>
        <v>0</v>
      </c>
      <c r="U220" s="67" t="e">
        <f t="shared" ca="1" si="107"/>
        <v>#N/A</v>
      </c>
      <c r="V220" s="5">
        <f t="shared" ca="1" si="86"/>
        <v>0</v>
      </c>
      <c r="W220" s="5" t="e">
        <f t="shared" ca="1" si="100"/>
        <v>#N/A</v>
      </c>
      <c r="X220" s="67">
        <f t="shared" ca="1" si="101"/>
        <v>0</v>
      </c>
      <c r="Y220" s="67" t="e">
        <f t="shared" ca="1" si="108"/>
        <v>#N/A</v>
      </c>
      <c r="Z220" s="67" t="e">
        <f t="shared" ca="1" si="109"/>
        <v>#N/A</v>
      </c>
      <c r="AA220" s="5" t="str">
        <f>IF(Setup!$I$15="Yes",'Demand background (hide)'!AJ208+'SPC background (hide)'!C220,"")</f>
        <v/>
      </c>
      <c r="AC220" s="5" t="str">
        <f t="shared" ca="1" si="102"/>
        <v/>
      </c>
      <c r="AD220" s="5" t="str">
        <f t="shared" ca="1" si="103"/>
        <v/>
      </c>
    </row>
    <row r="221" spans="1:30" x14ac:dyDescent="0.2">
      <c r="A221" s="67" t="str">
        <f ca="1">Demand!C218</f>
        <v/>
      </c>
      <c r="B221" s="67">
        <v>206</v>
      </c>
      <c r="C221" s="5">
        <f ca="1">'Demand background (hide)'!Y209</f>
        <v>0</v>
      </c>
      <c r="D221" s="67">
        <f t="shared" si="87"/>
        <v>0</v>
      </c>
      <c r="E221" s="67" t="e">
        <f t="shared" ca="1" si="88"/>
        <v>#N/A</v>
      </c>
      <c r="F221" s="67" t="e">
        <f t="shared" ca="1" si="89"/>
        <v>#N/A</v>
      </c>
      <c r="G221" s="67" t="e">
        <f t="shared" ca="1" si="90"/>
        <v>#N/A</v>
      </c>
      <c r="H221" s="67" t="e">
        <f>IF('Demand background (hide)'!AN209&lt;&gt;"",'SPC background (hide)'!C221,NA())</f>
        <v>#N/A</v>
      </c>
      <c r="I221" s="67">
        <f t="shared" ca="1" si="91"/>
        <v>5</v>
      </c>
      <c r="J221" s="5">
        <f t="shared" ca="1" si="92"/>
        <v>0</v>
      </c>
      <c r="K221" s="5">
        <f t="shared" ca="1" si="93"/>
        <v>0</v>
      </c>
      <c r="L221" s="5">
        <f t="shared" ca="1" si="94"/>
        <v>0</v>
      </c>
      <c r="M221" s="5">
        <f t="shared" ca="1" si="95"/>
        <v>0</v>
      </c>
      <c r="N221" s="5">
        <f t="shared" ca="1" si="96"/>
        <v>0</v>
      </c>
      <c r="O221" s="5">
        <f t="shared" ca="1" si="97"/>
        <v>0</v>
      </c>
      <c r="P221" s="5">
        <f t="shared" ca="1" si="98"/>
        <v>0</v>
      </c>
      <c r="Q221" s="5" t="e">
        <f t="shared" ca="1" si="99"/>
        <v>#N/A</v>
      </c>
      <c r="R221" s="5">
        <f t="shared" ca="1" si="104"/>
        <v>0</v>
      </c>
      <c r="S221" s="67" t="e">
        <f t="shared" ca="1" si="105"/>
        <v>#N/A</v>
      </c>
      <c r="T221" s="67">
        <f t="shared" ca="1" si="106"/>
        <v>0</v>
      </c>
      <c r="U221" s="67" t="e">
        <f t="shared" ca="1" si="107"/>
        <v>#N/A</v>
      </c>
      <c r="V221" s="5">
        <f t="shared" ca="1" si="86"/>
        <v>0</v>
      </c>
      <c r="W221" s="5" t="e">
        <f t="shared" ca="1" si="100"/>
        <v>#N/A</v>
      </c>
      <c r="X221" s="67">
        <f t="shared" ca="1" si="101"/>
        <v>0</v>
      </c>
      <c r="Y221" s="67" t="e">
        <f t="shared" ca="1" si="108"/>
        <v>#N/A</v>
      </c>
      <c r="Z221" s="67" t="e">
        <f t="shared" ca="1" si="109"/>
        <v>#N/A</v>
      </c>
      <c r="AA221" s="5" t="str">
        <f>IF(Setup!$I$15="Yes",'Demand background (hide)'!AJ209+'SPC background (hide)'!C221,"")</f>
        <v/>
      </c>
      <c r="AC221" s="5" t="str">
        <f t="shared" ca="1" si="102"/>
        <v/>
      </c>
      <c r="AD221" s="5" t="str">
        <f t="shared" ca="1" si="103"/>
        <v/>
      </c>
    </row>
    <row r="222" spans="1:30" x14ac:dyDescent="0.2">
      <c r="A222" s="67" t="str">
        <f ca="1">Demand!C219</f>
        <v/>
      </c>
      <c r="B222" s="67">
        <v>207</v>
      </c>
      <c r="C222" s="5">
        <f ca="1">'Demand background (hide)'!Y210</f>
        <v>0</v>
      </c>
      <c r="D222" s="67">
        <f t="shared" si="87"/>
        <v>0</v>
      </c>
      <c r="E222" s="67" t="e">
        <f t="shared" ca="1" si="88"/>
        <v>#N/A</v>
      </c>
      <c r="F222" s="67" t="e">
        <f t="shared" ca="1" si="89"/>
        <v>#N/A</v>
      </c>
      <c r="G222" s="67" t="e">
        <f t="shared" ca="1" si="90"/>
        <v>#N/A</v>
      </c>
      <c r="H222" s="67" t="e">
        <f>IF('Demand background (hide)'!AN210&lt;&gt;"",'SPC background (hide)'!C222,NA())</f>
        <v>#N/A</v>
      </c>
      <c r="I222" s="67">
        <f t="shared" ca="1" si="91"/>
        <v>5</v>
      </c>
      <c r="J222" s="5">
        <f t="shared" ca="1" si="92"/>
        <v>0</v>
      </c>
      <c r="K222" s="5">
        <f t="shared" ca="1" si="93"/>
        <v>0</v>
      </c>
      <c r="L222" s="5">
        <f t="shared" ca="1" si="94"/>
        <v>0</v>
      </c>
      <c r="M222" s="5">
        <f t="shared" ca="1" si="95"/>
        <v>0</v>
      </c>
      <c r="N222" s="5">
        <f t="shared" ca="1" si="96"/>
        <v>0</v>
      </c>
      <c r="O222" s="5">
        <f t="shared" ca="1" si="97"/>
        <v>0</v>
      </c>
      <c r="P222" s="5">
        <f t="shared" ca="1" si="98"/>
        <v>0</v>
      </c>
      <c r="Q222" s="5" t="e">
        <f t="shared" ca="1" si="99"/>
        <v>#N/A</v>
      </c>
      <c r="R222" s="5">
        <f t="shared" ca="1" si="104"/>
        <v>0</v>
      </c>
      <c r="S222" s="67" t="e">
        <f t="shared" ca="1" si="105"/>
        <v>#N/A</v>
      </c>
      <c r="T222" s="67">
        <f t="shared" ca="1" si="106"/>
        <v>0</v>
      </c>
      <c r="U222" s="67" t="e">
        <f t="shared" ca="1" si="107"/>
        <v>#N/A</v>
      </c>
      <c r="V222" s="5">
        <f t="shared" ca="1" si="86"/>
        <v>0</v>
      </c>
      <c r="W222" s="5" t="e">
        <f t="shared" ca="1" si="100"/>
        <v>#N/A</v>
      </c>
      <c r="X222" s="67">
        <f t="shared" ca="1" si="101"/>
        <v>0</v>
      </c>
      <c r="Y222" s="67" t="e">
        <f t="shared" ca="1" si="108"/>
        <v>#N/A</v>
      </c>
      <c r="Z222" s="67" t="e">
        <f t="shared" ca="1" si="109"/>
        <v>#N/A</v>
      </c>
      <c r="AA222" s="5" t="str">
        <f>IF(Setup!$I$15="Yes",'Demand background (hide)'!AJ210+'SPC background (hide)'!C222,"")</f>
        <v/>
      </c>
      <c r="AC222" s="5" t="str">
        <f t="shared" ca="1" si="102"/>
        <v/>
      </c>
      <c r="AD222" s="5" t="str">
        <f t="shared" ca="1" si="103"/>
        <v/>
      </c>
    </row>
    <row r="223" spans="1:30" x14ac:dyDescent="0.2">
      <c r="A223" s="67" t="str">
        <f ca="1">Demand!C220</f>
        <v/>
      </c>
      <c r="B223" s="67">
        <v>208</v>
      </c>
      <c r="C223" s="5">
        <f ca="1">'Demand background (hide)'!Y211</f>
        <v>0</v>
      </c>
      <c r="D223" s="67">
        <f t="shared" si="87"/>
        <v>0</v>
      </c>
      <c r="E223" s="67" t="e">
        <f t="shared" ca="1" si="88"/>
        <v>#N/A</v>
      </c>
      <c r="F223" s="67" t="e">
        <f t="shared" ca="1" si="89"/>
        <v>#N/A</v>
      </c>
      <c r="G223" s="67" t="e">
        <f t="shared" ca="1" si="90"/>
        <v>#N/A</v>
      </c>
      <c r="H223" s="67" t="e">
        <f>IF('Demand background (hide)'!AN211&lt;&gt;"",'SPC background (hide)'!C223,NA())</f>
        <v>#N/A</v>
      </c>
      <c r="I223" s="67">
        <f t="shared" ca="1" si="91"/>
        <v>5</v>
      </c>
      <c r="J223" s="5">
        <f t="shared" ca="1" si="92"/>
        <v>0</v>
      </c>
      <c r="K223" s="5">
        <f t="shared" ca="1" si="93"/>
        <v>0</v>
      </c>
      <c r="L223" s="5">
        <f t="shared" ca="1" si="94"/>
        <v>0</v>
      </c>
      <c r="M223" s="5">
        <f t="shared" ca="1" si="95"/>
        <v>0</v>
      </c>
      <c r="N223" s="5">
        <f t="shared" ca="1" si="96"/>
        <v>0</v>
      </c>
      <c r="O223" s="5">
        <f t="shared" ca="1" si="97"/>
        <v>0</v>
      </c>
      <c r="P223" s="5">
        <f t="shared" ca="1" si="98"/>
        <v>0</v>
      </c>
      <c r="Q223" s="5" t="e">
        <f t="shared" ca="1" si="99"/>
        <v>#N/A</v>
      </c>
      <c r="R223" s="5">
        <f t="shared" ca="1" si="104"/>
        <v>0</v>
      </c>
      <c r="S223" s="67" t="e">
        <f t="shared" ca="1" si="105"/>
        <v>#N/A</v>
      </c>
      <c r="T223" s="67">
        <f t="shared" ca="1" si="106"/>
        <v>0</v>
      </c>
      <c r="U223" s="67" t="e">
        <f t="shared" ca="1" si="107"/>
        <v>#N/A</v>
      </c>
      <c r="V223" s="5">
        <f t="shared" ca="1" si="86"/>
        <v>0</v>
      </c>
      <c r="W223" s="5" t="e">
        <f t="shared" ca="1" si="100"/>
        <v>#N/A</v>
      </c>
      <c r="X223" s="67">
        <f t="shared" ca="1" si="101"/>
        <v>0</v>
      </c>
      <c r="Y223" s="67" t="e">
        <f t="shared" ca="1" si="108"/>
        <v>#N/A</v>
      </c>
      <c r="Z223" s="67" t="e">
        <f t="shared" ca="1" si="109"/>
        <v>#N/A</v>
      </c>
      <c r="AA223" s="5" t="str">
        <f>IF(Setup!$I$15="Yes",'Demand background (hide)'!AJ211+'SPC background (hide)'!C223,"")</f>
        <v/>
      </c>
      <c r="AC223" s="5" t="str">
        <f t="shared" ca="1" si="102"/>
        <v/>
      </c>
      <c r="AD223" s="5" t="str">
        <f t="shared" ca="1" si="103"/>
        <v/>
      </c>
    </row>
    <row r="224" spans="1:30" x14ac:dyDescent="0.2">
      <c r="A224" s="67" t="str">
        <f ca="1">Demand!C221</f>
        <v/>
      </c>
      <c r="B224" s="67">
        <v>209</v>
      </c>
      <c r="C224" s="5">
        <f ca="1">'Demand background (hide)'!Y212</f>
        <v>0</v>
      </c>
      <c r="D224" s="67">
        <f t="shared" si="87"/>
        <v>0</v>
      </c>
      <c r="E224" s="67" t="e">
        <f t="shared" ca="1" si="88"/>
        <v>#N/A</v>
      </c>
      <c r="F224" s="67" t="e">
        <f t="shared" ca="1" si="89"/>
        <v>#N/A</v>
      </c>
      <c r="G224" s="67" t="e">
        <f t="shared" ca="1" si="90"/>
        <v>#N/A</v>
      </c>
      <c r="H224" s="67" t="e">
        <f>IF('Demand background (hide)'!AN212&lt;&gt;"",'SPC background (hide)'!C224,NA())</f>
        <v>#N/A</v>
      </c>
      <c r="I224" s="67">
        <f t="shared" ca="1" si="91"/>
        <v>5</v>
      </c>
      <c r="J224" s="5">
        <f t="shared" ca="1" si="92"/>
        <v>0</v>
      </c>
      <c r="K224" s="5">
        <f t="shared" ca="1" si="93"/>
        <v>0</v>
      </c>
      <c r="L224" s="5">
        <f t="shared" ca="1" si="94"/>
        <v>0</v>
      </c>
      <c r="M224" s="5">
        <f t="shared" ca="1" si="95"/>
        <v>0</v>
      </c>
      <c r="N224" s="5">
        <f t="shared" ca="1" si="96"/>
        <v>0</v>
      </c>
      <c r="O224" s="5">
        <f t="shared" ca="1" si="97"/>
        <v>0</v>
      </c>
      <c r="P224" s="5">
        <f t="shared" ca="1" si="98"/>
        <v>0</v>
      </c>
      <c r="Q224" s="5" t="e">
        <f t="shared" ca="1" si="99"/>
        <v>#N/A</v>
      </c>
      <c r="R224" s="5">
        <f t="shared" ca="1" si="104"/>
        <v>0</v>
      </c>
      <c r="S224" s="67" t="e">
        <f t="shared" ca="1" si="105"/>
        <v>#N/A</v>
      </c>
      <c r="T224" s="67">
        <f t="shared" ca="1" si="106"/>
        <v>0</v>
      </c>
      <c r="U224" s="67" t="e">
        <f t="shared" ca="1" si="107"/>
        <v>#N/A</v>
      </c>
      <c r="V224" s="5">
        <f t="shared" ca="1" si="86"/>
        <v>0</v>
      </c>
      <c r="W224" s="5" t="e">
        <f t="shared" ca="1" si="100"/>
        <v>#N/A</v>
      </c>
      <c r="X224" s="67">
        <f t="shared" ca="1" si="101"/>
        <v>0</v>
      </c>
      <c r="Y224" s="67" t="e">
        <f t="shared" ca="1" si="108"/>
        <v>#N/A</v>
      </c>
      <c r="Z224" s="67" t="e">
        <f t="shared" ca="1" si="109"/>
        <v>#N/A</v>
      </c>
      <c r="AA224" s="5" t="str">
        <f>IF(Setup!$I$15="Yes",'Demand background (hide)'!AJ212+'SPC background (hide)'!C224,"")</f>
        <v/>
      </c>
      <c r="AC224" s="5" t="str">
        <f t="shared" ca="1" si="102"/>
        <v/>
      </c>
      <c r="AD224" s="5" t="str">
        <f t="shared" ca="1" si="103"/>
        <v/>
      </c>
    </row>
    <row r="225" spans="1:30" x14ac:dyDescent="0.2">
      <c r="A225" s="67" t="str">
        <f ca="1">Demand!C222</f>
        <v/>
      </c>
      <c r="B225" s="67">
        <v>210</v>
      </c>
      <c r="C225" s="5">
        <f ca="1">'Demand background (hide)'!Y213</f>
        <v>0</v>
      </c>
      <c r="D225" s="67">
        <f t="shared" si="87"/>
        <v>0</v>
      </c>
      <c r="E225" s="67" t="e">
        <f t="shared" ca="1" si="88"/>
        <v>#N/A</v>
      </c>
      <c r="F225" s="67" t="e">
        <f t="shared" ca="1" si="89"/>
        <v>#N/A</v>
      </c>
      <c r="G225" s="67" t="e">
        <f t="shared" ca="1" si="90"/>
        <v>#N/A</v>
      </c>
      <c r="H225" s="67" t="e">
        <f>IF('Demand background (hide)'!AN213&lt;&gt;"",'SPC background (hide)'!C225,NA())</f>
        <v>#N/A</v>
      </c>
      <c r="I225" s="67">
        <f t="shared" ca="1" si="91"/>
        <v>5</v>
      </c>
      <c r="J225" s="5">
        <f t="shared" ca="1" si="92"/>
        <v>0</v>
      </c>
      <c r="K225" s="5">
        <f t="shared" ca="1" si="93"/>
        <v>0</v>
      </c>
      <c r="L225" s="5">
        <f t="shared" ca="1" si="94"/>
        <v>0</v>
      </c>
      <c r="M225" s="5">
        <f t="shared" ca="1" si="95"/>
        <v>0</v>
      </c>
      <c r="N225" s="5">
        <f t="shared" ca="1" si="96"/>
        <v>0</v>
      </c>
      <c r="O225" s="5">
        <f t="shared" ca="1" si="97"/>
        <v>0</v>
      </c>
      <c r="P225" s="5">
        <f t="shared" ca="1" si="98"/>
        <v>0</v>
      </c>
      <c r="Q225" s="5" t="e">
        <f t="shared" ca="1" si="99"/>
        <v>#N/A</v>
      </c>
      <c r="R225" s="5">
        <f t="shared" ca="1" si="104"/>
        <v>0</v>
      </c>
      <c r="S225" s="67" t="e">
        <f t="shared" ca="1" si="105"/>
        <v>#N/A</v>
      </c>
      <c r="T225" s="67">
        <f t="shared" ca="1" si="106"/>
        <v>0</v>
      </c>
      <c r="U225" s="67" t="e">
        <f t="shared" ca="1" si="107"/>
        <v>#N/A</v>
      </c>
      <c r="V225" s="5">
        <f t="shared" ca="1" si="86"/>
        <v>0</v>
      </c>
      <c r="W225" s="5" t="e">
        <f t="shared" ca="1" si="100"/>
        <v>#N/A</v>
      </c>
      <c r="X225" s="67">
        <f t="shared" ca="1" si="101"/>
        <v>0</v>
      </c>
      <c r="Y225" s="67" t="e">
        <f t="shared" ca="1" si="108"/>
        <v>#N/A</v>
      </c>
      <c r="Z225" s="67" t="e">
        <f t="shared" ca="1" si="109"/>
        <v>#N/A</v>
      </c>
      <c r="AA225" s="5" t="str">
        <f>IF(Setup!$I$15="Yes",'Demand background (hide)'!AJ213+'SPC background (hide)'!C225,"")</f>
        <v/>
      </c>
      <c r="AC225" s="5" t="str">
        <f t="shared" ca="1" si="102"/>
        <v/>
      </c>
      <c r="AD225" s="5" t="str">
        <f t="shared" ca="1" si="103"/>
        <v/>
      </c>
    </row>
    <row r="226" spans="1:30" x14ac:dyDescent="0.2">
      <c r="A226" s="67" t="str">
        <f ca="1">Demand!C223</f>
        <v/>
      </c>
      <c r="B226" s="67">
        <v>211</v>
      </c>
      <c r="C226" s="5">
        <f ca="1">'Demand background (hide)'!Y214</f>
        <v>0</v>
      </c>
      <c r="D226" s="67">
        <f t="shared" si="87"/>
        <v>0</v>
      </c>
      <c r="E226" s="67" t="e">
        <f t="shared" ca="1" si="88"/>
        <v>#N/A</v>
      </c>
      <c r="F226" s="67" t="e">
        <f t="shared" ca="1" si="89"/>
        <v>#N/A</v>
      </c>
      <c r="G226" s="67" t="e">
        <f t="shared" ca="1" si="90"/>
        <v>#N/A</v>
      </c>
      <c r="H226" s="67" t="e">
        <f>IF('Demand background (hide)'!AN214&lt;&gt;"",'SPC background (hide)'!C226,NA())</f>
        <v>#N/A</v>
      </c>
      <c r="I226" s="67">
        <f t="shared" ca="1" si="91"/>
        <v>5</v>
      </c>
      <c r="J226" s="5">
        <f t="shared" ca="1" si="92"/>
        <v>0</v>
      </c>
      <c r="K226" s="5">
        <f t="shared" ca="1" si="93"/>
        <v>0</v>
      </c>
      <c r="L226" s="5">
        <f t="shared" ca="1" si="94"/>
        <v>0</v>
      </c>
      <c r="M226" s="5">
        <f t="shared" ca="1" si="95"/>
        <v>0</v>
      </c>
      <c r="N226" s="5">
        <f t="shared" ca="1" si="96"/>
        <v>0</v>
      </c>
      <c r="O226" s="5">
        <f t="shared" ca="1" si="97"/>
        <v>0</v>
      </c>
      <c r="P226" s="5">
        <f t="shared" ca="1" si="98"/>
        <v>0</v>
      </c>
      <c r="Q226" s="5" t="e">
        <f t="shared" ca="1" si="99"/>
        <v>#N/A</v>
      </c>
      <c r="R226" s="5">
        <f t="shared" ca="1" si="104"/>
        <v>0</v>
      </c>
      <c r="S226" s="67" t="e">
        <f t="shared" ca="1" si="105"/>
        <v>#N/A</v>
      </c>
      <c r="T226" s="67">
        <f t="shared" ca="1" si="106"/>
        <v>0</v>
      </c>
      <c r="U226" s="67" t="e">
        <f t="shared" ca="1" si="107"/>
        <v>#N/A</v>
      </c>
      <c r="V226" s="5">
        <f t="shared" ca="1" si="86"/>
        <v>0</v>
      </c>
      <c r="W226" s="5" t="e">
        <f t="shared" ca="1" si="100"/>
        <v>#N/A</v>
      </c>
      <c r="X226" s="67">
        <f t="shared" ca="1" si="101"/>
        <v>0</v>
      </c>
      <c r="Y226" s="67" t="e">
        <f t="shared" ca="1" si="108"/>
        <v>#N/A</v>
      </c>
      <c r="Z226" s="67" t="e">
        <f t="shared" ca="1" si="109"/>
        <v>#N/A</v>
      </c>
      <c r="AA226" s="5" t="str">
        <f>IF(Setup!$I$15="Yes",'Demand background (hide)'!AJ214+'SPC background (hide)'!C226,"")</f>
        <v/>
      </c>
      <c r="AC226" s="5" t="str">
        <f t="shared" ca="1" si="102"/>
        <v/>
      </c>
      <c r="AD226" s="5" t="str">
        <f t="shared" ca="1" si="103"/>
        <v/>
      </c>
    </row>
    <row r="227" spans="1:30" x14ac:dyDescent="0.2">
      <c r="A227" s="67" t="str">
        <f ca="1">Demand!C224</f>
        <v/>
      </c>
      <c r="B227" s="67">
        <v>212</v>
      </c>
      <c r="C227" s="5">
        <f ca="1">'Demand background (hide)'!Y215</f>
        <v>0</v>
      </c>
      <c r="D227" s="67">
        <f t="shared" si="87"/>
        <v>0</v>
      </c>
      <c r="E227" s="67" t="e">
        <f t="shared" ca="1" si="88"/>
        <v>#N/A</v>
      </c>
      <c r="F227" s="67" t="e">
        <f t="shared" ca="1" si="89"/>
        <v>#N/A</v>
      </c>
      <c r="G227" s="67" t="e">
        <f t="shared" ca="1" si="90"/>
        <v>#N/A</v>
      </c>
      <c r="H227" s="67" t="e">
        <f>IF('Demand background (hide)'!AN215&lt;&gt;"",'SPC background (hide)'!C227,NA())</f>
        <v>#N/A</v>
      </c>
      <c r="I227" s="67">
        <f t="shared" ca="1" si="91"/>
        <v>5</v>
      </c>
      <c r="J227" s="5">
        <f t="shared" ca="1" si="92"/>
        <v>0</v>
      </c>
      <c r="K227" s="5">
        <f t="shared" ca="1" si="93"/>
        <v>0</v>
      </c>
      <c r="L227" s="5">
        <f t="shared" ca="1" si="94"/>
        <v>0</v>
      </c>
      <c r="M227" s="5">
        <f t="shared" ca="1" si="95"/>
        <v>0</v>
      </c>
      <c r="N227" s="5">
        <f t="shared" ca="1" si="96"/>
        <v>0</v>
      </c>
      <c r="O227" s="5">
        <f t="shared" ca="1" si="97"/>
        <v>0</v>
      </c>
      <c r="P227" s="5">
        <f t="shared" ca="1" si="98"/>
        <v>0</v>
      </c>
      <c r="Q227" s="5" t="e">
        <f t="shared" ca="1" si="99"/>
        <v>#N/A</v>
      </c>
      <c r="R227" s="5">
        <f t="shared" ca="1" si="104"/>
        <v>0</v>
      </c>
      <c r="S227" s="67" t="e">
        <f t="shared" ca="1" si="105"/>
        <v>#N/A</v>
      </c>
      <c r="T227" s="67">
        <f t="shared" ca="1" si="106"/>
        <v>0</v>
      </c>
      <c r="U227" s="67" t="e">
        <f t="shared" ca="1" si="107"/>
        <v>#N/A</v>
      </c>
      <c r="V227" s="5">
        <f t="shared" ca="1" si="86"/>
        <v>0</v>
      </c>
      <c r="W227" s="5" t="e">
        <f t="shared" ca="1" si="100"/>
        <v>#N/A</v>
      </c>
      <c r="X227" s="67">
        <f t="shared" ca="1" si="101"/>
        <v>0</v>
      </c>
      <c r="Y227" s="67" t="e">
        <f t="shared" ca="1" si="108"/>
        <v>#N/A</v>
      </c>
      <c r="Z227" s="67" t="e">
        <f t="shared" ca="1" si="109"/>
        <v>#N/A</v>
      </c>
      <c r="AA227" s="5" t="str">
        <f>IF(Setup!$I$15="Yes",'Demand background (hide)'!AJ215+'SPC background (hide)'!C227,"")</f>
        <v/>
      </c>
      <c r="AC227" s="5" t="str">
        <f t="shared" ca="1" si="102"/>
        <v/>
      </c>
      <c r="AD227" s="5" t="str">
        <f t="shared" ca="1" si="103"/>
        <v/>
      </c>
    </row>
    <row r="228" spans="1:30" x14ac:dyDescent="0.2">
      <c r="A228" s="67" t="str">
        <f ca="1">Demand!C225</f>
        <v/>
      </c>
      <c r="B228" s="67">
        <v>213</v>
      </c>
      <c r="C228" s="5">
        <f ca="1">'Demand background (hide)'!Y216</f>
        <v>0</v>
      </c>
      <c r="D228" s="67">
        <f t="shared" si="87"/>
        <v>0</v>
      </c>
      <c r="E228" s="67" t="e">
        <f t="shared" ca="1" si="88"/>
        <v>#N/A</v>
      </c>
      <c r="F228" s="67" t="e">
        <f t="shared" ca="1" si="89"/>
        <v>#N/A</v>
      </c>
      <c r="G228" s="67" t="e">
        <f t="shared" ca="1" si="90"/>
        <v>#N/A</v>
      </c>
      <c r="H228" s="67" t="e">
        <f>IF('Demand background (hide)'!AN216&lt;&gt;"",'SPC background (hide)'!C228,NA())</f>
        <v>#N/A</v>
      </c>
      <c r="I228" s="67">
        <f t="shared" ca="1" si="91"/>
        <v>5</v>
      </c>
      <c r="J228" s="5">
        <f t="shared" ca="1" si="92"/>
        <v>0</v>
      </c>
      <c r="K228" s="5">
        <f t="shared" ca="1" si="93"/>
        <v>0</v>
      </c>
      <c r="L228" s="5">
        <f t="shared" ca="1" si="94"/>
        <v>0</v>
      </c>
      <c r="M228" s="5">
        <f t="shared" ca="1" si="95"/>
        <v>0</v>
      </c>
      <c r="N228" s="5">
        <f t="shared" ca="1" si="96"/>
        <v>0</v>
      </c>
      <c r="O228" s="5">
        <f t="shared" ca="1" si="97"/>
        <v>0</v>
      </c>
      <c r="P228" s="5">
        <f t="shared" ca="1" si="98"/>
        <v>0</v>
      </c>
      <c r="Q228" s="5" t="e">
        <f t="shared" ca="1" si="99"/>
        <v>#N/A</v>
      </c>
      <c r="R228" s="5">
        <f t="shared" ca="1" si="104"/>
        <v>0</v>
      </c>
      <c r="S228" s="67" t="e">
        <f t="shared" ca="1" si="105"/>
        <v>#N/A</v>
      </c>
      <c r="T228" s="67">
        <f t="shared" ca="1" si="106"/>
        <v>0</v>
      </c>
      <c r="U228" s="67" t="e">
        <f t="shared" ca="1" si="107"/>
        <v>#N/A</v>
      </c>
      <c r="V228" s="5">
        <f t="shared" ca="1" si="86"/>
        <v>0</v>
      </c>
      <c r="W228" s="5" t="e">
        <f t="shared" ca="1" si="100"/>
        <v>#N/A</v>
      </c>
      <c r="X228" s="67">
        <f t="shared" ca="1" si="101"/>
        <v>0</v>
      </c>
      <c r="Y228" s="67" t="e">
        <f t="shared" ca="1" si="108"/>
        <v>#N/A</v>
      </c>
      <c r="Z228" s="67" t="e">
        <f t="shared" ca="1" si="109"/>
        <v>#N/A</v>
      </c>
      <c r="AA228" s="5" t="str">
        <f>IF(Setup!$I$15="Yes",'Demand background (hide)'!AJ216+'SPC background (hide)'!C228,"")</f>
        <v/>
      </c>
      <c r="AC228" s="5" t="str">
        <f t="shared" ca="1" si="102"/>
        <v/>
      </c>
      <c r="AD228" s="5" t="str">
        <f t="shared" ca="1" si="103"/>
        <v/>
      </c>
    </row>
    <row r="229" spans="1:30" x14ac:dyDescent="0.2">
      <c r="A229" s="67" t="str">
        <f ca="1">Demand!C226</f>
        <v/>
      </c>
      <c r="B229" s="67">
        <v>214</v>
      </c>
      <c r="C229" s="5">
        <f ca="1">'Demand background (hide)'!Y217</f>
        <v>0</v>
      </c>
      <c r="D229" s="67">
        <f t="shared" si="87"/>
        <v>0</v>
      </c>
      <c r="E229" s="67" t="e">
        <f t="shared" ca="1" si="88"/>
        <v>#N/A</v>
      </c>
      <c r="F229" s="67" t="e">
        <f t="shared" ca="1" si="89"/>
        <v>#N/A</v>
      </c>
      <c r="G229" s="67" t="e">
        <f t="shared" ca="1" si="90"/>
        <v>#N/A</v>
      </c>
      <c r="H229" s="67" t="e">
        <f>IF('Demand background (hide)'!AN217&lt;&gt;"",'SPC background (hide)'!C229,NA())</f>
        <v>#N/A</v>
      </c>
      <c r="I229" s="67">
        <f t="shared" ca="1" si="91"/>
        <v>5</v>
      </c>
      <c r="J229" s="5">
        <f t="shared" ca="1" si="92"/>
        <v>0</v>
      </c>
      <c r="K229" s="5">
        <f t="shared" ca="1" si="93"/>
        <v>0</v>
      </c>
      <c r="L229" s="5">
        <f t="shared" ca="1" si="94"/>
        <v>0</v>
      </c>
      <c r="M229" s="5">
        <f t="shared" ca="1" si="95"/>
        <v>0</v>
      </c>
      <c r="N229" s="5">
        <f t="shared" ca="1" si="96"/>
        <v>0</v>
      </c>
      <c r="O229" s="5">
        <f t="shared" ca="1" si="97"/>
        <v>0</v>
      </c>
      <c r="P229" s="5">
        <f t="shared" ca="1" si="98"/>
        <v>0</v>
      </c>
      <c r="Q229" s="5" t="e">
        <f t="shared" ca="1" si="99"/>
        <v>#N/A</v>
      </c>
      <c r="R229" s="5">
        <f t="shared" ca="1" si="104"/>
        <v>0</v>
      </c>
      <c r="S229" s="67" t="e">
        <f t="shared" ca="1" si="105"/>
        <v>#N/A</v>
      </c>
      <c r="T229" s="67">
        <f t="shared" ca="1" si="106"/>
        <v>0</v>
      </c>
      <c r="U229" s="67" t="e">
        <f t="shared" ca="1" si="107"/>
        <v>#N/A</v>
      </c>
      <c r="V229" s="5">
        <f t="shared" ca="1" si="86"/>
        <v>0</v>
      </c>
      <c r="W229" s="5" t="e">
        <f t="shared" ca="1" si="100"/>
        <v>#N/A</v>
      </c>
      <c r="X229" s="67">
        <f t="shared" ca="1" si="101"/>
        <v>0</v>
      </c>
      <c r="Y229" s="67" t="e">
        <f t="shared" ca="1" si="108"/>
        <v>#N/A</v>
      </c>
      <c r="Z229" s="67" t="e">
        <f t="shared" ca="1" si="109"/>
        <v>#N/A</v>
      </c>
      <c r="AA229" s="5" t="str">
        <f>IF(Setup!$I$15="Yes",'Demand background (hide)'!AJ217+'SPC background (hide)'!C229,"")</f>
        <v/>
      </c>
      <c r="AC229" s="5" t="str">
        <f t="shared" ca="1" si="102"/>
        <v/>
      </c>
      <c r="AD229" s="5" t="str">
        <f t="shared" ca="1" si="103"/>
        <v/>
      </c>
    </row>
    <row r="230" spans="1:30" x14ac:dyDescent="0.2">
      <c r="A230" s="67" t="str">
        <f ca="1">Demand!C227</f>
        <v/>
      </c>
      <c r="B230" s="67">
        <v>215</v>
      </c>
      <c r="C230" s="5">
        <f ca="1">'Demand background (hide)'!Y218</f>
        <v>0</v>
      </c>
      <c r="D230" s="67">
        <f t="shared" si="87"/>
        <v>0</v>
      </c>
      <c r="E230" s="67" t="e">
        <f t="shared" ca="1" si="88"/>
        <v>#N/A</v>
      </c>
      <c r="F230" s="67" t="e">
        <f t="shared" ca="1" si="89"/>
        <v>#N/A</v>
      </c>
      <c r="G230" s="67" t="e">
        <f t="shared" ca="1" si="90"/>
        <v>#N/A</v>
      </c>
      <c r="H230" s="67" t="e">
        <f>IF('Demand background (hide)'!AN218&lt;&gt;"",'SPC background (hide)'!C230,NA())</f>
        <v>#N/A</v>
      </c>
      <c r="I230" s="67">
        <f t="shared" ca="1" si="91"/>
        <v>5</v>
      </c>
      <c r="J230" s="5">
        <f t="shared" ca="1" si="92"/>
        <v>0</v>
      </c>
      <c r="K230" s="5">
        <f t="shared" ca="1" si="93"/>
        <v>0</v>
      </c>
      <c r="L230" s="5">
        <f t="shared" ca="1" si="94"/>
        <v>0</v>
      </c>
      <c r="M230" s="5">
        <f t="shared" ca="1" si="95"/>
        <v>0</v>
      </c>
      <c r="N230" s="5">
        <f t="shared" ca="1" si="96"/>
        <v>0</v>
      </c>
      <c r="O230" s="5">
        <f t="shared" ca="1" si="97"/>
        <v>0</v>
      </c>
      <c r="P230" s="5">
        <f t="shared" ca="1" si="98"/>
        <v>0</v>
      </c>
      <c r="Q230" s="5" t="e">
        <f t="shared" ca="1" si="99"/>
        <v>#N/A</v>
      </c>
      <c r="R230" s="5">
        <f t="shared" ca="1" si="104"/>
        <v>0</v>
      </c>
      <c r="S230" s="67" t="e">
        <f t="shared" ca="1" si="105"/>
        <v>#N/A</v>
      </c>
      <c r="T230" s="67">
        <f t="shared" ca="1" si="106"/>
        <v>0</v>
      </c>
      <c r="U230" s="67" t="e">
        <f t="shared" ca="1" si="107"/>
        <v>#N/A</v>
      </c>
      <c r="V230" s="5">
        <f t="shared" ca="1" si="86"/>
        <v>0</v>
      </c>
      <c r="W230" s="5" t="e">
        <f t="shared" ca="1" si="100"/>
        <v>#N/A</v>
      </c>
      <c r="X230" s="67">
        <f t="shared" ca="1" si="101"/>
        <v>0</v>
      </c>
      <c r="Y230" s="67" t="e">
        <f t="shared" ca="1" si="108"/>
        <v>#N/A</v>
      </c>
      <c r="Z230" s="67" t="e">
        <f t="shared" ca="1" si="109"/>
        <v>#N/A</v>
      </c>
      <c r="AA230" s="5" t="str">
        <f>IF(Setup!$I$15="Yes",'Demand background (hide)'!AJ218+'SPC background (hide)'!C230,"")</f>
        <v/>
      </c>
      <c r="AC230" s="5" t="str">
        <f t="shared" ca="1" si="102"/>
        <v/>
      </c>
      <c r="AD230" s="5" t="str">
        <f t="shared" ca="1" si="103"/>
        <v/>
      </c>
    </row>
    <row r="231" spans="1:30" x14ac:dyDescent="0.2">
      <c r="A231" s="67" t="str">
        <f ca="1">Demand!C228</f>
        <v/>
      </c>
      <c r="B231" s="67">
        <v>216</v>
      </c>
      <c r="C231" s="5">
        <f ca="1">'Demand background (hide)'!Y219</f>
        <v>0</v>
      </c>
      <c r="D231" s="67">
        <f t="shared" si="87"/>
        <v>0</v>
      </c>
      <c r="E231" s="67" t="e">
        <f t="shared" ca="1" si="88"/>
        <v>#N/A</v>
      </c>
      <c r="F231" s="67" t="e">
        <f t="shared" ca="1" si="89"/>
        <v>#N/A</v>
      </c>
      <c r="G231" s="67" t="e">
        <f t="shared" ca="1" si="90"/>
        <v>#N/A</v>
      </c>
      <c r="H231" s="67" t="e">
        <f>IF('Demand background (hide)'!AN219&lt;&gt;"",'SPC background (hide)'!C231,NA())</f>
        <v>#N/A</v>
      </c>
      <c r="I231" s="67">
        <f t="shared" ca="1" si="91"/>
        <v>5</v>
      </c>
      <c r="J231" s="5">
        <f t="shared" ca="1" si="92"/>
        <v>0</v>
      </c>
      <c r="K231" s="5">
        <f t="shared" ca="1" si="93"/>
        <v>0</v>
      </c>
      <c r="L231" s="5">
        <f t="shared" ca="1" si="94"/>
        <v>0</v>
      </c>
      <c r="M231" s="5">
        <f t="shared" ca="1" si="95"/>
        <v>0</v>
      </c>
      <c r="N231" s="5">
        <f t="shared" ca="1" si="96"/>
        <v>0</v>
      </c>
      <c r="O231" s="5">
        <f t="shared" ca="1" si="97"/>
        <v>0</v>
      </c>
      <c r="P231" s="5">
        <f t="shared" ca="1" si="98"/>
        <v>0</v>
      </c>
      <c r="Q231" s="5" t="e">
        <f t="shared" ca="1" si="99"/>
        <v>#N/A</v>
      </c>
      <c r="R231" s="5">
        <f t="shared" ca="1" si="104"/>
        <v>0</v>
      </c>
      <c r="S231" s="67" t="e">
        <f t="shared" ca="1" si="105"/>
        <v>#N/A</v>
      </c>
      <c r="T231" s="67">
        <f t="shared" ca="1" si="106"/>
        <v>0</v>
      </c>
      <c r="U231" s="67" t="e">
        <f t="shared" ca="1" si="107"/>
        <v>#N/A</v>
      </c>
      <c r="V231" s="5">
        <f t="shared" ca="1" si="86"/>
        <v>0</v>
      </c>
      <c r="W231" s="5" t="e">
        <f t="shared" ca="1" si="100"/>
        <v>#N/A</v>
      </c>
      <c r="X231" s="67">
        <f t="shared" ca="1" si="101"/>
        <v>0</v>
      </c>
      <c r="Y231" s="67" t="e">
        <f t="shared" ca="1" si="108"/>
        <v>#N/A</v>
      </c>
      <c r="Z231" s="67" t="e">
        <f t="shared" ca="1" si="109"/>
        <v>#N/A</v>
      </c>
      <c r="AA231" s="5" t="str">
        <f>IF(Setup!$I$15="Yes",'Demand background (hide)'!AJ219+'SPC background (hide)'!C231,"")</f>
        <v/>
      </c>
      <c r="AC231" s="5" t="str">
        <f t="shared" ca="1" si="102"/>
        <v/>
      </c>
      <c r="AD231" s="5" t="str">
        <f t="shared" ca="1" si="103"/>
        <v/>
      </c>
    </row>
    <row r="232" spans="1:30" x14ac:dyDescent="0.2">
      <c r="A232" s="67" t="str">
        <f ca="1">Demand!C229</f>
        <v/>
      </c>
      <c r="B232" s="67">
        <v>217</v>
      </c>
      <c r="C232" s="5">
        <f ca="1">'Demand background (hide)'!Y220</f>
        <v>0</v>
      </c>
      <c r="D232" s="67">
        <f t="shared" si="87"/>
        <v>0</v>
      </c>
      <c r="E232" s="67" t="e">
        <f t="shared" ca="1" si="88"/>
        <v>#N/A</v>
      </c>
      <c r="F232" s="67" t="e">
        <f t="shared" ca="1" si="89"/>
        <v>#N/A</v>
      </c>
      <c r="G232" s="67" t="e">
        <f t="shared" ca="1" si="90"/>
        <v>#N/A</v>
      </c>
      <c r="H232" s="67" t="e">
        <f>IF('Demand background (hide)'!AN220&lt;&gt;"",'SPC background (hide)'!C232,NA())</f>
        <v>#N/A</v>
      </c>
      <c r="I232" s="67">
        <f t="shared" ca="1" si="91"/>
        <v>5</v>
      </c>
      <c r="J232" s="5">
        <f t="shared" ca="1" si="92"/>
        <v>0</v>
      </c>
      <c r="K232" s="5">
        <f t="shared" ca="1" si="93"/>
        <v>0</v>
      </c>
      <c r="L232" s="5">
        <f t="shared" ca="1" si="94"/>
        <v>0</v>
      </c>
      <c r="M232" s="5">
        <f t="shared" ca="1" si="95"/>
        <v>0</v>
      </c>
      <c r="N232" s="5">
        <f t="shared" ca="1" si="96"/>
        <v>0</v>
      </c>
      <c r="O232" s="5">
        <f t="shared" ca="1" si="97"/>
        <v>0</v>
      </c>
      <c r="P232" s="5">
        <f t="shared" ca="1" si="98"/>
        <v>0</v>
      </c>
      <c r="Q232" s="5" t="e">
        <f t="shared" ca="1" si="99"/>
        <v>#N/A</v>
      </c>
      <c r="R232" s="5">
        <f t="shared" ca="1" si="104"/>
        <v>0</v>
      </c>
      <c r="S232" s="67" t="e">
        <f t="shared" ca="1" si="105"/>
        <v>#N/A</v>
      </c>
      <c r="T232" s="67">
        <f t="shared" ca="1" si="106"/>
        <v>0</v>
      </c>
      <c r="U232" s="67" t="e">
        <f t="shared" ca="1" si="107"/>
        <v>#N/A</v>
      </c>
      <c r="V232" s="5">
        <f t="shared" ca="1" si="86"/>
        <v>0</v>
      </c>
      <c r="W232" s="5" t="e">
        <f t="shared" ca="1" si="100"/>
        <v>#N/A</v>
      </c>
      <c r="X232" s="67">
        <f t="shared" ca="1" si="101"/>
        <v>0</v>
      </c>
      <c r="Y232" s="67" t="e">
        <f t="shared" ca="1" si="108"/>
        <v>#N/A</v>
      </c>
      <c r="Z232" s="67" t="e">
        <f t="shared" ca="1" si="109"/>
        <v>#N/A</v>
      </c>
      <c r="AA232" s="5" t="str">
        <f>IF(Setup!$I$15="Yes",'Demand background (hide)'!AJ220+'SPC background (hide)'!C232,"")</f>
        <v/>
      </c>
      <c r="AC232" s="5" t="str">
        <f t="shared" ca="1" si="102"/>
        <v/>
      </c>
      <c r="AD232" s="5" t="str">
        <f t="shared" ca="1" si="103"/>
        <v/>
      </c>
    </row>
    <row r="233" spans="1:30" x14ac:dyDescent="0.2">
      <c r="A233" s="67" t="str">
        <f ca="1">Demand!C230</f>
        <v/>
      </c>
      <c r="B233" s="67">
        <v>218</v>
      </c>
      <c r="C233" s="5">
        <f ca="1">'Demand background (hide)'!Y221</f>
        <v>0</v>
      </c>
      <c r="D233" s="67">
        <f t="shared" si="87"/>
        <v>0</v>
      </c>
      <c r="E233" s="67" t="e">
        <f t="shared" ca="1" si="88"/>
        <v>#N/A</v>
      </c>
      <c r="F233" s="67" t="e">
        <f t="shared" ca="1" si="89"/>
        <v>#N/A</v>
      </c>
      <c r="G233" s="67" t="e">
        <f t="shared" ca="1" si="90"/>
        <v>#N/A</v>
      </c>
      <c r="H233" s="67" t="e">
        <f>IF('Demand background (hide)'!AN221&lt;&gt;"",'SPC background (hide)'!C233,NA())</f>
        <v>#N/A</v>
      </c>
      <c r="I233" s="67">
        <f t="shared" ca="1" si="91"/>
        <v>5</v>
      </c>
      <c r="J233" s="5">
        <f t="shared" ca="1" si="92"/>
        <v>0</v>
      </c>
      <c r="K233" s="5">
        <f t="shared" ca="1" si="93"/>
        <v>0</v>
      </c>
      <c r="L233" s="5">
        <f t="shared" ca="1" si="94"/>
        <v>0</v>
      </c>
      <c r="M233" s="5">
        <f t="shared" ca="1" si="95"/>
        <v>0</v>
      </c>
      <c r="N233" s="5">
        <f t="shared" ca="1" si="96"/>
        <v>0</v>
      </c>
      <c r="O233" s="5">
        <f t="shared" ca="1" si="97"/>
        <v>0</v>
      </c>
      <c r="P233" s="5">
        <f t="shared" ca="1" si="98"/>
        <v>0</v>
      </c>
      <c r="Q233" s="5" t="e">
        <f t="shared" ca="1" si="99"/>
        <v>#N/A</v>
      </c>
      <c r="R233" s="5">
        <f t="shared" ca="1" si="104"/>
        <v>0</v>
      </c>
      <c r="S233" s="67" t="e">
        <f t="shared" ca="1" si="105"/>
        <v>#N/A</v>
      </c>
      <c r="T233" s="67">
        <f t="shared" ca="1" si="106"/>
        <v>0</v>
      </c>
      <c r="U233" s="67" t="e">
        <f t="shared" ca="1" si="107"/>
        <v>#N/A</v>
      </c>
      <c r="V233" s="5">
        <f t="shared" ca="1" si="86"/>
        <v>0</v>
      </c>
      <c r="W233" s="5" t="e">
        <f t="shared" ca="1" si="100"/>
        <v>#N/A</v>
      </c>
      <c r="X233" s="67">
        <f t="shared" ca="1" si="101"/>
        <v>0</v>
      </c>
      <c r="Y233" s="67" t="e">
        <f t="shared" ca="1" si="108"/>
        <v>#N/A</v>
      </c>
      <c r="Z233" s="67" t="e">
        <f t="shared" ca="1" si="109"/>
        <v>#N/A</v>
      </c>
      <c r="AA233" s="5" t="str">
        <f>IF(Setup!$I$15="Yes",'Demand background (hide)'!AJ221+'SPC background (hide)'!C233,"")</f>
        <v/>
      </c>
      <c r="AC233" s="5" t="str">
        <f t="shared" ca="1" si="102"/>
        <v/>
      </c>
      <c r="AD233" s="5" t="str">
        <f t="shared" ca="1" si="103"/>
        <v/>
      </c>
    </row>
    <row r="234" spans="1:30" x14ac:dyDescent="0.2">
      <c r="A234" s="67" t="str">
        <f ca="1">Demand!C231</f>
        <v/>
      </c>
      <c r="B234" s="67">
        <v>219</v>
      </c>
      <c r="C234" s="5">
        <f ca="1">'Demand background (hide)'!Y222</f>
        <v>0</v>
      </c>
      <c r="D234" s="67">
        <f t="shared" si="87"/>
        <v>0</v>
      </c>
      <c r="E234" s="67" t="e">
        <f t="shared" ca="1" si="88"/>
        <v>#N/A</v>
      </c>
      <c r="F234" s="67" t="e">
        <f t="shared" ca="1" si="89"/>
        <v>#N/A</v>
      </c>
      <c r="G234" s="67" t="e">
        <f t="shared" ca="1" si="90"/>
        <v>#N/A</v>
      </c>
      <c r="H234" s="67" t="e">
        <f>IF('Demand background (hide)'!AN222&lt;&gt;"",'SPC background (hide)'!C234,NA())</f>
        <v>#N/A</v>
      </c>
      <c r="I234" s="67">
        <f t="shared" ca="1" si="91"/>
        <v>5</v>
      </c>
      <c r="J234" s="5">
        <f t="shared" ca="1" si="92"/>
        <v>0</v>
      </c>
      <c r="K234" s="5">
        <f t="shared" ca="1" si="93"/>
        <v>0</v>
      </c>
      <c r="L234" s="5">
        <f t="shared" ca="1" si="94"/>
        <v>0</v>
      </c>
      <c r="M234" s="5">
        <f t="shared" ca="1" si="95"/>
        <v>0</v>
      </c>
      <c r="N234" s="5">
        <f t="shared" ca="1" si="96"/>
        <v>0</v>
      </c>
      <c r="O234" s="5">
        <f t="shared" ca="1" si="97"/>
        <v>0</v>
      </c>
      <c r="P234" s="5">
        <f t="shared" ca="1" si="98"/>
        <v>0</v>
      </c>
      <c r="Q234" s="5" t="e">
        <f t="shared" ca="1" si="99"/>
        <v>#N/A</v>
      </c>
      <c r="R234" s="5">
        <f t="shared" ca="1" si="104"/>
        <v>0</v>
      </c>
      <c r="S234" s="67" t="e">
        <f t="shared" ca="1" si="105"/>
        <v>#N/A</v>
      </c>
      <c r="T234" s="67">
        <f t="shared" ca="1" si="106"/>
        <v>0</v>
      </c>
      <c r="U234" s="67" t="e">
        <f t="shared" ca="1" si="107"/>
        <v>#N/A</v>
      </c>
      <c r="V234" s="5">
        <f t="shared" ca="1" si="86"/>
        <v>0</v>
      </c>
      <c r="W234" s="5" t="e">
        <f t="shared" ca="1" si="100"/>
        <v>#N/A</v>
      </c>
      <c r="X234" s="67">
        <f t="shared" ca="1" si="101"/>
        <v>0</v>
      </c>
      <c r="Y234" s="67" t="e">
        <f t="shared" ca="1" si="108"/>
        <v>#N/A</v>
      </c>
      <c r="Z234" s="67" t="e">
        <f t="shared" ca="1" si="109"/>
        <v>#N/A</v>
      </c>
      <c r="AA234" s="5" t="str">
        <f>IF(Setup!$I$15="Yes",'Demand background (hide)'!AJ222+'SPC background (hide)'!C234,"")</f>
        <v/>
      </c>
      <c r="AC234" s="5" t="str">
        <f t="shared" ca="1" si="102"/>
        <v/>
      </c>
      <c r="AD234" s="5" t="str">
        <f t="shared" ca="1" si="103"/>
        <v/>
      </c>
    </row>
    <row r="235" spans="1:30" x14ac:dyDescent="0.2">
      <c r="A235" s="67" t="str">
        <f ca="1">Demand!C232</f>
        <v/>
      </c>
      <c r="B235" s="67">
        <v>220</v>
      </c>
      <c r="C235" s="5">
        <f ca="1">'Demand background (hide)'!Y223</f>
        <v>0</v>
      </c>
      <c r="D235" s="67">
        <f t="shared" si="87"/>
        <v>0</v>
      </c>
      <c r="E235" s="67" t="e">
        <f t="shared" ca="1" si="88"/>
        <v>#N/A</v>
      </c>
      <c r="F235" s="67" t="e">
        <f t="shared" ca="1" si="89"/>
        <v>#N/A</v>
      </c>
      <c r="G235" s="67" t="e">
        <f t="shared" ca="1" si="90"/>
        <v>#N/A</v>
      </c>
      <c r="H235" s="67" t="e">
        <f>IF('Demand background (hide)'!AN223&lt;&gt;"",'SPC background (hide)'!C235,NA())</f>
        <v>#N/A</v>
      </c>
      <c r="I235" s="67">
        <f t="shared" ca="1" si="91"/>
        <v>5</v>
      </c>
      <c r="J235" s="5">
        <f t="shared" ca="1" si="92"/>
        <v>0</v>
      </c>
      <c r="K235" s="5">
        <f t="shared" ca="1" si="93"/>
        <v>0</v>
      </c>
      <c r="L235" s="5">
        <f t="shared" ca="1" si="94"/>
        <v>0</v>
      </c>
      <c r="M235" s="5">
        <f t="shared" ca="1" si="95"/>
        <v>0</v>
      </c>
      <c r="N235" s="5">
        <f t="shared" ca="1" si="96"/>
        <v>0</v>
      </c>
      <c r="O235" s="5">
        <f t="shared" ca="1" si="97"/>
        <v>0</v>
      </c>
      <c r="P235" s="5">
        <f t="shared" ca="1" si="98"/>
        <v>0</v>
      </c>
      <c r="Q235" s="5" t="e">
        <f t="shared" ca="1" si="99"/>
        <v>#N/A</v>
      </c>
      <c r="R235" s="5">
        <f t="shared" ca="1" si="104"/>
        <v>0</v>
      </c>
      <c r="S235" s="67" t="e">
        <f t="shared" ca="1" si="105"/>
        <v>#N/A</v>
      </c>
      <c r="T235" s="67">
        <f t="shared" ca="1" si="106"/>
        <v>0</v>
      </c>
      <c r="U235" s="67" t="e">
        <f t="shared" ca="1" si="107"/>
        <v>#N/A</v>
      </c>
      <c r="V235" s="5">
        <f t="shared" ca="1" si="86"/>
        <v>0</v>
      </c>
      <c r="W235" s="5" t="e">
        <f t="shared" ca="1" si="100"/>
        <v>#N/A</v>
      </c>
      <c r="X235" s="67">
        <f t="shared" ca="1" si="101"/>
        <v>0</v>
      </c>
      <c r="Y235" s="67" t="e">
        <f t="shared" ca="1" si="108"/>
        <v>#N/A</v>
      </c>
      <c r="Z235" s="67" t="e">
        <f t="shared" ca="1" si="109"/>
        <v>#N/A</v>
      </c>
      <c r="AA235" s="5" t="str">
        <f>IF(Setup!$I$15="Yes",'Demand background (hide)'!AJ223+'SPC background (hide)'!C235,"")</f>
        <v/>
      </c>
      <c r="AC235" s="5" t="str">
        <f t="shared" ca="1" si="102"/>
        <v/>
      </c>
      <c r="AD235" s="5" t="str">
        <f t="shared" ca="1" si="103"/>
        <v/>
      </c>
    </row>
    <row r="236" spans="1:30" x14ac:dyDescent="0.2">
      <c r="A236" s="67" t="str">
        <f ca="1">Demand!C233</f>
        <v/>
      </c>
      <c r="B236" s="67">
        <v>221</v>
      </c>
      <c r="C236" s="5">
        <f ca="1">'Demand background (hide)'!Y224</f>
        <v>0</v>
      </c>
      <c r="D236" s="67">
        <f t="shared" si="87"/>
        <v>0</v>
      </c>
      <c r="E236" s="67" t="e">
        <f t="shared" ca="1" si="88"/>
        <v>#N/A</v>
      </c>
      <c r="F236" s="67" t="e">
        <f t="shared" ca="1" si="89"/>
        <v>#N/A</v>
      </c>
      <c r="G236" s="67" t="e">
        <f t="shared" ca="1" si="90"/>
        <v>#N/A</v>
      </c>
      <c r="H236" s="67" t="e">
        <f>IF('Demand background (hide)'!AN224&lt;&gt;"",'SPC background (hide)'!C236,NA())</f>
        <v>#N/A</v>
      </c>
      <c r="I236" s="67">
        <f t="shared" ca="1" si="91"/>
        <v>5</v>
      </c>
      <c r="J236" s="5">
        <f t="shared" ca="1" si="92"/>
        <v>0</v>
      </c>
      <c r="K236" s="5">
        <f t="shared" ca="1" si="93"/>
        <v>0</v>
      </c>
      <c r="L236" s="5">
        <f t="shared" ca="1" si="94"/>
        <v>0</v>
      </c>
      <c r="M236" s="5">
        <f t="shared" ca="1" si="95"/>
        <v>0</v>
      </c>
      <c r="N236" s="5">
        <f t="shared" ca="1" si="96"/>
        <v>0</v>
      </c>
      <c r="O236" s="5">
        <f t="shared" ca="1" si="97"/>
        <v>0</v>
      </c>
      <c r="P236" s="5">
        <f t="shared" ca="1" si="98"/>
        <v>0</v>
      </c>
      <c r="Q236" s="5" t="e">
        <f t="shared" ca="1" si="99"/>
        <v>#N/A</v>
      </c>
      <c r="R236" s="5">
        <f t="shared" ca="1" si="104"/>
        <v>0</v>
      </c>
      <c r="S236" s="67" t="e">
        <f t="shared" ca="1" si="105"/>
        <v>#N/A</v>
      </c>
      <c r="T236" s="67">
        <f t="shared" ca="1" si="106"/>
        <v>0</v>
      </c>
      <c r="U236" s="67" t="e">
        <f t="shared" ca="1" si="107"/>
        <v>#N/A</v>
      </c>
      <c r="V236" s="5">
        <f t="shared" ca="1" si="86"/>
        <v>0</v>
      </c>
      <c r="W236" s="5" t="e">
        <f t="shared" ca="1" si="100"/>
        <v>#N/A</v>
      </c>
      <c r="X236" s="67">
        <f t="shared" ca="1" si="101"/>
        <v>0</v>
      </c>
      <c r="Y236" s="67" t="e">
        <f t="shared" ca="1" si="108"/>
        <v>#N/A</v>
      </c>
      <c r="Z236" s="67" t="e">
        <f t="shared" ca="1" si="109"/>
        <v>#N/A</v>
      </c>
      <c r="AA236" s="5" t="str">
        <f>IF(Setup!$I$15="Yes",'Demand background (hide)'!AJ224+'SPC background (hide)'!C236,"")</f>
        <v/>
      </c>
      <c r="AC236" s="5" t="str">
        <f t="shared" ca="1" si="102"/>
        <v/>
      </c>
      <c r="AD236" s="5" t="str">
        <f t="shared" ca="1" si="103"/>
        <v/>
      </c>
    </row>
    <row r="237" spans="1:30" x14ac:dyDescent="0.2">
      <c r="A237" s="67" t="str">
        <f ca="1">Demand!C234</f>
        <v/>
      </c>
      <c r="B237" s="67">
        <v>222</v>
      </c>
      <c r="C237" s="5">
        <f ca="1">'Demand background (hide)'!Y225</f>
        <v>0</v>
      </c>
      <c r="D237" s="67">
        <f t="shared" si="87"/>
        <v>0</v>
      </c>
      <c r="E237" s="67" t="e">
        <f t="shared" ca="1" si="88"/>
        <v>#N/A</v>
      </c>
      <c r="F237" s="67" t="e">
        <f t="shared" ca="1" si="89"/>
        <v>#N/A</v>
      </c>
      <c r="G237" s="67" t="e">
        <f t="shared" ca="1" si="90"/>
        <v>#N/A</v>
      </c>
      <c r="H237" s="67" t="e">
        <f>IF('Demand background (hide)'!AN225&lt;&gt;"",'SPC background (hide)'!C237,NA())</f>
        <v>#N/A</v>
      </c>
      <c r="I237" s="67">
        <f t="shared" ca="1" si="91"/>
        <v>5</v>
      </c>
      <c r="J237" s="5">
        <f t="shared" ca="1" si="92"/>
        <v>0</v>
      </c>
      <c r="K237" s="5">
        <f t="shared" ca="1" si="93"/>
        <v>0</v>
      </c>
      <c r="L237" s="5">
        <f t="shared" ca="1" si="94"/>
        <v>0</v>
      </c>
      <c r="M237" s="5">
        <f t="shared" ca="1" si="95"/>
        <v>0</v>
      </c>
      <c r="N237" s="5">
        <f t="shared" ca="1" si="96"/>
        <v>0</v>
      </c>
      <c r="O237" s="5">
        <f t="shared" ca="1" si="97"/>
        <v>0</v>
      </c>
      <c r="P237" s="5">
        <f t="shared" ca="1" si="98"/>
        <v>0</v>
      </c>
      <c r="Q237" s="5" t="e">
        <f t="shared" ca="1" si="99"/>
        <v>#N/A</v>
      </c>
      <c r="R237" s="5">
        <f t="shared" ca="1" si="104"/>
        <v>0</v>
      </c>
      <c r="S237" s="67" t="e">
        <f t="shared" ca="1" si="105"/>
        <v>#N/A</v>
      </c>
      <c r="T237" s="67">
        <f t="shared" ca="1" si="106"/>
        <v>0</v>
      </c>
      <c r="U237" s="67" t="e">
        <f t="shared" ca="1" si="107"/>
        <v>#N/A</v>
      </c>
      <c r="V237" s="5">
        <f t="shared" ca="1" si="86"/>
        <v>0</v>
      </c>
      <c r="W237" s="5" t="e">
        <f t="shared" ca="1" si="100"/>
        <v>#N/A</v>
      </c>
      <c r="X237" s="67">
        <f t="shared" ca="1" si="101"/>
        <v>0</v>
      </c>
      <c r="Y237" s="67" t="e">
        <f t="shared" ca="1" si="108"/>
        <v>#N/A</v>
      </c>
      <c r="Z237" s="67" t="e">
        <f t="shared" ca="1" si="109"/>
        <v>#N/A</v>
      </c>
      <c r="AA237" s="5" t="str">
        <f>IF(Setup!$I$15="Yes",'Demand background (hide)'!AJ225+'SPC background (hide)'!C237,"")</f>
        <v/>
      </c>
      <c r="AC237" s="5" t="str">
        <f t="shared" ca="1" si="102"/>
        <v/>
      </c>
      <c r="AD237" s="5" t="str">
        <f t="shared" ca="1" si="103"/>
        <v/>
      </c>
    </row>
    <row r="238" spans="1:30" x14ac:dyDescent="0.2">
      <c r="A238" s="67" t="str">
        <f ca="1">Demand!C235</f>
        <v/>
      </c>
      <c r="B238" s="67">
        <v>223</v>
      </c>
      <c r="C238" s="5">
        <f ca="1">'Demand background (hide)'!Y226</f>
        <v>0</v>
      </c>
      <c r="D238" s="67">
        <f t="shared" si="87"/>
        <v>0</v>
      </c>
      <c r="E238" s="67" t="e">
        <f t="shared" ca="1" si="88"/>
        <v>#N/A</v>
      </c>
      <c r="F238" s="67" t="e">
        <f t="shared" ca="1" si="89"/>
        <v>#N/A</v>
      </c>
      <c r="G238" s="67" t="e">
        <f t="shared" ca="1" si="90"/>
        <v>#N/A</v>
      </c>
      <c r="H238" s="67" t="e">
        <f>IF('Demand background (hide)'!AN226&lt;&gt;"",'SPC background (hide)'!C238,NA())</f>
        <v>#N/A</v>
      </c>
      <c r="I238" s="67">
        <f t="shared" ca="1" si="91"/>
        <v>5</v>
      </c>
      <c r="J238" s="5">
        <f t="shared" ca="1" si="92"/>
        <v>0</v>
      </c>
      <c r="K238" s="5">
        <f t="shared" ca="1" si="93"/>
        <v>0</v>
      </c>
      <c r="L238" s="5">
        <f t="shared" ca="1" si="94"/>
        <v>0</v>
      </c>
      <c r="M238" s="5">
        <f t="shared" ca="1" si="95"/>
        <v>0</v>
      </c>
      <c r="N238" s="5">
        <f t="shared" ca="1" si="96"/>
        <v>0</v>
      </c>
      <c r="O238" s="5">
        <f t="shared" ca="1" si="97"/>
        <v>0</v>
      </c>
      <c r="P238" s="5">
        <f t="shared" ca="1" si="98"/>
        <v>0</v>
      </c>
      <c r="Q238" s="5" t="e">
        <f t="shared" ca="1" si="99"/>
        <v>#N/A</v>
      </c>
      <c r="R238" s="5">
        <f t="shared" ca="1" si="104"/>
        <v>0</v>
      </c>
      <c r="S238" s="67" t="e">
        <f t="shared" ca="1" si="105"/>
        <v>#N/A</v>
      </c>
      <c r="T238" s="67">
        <f t="shared" ca="1" si="106"/>
        <v>0</v>
      </c>
      <c r="U238" s="67" t="e">
        <f t="shared" ca="1" si="107"/>
        <v>#N/A</v>
      </c>
      <c r="V238" s="5">
        <f t="shared" ca="1" si="86"/>
        <v>0</v>
      </c>
      <c r="W238" s="5" t="e">
        <f t="shared" ca="1" si="100"/>
        <v>#N/A</v>
      </c>
      <c r="X238" s="67">
        <f t="shared" ca="1" si="101"/>
        <v>0</v>
      </c>
      <c r="Y238" s="67" t="e">
        <f t="shared" ca="1" si="108"/>
        <v>#N/A</v>
      </c>
      <c r="Z238" s="67" t="e">
        <f t="shared" ca="1" si="109"/>
        <v>#N/A</v>
      </c>
      <c r="AA238" s="5" t="str">
        <f>IF(Setup!$I$15="Yes",'Demand background (hide)'!AJ226+'SPC background (hide)'!C238,"")</f>
        <v/>
      </c>
      <c r="AC238" s="5" t="str">
        <f t="shared" ca="1" si="102"/>
        <v/>
      </c>
      <c r="AD238" s="5" t="str">
        <f t="shared" ca="1" si="103"/>
        <v/>
      </c>
    </row>
    <row r="239" spans="1:30" x14ac:dyDescent="0.2">
      <c r="A239" s="67" t="str">
        <f ca="1">Demand!C236</f>
        <v/>
      </c>
      <c r="B239" s="67">
        <v>224</v>
      </c>
      <c r="C239" s="5">
        <f ca="1">'Demand background (hide)'!Y227</f>
        <v>0</v>
      </c>
      <c r="D239" s="67">
        <f t="shared" si="87"/>
        <v>0</v>
      </c>
      <c r="E239" s="67" t="e">
        <f t="shared" ca="1" si="88"/>
        <v>#N/A</v>
      </c>
      <c r="F239" s="67" t="e">
        <f t="shared" ca="1" si="89"/>
        <v>#N/A</v>
      </c>
      <c r="G239" s="67" t="e">
        <f t="shared" ca="1" si="90"/>
        <v>#N/A</v>
      </c>
      <c r="H239" s="67" t="e">
        <f>IF('Demand background (hide)'!AN227&lt;&gt;"",'SPC background (hide)'!C239,NA())</f>
        <v>#N/A</v>
      </c>
      <c r="I239" s="67">
        <f t="shared" ca="1" si="91"/>
        <v>5</v>
      </c>
      <c r="J239" s="5">
        <f t="shared" ca="1" si="92"/>
        <v>0</v>
      </c>
      <c r="K239" s="5">
        <f t="shared" ca="1" si="93"/>
        <v>0</v>
      </c>
      <c r="L239" s="5">
        <f t="shared" ca="1" si="94"/>
        <v>0</v>
      </c>
      <c r="M239" s="5">
        <f t="shared" ca="1" si="95"/>
        <v>0</v>
      </c>
      <c r="N239" s="5">
        <f t="shared" ca="1" si="96"/>
        <v>0</v>
      </c>
      <c r="O239" s="5">
        <f t="shared" ca="1" si="97"/>
        <v>0</v>
      </c>
      <c r="P239" s="5">
        <f t="shared" ca="1" si="98"/>
        <v>0</v>
      </c>
      <c r="Q239" s="5" t="e">
        <f t="shared" ca="1" si="99"/>
        <v>#N/A</v>
      </c>
      <c r="R239" s="5">
        <f t="shared" ca="1" si="104"/>
        <v>0</v>
      </c>
      <c r="S239" s="67" t="e">
        <f t="shared" ca="1" si="105"/>
        <v>#N/A</v>
      </c>
      <c r="T239" s="67">
        <f t="shared" ca="1" si="106"/>
        <v>0</v>
      </c>
      <c r="U239" s="67" t="e">
        <f t="shared" ca="1" si="107"/>
        <v>#N/A</v>
      </c>
      <c r="V239" s="5">
        <f t="shared" ca="1" si="86"/>
        <v>0</v>
      </c>
      <c r="W239" s="5" t="e">
        <f t="shared" ca="1" si="100"/>
        <v>#N/A</v>
      </c>
      <c r="X239" s="67">
        <f t="shared" ca="1" si="101"/>
        <v>0</v>
      </c>
      <c r="Y239" s="67" t="e">
        <f t="shared" ca="1" si="108"/>
        <v>#N/A</v>
      </c>
      <c r="Z239" s="67" t="e">
        <f t="shared" ca="1" si="109"/>
        <v>#N/A</v>
      </c>
      <c r="AA239" s="5" t="str">
        <f>IF(Setup!$I$15="Yes",'Demand background (hide)'!AJ227+'SPC background (hide)'!C239,"")</f>
        <v/>
      </c>
      <c r="AC239" s="5" t="str">
        <f t="shared" ca="1" si="102"/>
        <v/>
      </c>
      <c r="AD239" s="5" t="str">
        <f t="shared" ca="1" si="103"/>
        <v/>
      </c>
    </row>
    <row r="240" spans="1:30" x14ac:dyDescent="0.2">
      <c r="A240" s="67" t="str">
        <f ca="1">Demand!C237</f>
        <v/>
      </c>
      <c r="B240" s="67">
        <v>225</v>
      </c>
      <c r="C240" s="5">
        <f ca="1">'Demand background (hide)'!Y228</f>
        <v>0</v>
      </c>
      <c r="D240" s="67">
        <f t="shared" si="87"/>
        <v>0</v>
      </c>
      <c r="E240" s="67" t="e">
        <f t="shared" ca="1" si="88"/>
        <v>#N/A</v>
      </c>
      <c r="F240" s="67" t="e">
        <f t="shared" ca="1" si="89"/>
        <v>#N/A</v>
      </c>
      <c r="G240" s="67" t="e">
        <f t="shared" ca="1" si="90"/>
        <v>#N/A</v>
      </c>
      <c r="H240" s="67" t="e">
        <f>IF('Demand background (hide)'!AN228&lt;&gt;"",'SPC background (hide)'!C240,NA())</f>
        <v>#N/A</v>
      </c>
      <c r="I240" s="67">
        <f t="shared" ca="1" si="91"/>
        <v>5</v>
      </c>
      <c r="J240" s="5">
        <f t="shared" ca="1" si="92"/>
        <v>0</v>
      </c>
      <c r="K240" s="5">
        <f t="shared" ca="1" si="93"/>
        <v>0</v>
      </c>
      <c r="L240" s="5">
        <f t="shared" ca="1" si="94"/>
        <v>0</v>
      </c>
      <c r="M240" s="5">
        <f t="shared" ca="1" si="95"/>
        <v>0</v>
      </c>
      <c r="N240" s="5">
        <f t="shared" ca="1" si="96"/>
        <v>0</v>
      </c>
      <c r="O240" s="5">
        <f t="shared" ca="1" si="97"/>
        <v>0</v>
      </c>
      <c r="P240" s="5">
        <f t="shared" ca="1" si="98"/>
        <v>0</v>
      </c>
      <c r="Q240" s="5" t="e">
        <f t="shared" ca="1" si="99"/>
        <v>#N/A</v>
      </c>
      <c r="R240" s="5">
        <f t="shared" ca="1" si="104"/>
        <v>0</v>
      </c>
      <c r="S240" s="67" t="e">
        <f t="shared" ca="1" si="105"/>
        <v>#N/A</v>
      </c>
      <c r="T240" s="67">
        <f t="shared" ca="1" si="106"/>
        <v>0</v>
      </c>
      <c r="U240" s="67" t="e">
        <f t="shared" ca="1" si="107"/>
        <v>#N/A</v>
      </c>
      <c r="V240" s="5">
        <f t="shared" ca="1" si="86"/>
        <v>0</v>
      </c>
      <c r="W240" s="5" t="e">
        <f t="shared" ca="1" si="100"/>
        <v>#N/A</v>
      </c>
      <c r="X240" s="67">
        <f t="shared" ca="1" si="101"/>
        <v>0</v>
      </c>
      <c r="Y240" s="67" t="e">
        <f t="shared" ca="1" si="108"/>
        <v>#N/A</v>
      </c>
      <c r="Z240" s="67" t="e">
        <f t="shared" ca="1" si="109"/>
        <v>#N/A</v>
      </c>
      <c r="AA240" s="5" t="str">
        <f>IF(Setup!$I$15="Yes",'Demand background (hide)'!AJ228+'SPC background (hide)'!C240,"")</f>
        <v/>
      </c>
      <c r="AC240" s="5" t="str">
        <f t="shared" ca="1" si="102"/>
        <v/>
      </c>
      <c r="AD240" s="5" t="str">
        <f t="shared" ca="1" si="103"/>
        <v/>
      </c>
    </row>
    <row r="241" spans="1:30" x14ac:dyDescent="0.2">
      <c r="A241" s="67" t="str">
        <f ca="1">Demand!C238</f>
        <v/>
      </c>
      <c r="B241" s="67">
        <v>226</v>
      </c>
      <c r="C241" s="5">
        <f ca="1">'Demand background (hide)'!Y229</f>
        <v>0</v>
      </c>
      <c r="D241" s="67">
        <f t="shared" si="87"/>
        <v>0</v>
      </c>
      <c r="E241" s="67" t="e">
        <f t="shared" ca="1" si="88"/>
        <v>#N/A</v>
      </c>
      <c r="F241" s="67" t="e">
        <f t="shared" ca="1" si="89"/>
        <v>#N/A</v>
      </c>
      <c r="G241" s="67" t="e">
        <f t="shared" ca="1" si="90"/>
        <v>#N/A</v>
      </c>
      <c r="H241" s="67" t="e">
        <f>IF('Demand background (hide)'!AN229&lt;&gt;"",'SPC background (hide)'!C241,NA())</f>
        <v>#N/A</v>
      </c>
      <c r="I241" s="67">
        <f t="shared" ca="1" si="91"/>
        <v>5</v>
      </c>
      <c r="J241" s="5">
        <f t="shared" ca="1" si="92"/>
        <v>0</v>
      </c>
      <c r="K241" s="5">
        <f t="shared" ca="1" si="93"/>
        <v>0</v>
      </c>
      <c r="L241" s="5">
        <f t="shared" ca="1" si="94"/>
        <v>0</v>
      </c>
      <c r="M241" s="5">
        <f t="shared" ca="1" si="95"/>
        <v>0</v>
      </c>
      <c r="N241" s="5">
        <f t="shared" ca="1" si="96"/>
        <v>0</v>
      </c>
      <c r="O241" s="5">
        <f t="shared" ca="1" si="97"/>
        <v>0</v>
      </c>
      <c r="P241" s="5">
        <f t="shared" ca="1" si="98"/>
        <v>0</v>
      </c>
      <c r="Q241" s="5" t="e">
        <f t="shared" ca="1" si="99"/>
        <v>#N/A</v>
      </c>
      <c r="R241" s="5">
        <f t="shared" ca="1" si="104"/>
        <v>0</v>
      </c>
      <c r="S241" s="67" t="e">
        <f t="shared" ca="1" si="105"/>
        <v>#N/A</v>
      </c>
      <c r="T241" s="67">
        <f t="shared" ca="1" si="106"/>
        <v>0</v>
      </c>
      <c r="U241" s="67" t="e">
        <f t="shared" ca="1" si="107"/>
        <v>#N/A</v>
      </c>
      <c r="V241" s="5">
        <f t="shared" ca="1" si="86"/>
        <v>0</v>
      </c>
      <c r="W241" s="5" t="e">
        <f t="shared" ca="1" si="100"/>
        <v>#N/A</v>
      </c>
      <c r="X241" s="67">
        <f t="shared" ca="1" si="101"/>
        <v>0</v>
      </c>
      <c r="Y241" s="67" t="e">
        <f t="shared" ca="1" si="108"/>
        <v>#N/A</v>
      </c>
      <c r="Z241" s="67" t="e">
        <f t="shared" ca="1" si="109"/>
        <v>#N/A</v>
      </c>
      <c r="AA241" s="5" t="str">
        <f>IF(Setup!$I$15="Yes",'Demand background (hide)'!AJ229+'SPC background (hide)'!C241,"")</f>
        <v/>
      </c>
      <c r="AC241" s="5" t="str">
        <f t="shared" ca="1" si="102"/>
        <v/>
      </c>
      <c r="AD241" s="5" t="str">
        <f t="shared" ca="1" si="103"/>
        <v/>
      </c>
    </row>
    <row r="242" spans="1:30" x14ac:dyDescent="0.2">
      <c r="A242" s="67" t="str">
        <f ca="1">Demand!C239</f>
        <v/>
      </c>
      <c r="B242" s="67">
        <v>227</v>
      </c>
      <c r="C242" s="5">
        <f ca="1">'Demand background (hide)'!Y230</f>
        <v>0</v>
      </c>
      <c r="D242" s="67">
        <f t="shared" si="87"/>
        <v>0</v>
      </c>
      <c r="E242" s="67" t="e">
        <f t="shared" ca="1" si="88"/>
        <v>#N/A</v>
      </c>
      <c r="F242" s="67" t="e">
        <f t="shared" ca="1" si="89"/>
        <v>#N/A</v>
      </c>
      <c r="G242" s="67" t="e">
        <f t="shared" ca="1" si="90"/>
        <v>#N/A</v>
      </c>
      <c r="H242" s="67" t="e">
        <f>IF('Demand background (hide)'!AN230&lt;&gt;"",'SPC background (hide)'!C242,NA())</f>
        <v>#N/A</v>
      </c>
      <c r="I242" s="67">
        <f t="shared" ca="1" si="91"/>
        <v>5</v>
      </c>
      <c r="J242" s="5">
        <f t="shared" ca="1" si="92"/>
        <v>0</v>
      </c>
      <c r="K242" s="5">
        <f t="shared" ca="1" si="93"/>
        <v>0</v>
      </c>
      <c r="L242" s="5">
        <f t="shared" ca="1" si="94"/>
        <v>0</v>
      </c>
      <c r="M242" s="5">
        <f t="shared" ca="1" si="95"/>
        <v>0</v>
      </c>
      <c r="N242" s="5">
        <f t="shared" ca="1" si="96"/>
        <v>0</v>
      </c>
      <c r="O242" s="5">
        <f t="shared" ca="1" si="97"/>
        <v>0</v>
      </c>
      <c r="P242" s="5">
        <f t="shared" ca="1" si="98"/>
        <v>0</v>
      </c>
      <c r="Q242" s="5" t="e">
        <f t="shared" ca="1" si="99"/>
        <v>#N/A</v>
      </c>
      <c r="R242" s="5">
        <f t="shared" ca="1" si="104"/>
        <v>0</v>
      </c>
      <c r="S242" s="67" t="e">
        <f t="shared" ca="1" si="105"/>
        <v>#N/A</v>
      </c>
      <c r="T242" s="67">
        <f t="shared" ca="1" si="106"/>
        <v>0</v>
      </c>
      <c r="U242" s="67" t="e">
        <f t="shared" ca="1" si="107"/>
        <v>#N/A</v>
      </c>
      <c r="V242" s="5">
        <f t="shared" ca="1" si="86"/>
        <v>0</v>
      </c>
      <c r="W242" s="5" t="e">
        <f t="shared" ca="1" si="100"/>
        <v>#N/A</v>
      </c>
      <c r="X242" s="67">
        <f t="shared" ca="1" si="101"/>
        <v>0</v>
      </c>
      <c r="Y242" s="67" t="e">
        <f t="shared" ca="1" si="108"/>
        <v>#N/A</v>
      </c>
      <c r="Z242" s="67" t="e">
        <f t="shared" ca="1" si="109"/>
        <v>#N/A</v>
      </c>
      <c r="AA242" s="5" t="str">
        <f>IF(Setup!$I$15="Yes",'Demand background (hide)'!AJ230+'SPC background (hide)'!C242,"")</f>
        <v/>
      </c>
      <c r="AC242" s="5" t="str">
        <f t="shared" ca="1" si="102"/>
        <v/>
      </c>
      <c r="AD242" s="5" t="str">
        <f t="shared" ca="1" si="103"/>
        <v/>
      </c>
    </row>
    <row r="243" spans="1:30" x14ac:dyDescent="0.2">
      <c r="A243" s="67" t="str">
        <f ca="1">Demand!C240</f>
        <v/>
      </c>
      <c r="B243" s="67">
        <v>228</v>
      </c>
      <c r="C243" s="5">
        <f ca="1">'Demand background (hide)'!Y231</f>
        <v>0</v>
      </c>
      <c r="D243" s="67">
        <f t="shared" si="87"/>
        <v>0</v>
      </c>
      <c r="E243" s="67" t="e">
        <f t="shared" ca="1" si="88"/>
        <v>#N/A</v>
      </c>
      <c r="F243" s="67" t="e">
        <f t="shared" ca="1" si="89"/>
        <v>#N/A</v>
      </c>
      <c r="G243" s="67" t="e">
        <f t="shared" ca="1" si="90"/>
        <v>#N/A</v>
      </c>
      <c r="H243" s="67" t="e">
        <f>IF('Demand background (hide)'!AN231&lt;&gt;"",'SPC background (hide)'!C243,NA())</f>
        <v>#N/A</v>
      </c>
      <c r="I243" s="67">
        <f t="shared" ca="1" si="91"/>
        <v>5</v>
      </c>
      <c r="J243" s="5">
        <f t="shared" ca="1" si="92"/>
        <v>0</v>
      </c>
      <c r="K243" s="5">
        <f t="shared" ca="1" si="93"/>
        <v>0</v>
      </c>
      <c r="L243" s="5">
        <f t="shared" ca="1" si="94"/>
        <v>0</v>
      </c>
      <c r="M243" s="5">
        <f t="shared" ca="1" si="95"/>
        <v>0</v>
      </c>
      <c r="N243" s="5">
        <f t="shared" ca="1" si="96"/>
        <v>0</v>
      </c>
      <c r="O243" s="5">
        <f t="shared" ca="1" si="97"/>
        <v>0</v>
      </c>
      <c r="P243" s="5">
        <f t="shared" ca="1" si="98"/>
        <v>0</v>
      </c>
      <c r="Q243" s="5" t="e">
        <f t="shared" ca="1" si="99"/>
        <v>#N/A</v>
      </c>
      <c r="R243" s="5">
        <f t="shared" ca="1" si="104"/>
        <v>0</v>
      </c>
      <c r="S243" s="67" t="e">
        <f t="shared" ca="1" si="105"/>
        <v>#N/A</v>
      </c>
      <c r="T243" s="67">
        <f t="shared" ca="1" si="106"/>
        <v>0</v>
      </c>
      <c r="U243" s="67" t="e">
        <f t="shared" ca="1" si="107"/>
        <v>#N/A</v>
      </c>
      <c r="V243" s="5">
        <f t="shared" ca="1" si="86"/>
        <v>0</v>
      </c>
      <c r="W243" s="5" t="e">
        <f t="shared" ca="1" si="100"/>
        <v>#N/A</v>
      </c>
      <c r="X243" s="67">
        <f t="shared" ca="1" si="101"/>
        <v>0</v>
      </c>
      <c r="Y243" s="67" t="e">
        <f t="shared" ca="1" si="108"/>
        <v>#N/A</v>
      </c>
      <c r="Z243" s="67" t="e">
        <f t="shared" ca="1" si="109"/>
        <v>#N/A</v>
      </c>
      <c r="AA243" s="5" t="str">
        <f>IF(Setup!$I$15="Yes",'Demand background (hide)'!AJ231+'SPC background (hide)'!C243,"")</f>
        <v/>
      </c>
      <c r="AC243" s="5" t="str">
        <f t="shared" ca="1" si="102"/>
        <v/>
      </c>
      <c r="AD243" s="5" t="str">
        <f t="shared" ca="1" si="103"/>
        <v/>
      </c>
    </row>
    <row r="244" spans="1:30" x14ac:dyDescent="0.2">
      <c r="A244" s="67" t="str">
        <f ca="1">Demand!C241</f>
        <v/>
      </c>
      <c r="B244" s="67">
        <v>229</v>
      </c>
      <c r="C244" s="5">
        <f ca="1">'Demand background (hide)'!Y232</f>
        <v>0</v>
      </c>
      <c r="D244" s="67">
        <f t="shared" si="87"/>
        <v>0</v>
      </c>
      <c r="E244" s="67" t="e">
        <f t="shared" ca="1" si="88"/>
        <v>#N/A</v>
      </c>
      <c r="F244" s="67" t="e">
        <f t="shared" ca="1" si="89"/>
        <v>#N/A</v>
      </c>
      <c r="G244" s="67" t="e">
        <f t="shared" ca="1" si="90"/>
        <v>#N/A</v>
      </c>
      <c r="H244" s="67" t="e">
        <f>IF('Demand background (hide)'!AN232&lt;&gt;"",'SPC background (hide)'!C244,NA())</f>
        <v>#N/A</v>
      </c>
      <c r="I244" s="67">
        <f t="shared" ca="1" si="91"/>
        <v>5</v>
      </c>
      <c r="J244" s="5">
        <f t="shared" ca="1" si="92"/>
        <v>0</v>
      </c>
      <c r="K244" s="5">
        <f t="shared" ca="1" si="93"/>
        <v>0</v>
      </c>
      <c r="L244" s="5">
        <f t="shared" ca="1" si="94"/>
        <v>0</v>
      </c>
      <c r="M244" s="5">
        <f t="shared" ca="1" si="95"/>
        <v>0</v>
      </c>
      <c r="N244" s="5">
        <f t="shared" ca="1" si="96"/>
        <v>0</v>
      </c>
      <c r="O244" s="5">
        <f t="shared" ca="1" si="97"/>
        <v>0</v>
      </c>
      <c r="P244" s="5">
        <f t="shared" ca="1" si="98"/>
        <v>0</v>
      </c>
      <c r="Q244" s="5" t="e">
        <f t="shared" ca="1" si="99"/>
        <v>#N/A</v>
      </c>
      <c r="R244" s="5">
        <f t="shared" ca="1" si="104"/>
        <v>0</v>
      </c>
      <c r="S244" s="67" t="e">
        <f t="shared" ca="1" si="105"/>
        <v>#N/A</v>
      </c>
      <c r="T244" s="67">
        <f t="shared" ca="1" si="106"/>
        <v>0</v>
      </c>
      <c r="U244" s="67" t="e">
        <f t="shared" ca="1" si="107"/>
        <v>#N/A</v>
      </c>
      <c r="V244" s="5">
        <f t="shared" ca="1" si="86"/>
        <v>0</v>
      </c>
      <c r="W244" s="5" t="e">
        <f t="shared" ca="1" si="100"/>
        <v>#N/A</v>
      </c>
      <c r="X244" s="67">
        <f t="shared" ca="1" si="101"/>
        <v>0</v>
      </c>
      <c r="Y244" s="67" t="e">
        <f t="shared" ca="1" si="108"/>
        <v>#N/A</v>
      </c>
      <c r="Z244" s="67" t="e">
        <f t="shared" ca="1" si="109"/>
        <v>#N/A</v>
      </c>
      <c r="AA244" s="5" t="str">
        <f>IF(Setup!$I$15="Yes",'Demand background (hide)'!AJ232+'SPC background (hide)'!C244,"")</f>
        <v/>
      </c>
      <c r="AC244" s="5" t="str">
        <f t="shared" ca="1" si="102"/>
        <v/>
      </c>
      <c r="AD244" s="5" t="str">
        <f t="shared" ca="1" si="103"/>
        <v/>
      </c>
    </row>
    <row r="245" spans="1:30" x14ac:dyDescent="0.2">
      <c r="A245" s="67" t="str">
        <f ca="1">Demand!C242</f>
        <v/>
      </c>
      <c r="B245" s="67">
        <v>230</v>
      </c>
      <c r="C245" s="5">
        <f ca="1">'Demand background (hide)'!Y233</f>
        <v>0</v>
      </c>
      <c r="D245" s="67">
        <f t="shared" si="87"/>
        <v>0</v>
      </c>
      <c r="E245" s="67" t="e">
        <f t="shared" ca="1" si="88"/>
        <v>#N/A</v>
      </c>
      <c r="F245" s="67" t="e">
        <f t="shared" ca="1" si="89"/>
        <v>#N/A</v>
      </c>
      <c r="G245" s="67" t="e">
        <f t="shared" ca="1" si="90"/>
        <v>#N/A</v>
      </c>
      <c r="H245" s="67" t="e">
        <f>IF('Demand background (hide)'!AN233&lt;&gt;"",'SPC background (hide)'!C245,NA())</f>
        <v>#N/A</v>
      </c>
      <c r="I245" s="67">
        <f t="shared" ca="1" si="91"/>
        <v>5</v>
      </c>
      <c r="J245" s="5">
        <f t="shared" ca="1" si="92"/>
        <v>0</v>
      </c>
      <c r="K245" s="5">
        <f t="shared" ca="1" si="93"/>
        <v>0</v>
      </c>
      <c r="L245" s="5">
        <f t="shared" ca="1" si="94"/>
        <v>0</v>
      </c>
      <c r="M245" s="5">
        <f t="shared" ca="1" si="95"/>
        <v>0</v>
      </c>
      <c r="N245" s="5">
        <f t="shared" ca="1" si="96"/>
        <v>0</v>
      </c>
      <c r="O245" s="5">
        <f t="shared" ca="1" si="97"/>
        <v>0</v>
      </c>
      <c r="P245" s="5">
        <f t="shared" ca="1" si="98"/>
        <v>0</v>
      </c>
      <c r="Q245" s="5" t="e">
        <f t="shared" ca="1" si="99"/>
        <v>#N/A</v>
      </c>
      <c r="R245" s="5">
        <f t="shared" ca="1" si="104"/>
        <v>0</v>
      </c>
      <c r="S245" s="67" t="e">
        <f t="shared" ca="1" si="105"/>
        <v>#N/A</v>
      </c>
      <c r="T245" s="67">
        <f t="shared" ca="1" si="106"/>
        <v>0</v>
      </c>
      <c r="U245" s="67" t="e">
        <f t="shared" ca="1" si="107"/>
        <v>#N/A</v>
      </c>
      <c r="V245" s="5">
        <f t="shared" ca="1" si="86"/>
        <v>0</v>
      </c>
      <c r="W245" s="5" t="e">
        <f t="shared" ca="1" si="100"/>
        <v>#N/A</v>
      </c>
      <c r="X245" s="67">
        <f t="shared" ca="1" si="101"/>
        <v>0</v>
      </c>
      <c r="Y245" s="67" t="e">
        <f t="shared" ca="1" si="108"/>
        <v>#N/A</v>
      </c>
      <c r="Z245" s="67" t="e">
        <f t="shared" ca="1" si="109"/>
        <v>#N/A</v>
      </c>
      <c r="AA245" s="5" t="str">
        <f>IF(Setup!$I$15="Yes",'Demand background (hide)'!AJ233+'SPC background (hide)'!C245,"")</f>
        <v/>
      </c>
      <c r="AC245" s="5" t="str">
        <f t="shared" ca="1" si="102"/>
        <v/>
      </c>
      <c r="AD245" s="5" t="str">
        <f t="shared" ca="1" si="103"/>
        <v/>
      </c>
    </row>
    <row r="246" spans="1:30" x14ac:dyDescent="0.2">
      <c r="A246" s="67" t="str">
        <f ca="1">Demand!C243</f>
        <v/>
      </c>
      <c r="B246" s="67">
        <v>231</v>
      </c>
      <c r="C246" s="5">
        <f ca="1">'Demand background (hide)'!Y234</f>
        <v>0</v>
      </c>
      <c r="D246" s="67">
        <f t="shared" si="87"/>
        <v>0</v>
      </c>
      <c r="E246" s="67" t="e">
        <f t="shared" ca="1" si="88"/>
        <v>#N/A</v>
      </c>
      <c r="F246" s="67" t="e">
        <f t="shared" ca="1" si="89"/>
        <v>#N/A</v>
      </c>
      <c r="G246" s="67" t="e">
        <f t="shared" ca="1" si="90"/>
        <v>#N/A</v>
      </c>
      <c r="H246" s="67" t="e">
        <f>IF('Demand background (hide)'!AN234&lt;&gt;"",'SPC background (hide)'!C246,NA())</f>
        <v>#N/A</v>
      </c>
      <c r="I246" s="67">
        <f t="shared" ca="1" si="91"/>
        <v>5</v>
      </c>
      <c r="J246" s="5">
        <f t="shared" ca="1" si="92"/>
        <v>0</v>
      </c>
      <c r="K246" s="5">
        <f t="shared" ca="1" si="93"/>
        <v>0</v>
      </c>
      <c r="L246" s="5">
        <f t="shared" ca="1" si="94"/>
        <v>0</v>
      </c>
      <c r="M246" s="5">
        <f t="shared" ca="1" si="95"/>
        <v>0</v>
      </c>
      <c r="N246" s="5">
        <f t="shared" ca="1" si="96"/>
        <v>0</v>
      </c>
      <c r="O246" s="5">
        <f t="shared" ca="1" si="97"/>
        <v>0</v>
      </c>
      <c r="P246" s="5">
        <f t="shared" ca="1" si="98"/>
        <v>0</v>
      </c>
      <c r="Q246" s="5" t="e">
        <f t="shared" ca="1" si="99"/>
        <v>#N/A</v>
      </c>
      <c r="R246" s="5">
        <f t="shared" ca="1" si="104"/>
        <v>0</v>
      </c>
      <c r="S246" s="67" t="e">
        <f t="shared" ca="1" si="105"/>
        <v>#N/A</v>
      </c>
      <c r="T246" s="67">
        <f t="shared" ca="1" si="106"/>
        <v>0</v>
      </c>
      <c r="U246" s="67" t="e">
        <f t="shared" ca="1" si="107"/>
        <v>#N/A</v>
      </c>
      <c r="V246" s="5">
        <f t="shared" ca="1" si="86"/>
        <v>0</v>
      </c>
      <c r="W246" s="5" t="e">
        <f t="shared" ca="1" si="100"/>
        <v>#N/A</v>
      </c>
      <c r="X246" s="67">
        <f t="shared" ca="1" si="101"/>
        <v>0</v>
      </c>
      <c r="Y246" s="67" t="e">
        <f t="shared" ca="1" si="108"/>
        <v>#N/A</v>
      </c>
      <c r="Z246" s="67" t="e">
        <f t="shared" ca="1" si="109"/>
        <v>#N/A</v>
      </c>
      <c r="AA246" s="5" t="str">
        <f>IF(Setup!$I$15="Yes",'Demand background (hide)'!AJ234+'SPC background (hide)'!C246,"")</f>
        <v/>
      </c>
      <c r="AC246" s="5" t="str">
        <f t="shared" ca="1" si="102"/>
        <v/>
      </c>
      <c r="AD246" s="5" t="str">
        <f t="shared" ca="1" si="103"/>
        <v/>
      </c>
    </row>
    <row r="247" spans="1:30" x14ac:dyDescent="0.2">
      <c r="A247" s="67" t="str">
        <f ca="1">Demand!C244</f>
        <v/>
      </c>
      <c r="B247" s="67">
        <v>232</v>
      </c>
      <c r="C247" s="5">
        <f ca="1">'Demand background (hide)'!Y235</f>
        <v>0</v>
      </c>
      <c r="D247" s="67">
        <f t="shared" si="87"/>
        <v>0</v>
      </c>
      <c r="E247" s="67" t="e">
        <f t="shared" ca="1" si="88"/>
        <v>#N/A</v>
      </c>
      <c r="F247" s="67" t="e">
        <f t="shared" ca="1" si="89"/>
        <v>#N/A</v>
      </c>
      <c r="G247" s="67" t="e">
        <f t="shared" ca="1" si="90"/>
        <v>#N/A</v>
      </c>
      <c r="H247" s="67" t="e">
        <f>IF('Demand background (hide)'!AN235&lt;&gt;"",'SPC background (hide)'!C247,NA())</f>
        <v>#N/A</v>
      </c>
      <c r="I247" s="67">
        <f t="shared" ca="1" si="91"/>
        <v>5</v>
      </c>
      <c r="J247" s="5">
        <f t="shared" ca="1" si="92"/>
        <v>0</v>
      </c>
      <c r="K247" s="5">
        <f t="shared" ca="1" si="93"/>
        <v>0</v>
      </c>
      <c r="L247" s="5">
        <f t="shared" ca="1" si="94"/>
        <v>0</v>
      </c>
      <c r="M247" s="5">
        <f t="shared" ca="1" si="95"/>
        <v>0</v>
      </c>
      <c r="N247" s="5">
        <f t="shared" ca="1" si="96"/>
        <v>0</v>
      </c>
      <c r="O247" s="5">
        <f t="shared" ca="1" si="97"/>
        <v>0</v>
      </c>
      <c r="P247" s="5">
        <f t="shared" ca="1" si="98"/>
        <v>0</v>
      </c>
      <c r="Q247" s="5" t="e">
        <f t="shared" ca="1" si="99"/>
        <v>#N/A</v>
      </c>
      <c r="R247" s="5">
        <f t="shared" ca="1" si="104"/>
        <v>0</v>
      </c>
      <c r="S247" s="67" t="e">
        <f t="shared" ca="1" si="105"/>
        <v>#N/A</v>
      </c>
      <c r="T247" s="67">
        <f t="shared" ca="1" si="106"/>
        <v>0</v>
      </c>
      <c r="U247" s="67" t="e">
        <f t="shared" ca="1" si="107"/>
        <v>#N/A</v>
      </c>
      <c r="V247" s="5">
        <f t="shared" ca="1" si="86"/>
        <v>0</v>
      </c>
      <c r="W247" s="5" t="e">
        <f t="shared" ca="1" si="100"/>
        <v>#N/A</v>
      </c>
      <c r="X247" s="67">
        <f t="shared" ca="1" si="101"/>
        <v>0</v>
      </c>
      <c r="Y247" s="67" t="e">
        <f t="shared" ca="1" si="108"/>
        <v>#N/A</v>
      </c>
      <c r="Z247" s="67" t="e">
        <f t="shared" ca="1" si="109"/>
        <v>#N/A</v>
      </c>
      <c r="AA247" s="5" t="str">
        <f>IF(Setup!$I$15="Yes",'Demand background (hide)'!AJ235+'SPC background (hide)'!C247,"")</f>
        <v/>
      </c>
      <c r="AC247" s="5" t="str">
        <f t="shared" ca="1" si="102"/>
        <v/>
      </c>
      <c r="AD247" s="5" t="str">
        <f t="shared" ca="1" si="103"/>
        <v/>
      </c>
    </row>
    <row r="248" spans="1:30" x14ac:dyDescent="0.2">
      <c r="A248" s="67" t="str">
        <f ca="1">Demand!C245</f>
        <v/>
      </c>
      <c r="B248" s="67">
        <v>233</v>
      </c>
      <c r="C248" s="5">
        <f ca="1">'Demand background (hide)'!Y236</f>
        <v>0</v>
      </c>
      <c r="D248" s="67">
        <f t="shared" si="87"/>
        <v>0</v>
      </c>
      <c r="E248" s="67" t="e">
        <f t="shared" ca="1" si="88"/>
        <v>#N/A</v>
      </c>
      <c r="F248" s="67" t="e">
        <f t="shared" ca="1" si="89"/>
        <v>#N/A</v>
      </c>
      <c r="G248" s="67" t="e">
        <f t="shared" ca="1" si="90"/>
        <v>#N/A</v>
      </c>
      <c r="H248" s="67" t="e">
        <f>IF('Demand background (hide)'!AN236&lt;&gt;"",'SPC background (hide)'!C248,NA())</f>
        <v>#N/A</v>
      </c>
      <c r="I248" s="67">
        <f t="shared" ca="1" si="91"/>
        <v>5</v>
      </c>
      <c r="J248" s="5">
        <f t="shared" ca="1" si="92"/>
        <v>0</v>
      </c>
      <c r="K248" s="5">
        <f t="shared" ca="1" si="93"/>
        <v>0</v>
      </c>
      <c r="L248" s="5">
        <f t="shared" ca="1" si="94"/>
        <v>0</v>
      </c>
      <c r="M248" s="5">
        <f t="shared" ca="1" si="95"/>
        <v>0</v>
      </c>
      <c r="N248" s="5">
        <f t="shared" ca="1" si="96"/>
        <v>0</v>
      </c>
      <c r="O248" s="5">
        <f t="shared" ca="1" si="97"/>
        <v>0</v>
      </c>
      <c r="P248" s="5">
        <f t="shared" ca="1" si="98"/>
        <v>0</v>
      </c>
      <c r="Q248" s="5" t="e">
        <f t="shared" ca="1" si="99"/>
        <v>#N/A</v>
      </c>
      <c r="R248" s="5">
        <f t="shared" ca="1" si="104"/>
        <v>0</v>
      </c>
      <c r="S248" s="67" t="e">
        <f t="shared" ca="1" si="105"/>
        <v>#N/A</v>
      </c>
      <c r="T248" s="67">
        <f t="shared" ca="1" si="106"/>
        <v>0</v>
      </c>
      <c r="U248" s="67" t="e">
        <f t="shared" ca="1" si="107"/>
        <v>#N/A</v>
      </c>
      <c r="V248" s="5">
        <f t="shared" ca="1" si="86"/>
        <v>0</v>
      </c>
      <c r="W248" s="5" t="e">
        <f t="shared" ca="1" si="100"/>
        <v>#N/A</v>
      </c>
      <c r="X248" s="67">
        <f t="shared" ca="1" si="101"/>
        <v>0</v>
      </c>
      <c r="Y248" s="67" t="e">
        <f t="shared" ca="1" si="108"/>
        <v>#N/A</v>
      </c>
      <c r="Z248" s="67" t="e">
        <f t="shared" ca="1" si="109"/>
        <v>#N/A</v>
      </c>
      <c r="AA248" s="5" t="str">
        <f>IF(Setup!$I$15="Yes",'Demand background (hide)'!AJ236+'SPC background (hide)'!C248,"")</f>
        <v/>
      </c>
      <c r="AC248" s="5" t="str">
        <f t="shared" ca="1" si="102"/>
        <v/>
      </c>
      <c r="AD248" s="5" t="str">
        <f t="shared" ca="1" si="103"/>
        <v/>
      </c>
    </row>
    <row r="249" spans="1:30" x14ac:dyDescent="0.2">
      <c r="A249" s="67" t="str">
        <f ca="1">Demand!C246</f>
        <v/>
      </c>
      <c r="B249" s="67">
        <v>234</v>
      </c>
      <c r="C249" s="5">
        <f ca="1">'Demand background (hide)'!Y237</f>
        <v>0</v>
      </c>
      <c r="D249" s="67">
        <f t="shared" si="87"/>
        <v>0</v>
      </c>
      <c r="E249" s="67" t="e">
        <f t="shared" ca="1" si="88"/>
        <v>#N/A</v>
      </c>
      <c r="F249" s="67" t="e">
        <f t="shared" ca="1" si="89"/>
        <v>#N/A</v>
      </c>
      <c r="G249" s="67" t="e">
        <f t="shared" ca="1" si="90"/>
        <v>#N/A</v>
      </c>
      <c r="H249" s="67" t="e">
        <f>IF('Demand background (hide)'!AN237&lt;&gt;"",'SPC background (hide)'!C249,NA())</f>
        <v>#N/A</v>
      </c>
      <c r="I249" s="67">
        <f t="shared" ca="1" si="91"/>
        <v>5</v>
      </c>
      <c r="J249" s="5">
        <f t="shared" ca="1" si="92"/>
        <v>0</v>
      </c>
      <c r="K249" s="5">
        <f t="shared" ca="1" si="93"/>
        <v>0</v>
      </c>
      <c r="L249" s="5">
        <f t="shared" ca="1" si="94"/>
        <v>0</v>
      </c>
      <c r="M249" s="5">
        <f t="shared" ca="1" si="95"/>
        <v>0</v>
      </c>
      <c r="N249" s="5">
        <f t="shared" ca="1" si="96"/>
        <v>0</v>
      </c>
      <c r="O249" s="5">
        <f t="shared" ca="1" si="97"/>
        <v>0</v>
      </c>
      <c r="P249" s="5">
        <f t="shared" ca="1" si="98"/>
        <v>0</v>
      </c>
      <c r="Q249" s="5" t="e">
        <f t="shared" ca="1" si="99"/>
        <v>#N/A</v>
      </c>
      <c r="R249" s="5">
        <f t="shared" ca="1" si="104"/>
        <v>0</v>
      </c>
      <c r="S249" s="67" t="e">
        <f t="shared" ca="1" si="105"/>
        <v>#N/A</v>
      </c>
      <c r="T249" s="67">
        <f t="shared" ca="1" si="106"/>
        <v>0</v>
      </c>
      <c r="U249" s="67" t="e">
        <f t="shared" ca="1" si="107"/>
        <v>#N/A</v>
      </c>
      <c r="V249" s="5">
        <f t="shared" ca="1" si="86"/>
        <v>0</v>
      </c>
      <c r="W249" s="5" t="e">
        <f t="shared" ca="1" si="100"/>
        <v>#N/A</v>
      </c>
      <c r="X249" s="67">
        <f t="shared" ca="1" si="101"/>
        <v>0</v>
      </c>
      <c r="Y249" s="67" t="e">
        <f t="shared" ca="1" si="108"/>
        <v>#N/A</v>
      </c>
      <c r="Z249" s="67" t="e">
        <f t="shared" ca="1" si="109"/>
        <v>#N/A</v>
      </c>
      <c r="AA249" s="5" t="str">
        <f>IF(Setup!$I$15="Yes",'Demand background (hide)'!AJ237+'SPC background (hide)'!C249,"")</f>
        <v/>
      </c>
      <c r="AC249" s="5" t="str">
        <f t="shared" ca="1" si="102"/>
        <v/>
      </c>
      <c r="AD249" s="5" t="str">
        <f t="shared" ca="1" si="103"/>
        <v/>
      </c>
    </row>
    <row r="250" spans="1:30" x14ac:dyDescent="0.2">
      <c r="A250" s="67" t="str">
        <f ca="1">Demand!C247</f>
        <v/>
      </c>
      <c r="B250" s="67">
        <v>235</v>
      </c>
      <c r="C250" s="5">
        <f ca="1">'Demand background (hide)'!Y238</f>
        <v>0</v>
      </c>
      <c r="D250" s="67">
        <f t="shared" si="87"/>
        <v>0</v>
      </c>
      <c r="E250" s="67" t="e">
        <f t="shared" ca="1" si="88"/>
        <v>#N/A</v>
      </c>
      <c r="F250" s="67" t="e">
        <f t="shared" ca="1" si="89"/>
        <v>#N/A</v>
      </c>
      <c r="G250" s="67" t="e">
        <f t="shared" ca="1" si="90"/>
        <v>#N/A</v>
      </c>
      <c r="H250" s="67" t="e">
        <f>IF('Demand background (hide)'!AN238&lt;&gt;"",'SPC background (hide)'!C250,NA())</f>
        <v>#N/A</v>
      </c>
      <c r="I250" s="67">
        <f t="shared" ca="1" si="91"/>
        <v>5</v>
      </c>
      <c r="J250" s="5">
        <f t="shared" ca="1" si="92"/>
        <v>0</v>
      </c>
      <c r="K250" s="5">
        <f t="shared" ca="1" si="93"/>
        <v>0</v>
      </c>
      <c r="L250" s="5">
        <f t="shared" ca="1" si="94"/>
        <v>0</v>
      </c>
      <c r="M250" s="5">
        <f t="shared" ca="1" si="95"/>
        <v>0</v>
      </c>
      <c r="N250" s="5">
        <f t="shared" ca="1" si="96"/>
        <v>0</v>
      </c>
      <c r="O250" s="5">
        <f t="shared" ca="1" si="97"/>
        <v>0</v>
      </c>
      <c r="P250" s="5">
        <f t="shared" ca="1" si="98"/>
        <v>0</v>
      </c>
      <c r="Q250" s="5" t="e">
        <f t="shared" ca="1" si="99"/>
        <v>#N/A</v>
      </c>
      <c r="R250" s="5">
        <f t="shared" ca="1" si="104"/>
        <v>0</v>
      </c>
      <c r="S250" s="67" t="e">
        <f t="shared" ca="1" si="105"/>
        <v>#N/A</v>
      </c>
      <c r="T250" s="67">
        <f t="shared" ca="1" si="106"/>
        <v>0</v>
      </c>
      <c r="U250" s="67" t="e">
        <f t="shared" ca="1" si="107"/>
        <v>#N/A</v>
      </c>
      <c r="V250" s="5">
        <f t="shared" ca="1" si="86"/>
        <v>0</v>
      </c>
      <c r="W250" s="5" t="e">
        <f t="shared" ca="1" si="100"/>
        <v>#N/A</v>
      </c>
      <c r="X250" s="67">
        <f t="shared" ca="1" si="101"/>
        <v>0</v>
      </c>
      <c r="Y250" s="67" t="e">
        <f t="shared" ca="1" si="108"/>
        <v>#N/A</v>
      </c>
      <c r="Z250" s="67" t="e">
        <f t="shared" ca="1" si="109"/>
        <v>#N/A</v>
      </c>
      <c r="AA250" s="5" t="str">
        <f>IF(Setup!$I$15="Yes",'Demand background (hide)'!AJ238+'SPC background (hide)'!C250,"")</f>
        <v/>
      </c>
      <c r="AC250" s="5" t="str">
        <f t="shared" ca="1" si="102"/>
        <v/>
      </c>
      <c r="AD250" s="5" t="str">
        <f t="shared" ca="1" si="103"/>
        <v/>
      </c>
    </row>
    <row r="251" spans="1:30" x14ac:dyDescent="0.2">
      <c r="A251" s="67" t="str">
        <f ca="1">Demand!C248</f>
        <v/>
      </c>
      <c r="B251" s="67">
        <v>236</v>
      </c>
      <c r="C251" s="5">
        <f ca="1">'Demand background (hide)'!Y239</f>
        <v>0</v>
      </c>
      <c r="D251" s="67">
        <f t="shared" si="87"/>
        <v>0</v>
      </c>
      <c r="E251" s="67" t="e">
        <f t="shared" ca="1" si="88"/>
        <v>#N/A</v>
      </c>
      <c r="F251" s="67" t="e">
        <f t="shared" ca="1" si="89"/>
        <v>#N/A</v>
      </c>
      <c r="G251" s="67" t="e">
        <f t="shared" ca="1" si="90"/>
        <v>#N/A</v>
      </c>
      <c r="H251" s="67" t="e">
        <f>IF('Demand background (hide)'!AN239&lt;&gt;"",'SPC background (hide)'!C251,NA())</f>
        <v>#N/A</v>
      </c>
      <c r="I251" s="67">
        <f t="shared" ca="1" si="91"/>
        <v>5</v>
      </c>
      <c r="J251" s="5">
        <f t="shared" ca="1" si="92"/>
        <v>0</v>
      </c>
      <c r="K251" s="5">
        <f t="shared" ca="1" si="93"/>
        <v>0</v>
      </c>
      <c r="L251" s="5">
        <f t="shared" ca="1" si="94"/>
        <v>0</v>
      </c>
      <c r="M251" s="5">
        <f t="shared" ca="1" si="95"/>
        <v>0</v>
      </c>
      <c r="N251" s="5">
        <f t="shared" ca="1" si="96"/>
        <v>0</v>
      </c>
      <c r="O251" s="5">
        <f t="shared" ca="1" si="97"/>
        <v>0</v>
      </c>
      <c r="P251" s="5">
        <f t="shared" ca="1" si="98"/>
        <v>0</v>
      </c>
      <c r="Q251" s="5" t="e">
        <f t="shared" ca="1" si="99"/>
        <v>#N/A</v>
      </c>
      <c r="R251" s="5">
        <f t="shared" ca="1" si="104"/>
        <v>0</v>
      </c>
      <c r="S251" s="67" t="e">
        <f t="shared" ca="1" si="105"/>
        <v>#N/A</v>
      </c>
      <c r="T251" s="67">
        <f t="shared" ca="1" si="106"/>
        <v>0</v>
      </c>
      <c r="U251" s="67" t="e">
        <f t="shared" ca="1" si="107"/>
        <v>#N/A</v>
      </c>
      <c r="V251" s="5">
        <f t="shared" ca="1" si="86"/>
        <v>0</v>
      </c>
      <c r="W251" s="5" t="e">
        <f t="shared" ca="1" si="100"/>
        <v>#N/A</v>
      </c>
      <c r="X251" s="67">
        <f t="shared" ca="1" si="101"/>
        <v>0</v>
      </c>
      <c r="Y251" s="67" t="e">
        <f t="shared" ca="1" si="108"/>
        <v>#N/A</v>
      </c>
      <c r="Z251" s="67" t="e">
        <f t="shared" ca="1" si="109"/>
        <v>#N/A</v>
      </c>
      <c r="AA251" s="5" t="str">
        <f>IF(Setup!$I$15="Yes",'Demand background (hide)'!AJ239+'SPC background (hide)'!C251,"")</f>
        <v/>
      </c>
      <c r="AC251" s="5" t="str">
        <f t="shared" ca="1" si="102"/>
        <v/>
      </c>
      <c r="AD251" s="5" t="str">
        <f t="shared" ca="1" si="103"/>
        <v/>
      </c>
    </row>
    <row r="252" spans="1:30" x14ac:dyDescent="0.2">
      <c r="A252" s="67" t="str">
        <f ca="1">Demand!C249</f>
        <v/>
      </c>
      <c r="B252" s="67">
        <v>237</v>
      </c>
      <c r="C252" s="5">
        <f ca="1">'Demand background (hide)'!Y240</f>
        <v>0</v>
      </c>
      <c r="D252" s="67">
        <f t="shared" si="87"/>
        <v>0</v>
      </c>
      <c r="E252" s="67" t="e">
        <f t="shared" ca="1" si="88"/>
        <v>#N/A</v>
      </c>
      <c r="F252" s="67" t="e">
        <f t="shared" ca="1" si="89"/>
        <v>#N/A</v>
      </c>
      <c r="G252" s="67" t="e">
        <f t="shared" ca="1" si="90"/>
        <v>#N/A</v>
      </c>
      <c r="H252" s="67" t="e">
        <f>IF('Demand background (hide)'!AN240&lt;&gt;"",'SPC background (hide)'!C252,NA())</f>
        <v>#N/A</v>
      </c>
      <c r="I252" s="67">
        <f t="shared" ca="1" si="91"/>
        <v>5</v>
      </c>
      <c r="J252" s="5">
        <f t="shared" ca="1" si="92"/>
        <v>0</v>
      </c>
      <c r="K252" s="5">
        <f t="shared" ca="1" si="93"/>
        <v>0</v>
      </c>
      <c r="L252" s="5">
        <f t="shared" ca="1" si="94"/>
        <v>0</v>
      </c>
      <c r="M252" s="5">
        <f t="shared" ca="1" si="95"/>
        <v>0</v>
      </c>
      <c r="N252" s="5">
        <f t="shared" ca="1" si="96"/>
        <v>0</v>
      </c>
      <c r="O252" s="5">
        <f t="shared" ca="1" si="97"/>
        <v>0</v>
      </c>
      <c r="P252" s="5">
        <f t="shared" ca="1" si="98"/>
        <v>0</v>
      </c>
      <c r="Q252" s="5" t="e">
        <f t="shared" ca="1" si="99"/>
        <v>#N/A</v>
      </c>
      <c r="R252" s="5">
        <f t="shared" ca="1" si="104"/>
        <v>0</v>
      </c>
      <c r="S252" s="67" t="e">
        <f t="shared" ca="1" si="105"/>
        <v>#N/A</v>
      </c>
      <c r="T252" s="67">
        <f t="shared" ca="1" si="106"/>
        <v>0</v>
      </c>
      <c r="U252" s="67" t="e">
        <f t="shared" ca="1" si="107"/>
        <v>#N/A</v>
      </c>
      <c r="V252" s="5">
        <f t="shared" ca="1" si="86"/>
        <v>0</v>
      </c>
      <c r="W252" s="5" t="e">
        <f t="shared" ca="1" si="100"/>
        <v>#N/A</v>
      </c>
      <c r="X252" s="67">
        <f t="shared" ca="1" si="101"/>
        <v>0</v>
      </c>
      <c r="Y252" s="67" t="e">
        <f t="shared" ca="1" si="108"/>
        <v>#N/A</v>
      </c>
      <c r="Z252" s="67" t="e">
        <f t="shared" ca="1" si="109"/>
        <v>#N/A</v>
      </c>
      <c r="AA252" s="5" t="str">
        <f>IF(Setup!$I$15="Yes",'Demand background (hide)'!AJ240+'SPC background (hide)'!C252,"")</f>
        <v/>
      </c>
      <c r="AC252" s="5" t="str">
        <f t="shared" ca="1" si="102"/>
        <v/>
      </c>
      <c r="AD252" s="5" t="str">
        <f t="shared" ca="1" si="103"/>
        <v/>
      </c>
    </row>
    <row r="253" spans="1:30" x14ac:dyDescent="0.2">
      <c r="A253" s="67" t="str">
        <f ca="1">Demand!C250</f>
        <v/>
      </c>
      <c r="B253" s="67">
        <v>238</v>
      </c>
      <c r="C253" s="5">
        <f ca="1">'Demand background (hide)'!Y241</f>
        <v>0</v>
      </c>
      <c r="D253" s="67">
        <f t="shared" si="87"/>
        <v>0</v>
      </c>
      <c r="E253" s="67" t="e">
        <f t="shared" ca="1" si="88"/>
        <v>#N/A</v>
      </c>
      <c r="F253" s="67" t="e">
        <f t="shared" ca="1" si="89"/>
        <v>#N/A</v>
      </c>
      <c r="G253" s="67" t="e">
        <f t="shared" ca="1" si="90"/>
        <v>#N/A</v>
      </c>
      <c r="H253" s="67" t="e">
        <f>IF('Demand background (hide)'!AN241&lt;&gt;"",'SPC background (hide)'!C253,NA())</f>
        <v>#N/A</v>
      </c>
      <c r="I253" s="67">
        <f t="shared" ca="1" si="91"/>
        <v>5</v>
      </c>
      <c r="J253" s="5">
        <f t="shared" ca="1" si="92"/>
        <v>0</v>
      </c>
      <c r="K253" s="5">
        <f t="shared" ca="1" si="93"/>
        <v>0</v>
      </c>
      <c r="L253" s="5">
        <f t="shared" ca="1" si="94"/>
        <v>0</v>
      </c>
      <c r="M253" s="5">
        <f t="shared" ca="1" si="95"/>
        <v>0</v>
      </c>
      <c r="N253" s="5">
        <f t="shared" ca="1" si="96"/>
        <v>0</v>
      </c>
      <c r="O253" s="5">
        <f t="shared" ca="1" si="97"/>
        <v>0</v>
      </c>
      <c r="P253" s="5">
        <f t="shared" ca="1" si="98"/>
        <v>0</v>
      </c>
      <c r="Q253" s="5" t="e">
        <f t="shared" ca="1" si="99"/>
        <v>#N/A</v>
      </c>
      <c r="R253" s="5">
        <f t="shared" ca="1" si="104"/>
        <v>0</v>
      </c>
      <c r="S253" s="67" t="e">
        <f t="shared" ca="1" si="105"/>
        <v>#N/A</v>
      </c>
      <c r="T253" s="67">
        <f t="shared" ca="1" si="106"/>
        <v>0</v>
      </c>
      <c r="U253" s="67" t="e">
        <f t="shared" ca="1" si="107"/>
        <v>#N/A</v>
      </c>
      <c r="V253" s="5">
        <f t="shared" ca="1" si="86"/>
        <v>0</v>
      </c>
      <c r="W253" s="5" t="e">
        <f t="shared" ca="1" si="100"/>
        <v>#N/A</v>
      </c>
      <c r="X253" s="67">
        <f t="shared" ca="1" si="101"/>
        <v>0</v>
      </c>
      <c r="Y253" s="67" t="e">
        <f t="shared" ca="1" si="108"/>
        <v>#N/A</v>
      </c>
      <c r="Z253" s="67" t="e">
        <f t="shared" ca="1" si="109"/>
        <v>#N/A</v>
      </c>
      <c r="AA253" s="5" t="str">
        <f>IF(Setup!$I$15="Yes",'Demand background (hide)'!AJ241+'SPC background (hide)'!C253,"")</f>
        <v/>
      </c>
      <c r="AC253" s="5" t="str">
        <f t="shared" ca="1" si="102"/>
        <v/>
      </c>
      <c r="AD253" s="5" t="str">
        <f t="shared" ca="1" si="103"/>
        <v/>
      </c>
    </row>
    <row r="254" spans="1:30" x14ac:dyDescent="0.2">
      <c r="A254" s="67" t="str">
        <f ca="1">Demand!C251</f>
        <v/>
      </c>
      <c r="B254" s="67">
        <v>239</v>
      </c>
      <c r="C254" s="5">
        <f ca="1">'Demand background (hide)'!Y242</f>
        <v>0</v>
      </c>
      <c r="D254" s="67">
        <f t="shared" si="87"/>
        <v>0</v>
      </c>
      <c r="E254" s="67" t="e">
        <f t="shared" ca="1" si="88"/>
        <v>#N/A</v>
      </c>
      <c r="F254" s="67" t="e">
        <f t="shared" ca="1" si="89"/>
        <v>#N/A</v>
      </c>
      <c r="G254" s="67" t="e">
        <f t="shared" ca="1" si="90"/>
        <v>#N/A</v>
      </c>
      <c r="H254" s="67" t="e">
        <f>IF('Demand background (hide)'!AN242&lt;&gt;"",'SPC background (hide)'!C254,NA())</f>
        <v>#N/A</v>
      </c>
      <c r="I254" s="67">
        <f t="shared" ca="1" si="91"/>
        <v>5</v>
      </c>
      <c r="J254" s="5">
        <f t="shared" ca="1" si="92"/>
        <v>0</v>
      </c>
      <c r="K254" s="5">
        <f t="shared" ca="1" si="93"/>
        <v>0</v>
      </c>
      <c r="L254" s="5">
        <f t="shared" ca="1" si="94"/>
        <v>0</v>
      </c>
      <c r="M254" s="5">
        <f t="shared" ca="1" si="95"/>
        <v>0</v>
      </c>
      <c r="N254" s="5">
        <f t="shared" ca="1" si="96"/>
        <v>0</v>
      </c>
      <c r="O254" s="5">
        <f t="shared" ca="1" si="97"/>
        <v>0</v>
      </c>
      <c r="P254" s="5">
        <f t="shared" ca="1" si="98"/>
        <v>0</v>
      </c>
      <c r="Q254" s="5" t="e">
        <f t="shared" ca="1" si="99"/>
        <v>#N/A</v>
      </c>
      <c r="R254" s="5">
        <f t="shared" ca="1" si="104"/>
        <v>0</v>
      </c>
      <c r="S254" s="67" t="e">
        <f t="shared" ca="1" si="105"/>
        <v>#N/A</v>
      </c>
      <c r="T254" s="67">
        <f t="shared" ca="1" si="106"/>
        <v>0</v>
      </c>
      <c r="U254" s="67" t="e">
        <f t="shared" ca="1" si="107"/>
        <v>#N/A</v>
      </c>
      <c r="V254" s="5">
        <f t="shared" ca="1" si="86"/>
        <v>0</v>
      </c>
      <c r="W254" s="5" t="e">
        <f t="shared" ca="1" si="100"/>
        <v>#N/A</v>
      </c>
      <c r="X254" s="67">
        <f t="shared" ca="1" si="101"/>
        <v>0</v>
      </c>
      <c r="Y254" s="67" t="e">
        <f t="shared" ca="1" si="108"/>
        <v>#N/A</v>
      </c>
      <c r="Z254" s="67" t="e">
        <f t="shared" ca="1" si="109"/>
        <v>#N/A</v>
      </c>
      <c r="AA254" s="5" t="str">
        <f>IF(Setup!$I$15="Yes",'Demand background (hide)'!AJ242+'SPC background (hide)'!C254,"")</f>
        <v/>
      </c>
      <c r="AC254" s="5" t="str">
        <f t="shared" ca="1" si="102"/>
        <v/>
      </c>
      <c r="AD254" s="5" t="str">
        <f t="shared" ca="1" si="103"/>
        <v/>
      </c>
    </row>
    <row r="255" spans="1:30" x14ac:dyDescent="0.2">
      <c r="A255" s="67" t="str">
        <f ca="1">Demand!C252</f>
        <v/>
      </c>
      <c r="B255" s="67">
        <v>240</v>
      </c>
      <c r="C255" s="5">
        <f ca="1">'Demand background (hide)'!Y243</f>
        <v>0</v>
      </c>
      <c r="D255" s="67">
        <f t="shared" si="87"/>
        <v>0</v>
      </c>
      <c r="E255" s="67" t="e">
        <f t="shared" ca="1" si="88"/>
        <v>#N/A</v>
      </c>
      <c r="F255" s="67" t="e">
        <f t="shared" ca="1" si="89"/>
        <v>#N/A</v>
      </c>
      <c r="G255" s="67" t="e">
        <f t="shared" ca="1" si="90"/>
        <v>#N/A</v>
      </c>
      <c r="H255" s="67" t="e">
        <f>IF('Demand background (hide)'!AN243&lt;&gt;"",'SPC background (hide)'!C255,NA())</f>
        <v>#N/A</v>
      </c>
      <c r="I255" s="67">
        <f t="shared" ca="1" si="91"/>
        <v>5</v>
      </c>
      <c r="J255" s="5">
        <f t="shared" ca="1" si="92"/>
        <v>0</v>
      </c>
      <c r="K255" s="5">
        <f t="shared" ca="1" si="93"/>
        <v>0</v>
      </c>
      <c r="L255" s="5">
        <f t="shared" ca="1" si="94"/>
        <v>0</v>
      </c>
      <c r="M255" s="5">
        <f t="shared" ca="1" si="95"/>
        <v>0</v>
      </c>
      <c r="N255" s="5">
        <f t="shared" ca="1" si="96"/>
        <v>0</v>
      </c>
      <c r="O255" s="5">
        <f t="shared" ca="1" si="97"/>
        <v>0</v>
      </c>
      <c r="P255" s="5">
        <f t="shared" ca="1" si="98"/>
        <v>0</v>
      </c>
      <c r="Q255" s="5" t="e">
        <f t="shared" ca="1" si="99"/>
        <v>#N/A</v>
      </c>
      <c r="R255" s="5">
        <f t="shared" ca="1" si="104"/>
        <v>0</v>
      </c>
      <c r="S255" s="67" t="e">
        <f t="shared" ca="1" si="105"/>
        <v>#N/A</v>
      </c>
      <c r="T255" s="67">
        <f t="shared" ca="1" si="106"/>
        <v>0</v>
      </c>
      <c r="U255" s="67" t="e">
        <f t="shared" ca="1" si="107"/>
        <v>#N/A</v>
      </c>
      <c r="V255" s="5">
        <f t="shared" ca="1" si="86"/>
        <v>0</v>
      </c>
      <c r="W255" s="5" t="e">
        <f t="shared" ca="1" si="100"/>
        <v>#N/A</v>
      </c>
      <c r="X255" s="67">
        <f t="shared" ca="1" si="101"/>
        <v>0</v>
      </c>
      <c r="Y255" s="67" t="e">
        <f t="shared" ca="1" si="108"/>
        <v>#N/A</v>
      </c>
      <c r="Z255" s="67" t="e">
        <f t="shared" ca="1" si="109"/>
        <v>#N/A</v>
      </c>
      <c r="AA255" s="5" t="str">
        <f>IF(Setup!$I$15="Yes",'Demand background (hide)'!AJ243+'SPC background (hide)'!C255,"")</f>
        <v/>
      </c>
      <c r="AC255" s="5" t="str">
        <f t="shared" ca="1" si="102"/>
        <v/>
      </c>
      <c r="AD255" s="5" t="str">
        <f t="shared" ca="1" si="103"/>
        <v/>
      </c>
    </row>
    <row r="256" spans="1:30" x14ac:dyDescent="0.2">
      <c r="A256" s="67" t="str">
        <f ca="1">Demand!C253</f>
        <v/>
      </c>
      <c r="B256" s="67">
        <v>241</v>
      </c>
      <c r="C256" s="5">
        <f ca="1">'Demand background (hide)'!Y244</f>
        <v>0</v>
      </c>
      <c r="D256" s="67">
        <f t="shared" si="87"/>
        <v>0</v>
      </c>
      <c r="E256" s="67" t="e">
        <f t="shared" ca="1" si="88"/>
        <v>#N/A</v>
      </c>
      <c r="F256" s="67" t="e">
        <f t="shared" ca="1" si="89"/>
        <v>#N/A</v>
      </c>
      <c r="G256" s="67" t="e">
        <f t="shared" ca="1" si="90"/>
        <v>#N/A</v>
      </c>
      <c r="H256" s="67" t="e">
        <f>IF('Demand background (hide)'!AN244&lt;&gt;"",'SPC background (hide)'!C256,NA())</f>
        <v>#N/A</v>
      </c>
      <c r="I256" s="67">
        <f t="shared" ca="1" si="91"/>
        <v>5</v>
      </c>
      <c r="J256" s="5">
        <f t="shared" ca="1" si="92"/>
        <v>0</v>
      </c>
      <c r="K256" s="5">
        <f t="shared" ca="1" si="93"/>
        <v>0</v>
      </c>
      <c r="L256" s="5">
        <f t="shared" ca="1" si="94"/>
        <v>0</v>
      </c>
      <c r="M256" s="5">
        <f t="shared" ca="1" si="95"/>
        <v>0</v>
      </c>
      <c r="N256" s="5">
        <f t="shared" ca="1" si="96"/>
        <v>0</v>
      </c>
      <c r="O256" s="5">
        <f t="shared" ca="1" si="97"/>
        <v>0</v>
      </c>
      <c r="P256" s="5">
        <f t="shared" ca="1" si="98"/>
        <v>0</v>
      </c>
      <c r="Q256" s="5" t="e">
        <f t="shared" ca="1" si="99"/>
        <v>#N/A</v>
      </c>
      <c r="R256" s="5">
        <f t="shared" ca="1" si="104"/>
        <v>0</v>
      </c>
      <c r="S256" s="67" t="e">
        <f t="shared" ca="1" si="105"/>
        <v>#N/A</v>
      </c>
      <c r="T256" s="67">
        <f t="shared" ca="1" si="106"/>
        <v>0</v>
      </c>
      <c r="U256" s="67" t="e">
        <f t="shared" ca="1" si="107"/>
        <v>#N/A</v>
      </c>
      <c r="V256" s="5">
        <f t="shared" ca="1" si="86"/>
        <v>0</v>
      </c>
      <c r="W256" s="5" t="e">
        <f t="shared" ca="1" si="100"/>
        <v>#N/A</v>
      </c>
      <c r="X256" s="67">
        <f t="shared" ca="1" si="101"/>
        <v>0</v>
      </c>
      <c r="Y256" s="67" t="e">
        <f t="shared" ca="1" si="108"/>
        <v>#N/A</v>
      </c>
      <c r="Z256" s="67" t="e">
        <f t="shared" ca="1" si="109"/>
        <v>#N/A</v>
      </c>
      <c r="AA256" s="5" t="str">
        <f>IF(Setup!$I$15="Yes",'Demand background (hide)'!AJ244+'SPC background (hide)'!C256,"")</f>
        <v/>
      </c>
      <c r="AC256" s="5" t="str">
        <f t="shared" ca="1" si="102"/>
        <v/>
      </c>
      <c r="AD256" s="5" t="str">
        <f t="shared" ca="1" si="103"/>
        <v/>
      </c>
    </row>
    <row r="257" spans="1:30" x14ac:dyDescent="0.2">
      <c r="A257" s="67" t="str">
        <f ca="1">Demand!C254</f>
        <v/>
      </c>
      <c r="B257" s="67">
        <v>242</v>
      </c>
      <c r="C257" s="5">
        <f ca="1">'Demand background (hide)'!Y245</f>
        <v>0</v>
      </c>
      <c r="D257" s="67">
        <f t="shared" si="87"/>
        <v>0</v>
      </c>
      <c r="E257" s="67" t="e">
        <f t="shared" ca="1" si="88"/>
        <v>#N/A</v>
      </c>
      <c r="F257" s="67" t="e">
        <f t="shared" ca="1" si="89"/>
        <v>#N/A</v>
      </c>
      <c r="G257" s="67" t="e">
        <f t="shared" ca="1" si="90"/>
        <v>#N/A</v>
      </c>
      <c r="H257" s="67" t="e">
        <f>IF('Demand background (hide)'!AN245&lt;&gt;"",'SPC background (hide)'!C257,NA())</f>
        <v>#N/A</v>
      </c>
      <c r="I257" s="67">
        <f t="shared" ca="1" si="91"/>
        <v>5</v>
      </c>
      <c r="J257" s="5">
        <f t="shared" ca="1" si="92"/>
        <v>0</v>
      </c>
      <c r="K257" s="5">
        <f t="shared" ca="1" si="93"/>
        <v>0</v>
      </c>
      <c r="L257" s="5">
        <f t="shared" ca="1" si="94"/>
        <v>0</v>
      </c>
      <c r="M257" s="5">
        <f t="shared" ca="1" si="95"/>
        <v>0</v>
      </c>
      <c r="N257" s="5">
        <f t="shared" ca="1" si="96"/>
        <v>0</v>
      </c>
      <c r="O257" s="5">
        <f t="shared" ca="1" si="97"/>
        <v>0</v>
      </c>
      <c r="P257" s="5">
        <f t="shared" ca="1" si="98"/>
        <v>0</v>
      </c>
      <c r="Q257" s="5" t="e">
        <f t="shared" ca="1" si="99"/>
        <v>#N/A</v>
      </c>
      <c r="R257" s="5">
        <f t="shared" ca="1" si="104"/>
        <v>0</v>
      </c>
      <c r="S257" s="67" t="e">
        <f t="shared" ca="1" si="105"/>
        <v>#N/A</v>
      </c>
      <c r="T257" s="67">
        <f t="shared" ca="1" si="106"/>
        <v>0</v>
      </c>
      <c r="U257" s="67" t="e">
        <f t="shared" ca="1" si="107"/>
        <v>#N/A</v>
      </c>
      <c r="V257" s="5">
        <f t="shared" ca="1" si="86"/>
        <v>0</v>
      </c>
      <c r="W257" s="5" t="e">
        <f t="shared" ca="1" si="100"/>
        <v>#N/A</v>
      </c>
      <c r="X257" s="67">
        <f t="shared" ca="1" si="101"/>
        <v>0</v>
      </c>
      <c r="Y257" s="67" t="e">
        <f t="shared" ca="1" si="108"/>
        <v>#N/A</v>
      </c>
      <c r="Z257" s="67" t="e">
        <f t="shared" ca="1" si="109"/>
        <v>#N/A</v>
      </c>
      <c r="AA257" s="5" t="str">
        <f>IF(Setup!$I$15="Yes",'Demand background (hide)'!AJ245+'SPC background (hide)'!C257,"")</f>
        <v/>
      </c>
      <c r="AC257" s="5" t="str">
        <f t="shared" ca="1" si="102"/>
        <v/>
      </c>
      <c r="AD257" s="5" t="str">
        <f t="shared" ca="1" si="103"/>
        <v/>
      </c>
    </row>
    <row r="258" spans="1:30" x14ac:dyDescent="0.2">
      <c r="A258" s="67" t="str">
        <f ca="1">Demand!C255</f>
        <v/>
      </c>
      <c r="B258" s="67">
        <v>243</v>
      </c>
      <c r="C258" s="5">
        <f ca="1">'Demand background (hide)'!Y246</f>
        <v>0</v>
      </c>
      <c r="D258" s="67">
        <f t="shared" si="87"/>
        <v>0</v>
      </c>
      <c r="E258" s="67" t="e">
        <f t="shared" ca="1" si="88"/>
        <v>#N/A</v>
      </c>
      <c r="F258" s="67" t="e">
        <f t="shared" ca="1" si="89"/>
        <v>#N/A</v>
      </c>
      <c r="G258" s="67" t="e">
        <f t="shared" ca="1" si="90"/>
        <v>#N/A</v>
      </c>
      <c r="H258" s="67" t="e">
        <f>IF('Demand background (hide)'!AN246&lt;&gt;"",'SPC background (hide)'!C258,NA())</f>
        <v>#N/A</v>
      </c>
      <c r="I258" s="67">
        <f t="shared" ca="1" si="91"/>
        <v>5</v>
      </c>
      <c r="J258" s="5">
        <f t="shared" ca="1" si="92"/>
        <v>0</v>
      </c>
      <c r="K258" s="5">
        <f t="shared" ca="1" si="93"/>
        <v>0</v>
      </c>
      <c r="L258" s="5">
        <f t="shared" ca="1" si="94"/>
        <v>0</v>
      </c>
      <c r="M258" s="5">
        <f t="shared" ca="1" si="95"/>
        <v>0</v>
      </c>
      <c r="N258" s="5">
        <f t="shared" ca="1" si="96"/>
        <v>0</v>
      </c>
      <c r="O258" s="5">
        <f t="shared" ca="1" si="97"/>
        <v>0</v>
      </c>
      <c r="P258" s="5">
        <f t="shared" ca="1" si="98"/>
        <v>0</v>
      </c>
      <c r="Q258" s="5" t="e">
        <f t="shared" ca="1" si="99"/>
        <v>#N/A</v>
      </c>
      <c r="R258" s="5">
        <f t="shared" ca="1" si="104"/>
        <v>0</v>
      </c>
      <c r="S258" s="67" t="e">
        <f t="shared" ca="1" si="105"/>
        <v>#N/A</v>
      </c>
      <c r="T258" s="67">
        <f t="shared" ca="1" si="106"/>
        <v>0</v>
      </c>
      <c r="U258" s="67" t="e">
        <f t="shared" ca="1" si="107"/>
        <v>#N/A</v>
      </c>
      <c r="V258" s="5">
        <f t="shared" ca="1" si="86"/>
        <v>0</v>
      </c>
      <c r="W258" s="5" t="e">
        <f t="shared" ca="1" si="100"/>
        <v>#N/A</v>
      </c>
      <c r="X258" s="67">
        <f t="shared" ca="1" si="101"/>
        <v>0</v>
      </c>
      <c r="Y258" s="67" t="e">
        <f t="shared" ca="1" si="108"/>
        <v>#N/A</v>
      </c>
      <c r="Z258" s="67" t="e">
        <f t="shared" ca="1" si="109"/>
        <v>#N/A</v>
      </c>
      <c r="AA258" s="5" t="str">
        <f>IF(Setup!$I$15="Yes",'Demand background (hide)'!AJ246+'SPC background (hide)'!C258,"")</f>
        <v/>
      </c>
      <c r="AC258" s="5" t="str">
        <f t="shared" ca="1" si="102"/>
        <v/>
      </c>
      <c r="AD258" s="5" t="str">
        <f t="shared" ca="1" si="103"/>
        <v/>
      </c>
    </row>
    <row r="259" spans="1:30" x14ac:dyDescent="0.2">
      <c r="A259" s="67" t="str">
        <f ca="1">Demand!C256</f>
        <v/>
      </c>
      <c r="B259" s="67">
        <v>244</v>
      </c>
      <c r="C259" s="5">
        <f ca="1">'Demand background (hide)'!Y247</f>
        <v>0</v>
      </c>
      <c r="D259" s="67">
        <f t="shared" si="87"/>
        <v>0</v>
      </c>
      <c r="E259" s="67" t="e">
        <f t="shared" ca="1" si="88"/>
        <v>#N/A</v>
      </c>
      <c r="F259" s="67" t="e">
        <f t="shared" ca="1" si="89"/>
        <v>#N/A</v>
      </c>
      <c r="G259" s="67" t="e">
        <f t="shared" ca="1" si="90"/>
        <v>#N/A</v>
      </c>
      <c r="H259" s="67" t="e">
        <f>IF('Demand background (hide)'!AN247&lt;&gt;"",'SPC background (hide)'!C259,NA())</f>
        <v>#N/A</v>
      </c>
      <c r="I259" s="67">
        <f t="shared" ca="1" si="91"/>
        <v>5</v>
      </c>
      <c r="J259" s="5">
        <f t="shared" ca="1" si="92"/>
        <v>0</v>
      </c>
      <c r="K259" s="5">
        <f t="shared" ca="1" si="93"/>
        <v>0</v>
      </c>
      <c r="L259" s="5">
        <f t="shared" ca="1" si="94"/>
        <v>0</v>
      </c>
      <c r="M259" s="5">
        <f t="shared" ca="1" si="95"/>
        <v>0</v>
      </c>
      <c r="N259" s="5">
        <f t="shared" ca="1" si="96"/>
        <v>0</v>
      </c>
      <c r="O259" s="5">
        <f t="shared" ca="1" si="97"/>
        <v>0</v>
      </c>
      <c r="P259" s="5">
        <f t="shared" ca="1" si="98"/>
        <v>0</v>
      </c>
      <c r="Q259" s="5" t="e">
        <f t="shared" ca="1" si="99"/>
        <v>#N/A</v>
      </c>
      <c r="R259" s="5">
        <f t="shared" ca="1" si="104"/>
        <v>0</v>
      </c>
      <c r="S259" s="67" t="e">
        <f t="shared" ca="1" si="105"/>
        <v>#N/A</v>
      </c>
      <c r="T259" s="67">
        <f t="shared" ca="1" si="106"/>
        <v>0</v>
      </c>
      <c r="U259" s="67" t="e">
        <f t="shared" ca="1" si="107"/>
        <v>#N/A</v>
      </c>
      <c r="V259" s="5">
        <f t="shared" ca="1" si="86"/>
        <v>0</v>
      </c>
      <c r="W259" s="5" t="e">
        <f t="shared" ca="1" si="100"/>
        <v>#N/A</v>
      </c>
      <c r="X259" s="67">
        <f t="shared" ca="1" si="101"/>
        <v>0</v>
      </c>
      <c r="Y259" s="67" t="e">
        <f t="shared" ca="1" si="108"/>
        <v>#N/A</v>
      </c>
      <c r="Z259" s="67" t="e">
        <f t="shared" ca="1" si="109"/>
        <v>#N/A</v>
      </c>
      <c r="AA259" s="5" t="str">
        <f>IF(Setup!$I$15="Yes",'Demand background (hide)'!AJ247+'SPC background (hide)'!C259,"")</f>
        <v/>
      </c>
      <c r="AC259" s="5" t="str">
        <f t="shared" ca="1" si="102"/>
        <v/>
      </c>
      <c r="AD259" s="5" t="str">
        <f t="shared" ca="1" si="103"/>
        <v/>
      </c>
    </row>
    <row r="260" spans="1:30" x14ac:dyDescent="0.2">
      <c r="A260" s="67" t="str">
        <f ca="1">Demand!C257</f>
        <v/>
      </c>
      <c r="B260" s="67">
        <v>245</v>
      </c>
      <c r="C260" s="5">
        <f ca="1">'Demand background (hide)'!Y248</f>
        <v>0</v>
      </c>
      <c r="D260" s="67">
        <f t="shared" si="87"/>
        <v>0</v>
      </c>
      <c r="E260" s="67" t="e">
        <f t="shared" ca="1" si="88"/>
        <v>#N/A</v>
      </c>
      <c r="F260" s="67" t="e">
        <f t="shared" ca="1" si="89"/>
        <v>#N/A</v>
      </c>
      <c r="G260" s="67" t="e">
        <f t="shared" ca="1" si="90"/>
        <v>#N/A</v>
      </c>
      <c r="H260" s="67" t="e">
        <f>IF('Demand background (hide)'!AN248&lt;&gt;"",'SPC background (hide)'!C260,NA())</f>
        <v>#N/A</v>
      </c>
      <c r="I260" s="67">
        <f t="shared" ca="1" si="91"/>
        <v>5</v>
      </c>
      <c r="J260" s="5">
        <f t="shared" ca="1" si="92"/>
        <v>0</v>
      </c>
      <c r="K260" s="5">
        <f t="shared" ca="1" si="93"/>
        <v>0</v>
      </c>
      <c r="L260" s="5">
        <f t="shared" ca="1" si="94"/>
        <v>0</v>
      </c>
      <c r="M260" s="5">
        <f t="shared" ca="1" si="95"/>
        <v>0</v>
      </c>
      <c r="N260" s="5">
        <f t="shared" ca="1" si="96"/>
        <v>0</v>
      </c>
      <c r="O260" s="5">
        <f t="shared" ca="1" si="97"/>
        <v>0</v>
      </c>
      <c r="P260" s="5">
        <f t="shared" ca="1" si="98"/>
        <v>0</v>
      </c>
      <c r="Q260" s="5" t="e">
        <f t="shared" ca="1" si="99"/>
        <v>#N/A</v>
      </c>
      <c r="R260" s="5">
        <f t="shared" ca="1" si="104"/>
        <v>0</v>
      </c>
      <c r="S260" s="67" t="e">
        <f t="shared" ca="1" si="105"/>
        <v>#N/A</v>
      </c>
      <c r="T260" s="67">
        <f t="shared" ca="1" si="106"/>
        <v>0</v>
      </c>
      <c r="U260" s="67" t="e">
        <f t="shared" ca="1" si="107"/>
        <v>#N/A</v>
      </c>
      <c r="V260" s="5">
        <f t="shared" ca="1" si="86"/>
        <v>0</v>
      </c>
      <c r="W260" s="5" t="e">
        <f t="shared" ca="1" si="100"/>
        <v>#N/A</v>
      </c>
      <c r="X260" s="67">
        <f t="shared" ca="1" si="101"/>
        <v>0</v>
      </c>
      <c r="Y260" s="67" t="e">
        <f t="shared" ca="1" si="108"/>
        <v>#N/A</v>
      </c>
      <c r="Z260" s="67" t="e">
        <f t="shared" ca="1" si="109"/>
        <v>#N/A</v>
      </c>
      <c r="AA260" s="5" t="str">
        <f>IF(Setup!$I$15="Yes",'Demand background (hide)'!AJ248+'SPC background (hide)'!C260,"")</f>
        <v/>
      </c>
      <c r="AC260" s="5" t="str">
        <f t="shared" ca="1" si="102"/>
        <v/>
      </c>
      <c r="AD260" s="5" t="str">
        <f t="shared" ca="1" si="103"/>
        <v/>
      </c>
    </row>
    <row r="261" spans="1:30" x14ac:dyDescent="0.2">
      <c r="A261" s="67" t="str">
        <f ca="1">Demand!C258</f>
        <v/>
      </c>
      <c r="B261" s="67">
        <v>246</v>
      </c>
      <c r="C261" s="5">
        <f ca="1">'Demand background (hide)'!Y249</f>
        <v>0</v>
      </c>
      <c r="D261" s="67">
        <f t="shared" si="87"/>
        <v>0</v>
      </c>
      <c r="E261" s="67" t="e">
        <f t="shared" ca="1" si="88"/>
        <v>#N/A</v>
      </c>
      <c r="F261" s="67" t="e">
        <f t="shared" ca="1" si="89"/>
        <v>#N/A</v>
      </c>
      <c r="G261" s="67" t="e">
        <f t="shared" ca="1" si="90"/>
        <v>#N/A</v>
      </c>
      <c r="H261" s="67" t="e">
        <f>IF('Demand background (hide)'!AN249&lt;&gt;"",'SPC background (hide)'!C261,NA())</f>
        <v>#N/A</v>
      </c>
      <c r="I261" s="67">
        <f t="shared" ca="1" si="91"/>
        <v>5</v>
      </c>
      <c r="J261" s="5">
        <f t="shared" ca="1" si="92"/>
        <v>0</v>
      </c>
      <c r="K261" s="5">
        <f t="shared" ca="1" si="93"/>
        <v>0</v>
      </c>
      <c r="L261" s="5">
        <f t="shared" ca="1" si="94"/>
        <v>0</v>
      </c>
      <c r="M261" s="5">
        <f t="shared" ca="1" si="95"/>
        <v>0</v>
      </c>
      <c r="N261" s="5">
        <f t="shared" ca="1" si="96"/>
        <v>0</v>
      </c>
      <c r="O261" s="5">
        <f t="shared" ca="1" si="97"/>
        <v>0</v>
      </c>
      <c r="P261" s="5">
        <f t="shared" ca="1" si="98"/>
        <v>0</v>
      </c>
      <c r="Q261" s="5" t="e">
        <f t="shared" ca="1" si="99"/>
        <v>#N/A</v>
      </c>
      <c r="R261" s="5">
        <f t="shared" ca="1" si="104"/>
        <v>0</v>
      </c>
      <c r="S261" s="67" t="e">
        <f t="shared" ca="1" si="105"/>
        <v>#N/A</v>
      </c>
      <c r="T261" s="67">
        <f t="shared" ca="1" si="106"/>
        <v>0</v>
      </c>
      <c r="U261" s="67" t="e">
        <f t="shared" ca="1" si="107"/>
        <v>#N/A</v>
      </c>
      <c r="V261" s="5">
        <f t="shared" ca="1" si="86"/>
        <v>0</v>
      </c>
      <c r="W261" s="5" t="e">
        <f t="shared" ca="1" si="100"/>
        <v>#N/A</v>
      </c>
      <c r="X261" s="67">
        <f t="shared" ca="1" si="101"/>
        <v>0</v>
      </c>
      <c r="Y261" s="67" t="e">
        <f t="shared" ca="1" si="108"/>
        <v>#N/A</v>
      </c>
      <c r="Z261" s="67" t="e">
        <f t="shared" ca="1" si="109"/>
        <v>#N/A</v>
      </c>
      <c r="AA261" s="5" t="str">
        <f>IF(Setup!$I$15="Yes",'Demand background (hide)'!AJ249+'SPC background (hide)'!C261,"")</f>
        <v/>
      </c>
      <c r="AC261" s="5" t="str">
        <f t="shared" ca="1" si="102"/>
        <v/>
      </c>
      <c r="AD261" s="5" t="str">
        <f t="shared" ca="1" si="103"/>
        <v/>
      </c>
    </row>
    <row r="262" spans="1:30" x14ac:dyDescent="0.2">
      <c r="A262" s="67" t="str">
        <f ca="1">Demand!C259</f>
        <v/>
      </c>
      <c r="B262" s="67">
        <v>247</v>
      </c>
      <c r="C262" s="5">
        <f ca="1">'Demand background (hide)'!Y250</f>
        <v>0</v>
      </c>
      <c r="D262" s="67">
        <f t="shared" si="87"/>
        <v>0</v>
      </c>
      <c r="E262" s="67" t="e">
        <f t="shared" ca="1" si="88"/>
        <v>#N/A</v>
      </c>
      <c r="F262" s="67" t="e">
        <f t="shared" ca="1" si="89"/>
        <v>#N/A</v>
      </c>
      <c r="G262" s="67" t="e">
        <f t="shared" ca="1" si="90"/>
        <v>#N/A</v>
      </c>
      <c r="H262" s="67" t="e">
        <f>IF('Demand background (hide)'!AN250&lt;&gt;"",'SPC background (hide)'!C262,NA())</f>
        <v>#N/A</v>
      </c>
      <c r="I262" s="67">
        <f t="shared" ca="1" si="91"/>
        <v>5</v>
      </c>
      <c r="J262" s="5">
        <f t="shared" ca="1" si="92"/>
        <v>0</v>
      </c>
      <c r="K262" s="5">
        <f t="shared" ca="1" si="93"/>
        <v>0</v>
      </c>
      <c r="L262" s="5">
        <f t="shared" ca="1" si="94"/>
        <v>0</v>
      </c>
      <c r="M262" s="5">
        <f t="shared" ca="1" si="95"/>
        <v>0</v>
      </c>
      <c r="N262" s="5">
        <f t="shared" ca="1" si="96"/>
        <v>0</v>
      </c>
      <c r="O262" s="5">
        <f t="shared" ca="1" si="97"/>
        <v>0</v>
      </c>
      <c r="P262" s="5">
        <f t="shared" ca="1" si="98"/>
        <v>0</v>
      </c>
      <c r="Q262" s="5" t="e">
        <f t="shared" ca="1" si="99"/>
        <v>#N/A</v>
      </c>
      <c r="R262" s="5">
        <f t="shared" ca="1" si="104"/>
        <v>0</v>
      </c>
      <c r="S262" s="67" t="e">
        <f t="shared" ca="1" si="105"/>
        <v>#N/A</v>
      </c>
      <c r="T262" s="67">
        <f t="shared" ca="1" si="106"/>
        <v>0</v>
      </c>
      <c r="U262" s="67" t="e">
        <f t="shared" ca="1" si="107"/>
        <v>#N/A</v>
      </c>
      <c r="V262" s="5">
        <f t="shared" ca="1" si="86"/>
        <v>0</v>
      </c>
      <c r="W262" s="5" t="e">
        <f t="shared" ca="1" si="100"/>
        <v>#N/A</v>
      </c>
      <c r="X262" s="67">
        <f t="shared" ca="1" si="101"/>
        <v>0</v>
      </c>
      <c r="Y262" s="67" t="e">
        <f t="shared" ca="1" si="108"/>
        <v>#N/A</v>
      </c>
      <c r="Z262" s="67" t="e">
        <f t="shared" ca="1" si="109"/>
        <v>#N/A</v>
      </c>
      <c r="AA262" s="5" t="str">
        <f>IF(Setup!$I$15="Yes",'Demand background (hide)'!AJ250+'SPC background (hide)'!C262,"")</f>
        <v/>
      </c>
      <c r="AC262" s="5" t="str">
        <f t="shared" ca="1" si="102"/>
        <v/>
      </c>
      <c r="AD262" s="5" t="str">
        <f t="shared" ca="1" si="103"/>
        <v/>
      </c>
    </row>
    <row r="263" spans="1:30" x14ac:dyDescent="0.2">
      <c r="A263" s="67" t="str">
        <f ca="1">Demand!C260</f>
        <v/>
      </c>
      <c r="B263" s="67">
        <v>248</v>
      </c>
      <c r="C263" s="5">
        <f ca="1">'Demand background (hide)'!Y251</f>
        <v>0</v>
      </c>
      <c r="D263" s="67">
        <f t="shared" si="87"/>
        <v>0</v>
      </c>
      <c r="E263" s="67" t="e">
        <f t="shared" ca="1" si="88"/>
        <v>#N/A</v>
      </c>
      <c r="F263" s="67" t="e">
        <f t="shared" ca="1" si="89"/>
        <v>#N/A</v>
      </c>
      <c r="G263" s="67" t="e">
        <f t="shared" ca="1" si="90"/>
        <v>#N/A</v>
      </c>
      <c r="H263" s="67" t="e">
        <f>IF('Demand background (hide)'!AN251&lt;&gt;"",'SPC background (hide)'!C263,NA())</f>
        <v>#N/A</v>
      </c>
      <c r="I263" s="67">
        <f t="shared" ca="1" si="91"/>
        <v>5</v>
      </c>
      <c r="J263" s="5">
        <f t="shared" ca="1" si="92"/>
        <v>0</v>
      </c>
      <c r="K263" s="5">
        <f t="shared" ca="1" si="93"/>
        <v>0</v>
      </c>
      <c r="L263" s="5">
        <f t="shared" ca="1" si="94"/>
        <v>0</v>
      </c>
      <c r="M263" s="5">
        <f t="shared" ca="1" si="95"/>
        <v>0</v>
      </c>
      <c r="N263" s="5">
        <f t="shared" ca="1" si="96"/>
        <v>0</v>
      </c>
      <c r="O263" s="5">
        <f t="shared" ca="1" si="97"/>
        <v>0</v>
      </c>
      <c r="P263" s="5">
        <f t="shared" ca="1" si="98"/>
        <v>0</v>
      </c>
      <c r="Q263" s="5" t="e">
        <f t="shared" ca="1" si="99"/>
        <v>#N/A</v>
      </c>
      <c r="R263" s="5">
        <f t="shared" ca="1" si="104"/>
        <v>0</v>
      </c>
      <c r="S263" s="67" t="e">
        <f t="shared" ca="1" si="105"/>
        <v>#N/A</v>
      </c>
      <c r="T263" s="67">
        <f t="shared" ca="1" si="106"/>
        <v>0</v>
      </c>
      <c r="U263" s="67" t="e">
        <f t="shared" ca="1" si="107"/>
        <v>#N/A</v>
      </c>
      <c r="V263" s="5">
        <f t="shared" ca="1" si="86"/>
        <v>0</v>
      </c>
      <c r="W263" s="5" t="e">
        <f t="shared" ca="1" si="100"/>
        <v>#N/A</v>
      </c>
      <c r="X263" s="67">
        <f t="shared" ca="1" si="101"/>
        <v>0</v>
      </c>
      <c r="Y263" s="67" t="e">
        <f t="shared" ca="1" si="108"/>
        <v>#N/A</v>
      </c>
      <c r="Z263" s="67" t="e">
        <f t="shared" ca="1" si="109"/>
        <v>#N/A</v>
      </c>
      <c r="AA263" s="5" t="str">
        <f>IF(Setup!$I$15="Yes",'Demand background (hide)'!AJ251+'SPC background (hide)'!C263,"")</f>
        <v/>
      </c>
      <c r="AC263" s="5" t="str">
        <f t="shared" ca="1" si="102"/>
        <v/>
      </c>
      <c r="AD263" s="5" t="str">
        <f t="shared" ca="1" si="103"/>
        <v/>
      </c>
    </row>
    <row r="264" spans="1:30" x14ac:dyDescent="0.2">
      <c r="A264" s="67" t="str">
        <f ca="1">Demand!C261</f>
        <v/>
      </c>
      <c r="B264" s="67">
        <v>249</v>
      </c>
      <c r="C264" s="5">
        <f ca="1">'Demand background (hide)'!Y252</f>
        <v>0</v>
      </c>
      <c r="D264" s="67">
        <f t="shared" si="87"/>
        <v>0</v>
      </c>
      <c r="E264" s="67" t="e">
        <f t="shared" ca="1" si="88"/>
        <v>#N/A</v>
      </c>
      <c r="F264" s="67" t="e">
        <f t="shared" ca="1" si="89"/>
        <v>#N/A</v>
      </c>
      <c r="G264" s="67" t="e">
        <f t="shared" ca="1" si="90"/>
        <v>#N/A</v>
      </c>
      <c r="H264" s="67" t="e">
        <f>IF('Demand background (hide)'!AN252&lt;&gt;"",'SPC background (hide)'!C264,NA())</f>
        <v>#N/A</v>
      </c>
      <c r="I264" s="67">
        <f t="shared" ca="1" si="91"/>
        <v>5</v>
      </c>
      <c r="J264" s="5">
        <f t="shared" ca="1" si="92"/>
        <v>0</v>
      </c>
      <c r="K264" s="5">
        <f t="shared" ca="1" si="93"/>
        <v>0</v>
      </c>
      <c r="L264" s="5">
        <f t="shared" ca="1" si="94"/>
        <v>0</v>
      </c>
      <c r="M264" s="5">
        <f t="shared" ca="1" si="95"/>
        <v>0</v>
      </c>
      <c r="N264" s="5">
        <f t="shared" ca="1" si="96"/>
        <v>0</v>
      </c>
      <c r="O264" s="5">
        <f t="shared" ca="1" si="97"/>
        <v>0</v>
      </c>
      <c r="P264" s="5">
        <f t="shared" ca="1" si="98"/>
        <v>0</v>
      </c>
      <c r="Q264" s="5" t="e">
        <f t="shared" ca="1" si="99"/>
        <v>#N/A</v>
      </c>
      <c r="R264" s="5">
        <f t="shared" ca="1" si="104"/>
        <v>0</v>
      </c>
      <c r="S264" s="67" t="e">
        <f t="shared" ca="1" si="105"/>
        <v>#N/A</v>
      </c>
      <c r="T264" s="67">
        <f t="shared" ca="1" si="106"/>
        <v>0</v>
      </c>
      <c r="U264" s="67" t="e">
        <f t="shared" ca="1" si="107"/>
        <v>#N/A</v>
      </c>
      <c r="V264" s="5">
        <f t="shared" ca="1" si="86"/>
        <v>0</v>
      </c>
      <c r="W264" s="5" t="e">
        <f t="shared" ca="1" si="100"/>
        <v>#N/A</v>
      </c>
      <c r="X264" s="67">
        <f t="shared" ca="1" si="101"/>
        <v>0</v>
      </c>
      <c r="Y264" s="67" t="e">
        <f t="shared" ca="1" si="108"/>
        <v>#N/A</v>
      </c>
      <c r="Z264" s="67" t="e">
        <f t="shared" ca="1" si="109"/>
        <v>#N/A</v>
      </c>
      <c r="AA264" s="5" t="str">
        <f>IF(Setup!$I$15="Yes",'Demand background (hide)'!AJ252+'SPC background (hide)'!C264,"")</f>
        <v/>
      </c>
      <c r="AC264" s="5" t="str">
        <f t="shared" ca="1" si="102"/>
        <v/>
      </c>
      <c r="AD264" s="5" t="str">
        <f t="shared" ca="1" si="103"/>
        <v/>
      </c>
    </row>
    <row r="265" spans="1:30" x14ac:dyDescent="0.2">
      <c r="A265" s="67" t="str">
        <f ca="1">Demand!C262</f>
        <v/>
      </c>
      <c r="B265" s="67">
        <v>250</v>
      </c>
      <c r="C265" s="5">
        <f ca="1">'Demand background (hide)'!Y253</f>
        <v>0</v>
      </c>
      <c r="D265" s="67">
        <f t="shared" si="87"/>
        <v>0</v>
      </c>
      <c r="E265" s="67" t="e">
        <f t="shared" ca="1" si="88"/>
        <v>#N/A</v>
      </c>
      <c r="F265" s="67" t="e">
        <f t="shared" ca="1" si="89"/>
        <v>#N/A</v>
      </c>
      <c r="G265" s="67" t="e">
        <f t="shared" ca="1" si="90"/>
        <v>#N/A</v>
      </c>
      <c r="H265" s="67" t="e">
        <f>IF('Demand background (hide)'!AN253&lt;&gt;"",'SPC background (hide)'!C265,NA())</f>
        <v>#N/A</v>
      </c>
      <c r="I265" s="67">
        <f t="shared" ca="1" si="91"/>
        <v>5</v>
      </c>
      <c r="J265" s="5">
        <f t="shared" ca="1" si="92"/>
        <v>0</v>
      </c>
      <c r="K265" s="5">
        <f t="shared" ca="1" si="93"/>
        <v>0</v>
      </c>
      <c r="L265" s="5">
        <f t="shared" ca="1" si="94"/>
        <v>0</v>
      </c>
      <c r="M265" s="5">
        <f t="shared" ca="1" si="95"/>
        <v>0</v>
      </c>
      <c r="N265" s="5">
        <f t="shared" ca="1" si="96"/>
        <v>0</v>
      </c>
      <c r="O265" s="5">
        <f t="shared" ca="1" si="97"/>
        <v>0</v>
      </c>
      <c r="P265" s="5">
        <f t="shared" ca="1" si="98"/>
        <v>0</v>
      </c>
      <c r="Q265" s="5" t="e">
        <f t="shared" ca="1" si="99"/>
        <v>#N/A</v>
      </c>
      <c r="R265" s="5">
        <f t="shared" ca="1" si="104"/>
        <v>0</v>
      </c>
      <c r="S265" s="67" t="e">
        <f t="shared" ca="1" si="105"/>
        <v>#N/A</v>
      </c>
      <c r="T265" s="67">
        <f t="shared" ca="1" si="106"/>
        <v>0</v>
      </c>
      <c r="U265" s="67" t="e">
        <f t="shared" ca="1" si="107"/>
        <v>#N/A</v>
      </c>
      <c r="V265" s="5">
        <f t="shared" ca="1" si="86"/>
        <v>0</v>
      </c>
      <c r="W265" s="5" t="e">
        <f t="shared" ca="1" si="100"/>
        <v>#N/A</v>
      </c>
      <c r="X265" s="67">
        <f t="shared" ca="1" si="101"/>
        <v>0</v>
      </c>
      <c r="Y265" s="67" t="e">
        <f t="shared" ca="1" si="108"/>
        <v>#N/A</v>
      </c>
      <c r="Z265" s="67" t="e">
        <f t="shared" ca="1" si="109"/>
        <v>#N/A</v>
      </c>
      <c r="AA265" s="5" t="str">
        <f>IF(Setup!$I$15="Yes",'Demand background (hide)'!AJ253+'SPC background (hide)'!C265,"")</f>
        <v/>
      </c>
      <c r="AC265" s="5" t="str">
        <f t="shared" ca="1" si="102"/>
        <v/>
      </c>
      <c r="AD265" s="5" t="str">
        <f t="shared" ca="1" si="103"/>
        <v/>
      </c>
    </row>
    <row r="266" spans="1:30" x14ac:dyDescent="0.2">
      <c r="A266" s="67" t="str">
        <f ca="1">Demand!C263</f>
        <v/>
      </c>
      <c r="B266" s="67">
        <v>251</v>
      </c>
      <c r="C266" s="5">
        <f ca="1">'Demand background (hide)'!Y254</f>
        <v>0</v>
      </c>
      <c r="D266" s="67">
        <f t="shared" si="87"/>
        <v>0</v>
      </c>
      <c r="E266" s="67" t="e">
        <f t="shared" ca="1" si="88"/>
        <v>#N/A</v>
      </c>
      <c r="F266" s="67" t="e">
        <f t="shared" ca="1" si="89"/>
        <v>#N/A</v>
      </c>
      <c r="G266" s="67" t="e">
        <f t="shared" ca="1" si="90"/>
        <v>#N/A</v>
      </c>
      <c r="H266" s="67" t="e">
        <f>IF('Demand background (hide)'!AN254&lt;&gt;"",'SPC background (hide)'!C266,NA())</f>
        <v>#N/A</v>
      </c>
      <c r="I266" s="67">
        <f t="shared" ca="1" si="91"/>
        <v>5</v>
      </c>
      <c r="J266" s="5">
        <f t="shared" ca="1" si="92"/>
        <v>0</v>
      </c>
      <c r="K266" s="5">
        <f t="shared" ca="1" si="93"/>
        <v>0</v>
      </c>
      <c r="L266" s="5">
        <f t="shared" ca="1" si="94"/>
        <v>0</v>
      </c>
      <c r="M266" s="5">
        <f t="shared" ca="1" si="95"/>
        <v>0</v>
      </c>
      <c r="N266" s="5">
        <f t="shared" ca="1" si="96"/>
        <v>0</v>
      </c>
      <c r="O266" s="5">
        <f t="shared" ca="1" si="97"/>
        <v>0</v>
      </c>
      <c r="P266" s="5">
        <f t="shared" ca="1" si="98"/>
        <v>0</v>
      </c>
      <c r="Q266" s="5" t="e">
        <f t="shared" ca="1" si="99"/>
        <v>#N/A</v>
      </c>
      <c r="R266" s="5">
        <f t="shared" ca="1" si="104"/>
        <v>0</v>
      </c>
      <c r="S266" s="67" t="e">
        <f t="shared" ca="1" si="105"/>
        <v>#N/A</v>
      </c>
      <c r="T266" s="67">
        <f t="shared" ca="1" si="106"/>
        <v>0</v>
      </c>
      <c r="U266" s="67" t="e">
        <f t="shared" ca="1" si="107"/>
        <v>#N/A</v>
      </c>
      <c r="V266" s="5">
        <f t="shared" ca="1" si="86"/>
        <v>0</v>
      </c>
      <c r="W266" s="5" t="e">
        <f t="shared" ca="1" si="100"/>
        <v>#N/A</v>
      </c>
      <c r="X266" s="67">
        <f t="shared" ca="1" si="101"/>
        <v>0</v>
      </c>
      <c r="Y266" s="67" t="e">
        <f t="shared" ca="1" si="108"/>
        <v>#N/A</v>
      </c>
      <c r="Z266" s="67" t="e">
        <f t="shared" ca="1" si="109"/>
        <v>#N/A</v>
      </c>
      <c r="AA266" s="5" t="str">
        <f>IF(Setup!$I$15="Yes",'Demand background (hide)'!AJ254+'SPC background (hide)'!C266,"")</f>
        <v/>
      </c>
      <c r="AC266" s="5" t="str">
        <f t="shared" ca="1" si="102"/>
        <v/>
      </c>
      <c r="AD266" s="5" t="str">
        <f t="shared" ca="1" si="103"/>
        <v/>
      </c>
    </row>
    <row r="267" spans="1:30" x14ac:dyDescent="0.2">
      <c r="A267" s="67" t="str">
        <f ca="1">Demand!C264</f>
        <v/>
      </c>
      <c r="B267" s="67">
        <v>252</v>
      </c>
      <c r="C267" s="5">
        <f ca="1">'Demand background (hide)'!Y255</f>
        <v>0</v>
      </c>
      <c r="D267" s="67">
        <f t="shared" si="87"/>
        <v>0</v>
      </c>
      <c r="E267" s="67" t="e">
        <f t="shared" ca="1" si="88"/>
        <v>#N/A</v>
      </c>
      <c r="F267" s="67" t="e">
        <f t="shared" ca="1" si="89"/>
        <v>#N/A</v>
      </c>
      <c r="G267" s="67" t="e">
        <f t="shared" ca="1" si="90"/>
        <v>#N/A</v>
      </c>
      <c r="H267" s="67" t="e">
        <f>IF('Demand background (hide)'!AN255&lt;&gt;"",'SPC background (hide)'!C267,NA())</f>
        <v>#N/A</v>
      </c>
      <c r="I267" s="67">
        <f t="shared" ca="1" si="91"/>
        <v>5</v>
      </c>
      <c r="J267" s="5">
        <f t="shared" ca="1" si="92"/>
        <v>0</v>
      </c>
      <c r="K267" s="5">
        <f t="shared" ca="1" si="93"/>
        <v>0</v>
      </c>
      <c r="L267" s="5">
        <f t="shared" ca="1" si="94"/>
        <v>0</v>
      </c>
      <c r="M267" s="5">
        <f t="shared" ca="1" si="95"/>
        <v>0</v>
      </c>
      <c r="N267" s="5">
        <f t="shared" ca="1" si="96"/>
        <v>0</v>
      </c>
      <c r="O267" s="5">
        <f t="shared" ca="1" si="97"/>
        <v>0</v>
      </c>
      <c r="P267" s="5">
        <f t="shared" ca="1" si="98"/>
        <v>0</v>
      </c>
      <c r="Q267" s="5" t="e">
        <f t="shared" ca="1" si="99"/>
        <v>#N/A</v>
      </c>
      <c r="R267" s="5">
        <f t="shared" ca="1" si="104"/>
        <v>0</v>
      </c>
      <c r="S267" s="67" t="e">
        <f t="shared" ca="1" si="105"/>
        <v>#N/A</v>
      </c>
      <c r="T267" s="67">
        <f t="shared" ca="1" si="106"/>
        <v>0</v>
      </c>
      <c r="U267" s="67" t="e">
        <f t="shared" ca="1" si="107"/>
        <v>#N/A</v>
      </c>
      <c r="V267" s="5">
        <f t="shared" ca="1" si="86"/>
        <v>0</v>
      </c>
      <c r="W267" s="5" t="e">
        <f t="shared" ca="1" si="100"/>
        <v>#N/A</v>
      </c>
      <c r="X267" s="67">
        <f t="shared" ca="1" si="101"/>
        <v>0</v>
      </c>
      <c r="Y267" s="67" t="e">
        <f t="shared" ca="1" si="108"/>
        <v>#N/A</v>
      </c>
      <c r="Z267" s="67" t="e">
        <f t="shared" ca="1" si="109"/>
        <v>#N/A</v>
      </c>
      <c r="AA267" s="5" t="str">
        <f>IF(Setup!$I$15="Yes",'Demand background (hide)'!AJ255+'SPC background (hide)'!C267,"")</f>
        <v/>
      </c>
      <c r="AC267" s="5" t="str">
        <f t="shared" ca="1" si="102"/>
        <v/>
      </c>
      <c r="AD267" s="5" t="str">
        <f t="shared" ca="1" si="103"/>
        <v/>
      </c>
    </row>
    <row r="268" spans="1:30" x14ac:dyDescent="0.2">
      <c r="A268" s="67" t="str">
        <f ca="1">Demand!C265</f>
        <v/>
      </c>
      <c r="B268" s="67">
        <v>253</v>
      </c>
      <c r="C268" s="5">
        <f ca="1">'Demand background (hide)'!Y256</f>
        <v>0</v>
      </c>
      <c r="D268" s="67">
        <f t="shared" si="87"/>
        <v>0</v>
      </c>
      <c r="E268" s="67" t="e">
        <f t="shared" ca="1" si="88"/>
        <v>#N/A</v>
      </c>
      <c r="F268" s="67" t="e">
        <f t="shared" ca="1" si="89"/>
        <v>#N/A</v>
      </c>
      <c r="G268" s="67" t="e">
        <f t="shared" ca="1" si="90"/>
        <v>#N/A</v>
      </c>
      <c r="H268" s="67" t="e">
        <f>IF('Demand background (hide)'!AN256&lt;&gt;"",'SPC background (hide)'!C268,NA())</f>
        <v>#N/A</v>
      </c>
      <c r="I268" s="67">
        <f t="shared" ca="1" si="91"/>
        <v>5</v>
      </c>
      <c r="J268" s="5">
        <f t="shared" ca="1" si="92"/>
        <v>0</v>
      </c>
      <c r="K268" s="5">
        <f t="shared" ca="1" si="93"/>
        <v>0</v>
      </c>
      <c r="L268" s="5">
        <f t="shared" ca="1" si="94"/>
        <v>0</v>
      </c>
      <c r="M268" s="5">
        <f t="shared" ca="1" si="95"/>
        <v>0</v>
      </c>
      <c r="N268" s="5">
        <f t="shared" ca="1" si="96"/>
        <v>0</v>
      </c>
      <c r="O268" s="5">
        <f t="shared" ca="1" si="97"/>
        <v>0</v>
      </c>
      <c r="P268" s="5">
        <f t="shared" ca="1" si="98"/>
        <v>0</v>
      </c>
      <c r="Q268" s="5" t="e">
        <f t="shared" ca="1" si="99"/>
        <v>#N/A</v>
      </c>
      <c r="R268" s="5">
        <f t="shared" ca="1" si="104"/>
        <v>0</v>
      </c>
      <c r="S268" s="67" t="e">
        <f t="shared" ca="1" si="105"/>
        <v>#N/A</v>
      </c>
      <c r="T268" s="67">
        <f t="shared" ca="1" si="106"/>
        <v>0</v>
      </c>
      <c r="U268" s="67" t="e">
        <f t="shared" ca="1" si="107"/>
        <v>#N/A</v>
      </c>
      <c r="V268" s="5">
        <f t="shared" ca="1" si="86"/>
        <v>0</v>
      </c>
      <c r="W268" s="5" t="e">
        <f t="shared" ca="1" si="100"/>
        <v>#N/A</v>
      </c>
      <c r="X268" s="67">
        <f t="shared" ca="1" si="101"/>
        <v>0</v>
      </c>
      <c r="Y268" s="67" t="e">
        <f t="shared" ca="1" si="108"/>
        <v>#N/A</v>
      </c>
      <c r="Z268" s="67" t="e">
        <f t="shared" ca="1" si="109"/>
        <v>#N/A</v>
      </c>
      <c r="AA268" s="5" t="str">
        <f>IF(Setup!$I$15="Yes",'Demand background (hide)'!AJ256+'SPC background (hide)'!C268,"")</f>
        <v/>
      </c>
      <c r="AC268" s="5" t="str">
        <f t="shared" ca="1" si="102"/>
        <v/>
      </c>
      <c r="AD268" s="5" t="str">
        <f t="shared" ca="1" si="103"/>
        <v/>
      </c>
    </row>
    <row r="269" spans="1:30" x14ac:dyDescent="0.2">
      <c r="A269" s="67" t="str">
        <f ca="1">Demand!C266</f>
        <v/>
      </c>
      <c r="B269" s="67">
        <v>254</v>
      </c>
      <c r="C269" s="5">
        <f ca="1">'Demand background (hide)'!Y257</f>
        <v>0</v>
      </c>
      <c r="D269" s="67">
        <f t="shared" si="87"/>
        <v>0</v>
      </c>
      <c r="E269" s="67" t="e">
        <f t="shared" ca="1" si="88"/>
        <v>#N/A</v>
      </c>
      <c r="F269" s="67" t="e">
        <f t="shared" ca="1" si="89"/>
        <v>#N/A</v>
      </c>
      <c r="G269" s="67" t="e">
        <f t="shared" ca="1" si="90"/>
        <v>#N/A</v>
      </c>
      <c r="H269" s="67" t="e">
        <f>IF('Demand background (hide)'!AN257&lt;&gt;"",'SPC background (hide)'!C269,NA())</f>
        <v>#N/A</v>
      </c>
      <c r="I269" s="67">
        <f t="shared" ca="1" si="91"/>
        <v>5</v>
      </c>
      <c r="J269" s="5">
        <f t="shared" ca="1" si="92"/>
        <v>0</v>
      </c>
      <c r="K269" s="5">
        <f t="shared" ca="1" si="93"/>
        <v>0</v>
      </c>
      <c r="L269" s="5">
        <f t="shared" ca="1" si="94"/>
        <v>0</v>
      </c>
      <c r="M269" s="5">
        <f t="shared" ca="1" si="95"/>
        <v>0</v>
      </c>
      <c r="N269" s="5">
        <f t="shared" ca="1" si="96"/>
        <v>0</v>
      </c>
      <c r="O269" s="5">
        <f t="shared" ca="1" si="97"/>
        <v>0</v>
      </c>
      <c r="P269" s="5">
        <f t="shared" ca="1" si="98"/>
        <v>0</v>
      </c>
      <c r="Q269" s="5" t="e">
        <f t="shared" ca="1" si="99"/>
        <v>#N/A</v>
      </c>
      <c r="R269" s="5">
        <f t="shared" ca="1" si="104"/>
        <v>0</v>
      </c>
      <c r="S269" s="67" t="e">
        <f t="shared" ca="1" si="105"/>
        <v>#N/A</v>
      </c>
      <c r="T269" s="67">
        <f t="shared" ca="1" si="106"/>
        <v>0</v>
      </c>
      <c r="U269" s="67" t="e">
        <f t="shared" ca="1" si="107"/>
        <v>#N/A</v>
      </c>
      <c r="V269" s="5">
        <f t="shared" ca="1" si="86"/>
        <v>0</v>
      </c>
      <c r="W269" s="5" t="e">
        <f t="shared" ca="1" si="100"/>
        <v>#N/A</v>
      </c>
      <c r="X269" s="67">
        <f t="shared" ca="1" si="101"/>
        <v>0</v>
      </c>
      <c r="Y269" s="67" t="e">
        <f t="shared" ca="1" si="108"/>
        <v>#N/A</v>
      </c>
      <c r="Z269" s="67" t="e">
        <f t="shared" ca="1" si="109"/>
        <v>#N/A</v>
      </c>
      <c r="AA269" s="5" t="str">
        <f>IF(Setup!$I$15="Yes",'Demand background (hide)'!AJ257+'SPC background (hide)'!C269,"")</f>
        <v/>
      </c>
      <c r="AC269" s="5" t="str">
        <f t="shared" ca="1" si="102"/>
        <v/>
      </c>
      <c r="AD269" s="5" t="str">
        <f t="shared" ca="1" si="103"/>
        <v/>
      </c>
    </row>
    <row r="270" spans="1:30" x14ac:dyDescent="0.2">
      <c r="A270" s="67" t="str">
        <f ca="1">Demand!C267</f>
        <v/>
      </c>
      <c r="B270" s="67">
        <v>255</v>
      </c>
      <c r="C270" s="5">
        <f ca="1">'Demand background (hide)'!Y258</f>
        <v>0</v>
      </c>
      <c r="D270" s="67">
        <f t="shared" si="87"/>
        <v>0</v>
      </c>
      <c r="E270" s="67" t="e">
        <f t="shared" ca="1" si="88"/>
        <v>#N/A</v>
      </c>
      <c r="F270" s="67" t="e">
        <f t="shared" ca="1" si="89"/>
        <v>#N/A</v>
      </c>
      <c r="G270" s="67" t="e">
        <f t="shared" ca="1" si="90"/>
        <v>#N/A</v>
      </c>
      <c r="H270" s="67" t="e">
        <f>IF('Demand background (hide)'!AN258&lt;&gt;"",'SPC background (hide)'!C270,NA())</f>
        <v>#N/A</v>
      </c>
      <c r="I270" s="67">
        <f t="shared" ca="1" si="91"/>
        <v>5</v>
      </c>
      <c r="J270" s="5">
        <f t="shared" ca="1" si="92"/>
        <v>0</v>
      </c>
      <c r="K270" s="5">
        <f t="shared" ca="1" si="93"/>
        <v>0</v>
      </c>
      <c r="L270" s="5">
        <f t="shared" ca="1" si="94"/>
        <v>0</v>
      </c>
      <c r="M270" s="5">
        <f t="shared" ca="1" si="95"/>
        <v>0</v>
      </c>
      <c r="N270" s="5">
        <f t="shared" ca="1" si="96"/>
        <v>0</v>
      </c>
      <c r="O270" s="5">
        <f t="shared" ca="1" si="97"/>
        <v>0</v>
      </c>
      <c r="P270" s="5">
        <f t="shared" ca="1" si="98"/>
        <v>0</v>
      </c>
      <c r="Q270" s="5" t="e">
        <f t="shared" ca="1" si="99"/>
        <v>#N/A</v>
      </c>
      <c r="R270" s="5">
        <f t="shared" ca="1" si="104"/>
        <v>0</v>
      </c>
      <c r="S270" s="67" t="e">
        <f t="shared" ca="1" si="105"/>
        <v>#N/A</v>
      </c>
      <c r="T270" s="67">
        <f t="shared" ca="1" si="106"/>
        <v>0</v>
      </c>
      <c r="U270" s="67" t="e">
        <f t="shared" ca="1" si="107"/>
        <v>#N/A</v>
      </c>
      <c r="V270" s="5">
        <f t="shared" ca="1" si="86"/>
        <v>0</v>
      </c>
      <c r="W270" s="5" t="e">
        <f t="shared" ca="1" si="100"/>
        <v>#N/A</v>
      </c>
      <c r="X270" s="67">
        <f t="shared" ca="1" si="101"/>
        <v>0</v>
      </c>
      <c r="Y270" s="67" t="e">
        <f t="shared" ca="1" si="108"/>
        <v>#N/A</v>
      </c>
      <c r="Z270" s="67" t="e">
        <f t="shared" ca="1" si="109"/>
        <v>#N/A</v>
      </c>
      <c r="AA270" s="5" t="str">
        <f>IF(Setup!$I$15="Yes",'Demand background (hide)'!AJ258+'SPC background (hide)'!C270,"")</f>
        <v/>
      </c>
      <c r="AC270" s="5" t="str">
        <f t="shared" ca="1" si="102"/>
        <v/>
      </c>
      <c r="AD270" s="5" t="str">
        <f t="shared" ca="1" si="103"/>
        <v/>
      </c>
    </row>
    <row r="271" spans="1:30" x14ac:dyDescent="0.2">
      <c r="A271" s="67" t="str">
        <f ca="1">Demand!C268</f>
        <v/>
      </c>
      <c r="B271" s="67">
        <v>256</v>
      </c>
      <c r="C271" s="5">
        <f ca="1">'Demand background (hide)'!Y259</f>
        <v>0</v>
      </c>
      <c r="D271" s="67">
        <f t="shared" si="87"/>
        <v>0</v>
      </c>
      <c r="E271" s="67" t="e">
        <f t="shared" ca="1" si="88"/>
        <v>#N/A</v>
      </c>
      <c r="F271" s="67" t="e">
        <f t="shared" ca="1" si="89"/>
        <v>#N/A</v>
      </c>
      <c r="G271" s="67" t="e">
        <f t="shared" ca="1" si="90"/>
        <v>#N/A</v>
      </c>
      <c r="H271" s="67" t="e">
        <f>IF('Demand background (hide)'!AN259&lt;&gt;"",'SPC background (hide)'!C271,NA())</f>
        <v>#N/A</v>
      </c>
      <c r="I271" s="67">
        <f t="shared" ca="1" si="91"/>
        <v>5</v>
      </c>
      <c r="J271" s="5">
        <f t="shared" ca="1" si="92"/>
        <v>0</v>
      </c>
      <c r="K271" s="5">
        <f t="shared" ca="1" si="93"/>
        <v>0</v>
      </c>
      <c r="L271" s="5">
        <f t="shared" ca="1" si="94"/>
        <v>0</v>
      </c>
      <c r="M271" s="5">
        <f t="shared" ca="1" si="95"/>
        <v>0</v>
      </c>
      <c r="N271" s="5">
        <f t="shared" ca="1" si="96"/>
        <v>0</v>
      </c>
      <c r="O271" s="5">
        <f t="shared" ca="1" si="97"/>
        <v>0</v>
      </c>
      <c r="P271" s="5">
        <f t="shared" ca="1" si="98"/>
        <v>0</v>
      </c>
      <c r="Q271" s="5" t="e">
        <f t="shared" ca="1" si="99"/>
        <v>#N/A</v>
      </c>
      <c r="R271" s="5">
        <f t="shared" ca="1" si="104"/>
        <v>0</v>
      </c>
      <c r="S271" s="67" t="e">
        <f t="shared" ca="1" si="105"/>
        <v>#N/A</v>
      </c>
      <c r="T271" s="67">
        <f t="shared" ca="1" si="106"/>
        <v>0</v>
      </c>
      <c r="U271" s="67" t="e">
        <f t="shared" ca="1" si="107"/>
        <v>#N/A</v>
      </c>
      <c r="V271" s="5">
        <f t="shared" ca="1" si="86"/>
        <v>0</v>
      </c>
      <c r="W271" s="5" t="e">
        <f t="shared" ca="1" si="100"/>
        <v>#N/A</v>
      </c>
      <c r="X271" s="67">
        <f t="shared" ca="1" si="101"/>
        <v>0</v>
      </c>
      <c r="Y271" s="67" t="e">
        <f t="shared" ca="1" si="108"/>
        <v>#N/A</v>
      </c>
      <c r="Z271" s="67" t="e">
        <f t="shared" ca="1" si="109"/>
        <v>#N/A</v>
      </c>
      <c r="AA271" s="5" t="str">
        <f>IF(Setup!$I$15="Yes",'Demand background (hide)'!AJ259+'SPC background (hide)'!C271,"")</f>
        <v/>
      </c>
      <c r="AC271" s="5" t="str">
        <f t="shared" ca="1" si="102"/>
        <v/>
      </c>
      <c r="AD271" s="5" t="str">
        <f t="shared" ca="1" si="103"/>
        <v/>
      </c>
    </row>
    <row r="272" spans="1:30" x14ac:dyDescent="0.2">
      <c r="A272" s="67" t="str">
        <f ca="1">Demand!C269</f>
        <v/>
      </c>
      <c r="B272" s="67">
        <v>257</v>
      </c>
      <c r="C272" s="5">
        <f ca="1">'Demand background (hide)'!Y260</f>
        <v>0</v>
      </c>
      <c r="D272" s="67">
        <f t="shared" si="87"/>
        <v>0</v>
      </c>
      <c r="E272" s="67" t="e">
        <f t="shared" ca="1" si="88"/>
        <v>#N/A</v>
      </c>
      <c r="F272" s="67" t="e">
        <f t="shared" ca="1" si="89"/>
        <v>#N/A</v>
      </c>
      <c r="G272" s="67" t="e">
        <f t="shared" ca="1" si="90"/>
        <v>#N/A</v>
      </c>
      <c r="H272" s="67" t="e">
        <f>IF('Demand background (hide)'!AN260&lt;&gt;"",'SPC background (hide)'!C272,NA())</f>
        <v>#N/A</v>
      </c>
      <c r="I272" s="67">
        <f t="shared" ca="1" si="91"/>
        <v>5</v>
      </c>
      <c r="J272" s="5">
        <f t="shared" ca="1" si="92"/>
        <v>0</v>
      </c>
      <c r="K272" s="5">
        <f t="shared" ca="1" si="93"/>
        <v>0</v>
      </c>
      <c r="L272" s="5">
        <f t="shared" ca="1" si="94"/>
        <v>0</v>
      </c>
      <c r="M272" s="5">
        <f t="shared" ca="1" si="95"/>
        <v>0</v>
      </c>
      <c r="N272" s="5">
        <f t="shared" ca="1" si="96"/>
        <v>0</v>
      </c>
      <c r="O272" s="5">
        <f t="shared" ca="1" si="97"/>
        <v>0</v>
      </c>
      <c r="P272" s="5">
        <f t="shared" ca="1" si="98"/>
        <v>0</v>
      </c>
      <c r="Q272" s="5" t="e">
        <f t="shared" ca="1" si="99"/>
        <v>#N/A</v>
      </c>
      <c r="R272" s="5">
        <f t="shared" ca="1" si="104"/>
        <v>0</v>
      </c>
      <c r="S272" s="67" t="e">
        <f t="shared" ca="1" si="105"/>
        <v>#N/A</v>
      </c>
      <c r="T272" s="67">
        <f t="shared" ca="1" si="106"/>
        <v>0</v>
      </c>
      <c r="U272" s="67" t="e">
        <f t="shared" ca="1" si="107"/>
        <v>#N/A</v>
      </c>
      <c r="V272" s="5">
        <f t="shared" ca="1" si="86"/>
        <v>0</v>
      </c>
      <c r="W272" s="5" t="e">
        <f t="shared" ca="1" si="100"/>
        <v>#N/A</v>
      </c>
      <c r="X272" s="67">
        <f t="shared" ca="1" si="101"/>
        <v>0</v>
      </c>
      <c r="Y272" s="67" t="e">
        <f t="shared" ca="1" si="108"/>
        <v>#N/A</v>
      </c>
      <c r="Z272" s="67" t="e">
        <f t="shared" ca="1" si="109"/>
        <v>#N/A</v>
      </c>
      <c r="AA272" s="5" t="str">
        <f>IF(Setup!$I$15="Yes",'Demand background (hide)'!AJ260+'SPC background (hide)'!C272,"")</f>
        <v/>
      </c>
      <c r="AC272" s="5" t="str">
        <f t="shared" ca="1" si="102"/>
        <v/>
      </c>
      <c r="AD272" s="5" t="str">
        <f t="shared" ca="1" si="103"/>
        <v/>
      </c>
    </row>
    <row r="273" spans="1:30" x14ac:dyDescent="0.2">
      <c r="A273" s="67" t="str">
        <f ca="1">Demand!C270</f>
        <v/>
      </c>
      <c r="B273" s="67">
        <v>258</v>
      </c>
      <c r="C273" s="5">
        <f ca="1">'Demand background (hide)'!Y261</f>
        <v>0</v>
      </c>
      <c r="D273" s="67">
        <f t="shared" ref="D273:D275" si="110">IF(AND($B273&gt;=$C$4,$B273&lt;=$D$5+$C$5-1),1,0)</f>
        <v>0</v>
      </c>
      <c r="E273" s="67" t="e">
        <f t="shared" ref="E273:E275" ca="1" si="111">IF(AND($B273&gt;=$D$6,$B273&lt;=$D$7+$C$7-1),1,0)</f>
        <v>#N/A</v>
      </c>
      <c r="F273" s="67" t="e">
        <f t="shared" ref="F273:F275" ca="1" si="112">IF(AND($B273&gt;=$D$8,$B273&lt;=$D$9+$C$9-1),1,0)</f>
        <v>#N/A</v>
      </c>
      <c r="G273" s="67" t="e">
        <f t="shared" ref="G273:G275" ca="1" si="113">IF(AND($B273&gt;=$D$10,$B273&lt;=$D$11+$C$11-1),1,0)</f>
        <v>#N/A</v>
      </c>
      <c r="H273" s="67" t="e">
        <f>IF('Demand background (hide)'!AN261&lt;&gt;"",'SPC background (hide)'!C273,NA())</f>
        <v>#N/A</v>
      </c>
      <c r="I273" s="67">
        <f t="shared" ref="I273:I275" ca="1" si="114">VLOOKUP(A273,$AG$2:$AI$54,3,0)</f>
        <v>5</v>
      </c>
      <c r="J273" s="5">
        <f t="shared" ref="J273:J275" ca="1" si="115">VLOOKUP($A273,$AG$2:$AQ$54,COLUMN(E$1),0)</f>
        <v>0</v>
      </c>
      <c r="K273" s="5">
        <f t="shared" ref="K273:K275" ca="1" si="116">VLOOKUP($A273,$AG$2:$AQ$54,COLUMN(F$1),0)</f>
        <v>0</v>
      </c>
      <c r="L273" s="5">
        <f t="shared" ref="L273:L275" ca="1" si="117">VLOOKUP($A273,$AG$2:$AQ$54,COLUMN(G$1),0)</f>
        <v>0</v>
      </c>
      <c r="M273" s="5">
        <f t="shared" ref="M273:M275" ca="1" si="118">VLOOKUP($A273,$AG$2:$AQ$54,COLUMN(H$1),0)</f>
        <v>0</v>
      </c>
      <c r="N273" s="5">
        <f t="shared" ref="N273:N275" ca="1" si="119">VLOOKUP($A273,$AG$2:$AQ$54,COLUMN(I$1),0)</f>
        <v>0</v>
      </c>
      <c r="O273" s="5">
        <f t="shared" ref="O273:O275" ca="1" si="120">VLOOKUP($A273,$AG$2:$AQ$54,COLUMN(J$1),0)</f>
        <v>0</v>
      </c>
      <c r="P273" s="5">
        <f t="shared" ref="P273:P275" ca="1" si="121">VLOOKUP($A273,$AG$2:$AQ$54,COLUMN(K$1),0)</f>
        <v>0</v>
      </c>
      <c r="Q273" s="5" t="e">
        <f t="shared" ref="Q273:Q275" ca="1" si="122">IF(ISNA(H273)=TRUE,IF(OR(C273&gt;P273,C273&lt;J273),C273,NA()),NA())</f>
        <v>#N/A</v>
      </c>
      <c r="R273" s="5">
        <f t="shared" ca="1" si="104"/>
        <v>0</v>
      </c>
      <c r="S273" s="67" t="e">
        <f t="shared" ca="1" si="105"/>
        <v>#N/A</v>
      </c>
      <c r="T273" s="67">
        <f t="shared" ca="1" si="106"/>
        <v>0</v>
      </c>
      <c r="U273" s="67" t="e">
        <f t="shared" ca="1" si="107"/>
        <v>#N/A</v>
      </c>
      <c r="V273" s="5">
        <f t="shared" ca="1" si="86"/>
        <v>0</v>
      </c>
      <c r="W273" s="5" t="e">
        <f t="shared" ref="W273:W275" ca="1" si="123">IF(ISNA(H273)=TRUE,IF(ABS(SUM(V273:V281))=9,C273,NA()),NA())</f>
        <v>#N/A</v>
      </c>
      <c r="X273" s="67">
        <f t="shared" ca="1" si="101"/>
        <v>0</v>
      </c>
      <c r="Y273" s="67" t="e">
        <f t="shared" ca="1" si="108"/>
        <v>#N/A</v>
      </c>
      <c r="Z273" s="67" t="e">
        <f t="shared" ca="1" si="109"/>
        <v>#N/A</v>
      </c>
      <c r="AA273" s="5" t="str">
        <f>IF(Setup!$I$15="Yes",'Demand background (hide)'!AJ261+'SPC background (hide)'!C273,"")</f>
        <v/>
      </c>
      <c r="AC273" s="5" t="str">
        <f t="shared" ref="AC273:AC275" ca="1" si="124">VLOOKUP($A273,$AG$2:$AS$54,12,0)</f>
        <v/>
      </c>
      <c r="AD273" s="5" t="str">
        <f t="shared" ref="AD273:AD275" ca="1" si="125">VLOOKUP($A273,$AG$2:$AS$54,13,0)</f>
        <v/>
      </c>
    </row>
    <row r="274" spans="1:30" x14ac:dyDescent="0.2">
      <c r="A274" s="67" t="str">
        <f ca="1">Demand!C271</f>
        <v/>
      </c>
      <c r="B274" s="67">
        <v>259</v>
      </c>
      <c r="C274" s="5">
        <f ca="1">'Demand background (hide)'!Y262</f>
        <v>0</v>
      </c>
      <c r="D274" s="67">
        <f t="shared" si="110"/>
        <v>0</v>
      </c>
      <c r="E274" s="67" t="e">
        <f t="shared" ca="1" si="111"/>
        <v>#N/A</v>
      </c>
      <c r="F274" s="67" t="e">
        <f t="shared" ca="1" si="112"/>
        <v>#N/A</v>
      </c>
      <c r="G274" s="67" t="e">
        <f t="shared" ca="1" si="113"/>
        <v>#N/A</v>
      </c>
      <c r="H274" s="67" t="e">
        <f>IF('Demand background (hide)'!AN262&lt;&gt;"",'SPC background (hide)'!C274,NA())</f>
        <v>#N/A</v>
      </c>
      <c r="I274" s="67">
        <f t="shared" ca="1" si="114"/>
        <v>5</v>
      </c>
      <c r="J274" s="5">
        <f t="shared" ca="1" si="115"/>
        <v>0</v>
      </c>
      <c r="K274" s="5">
        <f t="shared" ca="1" si="116"/>
        <v>0</v>
      </c>
      <c r="L274" s="5">
        <f t="shared" ca="1" si="117"/>
        <v>0</v>
      </c>
      <c r="M274" s="5">
        <f t="shared" ca="1" si="118"/>
        <v>0</v>
      </c>
      <c r="N274" s="5">
        <f t="shared" ca="1" si="119"/>
        <v>0</v>
      </c>
      <c r="O274" s="5">
        <f t="shared" ca="1" si="120"/>
        <v>0</v>
      </c>
      <c r="P274" s="5">
        <f t="shared" ca="1" si="121"/>
        <v>0</v>
      </c>
      <c r="Q274" s="5" t="e">
        <f t="shared" ca="1" si="122"/>
        <v>#N/A</v>
      </c>
      <c r="R274" s="5">
        <f t="shared" ref="R274:R275" ca="1" si="126">IF(C274&gt;O274,2,IF(C274&lt;K274,-2,IF(C274&gt;M274,1,IF(C274&lt;M274,-1,0))))</f>
        <v>0</v>
      </c>
      <c r="S274" s="67" t="e">
        <f t="shared" ref="S274:S275" ca="1" si="127">IF(ISNA(H274),IF(ABS(SUM(R274:R276))&gt;=5,C274,NA()),NA())</f>
        <v>#N/A</v>
      </c>
      <c r="T274" s="67">
        <f t="shared" ref="T274:T275" ca="1" si="128">IF(C274&gt;N274,2,IF(C274&lt;L274,-2,IF(C274&gt;M274,1,IF(C274&lt;M274,-1,0))))</f>
        <v>0</v>
      </c>
      <c r="U274" s="67" t="e">
        <f t="shared" ref="U274:U275" ca="1" si="129">IF(ISNA(H274)=TRUE,IF(ABS(SUM(T274:T278))&gt;=9,C274,NA()),NA())</f>
        <v>#N/A</v>
      </c>
      <c r="V274" s="5">
        <f t="shared" ca="1" si="86"/>
        <v>0</v>
      </c>
      <c r="W274" s="5" t="e">
        <f t="shared" ca="1" si="123"/>
        <v>#N/A</v>
      </c>
      <c r="X274" s="67">
        <f t="shared" ca="1" si="101"/>
        <v>0</v>
      </c>
      <c r="Y274" s="67" t="e">
        <f t="shared" ref="Y274:Y275" ca="1" si="130">IF(ISNA(H274)=TRUE,IF(ABS(SUM(X274:X279))=6,C274,NA()),NA())</f>
        <v>#N/A</v>
      </c>
      <c r="Z274" s="67" t="e">
        <f t="shared" ref="Z274:Z275" ca="1" si="131">IF(ISNA(H274)=TRUE,IF(AND(ABS(SUM(T274:T281))=8,SUM(T274:T281)&lt;ABS(SUM(T274:T281))),C274,NA()),NA())</f>
        <v>#N/A</v>
      </c>
      <c r="AA274" s="5" t="str">
        <f>IF(Setup!$I$15="Yes",'Demand background (hide)'!AJ262+'SPC background (hide)'!C274,"")</f>
        <v/>
      </c>
      <c r="AC274" s="5" t="str">
        <f t="shared" ca="1" si="124"/>
        <v/>
      </c>
      <c r="AD274" s="5" t="str">
        <f t="shared" ca="1" si="125"/>
        <v/>
      </c>
    </row>
    <row r="275" spans="1:30" x14ac:dyDescent="0.2">
      <c r="A275" s="67" t="str">
        <f ca="1">Demand!C272</f>
        <v/>
      </c>
      <c r="B275" s="67">
        <v>260</v>
      </c>
      <c r="C275" s="5">
        <f ca="1">'Demand background (hide)'!Y263</f>
        <v>0</v>
      </c>
      <c r="D275" s="67">
        <f t="shared" si="110"/>
        <v>0</v>
      </c>
      <c r="E275" s="67" t="e">
        <f t="shared" ca="1" si="111"/>
        <v>#N/A</v>
      </c>
      <c r="F275" s="67" t="e">
        <f t="shared" ca="1" si="112"/>
        <v>#N/A</v>
      </c>
      <c r="G275" s="67" t="e">
        <f t="shared" ca="1" si="113"/>
        <v>#N/A</v>
      </c>
      <c r="H275" s="67" t="e">
        <f>IF('Demand background (hide)'!AN263&lt;&gt;"",'SPC background (hide)'!C275,NA())</f>
        <v>#N/A</v>
      </c>
      <c r="I275" s="67">
        <f t="shared" ca="1" si="114"/>
        <v>5</v>
      </c>
      <c r="J275" s="5">
        <f t="shared" ca="1" si="115"/>
        <v>0</v>
      </c>
      <c r="K275" s="5">
        <f t="shared" ca="1" si="116"/>
        <v>0</v>
      </c>
      <c r="L275" s="5">
        <f t="shared" ca="1" si="117"/>
        <v>0</v>
      </c>
      <c r="M275" s="5">
        <f t="shared" ca="1" si="118"/>
        <v>0</v>
      </c>
      <c r="N275" s="5">
        <f t="shared" ca="1" si="119"/>
        <v>0</v>
      </c>
      <c r="O275" s="5">
        <f t="shared" ca="1" si="120"/>
        <v>0</v>
      </c>
      <c r="P275" s="5">
        <f t="shared" ca="1" si="121"/>
        <v>0</v>
      </c>
      <c r="Q275" s="5" t="e">
        <f t="shared" ca="1" si="122"/>
        <v>#N/A</v>
      </c>
      <c r="R275" s="5">
        <f t="shared" ca="1" si="126"/>
        <v>0</v>
      </c>
      <c r="S275" s="67" t="e">
        <f t="shared" ca="1" si="127"/>
        <v>#N/A</v>
      </c>
      <c r="T275" s="67">
        <f t="shared" ca="1" si="128"/>
        <v>0</v>
      </c>
      <c r="U275" s="67" t="e">
        <f t="shared" ca="1" si="129"/>
        <v>#N/A</v>
      </c>
      <c r="V275" s="5">
        <f t="shared" ca="1" si="86"/>
        <v>0</v>
      </c>
      <c r="W275" s="5" t="e">
        <f t="shared" ca="1" si="123"/>
        <v>#N/A</v>
      </c>
      <c r="X275" s="67">
        <f t="shared" ca="1" si="101"/>
        <v>0</v>
      </c>
      <c r="Y275" s="67" t="e">
        <f t="shared" ca="1" si="130"/>
        <v>#N/A</v>
      </c>
      <c r="Z275" s="67" t="e">
        <f t="shared" ca="1" si="131"/>
        <v>#N/A</v>
      </c>
      <c r="AA275" s="5" t="str">
        <f>IF(Setup!$I$15="Yes",'Demand background (hide)'!AJ263+'SPC background (hide)'!C275,"")</f>
        <v/>
      </c>
      <c r="AC275" s="5" t="str">
        <f t="shared" ca="1" si="124"/>
        <v/>
      </c>
      <c r="AD275" s="5" t="str">
        <f t="shared" ca="1" si="125"/>
        <v/>
      </c>
    </row>
  </sheetData>
  <pageMargins left="0.7" right="0.7" top="0.75" bottom="0.75" header="0.3" footer="0.3"/>
  <pageSetup paperSize="9" orientation="portrait" horizontalDpi="90" verticalDpi="9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B13" sqref="B13"/>
    </sheetView>
  </sheetViews>
  <sheetFormatPr defaultRowHeight="14.25" x14ac:dyDescent="0.2"/>
  <cols>
    <col min="1" max="1" width="9" hidden="1" customWidth="1"/>
    <col min="2" max="2" width="12.625" bestFit="1" customWidth="1"/>
    <col min="3" max="3" width="13" customWidth="1"/>
    <col min="4" max="4" width="9.75" hidden="1" customWidth="1"/>
    <col min="5" max="14" width="13.125" hidden="1" customWidth="1"/>
    <col min="15" max="15" width="18.75" customWidth="1"/>
    <col min="17" max="18" width="9" customWidth="1"/>
    <col min="20" max="20" width="9.75" bestFit="1" customWidth="1"/>
  </cols>
  <sheetData>
    <row r="1" spans="1:20" x14ac:dyDescent="0.2">
      <c r="A1" t="s">
        <v>53</v>
      </c>
    </row>
    <row r="2" spans="1:20" x14ac:dyDescent="0.2">
      <c r="B2" t="s">
        <v>224</v>
      </c>
    </row>
    <row r="3" spans="1:20" x14ac:dyDescent="0.2">
      <c r="A3" t="s">
        <v>55</v>
      </c>
      <c r="B3" t="s">
        <v>225</v>
      </c>
    </row>
    <row r="5" spans="1:20" x14ac:dyDescent="0.2">
      <c r="A5" t="s">
        <v>54</v>
      </c>
    </row>
    <row r="6" spans="1:20" x14ac:dyDescent="0.2">
      <c r="A6">
        <f ca="1">MAX(A13:A272)</f>
        <v>7</v>
      </c>
      <c r="B6" t="s">
        <v>217</v>
      </c>
      <c r="C6" s="407" t="s">
        <v>24</v>
      </c>
      <c r="D6" s="409"/>
    </row>
    <row r="8" spans="1:20" x14ac:dyDescent="0.2">
      <c r="B8" t="s">
        <v>218</v>
      </c>
      <c r="C8" s="210"/>
    </row>
    <row r="10" spans="1:20" ht="13.9" customHeight="1" x14ac:dyDescent="0.2">
      <c r="B10" s="413" t="s">
        <v>128</v>
      </c>
      <c r="C10" s="413" t="s">
        <v>56</v>
      </c>
      <c r="D10" s="413" t="s">
        <v>1</v>
      </c>
      <c r="E10" s="266" t="str">
        <f ca="1">OFFSET('Control sheet (hide)'!$AA$3,COLUMN(A1)-1,0,1,1)</f>
        <v>Test name 1</v>
      </c>
      <c r="F10" s="266" t="str">
        <f ca="1">OFFSET('Control sheet (hide)'!$AA$3,COLUMN(B1)-1,0,1,1)</f>
        <v>Test name 2</v>
      </c>
      <c r="G10" s="266" t="str">
        <f ca="1">OFFSET('Control sheet (hide)'!$AA$3,COLUMN(C1)-1,0,1,1)</f>
        <v>Another modality</v>
      </c>
      <c r="H10" s="266" t="str">
        <f ca="1">OFFSET('Control sheet (hide)'!$AA$3,COLUMN(D1)-1,0,1,1)</f>
        <v>Modality 4</v>
      </c>
      <c r="I10" s="266" t="str">
        <f ca="1">OFFSET('Control sheet (hide)'!$AA$3,COLUMN(E1)-1,0,1,1)</f>
        <v>Modality 5</v>
      </c>
      <c r="J10" s="266" t="str">
        <f ca="1">OFFSET('Control sheet (hide)'!$AA$3,COLUMN(F1)-1,0,1,1)</f>
        <v>Modality 6</v>
      </c>
      <c r="K10" s="266" t="str">
        <f ca="1">OFFSET('Control sheet (hide)'!$AA$3,COLUMN(G1)-1,0,1,1)</f>
        <v>Modality 7</v>
      </c>
      <c r="L10" s="266" t="str">
        <f ca="1">OFFSET('Control sheet (hide)'!$AA$3,COLUMN(H1)-1,0,1,1)</f>
        <v>Modality 8</v>
      </c>
      <c r="M10" s="266" t="str">
        <f ca="1">OFFSET('Control sheet (hide)'!$AA$3,COLUMN(I1)-1,0,1,1)</f>
        <v>Modality 9</v>
      </c>
      <c r="N10" s="266" t="str">
        <f ca="1">OFFSET('Control sheet (hide)'!$AA$3,COLUMN(J1)-1,0,1,1)</f>
        <v>Modality 10</v>
      </c>
      <c r="O10" s="6" t="s">
        <v>219</v>
      </c>
      <c r="P10" s="410" t="s">
        <v>222</v>
      </c>
      <c r="Q10" s="410" t="str">
        <f>"Total "&amp;"("&amp;Setup!$I$17&amp;")"</f>
        <v>Total (Minutes)</v>
      </c>
      <c r="R10" s="410" t="s">
        <v>111</v>
      </c>
    </row>
    <row r="11" spans="1:20" x14ac:dyDescent="0.2">
      <c r="B11" s="413"/>
      <c r="C11" s="413"/>
      <c r="D11" s="413"/>
      <c r="E11" s="266" t="str">
        <f ca="1">IF(Setup!$I$17&lt;&gt;"Patients",Setup!$I$17&amp;": "&amp;OFFSET('Demand background (hide)'!$BN$6,COLUMN(A1)-1,0,1,1),"")</f>
        <v>Minutes: 30</v>
      </c>
      <c r="F11" s="266" t="str">
        <f ca="1">IF(Setup!$I$17&lt;&gt;"Patients",Setup!$I$17&amp;": "&amp;OFFSET('Demand background (hide)'!$BN$6,COLUMN(B1)-1,0,1,1),"")</f>
        <v>Minutes: 40</v>
      </c>
      <c r="G11" s="266" t="str">
        <f ca="1">IF(Setup!$I$17&lt;&gt;"Patients",Setup!$I$17&amp;": "&amp;OFFSET('Demand background (hide)'!$BN$6,COLUMN(C1)-1,0,1,1),"")</f>
        <v>Minutes: 1</v>
      </c>
      <c r="H11" s="266" t="str">
        <f ca="1">IF(Setup!$I$17&lt;&gt;"Patients",Setup!$I$17&amp;": "&amp;OFFSET('Demand background (hide)'!$BN$6,COLUMN(D1)-1,0,1,1),"")</f>
        <v>Minutes: 1</v>
      </c>
      <c r="I11" s="266" t="str">
        <f ca="1">IF(Setup!$I$17&lt;&gt;"Patients",Setup!$I$17&amp;": "&amp;OFFSET('Demand background (hide)'!$BN$6,COLUMN(E1)-1,0,1,1),"")</f>
        <v>Minutes: 1</v>
      </c>
      <c r="J11" s="266" t="str">
        <f ca="1">IF(Setup!$I$17&lt;&gt;"Patients",Setup!$I$17&amp;": "&amp;OFFSET('Demand background (hide)'!$BN$6,COLUMN(F1)-1,0,1,1),"")</f>
        <v>Minutes: 1</v>
      </c>
      <c r="K11" s="266" t="str">
        <f ca="1">IF(Setup!$I$17&lt;&gt;"Patients",Setup!$I$17&amp;": "&amp;OFFSET('Demand background (hide)'!$BN$6,COLUMN(G1)-1,0,1,1),"")</f>
        <v>Minutes: 1</v>
      </c>
      <c r="L11" s="266" t="str">
        <f ca="1">IF(Setup!$I$17&lt;&gt;"Patients",Setup!$I$17&amp;": "&amp;OFFSET('Demand background (hide)'!$BN$6,COLUMN(H1)-1,0,1,1),"")</f>
        <v>Minutes: 1</v>
      </c>
      <c r="M11" s="266" t="str">
        <f ca="1">IF(Setup!$I$17&lt;&gt;"Patients",Setup!$I$17&amp;": "&amp;OFFSET('Demand background (hide)'!$BN$6,COLUMN(I1)-1,0,1,1),"")</f>
        <v>Minutes: 1</v>
      </c>
      <c r="N11" s="266" t="str">
        <f ca="1">IF(Setup!$I$17&lt;&gt;"Patients",Setup!$I$17&amp;": "&amp;OFFSET('Demand background (hide)'!$BN$6,COLUMN(J1)-1,0,1,1),"")</f>
        <v>Minutes: 1</v>
      </c>
      <c r="O11" s="6" t="str">
        <f ca="1">IF(Setup!$I$17&lt;&gt;"Patients",Setup!$I$17&amp;": "&amp;TEXT(OFFSET('Demand background (hide)'!$BN$6,COLUMN(K1)-1,0,1,1),"#"),"")</f>
        <v>Minutes: 1</v>
      </c>
      <c r="P11" s="410"/>
      <c r="Q11" s="410"/>
      <c r="R11" s="410"/>
    </row>
    <row r="12" spans="1:20" x14ac:dyDescent="0.2">
      <c r="B12" s="413"/>
      <c r="C12" s="413"/>
      <c r="D12" s="413"/>
      <c r="E12" s="6"/>
      <c r="F12" s="6"/>
      <c r="G12" s="6"/>
      <c r="H12" s="6"/>
      <c r="I12" s="6"/>
      <c r="J12" s="6"/>
      <c r="K12" s="6"/>
      <c r="L12" s="6"/>
      <c r="M12" s="6"/>
      <c r="N12" s="6"/>
      <c r="O12" s="6"/>
      <c r="P12" s="410"/>
      <c r="Q12" s="410"/>
      <c r="R12" s="410"/>
    </row>
    <row r="13" spans="1:20" x14ac:dyDescent="0.2">
      <c r="A13">
        <f>1</f>
        <v>1</v>
      </c>
      <c r="B13" s="267">
        <f>IF(C8&lt;&gt;"",YEAR(C8),1)</f>
        <v>1</v>
      </c>
      <c r="C13" s="268">
        <f>IF($C$8&lt;&gt;"",WEEKNUM($C$8,21),1)</f>
        <v>1</v>
      </c>
      <c r="D13" s="325" t="str">
        <f>IF($C$8&lt;&gt;"",C8,"")</f>
        <v/>
      </c>
      <c r="E13" s="152"/>
      <c r="F13" s="152"/>
      <c r="G13" s="152"/>
      <c r="H13" s="152"/>
      <c r="I13" s="152"/>
      <c r="J13" s="152"/>
      <c r="K13" s="152"/>
      <c r="L13" s="152"/>
      <c r="M13" s="152"/>
      <c r="N13" s="152"/>
      <c r="O13" s="152">
        <v>4</v>
      </c>
      <c r="P13" s="268">
        <f ca="1">IF('Planned background (hide)'!B2&lt;Num_Modalities,IF($C$6="Overall",O13,SUM(OFFSET($E13,0,0,1,Num_Modalities))),"")</f>
        <v>4</v>
      </c>
      <c r="Q13" s="272">
        <f ca="1">IF(AND('Planned background (hide)'!B2&lt;Num_Modalities,R13&lt;&gt;"Yes"),'Planned background (hide)'!S3,"")</f>
        <v>4</v>
      </c>
      <c r="R13" s="152"/>
      <c r="T13" s="36"/>
    </row>
    <row r="14" spans="1:20" x14ac:dyDescent="0.2">
      <c r="A14">
        <f ca="1">IF(P14&lt;&gt;"",ROW(A2),"")</f>
        <v>2</v>
      </c>
      <c r="B14" s="267" t="str">
        <f t="shared" ref="B14:B45" ca="1" si="0">IF(A14&lt;=PMaxRows,IF($C$8&lt;&gt;"",IF(YEAR(D14)&lt;&gt;YEAR(D13),YEAR(D14)," "),IF(C14&lt;&gt;1,"",OFFSET(B14,-C13,0,1,1)+1))," ")</f>
        <v/>
      </c>
      <c r="C14" s="268">
        <f t="shared" ref="C14:C45" ca="1" si="1">IF(ROW(A2)&lt;=PMaxRows,IF($C$8&lt;&gt;"",WEEKNUM(D14,21),IF(MOD((C13+1),53)&gt;0,MOD((C13+1),53),53)),"")</f>
        <v>2</v>
      </c>
      <c r="D14" s="325" t="str">
        <f t="shared" ref="D14:D45" ca="1" si="2">IF(ROW(A2)&lt;=PMaxRows,IF($C$8&lt;&gt;"",D13+7,""),"")</f>
        <v/>
      </c>
      <c r="E14" s="152"/>
      <c r="F14" s="152"/>
      <c r="G14" s="152"/>
      <c r="H14" s="152"/>
      <c r="I14" s="152"/>
      <c r="J14" s="152"/>
      <c r="K14" s="152"/>
      <c r="L14" s="152"/>
      <c r="M14" s="152"/>
      <c r="N14" s="152"/>
      <c r="O14" s="152">
        <v>5</v>
      </c>
      <c r="P14" s="268">
        <f ca="1">IF('Planned background (hide)'!B3&lt;Num_Modalities,IF($C$6="Overall",O14,SUM(OFFSET($E14,0,0,1,Num_Modalities))),"")</f>
        <v>5</v>
      </c>
      <c r="Q14" s="272">
        <f ca="1">IF(AND('Planned background (hide)'!B3&lt;Num_Modalities,R14&lt;&gt;"Yes"),'Planned background (hide)'!S4,"")</f>
        <v>5</v>
      </c>
      <c r="R14" s="152"/>
      <c r="T14" s="36"/>
    </row>
    <row r="15" spans="1:20" x14ac:dyDescent="0.2">
      <c r="A15" s="67">
        <f t="shared" ref="A15:A64" ca="1" si="3">IF(P15&lt;&gt;"",ROW(A3),"")</f>
        <v>3</v>
      </c>
      <c r="B15" s="267" t="str">
        <f t="shared" ca="1" si="0"/>
        <v/>
      </c>
      <c r="C15" s="268">
        <f t="shared" ca="1" si="1"/>
        <v>3</v>
      </c>
      <c r="D15" s="325" t="str">
        <f t="shared" ca="1" si="2"/>
        <v/>
      </c>
      <c r="E15" s="152"/>
      <c r="F15" s="152"/>
      <c r="G15" s="152"/>
      <c r="H15" s="152"/>
      <c r="I15" s="152"/>
      <c r="J15" s="152"/>
      <c r="K15" s="152"/>
      <c r="L15" s="152"/>
      <c r="M15" s="152"/>
      <c r="N15" s="152"/>
      <c r="O15" s="152">
        <v>2</v>
      </c>
      <c r="P15" s="268">
        <f ca="1">IF('Planned background (hide)'!B4&lt;Num_Modalities,IF($C$6="Overall",O15,SUM(OFFSET($E15,0,0,1,Num_Modalities))),"")</f>
        <v>2</v>
      </c>
      <c r="Q15" s="272">
        <f ca="1">IF(AND('Planned background (hide)'!B4&lt;Num_Modalities,R15&lt;&gt;"Yes"),'Planned background (hide)'!S5,"")</f>
        <v>2</v>
      </c>
      <c r="R15" s="152"/>
      <c r="T15" s="36"/>
    </row>
    <row r="16" spans="1:20" x14ac:dyDescent="0.2">
      <c r="A16" s="67">
        <f t="shared" ca="1" si="3"/>
        <v>4</v>
      </c>
      <c r="B16" s="267" t="str">
        <f t="shared" ca="1" si="0"/>
        <v/>
      </c>
      <c r="C16" s="268">
        <f t="shared" ca="1" si="1"/>
        <v>4</v>
      </c>
      <c r="D16" s="325" t="str">
        <f t="shared" ca="1" si="2"/>
        <v/>
      </c>
      <c r="E16" s="152"/>
      <c r="F16" s="152"/>
      <c r="G16" s="152"/>
      <c r="H16" s="152"/>
      <c r="I16" s="152"/>
      <c r="J16" s="152"/>
      <c r="K16" s="152"/>
      <c r="L16" s="152"/>
      <c r="M16" s="152"/>
      <c r="N16" s="152"/>
      <c r="O16" s="152">
        <v>3</v>
      </c>
      <c r="P16" s="268">
        <f ca="1">IF('Planned background (hide)'!B5&lt;Num_Modalities,IF($C$6="Overall",O16,SUM(OFFSET($E16,0,0,1,Num_Modalities))),"")</f>
        <v>3</v>
      </c>
      <c r="Q16" s="272">
        <f ca="1">IF(AND('Planned background (hide)'!B5&lt;Num_Modalities,R16&lt;&gt;"Yes"),'Planned background (hide)'!S6,"")</f>
        <v>3</v>
      </c>
      <c r="R16" s="152"/>
      <c r="T16" s="36"/>
    </row>
    <row r="17" spans="1:20" x14ac:dyDescent="0.2">
      <c r="A17" s="67">
        <f t="shared" ca="1" si="3"/>
        <v>5</v>
      </c>
      <c r="B17" s="267" t="str">
        <f t="shared" ca="1" si="0"/>
        <v/>
      </c>
      <c r="C17" s="268">
        <f t="shared" ca="1" si="1"/>
        <v>5</v>
      </c>
      <c r="D17" s="325" t="str">
        <f t="shared" ca="1" si="2"/>
        <v/>
      </c>
      <c r="E17" s="152"/>
      <c r="F17" s="152"/>
      <c r="G17" s="152"/>
      <c r="H17" s="152"/>
      <c r="I17" s="152"/>
      <c r="J17" s="152"/>
      <c r="K17" s="152"/>
      <c r="L17" s="152"/>
      <c r="M17" s="152"/>
      <c r="N17" s="152"/>
      <c r="O17" s="152">
        <v>5</v>
      </c>
      <c r="P17" s="268">
        <f ca="1">IF('Planned background (hide)'!B6&lt;Num_Modalities,IF($C$6="Overall",O17,SUM(OFFSET($E17,0,0,1,Num_Modalities))),"")</f>
        <v>5</v>
      </c>
      <c r="Q17" s="272">
        <f ca="1">IF(AND('Planned background (hide)'!B6&lt;Num_Modalities,R17&lt;&gt;"Yes"),'Planned background (hide)'!S7,"")</f>
        <v>5</v>
      </c>
      <c r="R17" s="152"/>
      <c r="T17" s="36"/>
    </row>
    <row r="18" spans="1:20" x14ac:dyDescent="0.2">
      <c r="A18" s="67">
        <f t="shared" ca="1" si="3"/>
        <v>6</v>
      </c>
      <c r="B18" s="267" t="str">
        <f t="shared" ca="1" si="0"/>
        <v/>
      </c>
      <c r="C18" s="268">
        <f t="shared" ca="1" si="1"/>
        <v>6</v>
      </c>
      <c r="D18" s="325" t="str">
        <f t="shared" ca="1" si="2"/>
        <v/>
      </c>
      <c r="E18" s="152"/>
      <c r="F18" s="152"/>
      <c r="G18" s="152"/>
      <c r="H18" s="152"/>
      <c r="I18" s="152"/>
      <c r="J18" s="152"/>
      <c r="K18" s="152"/>
      <c r="L18" s="152"/>
      <c r="M18" s="152"/>
      <c r="N18" s="152"/>
      <c r="O18" s="152">
        <v>3</v>
      </c>
      <c r="P18" s="268">
        <f ca="1">IF('Planned background (hide)'!B7&lt;Num_Modalities,IF($C$6="Overall",O18,SUM(OFFSET($E18,0,0,1,Num_Modalities))),"")</f>
        <v>3</v>
      </c>
      <c r="Q18" s="272">
        <f ca="1">IF(AND('Planned background (hide)'!B7&lt;Num_Modalities,R18&lt;&gt;"Yes"),'Planned background (hide)'!S8,"")</f>
        <v>3</v>
      </c>
      <c r="R18" s="152"/>
      <c r="T18" s="36"/>
    </row>
    <row r="19" spans="1:20" x14ac:dyDescent="0.2">
      <c r="A19" s="67">
        <f t="shared" ca="1" si="3"/>
        <v>7</v>
      </c>
      <c r="B19" s="267" t="str">
        <f t="shared" ca="1" si="0"/>
        <v/>
      </c>
      <c r="C19" s="268">
        <f t="shared" ca="1" si="1"/>
        <v>7</v>
      </c>
      <c r="D19" s="325" t="str">
        <f t="shared" ca="1" si="2"/>
        <v/>
      </c>
      <c r="E19" s="152"/>
      <c r="F19" s="152"/>
      <c r="G19" s="152"/>
      <c r="H19" s="152"/>
      <c r="I19" s="152"/>
      <c r="J19" s="152"/>
      <c r="K19" s="152"/>
      <c r="L19" s="152"/>
      <c r="M19" s="152"/>
      <c r="N19" s="152"/>
      <c r="O19" s="152">
        <v>4</v>
      </c>
      <c r="P19" s="268">
        <f ca="1">IF('Planned background (hide)'!B8&lt;Num_Modalities,IF($C$6="Overall",O19,SUM(OFFSET($E19,0,0,1,Num_Modalities))),"")</f>
        <v>4</v>
      </c>
      <c r="Q19" s="272">
        <f ca="1">IF(AND('Planned background (hide)'!B8&lt;Num_Modalities,R19&lt;&gt;"Yes"),'Planned background (hide)'!S9,"")</f>
        <v>4</v>
      </c>
      <c r="R19" s="152"/>
      <c r="T19" s="36"/>
    </row>
    <row r="20" spans="1:20" x14ac:dyDescent="0.2">
      <c r="A20" s="67" t="str">
        <f t="shared" ca="1" si="3"/>
        <v/>
      </c>
      <c r="B20" s="267" t="str">
        <f t="shared" ca="1" si="0"/>
        <v xml:space="preserve"> </v>
      </c>
      <c r="C20" s="268" t="str">
        <f t="shared" ca="1" si="1"/>
        <v/>
      </c>
      <c r="D20" s="325" t="str">
        <f t="shared" ca="1" si="2"/>
        <v/>
      </c>
      <c r="E20" s="152"/>
      <c r="F20" s="152"/>
      <c r="G20" s="152"/>
      <c r="H20" s="152"/>
      <c r="I20" s="152"/>
      <c r="J20" s="152"/>
      <c r="K20" s="152"/>
      <c r="L20" s="152"/>
      <c r="M20" s="152"/>
      <c r="N20" s="152"/>
      <c r="O20" s="152"/>
      <c r="P20" s="268" t="str">
        <f ca="1">IF('Planned background (hide)'!B9&lt;Num_Modalities,IF($C$6="Overall",O20,SUM(OFFSET($E20,0,0,1,Num_Modalities))),"")</f>
        <v/>
      </c>
      <c r="Q20" s="272" t="str">
        <f ca="1">IF(AND('Planned background (hide)'!B9&lt;Num_Modalities,R20&lt;&gt;"Yes"),'Planned background (hide)'!S10,"")</f>
        <v/>
      </c>
      <c r="R20" s="152"/>
      <c r="T20" s="36"/>
    </row>
    <row r="21" spans="1:20" x14ac:dyDescent="0.2">
      <c r="A21" s="67" t="str">
        <f t="shared" ca="1" si="3"/>
        <v/>
      </c>
      <c r="B21" s="267" t="str">
        <f t="shared" ca="1" si="0"/>
        <v xml:space="preserve"> </v>
      </c>
      <c r="C21" s="268" t="str">
        <f t="shared" ca="1" si="1"/>
        <v/>
      </c>
      <c r="D21" s="325" t="str">
        <f t="shared" ca="1" si="2"/>
        <v/>
      </c>
      <c r="E21" s="152"/>
      <c r="F21" s="152"/>
      <c r="G21" s="152"/>
      <c r="H21" s="152"/>
      <c r="I21" s="152"/>
      <c r="J21" s="152"/>
      <c r="K21" s="152"/>
      <c r="L21" s="152"/>
      <c r="M21" s="152"/>
      <c r="N21" s="152"/>
      <c r="O21" s="152"/>
      <c r="P21" s="268" t="str">
        <f ca="1">IF('Planned background (hide)'!B10&lt;Num_Modalities,IF($C$6="Overall",O21,SUM(OFFSET($E21,0,0,1,Num_Modalities))),"")</f>
        <v/>
      </c>
      <c r="Q21" s="272" t="str">
        <f ca="1">IF(AND('Planned background (hide)'!B10&lt;Num_Modalities,R21&lt;&gt;"Yes"),'Planned background (hide)'!S11,"")</f>
        <v/>
      </c>
      <c r="R21" s="152"/>
      <c r="T21" s="36"/>
    </row>
    <row r="22" spans="1:20" x14ac:dyDescent="0.2">
      <c r="A22" s="67" t="str">
        <f t="shared" ca="1" si="3"/>
        <v/>
      </c>
      <c r="B22" s="267" t="str">
        <f t="shared" ca="1" si="0"/>
        <v xml:space="preserve"> </v>
      </c>
      <c r="C22" s="268" t="str">
        <f t="shared" ca="1" si="1"/>
        <v/>
      </c>
      <c r="D22" s="325" t="str">
        <f t="shared" ca="1" si="2"/>
        <v/>
      </c>
      <c r="E22" s="152"/>
      <c r="F22" s="152"/>
      <c r="G22" s="152"/>
      <c r="H22" s="152"/>
      <c r="I22" s="152"/>
      <c r="J22" s="152"/>
      <c r="K22" s="152"/>
      <c r="L22" s="152"/>
      <c r="M22" s="152"/>
      <c r="N22" s="152"/>
      <c r="O22" s="152"/>
      <c r="P22" s="268" t="str">
        <f ca="1">IF('Planned background (hide)'!B11&lt;Num_Modalities,IF($C$6="Overall",O22,SUM(OFFSET($E22,0,0,1,Num_Modalities))),"")</f>
        <v/>
      </c>
      <c r="Q22" s="272" t="str">
        <f ca="1">IF(AND('Planned background (hide)'!B11&lt;Num_Modalities,R22&lt;&gt;"Yes"),'Planned background (hide)'!S12,"")</f>
        <v/>
      </c>
      <c r="R22" s="152"/>
      <c r="T22" s="36"/>
    </row>
    <row r="23" spans="1:20" x14ac:dyDescent="0.2">
      <c r="A23" s="67" t="str">
        <f t="shared" ca="1" si="3"/>
        <v/>
      </c>
      <c r="B23" s="267" t="str">
        <f t="shared" ca="1" si="0"/>
        <v xml:space="preserve"> </v>
      </c>
      <c r="C23" s="268" t="str">
        <f t="shared" ca="1" si="1"/>
        <v/>
      </c>
      <c r="D23" s="325" t="str">
        <f t="shared" ca="1" si="2"/>
        <v/>
      </c>
      <c r="E23" s="152"/>
      <c r="F23" s="152"/>
      <c r="G23" s="152"/>
      <c r="H23" s="152"/>
      <c r="I23" s="152"/>
      <c r="J23" s="152"/>
      <c r="K23" s="152"/>
      <c r="L23" s="152"/>
      <c r="M23" s="152"/>
      <c r="N23" s="152"/>
      <c r="O23" s="152"/>
      <c r="P23" s="268" t="str">
        <f ca="1">IF('Planned background (hide)'!B12&lt;Num_Modalities,IF($C$6="Overall",O23,SUM(OFFSET($E23,0,0,1,Num_Modalities))),"")</f>
        <v/>
      </c>
      <c r="Q23" s="272" t="str">
        <f ca="1">IF(AND('Planned background (hide)'!B12&lt;Num_Modalities,R23&lt;&gt;"Yes"),'Planned background (hide)'!S13,"")</f>
        <v/>
      </c>
      <c r="R23" s="152"/>
      <c r="T23" s="36"/>
    </row>
    <row r="24" spans="1:20" x14ac:dyDescent="0.2">
      <c r="A24" s="67" t="str">
        <f t="shared" ca="1" si="3"/>
        <v/>
      </c>
      <c r="B24" s="267" t="str">
        <f t="shared" ca="1" si="0"/>
        <v xml:space="preserve"> </v>
      </c>
      <c r="C24" s="268" t="str">
        <f t="shared" ca="1" si="1"/>
        <v/>
      </c>
      <c r="D24" s="325" t="str">
        <f t="shared" ca="1" si="2"/>
        <v/>
      </c>
      <c r="E24" s="152"/>
      <c r="F24" s="152"/>
      <c r="G24" s="152"/>
      <c r="H24" s="152"/>
      <c r="I24" s="152"/>
      <c r="J24" s="152"/>
      <c r="K24" s="152"/>
      <c r="L24" s="152"/>
      <c r="M24" s="152"/>
      <c r="N24" s="152"/>
      <c r="O24" s="152"/>
      <c r="P24" s="268" t="str">
        <f ca="1">IF('Planned background (hide)'!B13&lt;Num_Modalities,IF($C$6="Overall",O24,SUM(OFFSET($E24,0,0,1,Num_Modalities))),"")</f>
        <v/>
      </c>
      <c r="Q24" s="272" t="str">
        <f ca="1">IF(AND('Planned background (hide)'!B13&lt;Num_Modalities,R24&lt;&gt;"Yes"),'Planned background (hide)'!S14,"")</f>
        <v/>
      </c>
      <c r="R24" s="152"/>
      <c r="T24" s="36"/>
    </row>
    <row r="25" spans="1:20" x14ac:dyDescent="0.2">
      <c r="A25" s="67" t="str">
        <f t="shared" ca="1" si="3"/>
        <v/>
      </c>
      <c r="B25" s="267" t="str">
        <f t="shared" ca="1" si="0"/>
        <v xml:space="preserve"> </v>
      </c>
      <c r="C25" s="268" t="str">
        <f t="shared" ca="1" si="1"/>
        <v/>
      </c>
      <c r="D25" s="325" t="str">
        <f t="shared" ca="1" si="2"/>
        <v/>
      </c>
      <c r="E25" s="152"/>
      <c r="F25" s="152"/>
      <c r="G25" s="152"/>
      <c r="H25" s="152"/>
      <c r="I25" s="152"/>
      <c r="J25" s="152"/>
      <c r="K25" s="152"/>
      <c r="L25" s="152"/>
      <c r="M25" s="152"/>
      <c r="N25" s="152"/>
      <c r="O25" s="152"/>
      <c r="P25" s="268" t="str">
        <f ca="1">IF('Planned background (hide)'!B14&lt;Num_Modalities,IF($C$6="Overall",O25,SUM(OFFSET($E25,0,0,1,Num_Modalities))),"")</f>
        <v/>
      </c>
      <c r="Q25" s="272" t="str">
        <f ca="1">IF(AND('Planned background (hide)'!B14&lt;Num_Modalities,R25&lt;&gt;"Yes"),'Planned background (hide)'!S15,"")</f>
        <v/>
      </c>
      <c r="R25" s="152"/>
      <c r="T25" s="36"/>
    </row>
    <row r="26" spans="1:20" x14ac:dyDescent="0.2">
      <c r="A26" s="67" t="str">
        <f t="shared" ca="1" si="3"/>
        <v/>
      </c>
      <c r="B26" s="267" t="str">
        <f t="shared" ca="1" si="0"/>
        <v xml:space="preserve"> </v>
      </c>
      <c r="C26" s="268" t="str">
        <f t="shared" ca="1" si="1"/>
        <v/>
      </c>
      <c r="D26" s="325" t="str">
        <f t="shared" ca="1" si="2"/>
        <v/>
      </c>
      <c r="E26" s="152"/>
      <c r="F26" s="152"/>
      <c r="G26" s="152"/>
      <c r="H26" s="152"/>
      <c r="I26" s="152"/>
      <c r="J26" s="152"/>
      <c r="K26" s="152"/>
      <c r="L26" s="152"/>
      <c r="M26" s="152"/>
      <c r="N26" s="152"/>
      <c r="O26" s="152"/>
      <c r="P26" s="268" t="str">
        <f ca="1">IF('Planned background (hide)'!B15&lt;Num_Modalities,IF($C$6="Overall",O26,SUM(OFFSET($E26,0,0,1,Num_Modalities))),"")</f>
        <v/>
      </c>
      <c r="Q26" s="272" t="str">
        <f ca="1">IF(AND('Planned background (hide)'!B15&lt;Num_Modalities,R26&lt;&gt;"Yes"),'Planned background (hide)'!S16,"")</f>
        <v/>
      </c>
      <c r="R26" s="152"/>
      <c r="T26" s="36"/>
    </row>
    <row r="27" spans="1:20" x14ac:dyDescent="0.2">
      <c r="A27" s="67" t="str">
        <f t="shared" ca="1" si="3"/>
        <v/>
      </c>
      <c r="B27" s="267" t="str">
        <f t="shared" ca="1" si="0"/>
        <v xml:space="preserve"> </v>
      </c>
      <c r="C27" s="268" t="str">
        <f t="shared" ca="1" si="1"/>
        <v/>
      </c>
      <c r="D27" s="325" t="str">
        <f t="shared" ca="1" si="2"/>
        <v/>
      </c>
      <c r="E27" s="152"/>
      <c r="F27" s="152"/>
      <c r="G27" s="152"/>
      <c r="H27" s="152"/>
      <c r="I27" s="152"/>
      <c r="J27" s="152"/>
      <c r="K27" s="152"/>
      <c r="L27" s="152"/>
      <c r="M27" s="152"/>
      <c r="N27" s="152"/>
      <c r="O27" s="152"/>
      <c r="P27" s="268" t="str">
        <f ca="1">IF('Planned background (hide)'!B16&lt;Num_Modalities,IF($C$6="Overall",O27,SUM(OFFSET($E27,0,0,1,Num_Modalities))),"")</f>
        <v/>
      </c>
      <c r="Q27" s="272" t="str">
        <f ca="1">IF(AND('Planned background (hide)'!B16&lt;Num_Modalities,R27&lt;&gt;"Yes"),'Planned background (hide)'!S17,"")</f>
        <v/>
      </c>
      <c r="R27" s="152"/>
      <c r="T27" s="36"/>
    </row>
    <row r="28" spans="1:20" x14ac:dyDescent="0.2">
      <c r="A28" s="67" t="str">
        <f t="shared" ca="1" si="3"/>
        <v/>
      </c>
      <c r="B28" s="267" t="str">
        <f t="shared" ca="1" si="0"/>
        <v xml:space="preserve"> </v>
      </c>
      <c r="C28" s="268" t="str">
        <f t="shared" ca="1" si="1"/>
        <v/>
      </c>
      <c r="D28" s="325" t="str">
        <f t="shared" ca="1" si="2"/>
        <v/>
      </c>
      <c r="E28" s="152"/>
      <c r="F28" s="152"/>
      <c r="G28" s="152"/>
      <c r="H28" s="152"/>
      <c r="I28" s="152"/>
      <c r="J28" s="152"/>
      <c r="K28" s="152"/>
      <c r="L28" s="152"/>
      <c r="M28" s="152"/>
      <c r="N28" s="152"/>
      <c r="O28" s="152"/>
      <c r="P28" s="268" t="str">
        <f ca="1">IF('Planned background (hide)'!B17&lt;Num_Modalities,IF($C$6="Overall",O28,SUM(OFFSET($E28,0,0,1,Num_Modalities))),"")</f>
        <v/>
      </c>
      <c r="Q28" s="272" t="str">
        <f ca="1">IF(AND('Planned background (hide)'!B17&lt;Num_Modalities,R28&lt;&gt;"Yes"),'Planned background (hide)'!S18,"")</f>
        <v/>
      </c>
      <c r="R28" s="152"/>
      <c r="T28" s="36"/>
    </row>
    <row r="29" spans="1:20" x14ac:dyDescent="0.2">
      <c r="A29" s="67" t="str">
        <f t="shared" ca="1" si="3"/>
        <v/>
      </c>
      <c r="B29" s="267" t="str">
        <f t="shared" ca="1" si="0"/>
        <v xml:space="preserve"> </v>
      </c>
      <c r="C29" s="268" t="str">
        <f t="shared" ca="1" si="1"/>
        <v/>
      </c>
      <c r="D29" s="325" t="str">
        <f t="shared" ca="1" si="2"/>
        <v/>
      </c>
      <c r="E29" s="152"/>
      <c r="F29" s="152"/>
      <c r="G29" s="152"/>
      <c r="H29" s="152"/>
      <c r="I29" s="152"/>
      <c r="J29" s="152"/>
      <c r="K29" s="152"/>
      <c r="L29" s="152"/>
      <c r="M29" s="152"/>
      <c r="N29" s="152"/>
      <c r="O29" s="152"/>
      <c r="P29" s="268" t="str">
        <f ca="1">IF('Planned background (hide)'!B18&lt;Num_Modalities,IF($C$6="Overall",O29,SUM(OFFSET($E29,0,0,1,Num_Modalities))),"")</f>
        <v/>
      </c>
      <c r="Q29" s="272" t="str">
        <f ca="1">IF(AND('Planned background (hide)'!B18&lt;Num_Modalities,R29&lt;&gt;"Yes"),'Planned background (hide)'!S19,"")</f>
        <v/>
      </c>
      <c r="R29" s="152"/>
      <c r="T29" s="36"/>
    </row>
    <row r="30" spans="1:20" x14ac:dyDescent="0.2">
      <c r="A30" s="67" t="str">
        <f t="shared" ca="1" si="3"/>
        <v/>
      </c>
      <c r="B30" s="267" t="str">
        <f t="shared" ca="1" si="0"/>
        <v xml:space="preserve"> </v>
      </c>
      <c r="C30" s="268" t="str">
        <f t="shared" ca="1" si="1"/>
        <v/>
      </c>
      <c r="D30" s="325" t="str">
        <f t="shared" ca="1" si="2"/>
        <v/>
      </c>
      <c r="E30" s="152"/>
      <c r="F30" s="152"/>
      <c r="G30" s="152"/>
      <c r="H30" s="152"/>
      <c r="I30" s="152"/>
      <c r="J30" s="152"/>
      <c r="K30" s="152"/>
      <c r="L30" s="152"/>
      <c r="M30" s="152"/>
      <c r="N30" s="152"/>
      <c r="O30" s="152"/>
      <c r="P30" s="268" t="str">
        <f ca="1">IF('Planned background (hide)'!B19&lt;Num_Modalities,IF($C$6="Overall",O30,SUM(OFFSET($E30,0,0,1,Num_Modalities))),"")</f>
        <v/>
      </c>
      <c r="Q30" s="272" t="str">
        <f ca="1">IF(AND('Planned background (hide)'!B19&lt;Num_Modalities,R30&lt;&gt;"Yes"),'Planned background (hide)'!S20,"")</f>
        <v/>
      </c>
      <c r="R30" s="152"/>
      <c r="T30" s="36"/>
    </row>
    <row r="31" spans="1:20" x14ac:dyDescent="0.2">
      <c r="A31" s="67" t="str">
        <f t="shared" ca="1" si="3"/>
        <v/>
      </c>
      <c r="B31" s="267" t="str">
        <f t="shared" ca="1" si="0"/>
        <v xml:space="preserve"> </v>
      </c>
      <c r="C31" s="268" t="str">
        <f t="shared" ca="1" si="1"/>
        <v/>
      </c>
      <c r="D31" s="325" t="str">
        <f t="shared" ca="1" si="2"/>
        <v/>
      </c>
      <c r="E31" s="152"/>
      <c r="F31" s="152"/>
      <c r="G31" s="152"/>
      <c r="H31" s="152"/>
      <c r="I31" s="152"/>
      <c r="J31" s="152"/>
      <c r="K31" s="152"/>
      <c r="L31" s="152"/>
      <c r="M31" s="152"/>
      <c r="N31" s="152"/>
      <c r="O31" s="152"/>
      <c r="P31" s="268" t="str">
        <f ca="1">IF('Planned background (hide)'!B20&lt;Num_Modalities,IF($C$6="Overall",O31,SUM(OFFSET($E31,0,0,1,Num_Modalities))),"")</f>
        <v/>
      </c>
      <c r="Q31" s="272" t="str">
        <f ca="1">IF(AND('Planned background (hide)'!B20&lt;Num_Modalities,R31&lt;&gt;"Yes"),'Planned background (hide)'!S21,"")</f>
        <v/>
      </c>
      <c r="R31" s="152"/>
      <c r="T31" s="36"/>
    </row>
    <row r="32" spans="1:20" x14ac:dyDescent="0.2">
      <c r="A32" s="67" t="str">
        <f t="shared" ca="1" si="3"/>
        <v/>
      </c>
      <c r="B32" s="267" t="str">
        <f t="shared" ca="1" si="0"/>
        <v xml:space="preserve"> </v>
      </c>
      <c r="C32" s="268" t="str">
        <f t="shared" ca="1" si="1"/>
        <v/>
      </c>
      <c r="D32" s="325" t="str">
        <f t="shared" ca="1" si="2"/>
        <v/>
      </c>
      <c r="E32" s="152"/>
      <c r="F32" s="152"/>
      <c r="G32" s="152"/>
      <c r="H32" s="152"/>
      <c r="I32" s="152"/>
      <c r="J32" s="152"/>
      <c r="K32" s="152"/>
      <c r="L32" s="152"/>
      <c r="M32" s="152"/>
      <c r="N32" s="152"/>
      <c r="O32" s="152"/>
      <c r="P32" s="268" t="str">
        <f ca="1">IF('Planned background (hide)'!B21&lt;Num_Modalities,IF($C$6="Overall",O32,SUM(OFFSET($E32,0,0,1,Num_Modalities))),"")</f>
        <v/>
      </c>
      <c r="Q32" s="272" t="str">
        <f ca="1">IF(AND('Planned background (hide)'!B21&lt;Num_Modalities,R32&lt;&gt;"Yes"),'Planned background (hide)'!S22,"")</f>
        <v/>
      </c>
      <c r="R32" s="152"/>
      <c r="T32" s="36"/>
    </row>
    <row r="33" spans="1:20" x14ac:dyDescent="0.2">
      <c r="A33" s="67" t="str">
        <f t="shared" ca="1" si="3"/>
        <v/>
      </c>
      <c r="B33" s="267" t="str">
        <f t="shared" ca="1" si="0"/>
        <v xml:space="preserve"> </v>
      </c>
      <c r="C33" s="268" t="str">
        <f t="shared" ca="1" si="1"/>
        <v/>
      </c>
      <c r="D33" s="325" t="str">
        <f t="shared" ca="1" si="2"/>
        <v/>
      </c>
      <c r="E33" s="152"/>
      <c r="F33" s="152"/>
      <c r="G33" s="152"/>
      <c r="H33" s="152"/>
      <c r="I33" s="152"/>
      <c r="J33" s="152"/>
      <c r="K33" s="152"/>
      <c r="L33" s="152"/>
      <c r="M33" s="152"/>
      <c r="N33" s="152"/>
      <c r="O33" s="152"/>
      <c r="P33" s="268" t="str">
        <f ca="1">IF('Planned background (hide)'!B22&lt;Num_Modalities,IF($C$6="Overall",O33,SUM(OFFSET($E33,0,0,1,Num_Modalities))),"")</f>
        <v/>
      </c>
      <c r="Q33" s="272" t="str">
        <f ca="1">IF(AND('Planned background (hide)'!B22&lt;Num_Modalities,R33&lt;&gt;"Yes"),'Planned background (hide)'!S23,"")</f>
        <v/>
      </c>
      <c r="R33" s="152"/>
      <c r="T33" s="36"/>
    </row>
    <row r="34" spans="1:20" x14ac:dyDescent="0.2">
      <c r="A34" s="67" t="str">
        <f t="shared" ca="1" si="3"/>
        <v/>
      </c>
      <c r="B34" s="267" t="str">
        <f t="shared" ca="1" si="0"/>
        <v xml:space="preserve"> </v>
      </c>
      <c r="C34" s="268" t="str">
        <f t="shared" ca="1" si="1"/>
        <v/>
      </c>
      <c r="D34" s="325" t="str">
        <f t="shared" ca="1" si="2"/>
        <v/>
      </c>
      <c r="E34" s="152"/>
      <c r="F34" s="152"/>
      <c r="G34" s="152"/>
      <c r="H34" s="152"/>
      <c r="I34" s="152"/>
      <c r="J34" s="152"/>
      <c r="K34" s="152"/>
      <c r="L34" s="152"/>
      <c r="M34" s="152"/>
      <c r="N34" s="152"/>
      <c r="O34" s="152"/>
      <c r="P34" s="268" t="str">
        <f ca="1">IF('Planned background (hide)'!B23&lt;Num_Modalities,IF($C$6="Overall",O34,SUM(OFFSET($E34,0,0,1,Num_Modalities))),"")</f>
        <v/>
      </c>
      <c r="Q34" s="272" t="str">
        <f ca="1">IF(AND('Planned background (hide)'!B23&lt;Num_Modalities,R34&lt;&gt;"Yes"),'Planned background (hide)'!S24,"")</f>
        <v/>
      </c>
      <c r="R34" s="152"/>
      <c r="T34" s="36"/>
    </row>
    <row r="35" spans="1:20" x14ac:dyDescent="0.2">
      <c r="A35" s="67" t="str">
        <f t="shared" ca="1" si="3"/>
        <v/>
      </c>
      <c r="B35" s="267" t="str">
        <f t="shared" ca="1" si="0"/>
        <v xml:space="preserve"> </v>
      </c>
      <c r="C35" s="268" t="str">
        <f t="shared" ca="1" si="1"/>
        <v/>
      </c>
      <c r="D35" s="325" t="str">
        <f t="shared" ca="1" si="2"/>
        <v/>
      </c>
      <c r="E35" s="152"/>
      <c r="F35" s="152"/>
      <c r="G35" s="152"/>
      <c r="H35" s="152"/>
      <c r="I35" s="152"/>
      <c r="J35" s="152"/>
      <c r="K35" s="152"/>
      <c r="L35" s="152"/>
      <c r="M35" s="152"/>
      <c r="N35" s="152"/>
      <c r="O35" s="152"/>
      <c r="P35" s="268" t="str">
        <f ca="1">IF('Planned background (hide)'!B24&lt;Num_Modalities,IF($C$6="Overall",O35,SUM(OFFSET($E35,0,0,1,Num_Modalities))),"")</f>
        <v/>
      </c>
      <c r="Q35" s="272" t="str">
        <f ca="1">IF(AND('Planned background (hide)'!B24&lt;Num_Modalities,R35&lt;&gt;"Yes"),'Planned background (hide)'!S25,"")</f>
        <v/>
      </c>
      <c r="R35" s="152"/>
      <c r="T35" s="36"/>
    </row>
    <row r="36" spans="1:20" x14ac:dyDescent="0.2">
      <c r="A36" s="67" t="str">
        <f t="shared" ca="1" si="3"/>
        <v/>
      </c>
      <c r="B36" s="267" t="str">
        <f t="shared" ca="1" si="0"/>
        <v xml:space="preserve"> </v>
      </c>
      <c r="C36" s="268" t="str">
        <f t="shared" ca="1" si="1"/>
        <v/>
      </c>
      <c r="D36" s="325" t="str">
        <f t="shared" ca="1" si="2"/>
        <v/>
      </c>
      <c r="E36" s="152"/>
      <c r="F36" s="152"/>
      <c r="G36" s="152"/>
      <c r="H36" s="152"/>
      <c r="I36" s="152"/>
      <c r="J36" s="152"/>
      <c r="K36" s="152"/>
      <c r="L36" s="152"/>
      <c r="M36" s="152"/>
      <c r="N36" s="152"/>
      <c r="O36" s="152"/>
      <c r="P36" s="268" t="str">
        <f ca="1">IF('Planned background (hide)'!B25&lt;Num_Modalities,IF($C$6="Overall",O36,SUM(OFFSET($E36,0,0,1,Num_Modalities))),"")</f>
        <v/>
      </c>
      <c r="Q36" s="272" t="str">
        <f ca="1">IF(AND('Planned background (hide)'!B25&lt;Num_Modalities,R36&lt;&gt;"Yes"),'Planned background (hide)'!S26,"")</f>
        <v/>
      </c>
      <c r="R36" s="152"/>
      <c r="T36" s="36"/>
    </row>
    <row r="37" spans="1:20" x14ac:dyDescent="0.2">
      <c r="A37" s="67" t="str">
        <f t="shared" ca="1" si="3"/>
        <v/>
      </c>
      <c r="B37" s="267" t="str">
        <f t="shared" ca="1" si="0"/>
        <v xml:space="preserve"> </v>
      </c>
      <c r="C37" s="268" t="str">
        <f t="shared" ca="1" si="1"/>
        <v/>
      </c>
      <c r="D37" s="325" t="str">
        <f t="shared" ca="1" si="2"/>
        <v/>
      </c>
      <c r="E37" s="152"/>
      <c r="F37" s="152"/>
      <c r="G37" s="152"/>
      <c r="H37" s="152"/>
      <c r="I37" s="152"/>
      <c r="J37" s="152"/>
      <c r="K37" s="152"/>
      <c r="L37" s="152"/>
      <c r="M37" s="152"/>
      <c r="N37" s="152"/>
      <c r="O37" s="152"/>
      <c r="P37" s="268" t="str">
        <f ca="1">IF('Planned background (hide)'!B26&lt;Num_Modalities,IF($C$6="Overall",O37,SUM(OFFSET($E37,0,0,1,Num_Modalities))),"")</f>
        <v/>
      </c>
      <c r="Q37" s="272" t="str">
        <f ca="1">IF(AND('Planned background (hide)'!B26&lt;Num_Modalities,R37&lt;&gt;"Yes"),'Planned background (hide)'!S27,"")</f>
        <v/>
      </c>
      <c r="R37" s="152"/>
      <c r="T37" s="36"/>
    </row>
    <row r="38" spans="1:20" x14ac:dyDescent="0.2">
      <c r="A38" s="67" t="str">
        <f t="shared" ca="1" si="3"/>
        <v/>
      </c>
      <c r="B38" s="267" t="str">
        <f t="shared" ca="1" si="0"/>
        <v xml:space="preserve"> </v>
      </c>
      <c r="C38" s="268" t="str">
        <f t="shared" ca="1" si="1"/>
        <v/>
      </c>
      <c r="D38" s="325" t="str">
        <f t="shared" ca="1" si="2"/>
        <v/>
      </c>
      <c r="E38" s="152"/>
      <c r="F38" s="152"/>
      <c r="G38" s="152"/>
      <c r="H38" s="152"/>
      <c r="I38" s="152"/>
      <c r="J38" s="152"/>
      <c r="K38" s="152"/>
      <c r="L38" s="152"/>
      <c r="M38" s="152"/>
      <c r="N38" s="152"/>
      <c r="O38" s="152"/>
      <c r="P38" s="268" t="str">
        <f ca="1">IF('Planned background (hide)'!B27&lt;Num_Modalities,IF($C$6="Overall",O38,SUM(OFFSET($E38,0,0,1,Num_Modalities))),"")</f>
        <v/>
      </c>
      <c r="Q38" s="272" t="str">
        <f ca="1">IF(AND('Planned background (hide)'!B27&lt;Num_Modalities,R38&lt;&gt;"Yes"),'Planned background (hide)'!S28,"")</f>
        <v/>
      </c>
      <c r="R38" s="152"/>
      <c r="T38" s="36"/>
    </row>
    <row r="39" spans="1:20" x14ac:dyDescent="0.2">
      <c r="A39" s="67" t="str">
        <f t="shared" ca="1" si="3"/>
        <v/>
      </c>
      <c r="B39" s="267" t="str">
        <f t="shared" ca="1" si="0"/>
        <v xml:space="preserve"> </v>
      </c>
      <c r="C39" s="268" t="str">
        <f t="shared" ca="1" si="1"/>
        <v/>
      </c>
      <c r="D39" s="325" t="str">
        <f t="shared" ca="1" si="2"/>
        <v/>
      </c>
      <c r="E39" s="152"/>
      <c r="F39" s="152"/>
      <c r="G39" s="152"/>
      <c r="H39" s="152"/>
      <c r="I39" s="152"/>
      <c r="J39" s="152"/>
      <c r="K39" s="152"/>
      <c r="L39" s="152"/>
      <c r="M39" s="152"/>
      <c r="N39" s="152"/>
      <c r="O39" s="152"/>
      <c r="P39" s="268" t="str">
        <f ca="1">IF('Planned background (hide)'!B28&lt;Num_Modalities,IF($C$6="Overall",O39,SUM(OFFSET($E39,0,0,1,Num_Modalities))),"")</f>
        <v/>
      </c>
      <c r="Q39" s="272" t="str">
        <f ca="1">IF(AND('Planned background (hide)'!B28&lt;Num_Modalities,R39&lt;&gt;"Yes"),'Planned background (hide)'!S29,"")</f>
        <v/>
      </c>
      <c r="R39" s="152"/>
      <c r="T39" s="36"/>
    </row>
    <row r="40" spans="1:20" x14ac:dyDescent="0.2">
      <c r="A40" s="67" t="str">
        <f t="shared" ca="1" si="3"/>
        <v/>
      </c>
      <c r="B40" s="267" t="str">
        <f t="shared" ca="1" si="0"/>
        <v xml:space="preserve"> </v>
      </c>
      <c r="C40" s="268" t="str">
        <f t="shared" ca="1" si="1"/>
        <v/>
      </c>
      <c r="D40" s="325" t="str">
        <f t="shared" ca="1" si="2"/>
        <v/>
      </c>
      <c r="E40" s="152"/>
      <c r="F40" s="152"/>
      <c r="G40" s="152"/>
      <c r="H40" s="152"/>
      <c r="I40" s="152"/>
      <c r="J40" s="152"/>
      <c r="K40" s="152"/>
      <c r="L40" s="152"/>
      <c r="M40" s="152"/>
      <c r="N40" s="152"/>
      <c r="O40" s="152"/>
      <c r="P40" s="268" t="str">
        <f ca="1">IF('Planned background (hide)'!B29&lt;Num_Modalities,IF($C$6="Overall",O40,SUM(OFFSET($E40,0,0,1,Num_Modalities))),"")</f>
        <v/>
      </c>
      <c r="Q40" s="272" t="str">
        <f ca="1">IF(AND('Planned background (hide)'!B29&lt;Num_Modalities,R40&lt;&gt;"Yes"),'Planned background (hide)'!S30,"")</f>
        <v/>
      </c>
      <c r="R40" s="152"/>
      <c r="T40" s="36"/>
    </row>
    <row r="41" spans="1:20" x14ac:dyDescent="0.2">
      <c r="A41" s="67" t="str">
        <f t="shared" ca="1" si="3"/>
        <v/>
      </c>
      <c r="B41" s="267" t="str">
        <f t="shared" ca="1" si="0"/>
        <v xml:space="preserve"> </v>
      </c>
      <c r="C41" s="268" t="str">
        <f t="shared" ca="1" si="1"/>
        <v/>
      </c>
      <c r="D41" s="325" t="str">
        <f t="shared" ca="1" si="2"/>
        <v/>
      </c>
      <c r="E41" s="152"/>
      <c r="F41" s="152"/>
      <c r="G41" s="152"/>
      <c r="H41" s="152"/>
      <c r="I41" s="152"/>
      <c r="J41" s="152"/>
      <c r="K41" s="152"/>
      <c r="L41" s="152"/>
      <c r="M41" s="152"/>
      <c r="N41" s="152"/>
      <c r="O41" s="152"/>
      <c r="P41" s="268" t="str">
        <f ca="1">IF('Planned background (hide)'!B30&lt;Num_Modalities,IF($C$6="Overall",O41,SUM(OFFSET($E41,0,0,1,Num_Modalities))),"")</f>
        <v/>
      </c>
      <c r="Q41" s="272" t="str">
        <f ca="1">IF(AND('Planned background (hide)'!B30&lt;Num_Modalities,R41&lt;&gt;"Yes"),'Planned background (hide)'!S31,"")</f>
        <v/>
      </c>
      <c r="R41" s="152"/>
      <c r="T41" s="36"/>
    </row>
    <row r="42" spans="1:20" x14ac:dyDescent="0.2">
      <c r="A42" s="67" t="str">
        <f t="shared" ca="1" si="3"/>
        <v/>
      </c>
      <c r="B42" s="267" t="str">
        <f t="shared" ca="1" si="0"/>
        <v xml:space="preserve"> </v>
      </c>
      <c r="C42" s="268" t="str">
        <f t="shared" ca="1" si="1"/>
        <v/>
      </c>
      <c r="D42" s="325" t="str">
        <f t="shared" ca="1" si="2"/>
        <v/>
      </c>
      <c r="E42" s="152"/>
      <c r="F42" s="152"/>
      <c r="G42" s="152"/>
      <c r="H42" s="152"/>
      <c r="I42" s="152"/>
      <c r="J42" s="152"/>
      <c r="K42" s="152"/>
      <c r="L42" s="152"/>
      <c r="M42" s="152"/>
      <c r="N42" s="152"/>
      <c r="O42" s="152"/>
      <c r="P42" s="268" t="str">
        <f ca="1">IF('Planned background (hide)'!B31&lt;Num_Modalities,IF($C$6="Overall",O42,SUM(OFFSET($E42,0,0,1,Num_Modalities))),"")</f>
        <v/>
      </c>
      <c r="Q42" s="272" t="str">
        <f ca="1">IF(AND('Planned background (hide)'!B31&lt;Num_Modalities,R42&lt;&gt;"Yes"),'Planned background (hide)'!S32,"")</f>
        <v/>
      </c>
      <c r="R42" s="152"/>
      <c r="T42" s="36"/>
    </row>
    <row r="43" spans="1:20" x14ac:dyDescent="0.2">
      <c r="A43" s="67" t="str">
        <f t="shared" ca="1" si="3"/>
        <v/>
      </c>
      <c r="B43" s="267" t="str">
        <f t="shared" ca="1" si="0"/>
        <v xml:space="preserve"> </v>
      </c>
      <c r="C43" s="268" t="str">
        <f t="shared" ca="1" si="1"/>
        <v/>
      </c>
      <c r="D43" s="325" t="str">
        <f t="shared" ca="1" si="2"/>
        <v/>
      </c>
      <c r="E43" s="152"/>
      <c r="F43" s="152"/>
      <c r="G43" s="152"/>
      <c r="H43" s="152"/>
      <c r="I43" s="152"/>
      <c r="J43" s="152"/>
      <c r="K43" s="152"/>
      <c r="L43" s="152"/>
      <c r="M43" s="152"/>
      <c r="N43" s="152"/>
      <c r="O43" s="152"/>
      <c r="P43" s="268" t="str">
        <f ca="1">IF('Planned background (hide)'!B32&lt;Num_Modalities,IF($C$6="Overall",O43,SUM(OFFSET($E43,0,0,1,Num_Modalities))),"")</f>
        <v/>
      </c>
      <c r="Q43" s="272" t="str">
        <f ca="1">IF(AND('Planned background (hide)'!B32&lt;Num_Modalities,R43&lt;&gt;"Yes"),'Planned background (hide)'!S33,"")</f>
        <v/>
      </c>
      <c r="R43" s="152"/>
      <c r="T43" s="36"/>
    </row>
    <row r="44" spans="1:20" x14ac:dyDescent="0.2">
      <c r="A44" s="67" t="str">
        <f t="shared" ca="1" si="3"/>
        <v/>
      </c>
      <c r="B44" s="267" t="str">
        <f t="shared" ca="1" si="0"/>
        <v xml:space="preserve"> </v>
      </c>
      <c r="C44" s="268" t="str">
        <f t="shared" ca="1" si="1"/>
        <v/>
      </c>
      <c r="D44" s="325" t="str">
        <f t="shared" ca="1" si="2"/>
        <v/>
      </c>
      <c r="E44" s="152"/>
      <c r="F44" s="152"/>
      <c r="G44" s="152"/>
      <c r="H44" s="152"/>
      <c r="I44" s="152"/>
      <c r="J44" s="152"/>
      <c r="K44" s="152"/>
      <c r="L44" s="152"/>
      <c r="M44" s="152"/>
      <c r="N44" s="152"/>
      <c r="O44" s="152"/>
      <c r="P44" s="268" t="str">
        <f ca="1">IF('Planned background (hide)'!B33&lt;Num_Modalities,IF($C$6="Overall",O44,SUM(OFFSET($E44,0,0,1,Num_Modalities))),"")</f>
        <v/>
      </c>
      <c r="Q44" s="272" t="str">
        <f ca="1">IF(AND('Planned background (hide)'!B33&lt;Num_Modalities,R44&lt;&gt;"Yes"),'Planned background (hide)'!S34,"")</f>
        <v/>
      </c>
      <c r="R44" s="152"/>
      <c r="T44" s="36"/>
    </row>
    <row r="45" spans="1:20" x14ac:dyDescent="0.2">
      <c r="A45" s="67" t="str">
        <f t="shared" ca="1" si="3"/>
        <v/>
      </c>
      <c r="B45" s="267" t="str">
        <f t="shared" ca="1" si="0"/>
        <v xml:space="preserve"> </v>
      </c>
      <c r="C45" s="268" t="str">
        <f t="shared" ca="1" si="1"/>
        <v/>
      </c>
      <c r="D45" s="325" t="str">
        <f t="shared" ca="1" si="2"/>
        <v/>
      </c>
      <c r="E45" s="152"/>
      <c r="F45" s="152"/>
      <c r="G45" s="152"/>
      <c r="H45" s="152"/>
      <c r="I45" s="152"/>
      <c r="J45" s="152"/>
      <c r="K45" s="152"/>
      <c r="L45" s="152"/>
      <c r="M45" s="152"/>
      <c r="N45" s="152"/>
      <c r="O45" s="152"/>
      <c r="P45" s="268" t="str">
        <f ca="1">IF('Planned background (hide)'!B34&lt;Num_Modalities,IF($C$6="Overall",O45,SUM(OFFSET($E45,0,0,1,Num_Modalities))),"")</f>
        <v/>
      </c>
      <c r="Q45" s="272" t="str">
        <f ca="1">IF(AND('Planned background (hide)'!B34&lt;Num_Modalities,R45&lt;&gt;"Yes"),'Planned background (hide)'!S35,"")</f>
        <v/>
      </c>
      <c r="R45" s="152"/>
      <c r="T45" s="36"/>
    </row>
    <row r="46" spans="1:20" x14ac:dyDescent="0.2">
      <c r="A46" s="67" t="str">
        <f t="shared" ca="1" si="3"/>
        <v/>
      </c>
      <c r="B46" s="267" t="str">
        <f t="shared" ref="B46:B64" ca="1" si="4">IF(A46&lt;=PMaxRows,IF($C$8&lt;&gt;"",IF(YEAR(D46)&lt;&gt;YEAR(D45),YEAR(D46)," "),IF(C46&lt;&gt;1,"",OFFSET(B46,-C45,0,1,1)+1))," ")</f>
        <v xml:space="preserve"> </v>
      </c>
      <c r="C46" s="268" t="str">
        <f t="shared" ref="C46:C64" ca="1" si="5">IF(ROW(A34)&lt;=PMaxRows,IF($C$8&lt;&gt;"",WEEKNUM(D46,21),IF(MOD((C45+1),53)&gt;0,MOD((C45+1),53),53)),"")</f>
        <v/>
      </c>
      <c r="D46" s="325" t="str">
        <f t="shared" ref="D46:D64" ca="1" si="6">IF(ROW(A34)&lt;=PMaxRows,IF($C$8&lt;&gt;"",D45+7,""),"")</f>
        <v/>
      </c>
      <c r="E46" s="152"/>
      <c r="F46" s="152"/>
      <c r="G46" s="152"/>
      <c r="H46" s="152"/>
      <c r="I46" s="152"/>
      <c r="J46" s="152"/>
      <c r="K46" s="152"/>
      <c r="L46" s="152"/>
      <c r="M46" s="152"/>
      <c r="N46" s="152"/>
      <c r="O46" s="152"/>
      <c r="P46" s="268" t="str">
        <f ca="1">IF('Planned background (hide)'!B35&lt;Num_Modalities,IF($C$6="Overall",O46,SUM(OFFSET($E46,0,0,1,Num_Modalities))),"")</f>
        <v/>
      </c>
      <c r="Q46" s="272" t="str">
        <f ca="1">IF(AND('Planned background (hide)'!B35&lt;Num_Modalities,R46&lt;&gt;"Yes"),'Planned background (hide)'!S36,"")</f>
        <v/>
      </c>
      <c r="R46" s="152"/>
      <c r="T46" s="36"/>
    </row>
    <row r="47" spans="1:20" x14ac:dyDescent="0.2">
      <c r="A47" s="67" t="str">
        <f t="shared" ca="1" si="3"/>
        <v/>
      </c>
      <c r="B47" s="267" t="str">
        <f t="shared" ca="1" si="4"/>
        <v xml:space="preserve"> </v>
      </c>
      <c r="C47" s="268" t="str">
        <f t="shared" ca="1" si="5"/>
        <v/>
      </c>
      <c r="D47" s="325" t="str">
        <f t="shared" ca="1" si="6"/>
        <v/>
      </c>
      <c r="E47" s="152"/>
      <c r="F47" s="152"/>
      <c r="G47" s="152"/>
      <c r="H47" s="152"/>
      <c r="I47" s="152"/>
      <c r="J47" s="152"/>
      <c r="K47" s="152"/>
      <c r="L47" s="152"/>
      <c r="M47" s="152"/>
      <c r="N47" s="152"/>
      <c r="O47" s="152"/>
      <c r="P47" s="268" t="str">
        <f ca="1">IF('Planned background (hide)'!B36&lt;Num_Modalities,IF($C$6="Overall",O47,SUM(OFFSET($E47,0,0,1,Num_Modalities))),"")</f>
        <v/>
      </c>
      <c r="Q47" s="272" t="str">
        <f ca="1">IF(AND('Planned background (hide)'!B36&lt;Num_Modalities,R47&lt;&gt;"Yes"),'Planned background (hide)'!S37,"")</f>
        <v/>
      </c>
      <c r="R47" s="152"/>
      <c r="T47" s="36"/>
    </row>
    <row r="48" spans="1:20" x14ac:dyDescent="0.2">
      <c r="A48" s="67" t="str">
        <f t="shared" ca="1" si="3"/>
        <v/>
      </c>
      <c r="B48" s="267" t="str">
        <f t="shared" ca="1" si="4"/>
        <v xml:space="preserve"> </v>
      </c>
      <c r="C48" s="268" t="str">
        <f t="shared" ca="1" si="5"/>
        <v/>
      </c>
      <c r="D48" s="325" t="str">
        <f t="shared" ca="1" si="6"/>
        <v/>
      </c>
      <c r="E48" s="152"/>
      <c r="F48" s="152"/>
      <c r="G48" s="152"/>
      <c r="H48" s="152"/>
      <c r="I48" s="152"/>
      <c r="J48" s="152"/>
      <c r="K48" s="152"/>
      <c r="L48" s="152"/>
      <c r="M48" s="152"/>
      <c r="N48" s="152"/>
      <c r="O48" s="152"/>
      <c r="P48" s="268" t="str">
        <f ca="1">IF('Planned background (hide)'!B37&lt;Num_Modalities,IF($C$6="Overall",O48,SUM(OFFSET($E48,0,0,1,Num_Modalities))),"")</f>
        <v/>
      </c>
      <c r="Q48" s="272" t="str">
        <f ca="1">IF(AND('Planned background (hide)'!B37&lt;Num_Modalities,R48&lt;&gt;"Yes"),'Planned background (hide)'!S38,"")</f>
        <v/>
      </c>
      <c r="R48" s="152"/>
      <c r="T48" s="36"/>
    </row>
    <row r="49" spans="1:20" x14ac:dyDescent="0.2">
      <c r="A49" s="67" t="str">
        <f t="shared" ca="1" si="3"/>
        <v/>
      </c>
      <c r="B49" s="267" t="str">
        <f t="shared" ca="1" si="4"/>
        <v xml:space="preserve"> </v>
      </c>
      <c r="C49" s="268" t="str">
        <f t="shared" ca="1" si="5"/>
        <v/>
      </c>
      <c r="D49" s="325" t="str">
        <f t="shared" ca="1" si="6"/>
        <v/>
      </c>
      <c r="E49" s="152"/>
      <c r="F49" s="152"/>
      <c r="G49" s="152"/>
      <c r="H49" s="152"/>
      <c r="I49" s="152"/>
      <c r="J49" s="152"/>
      <c r="K49" s="152"/>
      <c r="L49" s="152"/>
      <c r="M49" s="152"/>
      <c r="N49" s="152"/>
      <c r="O49" s="152"/>
      <c r="P49" s="268" t="str">
        <f ca="1">IF('Planned background (hide)'!B38&lt;Num_Modalities,IF($C$6="Overall",O49,SUM(OFFSET($E49,0,0,1,Num_Modalities))),"")</f>
        <v/>
      </c>
      <c r="Q49" s="272" t="str">
        <f ca="1">IF(AND('Planned background (hide)'!B38&lt;Num_Modalities,R49&lt;&gt;"Yes"),'Planned background (hide)'!S39,"")</f>
        <v/>
      </c>
      <c r="R49" s="152"/>
      <c r="T49" s="36"/>
    </row>
    <row r="50" spans="1:20" x14ac:dyDescent="0.2">
      <c r="A50" s="67" t="str">
        <f t="shared" ca="1" si="3"/>
        <v/>
      </c>
      <c r="B50" s="267" t="str">
        <f t="shared" ca="1" si="4"/>
        <v xml:space="preserve"> </v>
      </c>
      <c r="C50" s="268" t="str">
        <f t="shared" ca="1" si="5"/>
        <v/>
      </c>
      <c r="D50" s="325" t="str">
        <f t="shared" ca="1" si="6"/>
        <v/>
      </c>
      <c r="E50" s="152"/>
      <c r="F50" s="152"/>
      <c r="G50" s="152"/>
      <c r="H50" s="152"/>
      <c r="I50" s="152"/>
      <c r="J50" s="152"/>
      <c r="K50" s="152"/>
      <c r="L50" s="152"/>
      <c r="M50" s="152"/>
      <c r="N50" s="152"/>
      <c r="O50" s="152"/>
      <c r="P50" s="268" t="str">
        <f ca="1">IF('Planned background (hide)'!B39&lt;Num_Modalities,IF($C$6="Overall",O50,SUM(OFFSET($E50,0,0,1,Num_Modalities))),"")</f>
        <v/>
      </c>
      <c r="Q50" s="272" t="str">
        <f ca="1">IF(AND('Planned background (hide)'!B39&lt;Num_Modalities,R50&lt;&gt;"Yes"),'Planned background (hide)'!S40,"")</f>
        <v/>
      </c>
      <c r="R50" s="152"/>
      <c r="T50" s="36"/>
    </row>
    <row r="51" spans="1:20" x14ac:dyDescent="0.2">
      <c r="A51" s="67" t="str">
        <f t="shared" ca="1" si="3"/>
        <v/>
      </c>
      <c r="B51" s="267" t="str">
        <f t="shared" ca="1" si="4"/>
        <v xml:space="preserve"> </v>
      </c>
      <c r="C51" s="268" t="str">
        <f t="shared" ca="1" si="5"/>
        <v/>
      </c>
      <c r="D51" s="325" t="str">
        <f t="shared" ca="1" si="6"/>
        <v/>
      </c>
      <c r="E51" s="152"/>
      <c r="F51" s="152"/>
      <c r="G51" s="152"/>
      <c r="H51" s="152"/>
      <c r="I51" s="152"/>
      <c r="J51" s="152"/>
      <c r="K51" s="152"/>
      <c r="L51" s="152"/>
      <c r="M51" s="152"/>
      <c r="N51" s="152"/>
      <c r="O51" s="152"/>
      <c r="P51" s="268" t="str">
        <f ca="1">IF('Planned background (hide)'!B40&lt;Num_Modalities,IF($C$6="Overall",O51,SUM(OFFSET($E51,0,0,1,Num_Modalities))),"")</f>
        <v/>
      </c>
      <c r="Q51" s="272" t="str">
        <f ca="1">IF(AND('Planned background (hide)'!B40&lt;Num_Modalities,R51&lt;&gt;"Yes"),'Planned background (hide)'!S41,"")</f>
        <v/>
      </c>
      <c r="R51" s="152"/>
      <c r="T51" s="36"/>
    </row>
    <row r="52" spans="1:20" x14ac:dyDescent="0.2">
      <c r="A52" s="67" t="str">
        <f t="shared" ca="1" si="3"/>
        <v/>
      </c>
      <c r="B52" s="267" t="str">
        <f t="shared" ca="1" si="4"/>
        <v xml:space="preserve"> </v>
      </c>
      <c r="C52" s="268" t="str">
        <f t="shared" ca="1" si="5"/>
        <v/>
      </c>
      <c r="D52" s="325" t="str">
        <f t="shared" ca="1" si="6"/>
        <v/>
      </c>
      <c r="E52" s="152"/>
      <c r="F52" s="152"/>
      <c r="G52" s="152"/>
      <c r="H52" s="152"/>
      <c r="I52" s="152"/>
      <c r="J52" s="152"/>
      <c r="K52" s="152"/>
      <c r="L52" s="152"/>
      <c r="M52" s="152"/>
      <c r="N52" s="152"/>
      <c r="O52" s="152"/>
      <c r="P52" s="268" t="str">
        <f ca="1">IF('Planned background (hide)'!B41&lt;Num_Modalities,IF($C$6="Overall",O52,SUM(OFFSET($E52,0,0,1,Num_Modalities))),"")</f>
        <v/>
      </c>
      <c r="Q52" s="272" t="str">
        <f ca="1">IF(AND('Planned background (hide)'!B41&lt;Num_Modalities,R52&lt;&gt;"Yes"),'Planned background (hide)'!S42,"")</f>
        <v/>
      </c>
      <c r="R52" s="152"/>
      <c r="T52" s="36"/>
    </row>
    <row r="53" spans="1:20" x14ac:dyDescent="0.2">
      <c r="A53" s="67" t="str">
        <f t="shared" ca="1" si="3"/>
        <v/>
      </c>
      <c r="B53" s="267" t="str">
        <f t="shared" ca="1" si="4"/>
        <v xml:space="preserve"> </v>
      </c>
      <c r="C53" s="268" t="str">
        <f t="shared" ca="1" si="5"/>
        <v/>
      </c>
      <c r="D53" s="325" t="str">
        <f t="shared" ca="1" si="6"/>
        <v/>
      </c>
      <c r="E53" s="152"/>
      <c r="F53" s="152"/>
      <c r="G53" s="152"/>
      <c r="H53" s="152"/>
      <c r="I53" s="152"/>
      <c r="J53" s="152"/>
      <c r="K53" s="152"/>
      <c r="L53" s="152"/>
      <c r="M53" s="152"/>
      <c r="N53" s="152"/>
      <c r="O53" s="152"/>
      <c r="P53" s="268" t="str">
        <f ca="1">IF('Planned background (hide)'!B42&lt;Num_Modalities,IF($C$6="Overall",O53,SUM(OFFSET($E53,0,0,1,Num_Modalities))),"")</f>
        <v/>
      </c>
      <c r="Q53" s="272" t="str">
        <f ca="1">IF(AND('Planned background (hide)'!B42&lt;Num_Modalities,R53&lt;&gt;"Yes"),'Planned background (hide)'!S43,"")</f>
        <v/>
      </c>
      <c r="R53" s="152"/>
      <c r="T53" s="36"/>
    </row>
    <row r="54" spans="1:20" x14ac:dyDescent="0.2">
      <c r="A54" s="67" t="str">
        <f t="shared" ca="1" si="3"/>
        <v/>
      </c>
      <c r="B54" s="267" t="str">
        <f t="shared" ca="1" si="4"/>
        <v xml:space="preserve"> </v>
      </c>
      <c r="C54" s="268" t="str">
        <f t="shared" ca="1" si="5"/>
        <v/>
      </c>
      <c r="D54" s="325" t="str">
        <f t="shared" ca="1" si="6"/>
        <v/>
      </c>
      <c r="E54" s="152"/>
      <c r="F54" s="152"/>
      <c r="G54" s="152"/>
      <c r="H54" s="152"/>
      <c r="I54" s="152"/>
      <c r="J54" s="152"/>
      <c r="K54" s="152"/>
      <c r="L54" s="152"/>
      <c r="M54" s="152"/>
      <c r="N54" s="152"/>
      <c r="O54" s="152"/>
      <c r="P54" s="268" t="str">
        <f ca="1">IF('Planned background (hide)'!B43&lt;Num_Modalities,IF($C$6="Overall",O54,SUM(OFFSET($E54,0,0,1,Num_Modalities))),"")</f>
        <v/>
      </c>
      <c r="Q54" s="272" t="str">
        <f ca="1">IF(AND('Planned background (hide)'!B43&lt;Num_Modalities,R54&lt;&gt;"Yes"),'Planned background (hide)'!S44,"")</f>
        <v/>
      </c>
      <c r="R54" s="152"/>
      <c r="T54" s="36"/>
    </row>
    <row r="55" spans="1:20" x14ac:dyDescent="0.2">
      <c r="A55" s="67" t="str">
        <f t="shared" ca="1" si="3"/>
        <v/>
      </c>
      <c r="B55" s="267" t="str">
        <f t="shared" ca="1" si="4"/>
        <v xml:space="preserve"> </v>
      </c>
      <c r="C55" s="268" t="str">
        <f t="shared" ca="1" si="5"/>
        <v/>
      </c>
      <c r="D55" s="325" t="str">
        <f t="shared" ca="1" si="6"/>
        <v/>
      </c>
      <c r="E55" s="152"/>
      <c r="F55" s="152"/>
      <c r="G55" s="152"/>
      <c r="H55" s="152"/>
      <c r="I55" s="152"/>
      <c r="J55" s="152"/>
      <c r="K55" s="152"/>
      <c r="L55" s="152"/>
      <c r="M55" s="152"/>
      <c r="N55" s="152"/>
      <c r="O55" s="152"/>
      <c r="P55" s="268" t="str">
        <f ca="1">IF('Planned background (hide)'!B44&lt;Num_Modalities,IF($C$6="Overall",O55,SUM(OFFSET($E55,0,0,1,Num_Modalities))),"")</f>
        <v/>
      </c>
      <c r="Q55" s="272" t="str">
        <f ca="1">IF(AND('Planned background (hide)'!B44&lt;Num_Modalities,R55&lt;&gt;"Yes"),'Planned background (hide)'!S45,"")</f>
        <v/>
      </c>
      <c r="R55" s="152"/>
      <c r="T55" s="36"/>
    </row>
    <row r="56" spans="1:20" x14ac:dyDescent="0.2">
      <c r="A56" s="67" t="str">
        <f t="shared" ca="1" si="3"/>
        <v/>
      </c>
      <c r="B56" s="267" t="str">
        <f t="shared" ca="1" si="4"/>
        <v xml:space="preserve"> </v>
      </c>
      <c r="C56" s="268" t="str">
        <f t="shared" ca="1" si="5"/>
        <v/>
      </c>
      <c r="D56" s="325" t="str">
        <f t="shared" ca="1" si="6"/>
        <v/>
      </c>
      <c r="E56" s="152"/>
      <c r="F56" s="152"/>
      <c r="G56" s="152"/>
      <c r="H56" s="152"/>
      <c r="I56" s="152"/>
      <c r="J56" s="152"/>
      <c r="K56" s="152"/>
      <c r="L56" s="152"/>
      <c r="M56" s="152"/>
      <c r="N56" s="152"/>
      <c r="O56" s="152"/>
      <c r="P56" s="268" t="str">
        <f ca="1">IF('Planned background (hide)'!B45&lt;Num_Modalities,IF($C$6="Overall",O56,SUM(OFFSET($E56,0,0,1,Num_Modalities))),"")</f>
        <v/>
      </c>
      <c r="Q56" s="272" t="str">
        <f ca="1">IF(AND('Planned background (hide)'!B45&lt;Num_Modalities,R56&lt;&gt;"Yes"),'Planned background (hide)'!S46,"")</f>
        <v/>
      </c>
      <c r="R56" s="152"/>
      <c r="T56" s="36"/>
    </row>
    <row r="57" spans="1:20" x14ac:dyDescent="0.2">
      <c r="A57" s="67" t="str">
        <f t="shared" ca="1" si="3"/>
        <v/>
      </c>
      <c r="B57" s="267" t="str">
        <f t="shared" ca="1" si="4"/>
        <v xml:space="preserve"> </v>
      </c>
      <c r="C57" s="268" t="str">
        <f t="shared" ca="1" si="5"/>
        <v/>
      </c>
      <c r="D57" s="325" t="str">
        <f t="shared" ca="1" si="6"/>
        <v/>
      </c>
      <c r="E57" s="152"/>
      <c r="F57" s="152"/>
      <c r="G57" s="152"/>
      <c r="H57" s="152"/>
      <c r="I57" s="152"/>
      <c r="J57" s="152"/>
      <c r="K57" s="152"/>
      <c r="L57" s="152"/>
      <c r="M57" s="152"/>
      <c r="N57" s="152"/>
      <c r="O57" s="152"/>
      <c r="P57" s="268" t="str">
        <f ca="1">IF('Planned background (hide)'!B46&lt;Num_Modalities,IF($C$6="Overall",O57,SUM(OFFSET($E57,0,0,1,Num_Modalities))),"")</f>
        <v/>
      </c>
      <c r="Q57" s="272" t="str">
        <f ca="1">IF(AND('Planned background (hide)'!B46&lt;Num_Modalities,R57&lt;&gt;"Yes"),'Planned background (hide)'!S47,"")</f>
        <v/>
      </c>
      <c r="R57" s="152"/>
      <c r="T57" s="36"/>
    </row>
    <row r="58" spans="1:20" x14ac:dyDescent="0.2">
      <c r="A58" s="67" t="str">
        <f t="shared" ca="1" si="3"/>
        <v/>
      </c>
      <c r="B58" s="267" t="str">
        <f t="shared" ca="1" si="4"/>
        <v xml:space="preserve"> </v>
      </c>
      <c r="C58" s="268" t="str">
        <f t="shared" ca="1" si="5"/>
        <v/>
      </c>
      <c r="D58" s="325" t="str">
        <f t="shared" ca="1" si="6"/>
        <v/>
      </c>
      <c r="E58" s="152"/>
      <c r="F58" s="152"/>
      <c r="G58" s="152"/>
      <c r="H58" s="152"/>
      <c r="I58" s="152"/>
      <c r="J58" s="152"/>
      <c r="K58" s="152"/>
      <c r="L58" s="152"/>
      <c r="M58" s="152"/>
      <c r="N58" s="152"/>
      <c r="O58" s="152"/>
      <c r="P58" s="268" t="str">
        <f ca="1">IF('Planned background (hide)'!B47&lt;Num_Modalities,IF($C$6="Overall",O58,SUM(OFFSET($E58,0,0,1,Num_Modalities))),"")</f>
        <v/>
      </c>
      <c r="Q58" s="272" t="str">
        <f ca="1">IF(AND('Planned background (hide)'!B47&lt;Num_Modalities,R58&lt;&gt;"Yes"),'Planned background (hide)'!S48,"")</f>
        <v/>
      </c>
      <c r="R58" s="152"/>
      <c r="T58" s="36"/>
    </row>
    <row r="59" spans="1:20" x14ac:dyDescent="0.2">
      <c r="A59" s="67" t="str">
        <f t="shared" ca="1" si="3"/>
        <v/>
      </c>
      <c r="B59" s="267" t="str">
        <f t="shared" ca="1" si="4"/>
        <v xml:space="preserve"> </v>
      </c>
      <c r="C59" s="268" t="str">
        <f t="shared" ca="1" si="5"/>
        <v/>
      </c>
      <c r="D59" s="325" t="str">
        <f t="shared" ca="1" si="6"/>
        <v/>
      </c>
      <c r="E59" s="152"/>
      <c r="F59" s="152"/>
      <c r="G59" s="152"/>
      <c r="H59" s="152"/>
      <c r="I59" s="152"/>
      <c r="J59" s="152"/>
      <c r="K59" s="152"/>
      <c r="L59" s="152"/>
      <c r="M59" s="152"/>
      <c r="N59" s="152"/>
      <c r="O59" s="152"/>
      <c r="P59" s="268" t="str">
        <f ca="1">IF('Planned background (hide)'!B48&lt;Num_Modalities,IF($C$6="Overall",O59,SUM(OFFSET($E59,0,0,1,Num_Modalities))),"")</f>
        <v/>
      </c>
      <c r="Q59" s="272" t="str">
        <f ca="1">IF(AND('Planned background (hide)'!B48&lt;Num_Modalities,R59&lt;&gt;"Yes"),'Planned background (hide)'!S49,"")</f>
        <v/>
      </c>
      <c r="R59" s="152"/>
      <c r="T59" s="36"/>
    </row>
    <row r="60" spans="1:20" x14ac:dyDescent="0.2">
      <c r="A60" s="67" t="str">
        <f t="shared" ca="1" si="3"/>
        <v/>
      </c>
      <c r="B60" s="267" t="str">
        <f t="shared" ca="1" si="4"/>
        <v xml:space="preserve"> </v>
      </c>
      <c r="C60" s="268" t="str">
        <f t="shared" ca="1" si="5"/>
        <v/>
      </c>
      <c r="D60" s="325" t="str">
        <f t="shared" ca="1" si="6"/>
        <v/>
      </c>
      <c r="E60" s="152"/>
      <c r="F60" s="152"/>
      <c r="G60" s="152"/>
      <c r="H60" s="152"/>
      <c r="I60" s="152"/>
      <c r="J60" s="152"/>
      <c r="K60" s="152"/>
      <c r="L60" s="152"/>
      <c r="M60" s="152"/>
      <c r="N60" s="152"/>
      <c r="O60" s="152"/>
      <c r="P60" s="268" t="str">
        <f ca="1">IF('Planned background (hide)'!B49&lt;Num_Modalities,IF($C$6="Overall",O60,SUM(OFFSET($E60,0,0,1,Num_Modalities))),"")</f>
        <v/>
      </c>
      <c r="Q60" s="272" t="str">
        <f ca="1">IF(AND('Planned background (hide)'!B49&lt;Num_Modalities,R60&lt;&gt;"Yes"),'Planned background (hide)'!S50,"")</f>
        <v/>
      </c>
      <c r="R60" s="152"/>
      <c r="T60" s="36"/>
    </row>
    <row r="61" spans="1:20" x14ac:dyDescent="0.2">
      <c r="A61" s="67" t="str">
        <f t="shared" ca="1" si="3"/>
        <v/>
      </c>
      <c r="B61" s="267" t="str">
        <f t="shared" ca="1" si="4"/>
        <v xml:space="preserve"> </v>
      </c>
      <c r="C61" s="268" t="str">
        <f t="shared" ca="1" si="5"/>
        <v/>
      </c>
      <c r="D61" s="325" t="str">
        <f t="shared" ca="1" si="6"/>
        <v/>
      </c>
      <c r="E61" s="152"/>
      <c r="F61" s="152"/>
      <c r="G61" s="152"/>
      <c r="H61" s="152"/>
      <c r="I61" s="152"/>
      <c r="J61" s="152"/>
      <c r="K61" s="152"/>
      <c r="L61" s="152"/>
      <c r="M61" s="152"/>
      <c r="N61" s="152"/>
      <c r="O61" s="152"/>
      <c r="P61" s="268" t="str">
        <f ca="1">IF('Planned background (hide)'!B50&lt;Num_Modalities,IF($C$6="Overall",O61,SUM(OFFSET($E61,0,0,1,Num_Modalities))),"")</f>
        <v/>
      </c>
      <c r="Q61" s="272" t="str">
        <f ca="1">IF(AND('Planned background (hide)'!B50&lt;Num_Modalities,R61&lt;&gt;"Yes"),'Planned background (hide)'!S51,"")</f>
        <v/>
      </c>
      <c r="R61" s="152"/>
      <c r="T61" s="36"/>
    </row>
    <row r="62" spans="1:20" x14ac:dyDescent="0.2">
      <c r="A62" s="67" t="str">
        <f t="shared" ca="1" si="3"/>
        <v/>
      </c>
      <c r="B62" s="267" t="str">
        <f t="shared" ca="1" si="4"/>
        <v xml:space="preserve"> </v>
      </c>
      <c r="C62" s="268" t="str">
        <f t="shared" ca="1" si="5"/>
        <v/>
      </c>
      <c r="D62" s="325" t="str">
        <f t="shared" ca="1" si="6"/>
        <v/>
      </c>
      <c r="E62" s="152"/>
      <c r="F62" s="152"/>
      <c r="G62" s="152"/>
      <c r="H62" s="152"/>
      <c r="I62" s="152"/>
      <c r="J62" s="152"/>
      <c r="K62" s="152"/>
      <c r="L62" s="152"/>
      <c r="M62" s="152"/>
      <c r="N62" s="152"/>
      <c r="O62" s="152"/>
      <c r="P62" s="268" t="str">
        <f ca="1">IF('Planned background (hide)'!B51&lt;Num_Modalities,IF($C$6="Overall",O62,SUM(OFFSET($E62,0,0,1,Num_Modalities))),"")</f>
        <v/>
      </c>
      <c r="Q62" s="272" t="str">
        <f ca="1">IF(AND('Planned background (hide)'!B51&lt;Num_Modalities,R62&lt;&gt;"Yes"),'Planned background (hide)'!S52,"")</f>
        <v/>
      </c>
      <c r="R62" s="152"/>
      <c r="T62" s="36"/>
    </row>
    <row r="63" spans="1:20" x14ac:dyDescent="0.2">
      <c r="A63" s="67" t="str">
        <f t="shared" ca="1" si="3"/>
        <v/>
      </c>
      <c r="B63" s="267" t="str">
        <f t="shared" ca="1" si="4"/>
        <v xml:space="preserve"> </v>
      </c>
      <c r="C63" s="268" t="str">
        <f t="shared" ca="1" si="5"/>
        <v/>
      </c>
      <c r="D63" s="325" t="str">
        <f t="shared" ca="1" si="6"/>
        <v/>
      </c>
      <c r="E63" s="152"/>
      <c r="F63" s="152"/>
      <c r="G63" s="152"/>
      <c r="H63" s="152"/>
      <c r="I63" s="152"/>
      <c r="J63" s="152"/>
      <c r="K63" s="152"/>
      <c r="L63" s="152"/>
      <c r="M63" s="152"/>
      <c r="N63" s="152"/>
      <c r="O63" s="152"/>
      <c r="P63" s="268" t="str">
        <f ca="1">IF('Planned background (hide)'!B52&lt;Num_Modalities,IF($C$6="Overall",O63,SUM(OFFSET($E63,0,0,1,Num_Modalities))),"")</f>
        <v/>
      </c>
      <c r="Q63" s="272" t="str">
        <f ca="1">IF(AND('Planned background (hide)'!B52&lt;Num_Modalities,R63&lt;&gt;"Yes"),'Planned background (hide)'!S53,"")</f>
        <v/>
      </c>
      <c r="R63" s="152"/>
      <c r="T63" s="36"/>
    </row>
    <row r="64" spans="1:20" x14ac:dyDescent="0.2">
      <c r="A64" s="67" t="str">
        <f t="shared" ca="1" si="3"/>
        <v/>
      </c>
      <c r="B64" s="267" t="str">
        <f t="shared" ca="1" si="4"/>
        <v xml:space="preserve"> </v>
      </c>
      <c r="C64" s="268" t="str">
        <f t="shared" ca="1" si="5"/>
        <v/>
      </c>
      <c r="D64" s="325" t="str">
        <f t="shared" ca="1" si="6"/>
        <v/>
      </c>
      <c r="E64" s="152"/>
      <c r="F64" s="152"/>
      <c r="G64" s="152"/>
      <c r="H64" s="152"/>
      <c r="I64" s="152"/>
      <c r="J64" s="152"/>
      <c r="K64" s="152"/>
      <c r="L64" s="152"/>
      <c r="M64" s="152"/>
      <c r="N64" s="152"/>
      <c r="O64" s="152"/>
      <c r="P64" s="268" t="str">
        <f ca="1">IF('Planned background (hide)'!B53&lt;Num_Modalities,IF($C$6="Overall",O64,SUM(OFFSET($E64,0,0,1,Num_Modalities))),"")</f>
        <v/>
      </c>
      <c r="Q64" s="272" t="str">
        <f ca="1">IF(AND('Planned background (hide)'!B53&lt;Num_Modalities,R64&lt;&gt;"Yes"),'Planned background (hide)'!S54,"")</f>
        <v/>
      </c>
      <c r="R64" s="152"/>
      <c r="T64" s="36"/>
    </row>
    <row r="65" spans="2:4" x14ac:dyDescent="0.2">
      <c r="B65" s="48"/>
      <c r="D65" s="36"/>
    </row>
    <row r="66" spans="2:4" x14ac:dyDescent="0.2">
      <c r="B66" s="48"/>
      <c r="D66" s="36"/>
    </row>
    <row r="67" spans="2:4" x14ac:dyDescent="0.2">
      <c r="B67" s="48"/>
      <c r="D67" s="36"/>
    </row>
    <row r="68" spans="2:4" x14ac:dyDescent="0.2">
      <c r="B68" s="48"/>
      <c r="D68" s="36"/>
    </row>
    <row r="69" spans="2:4" x14ac:dyDescent="0.2">
      <c r="B69" s="48"/>
      <c r="D69" s="36"/>
    </row>
    <row r="70" spans="2:4" x14ac:dyDescent="0.2">
      <c r="B70" s="48"/>
      <c r="D70" s="36"/>
    </row>
    <row r="71" spans="2:4" x14ac:dyDescent="0.2">
      <c r="B71" s="48"/>
      <c r="D71" s="36"/>
    </row>
    <row r="72" spans="2:4" x14ac:dyDescent="0.2">
      <c r="B72" s="48"/>
      <c r="D72" s="36"/>
    </row>
    <row r="73" spans="2:4" x14ac:dyDescent="0.2">
      <c r="B73" s="48"/>
      <c r="D73" s="36"/>
    </row>
    <row r="74" spans="2:4" x14ac:dyDescent="0.2">
      <c r="B74" s="48"/>
      <c r="D74" s="36"/>
    </row>
    <row r="75" spans="2:4" x14ac:dyDescent="0.2">
      <c r="B75" s="48"/>
      <c r="D75" s="36"/>
    </row>
    <row r="76" spans="2:4" x14ac:dyDescent="0.2">
      <c r="B76" s="48"/>
      <c r="D76" s="36"/>
    </row>
    <row r="77" spans="2:4" x14ac:dyDescent="0.2">
      <c r="B77" s="48"/>
      <c r="D77" s="36"/>
    </row>
    <row r="78" spans="2:4" x14ac:dyDescent="0.2">
      <c r="B78" s="48"/>
      <c r="D78" s="36"/>
    </row>
    <row r="79" spans="2:4" x14ac:dyDescent="0.2">
      <c r="B79" s="48"/>
      <c r="D79" s="36"/>
    </row>
    <row r="80" spans="2:4" x14ac:dyDescent="0.2">
      <c r="B80" s="48"/>
      <c r="D80" s="36"/>
    </row>
    <row r="81" spans="2:4" x14ac:dyDescent="0.2">
      <c r="B81" s="48"/>
      <c r="D81" s="36"/>
    </row>
    <row r="82" spans="2:4" x14ac:dyDescent="0.2">
      <c r="B82" s="48"/>
      <c r="D82" s="36"/>
    </row>
    <row r="83" spans="2:4" x14ac:dyDescent="0.2">
      <c r="B83" s="48"/>
      <c r="D83" s="36"/>
    </row>
    <row r="84" spans="2:4" x14ac:dyDescent="0.2">
      <c r="B84" s="48"/>
      <c r="D84" s="36"/>
    </row>
    <row r="85" spans="2:4" x14ac:dyDescent="0.2">
      <c r="B85" s="48"/>
      <c r="D85" s="36"/>
    </row>
    <row r="86" spans="2:4" x14ac:dyDescent="0.2">
      <c r="B86" s="48"/>
      <c r="D86" s="36"/>
    </row>
    <row r="87" spans="2:4" x14ac:dyDescent="0.2">
      <c r="B87" s="48"/>
      <c r="D87" s="36"/>
    </row>
    <row r="88" spans="2:4" x14ac:dyDescent="0.2">
      <c r="B88" s="48"/>
      <c r="D88" s="36"/>
    </row>
    <row r="89" spans="2:4" x14ac:dyDescent="0.2">
      <c r="B89" s="48"/>
      <c r="D89" s="36"/>
    </row>
    <row r="90" spans="2:4" x14ac:dyDescent="0.2">
      <c r="B90" s="48"/>
      <c r="D90" s="36"/>
    </row>
    <row r="91" spans="2:4" x14ac:dyDescent="0.2">
      <c r="B91" s="48"/>
      <c r="D91" s="36"/>
    </row>
    <row r="92" spans="2:4" x14ac:dyDescent="0.2">
      <c r="B92" s="48"/>
      <c r="D92" s="36"/>
    </row>
    <row r="93" spans="2:4" x14ac:dyDescent="0.2">
      <c r="B93" s="48"/>
      <c r="D93" s="36"/>
    </row>
    <row r="94" spans="2:4" x14ac:dyDescent="0.2">
      <c r="B94" s="48"/>
      <c r="D94" s="36"/>
    </row>
    <row r="95" spans="2:4" x14ac:dyDescent="0.2">
      <c r="B95" s="48"/>
      <c r="D95" s="36"/>
    </row>
    <row r="96" spans="2:4" x14ac:dyDescent="0.2">
      <c r="B96" s="48"/>
      <c r="D96" s="36"/>
    </row>
    <row r="97" spans="2:4" x14ac:dyDescent="0.2">
      <c r="B97" s="48"/>
      <c r="D97" s="36"/>
    </row>
    <row r="98" spans="2:4" x14ac:dyDescent="0.2">
      <c r="B98" s="48"/>
      <c r="D98" s="36"/>
    </row>
    <row r="99" spans="2:4" x14ac:dyDescent="0.2">
      <c r="B99" s="48"/>
      <c r="D99" s="36"/>
    </row>
    <row r="100" spans="2:4" x14ac:dyDescent="0.2">
      <c r="B100" s="48"/>
      <c r="D100" s="36"/>
    </row>
    <row r="101" spans="2:4" x14ac:dyDescent="0.2">
      <c r="B101" s="48"/>
      <c r="D101" s="36"/>
    </row>
    <row r="102" spans="2:4" x14ac:dyDescent="0.2">
      <c r="B102" s="48"/>
      <c r="D102" s="36"/>
    </row>
    <row r="103" spans="2:4" x14ac:dyDescent="0.2">
      <c r="B103" s="48"/>
      <c r="D103" s="36"/>
    </row>
    <row r="104" spans="2:4" x14ac:dyDescent="0.2">
      <c r="B104" s="48"/>
      <c r="D104" s="36"/>
    </row>
    <row r="105" spans="2:4" x14ac:dyDescent="0.2">
      <c r="B105" s="48"/>
      <c r="D105" s="36"/>
    </row>
    <row r="106" spans="2:4" x14ac:dyDescent="0.2">
      <c r="B106" s="48"/>
      <c r="D106" s="36"/>
    </row>
    <row r="107" spans="2:4" x14ac:dyDescent="0.2">
      <c r="B107" s="48"/>
      <c r="D107" s="36"/>
    </row>
    <row r="108" spans="2:4" x14ac:dyDescent="0.2">
      <c r="B108" s="48"/>
      <c r="D108" s="36"/>
    </row>
    <row r="109" spans="2:4" x14ac:dyDescent="0.2">
      <c r="B109" s="48"/>
      <c r="D109" s="36"/>
    </row>
    <row r="110" spans="2:4" x14ac:dyDescent="0.2">
      <c r="B110" s="48"/>
      <c r="D110" s="36"/>
    </row>
    <row r="111" spans="2:4" x14ac:dyDescent="0.2">
      <c r="B111" s="48"/>
      <c r="D111" s="36"/>
    </row>
    <row r="112" spans="2:4" x14ac:dyDescent="0.2">
      <c r="B112" s="48"/>
      <c r="D112" s="36"/>
    </row>
    <row r="113" spans="2:4" x14ac:dyDescent="0.2">
      <c r="B113" s="48"/>
      <c r="D113" s="36"/>
    </row>
    <row r="114" spans="2:4" x14ac:dyDescent="0.2">
      <c r="B114" s="48"/>
      <c r="D114" s="36"/>
    </row>
    <row r="115" spans="2:4" x14ac:dyDescent="0.2">
      <c r="B115" s="48"/>
      <c r="D115" s="36"/>
    </row>
    <row r="116" spans="2:4" x14ac:dyDescent="0.2">
      <c r="B116" s="48"/>
      <c r="D116" s="36"/>
    </row>
    <row r="117" spans="2:4" x14ac:dyDescent="0.2">
      <c r="B117" s="48"/>
      <c r="D117" s="36"/>
    </row>
    <row r="118" spans="2:4" x14ac:dyDescent="0.2">
      <c r="B118" s="48"/>
      <c r="D118" s="36"/>
    </row>
    <row r="119" spans="2:4" x14ac:dyDescent="0.2">
      <c r="B119" s="48"/>
      <c r="D119" s="36"/>
    </row>
    <row r="120" spans="2:4" x14ac:dyDescent="0.2">
      <c r="B120" s="48"/>
      <c r="D120" s="36"/>
    </row>
    <row r="121" spans="2:4" x14ac:dyDescent="0.2">
      <c r="B121" s="48"/>
      <c r="D121" s="36"/>
    </row>
    <row r="122" spans="2:4" x14ac:dyDescent="0.2">
      <c r="B122" s="48"/>
      <c r="D122" s="36"/>
    </row>
    <row r="123" spans="2:4" x14ac:dyDescent="0.2">
      <c r="B123" s="48"/>
      <c r="D123" s="36"/>
    </row>
    <row r="124" spans="2:4" x14ac:dyDescent="0.2">
      <c r="B124" s="48"/>
      <c r="D124" s="36"/>
    </row>
    <row r="125" spans="2:4" x14ac:dyDescent="0.2">
      <c r="B125" s="48"/>
      <c r="D125" s="36"/>
    </row>
    <row r="126" spans="2:4" x14ac:dyDescent="0.2">
      <c r="B126" s="48"/>
      <c r="D126" s="36"/>
    </row>
    <row r="127" spans="2:4" x14ac:dyDescent="0.2">
      <c r="B127" s="48"/>
      <c r="D127" s="36"/>
    </row>
    <row r="128" spans="2:4" x14ac:dyDescent="0.2">
      <c r="B128" s="48"/>
      <c r="D128" s="36"/>
    </row>
    <row r="129" spans="2:4" x14ac:dyDescent="0.2">
      <c r="B129" s="48"/>
      <c r="D129" s="36"/>
    </row>
    <row r="130" spans="2:4" x14ac:dyDescent="0.2">
      <c r="B130" s="48"/>
      <c r="D130" s="36"/>
    </row>
    <row r="131" spans="2:4" x14ac:dyDescent="0.2">
      <c r="B131" s="48"/>
      <c r="D131" s="36"/>
    </row>
    <row r="132" spans="2:4" x14ac:dyDescent="0.2">
      <c r="B132" s="48"/>
      <c r="D132" s="36"/>
    </row>
    <row r="133" spans="2:4" x14ac:dyDescent="0.2">
      <c r="B133" s="48"/>
      <c r="D133" s="36"/>
    </row>
    <row r="134" spans="2:4" x14ac:dyDescent="0.2">
      <c r="B134" s="48"/>
      <c r="D134" s="36"/>
    </row>
    <row r="135" spans="2:4" x14ac:dyDescent="0.2">
      <c r="B135" s="48"/>
      <c r="D135" s="36"/>
    </row>
    <row r="136" spans="2:4" x14ac:dyDescent="0.2">
      <c r="B136" s="48"/>
      <c r="D136" s="36"/>
    </row>
    <row r="137" spans="2:4" x14ac:dyDescent="0.2">
      <c r="B137" s="48"/>
      <c r="D137" s="36"/>
    </row>
    <row r="138" spans="2:4" x14ac:dyDescent="0.2">
      <c r="B138" s="48"/>
      <c r="D138" s="36"/>
    </row>
    <row r="139" spans="2:4" x14ac:dyDescent="0.2">
      <c r="B139" s="48"/>
      <c r="D139" s="36"/>
    </row>
    <row r="140" spans="2:4" x14ac:dyDescent="0.2">
      <c r="B140" s="48"/>
      <c r="D140" s="36"/>
    </row>
    <row r="141" spans="2:4" x14ac:dyDescent="0.2">
      <c r="B141" s="48"/>
      <c r="D141" s="36"/>
    </row>
    <row r="142" spans="2:4" x14ac:dyDescent="0.2">
      <c r="B142" s="48"/>
      <c r="D142" s="36"/>
    </row>
    <row r="143" spans="2:4" x14ac:dyDescent="0.2">
      <c r="B143" s="48"/>
      <c r="D143" s="36"/>
    </row>
    <row r="144" spans="2:4" x14ac:dyDescent="0.2">
      <c r="B144" s="48"/>
      <c r="D144" s="36"/>
    </row>
    <row r="145" spans="2:4" x14ac:dyDescent="0.2">
      <c r="B145" s="48"/>
      <c r="D145" s="36"/>
    </row>
    <row r="146" spans="2:4" x14ac:dyDescent="0.2">
      <c r="B146" s="48"/>
      <c r="D146" s="36"/>
    </row>
    <row r="147" spans="2:4" x14ac:dyDescent="0.2">
      <c r="B147" s="48"/>
      <c r="D147" s="36"/>
    </row>
    <row r="148" spans="2:4" x14ac:dyDescent="0.2">
      <c r="B148" s="48"/>
      <c r="D148" s="36"/>
    </row>
    <row r="149" spans="2:4" x14ac:dyDescent="0.2">
      <c r="B149" s="48"/>
      <c r="D149" s="36"/>
    </row>
    <row r="150" spans="2:4" x14ac:dyDescent="0.2">
      <c r="B150" s="48"/>
      <c r="D150" s="36"/>
    </row>
    <row r="151" spans="2:4" x14ac:dyDescent="0.2">
      <c r="B151" s="48"/>
      <c r="D151" s="36"/>
    </row>
    <row r="152" spans="2:4" x14ac:dyDescent="0.2">
      <c r="B152" s="48"/>
      <c r="D152" s="36"/>
    </row>
    <row r="153" spans="2:4" x14ac:dyDescent="0.2">
      <c r="B153" s="48"/>
      <c r="D153" s="36"/>
    </row>
    <row r="154" spans="2:4" x14ac:dyDescent="0.2">
      <c r="B154" s="48"/>
      <c r="D154" s="36"/>
    </row>
    <row r="155" spans="2:4" x14ac:dyDescent="0.2">
      <c r="B155" s="48"/>
      <c r="D155" s="36"/>
    </row>
    <row r="156" spans="2:4" x14ac:dyDescent="0.2">
      <c r="B156" s="48"/>
      <c r="D156" s="36"/>
    </row>
    <row r="157" spans="2:4" x14ac:dyDescent="0.2">
      <c r="B157" s="48"/>
      <c r="D157" s="36"/>
    </row>
    <row r="158" spans="2:4" x14ac:dyDescent="0.2">
      <c r="B158" s="48"/>
      <c r="D158" s="36"/>
    </row>
    <row r="159" spans="2:4" x14ac:dyDescent="0.2">
      <c r="B159" s="48"/>
      <c r="D159" s="36"/>
    </row>
    <row r="160" spans="2:4" x14ac:dyDescent="0.2">
      <c r="B160" s="48"/>
      <c r="D160" s="36"/>
    </row>
    <row r="161" spans="2:4" x14ac:dyDescent="0.2">
      <c r="B161" s="48"/>
      <c r="D161" s="36"/>
    </row>
    <row r="162" spans="2:4" x14ac:dyDescent="0.2">
      <c r="B162" s="48"/>
      <c r="D162" s="36"/>
    </row>
    <row r="163" spans="2:4" x14ac:dyDescent="0.2">
      <c r="B163" s="48"/>
      <c r="D163" s="36"/>
    </row>
    <row r="164" spans="2:4" x14ac:dyDescent="0.2">
      <c r="B164" s="48"/>
      <c r="D164" s="36"/>
    </row>
    <row r="165" spans="2:4" x14ac:dyDescent="0.2">
      <c r="B165" s="48"/>
      <c r="D165" s="36"/>
    </row>
    <row r="166" spans="2:4" x14ac:dyDescent="0.2">
      <c r="B166" s="48"/>
      <c r="D166" s="36"/>
    </row>
    <row r="167" spans="2:4" x14ac:dyDescent="0.2">
      <c r="B167" s="48"/>
      <c r="D167" s="36"/>
    </row>
    <row r="168" spans="2:4" x14ac:dyDescent="0.2">
      <c r="B168" s="48"/>
      <c r="D168" s="36"/>
    </row>
    <row r="169" spans="2:4" x14ac:dyDescent="0.2">
      <c r="B169" s="48"/>
      <c r="D169" s="36"/>
    </row>
    <row r="170" spans="2:4" x14ac:dyDescent="0.2">
      <c r="B170" s="48"/>
      <c r="D170" s="36"/>
    </row>
    <row r="171" spans="2:4" x14ac:dyDescent="0.2">
      <c r="B171" s="48"/>
      <c r="D171" s="36"/>
    </row>
    <row r="172" spans="2:4" x14ac:dyDescent="0.2">
      <c r="B172" s="48"/>
      <c r="D172" s="36"/>
    </row>
    <row r="173" spans="2:4" x14ac:dyDescent="0.2">
      <c r="B173" s="48"/>
      <c r="D173" s="36"/>
    </row>
    <row r="174" spans="2:4" x14ac:dyDescent="0.2">
      <c r="B174" s="48"/>
      <c r="D174" s="36"/>
    </row>
    <row r="175" spans="2:4" x14ac:dyDescent="0.2">
      <c r="B175" s="48"/>
      <c r="D175" s="36"/>
    </row>
    <row r="176" spans="2:4" x14ac:dyDescent="0.2">
      <c r="B176" s="48"/>
      <c r="D176" s="36"/>
    </row>
    <row r="177" spans="2:4" x14ac:dyDescent="0.2">
      <c r="B177" s="48"/>
      <c r="D177" s="36"/>
    </row>
    <row r="178" spans="2:4" x14ac:dyDescent="0.2">
      <c r="B178" s="48"/>
      <c r="D178" s="36"/>
    </row>
    <row r="179" spans="2:4" x14ac:dyDescent="0.2">
      <c r="B179" s="48"/>
      <c r="D179" s="36"/>
    </row>
    <row r="180" spans="2:4" x14ac:dyDescent="0.2">
      <c r="B180" s="48"/>
      <c r="D180" s="36"/>
    </row>
    <row r="181" spans="2:4" x14ac:dyDescent="0.2">
      <c r="B181" s="48"/>
      <c r="D181" s="36"/>
    </row>
    <row r="182" spans="2:4" x14ac:dyDescent="0.2">
      <c r="B182" s="48"/>
      <c r="D182" s="36"/>
    </row>
    <row r="183" spans="2:4" x14ac:dyDescent="0.2">
      <c r="B183" s="48"/>
      <c r="D183" s="36"/>
    </row>
    <row r="184" spans="2:4" x14ac:dyDescent="0.2">
      <c r="B184" s="48"/>
      <c r="D184" s="36"/>
    </row>
    <row r="185" spans="2:4" x14ac:dyDescent="0.2">
      <c r="B185" s="48"/>
      <c r="D185" s="36"/>
    </row>
    <row r="186" spans="2:4" x14ac:dyDescent="0.2">
      <c r="B186" s="48"/>
      <c r="D186" s="36"/>
    </row>
    <row r="187" spans="2:4" x14ac:dyDescent="0.2">
      <c r="B187" s="48"/>
      <c r="D187" s="36"/>
    </row>
    <row r="188" spans="2:4" x14ac:dyDescent="0.2">
      <c r="B188" s="48"/>
      <c r="D188" s="36"/>
    </row>
    <row r="189" spans="2:4" x14ac:dyDescent="0.2">
      <c r="B189" s="48"/>
      <c r="D189" s="36"/>
    </row>
    <row r="190" spans="2:4" x14ac:dyDescent="0.2">
      <c r="B190" s="48"/>
      <c r="D190" s="36"/>
    </row>
    <row r="191" spans="2:4" x14ac:dyDescent="0.2">
      <c r="B191" s="48"/>
      <c r="D191" s="36"/>
    </row>
    <row r="192" spans="2:4" x14ac:dyDescent="0.2">
      <c r="B192" s="48"/>
      <c r="D192" s="36"/>
    </row>
    <row r="193" spans="2:4" x14ac:dyDescent="0.2">
      <c r="B193" s="48"/>
      <c r="D193" s="36"/>
    </row>
    <row r="194" spans="2:4" x14ac:dyDescent="0.2">
      <c r="B194" s="48"/>
      <c r="D194" s="36"/>
    </row>
    <row r="195" spans="2:4" x14ac:dyDescent="0.2">
      <c r="B195" s="48"/>
      <c r="D195" s="36"/>
    </row>
    <row r="196" spans="2:4" x14ac:dyDescent="0.2">
      <c r="B196" s="48"/>
      <c r="D196" s="36"/>
    </row>
    <row r="197" spans="2:4" x14ac:dyDescent="0.2">
      <c r="B197" s="48"/>
      <c r="D197" s="36"/>
    </row>
    <row r="198" spans="2:4" x14ac:dyDescent="0.2">
      <c r="B198" s="48"/>
      <c r="D198" s="36"/>
    </row>
    <row r="199" spans="2:4" x14ac:dyDescent="0.2">
      <c r="B199" s="48"/>
      <c r="D199" s="36"/>
    </row>
    <row r="200" spans="2:4" x14ac:dyDescent="0.2">
      <c r="B200" s="48"/>
      <c r="D200" s="36"/>
    </row>
    <row r="201" spans="2:4" x14ac:dyDescent="0.2">
      <c r="B201" s="48"/>
      <c r="D201" s="36"/>
    </row>
    <row r="202" spans="2:4" x14ac:dyDescent="0.2">
      <c r="B202" s="48"/>
      <c r="D202" s="36"/>
    </row>
    <row r="203" spans="2:4" x14ac:dyDescent="0.2">
      <c r="B203" s="48"/>
      <c r="D203" s="36"/>
    </row>
    <row r="204" spans="2:4" x14ac:dyDescent="0.2">
      <c r="B204" s="48"/>
      <c r="D204" s="36"/>
    </row>
    <row r="205" spans="2:4" x14ac:dyDescent="0.2">
      <c r="B205" s="48"/>
      <c r="D205" s="36"/>
    </row>
    <row r="206" spans="2:4" x14ac:dyDescent="0.2">
      <c r="B206" s="48"/>
      <c r="D206" s="36"/>
    </row>
    <row r="207" spans="2:4" x14ac:dyDescent="0.2">
      <c r="B207" s="48"/>
      <c r="D207" s="36"/>
    </row>
    <row r="208" spans="2:4" x14ac:dyDescent="0.2">
      <c r="B208" s="48"/>
      <c r="D208" s="36"/>
    </row>
    <row r="209" spans="2:4" x14ac:dyDescent="0.2">
      <c r="B209" s="48"/>
      <c r="D209" s="36"/>
    </row>
    <row r="210" spans="2:4" x14ac:dyDescent="0.2">
      <c r="B210" s="48"/>
      <c r="D210" s="36"/>
    </row>
    <row r="211" spans="2:4" x14ac:dyDescent="0.2">
      <c r="B211" s="48"/>
      <c r="D211" s="36"/>
    </row>
    <row r="212" spans="2:4" x14ac:dyDescent="0.2">
      <c r="B212" s="48"/>
      <c r="D212" s="36"/>
    </row>
    <row r="213" spans="2:4" x14ac:dyDescent="0.2">
      <c r="B213" s="48"/>
      <c r="D213" s="36"/>
    </row>
    <row r="214" spans="2:4" x14ac:dyDescent="0.2">
      <c r="B214" s="48"/>
      <c r="D214" s="36"/>
    </row>
    <row r="215" spans="2:4" x14ac:dyDescent="0.2">
      <c r="B215" s="48"/>
      <c r="D215" s="36"/>
    </row>
    <row r="216" spans="2:4" x14ac:dyDescent="0.2">
      <c r="B216" s="48"/>
      <c r="D216" s="36"/>
    </row>
    <row r="217" spans="2:4" x14ac:dyDescent="0.2">
      <c r="B217" s="48"/>
      <c r="D217" s="36"/>
    </row>
    <row r="218" spans="2:4" x14ac:dyDescent="0.2">
      <c r="B218" s="48"/>
      <c r="D218" s="36"/>
    </row>
    <row r="219" spans="2:4" x14ac:dyDescent="0.2">
      <c r="B219" s="48"/>
      <c r="D219" s="36"/>
    </row>
    <row r="220" spans="2:4" x14ac:dyDescent="0.2">
      <c r="B220" s="48"/>
      <c r="D220" s="36"/>
    </row>
    <row r="221" spans="2:4" x14ac:dyDescent="0.2">
      <c r="B221" s="48"/>
      <c r="D221" s="36"/>
    </row>
    <row r="222" spans="2:4" x14ac:dyDescent="0.2">
      <c r="B222" s="48"/>
      <c r="D222" s="36"/>
    </row>
    <row r="223" spans="2:4" x14ac:dyDescent="0.2">
      <c r="B223" s="48"/>
      <c r="D223" s="36"/>
    </row>
    <row r="224" spans="2:4" x14ac:dyDescent="0.2">
      <c r="B224" s="48"/>
      <c r="D224" s="36"/>
    </row>
    <row r="225" spans="2:4" x14ac:dyDescent="0.2">
      <c r="B225" s="48"/>
      <c r="D225" s="36"/>
    </row>
    <row r="226" spans="2:4" x14ac:dyDescent="0.2">
      <c r="B226" s="48"/>
      <c r="D226" s="36"/>
    </row>
    <row r="227" spans="2:4" x14ac:dyDescent="0.2">
      <c r="B227" s="48"/>
      <c r="D227" s="36"/>
    </row>
    <row r="228" spans="2:4" x14ac:dyDescent="0.2">
      <c r="B228" s="48"/>
      <c r="D228" s="36"/>
    </row>
    <row r="229" spans="2:4" x14ac:dyDescent="0.2">
      <c r="B229" s="48"/>
      <c r="D229" s="36"/>
    </row>
    <row r="230" spans="2:4" x14ac:dyDescent="0.2">
      <c r="B230" s="48"/>
      <c r="D230" s="36"/>
    </row>
    <row r="231" spans="2:4" x14ac:dyDescent="0.2">
      <c r="B231" s="48"/>
      <c r="D231" s="36"/>
    </row>
    <row r="232" spans="2:4" x14ac:dyDescent="0.2">
      <c r="B232" s="48"/>
      <c r="D232" s="36"/>
    </row>
    <row r="233" spans="2:4" x14ac:dyDescent="0.2">
      <c r="B233" s="48"/>
      <c r="D233" s="36"/>
    </row>
    <row r="234" spans="2:4" x14ac:dyDescent="0.2">
      <c r="B234" s="48"/>
      <c r="D234" s="36"/>
    </row>
    <row r="235" spans="2:4" x14ac:dyDescent="0.2">
      <c r="B235" s="48"/>
      <c r="D235" s="36"/>
    </row>
    <row r="236" spans="2:4" x14ac:dyDescent="0.2">
      <c r="B236" s="48"/>
      <c r="D236" s="36"/>
    </row>
    <row r="237" spans="2:4" x14ac:dyDescent="0.2">
      <c r="B237" s="48"/>
      <c r="D237" s="36"/>
    </row>
    <row r="238" spans="2:4" x14ac:dyDescent="0.2">
      <c r="B238" s="48"/>
      <c r="D238" s="36"/>
    </row>
    <row r="239" spans="2:4" x14ac:dyDescent="0.2">
      <c r="B239" s="48"/>
      <c r="D239" s="36"/>
    </row>
    <row r="240" spans="2:4" x14ac:dyDescent="0.2">
      <c r="B240" s="48"/>
      <c r="D240" s="36"/>
    </row>
    <row r="241" spans="2:4" x14ac:dyDescent="0.2">
      <c r="B241" s="48"/>
      <c r="D241" s="36"/>
    </row>
    <row r="242" spans="2:4" x14ac:dyDescent="0.2">
      <c r="B242" s="48"/>
      <c r="D242" s="36"/>
    </row>
    <row r="243" spans="2:4" x14ac:dyDescent="0.2">
      <c r="B243" s="48"/>
      <c r="D243" s="36"/>
    </row>
    <row r="244" spans="2:4" x14ac:dyDescent="0.2">
      <c r="B244" s="48"/>
      <c r="D244" s="36"/>
    </row>
    <row r="245" spans="2:4" x14ac:dyDescent="0.2">
      <c r="B245" s="48"/>
      <c r="D245" s="36"/>
    </row>
    <row r="246" spans="2:4" x14ac:dyDescent="0.2">
      <c r="B246" s="48"/>
      <c r="D246" s="36"/>
    </row>
    <row r="247" spans="2:4" x14ac:dyDescent="0.2">
      <c r="B247" s="48"/>
      <c r="D247" s="36"/>
    </row>
    <row r="248" spans="2:4" x14ac:dyDescent="0.2">
      <c r="B248" s="48"/>
      <c r="D248" s="36"/>
    </row>
    <row r="249" spans="2:4" x14ac:dyDescent="0.2">
      <c r="B249" s="48"/>
      <c r="D249" s="36"/>
    </row>
    <row r="250" spans="2:4" x14ac:dyDescent="0.2">
      <c r="B250" s="48"/>
      <c r="D250" s="36"/>
    </row>
    <row r="251" spans="2:4" x14ac:dyDescent="0.2">
      <c r="B251" s="48"/>
      <c r="D251" s="36"/>
    </row>
    <row r="252" spans="2:4" x14ac:dyDescent="0.2">
      <c r="B252" s="48"/>
      <c r="D252" s="36"/>
    </row>
    <row r="253" spans="2:4" x14ac:dyDescent="0.2">
      <c r="B253" s="48"/>
      <c r="D253" s="36"/>
    </row>
    <row r="254" spans="2:4" x14ac:dyDescent="0.2">
      <c r="B254" s="48"/>
      <c r="D254" s="36"/>
    </row>
    <row r="255" spans="2:4" x14ac:dyDescent="0.2">
      <c r="B255" s="48"/>
      <c r="D255" s="36"/>
    </row>
    <row r="256" spans="2:4" x14ac:dyDescent="0.2">
      <c r="B256" s="48"/>
      <c r="D256" s="36"/>
    </row>
    <row r="257" spans="2:4" x14ac:dyDescent="0.2">
      <c r="B257" s="48"/>
      <c r="D257" s="36"/>
    </row>
    <row r="258" spans="2:4" x14ac:dyDescent="0.2">
      <c r="B258" s="48"/>
      <c r="D258" s="36"/>
    </row>
    <row r="259" spans="2:4" x14ac:dyDescent="0.2">
      <c r="B259" s="48"/>
      <c r="D259" s="36"/>
    </row>
    <row r="260" spans="2:4" x14ac:dyDescent="0.2">
      <c r="B260" s="48"/>
      <c r="D260" s="36"/>
    </row>
    <row r="261" spans="2:4" x14ac:dyDescent="0.2">
      <c r="B261" s="48"/>
      <c r="D261" s="36"/>
    </row>
    <row r="262" spans="2:4" x14ac:dyDescent="0.2">
      <c r="B262" s="48"/>
      <c r="D262" s="36"/>
    </row>
    <row r="263" spans="2:4" x14ac:dyDescent="0.2">
      <c r="B263" s="48"/>
      <c r="D263" s="36"/>
    </row>
    <row r="264" spans="2:4" x14ac:dyDescent="0.2">
      <c r="B264" s="48"/>
      <c r="D264" s="36"/>
    </row>
    <row r="265" spans="2:4" x14ac:dyDescent="0.2">
      <c r="B265" s="48"/>
      <c r="D265" s="36"/>
    </row>
    <row r="266" spans="2:4" x14ac:dyDescent="0.2">
      <c r="B266" s="48"/>
      <c r="D266" s="36"/>
    </row>
    <row r="267" spans="2:4" x14ac:dyDescent="0.2">
      <c r="B267" s="48"/>
      <c r="D267" s="36"/>
    </row>
    <row r="268" spans="2:4" x14ac:dyDescent="0.2">
      <c r="B268" s="48"/>
      <c r="D268" s="36"/>
    </row>
    <row r="269" spans="2:4" x14ac:dyDescent="0.2">
      <c r="B269" s="48"/>
      <c r="D269" s="36"/>
    </row>
    <row r="270" spans="2:4" x14ac:dyDescent="0.2">
      <c r="B270" s="48"/>
      <c r="D270" s="36"/>
    </row>
    <row r="271" spans="2:4" x14ac:dyDescent="0.2">
      <c r="B271" s="48"/>
      <c r="D271" s="36"/>
    </row>
    <row r="272" spans="2:4" x14ac:dyDescent="0.2">
      <c r="B272" s="48"/>
      <c r="D272" s="36"/>
    </row>
  </sheetData>
  <sheetProtection algorithmName="SHA-512" hashValue="u5HtfZUKmpVF1RpbUCvicloAZNiA5/nqJID54k7JBtlEVrczCgKPf4qAYFPmi1zX/HFndSqb4ZXtsos0fPStrA==" saltValue="N712u+PIkQ0CnB1WMc29Hw==" spinCount="100000" sheet="1" objects="1" scenarios="1"/>
  <mergeCells count="7">
    <mergeCell ref="C6:D6"/>
    <mergeCell ref="R10:R12"/>
    <mergeCell ref="B10:B12"/>
    <mergeCell ref="C10:C12"/>
    <mergeCell ref="D10:D12"/>
    <mergeCell ref="P10:P12"/>
    <mergeCell ref="Q10:Q12"/>
  </mergeCells>
  <conditionalFormatting sqref="B13:R64">
    <cfRule type="expression" dxfId="45"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workbookViewId="0">
      <selection activeCell="O11" sqref="O11"/>
    </sheetView>
  </sheetViews>
  <sheetFormatPr defaultRowHeight="14.25" x14ac:dyDescent="0.2"/>
  <cols>
    <col min="2" max="2" width="17.25" bestFit="1" customWidth="1"/>
    <col min="3" max="3" width="12.5" bestFit="1" customWidth="1"/>
    <col min="5" max="5" width="13" bestFit="1" customWidth="1"/>
    <col min="6" max="7" width="13" customWidth="1"/>
    <col min="8" max="9" width="11.125" bestFit="1" customWidth="1"/>
    <col min="10" max="10" width="14.5" bestFit="1" customWidth="1"/>
    <col min="11" max="12" width="8.75" bestFit="1" customWidth="1"/>
    <col min="13" max="14" width="8.75" customWidth="1"/>
    <col min="15" max="17" width="8.75" bestFit="1" customWidth="1"/>
    <col min="18" max="18" width="6.625" bestFit="1" customWidth="1"/>
    <col min="19" max="19" width="5.25" bestFit="1" customWidth="1"/>
    <col min="21" max="21" width="15.5" bestFit="1" customWidth="1"/>
    <col min="23" max="23" width="9.75" bestFit="1" customWidth="1"/>
    <col min="29" max="29" width="14.625" customWidth="1"/>
    <col min="30" max="30" width="9.75" style="36" customWidth="1"/>
    <col min="31" max="39" width="9" customWidth="1"/>
    <col min="40" max="41" width="9" hidden="1" customWidth="1"/>
    <col min="42" max="50" width="9" customWidth="1"/>
  </cols>
  <sheetData>
    <row r="1" spans="2:63" x14ac:dyDescent="0.2">
      <c r="B1" t="s">
        <v>220</v>
      </c>
      <c r="C1" t="s">
        <v>221</v>
      </c>
      <c r="E1" t="s">
        <v>223</v>
      </c>
      <c r="H1">
        <f ca="1">OFFSET('Demand background (hide)'!$BN$6,COLUMN(A1)-1,0,1,1)</f>
        <v>30</v>
      </c>
      <c r="I1">
        <f ca="1">OFFSET('Demand background (hide)'!$BN$6,COLUMN(B1)-1,0,1,1)</f>
        <v>40</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256</v>
      </c>
      <c r="AP1" t="s">
        <v>271</v>
      </c>
    </row>
    <row r="2" spans="2:63" x14ac:dyDescent="0.2">
      <c r="B2">
        <f ca="1">IF(Planned!$C$6&lt;&gt;"Overall",COUNTBLANK(OFFSET(Planned!E13,0,0,1,Num_Modalities)),IF(COUNTBLANK(Planned!O13)=1,Num_Modalities,0))</f>
        <v>0</v>
      </c>
      <c r="C2">
        <f ca="1">SUM(OFFSET(Planned!$E13,0,0,1,Num_Modalities))</f>
        <v>0</v>
      </c>
      <c r="E2" t="s">
        <v>150</v>
      </c>
      <c r="F2" t="s">
        <v>56</v>
      </c>
      <c r="G2" t="s">
        <v>1</v>
      </c>
      <c r="H2" t="str">
        <f ca="1">OFFSET('Control sheet (hide)'!$AA$3,COLUMN(A1)-1,0,1,1)</f>
        <v>Test name 1</v>
      </c>
      <c r="I2" t="str">
        <f ca="1">OFFSET('Control sheet (hide)'!$AA$3,COLUMN(B1)-1,0,1,1)</f>
        <v>Test name 2</v>
      </c>
      <c r="J2" t="str">
        <f ca="1">OFFSET('Control sheet (hide)'!$AA$3,COLUMN(C1)-1,0,1,1)</f>
        <v>Another modality</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67</v>
      </c>
      <c r="AB2" t="str">
        <f t="shared" ref="AB2:AB33" si="0">E2</f>
        <v>Index</v>
      </c>
      <c r="AC2" t="s">
        <v>262</v>
      </c>
      <c r="AD2" s="36" t="s">
        <v>270</v>
      </c>
      <c r="AE2" t="s">
        <v>267</v>
      </c>
      <c r="AF2" t="s">
        <v>156</v>
      </c>
      <c r="AG2" t="s">
        <v>257</v>
      </c>
      <c r="AH2" t="s">
        <v>263</v>
      </c>
      <c r="AI2" s="51" t="s">
        <v>258</v>
      </c>
      <c r="AJ2" s="51" t="s">
        <v>259</v>
      </c>
      <c r="AK2" s="51" t="s">
        <v>260</v>
      </c>
      <c r="AL2" s="51" t="s">
        <v>261</v>
      </c>
      <c r="AM2" s="51" t="s">
        <v>264</v>
      </c>
      <c r="AN2" t="s">
        <v>265</v>
      </c>
      <c r="AO2" t="s">
        <v>266</v>
      </c>
      <c r="AP2">
        <v>1</v>
      </c>
      <c r="AQ2" t="s">
        <v>272</v>
      </c>
      <c r="AR2">
        <v>2</v>
      </c>
      <c r="AS2" t="s">
        <v>273</v>
      </c>
      <c r="AT2">
        <v>3</v>
      </c>
      <c r="AU2" t="s">
        <v>274</v>
      </c>
      <c r="AV2">
        <v>4</v>
      </c>
      <c r="AW2" t="s">
        <v>74</v>
      </c>
      <c r="AZ2" s="3"/>
      <c r="BA2" s="3"/>
    </row>
    <row r="3" spans="2:63" x14ac:dyDescent="0.2">
      <c r="B3" s="67">
        <f ca="1">IF(Planned!$C$6&lt;&gt;"Overall",COUNTBLANK(OFFSET(Planned!E14,0,0,1,Num_Modalities)),IF(COUNTBLANK(Planned!O14)=1,Num_Modalities,0))</f>
        <v>0</v>
      </c>
      <c r="C3">
        <f ca="1">SUM(OFFSET(Planned!$E14,0,0,1,Num_Modalities))</f>
        <v>0</v>
      </c>
      <c r="E3">
        <f>Planned!A13</f>
        <v>1</v>
      </c>
      <c r="F3" s="36">
        <f>Planned!C13</f>
        <v>1</v>
      </c>
      <c r="G3" s="49"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f ca="1">IF(Planned!$C$6="Overall",Planned!O13*'Planned background (hide)'!R$1,"")</f>
        <v>4</v>
      </c>
      <c r="S3" s="5">
        <f ca="1">IF(Planned!R13&lt;&gt;"Yes",IF(Planned!$C$6&lt;&gt;"Overall",SUM(OFFSET('Planned background (hide)'!H3,0,0,1,Num_Modalities)),'Planned background (hide)'!R3),"")</f>
        <v>4</v>
      </c>
      <c r="V3" s="5"/>
      <c r="AB3">
        <f t="shared" si="0"/>
        <v>1</v>
      </c>
      <c r="AC3" s="36">
        <f>IF(Planned!$C$8=0,'Planned background (hide)'!F3,'Planned background (hide)'!G3)</f>
        <v>1</v>
      </c>
      <c r="AD3" s="36">
        <f>IF(AND(AB3&gt;=$U$18,AB3&lt;($U$18+$AA$19)),1,0)</f>
        <v>1</v>
      </c>
      <c r="AE3" s="5">
        <f t="shared" ref="AE3:AE34" ca="1" si="1">S3</f>
        <v>4</v>
      </c>
      <c r="AF3" s="5">
        <f ca="1">$V$23</f>
        <v>3.8</v>
      </c>
      <c r="AG3">
        <f ca="1">$V$25</f>
        <v>1.5514184397163122</v>
      </c>
      <c r="AH3">
        <f ca="1">IF(AF3-(3*AG3)&lt;=0,0,AF3-(3*AG3))</f>
        <v>0</v>
      </c>
      <c r="AI3">
        <f ca="1">IF(AF3-(2*AG3)&lt;=0,0,AF3-(2*AG3))</f>
        <v>0.69716312056737539</v>
      </c>
      <c r="AJ3">
        <f ca="1">IF(AF3-(1*AG3)&lt;=0,0,AF3-(1*AG3))</f>
        <v>2.2485815602836876</v>
      </c>
      <c r="AK3">
        <f ca="1">AF3+(1*AG3)</f>
        <v>5.351418439716312</v>
      </c>
      <c r="AL3">
        <f ca="1">AF3+(2*AG3)</f>
        <v>6.9028368794326243</v>
      </c>
      <c r="AM3">
        <f ca="1">AF3+(3*AG3)</f>
        <v>8.4542553191489365</v>
      </c>
      <c r="AN3">
        <f ca="1">$V$26</f>
        <v>4.5999999999999996</v>
      </c>
      <c r="AO3">
        <f ca="1">$V$27</f>
        <v>5</v>
      </c>
      <c r="AP3" t="e">
        <f ca="1">IF(OR(AE3&gt;AM3,AE3&lt;AH3),AE3,NA())</f>
        <v>#N/A</v>
      </c>
      <c r="AQ3">
        <f ca="1">IF(AE3&gt;AL3,1,IF(AE3&lt;AI3,-1,0))</f>
        <v>0</v>
      </c>
      <c r="AU3">
        <f ca="1">IF(AE3&gt;AF3,1,IF(AE3&lt;AF3,-1,0))</f>
        <v>1</v>
      </c>
      <c r="AZ3" s="3"/>
      <c r="BA3" s="3"/>
      <c r="BH3" s="48">
        <f>IF(OR(Planned!B13=1,Planned!B13=""),AC3,Planned!B13)</f>
        <v>1</v>
      </c>
      <c r="BI3" t="str">
        <f>TEXT(Planned!D13,"mmm")</f>
        <v/>
      </c>
    </row>
    <row r="4" spans="2:63" x14ac:dyDescent="0.2">
      <c r="B4" s="67">
        <f ca="1">IF(Planned!$C$6&lt;&gt;"Overall",COUNTBLANK(OFFSET(Planned!E15,0,0,1,Num_Modalities)),IF(COUNTBLANK(Planned!O15)=1,Num_Modalities,0))</f>
        <v>0</v>
      </c>
      <c r="C4">
        <f ca="1">SUM(OFFSET(Planned!$E15,0,0,1,Num_Modalities))</f>
        <v>0</v>
      </c>
      <c r="E4">
        <f>E3+1</f>
        <v>2</v>
      </c>
      <c r="F4" s="36">
        <f>IF(G4&lt;&gt;"",WEEKNUM(G4,21),IF(MOD(F3+1,52)=0,52,MOD(F3+1,52)))</f>
        <v>2</v>
      </c>
      <c r="G4" s="49"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f ca="1">IF(Planned!$C$6="Overall",Planned!O14*'Planned background (hide)'!R$1,"")</f>
        <v>5</v>
      </c>
      <c r="S4" s="5">
        <f ca="1">IF(Planned!R14&lt;&gt;"Yes",IF(Planned!$C$6&lt;&gt;"Overall",SUM(OFFSET('Planned background (hide)'!H4,0,0,1,Num_Modalities)),'Planned background (hide)'!R4),"")</f>
        <v>5</v>
      </c>
      <c r="AB4">
        <f t="shared" si="0"/>
        <v>2</v>
      </c>
      <c r="AC4" s="36">
        <f>IF(Planned!$C$8=0,'Planned background (hide)'!F4,'Planned background (hide)'!G4)</f>
        <v>2</v>
      </c>
      <c r="AD4" s="36">
        <f t="shared" ref="AD4:AD54" si="2">IF(AND(AB4&gt;$U$18,AB4&lt;($U$18+$AA$19)),1,0)</f>
        <v>1</v>
      </c>
      <c r="AE4" s="5">
        <f t="shared" ca="1" si="1"/>
        <v>5</v>
      </c>
      <c r="AF4" s="5">
        <f t="shared" ref="AF4:AF55" ca="1" si="3">$V$23</f>
        <v>3.8</v>
      </c>
      <c r="AG4">
        <f t="shared" ref="AG4:AG55" ca="1" si="4">$V$25</f>
        <v>1.5514184397163122</v>
      </c>
      <c r="AH4" s="67">
        <f t="shared" ref="AH4:AH54" ca="1" si="5">IF(AF4-(3*AG4)&lt;=0,0,AF4-(3*AG4))</f>
        <v>0</v>
      </c>
      <c r="AI4" s="67">
        <f t="shared" ref="AI4:AI54" ca="1" si="6">IF(AF4-(2*AG4)&lt;=0,0,AF4-(2*AG4))</f>
        <v>0.69716312056737539</v>
      </c>
      <c r="AJ4" s="67">
        <f t="shared" ref="AJ4:AJ54" ca="1" si="7">IF(AF4-(1*AG4)&lt;=0,0,AF4-(1*AG4))</f>
        <v>2.2485815602836876</v>
      </c>
      <c r="AK4">
        <f t="shared" ref="AK4:AK54" ca="1" si="8">AF4+(1*AG4)</f>
        <v>5.351418439716312</v>
      </c>
      <c r="AL4">
        <f t="shared" ref="AL4:AL54" ca="1" si="9">AF4+(2*AG4)</f>
        <v>6.9028368794326243</v>
      </c>
      <c r="AM4">
        <f t="shared" ref="AM4:AM54" ca="1" si="10">AF4+(3*AG4)</f>
        <v>8.4542553191489365</v>
      </c>
      <c r="AN4">
        <f t="shared" ref="AN4:AN55" ca="1" si="11">$V$26</f>
        <v>4.5999999999999996</v>
      </c>
      <c r="AO4">
        <f t="shared" ref="AO4:AO55" ca="1" si="12">$V$27</f>
        <v>5</v>
      </c>
      <c r="AP4" t="e">
        <f t="shared" ref="AP4:AP54" ca="1" si="13">IF(OR(AE4&gt;AM4,AE4&lt;AH4),AE4,NA())</f>
        <v>#N/A</v>
      </c>
      <c r="AQ4">
        <f ca="1">IF(AE4&gt;AL4,1,IF(AE4&lt;AI4,-1,0))</f>
        <v>0</v>
      </c>
      <c r="AS4">
        <f ca="1">IF(AE4&gt;AE3,1,IF(AE4&lt;AE3,-1,0))</f>
        <v>1</v>
      </c>
      <c r="AU4">
        <f t="shared" ref="AU4:AU54" ca="1" si="14">IF(AE4&gt;AF4,1,IF(AE4&lt;AF4,-1,0))</f>
        <v>1</v>
      </c>
      <c r="AW4" s="5">
        <f ca="1">ABS(AE4-AE3)</f>
        <v>1</v>
      </c>
      <c r="AZ4" s="3"/>
      <c r="BA4" s="3"/>
      <c r="BH4" s="48">
        <f ca="1">IF(OR(Planned!B14=1,Planned!B14=""),AC4,Planned!B14)</f>
        <v>2</v>
      </c>
      <c r="BI4" t="str">
        <f ca="1">IF(TEXT(Planned!D14,"mmm")&lt;&gt;TEXT(Planned!D13,"mmm"),TEXT(Planned!D14,"mmm"),"")</f>
        <v/>
      </c>
      <c r="BK4" s="67"/>
    </row>
    <row r="5" spans="2:63" x14ac:dyDescent="0.2">
      <c r="B5" s="67">
        <f ca="1">IF(Planned!$C$6&lt;&gt;"Overall",COUNTBLANK(OFFSET(Planned!E16,0,0,1,Num_Modalities)),IF(COUNTBLANK(Planned!O16)=1,Num_Modalities,0))</f>
        <v>0</v>
      </c>
      <c r="C5">
        <f ca="1">SUM(OFFSET(Planned!$E16,0,0,1,Num_Modalities))</f>
        <v>0</v>
      </c>
      <c r="E5" s="67">
        <f t="shared" ref="E5:E55" si="15">E4+1</f>
        <v>3</v>
      </c>
      <c r="F5" s="36">
        <f t="shared" ref="F5:F54" si="16">IF(G5&lt;&gt;"",WEEKNUM(G5,21),IF(MOD(F4+1,52)=0,52,MOD(F4+1,52)))</f>
        <v>3</v>
      </c>
      <c r="G5" s="68"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f ca="1">IF(Planned!$C$6="Overall",Planned!O15*'Planned background (hide)'!R$1,"")</f>
        <v>2</v>
      </c>
      <c r="S5" s="5">
        <f ca="1">IF(Planned!R15&lt;&gt;"Yes",IF(Planned!$C$6&lt;&gt;"Overall",SUM(OFFSET('Planned background (hide)'!H5,0,0,1,Num_Modalities)),'Planned background (hide)'!R5),"")</f>
        <v>2</v>
      </c>
      <c r="AB5">
        <f t="shared" si="0"/>
        <v>3</v>
      </c>
      <c r="AC5" s="36">
        <f>IF(Planned!$C$8=0,'Planned background (hide)'!F5,'Planned background (hide)'!G5)</f>
        <v>3</v>
      </c>
      <c r="AD5" s="36">
        <f t="shared" si="2"/>
        <v>1</v>
      </c>
      <c r="AE5" s="5">
        <f t="shared" ca="1" si="1"/>
        <v>2</v>
      </c>
      <c r="AF5" s="5">
        <f t="shared" ca="1" si="3"/>
        <v>3.8</v>
      </c>
      <c r="AG5">
        <f t="shared" ca="1" si="4"/>
        <v>1.5514184397163122</v>
      </c>
      <c r="AH5" s="67">
        <f t="shared" ca="1" si="5"/>
        <v>0</v>
      </c>
      <c r="AI5" s="67">
        <f t="shared" ca="1" si="6"/>
        <v>0.69716312056737539</v>
      </c>
      <c r="AJ5" s="67">
        <f t="shared" ca="1" si="7"/>
        <v>2.2485815602836876</v>
      </c>
      <c r="AK5">
        <f t="shared" ca="1" si="8"/>
        <v>5.351418439716312</v>
      </c>
      <c r="AL5">
        <f t="shared" ca="1" si="9"/>
        <v>6.9028368794326243</v>
      </c>
      <c r="AM5">
        <f t="shared" ca="1" si="10"/>
        <v>8.4542553191489365</v>
      </c>
      <c r="AN5">
        <f t="shared" ca="1" si="11"/>
        <v>4.5999999999999996</v>
      </c>
      <c r="AO5">
        <f t="shared" ca="1" si="12"/>
        <v>5</v>
      </c>
      <c r="AP5" t="e">
        <f t="shared" ca="1" si="13"/>
        <v>#N/A</v>
      </c>
      <c r="AQ5">
        <f t="shared" ref="AQ5:AQ54" ca="1" si="18">IF(AE5&gt;AL5,1,IF(AE5&lt;AI5,-1,0))</f>
        <v>0</v>
      </c>
      <c r="AR5" t="e">
        <f ca="1">IF(ABS(SUM(AQ3:AQ5))&gt;=2,AE5,NA())</f>
        <v>#N/A</v>
      </c>
      <c r="AS5">
        <f t="shared" ref="AS5:AS54" ca="1" si="19">IF(AE5&gt;AE4,1,IF(AE5&lt;AE4,-1,0))</f>
        <v>-1</v>
      </c>
      <c r="AU5">
        <f t="shared" ca="1" si="14"/>
        <v>-1</v>
      </c>
      <c r="AW5" s="5">
        <f t="shared" ref="AW5:AW54" ca="1" si="20">ABS(AE5-AE4)</f>
        <v>3</v>
      </c>
      <c r="AZ5" s="3"/>
      <c r="BA5" s="3"/>
      <c r="BH5" s="48">
        <f ca="1">IF(OR(Planned!B15=1,Planned!B15=""),AC5,Planned!B15)</f>
        <v>3</v>
      </c>
      <c r="BI5" t="str">
        <f ca="1">IF(TEXT(Planned!D15,"mmm")&lt;&gt;TEXT(Planned!D14,"mmm"),TEXT(Planned!D15,"mmm"),"")</f>
        <v/>
      </c>
      <c r="BK5" s="67"/>
    </row>
    <row r="6" spans="2:63" x14ac:dyDescent="0.2">
      <c r="B6" s="67">
        <f ca="1">IF(Planned!$C$6&lt;&gt;"Overall",COUNTBLANK(OFFSET(Planned!E17,0,0,1,Num_Modalities)),IF(COUNTBLANK(Planned!O17)=1,Num_Modalities,0))</f>
        <v>0</v>
      </c>
      <c r="C6">
        <f ca="1">SUM(OFFSET(Planned!$E17,0,0,1,Num_Modalities))</f>
        <v>0</v>
      </c>
      <c r="E6" s="67">
        <f t="shared" si="15"/>
        <v>4</v>
      </c>
      <c r="F6" s="36">
        <f t="shared" si="16"/>
        <v>4</v>
      </c>
      <c r="G6" s="68"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f ca="1">IF(Planned!$C$6="Overall",Planned!O16*'Planned background (hide)'!R$1,"")</f>
        <v>3</v>
      </c>
      <c r="S6" s="5">
        <f ca="1">IF(Planned!R16&lt;&gt;"Yes",IF(Planned!$C$6&lt;&gt;"Overall",SUM(OFFSET('Planned background (hide)'!H6,0,0,1,Num_Modalities)),'Planned background (hide)'!R6),"")</f>
        <v>3</v>
      </c>
      <c r="AB6">
        <f t="shared" si="0"/>
        <v>4</v>
      </c>
      <c r="AC6" s="36">
        <f>IF(Planned!$C$8=0,'Planned background (hide)'!F6,'Planned background (hide)'!G6)</f>
        <v>4</v>
      </c>
      <c r="AD6" s="36">
        <f t="shared" si="2"/>
        <v>1</v>
      </c>
      <c r="AE6" s="5">
        <f t="shared" ca="1" si="1"/>
        <v>3</v>
      </c>
      <c r="AF6" s="5">
        <f t="shared" ca="1" si="3"/>
        <v>3.8</v>
      </c>
      <c r="AG6">
        <f t="shared" ca="1" si="4"/>
        <v>1.5514184397163122</v>
      </c>
      <c r="AH6" s="67">
        <f t="shared" ca="1" si="5"/>
        <v>0</v>
      </c>
      <c r="AI6" s="67">
        <f t="shared" ca="1" si="6"/>
        <v>0.69716312056737539</v>
      </c>
      <c r="AJ6" s="67">
        <f t="shared" ca="1" si="7"/>
        <v>2.2485815602836876</v>
      </c>
      <c r="AK6">
        <f t="shared" ca="1" si="8"/>
        <v>5.351418439716312</v>
      </c>
      <c r="AL6">
        <f t="shared" ca="1" si="9"/>
        <v>6.9028368794326243</v>
      </c>
      <c r="AM6">
        <f t="shared" ca="1" si="10"/>
        <v>8.4542553191489365</v>
      </c>
      <c r="AN6">
        <f t="shared" ca="1" si="11"/>
        <v>4.5999999999999996</v>
      </c>
      <c r="AO6">
        <f t="shared" ca="1" si="12"/>
        <v>5</v>
      </c>
      <c r="AP6" t="e">
        <f t="shared" ca="1" si="13"/>
        <v>#N/A</v>
      </c>
      <c r="AQ6">
        <f t="shared" ca="1" si="18"/>
        <v>0</v>
      </c>
      <c r="AR6" t="e">
        <f t="shared" ref="AR6:AR54" ca="1" si="21">IF(ABS(SUM(AQ4:AQ6))&gt;=2,AE6,NA())</f>
        <v>#N/A</v>
      </c>
      <c r="AS6">
        <f t="shared" ca="1" si="19"/>
        <v>1</v>
      </c>
      <c r="AU6">
        <f t="shared" ca="1" si="14"/>
        <v>-1</v>
      </c>
      <c r="AW6" s="5">
        <f t="shared" ca="1" si="20"/>
        <v>1</v>
      </c>
      <c r="AZ6" s="3"/>
      <c r="BA6" s="3"/>
      <c r="BH6" s="48">
        <f ca="1">IF(OR(Planned!B16=1,Planned!B16=""),AC6,Planned!B16)</f>
        <v>4</v>
      </c>
      <c r="BI6" t="str">
        <f ca="1">IF(TEXT(Planned!D16,"mmm")&lt;&gt;TEXT(Planned!D15,"mmm"),TEXT(Planned!D16,"mmm"),"")</f>
        <v/>
      </c>
      <c r="BK6" s="67"/>
    </row>
    <row r="7" spans="2:63" x14ac:dyDescent="0.2">
      <c r="B7" s="67">
        <f ca="1">IF(Planned!$C$6&lt;&gt;"Overall",COUNTBLANK(OFFSET(Planned!E18,0,0,1,Num_Modalities)),IF(COUNTBLANK(Planned!O18)=1,Num_Modalities,0))</f>
        <v>0</v>
      </c>
      <c r="C7">
        <f ca="1">SUM(OFFSET(Planned!$E18,0,0,1,Num_Modalities))</f>
        <v>0</v>
      </c>
      <c r="E7" s="67">
        <f t="shared" si="15"/>
        <v>5</v>
      </c>
      <c r="F7" s="36">
        <f t="shared" si="16"/>
        <v>5</v>
      </c>
      <c r="G7" s="68"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f ca="1">IF(Planned!$C$6="Overall",Planned!O17*'Planned background (hide)'!R$1,"")</f>
        <v>5</v>
      </c>
      <c r="S7" s="5">
        <f ca="1">IF(Planned!R17&lt;&gt;"Yes",IF(Planned!$C$6&lt;&gt;"Overall",SUM(OFFSET('Planned background (hide)'!H7,0,0,1,Num_Modalities)),'Planned background (hide)'!R7),"")</f>
        <v>5</v>
      </c>
      <c r="U7" s="54"/>
      <c r="AB7">
        <f t="shared" si="0"/>
        <v>5</v>
      </c>
      <c r="AC7" s="36">
        <f>IF(Planned!$C$8=0,'Planned background (hide)'!F7,'Planned background (hide)'!G7)</f>
        <v>5</v>
      </c>
      <c r="AD7" s="36">
        <f t="shared" si="2"/>
        <v>1</v>
      </c>
      <c r="AE7" s="5">
        <f t="shared" ca="1" si="1"/>
        <v>5</v>
      </c>
      <c r="AF7" s="5">
        <f t="shared" ca="1" si="3"/>
        <v>3.8</v>
      </c>
      <c r="AG7">
        <f t="shared" ca="1" si="4"/>
        <v>1.5514184397163122</v>
      </c>
      <c r="AH7" s="67">
        <f t="shared" ca="1" si="5"/>
        <v>0</v>
      </c>
      <c r="AI7" s="67">
        <f t="shared" ca="1" si="6"/>
        <v>0.69716312056737539</v>
      </c>
      <c r="AJ7" s="67">
        <f t="shared" ca="1" si="7"/>
        <v>2.2485815602836876</v>
      </c>
      <c r="AK7">
        <f t="shared" ca="1" si="8"/>
        <v>5.351418439716312</v>
      </c>
      <c r="AL7">
        <f t="shared" ca="1" si="9"/>
        <v>6.9028368794326243</v>
      </c>
      <c r="AM7">
        <f t="shared" ca="1" si="10"/>
        <v>8.4542553191489365</v>
      </c>
      <c r="AN7">
        <f t="shared" ca="1" si="11"/>
        <v>4.5999999999999996</v>
      </c>
      <c r="AO7">
        <f t="shared" ca="1" si="12"/>
        <v>5</v>
      </c>
      <c r="AP7" t="e">
        <f t="shared" ca="1" si="13"/>
        <v>#N/A</v>
      </c>
      <c r="AQ7">
        <f t="shared" ca="1" si="18"/>
        <v>0</v>
      </c>
      <c r="AR7" t="e">
        <f t="shared" ca="1" si="21"/>
        <v>#N/A</v>
      </c>
      <c r="AS7">
        <f t="shared" ca="1" si="19"/>
        <v>1</v>
      </c>
      <c r="AU7">
        <f t="shared" ca="1" si="14"/>
        <v>1</v>
      </c>
      <c r="AW7" s="5">
        <f t="shared" ca="1" si="20"/>
        <v>2</v>
      </c>
      <c r="AZ7" s="3"/>
      <c r="BA7" s="3"/>
      <c r="BH7" s="48">
        <f ca="1">IF(OR(Planned!B17=1,Planned!B17=""),AC7,Planned!B17)</f>
        <v>5</v>
      </c>
      <c r="BI7" t="str">
        <f ca="1">IF(TEXT(Planned!D17,"mmm")&lt;&gt;TEXT(Planned!D16,"mmm"),TEXT(Planned!D17,"mmm"),"")</f>
        <v/>
      </c>
      <c r="BK7" s="67"/>
    </row>
    <row r="8" spans="2:63" x14ac:dyDescent="0.2">
      <c r="B8" s="67">
        <f ca="1">IF(Planned!$C$6&lt;&gt;"Overall",COUNTBLANK(OFFSET(Planned!E19,0,0,1,Num_Modalities)),IF(COUNTBLANK(Planned!O19)=1,Num_Modalities,0))</f>
        <v>0</v>
      </c>
      <c r="C8">
        <f ca="1">SUM(OFFSET(Planned!$E19,0,0,1,Num_Modalities))</f>
        <v>0</v>
      </c>
      <c r="E8" s="67">
        <f t="shared" si="15"/>
        <v>6</v>
      </c>
      <c r="F8" s="36">
        <f t="shared" si="16"/>
        <v>6</v>
      </c>
      <c r="G8" s="68"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f ca="1">IF(Planned!$C$6="Overall",Planned!O18*'Planned background (hide)'!R$1,"")</f>
        <v>3</v>
      </c>
      <c r="S8" s="5">
        <f ca="1">IF(Planned!R18&lt;&gt;"Yes",IF(Planned!$C$6&lt;&gt;"Overall",SUM(OFFSET('Planned background (hide)'!H8,0,0,1,Num_Modalities)),'Planned background (hide)'!R8),"")</f>
        <v>3</v>
      </c>
      <c r="U8" s="54"/>
      <c r="AB8">
        <f t="shared" si="0"/>
        <v>6</v>
      </c>
      <c r="AC8" s="36">
        <f>IF(Planned!$C$8=0,'Planned background (hide)'!F8,'Planned background (hide)'!G8)</f>
        <v>6</v>
      </c>
      <c r="AD8" s="36">
        <f t="shared" si="2"/>
        <v>0</v>
      </c>
      <c r="AE8" s="5">
        <f t="shared" ca="1" si="1"/>
        <v>3</v>
      </c>
      <c r="AF8" s="5">
        <f t="shared" ca="1" si="3"/>
        <v>3.8</v>
      </c>
      <c r="AG8">
        <f t="shared" ca="1" si="4"/>
        <v>1.5514184397163122</v>
      </c>
      <c r="AH8" s="67">
        <f t="shared" ca="1" si="5"/>
        <v>0</v>
      </c>
      <c r="AI8" s="67">
        <f t="shared" ca="1" si="6"/>
        <v>0.69716312056737539</v>
      </c>
      <c r="AJ8" s="67">
        <f t="shared" ca="1" si="7"/>
        <v>2.2485815602836876</v>
      </c>
      <c r="AK8">
        <f t="shared" ca="1" si="8"/>
        <v>5.351418439716312</v>
      </c>
      <c r="AL8">
        <f t="shared" ca="1" si="9"/>
        <v>6.9028368794326243</v>
      </c>
      <c r="AM8">
        <f t="shared" ca="1" si="10"/>
        <v>8.4542553191489365</v>
      </c>
      <c r="AN8">
        <f t="shared" ca="1" si="11"/>
        <v>4.5999999999999996</v>
      </c>
      <c r="AO8">
        <f t="shared" ca="1" si="12"/>
        <v>5</v>
      </c>
      <c r="AP8" t="e">
        <f t="shared" ca="1" si="13"/>
        <v>#N/A</v>
      </c>
      <c r="AQ8">
        <f t="shared" ca="1" si="18"/>
        <v>0</v>
      </c>
      <c r="AR8" t="e">
        <f t="shared" ca="1" si="21"/>
        <v>#N/A</v>
      </c>
      <c r="AS8">
        <f t="shared" ca="1" si="19"/>
        <v>-1</v>
      </c>
      <c r="AU8">
        <f t="shared" ca="1" si="14"/>
        <v>-1</v>
      </c>
      <c r="AW8" s="5">
        <f t="shared" ca="1" si="20"/>
        <v>2</v>
      </c>
      <c r="AZ8" s="3"/>
      <c r="BA8" s="3"/>
      <c r="BH8" s="48">
        <f ca="1">IF(OR(Planned!B18=1,Planned!B18=""),AC8,Planned!B18)</f>
        <v>6</v>
      </c>
      <c r="BI8" t="str">
        <f ca="1">IF(TEXT(Planned!D18,"mmm")&lt;&gt;TEXT(Planned!D17,"mmm"),TEXT(Planned!D18,"mmm"),"")</f>
        <v/>
      </c>
      <c r="BK8" s="67"/>
    </row>
    <row r="9" spans="2:63" x14ac:dyDescent="0.2">
      <c r="B9" s="67">
        <f ca="1">IF(Planned!$C$6&lt;&gt;"Overall",COUNTBLANK(OFFSET(Planned!E20,0,0,1,Num_Modalities)),IF(COUNTBLANK(Planned!O20)=1,Num_Modalities,0))</f>
        <v>1</v>
      </c>
      <c r="C9">
        <f ca="1">SUM(OFFSET(Planned!$E20,0,0,1,Num_Modalities))</f>
        <v>0</v>
      </c>
      <c r="E9" s="67">
        <f t="shared" si="15"/>
        <v>7</v>
      </c>
      <c r="F9" s="36">
        <f t="shared" si="16"/>
        <v>7</v>
      </c>
      <c r="G9" s="68"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f ca="1">IF(Planned!$C$6="Overall",Planned!O19*'Planned background (hide)'!R$1,"")</f>
        <v>4</v>
      </c>
      <c r="S9" s="5">
        <f ca="1">IF(Planned!R19&lt;&gt;"Yes",IF(Planned!$C$6&lt;&gt;"Overall",SUM(OFFSET('Planned background (hide)'!H9,0,0,1,Num_Modalities)),'Planned background (hide)'!R9),"")</f>
        <v>4</v>
      </c>
      <c r="AB9">
        <f t="shared" si="0"/>
        <v>7</v>
      </c>
      <c r="AC9" s="36">
        <f>IF(Planned!$C$8=0,'Planned background (hide)'!F9,'Planned background (hide)'!G9)</f>
        <v>7</v>
      </c>
      <c r="AD9" s="36">
        <f t="shared" si="2"/>
        <v>0</v>
      </c>
      <c r="AE9" s="5">
        <f t="shared" ca="1" si="1"/>
        <v>4</v>
      </c>
      <c r="AF9" s="5">
        <f t="shared" ca="1" si="3"/>
        <v>3.8</v>
      </c>
      <c r="AG9">
        <f t="shared" ca="1" si="4"/>
        <v>1.5514184397163122</v>
      </c>
      <c r="AH9" s="67">
        <f t="shared" ca="1" si="5"/>
        <v>0</v>
      </c>
      <c r="AI9" s="67">
        <f t="shared" ca="1" si="6"/>
        <v>0.69716312056737539</v>
      </c>
      <c r="AJ9" s="67">
        <f t="shared" ca="1" si="7"/>
        <v>2.2485815602836876</v>
      </c>
      <c r="AK9">
        <f t="shared" ca="1" si="8"/>
        <v>5.351418439716312</v>
      </c>
      <c r="AL9">
        <f t="shared" ca="1" si="9"/>
        <v>6.9028368794326243</v>
      </c>
      <c r="AM9">
        <f t="shared" ca="1" si="10"/>
        <v>8.4542553191489365</v>
      </c>
      <c r="AN9">
        <f t="shared" ca="1" si="11"/>
        <v>4.5999999999999996</v>
      </c>
      <c r="AO9">
        <f t="shared" ca="1" si="12"/>
        <v>5</v>
      </c>
      <c r="AP9" t="e">
        <f t="shared" ca="1" si="13"/>
        <v>#N/A</v>
      </c>
      <c r="AQ9">
        <f t="shared" ca="1" si="18"/>
        <v>0</v>
      </c>
      <c r="AR9" t="e">
        <f t="shared" ca="1" si="21"/>
        <v>#N/A</v>
      </c>
      <c r="AS9">
        <f t="shared" ca="1" si="19"/>
        <v>1</v>
      </c>
      <c r="AT9" t="e">
        <f ca="1">IF(ABS(SUM(AS4:AS9))=6,AE9,NA())</f>
        <v>#N/A</v>
      </c>
      <c r="AU9">
        <f t="shared" ca="1" si="14"/>
        <v>1</v>
      </c>
      <c r="AW9" s="5">
        <f t="shared" ca="1" si="20"/>
        <v>1</v>
      </c>
      <c r="BH9" s="48">
        <f ca="1">IF(OR(Planned!B19=1,Planned!B19=""),AC9,Planned!B19)</f>
        <v>7</v>
      </c>
      <c r="BI9" t="str">
        <f ca="1">IF(TEXT(Planned!D19,"mmm")&lt;&gt;TEXT(Planned!D18,"mmm"),TEXT(Planned!D19,"mmm"),"")</f>
        <v/>
      </c>
      <c r="BK9" s="67"/>
    </row>
    <row r="10" spans="2:63" x14ac:dyDescent="0.2">
      <c r="B10" s="67">
        <f ca="1">IF(Planned!$C$6&lt;&gt;"Overall",COUNTBLANK(OFFSET(Planned!E21,0,0,1,Num_Modalities)),IF(COUNTBLANK(Planned!O21)=1,Num_Modalities,0))</f>
        <v>1</v>
      </c>
      <c r="C10">
        <f ca="1">SUM(OFFSET(Planned!$E21,0,0,1,Num_Modalities))</f>
        <v>0</v>
      </c>
      <c r="E10" s="67">
        <f t="shared" si="15"/>
        <v>8</v>
      </c>
      <c r="F10" s="36">
        <f t="shared" si="16"/>
        <v>8</v>
      </c>
      <c r="G10" s="68"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f ca="1">IF(Planned!$C$6="Overall",Planned!O20*'Planned background (hide)'!R$1,"")</f>
        <v>0</v>
      </c>
      <c r="S10" s="5">
        <f ca="1">IF(Planned!R20&lt;&gt;"Yes",IF(Planned!$C$6&lt;&gt;"Overall",SUM(OFFSET('Planned background (hide)'!H10,0,0,1,Num_Modalities)),'Planned background (hide)'!R10),"")</f>
        <v>0</v>
      </c>
      <c r="AB10">
        <f t="shared" si="0"/>
        <v>8</v>
      </c>
      <c r="AC10" s="36">
        <f>IF(Planned!$C$8=0,'Planned background (hide)'!F10,'Planned background (hide)'!G10)</f>
        <v>8</v>
      </c>
      <c r="AD10" s="36">
        <f t="shared" si="2"/>
        <v>0</v>
      </c>
      <c r="AE10" s="5">
        <f t="shared" ca="1" si="1"/>
        <v>0</v>
      </c>
      <c r="AF10" s="5">
        <f t="shared" ca="1" si="3"/>
        <v>3.8</v>
      </c>
      <c r="AG10">
        <f t="shared" ca="1" si="4"/>
        <v>1.5514184397163122</v>
      </c>
      <c r="AH10" s="67">
        <f t="shared" ca="1" si="5"/>
        <v>0</v>
      </c>
      <c r="AI10" s="67">
        <f t="shared" ca="1" si="6"/>
        <v>0.69716312056737539</v>
      </c>
      <c r="AJ10" s="67">
        <f t="shared" ca="1" si="7"/>
        <v>2.2485815602836876</v>
      </c>
      <c r="AK10">
        <f t="shared" ca="1" si="8"/>
        <v>5.351418439716312</v>
      </c>
      <c r="AL10">
        <f t="shared" ca="1" si="9"/>
        <v>6.9028368794326243</v>
      </c>
      <c r="AM10">
        <f t="shared" ca="1" si="10"/>
        <v>8.4542553191489365</v>
      </c>
      <c r="AN10">
        <f t="shared" ca="1" si="11"/>
        <v>4.5999999999999996</v>
      </c>
      <c r="AO10">
        <f t="shared" ca="1" si="12"/>
        <v>5</v>
      </c>
      <c r="AP10" t="e">
        <f t="shared" ca="1" si="13"/>
        <v>#N/A</v>
      </c>
      <c r="AQ10">
        <f t="shared" ca="1" si="18"/>
        <v>-1</v>
      </c>
      <c r="AR10" t="e">
        <f t="shared" ca="1" si="21"/>
        <v>#N/A</v>
      </c>
      <c r="AS10">
        <f t="shared" ca="1" si="19"/>
        <v>-1</v>
      </c>
      <c r="AT10" t="e">
        <f t="shared" ref="AT10:AT54" ca="1" si="22">IF(ABS(SUM(AS5:AS10))=6,AE10,NA())</f>
        <v>#N/A</v>
      </c>
      <c r="AU10">
        <f t="shared" ca="1" si="14"/>
        <v>-1</v>
      </c>
      <c r="AW10" s="5">
        <f t="shared" ca="1" si="20"/>
        <v>4</v>
      </c>
      <c r="BH10" s="48" t="str">
        <f ca="1">IF(OR(Planned!B20=1,Planned!B20=""),AC10,Planned!B20)</f>
        <v xml:space="preserve"> </v>
      </c>
      <c r="BI10" t="str">
        <f ca="1">IF(TEXT(Planned!D20,"mmm")&lt;&gt;TEXT(Planned!D19,"mmm"),TEXT(Planned!D20,"mmm"),"")</f>
        <v/>
      </c>
      <c r="BK10" s="67"/>
    </row>
    <row r="11" spans="2:63" x14ac:dyDescent="0.2">
      <c r="B11" s="67">
        <f ca="1">IF(Planned!$C$6&lt;&gt;"Overall",COUNTBLANK(OFFSET(Planned!E22,0,0,1,Num_Modalities)),IF(COUNTBLANK(Planned!O22)=1,Num_Modalities,0))</f>
        <v>1</v>
      </c>
      <c r="C11">
        <f ca="1">SUM(OFFSET(Planned!$E22,0,0,1,Num_Modalities))</f>
        <v>0</v>
      </c>
      <c r="E11" s="67">
        <f t="shared" si="15"/>
        <v>9</v>
      </c>
      <c r="F11" s="36">
        <f t="shared" si="16"/>
        <v>9</v>
      </c>
      <c r="G11" s="68"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f ca="1">IF(Planned!$C$6="Overall",Planned!O21*'Planned background (hide)'!R$1,"")</f>
        <v>0</v>
      </c>
      <c r="S11" s="5">
        <f ca="1">IF(Planned!R21&lt;&gt;"Yes",IF(Planned!$C$6&lt;&gt;"Overall",SUM(OFFSET('Planned background (hide)'!H11,0,0,1,Num_Modalities)),'Planned background (hide)'!R11),"")</f>
        <v>0</v>
      </c>
      <c r="AB11">
        <f t="shared" si="0"/>
        <v>9</v>
      </c>
      <c r="AC11" s="36">
        <f>IF(Planned!$C$8=0,'Planned background (hide)'!F11,'Planned background (hide)'!G11)</f>
        <v>9</v>
      </c>
      <c r="AD11" s="36">
        <f t="shared" si="2"/>
        <v>0</v>
      </c>
      <c r="AE11" s="5">
        <f t="shared" ca="1" si="1"/>
        <v>0</v>
      </c>
      <c r="AF11" s="5">
        <f t="shared" ca="1" si="3"/>
        <v>3.8</v>
      </c>
      <c r="AG11">
        <f t="shared" ca="1" si="4"/>
        <v>1.5514184397163122</v>
      </c>
      <c r="AH11" s="67">
        <f t="shared" ca="1" si="5"/>
        <v>0</v>
      </c>
      <c r="AI11" s="67">
        <f t="shared" ca="1" si="6"/>
        <v>0.69716312056737539</v>
      </c>
      <c r="AJ11" s="67">
        <f t="shared" ca="1" si="7"/>
        <v>2.2485815602836876</v>
      </c>
      <c r="AK11">
        <f t="shared" ca="1" si="8"/>
        <v>5.351418439716312</v>
      </c>
      <c r="AL11">
        <f t="shared" ca="1" si="9"/>
        <v>6.9028368794326243</v>
      </c>
      <c r="AM11">
        <f t="shared" ca="1" si="10"/>
        <v>8.4542553191489365</v>
      </c>
      <c r="AN11">
        <f t="shared" ca="1" si="11"/>
        <v>4.5999999999999996</v>
      </c>
      <c r="AO11">
        <f t="shared" ca="1" si="12"/>
        <v>5</v>
      </c>
      <c r="AP11" t="e">
        <f t="shared" ca="1" si="13"/>
        <v>#N/A</v>
      </c>
      <c r="AQ11">
        <f t="shared" ca="1" si="18"/>
        <v>-1</v>
      </c>
      <c r="AR11">
        <f t="shared" ca="1" si="21"/>
        <v>0</v>
      </c>
      <c r="AS11">
        <f t="shared" ca="1" si="19"/>
        <v>0</v>
      </c>
      <c r="AT11" t="e">
        <f t="shared" ca="1" si="22"/>
        <v>#N/A</v>
      </c>
      <c r="AU11">
        <f t="shared" ca="1" si="14"/>
        <v>-1</v>
      </c>
      <c r="AV11" t="e">
        <f ca="1">IF(ABS(SUM(AU3:AU11))=9,AE11,NA())</f>
        <v>#N/A</v>
      </c>
      <c r="AW11" s="5">
        <f t="shared" ca="1" si="20"/>
        <v>0</v>
      </c>
      <c r="BH11" s="48" t="str">
        <f ca="1">IF(OR(Planned!B21=1,Planned!B21=""),AC11,Planned!B21)</f>
        <v xml:space="preserve"> </v>
      </c>
      <c r="BI11" t="str">
        <f ca="1">IF(TEXT(Planned!D21,"mmm")&lt;&gt;TEXT(Planned!D20,"mmm"),TEXT(Planned!D21,"mmm"),"")</f>
        <v/>
      </c>
      <c r="BK11" s="67"/>
    </row>
    <row r="12" spans="2:63" x14ac:dyDescent="0.2">
      <c r="B12" s="67">
        <f ca="1">IF(Planned!$C$6&lt;&gt;"Overall",COUNTBLANK(OFFSET(Planned!E23,0,0,1,Num_Modalities)),IF(COUNTBLANK(Planned!O23)=1,Num_Modalities,0))</f>
        <v>1</v>
      </c>
      <c r="C12">
        <f ca="1">SUM(OFFSET(Planned!$E23,0,0,1,Num_Modalities))</f>
        <v>0</v>
      </c>
      <c r="E12" s="67">
        <f t="shared" si="15"/>
        <v>10</v>
      </c>
      <c r="F12" s="36">
        <f t="shared" si="16"/>
        <v>10</v>
      </c>
      <c r="G12" s="68"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f ca="1">IF(Planned!$C$6="Overall",Planned!O22*'Planned background (hide)'!R$1,"")</f>
        <v>0</v>
      </c>
      <c r="S12" s="5">
        <f ca="1">IF(Planned!R22&lt;&gt;"Yes",IF(Planned!$C$6&lt;&gt;"Overall",SUM(OFFSET('Planned background (hide)'!H12,0,0,1,Num_Modalities)),'Planned background (hide)'!R12),"")</f>
        <v>0</v>
      </c>
      <c r="W12" s="49"/>
      <c r="AB12">
        <f t="shared" si="0"/>
        <v>10</v>
      </c>
      <c r="AC12" s="36">
        <f>IF(Planned!$C$8=0,'Planned background (hide)'!F12,'Planned background (hide)'!G12)</f>
        <v>10</v>
      </c>
      <c r="AD12" s="36">
        <f t="shared" si="2"/>
        <v>0</v>
      </c>
      <c r="AE12" s="5">
        <f t="shared" ca="1" si="1"/>
        <v>0</v>
      </c>
      <c r="AF12" s="5">
        <f t="shared" ca="1" si="3"/>
        <v>3.8</v>
      </c>
      <c r="AG12">
        <f t="shared" ca="1" si="4"/>
        <v>1.5514184397163122</v>
      </c>
      <c r="AH12" s="67">
        <f t="shared" ca="1" si="5"/>
        <v>0</v>
      </c>
      <c r="AI12" s="67">
        <f t="shared" ca="1" si="6"/>
        <v>0.69716312056737539</v>
      </c>
      <c r="AJ12" s="67">
        <f t="shared" ca="1" si="7"/>
        <v>2.2485815602836876</v>
      </c>
      <c r="AK12">
        <f t="shared" ca="1" si="8"/>
        <v>5.351418439716312</v>
      </c>
      <c r="AL12">
        <f t="shared" ca="1" si="9"/>
        <v>6.9028368794326243</v>
      </c>
      <c r="AM12">
        <f t="shared" ca="1" si="10"/>
        <v>8.4542553191489365</v>
      </c>
      <c r="AN12">
        <f t="shared" ca="1" si="11"/>
        <v>4.5999999999999996</v>
      </c>
      <c r="AO12">
        <f t="shared" ca="1" si="12"/>
        <v>5</v>
      </c>
      <c r="AP12" t="e">
        <f t="shared" ca="1" si="13"/>
        <v>#N/A</v>
      </c>
      <c r="AQ12">
        <f t="shared" ca="1" si="18"/>
        <v>-1</v>
      </c>
      <c r="AR12">
        <f t="shared" ca="1" si="21"/>
        <v>0</v>
      </c>
      <c r="AS12">
        <f t="shared" ca="1" si="19"/>
        <v>0</v>
      </c>
      <c r="AT12" t="e">
        <f t="shared" ca="1" si="22"/>
        <v>#N/A</v>
      </c>
      <c r="AU12">
        <f t="shared" ca="1" si="14"/>
        <v>-1</v>
      </c>
      <c r="AV12" t="e">
        <f t="shared" ref="AV12:AV54" ca="1" si="23">IF(ABS(SUM(AU4:AU12))=9,AE12,NA())</f>
        <v>#N/A</v>
      </c>
      <c r="AW12" s="5">
        <f t="shared" ca="1" si="20"/>
        <v>0</v>
      </c>
      <c r="BH12" s="48" t="str">
        <f ca="1">IF(OR(Planned!B22=1,Planned!B22=""),AC12,Planned!B22)</f>
        <v xml:space="preserve"> </v>
      </c>
      <c r="BI12" t="str">
        <f ca="1">IF(TEXT(Planned!D22,"mmm")&lt;&gt;TEXT(Planned!D21,"mmm"),TEXT(Planned!D22,"mmm"),"")</f>
        <v/>
      </c>
      <c r="BK12" s="67"/>
    </row>
    <row r="13" spans="2:63" x14ac:dyDescent="0.2">
      <c r="B13" s="67">
        <f ca="1">IF(Planned!$C$6&lt;&gt;"Overall",COUNTBLANK(OFFSET(Planned!E24,0,0,1,Num_Modalities)),IF(COUNTBLANK(Planned!O24)=1,Num_Modalities,0))</f>
        <v>1</v>
      </c>
      <c r="C13">
        <f ca="1">SUM(OFFSET(Planned!$E24,0,0,1,Num_Modalities))</f>
        <v>0</v>
      </c>
      <c r="E13" s="67">
        <f t="shared" si="15"/>
        <v>11</v>
      </c>
      <c r="F13" s="36">
        <f t="shared" si="16"/>
        <v>11</v>
      </c>
      <c r="G13" s="68"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f ca="1">IF(Planned!$C$6="Overall",Planned!O23*'Planned background (hide)'!R$1,"")</f>
        <v>0</v>
      </c>
      <c r="S13" s="5">
        <f ca="1">IF(Planned!R23&lt;&gt;"Yes",IF(Planned!$C$6&lt;&gt;"Overall",SUM(OFFSET('Planned background (hide)'!H13,0,0,1,Num_Modalities)),'Planned background (hide)'!R13),"")</f>
        <v>0</v>
      </c>
      <c r="W13" s="49"/>
      <c r="AB13">
        <f t="shared" si="0"/>
        <v>11</v>
      </c>
      <c r="AC13" s="36">
        <f>IF(Planned!$C$8=0,'Planned background (hide)'!F13,'Planned background (hide)'!G13)</f>
        <v>11</v>
      </c>
      <c r="AD13" s="36">
        <f t="shared" si="2"/>
        <v>0</v>
      </c>
      <c r="AE13" s="5">
        <f t="shared" ca="1" si="1"/>
        <v>0</v>
      </c>
      <c r="AF13" s="5">
        <f t="shared" ca="1" si="3"/>
        <v>3.8</v>
      </c>
      <c r="AG13">
        <f t="shared" ca="1" si="4"/>
        <v>1.5514184397163122</v>
      </c>
      <c r="AH13" s="67">
        <f t="shared" ca="1" si="5"/>
        <v>0</v>
      </c>
      <c r="AI13" s="67">
        <f t="shared" ca="1" si="6"/>
        <v>0.69716312056737539</v>
      </c>
      <c r="AJ13" s="67">
        <f t="shared" ca="1" si="7"/>
        <v>2.2485815602836876</v>
      </c>
      <c r="AK13">
        <f t="shared" ca="1" si="8"/>
        <v>5.351418439716312</v>
      </c>
      <c r="AL13">
        <f t="shared" ca="1" si="9"/>
        <v>6.9028368794326243</v>
      </c>
      <c r="AM13">
        <f t="shared" ca="1" si="10"/>
        <v>8.4542553191489365</v>
      </c>
      <c r="AN13">
        <f t="shared" ca="1" si="11"/>
        <v>4.5999999999999996</v>
      </c>
      <c r="AO13">
        <f t="shared" ca="1" si="12"/>
        <v>5</v>
      </c>
      <c r="AP13" t="e">
        <f t="shared" ca="1" si="13"/>
        <v>#N/A</v>
      </c>
      <c r="AQ13">
        <f t="shared" ca="1" si="18"/>
        <v>-1</v>
      </c>
      <c r="AR13">
        <f t="shared" ca="1" si="21"/>
        <v>0</v>
      </c>
      <c r="AS13">
        <f t="shared" ca="1" si="19"/>
        <v>0</v>
      </c>
      <c r="AT13" t="e">
        <f t="shared" ca="1" si="22"/>
        <v>#N/A</v>
      </c>
      <c r="AU13">
        <f t="shared" ca="1" si="14"/>
        <v>-1</v>
      </c>
      <c r="AV13" t="e">
        <f t="shared" ca="1" si="23"/>
        <v>#N/A</v>
      </c>
      <c r="AW13" s="5">
        <f t="shared" ca="1" si="20"/>
        <v>0</v>
      </c>
      <c r="BH13" s="48" t="str">
        <f ca="1">IF(OR(Planned!B23=1,Planned!B23=""),AC13,Planned!B23)</f>
        <v xml:space="preserve"> </v>
      </c>
      <c r="BI13" t="str">
        <f ca="1">IF(TEXT(Planned!D23,"mmm")&lt;&gt;TEXT(Planned!D22,"mmm"),TEXT(Planned!D23,"mmm"),"")</f>
        <v/>
      </c>
      <c r="BK13" s="67"/>
    </row>
    <row r="14" spans="2:63" x14ac:dyDescent="0.2">
      <c r="B14" s="67">
        <f ca="1">IF(Planned!$C$6&lt;&gt;"Overall",COUNTBLANK(OFFSET(Planned!E25,0,0,1,Num_Modalities)),IF(COUNTBLANK(Planned!O25)=1,Num_Modalities,0))</f>
        <v>1</v>
      </c>
      <c r="C14">
        <f ca="1">SUM(OFFSET(Planned!$E25,0,0,1,Num_Modalities))</f>
        <v>0</v>
      </c>
      <c r="E14" s="67">
        <f t="shared" si="15"/>
        <v>12</v>
      </c>
      <c r="F14" s="36">
        <f t="shared" si="16"/>
        <v>12</v>
      </c>
      <c r="G14" s="68"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f ca="1">IF(Planned!$C$6="Overall",Planned!O24*'Planned background (hide)'!R$1,"")</f>
        <v>0</v>
      </c>
      <c r="S14" s="5">
        <f ca="1">IF(Planned!R24&lt;&gt;"Yes",IF(Planned!$C$6&lt;&gt;"Overall",SUM(OFFSET('Planned background (hide)'!H14,0,0,1,Num_Modalities)),'Planned background (hide)'!R14),"")</f>
        <v>0</v>
      </c>
      <c r="W14" s="49"/>
      <c r="AB14">
        <f t="shared" si="0"/>
        <v>12</v>
      </c>
      <c r="AC14" s="36">
        <f>IF(Planned!$C$8=0,'Planned background (hide)'!F14,'Planned background (hide)'!G14)</f>
        <v>12</v>
      </c>
      <c r="AD14" s="36">
        <f t="shared" si="2"/>
        <v>0</v>
      </c>
      <c r="AE14" s="5">
        <f t="shared" ca="1" si="1"/>
        <v>0</v>
      </c>
      <c r="AF14" s="5">
        <f t="shared" ca="1" si="3"/>
        <v>3.8</v>
      </c>
      <c r="AG14">
        <f t="shared" ca="1" si="4"/>
        <v>1.5514184397163122</v>
      </c>
      <c r="AH14" s="67">
        <f t="shared" ca="1" si="5"/>
        <v>0</v>
      </c>
      <c r="AI14" s="67">
        <f t="shared" ca="1" si="6"/>
        <v>0.69716312056737539</v>
      </c>
      <c r="AJ14" s="67">
        <f t="shared" ca="1" si="7"/>
        <v>2.2485815602836876</v>
      </c>
      <c r="AK14">
        <f t="shared" ca="1" si="8"/>
        <v>5.351418439716312</v>
      </c>
      <c r="AL14">
        <f t="shared" ca="1" si="9"/>
        <v>6.9028368794326243</v>
      </c>
      <c r="AM14">
        <f t="shared" ca="1" si="10"/>
        <v>8.4542553191489365</v>
      </c>
      <c r="AN14">
        <f t="shared" ca="1" si="11"/>
        <v>4.5999999999999996</v>
      </c>
      <c r="AO14">
        <f t="shared" ca="1" si="12"/>
        <v>5</v>
      </c>
      <c r="AP14" t="e">
        <f t="shared" ca="1" si="13"/>
        <v>#N/A</v>
      </c>
      <c r="AQ14">
        <f t="shared" ca="1" si="18"/>
        <v>-1</v>
      </c>
      <c r="AR14">
        <f t="shared" ca="1" si="21"/>
        <v>0</v>
      </c>
      <c r="AS14">
        <f t="shared" ca="1" si="19"/>
        <v>0</v>
      </c>
      <c r="AT14" t="e">
        <f t="shared" ca="1" si="22"/>
        <v>#N/A</v>
      </c>
      <c r="AU14">
        <f t="shared" ca="1" si="14"/>
        <v>-1</v>
      </c>
      <c r="AV14" t="e">
        <f t="shared" ca="1" si="23"/>
        <v>#N/A</v>
      </c>
      <c r="AW14" s="5">
        <f t="shared" ca="1" si="20"/>
        <v>0</v>
      </c>
      <c r="BH14" s="48" t="str">
        <f ca="1">IF(OR(Planned!B24=1,Planned!B24=""),AC14,Planned!B24)</f>
        <v xml:space="preserve"> </v>
      </c>
      <c r="BI14" t="str">
        <f ca="1">IF(TEXT(Planned!D24,"mmm")&lt;&gt;TEXT(Planned!D23,"mmm"),TEXT(Planned!D24,"mmm"),"")</f>
        <v/>
      </c>
      <c r="BK14" s="67"/>
    </row>
    <row r="15" spans="2:63" x14ac:dyDescent="0.2">
      <c r="B15" s="67">
        <f ca="1">IF(Planned!$C$6&lt;&gt;"Overall",COUNTBLANK(OFFSET(Planned!E26,0,0,1,Num_Modalities)),IF(COUNTBLANK(Planned!O26)=1,Num_Modalities,0))</f>
        <v>1</v>
      </c>
      <c r="C15">
        <f ca="1">SUM(OFFSET(Planned!$E26,0,0,1,Num_Modalities))</f>
        <v>0</v>
      </c>
      <c r="E15" s="67">
        <f t="shared" si="15"/>
        <v>13</v>
      </c>
      <c r="F15" s="36">
        <f t="shared" si="16"/>
        <v>13</v>
      </c>
      <c r="G15" s="68"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f ca="1">IF(Planned!$C$6="Overall",Planned!O25*'Planned background (hide)'!R$1,"")</f>
        <v>0</v>
      </c>
      <c r="S15" s="5">
        <f ca="1">IF(Planned!R25&lt;&gt;"Yes",IF(Planned!$C$6&lt;&gt;"Overall",SUM(OFFSET('Planned background (hide)'!H15,0,0,1,Num_Modalities)),'Planned background (hide)'!R15),"")</f>
        <v>0</v>
      </c>
      <c r="W15" s="49"/>
      <c r="AB15">
        <f t="shared" si="0"/>
        <v>13</v>
      </c>
      <c r="AC15" s="36">
        <f>IF(Planned!$C$8=0,'Planned background (hide)'!F15,'Planned background (hide)'!G15)</f>
        <v>13</v>
      </c>
      <c r="AD15" s="36">
        <f t="shared" si="2"/>
        <v>0</v>
      </c>
      <c r="AE15" s="5">
        <f t="shared" ca="1" si="1"/>
        <v>0</v>
      </c>
      <c r="AF15" s="5">
        <f t="shared" ca="1" si="3"/>
        <v>3.8</v>
      </c>
      <c r="AG15">
        <f t="shared" ca="1" si="4"/>
        <v>1.5514184397163122</v>
      </c>
      <c r="AH15" s="67">
        <f t="shared" ca="1" si="5"/>
        <v>0</v>
      </c>
      <c r="AI15" s="67">
        <f t="shared" ca="1" si="6"/>
        <v>0.69716312056737539</v>
      </c>
      <c r="AJ15" s="67">
        <f t="shared" ca="1" si="7"/>
        <v>2.2485815602836876</v>
      </c>
      <c r="AK15">
        <f t="shared" ca="1" si="8"/>
        <v>5.351418439716312</v>
      </c>
      <c r="AL15">
        <f t="shared" ca="1" si="9"/>
        <v>6.9028368794326243</v>
      </c>
      <c r="AM15">
        <f t="shared" ca="1" si="10"/>
        <v>8.4542553191489365</v>
      </c>
      <c r="AN15">
        <f t="shared" ca="1" si="11"/>
        <v>4.5999999999999996</v>
      </c>
      <c r="AO15">
        <f t="shared" ca="1" si="12"/>
        <v>5</v>
      </c>
      <c r="AP15" t="e">
        <f t="shared" ca="1" si="13"/>
        <v>#N/A</v>
      </c>
      <c r="AQ15">
        <f t="shared" ca="1" si="18"/>
        <v>-1</v>
      </c>
      <c r="AR15">
        <f t="shared" ca="1" si="21"/>
        <v>0</v>
      </c>
      <c r="AS15">
        <f t="shared" ca="1" si="19"/>
        <v>0</v>
      </c>
      <c r="AT15" t="e">
        <f t="shared" ca="1" si="22"/>
        <v>#N/A</v>
      </c>
      <c r="AU15">
        <f t="shared" ca="1" si="14"/>
        <v>-1</v>
      </c>
      <c r="AV15" t="e">
        <f t="shared" ca="1" si="23"/>
        <v>#N/A</v>
      </c>
      <c r="AW15" s="5">
        <f t="shared" ca="1" si="20"/>
        <v>0</v>
      </c>
      <c r="BH15" s="48" t="str">
        <f ca="1">IF(OR(Planned!B25=1,Planned!B25=""),AC15,Planned!B25)</f>
        <v xml:space="preserve"> </v>
      </c>
      <c r="BI15" t="str">
        <f ca="1">IF(TEXT(Planned!D25,"mmm")&lt;&gt;TEXT(Planned!D24,"mmm"),TEXT(Planned!D25,"mmm"),"")</f>
        <v/>
      </c>
      <c r="BK15" s="67"/>
    </row>
    <row r="16" spans="2:63" x14ac:dyDescent="0.2">
      <c r="B16" s="67">
        <f ca="1">IF(Planned!$C$6&lt;&gt;"Overall",COUNTBLANK(OFFSET(Planned!E27,0,0,1,Num_Modalities)),IF(COUNTBLANK(Planned!O27)=1,Num_Modalities,0))</f>
        <v>1</v>
      </c>
      <c r="C16">
        <f ca="1">SUM(OFFSET(Planned!$E27,0,0,1,Num_Modalities))</f>
        <v>0</v>
      </c>
      <c r="E16" s="67">
        <f t="shared" si="15"/>
        <v>14</v>
      </c>
      <c r="F16" s="36">
        <f t="shared" si="16"/>
        <v>14</v>
      </c>
      <c r="G16" s="68"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f ca="1">IF(Planned!$C$6="Overall",Planned!O26*'Planned background (hide)'!R$1,"")</f>
        <v>0</v>
      </c>
      <c r="S16" s="5">
        <f ca="1">IF(Planned!R26&lt;&gt;"Yes",IF(Planned!$C$6&lt;&gt;"Overall",SUM(OFFSET('Planned background (hide)'!H16,0,0,1,Num_Modalities)),'Planned background (hide)'!R16),"")</f>
        <v>0</v>
      </c>
      <c r="W16" s="49"/>
      <c r="AB16">
        <f t="shared" si="0"/>
        <v>14</v>
      </c>
      <c r="AC16" s="36">
        <f>IF(Planned!$C$8=0,'Planned background (hide)'!F16,'Planned background (hide)'!G16)</f>
        <v>14</v>
      </c>
      <c r="AD16" s="36">
        <f t="shared" si="2"/>
        <v>0</v>
      </c>
      <c r="AE16" s="5">
        <f t="shared" ca="1" si="1"/>
        <v>0</v>
      </c>
      <c r="AF16" s="5">
        <f t="shared" ca="1" si="3"/>
        <v>3.8</v>
      </c>
      <c r="AG16">
        <f t="shared" ca="1" si="4"/>
        <v>1.5514184397163122</v>
      </c>
      <c r="AH16" s="67">
        <f t="shared" ca="1" si="5"/>
        <v>0</v>
      </c>
      <c r="AI16" s="67">
        <f t="shared" ca="1" si="6"/>
        <v>0.69716312056737539</v>
      </c>
      <c r="AJ16" s="67">
        <f t="shared" ca="1" si="7"/>
        <v>2.2485815602836876</v>
      </c>
      <c r="AK16">
        <f t="shared" ca="1" si="8"/>
        <v>5.351418439716312</v>
      </c>
      <c r="AL16">
        <f t="shared" ca="1" si="9"/>
        <v>6.9028368794326243</v>
      </c>
      <c r="AM16">
        <f t="shared" ca="1" si="10"/>
        <v>8.4542553191489365</v>
      </c>
      <c r="AN16">
        <f t="shared" ca="1" si="11"/>
        <v>4.5999999999999996</v>
      </c>
      <c r="AO16">
        <f t="shared" ca="1" si="12"/>
        <v>5</v>
      </c>
      <c r="AP16" t="e">
        <f t="shared" ca="1" si="13"/>
        <v>#N/A</v>
      </c>
      <c r="AQ16">
        <f t="shared" ca="1" si="18"/>
        <v>-1</v>
      </c>
      <c r="AR16">
        <f t="shared" ca="1" si="21"/>
        <v>0</v>
      </c>
      <c r="AS16">
        <f t="shared" ca="1" si="19"/>
        <v>0</v>
      </c>
      <c r="AT16" t="e">
        <f t="shared" ca="1" si="22"/>
        <v>#N/A</v>
      </c>
      <c r="AU16">
        <f t="shared" ca="1" si="14"/>
        <v>-1</v>
      </c>
      <c r="AV16" t="e">
        <f t="shared" ca="1" si="23"/>
        <v>#N/A</v>
      </c>
      <c r="AW16" s="5">
        <f t="shared" ca="1" si="20"/>
        <v>0</v>
      </c>
      <c r="BH16" s="48" t="str">
        <f ca="1">IF(OR(Planned!B26=1,Planned!B26=""),AC16,Planned!B26)</f>
        <v xml:space="preserve"> </v>
      </c>
      <c r="BI16" t="str">
        <f ca="1">IF(TEXT(Planned!D26,"mmm")&lt;&gt;TEXT(Planned!D25,"mmm"),TEXT(Planned!D26,"mmm"),"")</f>
        <v/>
      </c>
      <c r="BK16" s="67"/>
    </row>
    <row r="17" spans="2:63" x14ac:dyDescent="0.2">
      <c r="B17" s="67">
        <f ca="1">IF(Planned!$C$6&lt;&gt;"Overall",COUNTBLANK(OFFSET(Planned!E28,0,0,1,Num_Modalities)),IF(COUNTBLANK(Planned!O28)=1,Num_Modalities,0))</f>
        <v>1</v>
      </c>
      <c r="C17">
        <f ca="1">SUM(OFFSET(Planned!$E28,0,0,1,Num_Modalities))</f>
        <v>0</v>
      </c>
      <c r="E17" s="67">
        <f t="shared" si="15"/>
        <v>15</v>
      </c>
      <c r="F17" s="36">
        <f t="shared" si="16"/>
        <v>15</v>
      </c>
      <c r="G17" s="68"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f ca="1">IF(Planned!$C$6="Overall",Planned!O27*'Planned background (hide)'!R$1,"")</f>
        <v>0</v>
      </c>
      <c r="S17" s="5">
        <f ca="1">IF(Planned!R27&lt;&gt;"Yes",IF(Planned!$C$6&lt;&gt;"Overall",SUM(OFFSET('Planned background (hide)'!H17,0,0,1,Num_Modalities)),'Planned background (hide)'!R17),"")</f>
        <v>0</v>
      </c>
      <c r="U17" t="s">
        <v>132</v>
      </c>
      <c r="V17" t="s">
        <v>134</v>
      </c>
      <c r="W17" t="s">
        <v>131</v>
      </c>
      <c r="X17" t="s">
        <v>135</v>
      </c>
      <c r="Y17" t="s">
        <v>136</v>
      </c>
      <c r="Z17" t="s">
        <v>133</v>
      </c>
      <c r="AA17" t="s">
        <v>198</v>
      </c>
      <c r="AB17">
        <f t="shared" si="0"/>
        <v>15</v>
      </c>
      <c r="AC17" s="36">
        <f>IF(Planned!$C$8=0,'Planned background (hide)'!F17,'Planned background (hide)'!G17)</f>
        <v>15</v>
      </c>
      <c r="AD17" s="36">
        <f t="shared" si="2"/>
        <v>0</v>
      </c>
      <c r="AE17" s="5">
        <f t="shared" ca="1" si="1"/>
        <v>0</v>
      </c>
      <c r="AF17" s="5">
        <f t="shared" ca="1" si="3"/>
        <v>3.8</v>
      </c>
      <c r="AG17">
        <f t="shared" ca="1" si="4"/>
        <v>1.5514184397163122</v>
      </c>
      <c r="AH17" s="67">
        <f t="shared" ca="1" si="5"/>
        <v>0</v>
      </c>
      <c r="AI17" s="67">
        <f t="shared" ca="1" si="6"/>
        <v>0.69716312056737539</v>
      </c>
      <c r="AJ17" s="67">
        <f t="shared" ca="1" si="7"/>
        <v>2.2485815602836876</v>
      </c>
      <c r="AK17">
        <f t="shared" ca="1" si="8"/>
        <v>5.351418439716312</v>
      </c>
      <c r="AL17">
        <f t="shared" ca="1" si="9"/>
        <v>6.9028368794326243</v>
      </c>
      <c r="AM17">
        <f t="shared" ca="1" si="10"/>
        <v>8.4542553191489365</v>
      </c>
      <c r="AN17">
        <f t="shared" ca="1" si="11"/>
        <v>4.5999999999999996</v>
      </c>
      <c r="AO17">
        <f t="shared" ca="1" si="12"/>
        <v>5</v>
      </c>
      <c r="AP17" t="e">
        <f t="shared" ca="1" si="13"/>
        <v>#N/A</v>
      </c>
      <c r="AQ17">
        <f t="shared" ca="1" si="18"/>
        <v>-1</v>
      </c>
      <c r="AR17">
        <f t="shared" ca="1" si="21"/>
        <v>0</v>
      </c>
      <c r="AS17">
        <f t="shared" ca="1" si="19"/>
        <v>0</v>
      </c>
      <c r="AT17" t="e">
        <f t="shared" ca="1" si="22"/>
        <v>#N/A</v>
      </c>
      <c r="AU17">
        <f t="shared" ca="1" si="14"/>
        <v>-1</v>
      </c>
      <c r="AV17" t="e">
        <f t="shared" ca="1" si="23"/>
        <v>#N/A</v>
      </c>
      <c r="AW17" s="5">
        <f t="shared" ca="1" si="20"/>
        <v>0</v>
      </c>
      <c r="BH17" s="48" t="str">
        <f ca="1">IF(OR(Planned!B27=1,Planned!B27=""),AC17,Planned!B27)</f>
        <v xml:space="preserve"> </v>
      </c>
      <c r="BI17" t="str">
        <f ca="1">IF(TEXT(Planned!D27,"mmm")&lt;&gt;TEXT(Planned!D26,"mmm"),TEXT(Planned!D27,"mmm"),"")</f>
        <v/>
      </c>
      <c r="BK17" s="67"/>
    </row>
    <row r="18" spans="2:63" x14ac:dyDescent="0.2">
      <c r="B18" s="67">
        <f ca="1">IF(Planned!$C$6&lt;&gt;"Overall",COUNTBLANK(OFFSET(Planned!E29,0,0,1,Num_Modalities)),IF(COUNTBLANK(Planned!O29)=1,Num_Modalities,0))</f>
        <v>1</v>
      </c>
      <c r="C18">
        <f ca="1">SUM(OFFSET(Planned!$E29,0,0,1,Num_Modalities))</f>
        <v>0</v>
      </c>
      <c r="E18" s="67">
        <f t="shared" si="15"/>
        <v>16</v>
      </c>
      <c r="F18" s="36">
        <f t="shared" si="16"/>
        <v>16</v>
      </c>
      <c r="G18" s="68"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f ca="1">IF(Planned!$C$6="Overall",Planned!O28*'Planned background (hide)'!R$1,"")</f>
        <v>0</v>
      </c>
      <c r="S18" s="5">
        <f ca="1">IF(Planned!R28&lt;&gt;"Yes",IF(Planned!$C$6&lt;&gt;"Overall",SUM(OFFSET('Planned background (hide)'!H18,0,0,1,Num_Modalities)),'Planned background (hide)'!R18),"")</f>
        <v>0</v>
      </c>
      <c r="U18">
        <v>1</v>
      </c>
      <c r="V18">
        <v>1</v>
      </c>
      <c r="W18">
        <f ca="1">MAX(0,PMaxRows-4)</f>
        <v>3</v>
      </c>
      <c r="X18">
        <f ca="1">W18-V18</f>
        <v>2</v>
      </c>
      <c r="AB18">
        <f t="shared" si="0"/>
        <v>16</v>
      </c>
      <c r="AC18" s="36">
        <f>IF(Planned!$C$8=0,'Planned background (hide)'!F18,'Planned background (hide)'!G18)</f>
        <v>16</v>
      </c>
      <c r="AD18" s="36">
        <f t="shared" si="2"/>
        <v>0</v>
      </c>
      <c r="AE18" s="5">
        <f t="shared" ca="1" si="1"/>
        <v>0</v>
      </c>
      <c r="AF18" s="5">
        <f t="shared" ca="1" si="3"/>
        <v>3.8</v>
      </c>
      <c r="AG18">
        <f t="shared" ca="1" si="4"/>
        <v>1.5514184397163122</v>
      </c>
      <c r="AH18" s="67">
        <f t="shared" ca="1" si="5"/>
        <v>0</v>
      </c>
      <c r="AI18" s="67">
        <f t="shared" ca="1" si="6"/>
        <v>0.69716312056737539</v>
      </c>
      <c r="AJ18" s="67">
        <f t="shared" ca="1" si="7"/>
        <v>2.2485815602836876</v>
      </c>
      <c r="AK18">
        <f t="shared" ca="1" si="8"/>
        <v>5.351418439716312</v>
      </c>
      <c r="AL18">
        <f t="shared" ca="1" si="9"/>
        <v>6.9028368794326243</v>
      </c>
      <c r="AM18">
        <f t="shared" ca="1" si="10"/>
        <v>8.4542553191489365</v>
      </c>
      <c r="AN18">
        <f t="shared" ca="1" si="11"/>
        <v>4.5999999999999996</v>
      </c>
      <c r="AO18">
        <f t="shared" ca="1" si="12"/>
        <v>5</v>
      </c>
      <c r="AP18" t="e">
        <f t="shared" ca="1" si="13"/>
        <v>#N/A</v>
      </c>
      <c r="AQ18">
        <f t="shared" ca="1" si="18"/>
        <v>-1</v>
      </c>
      <c r="AR18">
        <f t="shared" ca="1" si="21"/>
        <v>0</v>
      </c>
      <c r="AS18">
        <f t="shared" ca="1" si="19"/>
        <v>0</v>
      </c>
      <c r="AT18" t="e">
        <f t="shared" ca="1" si="22"/>
        <v>#N/A</v>
      </c>
      <c r="AU18">
        <f t="shared" ca="1" si="14"/>
        <v>-1</v>
      </c>
      <c r="AV18">
        <f t="shared" ca="1" si="23"/>
        <v>0</v>
      </c>
      <c r="AW18" s="5">
        <f t="shared" ca="1" si="20"/>
        <v>0</v>
      </c>
      <c r="BH18" s="48" t="str">
        <f ca="1">IF(OR(Planned!B28=1,Planned!B28=""),AC18,Planned!B28)</f>
        <v xml:space="preserve"> </v>
      </c>
      <c r="BI18" t="str">
        <f ca="1">IF(TEXT(Planned!D28,"mmm")&lt;&gt;TEXT(Planned!D27,"mmm"),TEXT(Planned!D28,"mmm"),"")</f>
        <v/>
      </c>
      <c r="BK18" s="67"/>
    </row>
    <row r="19" spans="2:63" x14ac:dyDescent="0.2">
      <c r="B19" s="67">
        <f ca="1">IF(Planned!$C$6&lt;&gt;"Overall",COUNTBLANK(OFFSET(Planned!E30,0,0,1,Num_Modalities)),IF(COUNTBLANK(Planned!O30)=1,Num_Modalities,0))</f>
        <v>1</v>
      </c>
      <c r="C19">
        <f ca="1">SUM(OFFSET(Planned!$E30,0,0,1,Num_Modalities))</f>
        <v>0</v>
      </c>
      <c r="E19" s="67">
        <f t="shared" si="15"/>
        <v>17</v>
      </c>
      <c r="F19" s="36">
        <f t="shared" si="16"/>
        <v>17</v>
      </c>
      <c r="G19" s="68"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f ca="1">IF(Planned!$C$6="Overall",Planned!O29*'Planned background (hide)'!R$1,"")</f>
        <v>0</v>
      </c>
      <c r="S19" s="5">
        <f ca="1">IF(Planned!R29&lt;&gt;"Yes",IF(Planned!$C$6&lt;&gt;"Overall",SUM(OFFSET('Planned background (hide)'!H19,0,0,1,Num_Modalities)),'Planned background (hide)'!R19),"")</f>
        <v>0</v>
      </c>
      <c r="U19">
        <v>1</v>
      </c>
      <c r="V19">
        <f>U18+4</f>
        <v>5</v>
      </c>
      <c r="W19">
        <f ca="1">MIN(U18+52,PMaxRows+1)</f>
        <v>8</v>
      </c>
      <c r="X19">
        <f ca="1">W19-V19</f>
        <v>3</v>
      </c>
      <c r="Y19">
        <f>U19+V19-U18</f>
        <v>5</v>
      </c>
      <c r="Z19">
        <f>V19+U19-U18</f>
        <v>5</v>
      </c>
      <c r="AA19">
        <f>Y19</f>
        <v>5</v>
      </c>
      <c r="AB19">
        <f t="shared" si="0"/>
        <v>17</v>
      </c>
      <c r="AC19" s="36">
        <f>IF(Planned!$C$8=0,'Planned background (hide)'!F19,'Planned background (hide)'!G19)</f>
        <v>17</v>
      </c>
      <c r="AD19" s="36">
        <f t="shared" si="2"/>
        <v>0</v>
      </c>
      <c r="AE19" s="5">
        <f t="shared" ca="1" si="1"/>
        <v>0</v>
      </c>
      <c r="AF19" s="5">
        <f t="shared" ca="1" si="3"/>
        <v>3.8</v>
      </c>
      <c r="AG19">
        <f t="shared" ca="1" si="4"/>
        <v>1.5514184397163122</v>
      </c>
      <c r="AH19" s="67">
        <f t="shared" ca="1" si="5"/>
        <v>0</v>
      </c>
      <c r="AI19" s="67">
        <f t="shared" ca="1" si="6"/>
        <v>0.69716312056737539</v>
      </c>
      <c r="AJ19" s="67">
        <f t="shared" ca="1" si="7"/>
        <v>2.2485815602836876</v>
      </c>
      <c r="AK19">
        <f t="shared" ca="1" si="8"/>
        <v>5.351418439716312</v>
      </c>
      <c r="AL19">
        <f t="shared" ca="1" si="9"/>
        <v>6.9028368794326243</v>
      </c>
      <c r="AM19">
        <f t="shared" ca="1" si="10"/>
        <v>8.4542553191489365</v>
      </c>
      <c r="AN19">
        <f t="shared" ca="1" si="11"/>
        <v>4.5999999999999996</v>
      </c>
      <c r="AO19">
        <f t="shared" ca="1" si="12"/>
        <v>5</v>
      </c>
      <c r="AP19" t="e">
        <f t="shared" ca="1" si="13"/>
        <v>#N/A</v>
      </c>
      <c r="AQ19">
        <f t="shared" ca="1" si="18"/>
        <v>-1</v>
      </c>
      <c r="AR19">
        <f t="shared" ca="1" si="21"/>
        <v>0</v>
      </c>
      <c r="AS19">
        <f t="shared" ca="1" si="19"/>
        <v>0</v>
      </c>
      <c r="AT19" t="e">
        <f t="shared" ca="1" si="22"/>
        <v>#N/A</v>
      </c>
      <c r="AU19">
        <f t="shared" ca="1" si="14"/>
        <v>-1</v>
      </c>
      <c r="AV19">
        <f t="shared" ca="1" si="23"/>
        <v>0</v>
      </c>
      <c r="AW19" s="5">
        <f t="shared" ca="1" si="20"/>
        <v>0</v>
      </c>
      <c r="BH19" s="48" t="str">
        <f ca="1">IF(OR(Planned!B29=1,Planned!B29=""),AC19,Planned!B29)</f>
        <v xml:space="preserve"> </v>
      </c>
      <c r="BI19" t="str">
        <f ca="1">IF(TEXT(Planned!D29,"mmm")&lt;&gt;TEXT(Planned!D28,"mmm"),TEXT(Planned!D29,"mmm"),"")</f>
        <v/>
      </c>
      <c r="BK19" s="67"/>
    </row>
    <row r="20" spans="2:63" x14ac:dyDescent="0.2">
      <c r="B20" s="67">
        <f ca="1">IF(Planned!$C$6&lt;&gt;"Overall",COUNTBLANK(OFFSET(Planned!E31,0,0,1,Num_Modalities)),IF(COUNTBLANK(Planned!O31)=1,Num_Modalities,0))</f>
        <v>1</v>
      </c>
      <c r="C20">
        <f ca="1">SUM(OFFSET(Planned!$E31,0,0,1,Num_Modalities))</f>
        <v>0</v>
      </c>
      <c r="E20" s="67">
        <f t="shared" si="15"/>
        <v>18</v>
      </c>
      <c r="F20" s="36">
        <f t="shared" si="16"/>
        <v>18</v>
      </c>
      <c r="G20" s="68"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f ca="1">IF(Planned!$C$6="Overall",Planned!O30*'Planned background (hide)'!R$1,"")</f>
        <v>0</v>
      </c>
      <c r="S20" s="5">
        <f ca="1">IF(Planned!R30&lt;&gt;"Yes",IF(Planned!$C$6&lt;&gt;"Overall",SUM(OFFSET('Planned background (hide)'!H20,0,0,1,Num_Modalities)),'Planned background (hide)'!R20),"")</f>
        <v>0</v>
      </c>
      <c r="W20" s="49"/>
      <c r="AB20">
        <f t="shared" si="0"/>
        <v>18</v>
      </c>
      <c r="AC20" s="36">
        <f>IF(Planned!$C$8=0,'Planned background (hide)'!F20,'Planned background (hide)'!G20)</f>
        <v>18</v>
      </c>
      <c r="AD20" s="36">
        <f t="shared" si="2"/>
        <v>0</v>
      </c>
      <c r="AE20" s="5">
        <f t="shared" ca="1" si="1"/>
        <v>0</v>
      </c>
      <c r="AF20" s="5">
        <f t="shared" ca="1" si="3"/>
        <v>3.8</v>
      </c>
      <c r="AG20">
        <f t="shared" ca="1" si="4"/>
        <v>1.5514184397163122</v>
      </c>
      <c r="AH20" s="67">
        <f t="shared" ca="1" si="5"/>
        <v>0</v>
      </c>
      <c r="AI20" s="67">
        <f t="shared" ca="1" si="6"/>
        <v>0.69716312056737539</v>
      </c>
      <c r="AJ20" s="67">
        <f t="shared" ca="1" si="7"/>
        <v>2.2485815602836876</v>
      </c>
      <c r="AK20">
        <f t="shared" ca="1" si="8"/>
        <v>5.351418439716312</v>
      </c>
      <c r="AL20">
        <f t="shared" ca="1" si="9"/>
        <v>6.9028368794326243</v>
      </c>
      <c r="AM20">
        <f t="shared" ca="1" si="10"/>
        <v>8.4542553191489365</v>
      </c>
      <c r="AN20">
        <f t="shared" ca="1" si="11"/>
        <v>4.5999999999999996</v>
      </c>
      <c r="AO20">
        <f t="shared" ca="1" si="12"/>
        <v>5</v>
      </c>
      <c r="AP20" t="e">
        <f t="shared" ca="1" si="13"/>
        <v>#N/A</v>
      </c>
      <c r="AQ20">
        <f t="shared" ca="1" si="18"/>
        <v>-1</v>
      </c>
      <c r="AR20">
        <f t="shared" ca="1" si="21"/>
        <v>0</v>
      </c>
      <c r="AS20">
        <f t="shared" ca="1" si="19"/>
        <v>0</v>
      </c>
      <c r="AT20" t="e">
        <f t="shared" ca="1" si="22"/>
        <v>#N/A</v>
      </c>
      <c r="AU20">
        <f t="shared" ca="1" si="14"/>
        <v>-1</v>
      </c>
      <c r="AV20">
        <f t="shared" ca="1" si="23"/>
        <v>0</v>
      </c>
      <c r="AW20" s="5">
        <f t="shared" ca="1" si="20"/>
        <v>0</v>
      </c>
      <c r="BH20" s="48" t="str">
        <f ca="1">IF(OR(Planned!B30=1,Planned!B30=""),AC20,Planned!B30)</f>
        <v xml:space="preserve"> </v>
      </c>
      <c r="BI20" t="str">
        <f ca="1">IF(TEXT(Planned!D30,"mmm")&lt;&gt;TEXT(Planned!D29,"mmm"),TEXT(Planned!D30,"mmm"),"")</f>
        <v/>
      </c>
      <c r="BK20" s="67"/>
    </row>
    <row r="21" spans="2:63" x14ac:dyDescent="0.2">
      <c r="B21" s="67">
        <f ca="1">IF(Planned!$C$6&lt;&gt;"Overall",COUNTBLANK(OFFSET(Planned!E32,0,0,1,Num_Modalities)),IF(COUNTBLANK(Planned!O32)=1,Num_Modalities,0))</f>
        <v>1</v>
      </c>
      <c r="C21">
        <f ca="1">SUM(OFFSET(Planned!$E32,0,0,1,Num_Modalities))</f>
        <v>0</v>
      </c>
      <c r="E21" s="67">
        <f t="shared" si="15"/>
        <v>19</v>
      </c>
      <c r="F21" s="36">
        <f t="shared" si="16"/>
        <v>19</v>
      </c>
      <c r="G21" s="68"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f ca="1">IF(Planned!$C$6="Overall",Planned!O31*'Planned background (hide)'!R$1,"")</f>
        <v>0</v>
      </c>
      <c r="S21" s="5">
        <f ca="1">IF(Planned!R31&lt;&gt;"Yes",IF(Planned!$C$6&lt;&gt;"Overall",SUM(OFFSET('Planned background (hide)'!H21,0,0,1,Num_Modalities)),'Planned background (hide)'!R21),"")</f>
        <v>0</v>
      </c>
      <c r="W21" s="49"/>
      <c r="AB21">
        <f t="shared" si="0"/>
        <v>19</v>
      </c>
      <c r="AC21" s="36">
        <f>IF(Planned!$C$8=0,'Planned background (hide)'!F21,'Planned background (hide)'!G21)</f>
        <v>19</v>
      </c>
      <c r="AD21" s="36">
        <f t="shared" si="2"/>
        <v>0</v>
      </c>
      <c r="AE21" s="5">
        <f t="shared" ca="1" si="1"/>
        <v>0</v>
      </c>
      <c r="AF21" s="5">
        <f t="shared" ca="1" si="3"/>
        <v>3.8</v>
      </c>
      <c r="AG21">
        <f t="shared" ca="1" si="4"/>
        <v>1.5514184397163122</v>
      </c>
      <c r="AH21" s="67">
        <f t="shared" ca="1" si="5"/>
        <v>0</v>
      </c>
      <c r="AI21" s="67">
        <f t="shared" ca="1" si="6"/>
        <v>0.69716312056737539</v>
      </c>
      <c r="AJ21" s="67">
        <f t="shared" ca="1" si="7"/>
        <v>2.2485815602836876</v>
      </c>
      <c r="AK21">
        <f t="shared" ca="1" si="8"/>
        <v>5.351418439716312</v>
      </c>
      <c r="AL21">
        <f t="shared" ca="1" si="9"/>
        <v>6.9028368794326243</v>
      </c>
      <c r="AM21">
        <f t="shared" ca="1" si="10"/>
        <v>8.4542553191489365</v>
      </c>
      <c r="AN21">
        <f t="shared" ca="1" si="11"/>
        <v>4.5999999999999996</v>
      </c>
      <c r="AO21">
        <f t="shared" ca="1" si="12"/>
        <v>5</v>
      </c>
      <c r="AP21" t="e">
        <f t="shared" ca="1" si="13"/>
        <v>#N/A</v>
      </c>
      <c r="AQ21">
        <f t="shared" ca="1" si="18"/>
        <v>-1</v>
      </c>
      <c r="AR21">
        <f t="shared" ca="1" si="21"/>
        <v>0</v>
      </c>
      <c r="AS21">
        <f t="shared" ca="1" si="19"/>
        <v>0</v>
      </c>
      <c r="AT21" t="e">
        <f t="shared" ca="1" si="22"/>
        <v>#N/A</v>
      </c>
      <c r="AU21">
        <f t="shared" ca="1" si="14"/>
        <v>-1</v>
      </c>
      <c r="AV21">
        <f t="shared" ca="1" si="23"/>
        <v>0</v>
      </c>
      <c r="AW21" s="5">
        <f t="shared" ca="1" si="20"/>
        <v>0</v>
      </c>
      <c r="BH21" s="48" t="str">
        <f ca="1">IF(OR(Planned!B31=1,Planned!B31=""),AC21,Planned!B31)</f>
        <v xml:space="preserve"> </v>
      </c>
      <c r="BI21" t="str">
        <f ca="1">IF(TEXT(Planned!D31,"mmm")&lt;&gt;TEXT(Planned!D30,"mmm"),TEXT(Planned!D31,"mmm"),"")</f>
        <v/>
      </c>
      <c r="BK21" s="67"/>
    </row>
    <row r="22" spans="2:63" x14ac:dyDescent="0.2">
      <c r="B22" s="67">
        <f ca="1">IF(Planned!$C$6&lt;&gt;"Overall",COUNTBLANK(OFFSET(Planned!E33,0,0,1,Num_Modalities)),IF(COUNTBLANK(Planned!O33)=1,Num_Modalities,0))</f>
        <v>1</v>
      </c>
      <c r="C22">
        <f ca="1">SUM(OFFSET(Planned!$E33,0,0,1,Num_Modalities))</f>
        <v>0</v>
      </c>
      <c r="E22" s="67">
        <f t="shared" si="15"/>
        <v>20</v>
      </c>
      <c r="F22" s="36">
        <f t="shared" si="16"/>
        <v>20</v>
      </c>
      <c r="G22" s="68"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f ca="1">IF(Planned!$C$6="Overall",Planned!O32*'Planned background (hide)'!R$1,"")</f>
        <v>0</v>
      </c>
      <c r="S22" s="5">
        <f ca="1">IF(Planned!R32&lt;&gt;"Yes",IF(Planned!$C$6&lt;&gt;"Overall",SUM(OFFSET('Planned background (hide)'!H22,0,0,1,Num_Modalities)),'Planned background (hide)'!R22),"")</f>
        <v>0</v>
      </c>
      <c r="U22" t="s">
        <v>281</v>
      </c>
      <c r="W22" s="49"/>
      <c r="AB22">
        <f t="shared" si="0"/>
        <v>20</v>
      </c>
      <c r="AC22" s="36">
        <f>IF(Planned!$C$8=0,'Planned background (hide)'!F22,'Planned background (hide)'!G22)</f>
        <v>20</v>
      </c>
      <c r="AD22" s="36">
        <f t="shared" si="2"/>
        <v>0</v>
      </c>
      <c r="AE22" s="5">
        <f t="shared" ca="1" si="1"/>
        <v>0</v>
      </c>
      <c r="AF22" s="5">
        <f t="shared" ca="1" si="3"/>
        <v>3.8</v>
      </c>
      <c r="AG22">
        <f t="shared" ca="1" si="4"/>
        <v>1.5514184397163122</v>
      </c>
      <c r="AH22" s="67">
        <f t="shared" ca="1" si="5"/>
        <v>0</v>
      </c>
      <c r="AI22" s="67">
        <f t="shared" ca="1" si="6"/>
        <v>0.69716312056737539</v>
      </c>
      <c r="AJ22" s="67">
        <f t="shared" ca="1" si="7"/>
        <v>2.2485815602836876</v>
      </c>
      <c r="AK22">
        <f t="shared" ca="1" si="8"/>
        <v>5.351418439716312</v>
      </c>
      <c r="AL22">
        <f t="shared" ca="1" si="9"/>
        <v>6.9028368794326243</v>
      </c>
      <c r="AM22">
        <f t="shared" ca="1" si="10"/>
        <v>8.4542553191489365</v>
      </c>
      <c r="AN22">
        <f t="shared" ca="1" si="11"/>
        <v>4.5999999999999996</v>
      </c>
      <c r="AO22">
        <f t="shared" ca="1" si="12"/>
        <v>5</v>
      </c>
      <c r="AP22" t="e">
        <f t="shared" ca="1" si="13"/>
        <v>#N/A</v>
      </c>
      <c r="AQ22">
        <f t="shared" ca="1" si="18"/>
        <v>-1</v>
      </c>
      <c r="AR22">
        <f t="shared" ca="1" si="21"/>
        <v>0</v>
      </c>
      <c r="AS22">
        <f t="shared" ca="1" si="19"/>
        <v>0</v>
      </c>
      <c r="AT22" t="e">
        <f t="shared" ca="1" si="22"/>
        <v>#N/A</v>
      </c>
      <c r="AU22">
        <f t="shared" ca="1" si="14"/>
        <v>-1</v>
      </c>
      <c r="AV22">
        <f t="shared" ca="1" si="23"/>
        <v>0</v>
      </c>
      <c r="AW22" s="5">
        <f t="shared" ca="1" si="20"/>
        <v>0</v>
      </c>
      <c r="BH22" s="48" t="str">
        <f ca="1">IF(OR(Planned!B32=1,Planned!B32=""),AC22,Planned!B32)</f>
        <v xml:space="preserve"> </v>
      </c>
      <c r="BI22" t="str">
        <f ca="1">IF(TEXT(Planned!D32,"mmm")&lt;&gt;TEXT(Planned!D31,"mmm"),TEXT(Planned!D32,"mmm"),"")</f>
        <v/>
      </c>
      <c r="BK22" s="67"/>
    </row>
    <row r="23" spans="2:63" x14ac:dyDescent="0.2">
      <c r="B23" s="67">
        <f ca="1">IF(Planned!$C$6&lt;&gt;"Overall",COUNTBLANK(OFFSET(Planned!E34,0,0,1,Num_Modalities)),IF(COUNTBLANK(Planned!O34)=1,Num_Modalities,0))</f>
        <v>1</v>
      </c>
      <c r="C23">
        <f ca="1">SUM(OFFSET(Planned!$E34,0,0,1,Num_Modalities))</f>
        <v>0</v>
      </c>
      <c r="E23" s="67">
        <f t="shared" si="15"/>
        <v>21</v>
      </c>
      <c r="F23" s="36">
        <f t="shared" si="16"/>
        <v>21</v>
      </c>
      <c r="G23" s="68"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f ca="1">IF(Planned!$C$6="Overall",Planned!O33*'Planned background (hide)'!R$1,"")</f>
        <v>0</v>
      </c>
      <c r="S23" s="5">
        <f ca="1">IF(Planned!R33&lt;&gt;"Yes",IF(Planned!$C$6&lt;&gt;"Overall",SUM(OFFSET('Planned background (hide)'!H23,0,0,1,Num_Modalities)),'Planned background (hide)'!R23),"")</f>
        <v>0</v>
      </c>
      <c r="U23" t="s">
        <v>156</v>
      </c>
      <c r="V23" s="59">
        <f ca="1">AVERAGEIF(AD3:AD55,1,AE3:AE55)</f>
        <v>3.8</v>
      </c>
      <c r="W23" s="49"/>
      <c r="AB23">
        <f t="shared" si="0"/>
        <v>21</v>
      </c>
      <c r="AC23" s="36">
        <f>IF(Planned!$C$8=0,'Planned background (hide)'!F23,'Planned background (hide)'!G23)</f>
        <v>21</v>
      </c>
      <c r="AD23" s="36">
        <f t="shared" si="2"/>
        <v>0</v>
      </c>
      <c r="AE23" s="5">
        <f t="shared" ca="1" si="1"/>
        <v>0</v>
      </c>
      <c r="AF23" s="5">
        <f t="shared" ca="1" si="3"/>
        <v>3.8</v>
      </c>
      <c r="AG23">
        <f t="shared" ca="1" si="4"/>
        <v>1.5514184397163122</v>
      </c>
      <c r="AH23" s="67">
        <f t="shared" ca="1" si="5"/>
        <v>0</v>
      </c>
      <c r="AI23" s="67">
        <f t="shared" ca="1" si="6"/>
        <v>0.69716312056737539</v>
      </c>
      <c r="AJ23" s="67">
        <f t="shared" ca="1" si="7"/>
        <v>2.2485815602836876</v>
      </c>
      <c r="AK23">
        <f t="shared" ca="1" si="8"/>
        <v>5.351418439716312</v>
      </c>
      <c r="AL23">
        <f t="shared" ca="1" si="9"/>
        <v>6.9028368794326243</v>
      </c>
      <c r="AM23">
        <f t="shared" ca="1" si="10"/>
        <v>8.4542553191489365</v>
      </c>
      <c r="AN23">
        <f t="shared" ca="1" si="11"/>
        <v>4.5999999999999996</v>
      </c>
      <c r="AO23">
        <f t="shared" ca="1" si="12"/>
        <v>5</v>
      </c>
      <c r="AP23" t="e">
        <f t="shared" ca="1" si="13"/>
        <v>#N/A</v>
      </c>
      <c r="AQ23">
        <f t="shared" ca="1" si="18"/>
        <v>-1</v>
      </c>
      <c r="AR23">
        <f t="shared" ca="1" si="21"/>
        <v>0</v>
      </c>
      <c r="AS23">
        <f t="shared" ca="1" si="19"/>
        <v>0</v>
      </c>
      <c r="AT23" t="e">
        <f t="shared" ca="1" si="22"/>
        <v>#N/A</v>
      </c>
      <c r="AU23">
        <f t="shared" ca="1" si="14"/>
        <v>-1</v>
      </c>
      <c r="AV23">
        <f t="shared" ca="1" si="23"/>
        <v>0</v>
      </c>
      <c r="AW23" s="5">
        <f t="shared" ca="1" si="20"/>
        <v>0</v>
      </c>
      <c r="BH23" s="48" t="str">
        <f ca="1">IF(OR(Planned!B33=1,Planned!B33=""),AC23,Planned!B33)</f>
        <v xml:space="preserve"> </v>
      </c>
      <c r="BI23" t="str">
        <f ca="1">IF(TEXT(Planned!D33,"mmm")&lt;&gt;TEXT(Planned!D32,"mmm"),TEXT(Planned!D33,"mmm"),"")</f>
        <v/>
      </c>
      <c r="BK23" s="67"/>
    </row>
    <row r="24" spans="2:63" x14ac:dyDescent="0.2">
      <c r="B24" s="67">
        <f ca="1">IF(Planned!$C$6&lt;&gt;"Overall",COUNTBLANK(OFFSET(Planned!E35,0,0,1,Num_Modalities)),IF(COUNTBLANK(Planned!O35)=1,Num_Modalities,0))</f>
        <v>1</v>
      </c>
      <c r="C24">
        <f ca="1">SUM(OFFSET(Planned!$E35,0,0,1,Num_Modalities))</f>
        <v>0</v>
      </c>
      <c r="E24" s="67">
        <f t="shared" si="15"/>
        <v>22</v>
      </c>
      <c r="F24" s="36">
        <f t="shared" si="16"/>
        <v>22</v>
      </c>
      <c r="G24" s="68"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f ca="1">IF(Planned!$C$6="Overall",Planned!O34*'Planned background (hide)'!R$1,"")</f>
        <v>0</v>
      </c>
      <c r="S24" s="5">
        <f ca="1">IF(Planned!R34&lt;&gt;"Yes",IF(Planned!$C$6&lt;&gt;"Overall",SUM(OFFSET('Planned background (hide)'!H24,0,0,1,Num_Modalities)),'Planned background (hide)'!R24),"")</f>
        <v>0</v>
      </c>
      <c r="U24" t="s">
        <v>278</v>
      </c>
      <c r="V24" s="59">
        <f ca="1">AVERAGEIF(AD3:AD55,1,AW3:AW55)</f>
        <v>1.75</v>
      </c>
      <c r="W24" s="49"/>
      <c r="AB24">
        <f t="shared" si="0"/>
        <v>22</v>
      </c>
      <c r="AC24" s="36">
        <f>IF(Planned!$C$8=0,'Planned background (hide)'!F24,'Planned background (hide)'!G24)</f>
        <v>22</v>
      </c>
      <c r="AD24" s="36">
        <f t="shared" si="2"/>
        <v>0</v>
      </c>
      <c r="AE24" s="5">
        <f t="shared" ca="1" si="1"/>
        <v>0</v>
      </c>
      <c r="AF24" s="5">
        <f t="shared" ca="1" si="3"/>
        <v>3.8</v>
      </c>
      <c r="AG24">
        <f t="shared" ca="1" si="4"/>
        <v>1.5514184397163122</v>
      </c>
      <c r="AH24" s="67">
        <f t="shared" ca="1" si="5"/>
        <v>0</v>
      </c>
      <c r="AI24" s="67">
        <f t="shared" ca="1" si="6"/>
        <v>0.69716312056737539</v>
      </c>
      <c r="AJ24" s="67">
        <f t="shared" ca="1" si="7"/>
        <v>2.2485815602836876</v>
      </c>
      <c r="AK24">
        <f t="shared" ca="1" si="8"/>
        <v>5.351418439716312</v>
      </c>
      <c r="AL24">
        <f t="shared" ca="1" si="9"/>
        <v>6.9028368794326243</v>
      </c>
      <c r="AM24">
        <f t="shared" ca="1" si="10"/>
        <v>8.4542553191489365</v>
      </c>
      <c r="AN24">
        <f t="shared" ca="1" si="11"/>
        <v>4.5999999999999996</v>
      </c>
      <c r="AO24">
        <f t="shared" ca="1" si="12"/>
        <v>5</v>
      </c>
      <c r="AP24" t="e">
        <f t="shared" ca="1" si="13"/>
        <v>#N/A</v>
      </c>
      <c r="AQ24">
        <f t="shared" ca="1" si="18"/>
        <v>-1</v>
      </c>
      <c r="AR24">
        <f t="shared" ca="1" si="21"/>
        <v>0</v>
      </c>
      <c r="AS24">
        <f t="shared" ca="1" si="19"/>
        <v>0</v>
      </c>
      <c r="AT24" t="e">
        <f t="shared" ca="1" si="22"/>
        <v>#N/A</v>
      </c>
      <c r="AU24">
        <f t="shared" ca="1" si="14"/>
        <v>-1</v>
      </c>
      <c r="AV24">
        <f t="shared" ca="1" si="23"/>
        <v>0</v>
      </c>
      <c r="AW24" s="5">
        <f t="shared" ca="1" si="20"/>
        <v>0</v>
      </c>
      <c r="BH24" s="48" t="str">
        <f ca="1">IF(OR(Planned!B34=1,Planned!B34=""),AC24,Planned!B34)</f>
        <v xml:space="preserve"> </v>
      </c>
      <c r="BI24" t="str">
        <f ca="1">IF(TEXT(Planned!D34,"mmm")&lt;&gt;TEXT(Planned!D33,"mmm"),TEXT(Planned!D34,"mmm"),"")</f>
        <v/>
      </c>
      <c r="BK24" s="67"/>
    </row>
    <row r="25" spans="2:63" x14ac:dyDescent="0.2">
      <c r="B25" s="67">
        <f ca="1">IF(Planned!$C$6&lt;&gt;"Overall",COUNTBLANK(OFFSET(Planned!E36,0,0,1,Num_Modalities)),IF(COUNTBLANK(Planned!O36)=1,Num_Modalities,0))</f>
        <v>1</v>
      </c>
      <c r="C25">
        <f ca="1">SUM(OFFSET(Planned!$E36,0,0,1,Num_Modalities))</f>
        <v>0</v>
      </c>
      <c r="E25" s="67">
        <f t="shared" si="15"/>
        <v>23</v>
      </c>
      <c r="F25" s="36">
        <f t="shared" si="16"/>
        <v>23</v>
      </c>
      <c r="G25" s="68"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f ca="1">IF(Planned!$C$6="Overall",Planned!O35*'Planned background (hide)'!R$1,"")</f>
        <v>0</v>
      </c>
      <c r="S25" s="5">
        <f ca="1">IF(Planned!R35&lt;&gt;"Yes",IF(Planned!$C$6&lt;&gt;"Overall",SUM(OFFSET('Planned background (hide)'!H25,0,0,1,Num_Modalities)),'Planned background (hide)'!R25),"")</f>
        <v>0</v>
      </c>
      <c r="U25" t="s">
        <v>257</v>
      </c>
      <c r="V25" s="59">
        <f ca="1">V24/1.128</f>
        <v>1.5514184397163122</v>
      </c>
      <c r="AB25">
        <f t="shared" si="0"/>
        <v>23</v>
      </c>
      <c r="AC25" s="36">
        <f>IF(Planned!$C$8=0,'Planned background (hide)'!F25,'Planned background (hide)'!G25)</f>
        <v>23</v>
      </c>
      <c r="AD25" s="36">
        <f t="shared" si="2"/>
        <v>0</v>
      </c>
      <c r="AE25" s="5">
        <f t="shared" ca="1" si="1"/>
        <v>0</v>
      </c>
      <c r="AF25" s="5">
        <f t="shared" ca="1" si="3"/>
        <v>3.8</v>
      </c>
      <c r="AG25">
        <f t="shared" ca="1" si="4"/>
        <v>1.5514184397163122</v>
      </c>
      <c r="AH25" s="67">
        <f t="shared" ca="1" si="5"/>
        <v>0</v>
      </c>
      <c r="AI25" s="67">
        <f t="shared" ca="1" si="6"/>
        <v>0.69716312056737539</v>
      </c>
      <c r="AJ25" s="67">
        <f t="shared" ca="1" si="7"/>
        <v>2.2485815602836876</v>
      </c>
      <c r="AK25">
        <f t="shared" ca="1" si="8"/>
        <v>5.351418439716312</v>
      </c>
      <c r="AL25">
        <f t="shared" ca="1" si="9"/>
        <v>6.9028368794326243</v>
      </c>
      <c r="AM25">
        <f t="shared" ca="1" si="10"/>
        <v>8.4542553191489365</v>
      </c>
      <c r="AN25">
        <f t="shared" ca="1" si="11"/>
        <v>4.5999999999999996</v>
      </c>
      <c r="AO25">
        <f t="shared" ca="1" si="12"/>
        <v>5</v>
      </c>
      <c r="AP25" t="e">
        <f t="shared" ca="1" si="13"/>
        <v>#N/A</v>
      </c>
      <c r="AQ25">
        <f t="shared" ca="1" si="18"/>
        <v>-1</v>
      </c>
      <c r="AR25">
        <f t="shared" ca="1" si="21"/>
        <v>0</v>
      </c>
      <c r="AS25">
        <f t="shared" ca="1" si="19"/>
        <v>0</v>
      </c>
      <c r="AT25" t="e">
        <f t="shared" ca="1" si="22"/>
        <v>#N/A</v>
      </c>
      <c r="AU25">
        <f t="shared" ca="1" si="14"/>
        <v>-1</v>
      </c>
      <c r="AV25">
        <f t="shared" ca="1" si="23"/>
        <v>0</v>
      </c>
      <c r="AW25" s="5">
        <f t="shared" ca="1" si="20"/>
        <v>0</v>
      </c>
      <c r="BH25" s="48" t="str">
        <f ca="1">IF(OR(Planned!B35=1,Planned!B35=""),AC25,Planned!B35)</f>
        <v xml:space="preserve"> </v>
      </c>
      <c r="BI25" t="str">
        <f ca="1">IF(TEXT(Planned!D35,"mmm")&lt;&gt;TEXT(Planned!D34,"mmm"),TEXT(Planned!D35,"mmm"),"")</f>
        <v/>
      </c>
      <c r="BK25" s="67"/>
    </row>
    <row r="26" spans="2:63" x14ac:dyDescent="0.2">
      <c r="B26" s="67">
        <f ca="1">IF(Planned!$C$6&lt;&gt;"Overall",COUNTBLANK(OFFSET(Planned!E37,0,0,1,Num_Modalities)),IF(COUNTBLANK(Planned!O37)=1,Num_Modalities,0))</f>
        <v>1</v>
      </c>
      <c r="C26">
        <f ca="1">SUM(OFFSET(Planned!$E37,0,0,1,Num_Modalities))</f>
        <v>0</v>
      </c>
      <c r="E26" s="67">
        <f t="shared" si="15"/>
        <v>24</v>
      </c>
      <c r="F26" s="36">
        <f t="shared" si="16"/>
        <v>24</v>
      </c>
      <c r="G26" s="68"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f ca="1">IF(Planned!$C$6="Overall",Planned!O36*'Planned background (hide)'!R$1,"")</f>
        <v>0</v>
      </c>
      <c r="S26" s="5">
        <f ca="1">IF(Planned!R36&lt;&gt;"Yes",IF(Planned!$C$6&lt;&gt;"Overall",SUM(OFFSET('Planned background (hide)'!H26,0,0,1,Num_Modalities)),'Planned background (hide)'!R26),"")</f>
        <v>0</v>
      </c>
      <c r="U26" t="s">
        <v>279</v>
      </c>
      <c r="V26" s="59">
        <f t="array" aca="1" ref="V26" ca="1">PERCENTILE(IF(AD3:AD55=1,AE3:AE55,""),'Control sheet (hide)'!$I$9)</f>
        <v>4.5999999999999996</v>
      </c>
      <c r="AB26">
        <f t="shared" si="0"/>
        <v>24</v>
      </c>
      <c r="AC26" s="36">
        <f>IF(Planned!$C$8=0,'Planned background (hide)'!F26,'Planned background (hide)'!G26)</f>
        <v>24</v>
      </c>
      <c r="AD26" s="36">
        <f t="shared" si="2"/>
        <v>0</v>
      </c>
      <c r="AE26" s="5">
        <f t="shared" ca="1" si="1"/>
        <v>0</v>
      </c>
      <c r="AF26" s="5">
        <f t="shared" ca="1" si="3"/>
        <v>3.8</v>
      </c>
      <c r="AG26">
        <f t="shared" ca="1" si="4"/>
        <v>1.5514184397163122</v>
      </c>
      <c r="AH26" s="67">
        <f t="shared" ca="1" si="5"/>
        <v>0</v>
      </c>
      <c r="AI26" s="67">
        <f t="shared" ca="1" si="6"/>
        <v>0.69716312056737539</v>
      </c>
      <c r="AJ26" s="67">
        <f t="shared" ca="1" si="7"/>
        <v>2.2485815602836876</v>
      </c>
      <c r="AK26">
        <f t="shared" ca="1" si="8"/>
        <v>5.351418439716312</v>
      </c>
      <c r="AL26">
        <f t="shared" ca="1" si="9"/>
        <v>6.9028368794326243</v>
      </c>
      <c r="AM26">
        <f t="shared" ca="1" si="10"/>
        <v>8.4542553191489365</v>
      </c>
      <c r="AN26">
        <f t="shared" ca="1" si="11"/>
        <v>4.5999999999999996</v>
      </c>
      <c r="AO26">
        <f t="shared" ca="1" si="12"/>
        <v>5</v>
      </c>
      <c r="AP26" t="e">
        <f t="shared" ca="1" si="13"/>
        <v>#N/A</v>
      </c>
      <c r="AQ26">
        <f t="shared" ca="1" si="18"/>
        <v>-1</v>
      </c>
      <c r="AR26">
        <f t="shared" ca="1" si="21"/>
        <v>0</v>
      </c>
      <c r="AS26">
        <f t="shared" ca="1" si="19"/>
        <v>0</v>
      </c>
      <c r="AT26" t="e">
        <f t="shared" ca="1" si="22"/>
        <v>#N/A</v>
      </c>
      <c r="AU26">
        <f t="shared" ca="1" si="14"/>
        <v>-1</v>
      </c>
      <c r="AV26">
        <f t="shared" ca="1" si="23"/>
        <v>0</v>
      </c>
      <c r="AW26" s="5">
        <f t="shared" ca="1" si="20"/>
        <v>0</v>
      </c>
      <c r="BH26" s="48" t="str">
        <f ca="1">IF(OR(Planned!B36=1,Planned!B36=""),AC26,Planned!B36)</f>
        <v xml:space="preserve"> </v>
      </c>
      <c r="BI26" t="str">
        <f ca="1">IF(TEXT(Planned!D36,"mmm")&lt;&gt;TEXT(Planned!D35,"mmm"),TEXT(Planned!D36,"mmm"),"")</f>
        <v/>
      </c>
      <c r="BK26" s="67"/>
    </row>
    <row r="27" spans="2:63" x14ac:dyDescent="0.2">
      <c r="B27" s="67">
        <f ca="1">IF(Planned!$C$6&lt;&gt;"Overall",COUNTBLANK(OFFSET(Planned!E38,0,0,1,Num_Modalities)),IF(COUNTBLANK(Planned!O38)=1,Num_Modalities,0))</f>
        <v>1</v>
      </c>
      <c r="C27">
        <f ca="1">SUM(OFFSET(Planned!$E38,0,0,1,Num_Modalities))</f>
        <v>0</v>
      </c>
      <c r="E27" s="67">
        <f t="shared" si="15"/>
        <v>25</v>
      </c>
      <c r="F27" s="36">
        <f t="shared" si="16"/>
        <v>25</v>
      </c>
      <c r="G27" s="68"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f ca="1">IF(Planned!$C$6="Overall",Planned!O37*'Planned background (hide)'!R$1,"")</f>
        <v>0</v>
      </c>
      <c r="S27" s="5">
        <f ca="1">IF(Planned!R37&lt;&gt;"Yes",IF(Planned!$C$6&lt;&gt;"Overall",SUM(OFFSET('Planned background (hide)'!H27,0,0,1,Num_Modalities)),'Planned background (hide)'!R27),"")</f>
        <v>0</v>
      </c>
      <c r="U27" t="s">
        <v>280</v>
      </c>
      <c r="V27" s="59">
        <f t="array" aca="1" ref="V27" ca="1">PERCENTILE(IF(AD3:AD55=1,AE3:AE55,""),0.85)</f>
        <v>5</v>
      </c>
      <c r="AB27">
        <f t="shared" si="0"/>
        <v>25</v>
      </c>
      <c r="AC27" s="36">
        <f>IF(Planned!$C$8=0,'Planned background (hide)'!F27,'Planned background (hide)'!G27)</f>
        <v>25</v>
      </c>
      <c r="AD27" s="36">
        <f t="shared" si="2"/>
        <v>0</v>
      </c>
      <c r="AE27" s="5">
        <f t="shared" ca="1" si="1"/>
        <v>0</v>
      </c>
      <c r="AF27" s="5">
        <f t="shared" ca="1" si="3"/>
        <v>3.8</v>
      </c>
      <c r="AG27">
        <f t="shared" ca="1" si="4"/>
        <v>1.5514184397163122</v>
      </c>
      <c r="AH27" s="67">
        <f t="shared" ca="1" si="5"/>
        <v>0</v>
      </c>
      <c r="AI27" s="67">
        <f t="shared" ca="1" si="6"/>
        <v>0.69716312056737539</v>
      </c>
      <c r="AJ27" s="67">
        <f t="shared" ca="1" si="7"/>
        <v>2.2485815602836876</v>
      </c>
      <c r="AK27">
        <f t="shared" ca="1" si="8"/>
        <v>5.351418439716312</v>
      </c>
      <c r="AL27">
        <f t="shared" ca="1" si="9"/>
        <v>6.9028368794326243</v>
      </c>
      <c r="AM27">
        <f t="shared" ca="1" si="10"/>
        <v>8.4542553191489365</v>
      </c>
      <c r="AN27">
        <f t="shared" ca="1" si="11"/>
        <v>4.5999999999999996</v>
      </c>
      <c r="AO27">
        <f t="shared" ca="1" si="12"/>
        <v>5</v>
      </c>
      <c r="AP27" t="e">
        <f t="shared" ca="1" si="13"/>
        <v>#N/A</v>
      </c>
      <c r="AQ27">
        <f t="shared" ca="1" si="18"/>
        <v>-1</v>
      </c>
      <c r="AR27">
        <f t="shared" ca="1" si="21"/>
        <v>0</v>
      </c>
      <c r="AS27">
        <f t="shared" ca="1" si="19"/>
        <v>0</v>
      </c>
      <c r="AT27" t="e">
        <f t="shared" ca="1" si="22"/>
        <v>#N/A</v>
      </c>
      <c r="AU27">
        <f t="shared" ca="1" si="14"/>
        <v>-1</v>
      </c>
      <c r="AV27">
        <f t="shared" ca="1" si="23"/>
        <v>0</v>
      </c>
      <c r="AW27" s="5">
        <f t="shared" ca="1" si="20"/>
        <v>0</v>
      </c>
      <c r="BH27" s="48" t="str">
        <f ca="1">IF(OR(Planned!B37=1,Planned!B37=""),AC27,Planned!B37)</f>
        <v xml:space="preserve"> </v>
      </c>
      <c r="BI27" t="str">
        <f ca="1">IF(TEXT(Planned!D37,"mmm")&lt;&gt;TEXT(Planned!D36,"mmm"),TEXT(Planned!D37,"mmm"),"")</f>
        <v/>
      </c>
      <c r="BK27" s="67"/>
    </row>
    <row r="28" spans="2:63" x14ac:dyDescent="0.2">
      <c r="B28" s="67">
        <f ca="1">IF(Planned!$C$6&lt;&gt;"Overall",COUNTBLANK(OFFSET(Planned!E39,0,0,1,Num_Modalities)),IF(COUNTBLANK(Planned!O39)=1,Num_Modalities,0))</f>
        <v>1</v>
      </c>
      <c r="C28">
        <f ca="1">SUM(OFFSET(Planned!$E39,0,0,1,Num_Modalities))</f>
        <v>0</v>
      </c>
      <c r="E28" s="67">
        <f t="shared" si="15"/>
        <v>26</v>
      </c>
      <c r="F28" s="36">
        <f t="shared" si="16"/>
        <v>26</v>
      </c>
      <c r="G28" s="68"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f ca="1">IF(Planned!$C$6="Overall",Planned!O38*'Planned background (hide)'!R$1,"")</f>
        <v>0</v>
      </c>
      <c r="S28" s="5">
        <f ca="1">IF(Planned!R38&lt;&gt;"Yes",IF(Planned!$C$6&lt;&gt;"Overall",SUM(OFFSET('Planned background (hide)'!H28,0,0,1,Num_Modalities)),'Planned background (hide)'!R28),"")</f>
        <v>0</v>
      </c>
      <c r="AB28">
        <f t="shared" si="0"/>
        <v>26</v>
      </c>
      <c r="AC28" s="36">
        <f>IF(Planned!$C$8=0,'Planned background (hide)'!F28,'Planned background (hide)'!G28)</f>
        <v>26</v>
      </c>
      <c r="AD28" s="36">
        <f t="shared" si="2"/>
        <v>0</v>
      </c>
      <c r="AE28" s="5">
        <f t="shared" ca="1" si="1"/>
        <v>0</v>
      </c>
      <c r="AF28" s="5">
        <f t="shared" ca="1" si="3"/>
        <v>3.8</v>
      </c>
      <c r="AG28">
        <f t="shared" ca="1" si="4"/>
        <v>1.5514184397163122</v>
      </c>
      <c r="AH28" s="67">
        <f t="shared" ca="1" si="5"/>
        <v>0</v>
      </c>
      <c r="AI28" s="67">
        <f t="shared" ca="1" si="6"/>
        <v>0.69716312056737539</v>
      </c>
      <c r="AJ28" s="67">
        <f t="shared" ca="1" si="7"/>
        <v>2.2485815602836876</v>
      </c>
      <c r="AK28">
        <f t="shared" ca="1" si="8"/>
        <v>5.351418439716312</v>
      </c>
      <c r="AL28">
        <f t="shared" ca="1" si="9"/>
        <v>6.9028368794326243</v>
      </c>
      <c r="AM28">
        <f t="shared" ca="1" si="10"/>
        <v>8.4542553191489365</v>
      </c>
      <c r="AN28">
        <f t="shared" ca="1" si="11"/>
        <v>4.5999999999999996</v>
      </c>
      <c r="AO28">
        <f t="shared" ca="1" si="12"/>
        <v>5</v>
      </c>
      <c r="AP28" t="e">
        <f t="shared" ca="1" si="13"/>
        <v>#N/A</v>
      </c>
      <c r="AQ28">
        <f t="shared" ca="1" si="18"/>
        <v>-1</v>
      </c>
      <c r="AR28">
        <f t="shared" ca="1" si="21"/>
        <v>0</v>
      </c>
      <c r="AS28">
        <f t="shared" ca="1" si="19"/>
        <v>0</v>
      </c>
      <c r="AT28" t="e">
        <f t="shared" ca="1" si="22"/>
        <v>#N/A</v>
      </c>
      <c r="AU28">
        <f t="shared" ca="1" si="14"/>
        <v>-1</v>
      </c>
      <c r="AV28">
        <f t="shared" ca="1" si="23"/>
        <v>0</v>
      </c>
      <c r="AW28" s="5">
        <f t="shared" ca="1" si="20"/>
        <v>0</v>
      </c>
      <c r="BH28" s="48" t="str">
        <f ca="1">IF(OR(Planned!B38=1,Planned!B38=""),AC28,Planned!B38)</f>
        <v xml:space="preserve"> </v>
      </c>
      <c r="BI28" t="str">
        <f ca="1">IF(TEXT(Planned!D38,"mmm")&lt;&gt;TEXT(Planned!D37,"mmm"),TEXT(Planned!D38,"mmm"),"")</f>
        <v/>
      </c>
      <c r="BK28" s="67"/>
    </row>
    <row r="29" spans="2:63" x14ac:dyDescent="0.2">
      <c r="B29" s="67">
        <f ca="1">IF(Planned!$C$6&lt;&gt;"Overall",COUNTBLANK(OFFSET(Planned!E40,0,0,1,Num_Modalities)),IF(COUNTBLANK(Planned!O40)=1,Num_Modalities,0))</f>
        <v>1</v>
      </c>
      <c r="C29">
        <f ca="1">SUM(OFFSET(Planned!$E40,0,0,1,Num_Modalities))</f>
        <v>0</v>
      </c>
      <c r="E29" s="67">
        <f t="shared" si="15"/>
        <v>27</v>
      </c>
      <c r="F29" s="36">
        <f t="shared" si="16"/>
        <v>27</v>
      </c>
      <c r="G29" s="68"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f ca="1">IF(Planned!$C$6="Overall",Planned!O39*'Planned background (hide)'!R$1,"")</f>
        <v>0</v>
      </c>
      <c r="S29" s="5">
        <f ca="1">IF(Planned!R39&lt;&gt;"Yes",IF(Planned!$C$6&lt;&gt;"Overall",SUM(OFFSET('Planned background (hide)'!H29,0,0,1,Num_Modalities)),'Planned background (hide)'!R29),"")</f>
        <v>0</v>
      </c>
      <c r="AB29">
        <f t="shared" si="0"/>
        <v>27</v>
      </c>
      <c r="AC29" s="36">
        <f>IF(Planned!$C$8=0,'Planned background (hide)'!F29,'Planned background (hide)'!G29)</f>
        <v>27</v>
      </c>
      <c r="AD29" s="36">
        <f t="shared" si="2"/>
        <v>0</v>
      </c>
      <c r="AE29" s="5">
        <f t="shared" ca="1" si="1"/>
        <v>0</v>
      </c>
      <c r="AF29" s="5">
        <f t="shared" ca="1" si="3"/>
        <v>3.8</v>
      </c>
      <c r="AG29">
        <f t="shared" ca="1" si="4"/>
        <v>1.5514184397163122</v>
      </c>
      <c r="AH29" s="67">
        <f t="shared" ca="1" si="5"/>
        <v>0</v>
      </c>
      <c r="AI29" s="67">
        <f t="shared" ca="1" si="6"/>
        <v>0.69716312056737539</v>
      </c>
      <c r="AJ29" s="67">
        <f t="shared" ca="1" si="7"/>
        <v>2.2485815602836876</v>
      </c>
      <c r="AK29">
        <f t="shared" ca="1" si="8"/>
        <v>5.351418439716312</v>
      </c>
      <c r="AL29">
        <f t="shared" ca="1" si="9"/>
        <v>6.9028368794326243</v>
      </c>
      <c r="AM29">
        <f t="shared" ca="1" si="10"/>
        <v>8.4542553191489365</v>
      </c>
      <c r="AN29">
        <f t="shared" ca="1" si="11"/>
        <v>4.5999999999999996</v>
      </c>
      <c r="AO29">
        <f t="shared" ca="1" si="12"/>
        <v>5</v>
      </c>
      <c r="AP29" t="e">
        <f t="shared" ca="1" si="13"/>
        <v>#N/A</v>
      </c>
      <c r="AQ29">
        <f t="shared" ca="1" si="18"/>
        <v>-1</v>
      </c>
      <c r="AR29">
        <f t="shared" ca="1" si="21"/>
        <v>0</v>
      </c>
      <c r="AS29">
        <f t="shared" ca="1" si="19"/>
        <v>0</v>
      </c>
      <c r="AT29" t="e">
        <f t="shared" ca="1" si="22"/>
        <v>#N/A</v>
      </c>
      <c r="AU29">
        <f t="shared" ca="1" si="14"/>
        <v>-1</v>
      </c>
      <c r="AV29">
        <f t="shared" ca="1" si="23"/>
        <v>0</v>
      </c>
      <c r="AW29" s="5">
        <f t="shared" ca="1" si="20"/>
        <v>0</v>
      </c>
      <c r="BH29" s="48" t="str">
        <f ca="1">IF(OR(Planned!B39=1,Planned!B39=""),AC29,Planned!B39)</f>
        <v xml:space="preserve"> </v>
      </c>
      <c r="BI29" t="str">
        <f ca="1">IF(TEXT(Planned!D39,"mmm")&lt;&gt;TEXT(Planned!D38,"mmm"),TEXT(Planned!D39,"mmm"),"")</f>
        <v/>
      </c>
      <c r="BK29" s="67"/>
    </row>
    <row r="30" spans="2:63" x14ac:dyDescent="0.2">
      <c r="B30" s="67">
        <f ca="1">IF(Planned!$C$6&lt;&gt;"Overall",COUNTBLANK(OFFSET(Planned!E41,0,0,1,Num_Modalities)),IF(COUNTBLANK(Planned!O41)=1,Num_Modalities,0))</f>
        <v>1</v>
      </c>
      <c r="C30">
        <f ca="1">SUM(OFFSET(Planned!$E41,0,0,1,Num_Modalities))</f>
        <v>0</v>
      </c>
      <c r="E30" s="67">
        <f t="shared" si="15"/>
        <v>28</v>
      </c>
      <c r="F30" s="36">
        <f t="shared" si="16"/>
        <v>28</v>
      </c>
      <c r="G30" s="68"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f ca="1">IF(Planned!$C$6="Overall",Planned!O40*'Planned background (hide)'!R$1,"")</f>
        <v>0</v>
      </c>
      <c r="S30" s="5">
        <f ca="1">IF(Planned!R40&lt;&gt;"Yes",IF(Planned!$C$6&lt;&gt;"Overall",SUM(OFFSET('Planned background (hide)'!H30,0,0,1,Num_Modalities)),'Planned background (hide)'!R30),"")</f>
        <v>0</v>
      </c>
      <c r="AB30">
        <f t="shared" si="0"/>
        <v>28</v>
      </c>
      <c r="AC30" s="36">
        <f>IF(Planned!$C$8=0,'Planned background (hide)'!F30,'Planned background (hide)'!G30)</f>
        <v>28</v>
      </c>
      <c r="AD30" s="36">
        <f t="shared" si="2"/>
        <v>0</v>
      </c>
      <c r="AE30" s="5">
        <f t="shared" ca="1" si="1"/>
        <v>0</v>
      </c>
      <c r="AF30" s="5">
        <f t="shared" ca="1" si="3"/>
        <v>3.8</v>
      </c>
      <c r="AG30">
        <f t="shared" ca="1" si="4"/>
        <v>1.5514184397163122</v>
      </c>
      <c r="AH30" s="67">
        <f t="shared" ca="1" si="5"/>
        <v>0</v>
      </c>
      <c r="AI30" s="67">
        <f t="shared" ca="1" si="6"/>
        <v>0.69716312056737539</v>
      </c>
      <c r="AJ30" s="67">
        <f t="shared" ca="1" si="7"/>
        <v>2.2485815602836876</v>
      </c>
      <c r="AK30">
        <f t="shared" ca="1" si="8"/>
        <v>5.351418439716312</v>
      </c>
      <c r="AL30">
        <f t="shared" ca="1" si="9"/>
        <v>6.9028368794326243</v>
      </c>
      <c r="AM30">
        <f t="shared" ca="1" si="10"/>
        <v>8.4542553191489365</v>
      </c>
      <c r="AN30">
        <f t="shared" ca="1" si="11"/>
        <v>4.5999999999999996</v>
      </c>
      <c r="AO30">
        <f t="shared" ca="1" si="12"/>
        <v>5</v>
      </c>
      <c r="AP30" t="e">
        <f t="shared" ca="1" si="13"/>
        <v>#N/A</v>
      </c>
      <c r="AQ30">
        <f t="shared" ca="1" si="18"/>
        <v>-1</v>
      </c>
      <c r="AR30">
        <f t="shared" ca="1" si="21"/>
        <v>0</v>
      </c>
      <c r="AS30">
        <f t="shared" ca="1" si="19"/>
        <v>0</v>
      </c>
      <c r="AT30" t="e">
        <f t="shared" ca="1" si="22"/>
        <v>#N/A</v>
      </c>
      <c r="AU30">
        <f t="shared" ca="1" si="14"/>
        <v>-1</v>
      </c>
      <c r="AV30">
        <f t="shared" ca="1" si="23"/>
        <v>0</v>
      </c>
      <c r="AW30" s="5">
        <f t="shared" ca="1" si="20"/>
        <v>0</v>
      </c>
      <c r="BH30" s="48" t="str">
        <f ca="1">IF(OR(Planned!B40=1,Planned!B40=""),AC30,Planned!B40)</f>
        <v xml:space="preserve"> </v>
      </c>
      <c r="BI30" t="str">
        <f ca="1">IF(TEXT(Planned!D40,"mmm")&lt;&gt;TEXT(Planned!D39,"mmm"),TEXT(Planned!D40,"mmm"),"")</f>
        <v/>
      </c>
      <c r="BK30" s="67"/>
    </row>
    <row r="31" spans="2:63" x14ac:dyDescent="0.2">
      <c r="B31" s="67">
        <f ca="1">IF(Planned!$C$6&lt;&gt;"Overall",COUNTBLANK(OFFSET(Planned!E42,0,0,1,Num_Modalities)),IF(COUNTBLANK(Planned!O42)=1,Num_Modalities,0))</f>
        <v>1</v>
      </c>
      <c r="C31">
        <f ca="1">SUM(OFFSET(Planned!$E42,0,0,1,Num_Modalities))</f>
        <v>0</v>
      </c>
      <c r="E31" s="67">
        <f t="shared" si="15"/>
        <v>29</v>
      </c>
      <c r="F31" s="36">
        <f t="shared" si="16"/>
        <v>29</v>
      </c>
      <c r="G31" s="68"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f ca="1">IF(Planned!$C$6="Overall",Planned!O41*'Planned background (hide)'!R$1,"")</f>
        <v>0</v>
      </c>
      <c r="S31" s="5">
        <f ca="1">IF(Planned!R41&lt;&gt;"Yes",IF(Planned!$C$6&lt;&gt;"Overall",SUM(OFFSET('Planned background (hide)'!H31,0,0,1,Num_Modalities)),'Planned background (hide)'!R31),"")</f>
        <v>0</v>
      </c>
      <c r="AB31">
        <f t="shared" si="0"/>
        <v>29</v>
      </c>
      <c r="AC31" s="36">
        <f>IF(Planned!$C$8=0,'Planned background (hide)'!F31,'Planned background (hide)'!G31)</f>
        <v>29</v>
      </c>
      <c r="AD31" s="36">
        <f t="shared" si="2"/>
        <v>0</v>
      </c>
      <c r="AE31" s="5">
        <f t="shared" ca="1" si="1"/>
        <v>0</v>
      </c>
      <c r="AF31" s="5">
        <f t="shared" ca="1" si="3"/>
        <v>3.8</v>
      </c>
      <c r="AG31">
        <f t="shared" ca="1" si="4"/>
        <v>1.5514184397163122</v>
      </c>
      <c r="AH31" s="67">
        <f t="shared" ca="1" si="5"/>
        <v>0</v>
      </c>
      <c r="AI31" s="67">
        <f t="shared" ca="1" si="6"/>
        <v>0.69716312056737539</v>
      </c>
      <c r="AJ31" s="67">
        <f t="shared" ca="1" si="7"/>
        <v>2.2485815602836876</v>
      </c>
      <c r="AK31">
        <f t="shared" ca="1" si="8"/>
        <v>5.351418439716312</v>
      </c>
      <c r="AL31">
        <f t="shared" ca="1" si="9"/>
        <v>6.9028368794326243</v>
      </c>
      <c r="AM31">
        <f t="shared" ca="1" si="10"/>
        <v>8.4542553191489365</v>
      </c>
      <c r="AN31">
        <f t="shared" ca="1" si="11"/>
        <v>4.5999999999999996</v>
      </c>
      <c r="AO31">
        <f t="shared" ca="1" si="12"/>
        <v>5</v>
      </c>
      <c r="AP31" t="e">
        <f t="shared" ca="1" si="13"/>
        <v>#N/A</v>
      </c>
      <c r="AQ31">
        <f t="shared" ca="1" si="18"/>
        <v>-1</v>
      </c>
      <c r="AR31">
        <f t="shared" ca="1" si="21"/>
        <v>0</v>
      </c>
      <c r="AS31">
        <f t="shared" ca="1" si="19"/>
        <v>0</v>
      </c>
      <c r="AT31" t="e">
        <f t="shared" ca="1" si="22"/>
        <v>#N/A</v>
      </c>
      <c r="AU31">
        <f t="shared" ca="1" si="14"/>
        <v>-1</v>
      </c>
      <c r="AV31">
        <f t="shared" ca="1" si="23"/>
        <v>0</v>
      </c>
      <c r="AW31" s="5">
        <f t="shared" ca="1" si="20"/>
        <v>0</v>
      </c>
      <c r="BH31" s="48" t="str">
        <f ca="1">IF(OR(Planned!B41=1,Planned!B41=""),AC31,Planned!B41)</f>
        <v xml:space="preserve"> </v>
      </c>
      <c r="BI31" t="str">
        <f ca="1">IF(TEXT(Planned!D41,"mmm")&lt;&gt;TEXT(Planned!D40,"mmm"),TEXT(Planned!D41,"mmm"),"")</f>
        <v/>
      </c>
      <c r="BK31" s="67"/>
    </row>
    <row r="32" spans="2:63" x14ac:dyDescent="0.2">
      <c r="B32" s="67">
        <f ca="1">IF(Planned!$C$6&lt;&gt;"Overall",COUNTBLANK(OFFSET(Planned!E43,0,0,1,Num_Modalities)),IF(COUNTBLANK(Planned!O43)=1,Num_Modalities,0))</f>
        <v>1</v>
      </c>
      <c r="C32">
        <f ca="1">SUM(OFFSET(Planned!$E43,0,0,1,Num_Modalities))</f>
        <v>0</v>
      </c>
      <c r="E32" s="67">
        <f t="shared" si="15"/>
        <v>30</v>
      </c>
      <c r="F32" s="36">
        <f t="shared" si="16"/>
        <v>30</v>
      </c>
      <c r="G32" s="68"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f ca="1">IF(Planned!$C$6="Overall",Planned!O42*'Planned background (hide)'!R$1,"")</f>
        <v>0</v>
      </c>
      <c r="S32" s="5">
        <f ca="1">IF(Planned!R42&lt;&gt;"Yes",IF(Planned!$C$6&lt;&gt;"Overall",SUM(OFFSET('Planned background (hide)'!H32,0,0,1,Num_Modalities)),'Planned background (hide)'!R32),"")</f>
        <v>0</v>
      </c>
      <c r="AB32">
        <f t="shared" si="0"/>
        <v>30</v>
      </c>
      <c r="AC32" s="36">
        <f>IF(Planned!$C$8=0,'Planned background (hide)'!F32,'Planned background (hide)'!G32)</f>
        <v>30</v>
      </c>
      <c r="AD32" s="36">
        <f t="shared" si="2"/>
        <v>0</v>
      </c>
      <c r="AE32" s="5">
        <f t="shared" ca="1" si="1"/>
        <v>0</v>
      </c>
      <c r="AF32" s="5">
        <f t="shared" ca="1" si="3"/>
        <v>3.8</v>
      </c>
      <c r="AG32">
        <f t="shared" ca="1" si="4"/>
        <v>1.5514184397163122</v>
      </c>
      <c r="AH32" s="67">
        <f t="shared" ca="1" si="5"/>
        <v>0</v>
      </c>
      <c r="AI32" s="67">
        <f t="shared" ca="1" si="6"/>
        <v>0.69716312056737539</v>
      </c>
      <c r="AJ32" s="67">
        <f t="shared" ca="1" si="7"/>
        <v>2.2485815602836876</v>
      </c>
      <c r="AK32">
        <f t="shared" ca="1" si="8"/>
        <v>5.351418439716312</v>
      </c>
      <c r="AL32">
        <f t="shared" ca="1" si="9"/>
        <v>6.9028368794326243</v>
      </c>
      <c r="AM32">
        <f t="shared" ca="1" si="10"/>
        <v>8.4542553191489365</v>
      </c>
      <c r="AN32">
        <f t="shared" ca="1" si="11"/>
        <v>4.5999999999999996</v>
      </c>
      <c r="AO32">
        <f t="shared" ca="1" si="12"/>
        <v>5</v>
      </c>
      <c r="AP32" t="e">
        <f t="shared" ca="1" si="13"/>
        <v>#N/A</v>
      </c>
      <c r="AQ32">
        <f t="shared" ca="1" si="18"/>
        <v>-1</v>
      </c>
      <c r="AR32">
        <f t="shared" ca="1" si="21"/>
        <v>0</v>
      </c>
      <c r="AS32">
        <f t="shared" ca="1" si="19"/>
        <v>0</v>
      </c>
      <c r="AT32" t="e">
        <f t="shared" ca="1" si="22"/>
        <v>#N/A</v>
      </c>
      <c r="AU32">
        <f t="shared" ca="1" si="14"/>
        <v>-1</v>
      </c>
      <c r="AV32">
        <f t="shared" ca="1" si="23"/>
        <v>0</v>
      </c>
      <c r="AW32" s="5">
        <f t="shared" ca="1" si="20"/>
        <v>0</v>
      </c>
      <c r="BH32" s="48" t="str">
        <f ca="1">IF(OR(Planned!B42=1,Planned!B42=""),AC32,Planned!B42)</f>
        <v xml:space="preserve"> </v>
      </c>
      <c r="BI32" t="str">
        <f ca="1">IF(TEXT(Planned!D42,"mmm")&lt;&gt;TEXT(Planned!D41,"mmm"),TEXT(Planned!D42,"mmm"),"")</f>
        <v/>
      </c>
      <c r="BK32" s="67"/>
    </row>
    <row r="33" spans="2:63" x14ac:dyDescent="0.2">
      <c r="B33" s="67">
        <f ca="1">IF(Planned!$C$6&lt;&gt;"Overall",COUNTBLANK(OFFSET(Planned!E44,0,0,1,Num_Modalities)),IF(COUNTBLANK(Planned!O44)=1,Num_Modalities,0))</f>
        <v>1</v>
      </c>
      <c r="C33">
        <f ca="1">SUM(OFFSET(Planned!$E44,0,0,1,Num_Modalities))</f>
        <v>0</v>
      </c>
      <c r="E33" s="67">
        <f t="shared" si="15"/>
        <v>31</v>
      </c>
      <c r="F33" s="36">
        <f t="shared" si="16"/>
        <v>31</v>
      </c>
      <c r="G33" s="68"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f ca="1">IF(Planned!$C$6="Overall",Planned!O43*'Planned background (hide)'!R$1,"")</f>
        <v>0</v>
      </c>
      <c r="S33" s="5">
        <f ca="1">IF(Planned!R43&lt;&gt;"Yes",IF(Planned!$C$6&lt;&gt;"Overall",SUM(OFFSET('Planned background (hide)'!H33,0,0,1,Num_Modalities)),'Planned background (hide)'!R33),"")</f>
        <v>0</v>
      </c>
      <c r="AB33">
        <f t="shared" si="0"/>
        <v>31</v>
      </c>
      <c r="AC33" s="36">
        <f>IF(Planned!$C$8=0,'Planned background (hide)'!F33,'Planned background (hide)'!G33)</f>
        <v>31</v>
      </c>
      <c r="AD33" s="36">
        <f t="shared" si="2"/>
        <v>0</v>
      </c>
      <c r="AE33" s="5">
        <f t="shared" ca="1" si="1"/>
        <v>0</v>
      </c>
      <c r="AF33" s="5">
        <f t="shared" ca="1" si="3"/>
        <v>3.8</v>
      </c>
      <c r="AG33">
        <f t="shared" ca="1" si="4"/>
        <v>1.5514184397163122</v>
      </c>
      <c r="AH33" s="67">
        <f t="shared" ca="1" si="5"/>
        <v>0</v>
      </c>
      <c r="AI33" s="67">
        <f t="shared" ca="1" si="6"/>
        <v>0.69716312056737539</v>
      </c>
      <c r="AJ33" s="67">
        <f t="shared" ca="1" si="7"/>
        <v>2.2485815602836876</v>
      </c>
      <c r="AK33">
        <f t="shared" ca="1" si="8"/>
        <v>5.351418439716312</v>
      </c>
      <c r="AL33">
        <f t="shared" ca="1" si="9"/>
        <v>6.9028368794326243</v>
      </c>
      <c r="AM33">
        <f t="shared" ca="1" si="10"/>
        <v>8.4542553191489365</v>
      </c>
      <c r="AN33">
        <f t="shared" ca="1" si="11"/>
        <v>4.5999999999999996</v>
      </c>
      <c r="AO33">
        <f t="shared" ca="1" si="12"/>
        <v>5</v>
      </c>
      <c r="AP33" t="e">
        <f t="shared" ca="1" si="13"/>
        <v>#N/A</v>
      </c>
      <c r="AQ33">
        <f t="shared" ca="1" si="18"/>
        <v>-1</v>
      </c>
      <c r="AR33">
        <f t="shared" ca="1" si="21"/>
        <v>0</v>
      </c>
      <c r="AS33">
        <f t="shared" ca="1" si="19"/>
        <v>0</v>
      </c>
      <c r="AT33" t="e">
        <f t="shared" ca="1" si="22"/>
        <v>#N/A</v>
      </c>
      <c r="AU33">
        <f t="shared" ca="1" si="14"/>
        <v>-1</v>
      </c>
      <c r="AV33">
        <f t="shared" ca="1" si="23"/>
        <v>0</v>
      </c>
      <c r="AW33" s="5">
        <f t="shared" ca="1" si="20"/>
        <v>0</v>
      </c>
      <c r="BH33" s="48" t="str">
        <f ca="1">IF(OR(Planned!B43=1,Planned!B43=""),AC33,Planned!B43)</f>
        <v xml:space="preserve"> </v>
      </c>
      <c r="BI33" t="str">
        <f ca="1">IF(TEXT(Planned!D43,"mmm")&lt;&gt;TEXT(Planned!D42,"mmm"),TEXT(Planned!D43,"mmm"),"")</f>
        <v/>
      </c>
      <c r="BK33" s="67"/>
    </row>
    <row r="34" spans="2:63" x14ac:dyDescent="0.2">
      <c r="B34" s="67">
        <f ca="1">IF(Planned!$C$6&lt;&gt;"Overall",COUNTBLANK(OFFSET(Planned!E45,0,0,1,Num_Modalities)),IF(COUNTBLANK(Planned!O45)=1,Num_Modalities,0))</f>
        <v>1</v>
      </c>
      <c r="C34">
        <f ca="1">SUM(OFFSET(Planned!$E45,0,0,1,Num_Modalities))</f>
        <v>0</v>
      </c>
      <c r="E34" s="67">
        <f t="shared" si="15"/>
        <v>32</v>
      </c>
      <c r="F34" s="36">
        <f t="shared" si="16"/>
        <v>32</v>
      </c>
      <c r="G34" s="68"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f ca="1">IF(Planned!$C$6="Overall",Planned!O44*'Planned background (hide)'!R$1,"")</f>
        <v>0</v>
      </c>
      <c r="S34" s="5">
        <f ca="1">IF(Planned!R44&lt;&gt;"Yes",IF(Planned!$C$6&lt;&gt;"Overall",SUM(OFFSET('Planned background (hide)'!H34,0,0,1,Num_Modalities)),'Planned background (hide)'!R34),"")</f>
        <v>0</v>
      </c>
      <c r="AB34">
        <f t="shared" ref="AB34:AB52" si="24">E34</f>
        <v>32</v>
      </c>
      <c r="AC34" s="36">
        <f>IF(Planned!$C$8=0,'Planned background (hide)'!F34,'Planned background (hide)'!G34)</f>
        <v>32</v>
      </c>
      <c r="AD34" s="36">
        <f t="shared" si="2"/>
        <v>0</v>
      </c>
      <c r="AE34" s="5">
        <f t="shared" ca="1" si="1"/>
        <v>0</v>
      </c>
      <c r="AF34" s="5">
        <f t="shared" ca="1" si="3"/>
        <v>3.8</v>
      </c>
      <c r="AG34">
        <f t="shared" ca="1" si="4"/>
        <v>1.5514184397163122</v>
      </c>
      <c r="AH34" s="67">
        <f t="shared" ca="1" si="5"/>
        <v>0</v>
      </c>
      <c r="AI34" s="67">
        <f t="shared" ca="1" si="6"/>
        <v>0.69716312056737539</v>
      </c>
      <c r="AJ34" s="67">
        <f t="shared" ca="1" si="7"/>
        <v>2.2485815602836876</v>
      </c>
      <c r="AK34">
        <f t="shared" ca="1" si="8"/>
        <v>5.351418439716312</v>
      </c>
      <c r="AL34">
        <f t="shared" ca="1" si="9"/>
        <v>6.9028368794326243</v>
      </c>
      <c r="AM34">
        <f t="shared" ca="1" si="10"/>
        <v>8.4542553191489365</v>
      </c>
      <c r="AN34">
        <f t="shared" ca="1" si="11"/>
        <v>4.5999999999999996</v>
      </c>
      <c r="AO34">
        <f t="shared" ca="1" si="12"/>
        <v>5</v>
      </c>
      <c r="AP34" t="e">
        <f t="shared" ca="1" si="13"/>
        <v>#N/A</v>
      </c>
      <c r="AQ34">
        <f t="shared" ca="1" si="18"/>
        <v>-1</v>
      </c>
      <c r="AR34">
        <f t="shared" ca="1" si="21"/>
        <v>0</v>
      </c>
      <c r="AS34">
        <f t="shared" ca="1" si="19"/>
        <v>0</v>
      </c>
      <c r="AT34" t="e">
        <f t="shared" ca="1" si="22"/>
        <v>#N/A</v>
      </c>
      <c r="AU34">
        <f t="shared" ca="1" si="14"/>
        <v>-1</v>
      </c>
      <c r="AV34">
        <f t="shared" ca="1" si="23"/>
        <v>0</v>
      </c>
      <c r="AW34" s="5">
        <f t="shared" ca="1" si="20"/>
        <v>0</v>
      </c>
      <c r="BH34" s="48" t="str">
        <f ca="1">IF(OR(Planned!B44=1,Planned!B44=""),AC34,Planned!B44)</f>
        <v xml:space="preserve"> </v>
      </c>
      <c r="BI34" t="str">
        <f ca="1">IF(TEXT(Planned!D44,"mmm")&lt;&gt;TEXT(Planned!D43,"mmm"),TEXT(Planned!D44,"mmm"),"")</f>
        <v/>
      </c>
      <c r="BK34" s="67"/>
    </row>
    <row r="35" spans="2:63" x14ac:dyDescent="0.2">
      <c r="B35" s="67">
        <f ca="1">IF(Planned!$C$6&lt;&gt;"Overall",COUNTBLANK(OFFSET(Planned!E46,0,0,1,Num_Modalities)),IF(COUNTBLANK(Planned!O46)=1,Num_Modalities,0))</f>
        <v>1</v>
      </c>
      <c r="C35">
        <f ca="1">SUM(OFFSET(Planned!$E46,0,0,1,Num_Modalities))</f>
        <v>0</v>
      </c>
      <c r="E35" s="67">
        <f t="shared" si="15"/>
        <v>33</v>
      </c>
      <c r="F35" s="36">
        <f t="shared" si="16"/>
        <v>33</v>
      </c>
      <c r="G35" s="68"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f ca="1">IF(Planned!$C$6="Overall",Planned!O45*'Planned background (hide)'!R$1,"")</f>
        <v>0</v>
      </c>
      <c r="S35" s="5">
        <f ca="1">IF(Planned!R45&lt;&gt;"Yes",IF(Planned!$C$6&lt;&gt;"Overall",SUM(OFFSET('Planned background (hide)'!H35,0,0,1,Num_Modalities)),'Planned background (hide)'!R35),"")</f>
        <v>0</v>
      </c>
      <c r="AB35">
        <f t="shared" si="24"/>
        <v>33</v>
      </c>
      <c r="AC35" s="36">
        <f>IF(Planned!$C$8=0,'Planned background (hide)'!F35,'Planned background (hide)'!G35)</f>
        <v>33</v>
      </c>
      <c r="AD35" s="36">
        <f t="shared" si="2"/>
        <v>0</v>
      </c>
      <c r="AE35" s="5">
        <f t="shared" ref="AE35:AE54" ca="1" si="25">S35</f>
        <v>0</v>
      </c>
      <c r="AF35" s="5">
        <f t="shared" ca="1" si="3"/>
        <v>3.8</v>
      </c>
      <c r="AG35">
        <f t="shared" ca="1" si="4"/>
        <v>1.5514184397163122</v>
      </c>
      <c r="AH35" s="67">
        <f t="shared" ca="1" si="5"/>
        <v>0</v>
      </c>
      <c r="AI35" s="67">
        <f t="shared" ca="1" si="6"/>
        <v>0.69716312056737539</v>
      </c>
      <c r="AJ35" s="67">
        <f t="shared" ca="1" si="7"/>
        <v>2.2485815602836876</v>
      </c>
      <c r="AK35">
        <f t="shared" ca="1" si="8"/>
        <v>5.351418439716312</v>
      </c>
      <c r="AL35">
        <f t="shared" ca="1" si="9"/>
        <v>6.9028368794326243</v>
      </c>
      <c r="AM35">
        <f t="shared" ca="1" si="10"/>
        <v>8.4542553191489365</v>
      </c>
      <c r="AN35">
        <f t="shared" ca="1" si="11"/>
        <v>4.5999999999999996</v>
      </c>
      <c r="AO35">
        <f t="shared" ca="1" si="12"/>
        <v>5</v>
      </c>
      <c r="AP35" t="e">
        <f t="shared" ca="1" si="13"/>
        <v>#N/A</v>
      </c>
      <c r="AQ35">
        <f t="shared" ca="1" si="18"/>
        <v>-1</v>
      </c>
      <c r="AR35">
        <f t="shared" ca="1" si="21"/>
        <v>0</v>
      </c>
      <c r="AS35">
        <f t="shared" ca="1" si="19"/>
        <v>0</v>
      </c>
      <c r="AT35" t="e">
        <f t="shared" ca="1" si="22"/>
        <v>#N/A</v>
      </c>
      <c r="AU35">
        <f t="shared" ca="1" si="14"/>
        <v>-1</v>
      </c>
      <c r="AV35">
        <f t="shared" ca="1" si="23"/>
        <v>0</v>
      </c>
      <c r="AW35" s="5">
        <f t="shared" ca="1" si="20"/>
        <v>0</v>
      </c>
      <c r="BH35" s="48" t="str">
        <f ca="1">IF(OR(Planned!B45=1,Planned!B45=""),AC35,Planned!B45)</f>
        <v xml:space="preserve"> </v>
      </c>
      <c r="BI35" t="str">
        <f ca="1">IF(TEXT(Planned!D45,"mmm")&lt;&gt;TEXT(Planned!D44,"mmm"),TEXT(Planned!D45,"mmm"),"")</f>
        <v/>
      </c>
      <c r="BK35" s="67"/>
    </row>
    <row r="36" spans="2:63" x14ac:dyDescent="0.2">
      <c r="B36" s="67">
        <f ca="1">IF(Planned!$C$6&lt;&gt;"Overall",COUNTBLANK(OFFSET(Planned!E47,0,0,1,Num_Modalities)),IF(COUNTBLANK(Planned!O47)=1,Num_Modalities,0))</f>
        <v>1</v>
      </c>
      <c r="C36">
        <f ca="1">SUM(OFFSET(Planned!$E47,0,0,1,Num_Modalities))</f>
        <v>0</v>
      </c>
      <c r="E36" s="67">
        <f t="shared" si="15"/>
        <v>34</v>
      </c>
      <c r="F36" s="36">
        <f t="shared" si="16"/>
        <v>34</v>
      </c>
      <c r="G36" s="68"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f ca="1">IF(Planned!$C$6="Overall",Planned!O46*'Planned background (hide)'!R$1,"")</f>
        <v>0</v>
      </c>
      <c r="S36" s="5">
        <f ca="1">IF(Planned!R46&lt;&gt;"Yes",IF(Planned!$C$6&lt;&gt;"Overall",SUM(OFFSET('Planned background (hide)'!H36,0,0,1,Num_Modalities)),'Planned background (hide)'!R36),"")</f>
        <v>0</v>
      </c>
      <c r="AB36">
        <f t="shared" si="24"/>
        <v>34</v>
      </c>
      <c r="AC36" s="36">
        <f>IF(Planned!$C$8=0,'Planned background (hide)'!F36,'Planned background (hide)'!G36)</f>
        <v>34</v>
      </c>
      <c r="AD36" s="36">
        <f t="shared" si="2"/>
        <v>0</v>
      </c>
      <c r="AE36" s="5">
        <f t="shared" ca="1" si="25"/>
        <v>0</v>
      </c>
      <c r="AF36" s="5">
        <f t="shared" ca="1" si="3"/>
        <v>3.8</v>
      </c>
      <c r="AG36">
        <f t="shared" ca="1" si="4"/>
        <v>1.5514184397163122</v>
      </c>
      <c r="AH36" s="67">
        <f t="shared" ca="1" si="5"/>
        <v>0</v>
      </c>
      <c r="AI36" s="67">
        <f t="shared" ca="1" si="6"/>
        <v>0.69716312056737539</v>
      </c>
      <c r="AJ36" s="67">
        <f t="shared" ca="1" si="7"/>
        <v>2.2485815602836876</v>
      </c>
      <c r="AK36">
        <f t="shared" ca="1" si="8"/>
        <v>5.351418439716312</v>
      </c>
      <c r="AL36">
        <f t="shared" ca="1" si="9"/>
        <v>6.9028368794326243</v>
      </c>
      <c r="AM36">
        <f t="shared" ca="1" si="10"/>
        <v>8.4542553191489365</v>
      </c>
      <c r="AN36">
        <f t="shared" ca="1" si="11"/>
        <v>4.5999999999999996</v>
      </c>
      <c r="AO36">
        <f t="shared" ca="1" si="12"/>
        <v>5</v>
      </c>
      <c r="AP36" t="e">
        <f t="shared" ca="1" si="13"/>
        <v>#N/A</v>
      </c>
      <c r="AQ36">
        <f t="shared" ca="1" si="18"/>
        <v>-1</v>
      </c>
      <c r="AR36">
        <f t="shared" ca="1" si="21"/>
        <v>0</v>
      </c>
      <c r="AS36">
        <f t="shared" ca="1" si="19"/>
        <v>0</v>
      </c>
      <c r="AT36" t="e">
        <f t="shared" ca="1" si="22"/>
        <v>#N/A</v>
      </c>
      <c r="AU36">
        <f t="shared" ca="1" si="14"/>
        <v>-1</v>
      </c>
      <c r="AV36">
        <f t="shared" ca="1" si="23"/>
        <v>0</v>
      </c>
      <c r="AW36" s="5">
        <f t="shared" ca="1" si="20"/>
        <v>0</v>
      </c>
      <c r="BH36" s="48" t="str">
        <f ca="1">IF(OR(Planned!B46=1,Planned!B46=""),AC36,Planned!B46)</f>
        <v xml:space="preserve"> </v>
      </c>
      <c r="BI36" t="str">
        <f ca="1">IF(TEXT(Planned!D46,"mmm")&lt;&gt;TEXT(Planned!D45,"mmm"),TEXT(Planned!D46,"mmm"),"")</f>
        <v/>
      </c>
      <c r="BK36" s="67"/>
    </row>
    <row r="37" spans="2:63" x14ac:dyDescent="0.2">
      <c r="B37" s="67">
        <f ca="1">IF(Planned!$C$6&lt;&gt;"Overall",COUNTBLANK(OFFSET(Planned!E48,0,0,1,Num_Modalities)),IF(COUNTBLANK(Planned!O48)=1,Num_Modalities,0))</f>
        <v>1</v>
      </c>
      <c r="C37">
        <f ca="1">SUM(OFFSET(Planned!$E48,0,0,1,Num_Modalities))</f>
        <v>0</v>
      </c>
      <c r="E37" s="67">
        <f t="shared" si="15"/>
        <v>35</v>
      </c>
      <c r="F37" s="36">
        <f t="shared" si="16"/>
        <v>35</v>
      </c>
      <c r="G37" s="68"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f ca="1">IF(Planned!$C$6="Overall",Planned!O47*'Planned background (hide)'!R$1,"")</f>
        <v>0</v>
      </c>
      <c r="S37" s="5">
        <f ca="1">IF(Planned!R47&lt;&gt;"Yes",IF(Planned!$C$6&lt;&gt;"Overall",SUM(OFFSET('Planned background (hide)'!H37,0,0,1,Num_Modalities)),'Planned background (hide)'!R37),"")</f>
        <v>0</v>
      </c>
      <c r="AB37">
        <f t="shared" si="24"/>
        <v>35</v>
      </c>
      <c r="AC37" s="36">
        <f>IF(Planned!$C$8=0,'Planned background (hide)'!F37,'Planned background (hide)'!G37)</f>
        <v>35</v>
      </c>
      <c r="AD37" s="36">
        <f t="shared" si="2"/>
        <v>0</v>
      </c>
      <c r="AE37" s="5">
        <f t="shared" ca="1" si="25"/>
        <v>0</v>
      </c>
      <c r="AF37" s="5">
        <f t="shared" ca="1" si="3"/>
        <v>3.8</v>
      </c>
      <c r="AG37">
        <f t="shared" ca="1" si="4"/>
        <v>1.5514184397163122</v>
      </c>
      <c r="AH37" s="67">
        <f t="shared" ca="1" si="5"/>
        <v>0</v>
      </c>
      <c r="AI37" s="67">
        <f t="shared" ca="1" si="6"/>
        <v>0.69716312056737539</v>
      </c>
      <c r="AJ37" s="67">
        <f t="shared" ca="1" si="7"/>
        <v>2.2485815602836876</v>
      </c>
      <c r="AK37">
        <f t="shared" ca="1" si="8"/>
        <v>5.351418439716312</v>
      </c>
      <c r="AL37">
        <f t="shared" ca="1" si="9"/>
        <v>6.9028368794326243</v>
      </c>
      <c r="AM37">
        <f t="shared" ca="1" si="10"/>
        <v>8.4542553191489365</v>
      </c>
      <c r="AN37">
        <f t="shared" ca="1" si="11"/>
        <v>4.5999999999999996</v>
      </c>
      <c r="AO37">
        <f t="shared" ca="1" si="12"/>
        <v>5</v>
      </c>
      <c r="AP37" t="e">
        <f t="shared" ca="1" si="13"/>
        <v>#N/A</v>
      </c>
      <c r="AQ37">
        <f t="shared" ca="1" si="18"/>
        <v>-1</v>
      </c>
      <c r="AR37">
        <f t="shared" ca="1" si="21"/>
        <v>0</v>
      </c>
      <c r="AS37">
        <f t="shared" ca="1" si="19"/>
        <v>0</v>
      </c>
      <c r="AT37" t="e">
        <f t="shared" ca="1" si="22"/>
        <v>#N/A</v>
      </c>
      <c r="AU37">
        <f t="shared" ca="1" si="14"/>
        <v>-1</v>
      </c>
      <c r="AV37">
        <f t="shared" ca="1" si="23"/>
        <v>0</v>
      </c>
      <c r="AW37" s="5">
        <f t="shared" ca="1" si="20"/>
        <v>0</v>
      </c>
      <c r="BH37" s="48" t="str">
        <f ca="1">IF(OR(Planned!B47=1,Planned!B47=""),AC37,Planned!B47)</f>
        <v xml:space="preserve"> </v>
      </c>
      <c r="BI37" t="str">
        <f ca="1">IF(TEXT(Planned!D47,"mmm")&lt;&gt;TEXT(Planned!D46,"mmm"),TEXT(Planned!D47,"mmm"),"")</f>
        <v/>
      </c>
      <c r="BK37" s="67"/>
    </row>
    <row r="38" spans="2:63" x14ac:dyDescent="0.2">
      <c r="B38" s="67">
        <f ca="1">IF(Planned!$C$6&lt;&gt;"Overall",COUNTBLANK(OFFSET(Planned!E49,0,0,1,Num_Modalities)),IF(COUNTBLANK(Planned!O49)=1,Num_Modalities,0))</f>
        <v>1</v>
      </c>
      <c r="C38">
        <f ca="1">SUM(OFFSET(Planned!$E49,0,0,1,Num_Modalities))</f>
        <v>0</v>
      </c>
      <c r="E38" s="67">
        <f t="shared" si="15"/>
        <v>36</v>
      </c>
      <c r="F38" s="36">
        <f t="shared" si="16"/>
        <v>36</v>
      </c>
      <c r="G38" s="68"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f ca="1">IF(Planned!$C$6="Overall",Planned!O48*'Planned background (hide)'!R$1,"")</f>
        <v>0</v>
      </c>
      <c r="S38" s="5">
        <f ca="1">IF(Planned!R48&lt;&gt;"Yes",IF(Planned!$C$6&lt;&gt;"Overall",SUM(OFFSET('Planned background (hide)'!H38,0,0,1,Num_Modalities)),'Planned background (hide)'!R38),"")</f>
        <v>0</v>
      </c>
      <c r="AB38">
        <f t="shared" si="24"/>
        <v>36</v>
      </c>
      <c r="AC38" s="36">
        <f>IF(Planned!$C$8=0,'Planned background (hide)'!F38,'Planned background (hide)'!G38)</f>
        <v>36</v>
      </c>
      <c r="AD38" s="36">
        <f t="shared" si="2"/>
        <v>0</v>
      </c>
      <c r="AE38" s="5">
        <f t="shared" ca="1" si="25"/>
        <v>0</v>
      </c>
      <c r="AF38" s="5">
        <f t="shared" ca="1" si="3"/>
        <v>3.8</v>
      </c>
      <c r="AG38">
        <f t="shared" ca="1" si="4"/>
        <v>1.5514184397163122</v>
      </c>
      <c r="AH38" s="67">
        <f t="shared" ca="1" si="5"/>
        <v>0</v>
      </c>
      <c r="AI38" s="67">
        <f t="shared" ca="1" si="6"/>
        <v>0.69716312056737539</v>
      </c>
      <c r="AJ38" s="67">
        <f t="shared" ca="1" si="7"/>
        <v>2.2485815602836876</v>
      </c>
      <c r="AK38">
        <f t="shared" ca="1" si="8"/>
        <v>5.351418439716312</v>
      </c>
      <c r="AL38">
        <f t="shared" ca="1" si="9"/>
        <v>6.9028368794326243</v>
      </c>
      <c r="AM38">
        <f t="shared" ca="1" si="10"/>
        <v>8.4542553191489365</v>
      </c>
      <c r="AN38">
        <f t="shared" ca="1" si="11"/>
        <v>4.5999999999999996</v>
      </c>
      <c r="AO38">
        <f t="shared" ca="1" si="12"/>
        <v>5</v>
      </c>
      <c r="AP38" t="e">
        <f t="shared" ca="1" si="13"/>
        <v>#N/A</v>
      </c>
      <c r="AQ38">
        <f t="shared" ca="1" si="18"/>
        <v>-1</v>
      </c>
      <c r="AR38">
        <f t="shared" ca="1" si="21"/>
        <v>0</v>
      </c>
      <c r="AS38">
        <f t="shared" ca="1" si="19"/>
        <v>0</v>
      </c>
      <c r="AT38" t="e">
        <f t="shared" ca="1" si="22"/>
        <v>#N/A</v>
      </c>
      <c r="AU38">
        <f t="shared" ca="1" si="14"/>
        <v>-1</v>
      </c>
      <c r="AV38">
        <f t="shared" ca="1" si="23"/>
        <v>0</v>
      </c>
      <c r="AW38" s="5">
        <f t="shared" ca="1" si="20"/>
        <v>0</v>
      </c>
      <c r="BH38" s="48" t="str">
        <f ca="1">IF(OR(Planned!B48=1,Planned!B48=""),AC38,Planned!B48)</f>
        <v xml:space="preserve"> </v>
      </c>
      <c r="BI38" t="str">
        <f ca="1">IF(TEXT(Planned!D48,"mmm")&lt;&gt;TEXT(Planned!D47,"mmm"),TEXT(Planned!D48,"mmm"),"")</f>
        <v/>
      </c>
      <c r="BK38" s="67"/>
    </row>
    <row r="39" spans="2:63" x14ac:dyDescent="0.2">
      <c r="B39" s="67">
        <f ca="1">IF(Planned!$C$6&lt;&gt;"Overall",COUNTBLANK(OFFSET(Planned!E50,0,0,1,Num_Modalities)),IF(COUNTBLANK(Planned!O50)=1,Num_Modalities,0))</f>
        <v>1</v>
      </c>
      <c r="C39">
        <f ca="1">SUM(OFFSET(Planned!$E50,0,0,1,Num_Modalities))</f>
        <v>0</v>
      </c>
      <c r="E39" s="67">
        <f t="shared" si="15"/>
        <v>37</v>
      </c>
      <c r="F39" s="36">
        <f t="shared" si="16"/>
        <v>37</v>
      </c>
      <c r="G39" s="68"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f ca="1">IF(Planned!$C$6="Overall",Planned!O49*'Planned background (hide)'!R$1,"")</f>
        <v>0</v>
      </c>
      <c r="S39" s="5">
        <f ca="1">IF(Planned!R49&lt;&gt;"Yes",IF(Planned!$C$6&lt;&gt;"Overall",SUM(OFFSET('Planned background (hide)'!H39,0,0,1,Num_Modalities)),'Planned background (hide)'!R39),"")</f>
        <v>0</v>
      </c>
      <c r="AB39">
        <f t="shared" si="24"/>
        <v>37</v>
      </c>
      <c r="AC39" s="36">
        <f>IF(Planned!$C$8=0,'Planned background (hide)'!F39,'Planned background (hide)'!G39)</f>
        <v>37</v>
      </c>
      <c r="AD39" s="36">
        <f t="shared" si="2"/>
        <v>0</v>
      </c>
      <c r="AE39" s="5">
        <f t="shared" ca="1" si="25"/>
        <v>0</v>
      </c>
      <c r="AF39" s="5">
        <f t="shared" ca="1" si="3"/>
        <v>3.8</v>
      </c>
      <c r="AG39">
        <f t="shared" ca="1" si="4"/>
        <v>1.5514184397163122</v>
      </c>
      <c r="AH39" s="67">
        <f t="shared" ca="1" si="5"/>
        <v>0</v>
      </c>
      <c r="AI39" s="67">
        <f t="shared" ca="1" si="6"/>
        <v>0.69716312056737539</v>
      </c>
      <c r="AJ39" s="67">
        <f t="shared" ca="1" si="7"/>
        <v>2.2485815602836876</v>
      </c>
      <c r="AK39">
        <f t="shared" ca="1" si="8"/>
        <v>5.351418439716312</v>
      </c>
      <c r="AL39">
        <f t="shared" ca="1" si="9"/>
        <v>6.9028368794326243</v>
      </c>
      <c r="AM39">
        <f t="shared" ca="1" si="10"/>
        <v>8.4542553191489365</v>
      </c>
      <c r="AN39">
        <f t="shared" ca="1" si="11"/>
        <v>4.5999999999999996</v>
      </c>
      <c r="AO39">
        <f t="shared" ca="1" si="12"/>
        <v>5</v>
      </c>
      <c r="AP39" t="e">
        <f t="shared" ca="1" si="13"/>
        <v>#N/A</v>
      </c>
      <c r="AQ39">
        <f t="shared" ca="1" si="18"/>
        <v>-1</v>
      </c>
      <c r="AR39">
        <f t="shared" ca="1" si="21"/>
        <v>0</v>
      </c>
      <c r="AS39">
        <f t="shared" ca="1" si="19"/>
        <v>0</v>
      </c>
      <c r="AT39" t="e">
        <f t="shared" ca="1" si="22"/>
        <v>#N/A</v>
      </c>
      <c r="AU39">
        <f t="shared" ca="1" si="14"/>
        <v>-1</v>
      </c>
      <c r="AV39">
        <f t="shared" ca="1" si="23"/>
        <v>0</v>
      </c>
      <c r="AW39" s="5">
        <f t="shared" ca="1" si="20"/>
        <v>0</v>
      </c>
      <c r="BH39" s="48" t="str">
        <f ca="1">IF(OR(Planned!B49=1,Planned!B49=""),AC39,Planned!B49)</f>
        <v xml:space="preserve"> </v>
      </c>
      <c r="BI39" t="str">
        <f ca="1">IF(TEXT(Planned!D49,"mmm")&lt;&gt;TEXT(Planned!D48,"mmm"),TEXT(Planned!D49,"mmm"),"")</f>
        <v/>
      </c>
      <c r="BK39" s="67"/>
    </row>
    <row r="40" spans="2:63" x14ac:dyDescent="0.2">
      <c r="B40" s="67">
        <f ca="1">IF(Planned!$C$6&lt;&gt;"Overall",COUNTBLANK(OFFSET(Planned!E51,0,0,1,Num_Modalities)),IF(COUNTBLANK(Planned!O51)=1,Num_Modalities,0))</f>
        <v>1</v>
      </c>
      <c r="C40">
        <f ca="1">SUM(OFFSET(Planned!$E51,0,0,1,Num_Modalities))</f>
        <v>0</v>
      </c>
      <c r="E40" s="67">
        <f t="shared" si="15"/>
        <v>38</v>
      </c>
      <c r="F40" s="36">
        <f t="shared" si="16"/>
        <v>38</v>
      </c>
      <c r="G40" s="68"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f ca="1">IF(Planned!$C$6="Overall",Planned!O50*'Planned background (hide)'!R$1,"")</f>
        <v>0</v>
      </c>
      <c r="S40" s="5">
        <f ca="1">IF(Planned!R50&lt;&gt;"Yes",IF(Planned!$C$6&lt;&gt;"Overall",SUM(OFFSET('Planned background (hide)'!H40,0,0,1,Num_Modalities)),'Planned background (hide)'!R40),"")</f>
        <v>0</v>
      </c>
      <c r="AB40">
        <f t="shared" si="24"/>
        <v>38</v>
      </c>
      <c r="AC40" s="36">
        <f>IF(Planned!$C$8=0,'Planned background (hide)'!F40,'Planned background (hide)'!G40)</f>
        <v>38</v>
      </c>
      <c r="AD40" s="36">
        <f t="shared" si="2"/>
        <v>0</v>
      </c>
      <c r="AE40" s="5">
        <f t="shared" ca="1" si="25"/>
        <v>0</v>
      </c>
      <c r="AF40" s="5">
        <f t="shared" ca="1" si="3"/>
        <v>3.8</v>
      </c>
      <c r="AG40">
        <f t="shared" ca="1" si="4"/>
        <v>1.5514184397163122</v>
      </c>
      <c r="AH40" s="67">
        <f t="shared" ca="1" si="5"/>
        <v>0</v>
      </c>
      <c r="AI40" s="67">
        <f t="shared" ca="1" si="6"/>
        <v>0.69716312056737539</v>
      </c>
      <c r="AJ40" s="67">
        <f t="shared" ca="1" si="7"/>
        <v>2.2485815602836876</v>
      </c>
      <c r="AK40">
        <f t="shared" ca="1" si="8"/>
        <v>5.351418439716312</v>
      </c>
      <c r="AL40">
        <f t="shared" ca="1" si="9"/>
        <v>6.9028368794326243</v>
      </c>
      <c r="AM40">
        <f t="shared" ca="1" si="10"/>
        <v>8.4542553191489365</v>
      </c>
      <c r="AN40">
        <f t="shared" ca="1" si="11"/>
        <v>4.5999999999999996</v>
      </c>
      <c r="AO40">
        <f t="shared" ca="1" si="12"/>
        <v>5</v>
      </c>
      <c r="AP40" t="e">
        <f t="shared" ca="1" si="13"/>
        <v>#N/A</v>
      </c>
      <c r="AQ40">
        <f t="shared" ca="1" si="18"/>
        <v>-1</v>
      </c>
      <c r="AR40">
        <f t="shared" ca="1" si="21"/>
        <v>0</v>
      </c>
      <c r="AS40">
        <f t="shared" ca="1" si="19"/>
        <v>0</v>
      </c>
      <c r="AT40" t="e">
        <f t="shared" ca="1" si="22"/>
        <v>#N/A</v>
      </c>
      <c r="AU40">
        <f t="shared" ca="1" si="14"/>
        <v>-1</v>
      </c>
      <c r="AV40">
        <f t="shared" ca="1" si="23"/>
        <v>0</v>
      </c>
      <c r="AW40" s="5">
        <f t="shared" ca="1" si="20"/>
        <v>0</v>
      </c>
      <c r="BH40" s="48" t="str">
        <f ca="1">IF(OR(Planned!B50=1,Planned!B50=""),AC40,Planned!B50)</f>
        <v xml:space="preserve"> </v>
      </c>
      <c r="BI40" t="str">
        <f ca="1">IF(TEXT(Planned!D50,"mmm")&lt;&gt;TEXT(Planned!D49,"mmm"),TEXT(Planned!D50,"mmm"),"")</f>
        <v/>
      </c>
      <c r="BK40" s="67"/>
    </row>
    <row r="41" spans="2:63" x14ac:dyDescent="0.2">
      <c r="B41" s="67">
        <f ca="1">IF(Planned!$C$6&lt;&gt;"Overall",COUNTBLANK(OFFSET(Planned!E52,0,0,1,Num_Modalities)),IF(COUNTBLANK(Planned!O52)=1,Num_Modalities,0))</f>
        <v>1</v>
      </c>
      <c r="C41">
        <f ca="1">SUM(OFFSET(Planned!$E52,0,0,1,Num_Modalities))</f>
        <v>0</v>
      </c>
      <c r="E41" s="67">
        <f t="shared" si="15"/>
        <v>39</v>
      </c>
      <c r="F41" s="36">
        <f t="shared" si="16"/>
        <v>39</v>
      </c>
      <c r="G41" s="68"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f ca="1">IF(Planned!$C$6="Overall",Planned!O51*'Planned background (hide)'!R$1,"")</f>
        <v>0</v>
      </c>
      <c r="S41" s="5">
        <f ca="1">IF(Planned!R51&lt;&gt;"Yes",IF(Planned!$C$6&lt;&gt;"Overall",SUM(OFFSET('Planned background (hide)'!H41,0,0,1,Num_Modalities)),'Planned background (hide)'!R41),"")</f>
        <v>0</v>
      </c>
      <c r="AB41">
        <f t="shared" si="24"/>
        <v>39</v>
      </c>
      <c r="AC41" s="36">
        <f>IF(Planned!$C$8=0,'Planned background (hide)'!F41,'Planned background (hide)'!G41)</f>
        <v>39</v>
      </c>
      <c r="AD41" s="36">
        <f t="shared" si="2"/>
        <v>0</v>
      </c>
      <c r="AE41" s="5">
        <f t="shared" ca="1" si="25"/>
        <v>0</v>
      </c>
      <c r="AF41" s="5">
        <f t="shared" ca="1" si="3"/>
        <v>3.8</v>
      </c>
      <c r="AG41">
        <f t="shared" ca="1" si="4"/>
        <v>1.5514184397163122</v>
      </c>
      <c r="AH41" s="67">
        <f t="shared" ca="1" si="5"/>
        <v>0</v>
      </c>
      <c r="AI41" s="67">
        <f t="shared" ca="1" si="6"/>
        <v>0.69716312056737539</v>
      </c>
      <c r="AJ41" s="67">
        <f t="shared" ca="1" si="7"/>
        <v>2.2485815602836876</v>
      </c>
      <c r="AK41">
        <f t="shared" ca="1" si="8"/>
        <v>5.351418439716312</v>
      </c>
      <c r="AL41">
        <f t="shared" ca="1" si="9"/>
        <v>6.9028368794326243</v>
      </c>
      <c r="AM41">
        <f t="shared" ca="1" si="10"/>
        <v>8.4542553191489365</v>
      </c>
      <c r="AN41">
        <f t="shared" ca="1" si="11"/>
        <v>4.5999999999999996</v>
      </c>
      <c r="AO41">
        <f t="shared" ca="1" si="12"/>
        <v>5</v>
      </c>
      <c r="AP41" t="e">
        <f t="shared" ca="1" si="13"/>
        <v>#N/A</v>
      </c>
      <c r="AQ41">
        <f t="shared" ca="1" si="18"/>
        <v>-1</v>
      </c>
      <c r="AR41">
        <f t="shared" ca="1" si="21"/>
        <v>0</v>
      </c>
      <c r="AS41">
        <f t="shared" ca="1" si="19"/>
        <v>0</v>
      </c>
      <c r="AT41" t="e">
        <f t="shared" ca="1" si="22"/>
        <v>#N/A</v>
      </c>
      <c r="AU41">
        <f t="shared" ca="1" si="14"/>
        <v>-1</v>
      </c>
      <c r="AV41">
        <f t="shared" ca="1" si="23"/>
        <v>0</v>
      </c>
      <c r="AW41" s="5">
        <f t="shared" ca="1" si="20"/>
        <v>0</v>
      </c>
      <c r="BH41" s="48" t="str">
        <f ca="1">IF(OR(Planned!B51=1,Planned!B51=""),AC41,Planned!B51)</f>
        <v xml:space="preserve"> </v>
      </c>
      <c r="BI41" t="str">
        <f ca="1">IF(TEXT(Planned!D51,"mmm")&lt;&gt;TEXT(Planned!D50,"mmm"),TEXT(Planned!D51,"mmm"),"")</f>
        <v/>
      </c>
      <c r="BK41" s="67"/>
    </row>
    <row r="42" spans="2:63" x14ac:dyDescent="0.2">
      <c r="B42" s="67">
        <f ca="1">IF(Planned!$C$6&lt;&gt;"Overall",COUNTBLANK(OFFSET(Planned!E53,0,0,1,Num_Modalities)),IF(COUNTBLANK(Planned!O53)=1,Num_Modalities,0))</f>
        <v>1</v>
      </c>
      <c r="C42">
        <f ca="1">SUM(OFFSET(Planned!$E53,0,0,1,Num_Modalities))</f>
        <v>0</v>
      </c>
      <c r="E42" s="67">
        <f t="shared" si="15"/>
        <v>40</v>
      </c>
      <c r="F42" s="36">
        <f t="shared" si="16"/>
        <v>40</v>
      </c>
      <c r="G42" s="68"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f ca="1">IF(Planned!$C$6="Overall",Planned!O52*'Planned background (hide)'!R$1,"")</f>
        <v>0</v>
      </c>
      <c r="S42" s="5">
        <f ca="1">IF(Planned!R52&lt;&gt;"Yes",IF(Planned!$C$6&lt;&gt;"Overall",SUM(OFFSET('Planned background (hide)'!H42,0,0,1,Num_Modalities)),'Planned background (hide)'!R42),"")</f>
        <v>0</v>
      </c>
      <c r="AB42">
        <f t="shared" si="24"/>
        <v>40</v>
      </c>
      <c r="AC42" s="36">
        <f>IF(Planned!$C$8=0,'Planned background (hide)'!F42,'Planned background (hide)'!G42)</f>
        <v>40</v>
      </c>
      <c r="AD42" s="36">
        <f t="shared" si="2"/>
        <v>0</v>
      </c>
      <c r="AE42" s="5">
        <f t="shared" ca="1" si="25"/>
        <v>0</v>
      </c>
      <c r="AF42" s="5">
        <f t="shared" ca="1" si="3"/>
        <v>3.8</v>
      </c>
      <c r="AG42">
        <f t="shared" ca="1" si="4"/>
        <v>1.5514184397163122</v>
      </c>
      <c r="AH42" s="67">
        <f t="shared" ca="1" si="5"/>
        <v>0</v>
      </c>
      <c r="AI42" s="67">
        <f t="shared" ca="1" si="6"/>
        <v>0.69716312056737539</v>
      </c>
      <c r="AJ42" s="67">
        <f t="shared" ca="1" si="7"/>
        <v>2.2485815602836876</v>
      </c>
      <c r="AK42">
        <f t="shared" ca="1" si="8"/>
        <v>5.351418439716312</v>
      </c>
      <c r="AL42">
        <f t="shared" ca="1" si="9"/>
        <v>6.9028368794326243</v>
      </c>
      <c r="AM42">
        <f t="shared" ca="1" si="10"/>
        <v>8.4542553191489365</v>
      </c>
      <c r="AN42">
        <f t="shared" ca="1" si="11"/>
        <v>4.5999999999999996</v>
      </c>
      <c r="AO42">
        <f t="shared" ca="1" si="12"/>
        <v>5</v>
      </c>
      <c r="AP42" t="e">
        <f t="shared" ca="1" si="13"/>
        <v>#N/A</v>
      </c>
      <c r="AQ42">
        <f t="shared" ca="1" si="18"/>
        <v>-1</v>
      </c>
      <c r="AR42">
        <f t="shared" ca="1" si="21"/>
        <v>0</v>
      </c>
      <c r="AS42">
        <f t="shared" ca="1" si="19"/>
        <v>0</v>
      </c>
      <c r="AT42" t="e">
        <f t="shared" ca="1" si="22"/>
        <v>#N/A</v>
      </c>
      <c r="AU42">
        <f t="shared" ca="1" si="14"/>
        <v>-1</v>
      </c>
      <c r="AV42">
        <f t="shared" ca="1" si="23"/>
        <v>0</v>
      </c>
      <c r="AW42" s="5">
        <f t="shared" ca="1" si="20"/>
        <v>0</v>
      </c>
      <c r="BH42" s="48" t="str">
        <f ca="1">IF(OR(Planned!B52=1,Planned!B52=""),AC42,Planned!B52)</f>
        <v xml:space="preserve"> </v>
      </c>
      <c r="BI42" t="str">
        <f ca="1">IF(TEXT(Planned!D52,"mmm")&lt;&gt;TEXT(Planned!D51,"mmm"),TEXT(Planned!D52,"mmm"),"")</f>
        <v/>
      </c>
      <c r="BK42" s="67"/>
    </row>
    <row r="43" spans="2:63" x14ac:dyDescent="0.2">
      <c r="B43" s="67">
        <f ca="1">IF(Planned!$C$6&lt;&gt;"Overall",COUNTBLANK(OFFSET(Planned!E54,0,0,1,Num_Modalities)),IF(COUNTBLANK(Planned!O54)=1,Num_Modalities,0))</f>
        <v>1</v>
      </c>
      <c r="C43">
        <f ca="1">SUM(OFFSET(Planned!$E54,0,0,1,Num_Modalities))</f>
        <v>0</v>
      </c>
      <c r="E43" s="67">
        <f t="shared" si="15"/>
        <v>41</v>
      </c>
      <c r="F43" s="36">
        <f t="shared" si="16"/>
        <v>41</v>
      </c>
      <c r="G43" s="68"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f ca="1">IF(Planned!$C$6="Overall",Planned!O53*'Planned background (hide)'!R$1,"")</f>
        <v>0</v>
      </c>
      <c r="S43" s="5">
        <f ca="1">IF(Planned!R53&lt;&gt;"Yes",IF(Planned!$C$6&lt;&gt;"Overall",SUM(OFFSET('Planned background (hide)'!H43,0,0,1,Num_Modalities)),'Planned background (hide)'!R43),"")</f>
        <v>0</v>
      </c>
      <c r="AB43">
        <f t="shared" si="24"/>
        <v>41</v>
      </c>
      <c r="AC43" s="36">
        <f>IF(Planned!$C$8=0,'Planned background (hide)'!F43,'Planned background (hide)'!G43)</f>
        <v>41</v>
      </c>
      <c r="AD43" s="36">
        <f t="shared" si="2"/>
        <v>0</v>
      </c>
      <c r="AE43" s="5">
        <f t="shared" ca="1" si="25"/>
        <v>0</v>
      </c>
      <c r="AF43" s="5">
        <f t="shared" ca="1" si="3"/>
        <v>3.8</v>
      </c>
      <c r="AG43">
        <f t="shared" ca="1" si="4"/>
        <v>1.5514184397163122</v>
      </c>
      <c r="AH43" s="67">
        <f t="shared" ca="1" si="5"/>
        <v>0</v>
      </c>
      <c r="AI43" s="67">
        <f t="shared" ca="1" si="6"/>
        <v>0.69716312056737539</v>
      </c>
      <c r="AJ43" s="67">
        <f t="shared" ca="1" si="7"/>
        <v>2.2485815602836876</v>
      </c>
      <c r="AK43">
        <f t="shared" ca="1" si="8"/>
        <v>5.351418439716312</v>
      </c>
      <c r="AL43">
        <f t="shared" ca="1" si="9"/>
        <v>6.9028368794326243</v>
      </c>
      <c r="AM43">
        <f t="shared" ca="1" si="10"/>
        <v>8.4542553191489365</v>
      </c>
      <c r="AN43">
        <f t="shared" ca="1" si="11"/>
        <v>4.5999999999999996</v>
      </c>
      <c r="AO43">
        <f t="shared" ca="1" si="12"/>
        <v>5</v>
      </c>
      <c r="AP43" t="e">
        <f t="shared" ca="1" si="13"/>
        <v>#N/A</v>
      </c>
      <c r="AQ43">
        <f t="shared" ca="1" si="18"/>
        <v>-1</v>
      </c>
      <c r="AR43">
        <f t="shared" ca="1" si="21"/>
        <v>0</v>
      </c>
      <c r="AS43">
        <f t="shared" ca="1" si="19"/>
        <v>0</v>
      </c>
      <c r="AT43" t="e">
        <f t="shared" ca="1" si="22"/>
        <v>#N/A</v>
      </c>
      <c r="AU43">
        <f t="shared" ca="1" si="14"/>
        <v>-1</v>
      </c>
      <c r="AV43">
        <f t="shared" ca="1" si="23"/>
        <v>0</v>
      </c>
      <c r="AW43" s="5">
        <f t="shared" ca="1" si="20"/>
        <v>0</v>
      </c>
      <c r="BH43" s="48" t="str">
        <f ca="1">IF(OR(Planned!B53=1,Planned!B53=""),AC43,Planned!B53)</f>
        <v xml:space="preserve"> </v>
      </c>
      <c r="BI43" t="str">
        <f ca="1">IF(TEXT(Planned!D53,"mmm")&lt;&gt;TEXT(Planned!D52,"mmm"),TEXT(Planned!D53,"mmm"),"")</f>
        <v/>
      </c>
      <c r="BK43" s="67"/>
    </row>
    <row r="44" spans="2:63" x14ac:dyDescent="0.2">
      <c r="B44" s="67">
        <f ca="1">IF(Planned!$C$6&lt;&gt;"Overall",COUNTBLANK(OFFSET(Planned!E55,0,0,1,Num_Modalities)),IF(COUNTBLANK(Planned!O55)=1,Num_Modalities,0))</f>
        <v>1</v>
      </c>
      <c r="C44">
        <f ca="1">SUM(OFFSET(Planned!$E55,0,0,1,Num_Modalities))</f>
        <v>0</v>
      </c>
      <c r="E44" s="67">
        <f t="shared" si="15"/>
        <v>42</v>
      </c>
      <c r="F44" s="36">
        <f t="shared" si="16"/>
        <v>42</v>
      </c>
      <c r="G44" s="68"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f ca="1">IF(Planned!$C$6="Overall",Planned!O54*'Planned background (hide)'!R$1,"")</f>
        <v>0</v>
      </c>
      <c r="S44" s="5">
        <f ca="1">IF(Planned!R54&lt;&gt;"Yes",IF(Planned!$C$6&lt;&gt;"Overall",SUM(OFFSET('Planned background (hide)'!H44,0,0,1,Num_Modalities)),'Planned background (hide)'!R44),"")</f>
        <v>0</v>
      </c>
      <c r="AB44">
        <f t="shared" si="24"/>
        <v>42</v>
      </c>
      <c r="AC44" s="36">
        <f>IF(Planned!$C$8=0,'Planned background (hide)'!F44,'Planned background (hide)'!G44)</f>
        <v>42</v>
      </c>
      <c r="AD44" s="36">
        <f t="shared" si="2"/>
        <v>0</v>
      </c>
      <c r="AE44" s="5">
        <f t="shared" ca="1" si="25"/>
        <v>0</v>
      </c>
      <c r="AF44" s="5">
        <f t="shared" ca="1" si="3"/>
        <v>3.8</v>
      </c>
      <c r="AG44">
        <f t="shared" ca="1" si="4"/>
        <v>1.5514184397163122</v>
      </c>
      <c r="AH44" s="67">
        <f t="shared" ca="1" si="5"/>
        <v>0</v>
      </c>
      <c r="AI44" s="67">
        <f t="shared" ca="1" si="6"/>
        <v>0.69716312056737539</v>
      </c>
      <c r="AJ44" s="67">
        <f t="shared" ca="1" si="7"/>
        <v>2.2485815602836876</v>
      </c>
      <c r="AK44">
        <f t="shared" ca="1" si="8"/>
        <v>5.351418439716312</v>
      </c>
      <c r="AL44">
        <f t="shared" ca="1" si="9"/>
        <v>6.9028368794326243</v>
      </c>
      <c r="AM44">
        <f t="shared" ca="1" si="10"/>
        <v>8.4542553191489365</v>
      </c>
      <c r="AN44">
        <f t="shared" ca="1" si="11"/>
        <v>4.5999999999999996</v>
      </c>
      <c r="AO44">
        <f t="shared" ca="1" si="12"/>
        <v>5</v>
      </c>
      <c r="AP44" t="e">
        <f t="shared" ca="1" si="13"/>
        <v>#N/A</v>
      </c>
      <c r="AQ44">
        <f t="shared" ca="1" si="18"/>
        <v>-1</v>
      </c>
      <c r="AR44">
        <f t="shared" ca="1" si="21"/>
        <v>0</v>
      </c>
      <c r="AS44">
        <f t="shared" ca="1" si="19"/>
        <v>0</v>
      </c>
      <c r="AT44" t="e">
        <f t="shared" ca="1" si="22"/>
        <v>#N/A</v>
      </c>
      <c r="AU44">
        <f t="shared" ca="1" si="14"/>
        <v>-1</v>
      </c>
      <c r="AV44">
        <f t="shared" ca="1" si="23"/>
        <v>0</v>
      </c>
      <c r="AW44" s="5">
        <f t="shared" ca="1" si="20"/>
        <v>0</v>
      </c>
      <c r="BH44" s="48" t="str">
        <f ca="1">IF(OR(Planned!B54=1,Planned!B54=""),AC44,Planned!B54)</f>
        <v xml:space="preserve"> </v>
      </c>
      <c r="BI44" t="str">
        <f ca="1">IF(TEXT(Planned!D54,"mmm")&lt;&gt;TEXT(Planned!D53,"mmm"),TEXT(Planned!D54,"mmm"),"")</f>
        <v/>
      </c>
      <c r="BK44" s="67"/>
    </row>
    <row r="45" spans="2:63" x14ac:dyDescent="0.2">
      <c r="B45" s="67">
        <f ca="1">IF(Planned!$C$6&lt;&gt;"Overall",COUNTBLANK(OFFSET(Planned!E56,0,0,1,Num_Modalities)),IF(COUNTBLANK(Planned!O56)=1,Num_Modalities,0))</f>
        <v>1</v>
      </c>
      <c r="C45">
        <f ca="1">SUM(OFFSET(Planned!$E56,0,0,1,Num_Modalities))</f>
        <v>0</v>
      </c>
      <c r="E45" s="67">
        <f t="shared" si="15"/>
        <v>43</v>
      </c>
      <c r="F45" s="36">
        <f t="shared" si="16"/>
        <v>43</v>
      </c>
      <c r="G45" s="68"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f ca="1">IF(Planned!$C$6="Overall",Planned!O55*'Planned background (hide)'!R$1,"")</f>
        <v>0</v>
      </c>
      <c r="S45" s="5">
        <f ca="1">IF(Planned!R55&lt;&gt;"Yes",IF(Planned!$C$6&lt;&gt;"Overall",SUM(OFFSET('Planned background (hide)'!H45,0,0,1,Num_Modalities)),'Planned background (hide)'!R45),"")</f>
        <v>0</v>
      </c>
      <c r="AB45">
        <f t="shared" si="24"/>
        <v>43</v>
      </c>
      <c r="AC45" s="36">
        <f>IF(Planned!$C$8=0,'Planned background (hide)'!F45,'Planned background (hide)'!G45)</f>
        <v>43</v>
      </c>
      <c r="AD45" s="36">
        <f t="shared" si="2"/>
        <v>0</v>
      </c>
      <c r="AE45" s="5">
        <f t="shared" ca="1" si="25"/>
        <v>0</v>
      </c>
      <c r="AF45" s="5">
        <f t="shared" ca="1" si="3"/>
        <v>3.8</v>
      </c>
      <c r="AG45">
        <f t="shared" ca="1" si="4"/>
        <v>1.5514184397163122</v>
      </c>
      <c r="AH45" s="67">
        <f t="shared" ca="1" si="5"/>
        <v>0</v>
      </c>
      <c r="AI45" s="67">
        <f t="shared" ca="1" si="6"/>
        <v>0.69716312056737539</v>
      </c>
      <c r="AJ45" s="67">
        <f t="shared" ca="1" si="7"/>
        <v>2.2485815602836876</v>
      </c>
      <c r="AK45">
        <f t="shared" ca="1" si="8"/>
        <v>5.351418439716312</v>
      </c>
      <c r="AL45">
        <f t="shared" ca="1" si="9"/>
        <v>6.9028368794326243</v>
      </c>
      <c r="AM45">
        <f t="shared" ca="1" si="10"/>
        <v>8.4542553191489365</v>
      </c>
      <c r="AN45">
        <f t="shared" ca="1" si="11"/>
        <v>4.5999999999999996</v>
      </c>
      <c r="AO45">
        <f t="shared" ca="1" si="12"/>
        <v>5</v>
      </c>
      <c r="AP45" t="e">
        <f t="shared" ca="1" si="13"/>
        <v>#N/A</v>
      </c>
      <c r="AQ45">
        <f t="shared" ca="1" si="18"/>
        <v>-1</v>
      </c>
      <c r="AR45">
        <f t="shared" ca="1" si="21"/>
        <v>0</v>
      </c>
      <c r="AS45">
        <f t="shared" ca="1" si="19"/>
        <v>0</v>
      </c>
      <c r="AT45" t="e">
        <f t="shared" ca="1" si="22"/>
        <v>#N/A</v>
      </c>
      <c r="AU45">
        <f t="shared" ca="1" si="14"/>
        <v>-1</v>
      </c>
      <c r="AV45">
        <f t="shared" ca="1" si="23"/>
        <v>0</v>
      </c>
      <c r="AW45" s="5">
        <f t="shared" ca="1" si="20"/>
        <v>0</v>
      </c>
      <c r="BH45" s="48" t="str">
        <f ca="1">IF(OR(Planned!B55=1,Planned!B55=""),AC45,Planned!B55)</f>
        <v xml:space="preserve"> </v>
      </c>
      <c r="BI45" t="str">
        <f ca="1">IF(TEXT(Planned!D55,"mmm")&lt;&gt;TEXT(Planned!D54,"mmm"),TEXT(Planned!D55,"mmm"),"")</f>
        <v/>
      </c>
      <c r="BK45" s="67"/>
    </row>
    <row r="46" spans="2:63" x14ac:dyDescent="0.2">
      <c r="B46" s="67">
        <f ca="1">IF(Planned!$C$6&lt;&gt;"Overall",COUNTBLANK(OFFSET(Planned!E57,0,0,1,Num_Modalities)),IF(COUNTBLANK(Planned!O57)=1,Num_Modalities,0))</f>
        <v>1</v>
      </c>
      <c r="C46">
        <f ca="1">SUM(OFFSET(Planned!$E57,0,0,1,Num_Modalities))</f>
        <v>0</v>
      </c>
      <c r="E46" s="67">
        <f t="shared" si="15"/>
        <v>44</v>
      </c>
      <c r="F46" s="36">
        <f t="shared" si="16"/>
        <v>44</v>
      </c>
      <c r="G46" s="68"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f ca="1">IF(Planned!$C$6="Overall",Planned!O56*'Planned background (hide)'!R$1,"")</f>
        <v>0</v>
      </c>
      <c r="S46" s="5">
        <f ca="1">IF(Planned!R56&lt;&gt;"Yes",IF(Planned!$C$6&lt;&gt;"Overall",SUM(OFFSET('Planned background (hide)'!H46,0,0,1,Num_Modalities)),'Planned background (hide)'!R46),"")</f>
        <v>0</v>
      </c>
      <c r="AB46">
        <f t="shared" si="24"/>
        <v>44</v>
      </c>
      <c r="AC46" s="36">
        <f>IF(Planned!$C$8=0,'Planned background (hide)'!F46,'Planned background (hide)'!G46)</f>
        <v>44</v>
      </c>
      <c r="AD46" s="36">
        <f t="shared" si="2"/>
        <v>0</v>
      </c>
      <c r="AE46" s="5">
        <f t="shared" ca="1" si="25"/>
        <v>0</v>
      </c>
      <c r="AF46" s="5">
        <f t="shared" ca="1" si="3"/>
        <v>3.8</v>
      </c>
      <c r="AG46">
        <f t="shared" ca="1" si="4"/>
        <v>1.5514184397163122</v>
      </c>
      <c r="AH46" s="67">
        <f t="shared" ca="1" si="5"/>
        <v>0</v>
      </c>
      <c r="AI46" s="67">
        <f t="shared" ca="1" si="6"/>
        <v>0.69716312056737539</v>
      </c>
      <c r="AJ46" s="67">
        <f t="shared" ca="1" si="7"/>
        <v>2.2485815602836876</v>
      </c>
      <c r="AK46">
        <f t="shared" ca="1" si="8"/>
        <v>5.351418439716312</v>
      </c>
      <c r="AL46">
        <f t="shared" ca="1" si="9"/>
        <v>6.9028368794326243</v>
      </c>
      <c r="AM46">
        <f t="shared" ca="1" si="10"/>
        <v>8.4542553191489365</v>
      </c>
      <c r="AN46">
        <f t="shared" ca="1" si="11"/>
        <v>4.5999999999999996</v>
      </c>
      <c r="AO46">
        <f t="shared" ca="1" si="12"/>
        <v>5</v>
      </c>
      <c r="AP46" t="e">
        <f t="shared" ca="1" si="13"/>
        <v>#N/A</v>
      </c>
      <c r="AQ46">
        <f t="shared" ca="1" si="18"/>
        <v>-1</v>
      </c>
      <c r="AR46">
        <f t="shared" ca="1" si="21"/>
        <v>0</v>
      </c>
      <c r="AS46">
        <f t="shared" ca="1" si="19"/>
        <v>0</v>
      </c>
      <c r="AT46" t="e">
        <f t="shared" ca="1" si="22"/>
        <v>#N/A</v>
      </c>
      <c r="AU46">
        <f t="shared" ca="1" si="14"/>
        <v>-1</v>
      </c>
      <c r="AV46">
        <f t="shared" ca="1" si="23"/>
        <v>0</v>
      </c>
      <c r="AW46" s="5">
        <f t="shared" ca="1" si="20"/>
        <v>0</v>
      </c>
      <c r="BH46" s="48" t="str">
        <f ca="1">IF(OR(Planned!B56=1,Planned!B56=""),AC46,Planned!B56)</f>
        <v xml:space="preserve"> </v>
      </c>
      <c r="BI46" t="str">
        <f ca="1">IF(TEXT(Planned!D56,"mmm")&lt;&gt;TEXT(Planned!D55,"mmm"),TEXT(Planned!D56,"mmm"),"")</f>
        <v/>
      </c>
      <c r="BK46" s="67"/>
    </row>
    <row r="47" spans="2:63" x14ac:dyDescent="0.2">
      <c r="B47" s="67">
        <f ca="1">IF(Planned!$C$6&lt;&gt;"Overall",COUNTBLANK(OFFSET(Planned!E58,0,0,1,Num_Modalities)),IF(COUNTBLANK(Planned!O58)=1,Num_Modalities,0))</f>
        <v>1</v>
      </c>
      <c r="C47">
        <f ca="1">SUM(OFFSET(Planned!$E58,0,0,1,Num_Modalities))</f>
        <v>0</v>
      </c>
      <c r="E47" s="67">
        <f t="shared" si="15"/>
        <v>45</v>
      </c>
      <c r="F47" s="36">
        <f t="shared" si="16"/>
        <v>45</v>
      </c>
      <c r="G47" s="68"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f ca="1">IF(Planned!$C$6="Overall",Planned!O57*'Planned background (hide)'!R$1,"")</f>
        <v>0</v>
      </c>
      <c r="S47" s="5">
        <f ca="1">IF(Planned!R57&lt;&gt;"Yes",IF(Planned!$C$6&lt;&gt;"Overall",SUM(OFFSET('Planned background (hide)'!H47,0,0,1,Num_Modalities)),'Planned background (hide)'!R47),"")</f>
        <v>0</v>
      </c>
      <c r="AB47">
        <f t="shared" si="24"/>
        <v>45</v>
      </c>
      <c r="AC47" s="36">
        <f>IF(Planned!$C$8=0,'Planned background (hide)'!F47,'Planned background (hide)'!G47)</f>
        <v>45</v>
      </c>
      <c r="AD47" s="36">
        <f t="shared" si="2"/>
        <v>0</v>
      </c>
      <c r="AE47" s="5">
        <f t="shared" ca="1" si="25"/>
        <v>0</v>
      </c>
      <c r="AF47" s="5">
        <f t="shared" ca="1" si="3"/>
        <v>3.8</v>
      </c>
      <c r="AG47">
        <f t="shared" ca="1" si="4"/>
        <v>1.5514184397163122</v>
      </c>
      <c r="AH47" s="67">
        <f t="shared" ca="1" si="5"/>
        <v>0</v>
      </c>
      <c r="AI47" s="67">
        <f t="shared" ca="1" si="6"/>
        <v>0.69716312056737539</v>
      </c>
      <c r="AJ47" s="67">
        <f t="shared" ca="1" si="7"/>
        <v>2.2485815602836876</v>
      </c>
      <c r="AK47">
        <f t="shared" ca="1" si="8"/>
        <v>5.351418439716312</v>
      </c>
      <c r="AL47">
        <f t="shared" ca="1" si="9"/>
        <v>6.9028368794326243</v>
      </c>
      <c r="AM47">
        <f t="shared" ca="1" si="10"/>
        <v>8.4542553191489365</v>
      </c>
      <c r="AN47">
        <f t="shared" ca="1" si="11"/>
        <v>4.5999999999999996</v>
      </c>
      <c r="AO47">
        <f t="shared" ca="1" si="12"/>
        <v>5</v>
      </c>
      <c r="AP47" t="e">
        <f t="shared" ca="1" si="13"/>
        <v>#N/A</v>
      </c>
      <c r="AQ47">
        <f t="shared" ca="1" si="18"/>
        <v>-1</v>
      </c>
      <c r="AR47">
        <f t="shared" ca="1" si="21"/>
        <v>0</v>
      </c>
      <c r="AS47">
        <f t="shared" ca="1" si="19"/>
        <v>0</v>
      </c>
      <c r="AT47" t="e">
        <f t="shared" ca="1" si="22"/>
        <v>#N/A</v>
      </c>
      <c r="AU47">
        <f t="shared" ca="1" si="14"/>
        <v>-1</v>
      </c>
      <c r="AV47">
        <f t="shared" ca="1" si="23"/>
        <v>0</v>
      </c>
      <c r="AW47" s="5">
        <f t="shared" ca="1" si="20"/>
        <v>0</v>
      </c>
      <c r="BH47" s="48" t="str">
        <f ca="1">IF(OR(Planned!B57=1,Planned!B57=""),AC47,Planned!B57)</f>
        <v xml:space="preserve"> </v>
      </c>
      <c r="BI47" t="str">
        <f ca="1">IF(TEXT(Planned!D57,"mmm")&lt;&gt;TEXT(Planned!D56,"mmm"),TEXT(Planned!D57,"mmm"),"")</f>
        <v/>
      </c>
      <c r="BK47" s="67"/>
    </row>
    <row r="48" spans="2:63" x14ac:dyDescent="0.2">
      <c r="B48" s="67">
        <f ca="1">IF(Planned!$C$6&lt;&gt;"Overall",COUNTBLANK(OFFSET(Planned!E59,0,0,1,Num_Modalities)),IF(COUNTBLANK(Planned!O59)=1,Num_Modalities,0))</f>
        <v>1</v>
      </c>
      <c r="C48">
        <f ca="1">SUM(OFFSET(Planned!$E59,0,0,1,Num_Modalities))</f>
        <v>0</v>
      </c>
      <c r="E48" s="67">
        <f t="shared" si="15"/>
        <v>46</v>
      </c>
      <c r="F48" s="36">
        <f t="shared" si="16"/>
        <v>46</v>
      </c>
      <c r="G48" s="68"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f ca="1">IF(Planned!$C$6="Overall",Planned!O58*'Planned background (hide)'!R$1,"")</f>
        <v>0</v>
      </c>
      <c r="S48" s="5">
        <f ca="1">IF(Planned!R58&lt;&gt;"Yes",IF(Planned!$C$6&lt;&gt;"Overall",SUM(OFFSET('Planned background (hide)'!H48,0,0,1,Num_Modalities)),'Planned background (hide)'!R48),"")</f>
        <v>0</v>
      </c>
      <c r="AB48">
        <f t="shared" si="24"/>
        <v>46</v>
      </c>
      <c r="AC48" s="36">
        <f>IF(Planned!$C$8=0,'Planned background (hide)'!F48,'Planned background (hide)'!G48)</f>
        <v>46</v>
      </c>
      <c r="AD48" s="36">
        <f t="shared" si="2"/>
        <v>0</v>
      </c>
      <c r="AE48" s="5">
        <f t="shared" ca="1" si="25"/>
        <v>0</v>
      </c>
      <c r="AF48" s="5">
        <f t="shared" ca="1" si="3"/>
        <v>3.8</v>
      </c>
      <c r="AG48">
        <f t="shared" ca="1" si="4"/>
        <v>1.5514184397163122</v>
      </c>
      <c r="AH48" s="67">
        <f t="shared" ca="1" si="5"/>
        <v>0</v>
      </c>
      <c r="AI48" s="67">
        <f t="shared" ca="1" si="6"/>
        <v>0.69716312056737539</v>
      </c>
      <c r="AJ48" s="67">
        <f t="shared" ca="1" si="7"/>
        <v>2.2485815602836876</v>
      </c>
      <c r="AK48">
        <f t="shared" ca="1" si="8"/>
        <v>5.351418439716312</v>
      </c>
      <c r="AL48">
        <f t="shared" ca="1" si="9"/>
        <v>6.9028368794326243</v>
      </c>
      <c r="AM48">
        <f t="shared" ca="1" si="10"/>
        <v>8.4542553191489365</v>
      </c>
      <c r="AN48">
        <f t="shared" ca="1" si="11"/>
        <v>4.5999999999999996</v>
      </c>
      <c r="AO48">
        <f t="shared" ca="1" si="12"/>
        <v>5</v>
      </c>
      <c r="AP48" t="e">
        <f t="shared" ca="1" si="13"/>
        <v>#N/A</v>
      </c>
      <c r="AQ48">
        <f t="shared" ca="1" si="18"/>
        <v>-1</v>
      </c>
      <c r="AR48">
        <f t="shared" ca="1" si="21"/>
        <v>0</v>
      </c>
      <c r="AS48">
        <f t="shared" ca="1" si="19"/>
        <v>0</v>
      </c>
      <c r="AT48" t="e">
        <f t="shared" ca="1" si="22"/>
        <v>#N/A</v>
      </c>
      <c r="AU48">
        <f t="shared" ca="1" si="14"/>
        <v>-1</v>
      </c>
      <c r="AV48">
        <f t="shared" ca="1" si="23"/>
        <v>0</v>
      </c>
      <c r="AW48" s="5">
        <f t="shared" ca="1" si="20"/>
        <v>0</v>
      </c>
      <c r="BH48" s="48" t="str">
        <f ca="1">IF(OR(Planned!B58=1,Planned!B58=""),AC48,Planned!B58)</f>
        <v xml:space="preserve"> </v>
      </c>
      <c r="BI48" t="str">
        <f ca="1">IF(TEXT(Planned!D58,"mmm")&lt;&gt;TEXT(Planned!D57,"mmm"),TEXT(Planned!D58,"mmm"),"")</f>
        <v/>
      </c>
      <c r="BK48" s="67"/>
    </row>
    <row r="49" spans="2:63" x14ac:dyDescent="0.2">
      <c r="B49" s="67">
        <f ca="1">IF(Planned!$C$6&lt;&gt;"Overall",COUNTBLANK(OFFSET(Planned!E60,0,0,1,Num_Modalities)),IF(COUNTBLANK(Planned!O60)=1,Num_Modalities,0))</f>
        <v>1</v>
      </c>
      <c r="C49">
        <f ca="1">SUM(OFFSET(Planned!$E60,0,0,1,Num_Modalities))</f>
        <v>0</v>
      </c>
      <c r="E49" s="67">
        <f t="shared" si="15"/>
        <v>47</v>
      </c>
      <c r="F49" s="36">
        <f t="shared" si="16"/>
        <v>47</v>
      </c>
      <c r="G49" s="68"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f ca="1">IF(Planned!$C$6="Overall",Planned!O59*'Planned background (hide)'!R$1,"")</f>
        <v>0</v>
      </c>
      <c r="S49" s="5">
        <f ca="1">IF(Planned!R59&lt;&gt;"Yes",IF(Planned!$C$6&lt;&gt;"Overall",SUM(OFFSET('Planned background (hide)'!H49,0,0,1,Num_Modalities)),'Planned background (hide)'!R49),"")</f>
        <v>0</v>
      </c>
      <c r="AB49">
        <f t="shared" si="24"/>
        <v>47</v>
      </c>
      <c r="AC49" s="36">
        <f>IF(Planned!$C$8=0,'Planned background (hide)'!F49,'Planned background (hide)'!G49)</f>
        <v>47</v>
      </c>
      <c r="AD49" s="36">
        <f t="shared" si="2"/>
        <v>0</v>
      </c>
      <c r="AE49" s="5">
        <f t="shared" ca="1" si="25"/>
        <v>0</v>
      </c>
      <c r="AF49" s="5">
        <f t="shared" ca="1" si="3"/>
        <v>3.8</v>
      </c>
      <c r="AG49">
        <f t="shared" ca="1" si="4"/>
        <v>1.5514184397163122</v>
      </c>
      <c r="AH49" s="67">
        <f t="shared" ca="1" si="5"/>
        <v>0</v>
      </c>
      <c r="AI49" s="67">
        <f t="shared" ca="1" si="6"/>
        <v>0.69716312056737539</v>
      </c>
      <c r="AJ49" s="67">
        <f t="shared" ca="1" si="7"/>
        <v>2.2485815602836876</v>
      </c>
      <c r="AK49">
        <f t="shared" ca="1" si="8"/>
        <v>5.351418439716312</v>
      </c>
      <c r="AL49">
        <f t="shared" ca="1" si="9"/>
        <v>6.9028368794326243</v>
      </c>
      <c r="AM49">
        <f t="shared" ca="1" si="10"/>
        <v>8.4542553191489365</v>
      </c>
      <c r="AN49">
        <f t="shared" ca="1" si="11"/>
        <v>4.5999999999999996</v>
      </c>
      <c r="AO49">
        <f t="shared" ca="1" si="12"/>
        <v>5</v>
      </c>
      <c r="AP49" t="e">
        <f t="shared" ca="1" si="13"/>
        <v>#N/A</v>
      </c>
      <c r="AQ49">
        <f t="shared" ca="1" si="18"/>
        <v>-1</v>
      </c>
      <c r="AR49">
        <f t="shared" ca="1" si="21"/>
        <v>0</v>
      </c>
      <c r="AS49">
        <f t="shared" ca="1" si="19"/>
        <v>0</v>
      </c>
      <c r="AT49" t="e">
        <f t="shared" ca="1" si="22"/>
        <v>#N/A</v>
      </c>
      <c r="AU49">
        <f t="shared" ca="1" si="14"/>
        <v>-1</v>
      </c>
      <c r="AV49">
        <f t="shared" ca="1" si="23"/>
        <v>0</v>
      </c>
      <c r="AW49" s="5">
        <f t="shared" ca="1" si="20"/>
        <v>0</v>
      </c>
      <c r="BH49" s="48" t="str">
        <f ca="1">IF(OR(Planned!B59=1,Planned!B59=""),AC49,Planned!B59)</f>
        <v xml:space="preserve"> </v>
      </c>
      <c r="BI49" t="str">
        <f ca="1">IF(TEXT(Planned!D59,"mmm")&lt;&gt;TEXT(Planned!D58,"mmm"),TEXT(Planned!D59,"mmm"),"")</f>
        <v/>
      </c>
      <c r="BK49" s="67"/>
    </row>
    <row r="50" spans="2:63" x14ac:dyDescent="0.2">
      <c r="B50" s="67">
        <f ca="1">IF(Planned!$C$6&lt;&gt;"Overall",COUNTBLANK(OFFSET(Planned!E61,0,0,1,Num_Modalities)),IF(COUNTBLANK(Planned!O61)=1,Num_Modalities,0))</f>
        <v>1</v>
      </c>
      <c r="C50">
        <f ca="1">SUM(OFFSET(Planned!$E61,0,0,1,Num_Modalities))</f>
        <v>0</v>
      </c>
      <c r="E50" s="67">
        <f t="shared" si="15"/>
        <v>48</v>
      </c>
      <c r="F50" s="36">
        <f t="shared" si="16"/>
        <v>48</v>
      </c>
      <c r="G50" s="68"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f ca="1">IF(Planned!$C$6="Overall",Planned!O60*'Planned background (hide)'!R$1,"")</f>
        <v>0</v>
      </c>
      <c r="S50" s="5">
        <f ca="1">IF(Planned!R60&lt;&gt;"Yes",IF(Planned!$C$6&lt;&gt;"Overall",SUM(OFFSET('Planned background (hide)'!H50,0,0,1,Num_Modalities)),'Planned background (hide)'!R50),"")</f>
        <v>0</v>
      </c>
      <c r="AB50">
        <f t="shared" si="24"/>
        <v>48</v>
      </c>
      <c r="AC50" s="36">
        <f>IF(Planned!$C$8=0,'Planned background (hide)'!F50,'Planned background (hide)'!G50)</f>
        <v>48</v>
      </c>
      <c r="AD50" s="36">
        <f t="shared" si="2"/>
        <v>0</v>
      </c>
      <c r="AE50" s="5">
        <f t="shared" ca="1" si="25"/>
        <v>0</v>
      </c>
      <c r="AF50" s="5">
        <f t="shared" ca="1" si="3"/>
        <v>3.8</v>
      </c>
      <c r="AG50">
        <f t="shared" ca="1" si="4"/>
        <v>1.5514184397163122</v>
      </c>
      <c r="AH50" s="67">
        <f t="shared" ca="1" si="5"/>
        <v>0</v>
      </c>
      <c r="AI50" s="67">
        <f t="shared" ca="1" si="6"/>
        <v>0.69716312056737539</v>
      </c>
      <c r="AJ50" s="67">
        <f t="shared" ca="1" si="7"/>
        <v>2.2485815602836876</v>
      </c>
      <c r="AK50">
        <f t="shared" ca="1" si="8"/>
        <v>5.351418439716312</v>
      </c>
      <c r="AL50">
        <f t="shared" ca="1" si="9"/>
        <v>6.9028368794326243</v>
      </c>
      <c r="AM50">
        <f t="shared" ca="1" si="10"/>
        <v>8.4542553191489365</v>
      </c>
      <c r="AN50">
        <f t="shared" ca="1" si="11"/>
        <v>4.5999999999999996</v>
      </c>
      <c r="AO50">
        <f t="shared" ca="1" si="12"/>
        <v>5</v>
      </c>
      <c r="AP50" t="e">
        <f t="shared" ca="1" si="13"/>
        <v>#N/A</v>
      </c>
      <c r="AQ50">
        <f t="shared" ca="1" si="18"/>
        <v>-1</v>
      </c>
      <c r="AR50">
        <f t="shared" ca="1" si="21"/>
        <v>0</v>
      </c>
      <c r="AS50">
        <f t="shared" ca="1" si="19"/>
        <v>0</v>
      </c>
      <c r="AT50" t="e">
        <f t="shared" ca="1" si="22"/>
        <v>#N/A</v>
      </c>
      <c r="AU50">
        <f t="shared" ca="1" si="14"/>
        <v>-1</v>
      </c>
      <c r="AV50">
        <f t="shared" ca="1" si="23"/>
        <v>0</v>
      </c>
      <c r="AW50" s="5">
        <f t="shared" ca="1" si="20"/>
        <v>0</v>
      </c>
      <c r="BH50" s="48" t="str">
        <f ca="1">IF(OR(Planned!B60=1,Planned!B60=""),AC50,Planned!B60)</f>
        <v xml:space="preserve"> </v>
      </c>
      <c r="BI50" t="str">
        <f ca="1">IF(TEXT(Planned!D60,"mmm")&lt;&gt;TEXT(Planned!D59,"mmm"),TEXT(Planned!D60,"mmm"),"")</f>
        <v/>
      </c>
      <c r="BK50" s="67"/>
    </row>
    <row r="51" spans="2:63" x14ac:dyDescent="0.2">
      <c r="B51" s="67">
        <f ca="1">IF(Planned!$C$6&lt;&gt;"Overall",COUNTBLANK(OFFSET(Planned!E62,0,0,1,Num_Modalities)),IF(COUNTBLANK(Planned!O62)=1,Num_Modalities,0))</f>
        <v>1</v>
      </c>
      <c r="C51">
        <f ca="1">SUM(OFFSET(Planned!$E62,0,0,1,Num_Modalities))</f>
        <v>0</v>
      </c>
      <c r="E51" s="67">
        <f t="shared" si="15"/>
        <v>49</v>
      </c>
      <c r="F51" s="36">
        <f t="shared" si="16"/>
        <v>49</v>
      </c>
      <c r="G51" s="68"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f ca="1">IF(Planned!$C$6="Overall",Planned!O61*'Planned background (hide)'!R$1,"")</f>
        <v>0</v>
      </c>
      <c r="S51" s="5">
        <f ca="1">IF(Planned!R61&lt;&gt;"Yes",IF(Planned!$C$6&lt;&gt;"Overall",SUM(OFFSET('Planned background (hide)'!H51,0,0,1,Num_Modalities)),'Planned background (hide)'!R51),"")</f>
        <v>0</v>
      </c>
      <c r="AB51">
        <f t="shared" si="24"/>
        <v>49</v>
      </c>
      <c r="AC51" s="36">
        <f>IF(Planned!$C$8=0,'Planned background (hide)'!F51,'Planned background (hide)'!G51)</f>
        <v>49</v>
      </c>
      <c r="AD51" s="36">
        <f t="shared" si="2"/>
        <v>0</v>
      </c>
      <c r="AE51" s="5">
        <f t="shared" ca="1" si="25"/>
        <v>0</v>
      </c>
      <c r="AF51" s="5">
        <f t="shared" ca="1" si="3"/>
        <v>3.8</v>
      </c>
      <c r="AG51">
        <f t="shared" ca="1" si="4"/>
        <v>1.5514184397163122</v>
      </c>
      <c r="AH51" s="67">
        <f t="shared" ca="1" si="5"/>
        <v>0</v>
      </c>
      <c r="AI51" s="67">
        <f t="shared" ca="1" si="6"/>
        <v>0.69716312056737539</v>
      </c>
      <c r="AJ51" s="67">
        <f t="shared" ca="1" si="7"/>
        <v>2.2485815602836876</v>
      </c>
      <c r="AK51">
        <f t="shared" ca="1" si="8"/>
        <v>5.351418439716312</v>
      </c>
      <c r="AL51">
        <f t="shared" ca="1" si="9"/>
        <v>6.9028368794326243</v>
      </c>
      <c r="AM51">
        <f t="shared" ca="1" si="10"/>
        <v>8.4542553191489365</v>
      </c>
      <c r="AN51">
        <f t="shared" ca="1" si="11"/>
        <v>4.5999999999999996</v>
      </c>
      <c r="AO51">
        <f t="shared" ca="1" si="12"/>
        <v>5</v>
      </c>
      <c r="AP51" t="e">
        <f t="shared" ca="1" si="13"/>
        <v>#N/A</v>
      </c>
      <c r="AQ51">
        <f t="shared" ca="1" si="18"/>
        <v>-1</v>
      </c>
      <c r="AR51">
        <f t="shared" ca="1" si="21"/>
        <v>0</v>
      </c>
      <c r="AS51">
        <f t="shared" ca="1" si="19"/>
        <v>0</v>
      </c>
      <c r="AT51" t="e">
        <f t="shared" ca="1" si="22"/>
        <v>#N/A</v>
      </c>
      <c r="AU51">
        <f t="shared" ca="1" si="14"/>
        <v>-1</v>
      </c>
      <c r="AV51">
        <f t="shared" ca="1" si="23"/>
        <v>0</v>
      </c>
      <c r="AW51" s="5">
        <f t="shared" ca="1" si="20"/>
        <v>0</v>
      </c>
      <c r="BH51" s="48" t="str">
        <f ca="1">IF(OR(Planned!B61=1,Planned!B61=""),AC51,Planned!B61)</f>
        <v xml:space="preserve"> </v>
      </c>
      <c r="BI51" t="str">
        <f ca="1">IF(TEXT(Planned!D61,"mmm")&lt;&gt;TEXT(Planned!D60,"mmm"),TEXT(Planned!D61,"mmm"),"")</f>
        <v/>
      </c>
      <c r="BK51" s="67"/>
    </row>
    <row r="52" spans="2:63" x14ac:dyDescent="0.2">
      <c r="B52" s="67">
        <f ca="1">IF(Planned!$C$6&lt;&gt;"Overall",COUNTBLANK(OFFSET(Planned!E63,0,0,1,Num_Modalities)),IF(COUNTBLANK(Planned!O63)=1,Num_Modalities,0))</f>
        <v>1</v>
      </c>
      <c r="C52">
        <f ca="1">SUM(OFFSET(Planned!$E63,0,0,1,Num_Modalities))</f>
        <v>0</v>
      </c>
      <c r="E52" s="67">
        <f t="shared" si="15"/>
        <v>50</v>
      </c>
      <c r="F52" s="36">
        <f t="shared" si="16"/>
        <v>50</v>
      </c>
      <c r="G52" s="68"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f ca="1">IF(Planned!$C$6="Overall",Planned!O62*'Planned background (hide)'!R$1,"")</f>
        <v>0</v>
      </c>
      <c r="S52" s="5">
        <f ca="1">IF(Planned!R62&lt;&gt;"Yes",IF(Planned!$C$6&lt;&gt;"Overall",SUM(OFFSET('Planned background (hide)'!H52,0,0,1,Num_Modalities)),'Planned background (hide)'!R52),"")</f>
        <v>0</v>
      </c>
      <c r="AB52">
        <f t="shared" si="24"/>
        <v>50</v>
      </c>
      <c r="AC52" s="36">
        <f>IF(Planned!$C$8=0,'Planned background (hide)'!F52,'Planned background (hide)'!G52)</f>
        <v>50</v>
      </c>
      <c r="AD52" s="36">
        <f t="shared" si="2"/>
        <v>0</v>
      </c>
      <c r="AE52" s="5">
        <f t="shared" ca="1" si="25"/>
        <v>0</v>
      </c>
      <c r="AF52" s="5">
        <f t="shared" ca="1" si="3"/>
        <v>3.8</v>
      </c>
      <c r="AG52">
        <f t="shared" ca="1" si="4"/>
        <v>1.5514184397163122</v>
      </c>
      <c r="AH52" s="67">
        <f t="shared" ca="1" si="5"/>
        <v>0</v>
      </c>
      <c r="AI52" s="67">
        <f t="shared" ca="1" si="6"/>
        <v>0.69716312056737539</v>
      </c>
      <c r="AJ52" s="67">
        <f t="shared" ca="1" si="7"/>
        <v>2.2485815602836876</v>
      </c>
      <c r="AK52">
        <f t="shared" ca="1" si="8"/>
        <v>5.351418439716312</v>
      </c>
      <c r="AL52">
        <f t="shared" ca="1" si="9"/>
        <v>6.9028368794326243</v>
      </c>
      <c r="AM52">
        <f t="shared" ca="1" si="10"/>
        <v>8.4542553191489365</v>
      </c>
      <c r="AN52">
        <f t="shared" ca="1" si="11"/>
        <v>4.5999999999999996</v>
      </c>
      <c r="AO52">
        <f t="shared" ca="1" si="12"/>
        <v>5</v>
      </c>
      <c r="AP52" t="e">
        <f t="shared" ca="1" si="13"/>
        <v>#N/A</v>
      </c>
      <c r="AQ52">
        <f t="shared" ca="1" si="18"/>
        <v>-1</v>
      </c>
      <c r="AR52">
        <f t="shared" ca="1" si="21"/>
        <v>0</v>
      </c>
      <c r="AS52">
        <f t="shared" ca="1" si="19"/>
        <v>0</v>
      </c>
      <c r="AT52" t="e">
        <f t="shared" ca="1" si="22"/>
        <v>#N/A</v>
      </c>
      <c r="AU52">
        <f t="shared" ca="1" si="14"/>
        <v>-1</v>
      </c>
      <c r="AV52">
        <f t="shared" ca="1" si="23"/>
        <v>0</v>
      </c>
      <c r="AW52" s="5">
        <f t="shared" ca="1" si="20"/>
        <v>0</v>
      </c>
      <c r="BH52" s="48" t="str">
        <f ca="1">IF(OR(Planned!B62=1,Planned!B62=""),AC52,Planned!B62)</f>
        <v xml:space="preserve"> </v>
      </c>
      <c r="BI52" t="str">
        <f ca="1">IF(TEXT(Planned!D62,"mmm")&lt;&gt;TEXT(Planned!D61,"mmm"),TEXT(Planned!D62,"mmm"),"")</f>
        <v/>
      </c>
      <c r="BK52" s="67"/>
    </row>
    <row r="53" spans="2:63" x14ac:dyDescent="0.2">
      <c r="B53" s="67">
        <f ca="1">IF(Planned!$C$6&lt;&gt;"Overall",COUNTBLANK(OFFSET(Planned!E64,0,0,1,Num_Modalities)),IF(COUNTBLANK(Planned!O64)=1,Num_Modalities,0))</f>
        <v>1</v>
      </c>
      <c r="C53">
        <f ca="1">SUM(OFFSET(Planned!$E64,0,0,1,Num_Modalities))</f>
        <v>0</v>
      </c>
      <c r="E53" s="67">
        <f t="shared" si="15"/>
        <v>51</v>
      </c>
      <c r="F53" s="36">
        <f t="shared" si="16"/>
        <v>51</v>
      </c>
      <c r="G53" s="68"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f ca="1">IF(Planned!$C$6="Overall",Planned!O63*'Planned background (hide)'!R$1,"")</f>
        <v>0</v>
      </c>
      <c r="S53" s="5">
        <f ca="1">IF(Planned!R63&lt;&gt;"Yes",IF(Planned!$C$6&lt;&gt;"Overall",SUM(OFFSET('Planned background (hide)'!H53,0,0,1,Num_Modalities)),'Planned background (hide)'!R53),"")</f>
        <v>0</v>
      </c>
      <c r="AB53">
        <f t="shared" ref="AB53:AB55" si="26">E53</f>
        <v>51</v>
      </c>
      <c r="AC53" s="36">
        <f>IF(Planned!$C$8=0,'Planned background (hide)'!F53,'Planned background (hide)'!G53)</f>
        <v>51</v>
      </c>
      <c r="AD53" s="36">
        <f t="shared" si="2"/>
        <v>0</v>
      </c>
      <c r="AE53" s="5">
        <f t="shared" ca="1" si="25"/>
        <v>0</v>
      </c>
      <c r="AF53" s="5">
        <f t="shared" ca="1" si="3"/>
        <v>3.8</v>
      </c>
      <c r="AG53">
        <f t="shared" ca="1" si="4"/>
        <v>1.5514184397163122</v>
      </c>
      <c r="AH53" s="67">
        <f t="shared" ca="1" si="5"/>
        <v>0</v>
      </c>
      <c r="AI53" s="67">
        <f t="shared" ca="1" si="6"/>
        <v>0.69716312056737539</v>
      </c>
      <c r="AJ53" s="67">
        <f t="shared" ca="1" si="7"/>
        <v>2.2485815602836876</v>
      </c>
      <c r="AK53">
        <f t="shared" ca="1" si="8"/>
        <v>5.351418439716312</v>
      </c>
      <c r="AL53">
        <f t="shared" ca="1" si="9"/>
        <v>6.9028368794326243</v>
      </c>
      <c r="AM53">
        <f t="shared" ca="1" si="10"/>
        <v>8.4542553191489365</v>
      </c>
      <c r="AN53">
        <f t="shared" ca="1" si="11"/>
        <v>4.5999999999999996</v>
      </c>
      <c r="AO53">
        <f t="shared" ca="1" si="12"/>
        <v>5</v>
      </c>
      <c r="AP53" t="e">
        <f t="shared" ca="1" si="13"/>
        <v>#N/A</v>
      </c>
      <c r="AQ53">
        <f t="shared" ca="1" si="18"/>
        <v>-1</v>
      </c>
      <c r="AR53">
        <f t="shared" ca="1" si="21"/>
        <v>0</v>
      </c>
      <c r="AS53">
        <f t="shared" ca="1" si="19"/>
        <v>0</v>
      </c>
      <c r="AT53" t="e">
        <f t="shared" ca="1" si="22"/>
        <v>#N/A</v>
      </c>
      <c r="AU53">
        <f t="shared" ca="1" si="14"/>
        <v>-1</v>
      </c>
      <c r="AV53">
        <f t="shared" ca="1" si="23"/>
        <v>0</v>
      </c>
      <c r="AW53" s="5">
        <f t="shared" ca="1" si="20"/>
        <v>0</v>
      </c>
      <c r="BH53" s="48" t="str">
        <f ca="1">IF(OR(Planned!B63=1,Planned!B63=""),AC53,Planned!B63)</f>
        <v xml:space="preserve"> </v>
      </c>
      <c r="BI53" t="str">
        <f ca="1">IF(TEXT(Planned!D63,"mmm")&lt;&gt;TEXT(Planned!D62,"mmm"),TEXT(Planned!D63,"mmm"),"")</f>
        <v/>
      </c>
    </row>
    <row r="54" spans="2:63" x14ac:dyDescent="0.2">
      <c r="E54" s="67">
        <f t="shared" si="15"/>
        <v>52</v>
      </c>
      <c r="F54" s="36">
        <f t="shared" si="16"/>
        <v>52</v>
      </c>
      <c r="G54" s="68"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f ca="1">IF(Planned!$C$6="Overall",Planned!O64*'Planned background (hide)'!R$1,"")</f>
        <v>0</v>
      </c>
      <c r="S54" s="5">
        <f ca="1">IF(Planned!R64&lt;&gt;"Yes",IF(Planned!$C$6&lt;&gt;"Overall",SUM(OFFSET('Planned background (hide)'!H54,0,0,1,Num_Modalities)),'Planned background (hide)'!R54),"")</f>
        <v>0</v>
      </c>
      <c r="AB54">
        <f t="shared" si="26"/>
        <v>52</v>
      </c>
      <c r="AC54" s="36">
        <f>IF(Planned!$C$8=0,'Planned background (hide)'!F54,'Planned background (hide)'!G54)</f>
        <v>52</v>
      </c>
      <c r="AD54" s="36">
        <f t="shared" si="2"/>
        <v>0</v>
      </c>
      <c r="AE54" s="5">
        <f t="shared" ca="1" si="25"/>
        <v>0</v>
      </c>
      <c r="AF54" s="5">
        <f t="shared" ca="1" si="3"/>
        <v>3.8</v>
      </c>
      <c r="AG54">
        <f t="shared" ca="1" si="4"/>
        <v>1.5514184397163122</v>
      </c>
      <c r="AH54" s="67">
        <f t="shared" ca="1" si="5"/>
        <v>0</v>
      </c>
      <c r="AI54" s="67">
        <f t="shared" ca="1" si="6"/>
        <v>0.69716312056737539</v>
      </c>
      <c r="AJ54" s="67">
        <f t="shared" ca="1" si="7"/>
        <v>2.2485815602836876</v>
      </c>
      <c r="AK54">
        <f t="shared" ca="1" si="8"/>
        <v>5.351418439716312</v>
      </c>
      <c r="AL54">
        <f t="shared" ca="1" si="9"/>
        <v>6.9028368794326243</v>
      </c>
      <c r="AM54">
        <f t="shared" ca="1" si="10"/>
        <v>8.4542553191489365</v>
      </c>
      <c r="AN54">
        <f t="shared" ca="1" si="11"/>
        <v>4.5999999999999996</v>
      </c>
      <c r="AO54">
        <f t="shared" ca="1" si="12"/>
        <v>5</v>
      </c>
      <c r="AP54" t="e">
        <f t="shared" ca="1" si="13"/>
        <v>#N/A</v>
      </c>
      <c r="AQ54">
        <f t="shared" ca="1" si="18"/>
        <v>-1</v>
      </c>
      <c r="AR54">
        <f t="shared" ca="1" si="21"/>
        <v>0</v>
      </c>
      <c r="AS54">
        <f t="shared" ca="1" si="19"/>
        <v>0</v>
      </c>
      <c r="AT54" t="e">
        <f t="shared" ca="1" si="22"/>
        <v>#N/A</v>
      </c>
      <c r="AU54">
        <f t="shared" ca="1" si="14"/>
        <v>-1</v>
      </c>
      <c r="AV54">
        <f t="shared" ca="1" si="23"/>
        <v>0</v>
      </c>
      <c r="AW54" s="5">
        <f t="shared" ca="1" si="20"/>
        <v>0</v>
      </c>
      <c r="BH54" s="48" t="str">
        <f ca="1">IF(OR(Planned!B64=1,Planned!B64=""),AC54,Planned!B64)</f>
        <v xml:space="preserve"> </v>
      </c>
      <c r="BI54" t="str">
        <f ca="1">IF(TEXT(Planned!D64,"mmm")&lt;&gt;TEXT(Planned!D63,"mmm"),TEXT(Planned!D64,"mmm"),"")</f>
        <v/>
      </c>
    </row>
    <row r="55" spans="2:63" x14ac:dyDescent="0.2">
      <c r="E55" s="67">
        <f t="shared" si="15"/>
        <v>53</v>
      </c>
      <c r="F55" s="298">
        <f>IF(MAX(F3:F54)=53,(WEEKNUM(G55,21)),53)</f>
        <v>53</v>
      </c>
      <c r="G55" s="297" t="str">
        <f t="shared" si="17"/>
        <v/>
      </c>
      <c r="H55" s="67">
        <f ca="1">Planned!E65*'Planned background (hide)'!H$1</f>
        <v>0</v>
      </c>
      <c r="I55" s="67">
        <f ca="1">Planned!F65*'Planned background (hide)'!I$1</f>
        <v>0</v>
      </c>
      <c r="J55" s="67">
        <f ca="1">Planned!G65*'Planned background (hide)'!J$1</f>
        <v>0</v>
      </c>
      <c r="K55" s="67">
        <f ca="1">Planned!H65*'Planned background (hide)'!K$1</f>
        <v>0</v>
      </c>
      <c r="L55" s="67">
        <f ca="1">Planned!I65*'Planned background (hide)'!L$1</f>
        <v>0</v>
      </c>
      <c r="M55" s="67">
        <f ca="1">Planned!J65*'Planned background (hide)'!M$1</f>
        <v>0</v>
      </c>
      <c r="N55" s="67">
        <f ca="1">Planned!K65*'Planned background (hide)'!N$1</f>
        <v>0</v>
      </c>
      <c r="O55" s="67">
        <f ca="1">Planned!J65*'Planned background (hide)'!O$1</f>
        <v>0</v>
      </c>
      <c r="P55" s="67">
        <f ca="1">Planned!K65*'Planned background (hide)'!P$1</f>
        <v>0</v>
      </c>
      <c r="Q55" s="67">
        <f ca="1">Planned!L65*'Planned background (hide)'!Q$1</f>
        <v>0</v>
      </c>
      <c r="R55" s="5">
        <f ca="1">IF(Planned!$C$6="Overall",Planned!O65*'Planned background (hide)'!R$1,"")</f>
        <v>0</v>
      </c>
      <c r="S55" s="5">
        <f ca="1">IF(Planned!R65&lt;&gt;"Yes",IF(Planned!$C$6&lt;&gt;"Overall",SUM(OFFSET('Planned background (hide)'!H55,0,0,1,Num_Modalities)),'Planned background (hide)'!R55),"")</f>
        <v>0</v>
      </c>
      <c r="AB55" s="67">
        <f t="shared" si="26"/>
        <v>53</v>
      </c>
      <c r="AC55" s="36">
        <f>IF(Planned!$C$8=0,'Planned background (hide)'!F55,'Planned background (hide)'!G55)</f>
        <v>53</v>
      </c>
      <c r="AD55" s="36">
        <f t="shared" ref="AD55" si="27">IF(AND(AB55&gt;$U$18,AB55&lt;($U$18+$AA$19)),1,0)</f>
        <v>0</v>
      </c>
      <c r="AE55" s="5">
        <f ca="1">S55</f>
        <v>0</v>
      </c>
      <c r="AF55" s="5">
        <f t="shared" ca="1" si="3"/>
        <v>3.8</v>
      </c>
      <c r="AG55" s="67">
        <f t="shared" ca="1" si="4"/>
        <v>1.5514184397163122</v>
      </c>
      <c r="AH55" s="67">
        <f t="shared" ref="AH55" ca="1" si="28">IF(AF55-(3*AG55)&lt;=0,0,AF55-(3*AG55))</f>
        <v>0</v>
      </c>
      <c r="AI55" s="67">
        <f t="shared" ref="AI55" ca="1" si="29">IF(AF55-(2*AG55)&lt;=0,0,AF55-(2*AG55))</f>
        <v>0.69716312056737539</v>
      </c>
      <c r="AJ55" s="67">
        <f t="shared" ref="AJ55" ca="1" si="30">IF(AF55-(1*AG55)&lt;=0,0,AF55-(1*AG55))</f>
        <v>2.2485815602836876</v>
      </c>
      <c r="AK55" s="67">
        <f t="shared" ref="AK55" ca="1" si="31">AF55+(1*AG55)</f>
        <v>5.351418439716312</v>
      </c>
      <c r="AL55" s="67">
        <f t="shared" ref="AL55" ca="1" si="32">AF55+(2*AG55)</f>
        <v>6.9028368794326243</v>
      </c>
      <c r="AM55" s="67">
        <f t="shared" ref="AM55" ca="1" si="33">AF55+(3*AG55)</f>
        <v>8.4542553191489365</v>
      </c>
      <c r="AN55" s="67">
        <f t="shared" ca="1" si="11"/>
        <v>4.5999999999999996</v>
      </c>
      <c r="AO55" s="67">
        <f t="shared" ca="1" si="12"/>
        <v>5</v>
      </c>
      <c r="AP55" s="67" t="e">
        <f t="shared" ref="AP55" ca="1" si="34">IF(OR(AE55&gt;AM55,AE55&lt;AH55),AE55,NA())</f>
        <v>#N/A</v>
      </c>
      <c r="AQ55" s="67">
        <f t="shared" ref="AQ55" ca="1" si="35">IF(AE55&gt;AL55,1,IF(AE55&lt;AI55,-1,0))</f>
        <v>-1</v>
      </c>
      <c r="AR55" s="67">
        <f t="shared" ref="AR55" ca="1" si="36">IF(ABS(SUM(AQ53:AQ55))&gt;=2,AE55,NA())</f>
        <v>0</v>
      </c>
      <c r="AS55" s="67">
        <f t="shared" ref="AS55" ca="1" si="37">IF(AE55&gt;AE54,1,IF(AE55&lt;AE54,-1,0))</f>
        <v>0</v>
      </c>
      <c r="AT55" s="67" t="e">
        <f t="shared" ref="AT55" ca="1" si="38">IF(ABS(SUM(AS50:AS55))=6,AE55,NA())</f>
        <v>#N/A</v>
      </c>
      <c r="AU55" s="67">
        <f t="shared" ref="AU55" ca="1" si="39">IF(AE55&gt;AF55,1,IF(AE55&lt;AF55,-1,0))</f>
        <v>-1</v>
      </c>
      <c r="AV55" s="67">
        <f t="shared" ref="AV55" ca="1" si="40">IF(ABS(SUM(AU47:AU55))=9,AE55,NA())</f>
        <v>0</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C10" sqref="C10"/>
    </sheetView>
  </sheetViews>
  <sheetFormatPr defaultColWidth="9" defaultRowHeight="14.25" x14ac:dyDescent="0.2"/>
  <cols>
    <col min="1" max="1" width="17.25" style="52" customWidth="1"/>
    <col min="2" max="2" width="11.5" style="52" customWidth="1"/>
    <col min="3" max="19" width="9" style="52"/>
    <col min="20" max="20" width="9.75" style="52" bestFit="1" customWidth="1"/>
    <col min="21" max="16384" width="9" style="52"/>
  </cols>
  <sheetData>
    <row r="1" spans="1:20" x14ac:dyDescent="0.2">
      <c r="B1" s="53"/>
    </row>
    <row r="3" spans="1:20" ht="15" x14ac:dyDescent="0.25">
      <c r="A3" s="56" t="s">
        <v>185</v>
      </c>
    </row>
    <row r="4" spans="1:20" x14ac:dyDescent="0.2">
      <c r="A4" s="38" t="s">
        <v>268</v>
      </c>
    </row>
    <row r="5" spans="1:20" x14ac:dyDescent="0.2">
      <c r="A5" s="38" t="s">
        <v>269</v>
      </c>
    </row>
    <row r="7" spans="1:20" x14ac:dyDescent="0.2">
      <c r="A7" s="55" t="s">
        <v>147</v>
      </c>
      <c r="T7" s="58"/>
    </row>
    <row r="8" spans="1:20" ht="15" x14ac:dyDescent="0.25">
      <c r="A8" s="56" t="str">
        <f>'Planned background (hide)'!AA19&amp;" weeks"</f>
        <v>5 weeks</v>
      </c>
      <c r="T8" s="58"/>
    </row>
    <row r="10" spans="1:20" x14ac:dyDescent="0.2">
      <c r="A10" s="52" t="s">
        <v>195</v>
      </c>
      <c r="C10" s="211" t="s">
        <v>20</v>
      </c>
    </row>
    <row r="11" spans="1:20" x14ac:dyDescent="0.2">
      <c r="C11" s="57"/>
    </row>
    <row r="12" spans="1:20" x14ac:dyDescent="0.2">
      <c r="A12" s="52" t="s">
        <v>196</v>
      </c>
      <c r="C12" s="211" t="s">
        <v>22</v>
      </c>
    </row>
    <row r="27" spans="1:2" ht="15" x14ac:dyDescent="0.25">
      <c r="A27" s="56" t="s">
        <v>178</v>
      </c>
    </row>
    <row r="28" spans="1:2" x14ac:dyDescent="0.2">
      <c r="A28" s="40"/>
      <c r="B28" s="52" t="s">
        <v>175</v>
      </c>
    </row>
    <row r="29" spans="1:2" x14ac:dyDescent="0.2">
      <c r="A29" s="41"/>
      <c r="B29" s="52" t="s">
        <v>176</v>
      </c>
    </row>
    <row r="30" spans="1:2" x14ac:dyDescent="0.2">
      <c r="A30" s="42"/>
      <c r="B30" s="52" t="s">
        <v>197</v>
      </c>
    </row>
    <row r="31" spans="1:2" x14ac:dyDescent="0.2">
      <c r="A31" s="43"/>
      <c r="B31" s="52" t="s">
        <v>177</v>
      </c>
    </row>
    <row r="34" spans="4:4" x14ac:dyDescent="0.2">
      <c r="D34" s="61"/>
    </row>
    <row r="35" spans="4:4" x14ac:dyDescent="0.2">
      <c r="D35" s="61"/>
    </row>
  </sheetData>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866775</xdr:colOff>
                    <xdr:row>3</xdr:row>
                    <xdr:rowOff>171450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866775</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90" zoomScaleNormal="90" workbookViewId="0">
      <selection activeCell="I17" sqref="I17:I33"/>
    </sheetView>
  </sheetViews>
  <sheetFormatPr defaultRowHeight="14.25" x14ac:dyDescent="0.2"/>
  <cols>
    <col min="1" max="1" width="2.625" style="52" customWidth="1"/>
    <col min="2" max="2" width="20.625" customWidth="1"/>
    <col min="3" max="3" width="16.75" customWidth="1"/>
    <col min="4" max="4" width="13" bestFit="1" customWidth="1"/>
    <col min="5" max="5" width="7.125" customWidth="1"/>
    <col min="6" max="6" width="7.75" customWidth="1"/>
    <col min="7" max="7" width="7.75" style="67" hidden="1" customWidth="1"/>
    <col min="8" max="8" width="8.625" customWidth="1"/>
    <col min="9" max="9" width="10.5" customWidth="1"/>
    <col min="10" max="10" width="11.25" style="52" hidden="1" customWidth="1"/>
    <col min="11" max="11" width="9.75" style="72" hidden="1" customWidth="1"/>
    <col min="12" max="12" width="9" style="72" customWidth="1"/>
    <col min="13" max="13" width="3.25" style="72" customWidth="1"/>
    <col min="14" max="14" width="23.25" customWidth="1"/>
    <col min="15" max="15" width="16.25" bestFit="1" customWidth="1"/>
    <col min="16" max="16" width="13" customWidth="1"/>
    <col min="17" max="17" width="6.5" customWidth="1"/>
    <col min="18" max="18" width="8.25" customWidth="1"/>
    <col min="19" max="19" width="8.25" style="67" hidden="1" customWidth="1"/>
    <col min="20" max="20" width="8.75" customWidth="1"/>
    <col min="21" max="21" width="10.625" customWidth="1"/>
    <col min="22" max="64" width="9" style="52"/>
  </cols>
  <sheetData>
    <row r="1" spans="1:23" s="52" customFormat="1" x14ac:dyDescent="0.2">
      <c r="B1" s="72"/>
      <c r="C1" s="72"/>
      <c r="D1" s="72"/>
      <c r="E1" s="72"/>
      <c r="F1" s="72"/>
      <c r="G1" s="72"/>
      <c r="H1" s="72"/>
      <c r="I1" s="72"/>
      <c r="J1" s="72"/>
      <c r="K1" s="72"/>
      <c r="L1" s="72"/>
      <c r="M1" s="72"/>
      <c r="N1" s="72"/>
      <c r="O1" s="72"/>
      <c r="P1" s="72"/>
      <c r="Q1" s="72"/>
      <c r="R1" s="72"/>
      <c r="S1" s="72"/>
      <c r="T1" s="72"/>
      <c r="U1" s="72"/>
    </row>
    <row r="2" spans="1:23" s="52" customFormat="1" ht="15" x14ac:dyDescent="0.25">
      <c r="B2" s="105" t="s">
        <v>391</v>
      </c>
      <c r="C2" s="105"/>
      <c r="D2" s="72"/>
      <c r="E2" s="72"/>
      <c r="F2" s="72"/>
      <c r="G2" s="72"/>
      <c r="H2" s="72"/>
      <c r="I2" s="72"/>
      <c r="J2" s="72"/>
      <c r="K2" s="72"/>
      <c r="L2" s="72"/>
      <c r="M2" s="72"/>
      <c r="N2" s="385" t="s">
        <v>1298</v>
      </c>
      <c r="O2" s="72"/>
      <c r="P2" s="72"/>
      <c r="Q2" s="72"/>
      <c r="R2" s="72"/>
      <c r="S2" s="72"/>
      <c r="T2" s="72"/>
      <c r="U2" s="72"/>
    </row>
    <row r="3" spans="1:23" s="52" customFormat="1" x14ac:dyDescent="0.2">
      <c r="B3" s="72" t="s">
        <v>474</v>
      </c>
      <c r="C3" s="386"/>
      <c r="D3" s="72"/>
      <c r="F3" s="72"/>
      <c r="G3" s="72"/>
      <c r="H3" s="72"/>
      <c r="I3" s="72"/>
      <c r="J3" s="72"/>
      <c r="K3" s="72"/>
      <c r="L3" s="72"/>
      <c r="M3" s="72"/>
      <c r="N3" s="72"/>
      <c r="O3" s="72"/>
      <c r="P3" s="72"/>
      <c r="Q3" s="72"/>
      <c r="R3" s="72"/>
      <c r="S3" s="72"/>
      <c r="T3" s="72"/>
      <c r="U3" s="72"/>
    </row>
    <row r="4" spans="1:23" x14ac:dyDescent="0.2">
      <c r="B4" t="s">
        <v>437</v>
      </c>
      <c r="C4" s="269" t="str">
        <f>IF(C3="","",DATE(YEAR(C3)+1,MONTH(C3),DAY(C3))-1)</f>
        <v/>
      </c>
      <c r="D4" s="74"/>
      <c r="F4" s="72"/>
      <c r="G4" s="72"/>
      <c r="H4" s="72"/>
      <c r="I4" s="72"/>
      <c r="J4" s="67"/>
      <c r="K4" s="67"/>
      <c r="L4" s="67"/>
      <c r="M4" s="67"/>
      <c r="N4" s="72"/>
      <c r="O4" s="72"/>
      <c r="P4" s="72"/>
      <c r="Q4" s="72"/>
      <c r="R4" s="72"/>
      <c r="S4" s="72"/>
      <c r="T4" s="72"/>
      <c r="U4" s="72"/>
    </row>
    <row r="5" spans="1:23" s="52" customFormat="1" x14ac:dyDescent="0.2">
      <c r="D5" s="72"/>
      <c r="E5" s="72"/>
      <c r="F5" s="72"/>
      <c r="G5" s="72"/>
      <c r="H5" s="72"/>
      <c r="I5" s="72"/>
      <c r="J5" s="72"/>
      <c r="K5" s="72"/>
      <c r="L5" s="72"/>
      <c r="M5" s="72"/>
      <c r="N5" s="72"/>
      <c r="O5" s="72"/>
      <c r="P5" s="72"/>
      <c r="Q5" s="72"/>
      <c r="R5" s="72"/>
      <c r="S5" s="72"/>
      <c r="T5" s="72"/>
      <c r="U5" s="72"/>
    </row>
    <row r="6" spans="1:23" s="52" customFormat="1" x14ac:dyDescent="0.2">
      <c r="B6" s="116" t="s">
        <v>438</v>
      </c>
      <c r="C6" s="116" t="s">
        <v>439</v>
      </c>
      <c r="D6" s="72"/>
      <c r="E6" s="72"/>
      <c r="F6" s="72"/>
      <c r="G6" s="72"/>
      <c r="H6" s="72"/>
      <c r="I6" s="72"/>
      <c r="J6" s="72"/>
      <c r="K6" s="72"/>
      <c r="L6" s="72"/>
      <c r="M6" s="72"/>
      <c r="N6" s="72"/>
      <c r="O6" s="72"/>
      <c r="P6" s="72"/>
      <c r="Q6" s="72"/>
      <c r="R6" s="72"/>
      <c r="S6" s="72"/>
      <c r="T6" s="72"/>
      <c r="U6" s="72"/>
    </row>
    <row r="7" spans="1:23" s="52" customFormat="1" x14ac:dyDescent="0.2">
      <c r="B7" s="76"/>
      <c r="C7" s="76"/>
      <c r="D7" s="72"/>
      <c r="E7" s="72"/>
      <c r="F7" s="72"/>
      <c r="G7" s="72"/>
      <c r="H7" s="72"/>
      <c r="I7" s="72"/>
      <c r="J7" s="72"/>
      <c r="K7" s="72"/>
      <c r="L7" s="72"/>
      <c r="M7" s="72"/>
      <c r="N7" s="72"/>
      <c r="O7" s="72"/>
      <c r="P7" s="72"/>
      <c r="Q7" s="72"/>
      <c r="R7" s="72"/>
      <c r="S7" s="72"/>
      <c r="T7" s="72"/>
      <c r="U7" s="72"/>
    </row>
    <row r="8" spans="1:23" s="52" customFormat="1" x14ac:dyDescent="0.2">
      <c r="B8" s="75"/>
      <c r="C8" s="75"/>
      <c r="D8" s="72"/>
      <c r="E8" s="72"/>
      <c r="F8" s="72"/>
      <c r="G8" s="72"/>
      <c r="H8" s="72"/>
      <c r="I8" s="72"/>
      <c r="J8" s="72"/>
      <c r="K8" s="72"/>
      <c r="L8" s="72"/>
      <c r="M8" s="72"/>
      <c r="N8" s="72"/>
      <c r="O8" s="72"/>
      <c r="P8" s="72"/>
      <c r="Q8" s="72"/>
      <c r="R8" s="72"/>
      <c r="S8" s="72"/>
      <c r="T8" s="72"/>
      <c r="U8" s="72"/>
    </row>
    <row r="9" spans="1:23" hidden="1" x14ac:dyDescent="0.2">
      <c r="B9" s="117" t="s">
        <v>469</v>
      </c>
      <c r="C9" s="117" t="s">
        <v>476</v>
      </c>
      <c r="D9" s="72"/>
      <c r="E9" s="72"/>
      <c r="F9" s="72"/>
      <c r="G9" s="72"/>
      <c r="H9" s="72"/>
      <c r="I9" s="72"/>
      <c r="J9" s="67"/>
      <c r="K9" s="67"/>
      <c r="L9" s="67"/>
      <c r="M9" s="67"/>
      <c r="N9" s="72"/>
      <c r="O9" s="72"/>
      <c r="P9" s="72"/>
      <c r="Q9" s="72"/>
      <c r="R9" s="72"/>
      <c r="S9" s="72"/>
      <c r="T9" s="72"/>
      <c r="U9" s="72"/>
    </row>
    <row r="10" spans="1:23" hidden="1" x14ac:dyDescent="0.2">
      <c r="B10" s="69"/>
      <c r="C10" s="69"/>
      <c r="D10" s="72"/>
      <c r="E10" s="72"/>
      <c r="F10" s="72"/>
      <c r="G10" s="72"/>
      <c r="H10" s="72"/>
      <c r="I10" s="72"/>
      <c r="J10" s="67"/>
      <c r="K10" s="67"/>
      <c r="L10" s="67"/>
      <c r="M10" s="67"/>
      <c r="N10" s="72"/>
      <c r="O10" s="72"/>
      <c r="P10" s="72"/>
      <c r="Q10" s="72"/>
      <c r="R10" s="72"/>
      <c r="S10" s="72"/>
      <c r="T10" s="72"/>
      <c r="U10" s="72"/>
    </row>
    <row r="11" spans="1:23" s="52" customFormat="1" ht="15" x14ac:dyDescent="0.25">
      <c r="B11" s="168" t="s">
        <v>490</v>
      </c>
      <c r="C11" s="169" t="s">
        <v>19</v>
      </c>
      <c r="D11" s="226" t="str">
        <f ca="1">"On aggregate, 1 patient = "&amp;TEXT('Demand background (hide)'!$BN$16,"#.#")&amp;" "&amp;Setup!$I$17</f>
        <v>On aggregate, 1 patient = 1. Minutes</v>
      </c>
      <c r="E11" s="72"/>
      <c r="F11" s="72"/>
      <c r="G11" s="72"/>
      <c r="H11" s="72"/>
      <c r="I11" s="72"/>
      <c r="J11" s="72"/>
      <c r="K11" s="72"/>
      <c r="L11" s="72"/>
      <c r="M11" s="72"/>
      <c r="N11" s="72"/>
      <c r="O11" s="72"/>
      <c r="P11" s="72"/>
      <c r="Q11" s="72"/>
      <c r="R11" s="72"/>
      <c r="S11" s="72"/>
      <c r="T11" s="72"/>
      <c r="U11" s="72"/>
    </row>
    <row r="12" spans="1:23" s="52" customFormat="1" ht="15" x14ac:dyDescent="0.25">
      <c r="B12" s="56" t="s">
        <v>1294</v>
      </c>
      <c r="C12" s="382" t="s">
        <v>1302</v>
      </c>
      <c r="D12" s="77"/>
      <c r="E12" s="77"/>
      <c r="F12" s="77"/>
      <c r="G12" s="77"/>
      <c r="H12" s="77"/>
      <c r="I12" s="77"/>
      <c r="J12" s="75"/>
      <c r="K12" s="75"/>
      <c r="L12" s="75"/>
      <c r="M12" s="75"/>
      <c r="N12" s="77"/>
      <c r="O12" s="77"/>
      <c r="P12" s="77"/>
      <c r="Q12" s="77"/>
      <c r="R12" s="77"/>
      <c r="S12" s="77"/>
      <c r="T12" s="77"/>
      <c r="U12" s="77"/>
    </row>
    <row r="13" spans="1:23" s="52" customFormat="1" ht="14.25" customHeight="1" x14ac:dyDescent="0.25">
      <c r="B13" s="419" t="s">
        <v>440</v>
      </c>
      <c r="C13" s="419"/>
      <c r="D13" s="73"/>
      <c r="E13" s="73"/>
      <c r="F13" s="73"/>
      <c r="G13" s="73"/>
      <c r="H13" s="73"/>
      <c r="I13" s="73"/>
      <c r="J13" s="72"/>
      <c r="K13" s="72"/>
      <c r="L13" s="72"/>
      <c r="M13" s="72"/>
      <c r="N13" s="72"/>
      <c r="O13" s="72"/>
      <c r="P13" s="72"/>
      <c r="Q13" s="72"/>
      <c r="R13" s="72"/>
      <c r="S13" s="72"/>
      <c r="T13" s="72"/>
      <c r="U13" s="72"/>
    </row>
    <row r="14" spans="1:23" x14ac:dyDescent="0.2">
      <c r="B14" s="118" t="s">
        <v>434</v>
      </c>
      <c r="C14" s="75"/>
      <c r="D14" s="72"/>
      <c r="E14" s="72"/>
      <c r="F14" s="72"/>
      <c r="G14" s="72"/>
      <c r="H14" s="72"/>
      <c r="I14" s="72"/>
      <c r="J14" s="67"/>
      <c r="K14" s="67"/>
      <c r="L14" s="67"/>
      <c r="M14" s="368"/>
      <c r="N14" s="119" t="s">
        <v>436</v>
      </c>
      <c r="O14" s="72"/>
      <c r="P14" s="72"/>
      <c r="Q14" s="72"/>
      <c r="R14" s="72"/>
      <c r="S14" s="72"/>
      <c r="T14" s="72"/>
      <c r="U14" s="72"/>
    </row>
    <row r="15" spans="1:23" x14ac:dyDescent="0.2">
      <c r="A15" s="226"/>
      <c r="B15" s="72"/>
      <c r="C15" s="72"/>
      <c r="D15" s="72"/>
      <c r="E15" s="72"/>
      <c r="F15" s="72"/>
      <c r="G15" s="71"/>
      <c r="H15" s="225">
        <f>SUMIF(L17:L116,"x",H17:H116)</f>
        <v>0</v>
      </c>
      <c r="I15" s="225">
        <f>H15/52</f>
        <v>0</v>
      </c>
      <c r="J15" s="67"/>
      <c r="K15" s="67"/>
      <c r="L15" s="67"/>
      <c r="M15" s="368"/>
      <c r="N15" s="72"/>
      <c r="O15" s="72"/>
      <c r="P15" s="72"/>
      <c r="Q15" s="72"/>
      <c r="R15" s="119" t="s">
        <v>255</v>
      </c>
      <c r="S15" s="119"/>
      <c r="T15" s="224">
        <f>SUMIF(V17:V116,"x",T17:T116)</f>
        <v>0</v>
      </c>
      <c r="U15" s="224">
        <f>SUM(U17:U116)</f>
        <v>0</v>
      </c>
      <c r="W15" s="72"/>
    </row>
    <row r="16" spans="1:23" ht="44.25" customHeight="1" x14ac:dyDescent="0.2">
      <c r="A16" s="293">
        <f>MAX(A17:A116)</f>
        <v>0</v>
      </c>
      <c r="B16" s="295" t="s">
        <v>512</v>
      </c>
      <c r="C16" s="295" t="s">
        <v>513</v>
      </c>
      <c r="D16" s="295" t="s">
        <v>514</v>
      </c>
      <c r="E16" s="295" t="s">
        <v>253</v>
      </c>
      <c r="F16" s="295" t="str">
        <f>C11&amp;" Per Clinic"</f>
        <v>Patients Per Clinic</v>
      </c>
      <c r="G16" s="295" t="s">
        <v>441</v>
      </c>
      <c r="H16" s="295" t="str">
        <f>"Total 
("&amp;$C$11&amp;")"</f>
        <v>Total 
(Patients)</v>
      </c>
      <c r="I16" s="295" t="s">
        <v>254</v>
      </c>
      <c r="J16" s="67"/>
      <c r="K16" s="67"/>
      <c r="L16" s="295" t="s">
        <v>1242</v>
      </c>
      <c r="M16" s="294">
        <f>MAX(M17:M116)</f>
        <v>0</v>
      </c>
      <c r="N16" s="296" t="s">
        <v>512</v>
      </c>
      <c r="O16" s="296" t="s">
        <v>513</v>
      </c>
      <c r="P16" s="296" t="s">
        <v>514</v>
      </c>
      <c r="Q16" s="296" t="s">
        <v>253</v>
      </c>
      <c r="R16" s="296" t="str">
        <f>C11&amp;" Per Clinic"</f>
        <v>Patients Per Clinic</v>
      </c>
      <c r="S16" s="296" t="s">
        <v>441</v>
      </c>
      <c r="T16" s="296" t="str">
        <f>"Total 
("&amp;C11&amp;")"</f>
        <v>Total 
(Patients)</v>
      </c>
      <c r="U16" s="296" t="s">
        <v>254</v>
      </c>
      <c r="V16" s="312" t="s">
        <v>1242</v>
      </c>
      <c r="W16" s="72"/>
    </row>
    <row r="17" spans="1:23" x14ac:dyDescent="0.2">
      <c r="A17" s="293">
        <f>IF(B17&lt;&gt;"",ROW(A1),0)</f>
        <v>0</v>
      </c>
      <c r="B17" s="163"/>
      <c r="C17" s="163"/>
      <c r="D17" s="163"/>
      <c r="E17" s="175"/>
      <c r="F17" s="175"/>
      <c r="G17" s="130"/>
      <c r="H17" s="222" t="str">
        <f>IF(ROW(A1)&lt;=$A$16,F17*E17,"")</f>
        <v/>
      </c>
      <c r="I17" s="299" t="str">
        <f>IFERROR(H17/52,"")</f>
        <v/>
      </c>
      <c r="J17" s="67"/>
      <c r="K17" s="67"/>
      <c r="L17" s="361" t="s">
        <v>1237</v>
      </c>
      <c r="M17" s="294">
        <f>IF(N17&lt;&gt;"",ROW(A1),0)</f>
        <v>0</v>
      </c>
      <c r="N17" s="176"/>
      <c r="O17" s="176"/>
      <c r="P17" s="176"/>
      <c r="Q17" s="177"/>
      <c r="R17" s="177"/>
      <c r="S17" s="131"/>
      <c r="T17" s="223" t="str">
        <f>IF(ROW(A1)&lt;=$M$16,R17*Q17,"")</f>
        <v/>
      </c>
      <c r="U17" s="300" t="str">
        <f>IFERROR(T17/52,"")</f>
        <v/>
      </c>
      <c r="V17" s="362" t="s">
        <v>1237</v>
      </c>
      <c r="W17" s="72"/>
    </row>
    <row r="18" spans="1:23" x14ac:dyDescent="0.2">
      <c r="A18" s="293">
        <f t="shared" ref="A18:A81" si="0">IF(B18&lt;&gt;"",ROW(A2),0)</f>
        <v>0</v>
      </c>
      <c r="B18" s="163"/>
      <c r="C18" s="163"/>
      <c r="D18" s="163"/>
      <c r="E18" s="175"/>
      <c r="F18" s="175"/>
      <c r="G18" s="130"/>
      <c r="H18" s="222" t="str">
        <f t="shared" ref="H18:H81" si="1">IF(ROW(A2)&lt;=$A$16,F18*E18,"")</f>
        <v/>
      </c>
      <c r="I18" s="299" t="str">
        <f t="shared" ref="I18:I81" si="2">IFERROR(H18/52,"")</f>
        <v/>
      </c>
      <c r="J18" s="67"/>
      <c r="K18" s="67"/>
      <c r="L18" s="361" t="s">
        <v>1237</v>
      </c>
      <c r="M18" s="294">
        <f t="shared" ref="M18:M81" si="3">IF(N18&lt;&gt;"",ROW(A2),0)</f>
        <v>0</v>
      </c>
      <c r="N18" s="176"/>
      <c r="O18" s="163"/>
      <c r="P18" s="163"/>
      <c r="Q18" s="175"/>
      <c r="R18" s="175"/>
      <c r="S18" s="130"/>
      <c r="T18" s="223" t="str">
        <f t="shared" ref="T18:T81" si="4">IF(ROW(A2)&lt;=$M$16,R18*Q18,"")</f>
        <v/>
      </c>
      <c r="U18" s="299" t="str">
        <f t="shared" ref="U18:U81" si="5">IFERROR(T18/52,"")</f>
        <v/>
      </c>
      <c r="V18" s="362" t="s">
        <v>1237</v>
      </c>
      <c r="W18" s="72"/>
    </row>
    <row r="19" spans="1:23" x14ac:dyDescent="0.2">
      <c r="A19" s="293">
        <f t="shared" si="0"/>
        <v>0</v>
      </c>
      <c r="B19" s="163"/>
      <c r="C19" s="163"/>
      <c r="D19" s="163"/>
      <c r="E19" s="175"/>
      <c r="F19" s="175"/>
      <c r="G19" s="130"/>
      <c r="H19" s="222" t="str">
        <f t="shared" si="1"/>
        <v/>
      </c>
      <c r="I19" s="299" t="str">
        <f t="shared" si="2"/>
        <v/>
      </c>
      <c r="J19" s="67"/>
      <c r="K19" s="67"/>
      <c r="L19" s="361" t="s">
        <v>1237</v>
      </c>
      <c r="M19" s="294">
        <f t="shared" si="3"/>
        <v>0</v>
      </c>
      <c r="N19" s="176"/>
      <c r="O19" s="163"/>
      <c r="P19" s="163"/>
      <c r="Q19" s="175"/>
      <c r="R19" s="175"/>
      <c r="S19" s="130"/>
      <c r="T19" s="223" t="str">
        <f t="shared" si="4"/>
        <v/>
      </c>
      <c r="U19" s="222" t="str">
        <f t="shared" si="5"/>
        <v/>
      </c>
      <c r="V19" s="362" t="s">
        <v>1237</v>
      </c>
      <c r="W19" s="72"/>
    </row>
    <row r="20" spans="1:23" x14ac:dyDescent="0.2">
      <c r="A20" s="293">
        <f t="shared" si="0"/>
        <v>0</v>
      </c>
      <c r="B20" s="163"/>
      <c r="C20" s="163"/>
      <c r="D20" s="163"/>
      <c r="E20" s="175"/>
      <c r="F20" s="175"/>
      <c r="G20" s="130"/>
      <c r="H20" s="222" t="str">
        <f t="shared" si="1"/>
        <v/>
      </c>
      <c r="I20" s="299" t="str">
        <f t="shared" si="2"/>
        <v/>
      </c>
      <c r="J20" s="67"/>
      <c r="K20" s="67"/>
      <c r="L20" s="361" t="s">
        <v>1237</v>
      </c>
      <c r="M20" s="294">
        <f t="shared" si="3"/>
        <v>0</v>
      </c>
      <c r="N20" s="176"/>
      <c r="O20" s="163"/>
      <c r="P20" s="163"/>
      <c r="Q20" s="175"/>
      <c r="R20" s="175"/>
      <c r="S20" s="130"/>
      <c r="T20" s="223" t="str">
        <f t="shared" si="4"/>
        <v/>
      </c>
      <c r="U20" s="222" t="str">
        <f t="shared" si="5"/>
        <v/>
      </c>
      <c r="V20" s="362" t="s">
        <v>1237</v>
      </c>
      <c r="W20" s="72"/>
    </row>
    <row r="21" spans="1:23" x14ac:dyDescent="0.2">
      <c r="A21" s="293">
        <f t="shared" si="0"/>
        <v>0</v>
      </c>
      <c r="B21" s="163"/>
      <c r="C21" s="163"/>
      <c r="D21" s="163"/>
      <c r="E21" s="175"/>
      <c r="F21" s="175"/>
      <c r="G21" s="130"/>
      <c r="H21" s="222" t="str">
        <f t="shared" si="1"/>
        <v/>
      </c>
      <c r="I21" s="222" t="str">
        <f t="shared" si="2"/>
        <v/>
      </c>
      <c r="J21" s="67"/>
      <c r="K21" s="67"/>
      <c r="L21" s="361" t="s">
        <v>1237</v>
      </c>
      <c r="M21" s="294">
        <f t="shared" si="3"/>
        <v>0</v>
      </c>
      <c r="N21" s="176"/>
      <c r="O21" s="163"/>
      <c r="P21" s="163"/>
      <c r="Q21" s="175"/>
      <c r="R21" s="175"/>
      <c r="S21" s="130"/>
      <c r="T21" s="223" t="str">
        <f t="shared" si="4"/>
        <v/>
      </c>
      <c r="U21" s="222" t="str">
        <f t="shared" si="5"/>
        <v/>
      </c>
      <c r="V21" s="362" t="s">
        <v>1237</v>
      </c>
      <c r="W21" s="72"/>
    </row>
    <row r="22" spans="1:23" x14ac:dyDescent="0.2">
      <c r="A22" s="293">
        <f t="shared" si="0"/>
        <v>0</v>
      </c>
      <c r="B22" s="163"/>
      <c r="C22" s="163"/>
      <c r="D22" s="163"/>
      <c r="E22" s="175"/>
      <c r="F22" s="175"/>
      <c r="G22" s="130"/>
      <c r="H22" s="222" t="str">
        <f t="shared" si="1"/>
        <v/>
      </c>
      <c r="I22" s="222" t="str">
        <f t="shared" si="2"/>
        <v/>
      </c>
      <c r="J22" s="67"/>
      <c r="K22" s="67"/>
      <c r="L22" s="361" t="s">
        <v>1237</v>
      </c>
      <c r="M22" s="294">
        <f t="shared" si="3"/>
        <v>0</v>
      </c>
      <c r="N22" s="176"/>
      <c r="O22" s="163"/>
      <c r="P22" s="163"/>
      <c r="Q22" s="175"/>
      <c r="R22" s="175"/>
      <c r="S22" s="130"/>
      <c r="T22" s="223" t="str">
        <f t="shared" si="4"/>
        <v/>
      </c>
      <c r="U22" s="222" t="str">
        <f t="shared" si="5"/>
        <v/>
      </c>
      <c r="V22" s="362" t="s">
        <v>1237</v>
      </c>
      <c r="W22" s="72"/>
    </row>
    <row r="23" spans="1:23" x14ac:dyDescent="0.2">
      <c r="A23" s="293">
        <f t="shared" si="0"/>
        <v>0</v>
      </c>
      <c r="B23" s="163"/>
      <c r="C23" s="163"/>
      <c r="D23" s="163"/>
      <c r="E23" s="175"/>
      <c r="F23" s="175"/>
      <c r="G23" s="130"/>
      <c r="H23" s="222" t="str">
        <f t="shared" si="1"/>
        <v/>
      </c>
      <c r="I23" s="222" t="str">
        <f t="shared" si="2"/>
        <v/>
      </c>
      <c r="J23" s="67"/>
      <c r="K23" s="67"/>
      <c r="L23" s="361" t="s">
        <v>1237</v>
      </c>
      <c r="M23" s="294">
        <f t="shared" si="3"/>
        <v>0</v>
      </c>
      <c r="N23" s="176"/>
      <c r="O23" s="163"/>
      <c r="P23" s="163"/>
      <c r="Q23" s="175"/>
      <c r="R23" s="175"/>
      <c r="S23" s="130"/>
      <c r="T23" s="223" t="str">
        <f t="shared" si="4"/>
        <v/>
      </c>
      <c r="U23" s="222" t="str">
        <f t="shared" si="5"/>
        <v/>
      </c>
      <c r="V23" s="362" t="s">
        <v>1237</v>
      </c>
      <c r="W23" s="72"/>
    </row>
    <row r="24" spans="1:23" x14ac:dyDescent="0.2">
      <c r="A24" s="293">
        <f t="shared" si="0"/>
        <v>0</v>
      </c>
      <c r="B24" s="163"/>
      <c r="C24" s="163"/>
      <c r="D24" s="163"/>
      <c r="E24" s="175"/>
      <c r="F24" s="175"/>
      <c r="G24" s="130"/>
      <c r="H24" s="222" t="str">
        <f t="shared" si="1"/>
        <v/>
      </c>
      <c r="I24" s="222" t="str">
        <f t="shared" si="2"/>
        <v/>
      </c>
      <c r="J24" s="67"/>
      <c r="K24" s="67"/>
      <c r="L24" s="361" t="s">
        <v>1237</v>
      </c>
      <c r="M24" s="294">
        <f t="shared" si="3"/>
        <v>0</v>
      </c>
      <c r="N24" s="176"/>
      <c r="O24" s="163"/>
      <c r="P24" s="163"/>
      <c r="Q24" s="175"/>
      <c r="R24" s="175"/>
      <c r="S24" s="130"/>
      <c r="T24" s="223" t="str">
        <f t="shared" si="4"/>
        <v/>
      </c>
      <c r="U24" s="222" t="str">
        <f t="shared" si="5"/>
        <v/>
      </c>
      <c r="V24" s="362" t="s">
        <v>1237</v>
      </c>
      <c r="W24" s="72"/>
    </row>
    <row r="25" spans="1:23" x14ac:dyDescent="0.2">
      <c r="A25" s="293">
        <f t="shared" si="0"/>
        <v>0</v>
      </c>
      <c r="B25" s="163"/>
      <c r="C25" s="163"/>
      <c r="D25" s="163"/>
      <c r="E25" s="175"/>
      <c r="F25" s="175"/>
      <c r="G25" s="130"/>
      <c r="H25" s="222" t="str">
        <f t="shared" si="1"/>
        <v/>
      </c>
      <c r="I25" s="222" t="str">
        <f t="shared" si="2"/>
        <v/>
      </c>
      <c r="J25" s="67"/>
      <c r="K25" s="67"/>
      <c r="L25" s="361" t="s">
        <v>1237</v>
      </c>
      <c r="M25" s="294">
        <f t="shared" si="3"/>
        <v>0</v>
      </c>
      <c r="N25" s="176"/>
      <c r="O25" s="163"/>
      <c r="P25" s="163"/>
      <c r="Q25" s="175"/>
      <c r="R25" s="175"/>
      <c r="S25" s="130"/>
      <c r="T25" s="223" t="str">
        <f t="shared" si="4"/>
        <v/>
      </c>
      <c r="U25" s="222" t="str">
        <f t="shared" si="5"/>
        <v/>
      </c>
      <c r="V25" s="362" t="s">
        <v>1237</v>
      </c>
      <c r="W25" s="72"/>
    </row>
    <row r="26" spans="1:23" x14ac:dyDescent="0.2">
      <c r="A26" s="293">
        <f t="shared" si="0"/>
        <v>0</v>
      </c>
      <c r="B26" s="163"/>
      <c r="C26" s="163"/>
      <c r="D26" s="163"/>
      <c r="E26" s="175"/>
      <c r="F26" s="175"/>
      <c r="G26" s="130"/>
      <c r="H26" s="222" t="str">
        <f t="shared" si="1"/>
        <v/>
      </c>
      <c r="I26" s="222" t="str">
        <f t="shared" si="2"/>
        <v/>
      </c>
      <c r="J26" s="67"/>
      <c r="K26" s="67"/>
      <c r="L26" s="361" t="s">
        <v>1237</v>
      </c>
      <c r="M26" s="294">
        <f t="shared" si="3"/>
        <v>0</v>
      </c>
      <c r="N26" s="176"/>
      <c r="O26" s="163"/>
      <c r="P26" s="163"/>
      <c r="Q26" s="175"/>
      <c r="R26" s="175"/>
      <c r="S26" s="130"/>
      <c r="T26" s="223" t="str">
        <f t="shared" si="4"/>
        <v/>
      </c>
      <c r="U26" s="222" t="str">
        <f t="shared" si="5"/>
        <v/>
      </c>
      <c r="V26" s="362" t="s">
        <v>1237</v>
      </c>
      <c r="W26" s="72"/>
    </row>
    <row r="27" spans="1:23" x14ac:dyDescent="0.2">
      <c r="A27" s="293">
        <f t="shared" si="0"/>
        <v>0</v>
      </c>
      <c r="B27" s="163"/>
      <c r="C27" s="163"/>
      <c r="D27" s="163"/>
      <c r="E27" s="175"/>
      <c r="F27" s="175"/>
      <c r="G27" s="130"/>
      <c r="H27" s="222" t="str">
        <f t="shared" si="1"/>
        <v/>
      </c>
      <c r="I27" s="222" t="str">
        <f t="shared" si="2"/>
        <v/>
      </c>
      <c r="J27" s="67"/>
      <c r="K27" s="67"/>
      <c r="L27" s="361" t="s">
        <v>1237</v>
      </c>
      <c r="M27" s="294">
        <f t="shared" si="3"/>
        <v>0</v>
      </c>
      <c r="N27" s="176"/>
      <c r="O27" s="163"/>
      <c r="P27" s="163"/>
      <c r="Q27" s="175"/>
      <c r="R27" s="175"/>
      <c r="S27" s="130"/>
      <c r="T27" s="223" t="str">
        <f t="shared" si="4"/>
        <v/>
      </c>
      <c r="U27" s="222" t="str">
        <f t="shared" si="5"/>
        <v/>
      </c>
      <c r="V27" s="362" t="s">
        <v>1237</v>
      </c>
      <c r="W27" s="72"/>
    </row>
    <row r="28" spans="1:23" x14ac:dyDescent="0.2">
      <c r="A28" s="293">
        <f t="shared" si="0"/>
        <v>0</v>
      </c>
      <c r="B28" s="163"/>
      <c r="C28" s="163"/>
      <c r="D28" s="163"/>
      <c r="E28" s="175"/>
      <c r="F28" s="175"/>
      <c r="G28" s="130"/>
      <c r="H28" s="222" t="str">
        <f t="shared" si="1"/>
        <v/>
      </c>
      <c r="I28" s="222" t="str">
        <f t="shared" si="2"/>
        <v/>
      </c>
      <c r="J28" s="67"/>
      <c r="K28" s="67"/>
      <c r="L28" s="361" t="s">
        <v>1237</v>
      </c>
      <c r="M28" s="294">
        <f t="shared" si="3"/>
        <v>0</v>
      </c>
      <c r="N28" s="176"/>
      <c r="O28" s="163"/>
      <c r="P28" s="163"/>
      <c r="Q28" s="175"/>
      <c r="R28" s="175"/>
      <c r="S28" s="130"/>
      <c r="T28" s="223" t="str">
        <f t="shared" si="4"/>
        <v/>
      </c>
      <c r="U28" s="222" t="str">
        <f t="shared" si="5"/>
        <v/>
      </c>
      <c r="V28" s="362" t="s">
        <v>1237</v>
      </c>
      <c r="W28" s="72"/>
    </row>
    <row r="29" spans="1:23" x14ac:dyDescent="0.2">
      <c r="A29" s="293">
        <f t="shared" si="0"/>
        <v>0</v>
      </c>
      <c r="B29" s="163"/>
      <c r="C29" s="163"/>
      <c r="D29" s="163"/>
      <c r="E29" s="175"/>
      <c r="F29" s="175"/>
      <c r="G29" s="130"/>
      <c r="H29" s="222" t="str">
        <f t="shared" si="1"/>
        <v/>
      </c>
      <c r="I29" s="222" t="str">
        <f t="shared" si="2"/>
        <v/>
      </c>
      <c r="J29" s="67"/>
      <c r="K29" s="67"/>
      <c r="L29" s="361" t="s">
        <v>1237</v>
      </c>
      <c r="M29" s="294">
        <f t="shared" si="3"/>
        <v>0</v>
      </c>
      <c r="N29" s="176"/>
      <c r="O29" s="163"/>
      <c r="P29" s="163"/>
      <c r="Q29" s="175"/>
      <c r="R29" s="175"/>
      <c r="S29" s="130"/>
      <c r="T29" s="223" t="str">
        <f t="shared" si="4"/>
        <v/>
      </c>
      <c r="U29" s="222" t="str">
        <f t="shared" si="5"/>
        <v/>
      </c>
      <c r="V29" s="362" t="s">
        <v>1237</v>
      </c>
      <c r="W29" s="72"/>
    </row>
    <row r="30" spans="1:23" x14ac:dyDescent="0.2">
      <c r="A30" s="293">
        <f t="shared" si="0"/>
        <v>0</v>
      </c>
      <c r="B30" s="163"/>
      <c r="C30" s="163"/>
      <c r="D30" s="163"/>
      <c r="E30" s="175"/>
      <c r="F30" s="175"/>
      <c r="G30" s="130"/>
      <c r="H30" s="222" t="str">
        <f t="shared" si="1"/>
        <v/>
      </c>
      <c r="I30" s="222" t="str">
        <f t="shared" si="2"/>
        <v/>
      </c>
      <c r="J30" s="67"/>
      <c r="K30" s="67"/>
      <c r="L30" s="361" t="s">
        <v>1237</v>
      </c>
      <c r="M30" s="294">
        <f t="shared" si="3"/>
        <v>0</v>
      </c>
      <c r="N30" s="176"/>
      <c r="O30" s="163"/>
      <c r="P30" s="163"/>
      <c r="Q30" s="175"/>
      <c r="R30" s="175"/>
      <c r="S30" s="130"/>
      <c r="T30" s="223" t="str">
        <f t="shared" si="4"/>
        <v/>
      </c>
      <c r="U30" s="222" t="str">
        <f t="shared" si="5"/>
        <v/>
      </c>
      <c r="V30" s="362" t="s">
        <v>1237</v>
      </c>
      <c r="W30" s="72"/>
    </row>
    <row r="31" spans="1:23" x14ac:dyDescent="0.2">
      <c r="A31" s="293">
        <f t="shared" si="0"/>
        <v>0</v>
      </c>
      <c r="B31" s="163"/>
      <c r="C31" s="163"/>
      <c r="D31" s="163"/>
      <c r="E31" s="175"/>
      <c r="F31" s="175"/>
      <c r="G31" s="130"/>
      <c r="H31" s="222" t="str">
        <f t="shared" si="1"/>
        <v/>
      </c>
      <c r="I31" s="222" t="str">
        <f t="shared" si="2"/>
        <v/>
      </c>
      <c r="J31" s="67"/>
      <c r="K31" s="67"/>
      <c r="L31" s="361" t="s">
        <v>1237</v>
      </c>
      <c r="M31" s="294">
        <f t="shared" si="3"/>
        <v>0</v>
      </c>
      <c r="N31" s="176"/>
      <c r="O31" s="163"/>
      <c r="P31" s="163"/>
      <c r="Q31" s="175"/>
      <c r="R31" s="175"/>
      <c r="S31" s="130"/>
      <c r="T31" s="223" t="str">
        <f t="shared" si="4"/>
        <v/>
      </c>
      <c r="U31" s="222" t="str">
        <f t="shared" si="5"/>
        <v/>
      </c>
      <c r="V31" s="362" t="s">
        <v>1237</v>
      </c>
      <c r="W31" s="72"/>
    </row>
    <row r="32" spans="1:23" x14ac:dyDescent="0.2">
      <c r="A32" s="293">
        <f t="shared" si="0"/>
        <v>0</v>
      </c>
      <c r="B32" s="163"/>
      <c r="C32" s="163"/>
      <c r="D32" s="163"/>
      <c r="E32" s="175"/>
      <c r="F32" s="175"/>
      <c r="G32" s="130"/>
      <c r="H32" s="222" t="str">
        <f t="shared" si="1"/>
        <v/>
      </c>
      <c r="I32" s="222" t="str">
        <f t="shared" si="2"/>
        <v/>
      </c>
      <c r="J32" s="67"/>
      <c r="K32" s="67"/>
      <c r="L32" s="361" t="s">
        <v>1237</v>
      </c>
      <c r="M32" s="294">
        <f t="shared" si="3"/>
        <v>0</v>
      </c>
      <c r="N32" s="176"/>
      <c r="O32" s="163"/>
      <c r="P32" s="163"/>
      <c r="Q32" s="175"/>
      <c r="R32" s="175"/>
      <c r="S32" s="130"/>
      <c r="T32" s="223" t="str">
        <f t="shared" si="4"/>
        <v/>
      </c>
      <c r="U32" s="222" t="str">
        <f t="shared" si="5"/>
        <v/>
      </c>
      <c r="V32" s="362" t="s">
        <v>1237</v>
      </c>
      <c r="W32" s="72"/>
    </row>
    <row r="33" spans="1:23" x14ac:dyDescent="0.2">
      <c r="A33" s="293">
        <f t="shared" si="0"/>
        <v>0</v>
      </c>
      <c r="B33" s="163"/>
      <c r="C33" s="163"/>
      <c r="D33" s="163"/>
      <c r="E33" s="175"/>
      <c r="F33" s="175"/>
      <c r="G33" s="130"/>
      <c r="H33" s="222" t="str">
        <f t="shared" si="1"/>
        <v/>
      </c>
      <c r="I33" s="222" t="str">
        <f t="shared" si="2"/>
        <v/>
      </c>
      <c r="J33" s="67"/>
      <c r="K33" s="67"/>
      <c r="L33" s="361" t="s">
        <v>1237</v>
      </c>
      <c r="M33" s="294">
        <f t="shared" si="3"/>
        <v>0</v>
      </c>
      <c r="N33" s="176"/>
      <c r="O33" s="163"/>
      <c r="P33" s="163"/>
      <c r="Q33" s="175"/>
      <c r="R33" s="175"/>
      <c r="S33" s="130"/>
      <c r="T33" s="223" t="str">
        <f t="shared" si="4"/>
        <v/>
      </c>
      <c r="U33" s="222" t="str">
        <f t="shared" si="5"/>
        <v/>
      </c>
      <c r="V33" s="362" t="s">
        <v>1237</v>
      </c>
      <c r="W33" s="72"/>
    </row>
    <row r="34" spans="1:23" x14ac:dyDescent="0.2">
      <c r="A34" s="293">
        <f t="shared" si="0"/>
        <v>0</v>
      </c>
      <c r="B34" s="163"/>
      <c r="C34" s="163"/>
      <c r="D34" s="163"/>
      <c r="E34" s="175"/>
      <c r="F34" s="175"/>
      <c r="G34" s="130"/>
      <c r="H34" s="222" t="str">
        <f t="shared" si="1"/>
        <v/>
      </c>
      <c r="I34" s="222" t="str">
        <f t="shared" si="2"/>
        <v/>
      </c>
      <c r="J34" s="67"/>
      <c r="K34" s="67"/>
      <c r="L34" s="361" t="s">
        <v>1237</v>
      </c>
      <c r="M34" s="294">
        <f t="shared" si="3"/>
        <v>0</v>
      </c>
      <c r="N34" s="176"/>
      <c r="O34" s="163"/>
      <c r="P34" s="163"/>
      <c r="Q34" s="175"/>
      <c r="R34" s="175"/>
      <c r="S34" s="130"/>
      <c r="T34" s="223" t="str">
        <f t="shared" si="4"/>
        <v/>
      </c>
      <c r="U34" s="222" t="str">
        <f t="shared" si="5"/>
        <v/>
      </c>
      <c r="V34" s="362" t="s">
        <v>1237</v>
      </c>
      <c r="W34" s="72"/>
    </row>
    <row r="35" spans="1:23" x14ac:dyDescent="0.2">
      <c r="A35" s="293">
        <f t="shared" si="0"/>
        <v>0</v>
      </c>
      <c r="B35" s="163"/>
      <c r="C35" s="163"/>
      <c r="D35" s="163"/>
      <c r="E35" s="175"/>
      <c r="F35" s="175"/>
      <c r="G35" s="130"/>
      <c r="H35" s="222" t="str">
        <f t="shared" si="1"/>
        <v/>
      </c>
      <c r="I35" s="222" t="str">
        <f t="shared" si="2"/>
        <v/>
      </c>
      <c r="J35" s="67"/>
      <c r="K35" s="67"/>
      <c r="L35" s="361" t="s">
        <v>1237</v>
      </c>
      <c r="M35" s="294">
        <f t="shared" si="3"/>
        <v>0</v>
      </c>
      <c r="N35" s="176"/>
      <c r="O35" s="163"/>
      <c r="P35" s="163"/>
      <c r="Q35" s="175"/>
      <c r="R35" s="175"/>
      <c r="S35" s="130"/>
      <c r="T35" s="223" t="str">
        <f t="shared" si="4"/>
        <v/>
      </c>
      <c r="U35" s="222" t="str">
        <f t="shared" si="5"/>
        <v/>
      </c>
      <c r="V35" s="362" t="s">
        <v>1237</v>
      </c>
      <c r="W35" s="72"/>
    </row>
    <row r="36" spans="1:23" x14ac:dyDescent="0.2">
      <c r="A36" s="293">
        <f t="shared" si="0"/>
        <v>0</v>
      </c>
      <c r="B36" s="163"/>
      <c r="C36" s="163"/>
      <c r="D36" s="163"/>
      <c r="E36" s="175"/>
      <c r="F36" s="175"/>
      <c r="G36" s="130"/>
      <c r="H36" s="222" t="str">
        <f t="shared" si="1"/>
        <v/>
      </c>
      <c r="I36" s="222" t="str">
        <f t="shared" si="2"/>
        <v/>
      </c>
      <c r="J36" s="67"/>
      <c r="K36" s="67"/>
      <c r="L36" s="361" t="s">
        <v>1237</v>
      </c>
      <c r="M36" s="294">
        <f t="shared" si="3"/>
        <v>0</v>
      </c>
      <c r="N36" s="176"/>
      <c r="O36" s="163"/>
      <c r="P36" s="163"/>
      <c r="Q36" s="175"/>
      <c r="R36" s="175"/>
      <c r="S36" s="130"/>
      <c r="T36" s="223" t="str">
        <f t="shared" si="4"/>
        <v/>
      </c>
      <c r="U36" s="222" t="str">
        <f t="shared" si="5"/>
        <v/>
      </c>
      <c r="V36" s="362" t="s">
        <v>1237</v>
      </c>
      <c r="W36" s="72"/>
    </row>
    <row r="37" spans="1:23" x14ac:dyDescent="0.2">
      <c r="A37" s="293">
        <f t="shared" si="0"/>
        <v>0</v>
      </c>
      <c r="B37" s="163"/>
      <c r="C37" s="163"/>
      <c r="D37" s="163"/>
      <c r="E37" s="175"/>
      <c r="F37" s="175"/>
      <c r="G37" s="130"/>
      <c r="H37" s="222" t="str">
        <f t="shared" si="1"/>
        <v/>
      </c>
      <c r="I37" s="222" t="str">
        <f t="shared" si="2"/>
        <v/>
      </c>
      <c r="J37" s="67"/>
      <c r="K37" s="67"/>
      <c r="L37" s="361" t="s">
        <v>1237</v>
      </c>
      <c r="M37" s="294">
        <f t="shared" si="3"/>
        <v>0</v>
      </c>
      <c r="N37" s="176"/>
      <c r="O37" s="163"/>
      <c r="P37" s="163"/>
      <c r="Q37" s="175"/>
      <c r="R37" s="175"/>
      <c r="S37" s="130"/>
      <c r="T37" s="223" t="str">
        <f t="shared" si="4"/>
        <v/>
      </c>
      <c r="U37" s="222" t="str">
        <f t="shared" si="5"/>
        <v/>
      </c>
      <c r="V37" s="362" t="s">
        <v>1237</v>
      </c>
      <c r="W37" s="72"/>
    </row>
    <row r="38" spans="1:23" x14ac:dyDescent="0.2">
      <c r="A38" s="293">
        <f t="shared" si="0"/>
        <v>0</v>
      </c>
      <c r="B38" s="163"/>
      <c r="C38" s="163"/>
      <c r="D38" s="163"/>
      <c r="E38" s="175"/>
      <c r="F38" s="175"/>
      <c r="G38" s="130"/>
      <c r="H38" s="222" t="str">
        <f t="shared" si="1"/>
        <v/>
      </c>
      <c r="I38" s="222" t="str">
        <f t="shared" si="2"/>
        <v/>
      </c>
      <c r="J38" s="67"/>
      <c r="K38" s="67"/>
      <c r="L38" s="361" t="s">
        <v>1237</v>
      </c>
      <c r="M38" s="294">
        <f t="shared" si="3"/>
        <v>0</v>
      </c>
      <c r="N38" s="176"/>
      <c r="O38" s="163"/>
      <c r="P38" s="163"/>
      <c r="Q38" s="175"/>
      <c r="R38" s="175"/>
      <c r="S38" s="130"/>
      <c r="T38" s="223" t="str">
        <f t="shared" si="4"/>
        <v/>
      </c>
      <c r="U38" s="222" t="str">
        <f t="shared" si="5"/>
        <v/>
      </c>
      <c r="V38" s="362" t="s">
        <v>1237</v>
      </c>
      <c r="W38" s="72"/>
    </row>
    <row r="39" spans="1:23" x14ac:dyDescent="0.2">
      <c r="A39" s="293">
        <f t="shared" si="0"/>
        <v>0</v>
      </c>
      <c r="B39" s="163"/>
      <c r="C39" s="163"/>
      <c r="D39" s="163"/>
      <c r="E39" s="175"/>
      <c r="F39" s="175"/>
      <c r="G39" s="130"/>
      <c r="H39" s="222" t="str">
        <f t="shared" si="1"/>
        <v/>
      </c>
      <c r="I39" s="222" t="str">
        <f t="shared" si="2"/>
        <v/>
      </c>
      <c r="J39" s="67"/>
      <c r="K39" s="67"/>
      <c r="L39" s="361" t="s">
        <v>1237</v>
      </c>
      <c r="M39" s="294">
        <f t="shared" si="3"/>
        <v>0</v>
      </c>
      <c r="N39" s="176"/>
      <c r="O39" s="163"/>
      <c r="P39" s="163"/>
      <c r="Q39" s="175"/>
      <c r="R39" s="175"/>
      <c r="S39" s="130"/>
      <c r="T39" s="223" t="str">
        <f t="shared" si="4"/>
        <v/>
      </c>
      <c r="U39" s="222" t="str">
        <f t="shared" si="5"/>
        <v/>
      </c>
      <c r="V39" s="362" t="s">
        <v>1237</v>
      </c>
      <c r="W39" s="72"/>
    </row>
    <row r="40" spans="1:23" x14ac:dyDescent="0.2">
      <c r="A40" s="293">
        <f t="shared" si="0"/>
        <v>0</v>
      </c>
      <c r="B40" s="163"/>
      <c r="C40" s="163"/>
      <c r="D40" s="163"/>
      <c r="E40" s="175"/>
      <c r="F40" s="175"/>
      <c r="G40" s="130"/>
      <c r="H40" s="222" t="str">
        <f t="shared" si="1"/>
        <v/>
      </c>
      <c r="I40" s="222" t="str">
        <f t="shared" si="2"/>
        <v/>
      </c>
      <c r="J40" s="67"/>
      <c r="K40" s="67"/>
      <c r="L40" s="361" t="s">
        <v>1237</v>
      </c>
      <c r="M40" s="294">
        <f t="shared" si="3"/>
        <v>0</v>
      </c>
      <c r="N40" s="176"/>
      <c r="O40" s="163"/>
      <c r="P40" s="163"/>
      <c r="Q40" s="175"/>
      <c r="R40" s="175"/>
      <c r="S40" s="130"/>
      <c r="T40" s="223" t="str">
        <f t="shared" si="4"/>
        <v/>
      </c>
      <c r="U40" s="222" t="str">
        <f t="shared" si="5"/>
        <v/>
      </c>
      <c r="V40" s="362" t="s">
        <v>1237</v>
      </c>
      <c r="W40" s="72"/>
    </row>
    <row r="41" spans="1:23" x14ac:dyDescent="0.2">
      <c r="A41" s="293">
        <f t="shared" si="0"/>
        <v>0</v>
      </c>
      <c r="B41" s="163"/>
      <c r="C41" s="163"/>
      <c r="D41" s="163"/>
      <c r="E41" s="175"/>
      <c r="F41" s="175"/>
      <c r="G41" s="130"/>
      <c r="H41" s="222" t="str">
        <f t="shared" si="1"/>
        <v/>
      </c>
      <c r="I41" s="222" t="str">
        <f t="shared" si="2"/>
        <v/>
      </c>
      <c r="J41" s="67"/>
      <c r="K41" s="67"/>
      <c r="L41" s="361" t="s">
        <v>1237</v>
      </c>
      <c r="M41" s="294">
        <f t="shared" si="3"/>
        <v>0</v>
      </c>
      <c r="N41" s="176"/>
      <c r="O41" s="163"/>
      <c r="P41" s="163"/>
      <c r="Q41" s="175"/>
      <c r="R41" s="175"/>
      <c r="S41" s="130"/>
      <c r="T41" s="223" t="str">
        <f t="shared" si="4"/>
        <v/>
      </c>
      <c r="U41" s="222" t="str">
        <f t="shared" si="5"/>
        <v/>
      </c>
      <c r="V41" s="362" t="s">
        <v>1237</v>
      </c>
      <c r="W41" s="72"/>
    </row>
    <row r="42" spans="1:23" x14ac:dyDescent="0.2">
      <c r="A42" s="293">
        <f t="shared" si="0"/>
        <v>0</v>
      </c>
      <c r="B42" s="163"/>
      <c r="C42" s="163"/>
      <c r="D42" s="163"/>
      <c r="E42" s="175"/>
      <c r="F42" s="175"/>
      <c r="G42" s="130"/>
      <c r="H42" s="222" t="str">
        <f t="shared" si="1"/>
        <v/>
      </c>
      <c r="I42" s="222" t="str">
        <f t="shared" si="2"/>
        <v/>
      </c>
      <c r="J42" s="67"/>
      <c r="K42" s="67"/>
      <c r="L42" s="361" t="s">
        <v>1237</v>
      </c>
      <c r="M42" s="294">
        <f t="shared" si="3"/>
        <v>0</v>
      </c>
      <c r="N42" s="176"/>
      <c r="O42" s="163"/>
      <c r="P42" s="163"/>
      <c r="Q42" s="175"/>
      <c r="R42" s="175"/>
      <c r="S42" s="130"/>
      <c r="T42" s="223" t="str">
        <f t="shared" si="4"/>
        <v/>
      </c>
      <c r="U42" s="222" t="str">
        <f t="shared" si="5"/>
        <v/>
      </c>
      <c r="V42" s="362" t="s">
        <v>1237</v>
      </c>
      <c r="W42" s="72"/>
    </row>
    <row r="43" spans="1:23" x14ac:dyDescent="0.2">
      <c r="A43" s="293">
        <f t="shared" si="0"/>
        <v>0</v>
      </c>
      <c r="B43" s="163"/>
      <c r="C43" s="163"/>
      <c r="D43" s="163"/>
      <c r="E43" s="175"/>
      <c r="F43" s="175"/>
      <c r="G43" s="130"/>
      <c r="H43" s="222" t="str">
        <f t="shared" si="1"/>
        <v/>
      </c>
      <c r="I43" s="222" t="str">
        <f t="shared" si="2"/>
        <v/>
      </c>
      <c r="J43" s="67"/>
      <c r="K43" s="67"/>
      <c r="L43" s="361" t="s">
        <v>1237</v>
      </c>
      <c r="M43" s="294">
        <f t="shared" si="3"/>
        <v>0</v>
      </c>
      <c r="N43" s="176"/>
      <c r="O43" s="163"/>
      <c r="P43" s="163"/>
      <c r="Q43" s="175"/>
      <c r="R43" s="175"/>
      <c r="S43" s="130"/>
      <c r="T43" s="223" t="str">
        <f t="shared" si="4"/>
        <v/>
      </c>
      <c r="U43" s="222" t="str">
        <f t="shared" si="5"/>
        <v/>
      </c>
      <c r="V43" s="362" t="s">
        <v>1237</v>
      </c>
      <c r="W43" s="72"/>
    </row>
    <row r="44" spans="1:23" x14ac:dyDescent="0.2">
      <c r="A44" s="293">
        <f t="shared" si="0"/>
        <v>0</v>
      </c>
      <c r="B44" s="163"/>
      <c r="C44" s="163"/>
      <c r="D44" s="163"/>
      <c r="E44" s="175"/>
      <c r="F44" s="175"/>
      <c r="G44" s="130"/>
      <c r="H44" s="222" t="str">
        <f t="shared" si="1"/>
        <v/>
      </c>
      <c r="I44" s="222" t="str">
        <f t="shared" si="2"/>
        <v/>
      </c>
      <c r="J44" s="67"/>
      <c r="K44" s="67"/>
      <c r="L44" s="361" t="s">
        <v>1237</v>
      </c>
      <c r="M44" s="294">
        <f t="shared" si="3"/>
        <v>0</v>
      </c>
      <c r="N44" s="176"/>
      <c r="O44" s="163"/>
      <c r="P44" s="163"/>
      <c r="Q44" s="175"/>
      <c r="R44" s="175"/>
      <c r="S44" s="130"/>
      <c r="T44" s="223" t="str">
        <f t="shared" si="4"/>
        <v/>
      </c>
      <c r="U44" s="222" t="str">
        <f t="shared" si="5"/>
        <v/>
      </c>
      <c r="V44" s="362" t="s">
        <v>1237</v>
      </c>
      <c r="W44" s="72"/>
    </row>
    <row r="45" spans="1:23" x14ac:dyDescent="0.2">
      <c r="A45" s="293">
        <f t="shared" si="0"/>
        <v>0</v>
      </c>
      <c r="B45" s="163"/>
      <c r="C45" s="163"/>
      <c r="D45" s="163"/>
      <c r="E45" s="175"/>
      <c r="F45" s="175"/>
      <c r="G45" s="130"/>
      <c r="H45" s="222" t="str">
        <f t="shared" si="1"/>
        <v/>
      </c>
      <c r="I45" s="222" t="str">
        <f t="shared" si="2"/>
        <v/>
      </c>
      <c r="J45" s="67"/>
      <c r="K45" s="67"/>
      <c r="L45" s="361" t="s">
        <v>1237</v>
      </c>
      <c r="M45" s="294">
        <f t="shared" si="3"/>
        <v>0</v>
      </c>
      <c r="N45" s="176"/>
      <c r="O45" s="163"/>
      <c r="P45" s="163"/>
      <c r="Q45" s="175"/>
      <c r="R45" s="175"/>
      <c r="S45" s="130"/>
      <c r="T45" s="223" t="str">
        <f t="shared" si="4"/>
        <v/>
      </c>
      <c r="U45" s="222" t="str">
        <f t="shared" si="5"/>
        <v/>
      </c>
      <c r="V45" s="362" t="s">
        <v>1237</v>
      </c>
      <c r="W45" s="72"/>
    </row>
    <row r="46" spans="1:23" x14ac:dyDescent="0.2">
      <c r="A46" s="293">
        <f t="shared" si="0"/>
        <v>0</v>
      </c>
      <c r="B46" s="163"/>
      <c r="C46" s="163"/>
      <c r="D46" s="163"/>
      <c r="E46" s="175"/>
      <c r="F46" s="175"/>
      <c r="G46" s="130"/>
      <c r="H46" s="222" t="str">
        <f t="shared" si="1"/>
        <v/>
      </c>
      <c r="I46" s="222" t="str">
        <f t="shared" si="2"/>
        <v/>
      </c>
      <c r="J46" s="67"/>
      <c r="K46" s="67"/>
      <c r="L46" s="361" t="s">
        <v>1237</v>
      </c>
      <c r="M46" s="294">
        <f t="shared" si="3"/>
        <v>0</v>
      </c>
      <c r="N46" s="176"/>
      <c r="O46" s="163"/>
      <c r="P46" s="163"/>
      <c r="Q46" s="175"/>
      <c r="R46" s="175"/>
      <c r="S46" s="130"/>
      <c r="T46" s="223" t="str">
        <f t="shared" si="4"/>
        <v/>
      </c>
      <c r="U46" s="222" t="str">
        <f t="shared" si="5"/>
        <v/>
      </c>
      <c r="V46" s="362" t="s">
        <v>1237</v>
      </c>
      <c r="W46" s="72"/>
    </row>
    <row r="47" spans="1:23" x14ac:dyDescent="0.2">
      <c r="A47" s="293">
        <f t="shared" si="0"/>
        <v>0</v>
      </c>
      <c r="B47" s="163"/>
      <c r="C47" s="163"/>
      <c r="D47" s="163"/>
      <c r="E47" s="175"/>
      <c r="F47" s="175"/>
      <c r="G47" s="130"/>
      <c r="H47" s="222" t="str">
        <f t="shared" si="1"/>
        <v/>
      </c>
      <c r="I47" s="222" t="str">
        <f t="shared" si="2"/>
        <v/>
      </c>
      <c r="J47" s="67"/>
      <c r="K47" s="67"/>
      <c r="L47" s="361" t="s">
        <v>1237</v>
      </c>
      <c r="M47" s="294">
        <f t="shared" si="3"/>
        <v>0</v>
      </c>
      <c r="N47" s="176"/>
      <c r="O47" s="163"/>
      <c r="P47" s="163"/>
      <c r="Q47" s="175"/>
      <c r="R47" s="175"/>
      <c r="S47" s="130"/>
      <c r="T47" s="223" t="str">
        <f t="shared" si="4"/>
        <v/>
      </c>
      <c r="U47" s="222" t="str">
        <f t="shared" si="5"/>
        <v/>
      </c>
      <c r="V47" s="362" t="s">
        <v>1237</v>
      </c>
      <c r="W47" s="72"/>
    </row>
    <row r="48" spans="1:23" x14ac:dyDescent="0.2">
      <c r="A48" s="293">
        <f t="shared" si="0"/>
        <v>0</v>
      </c>
      <c r="B48" s="163"/>
      <c r="C48" s="163"/>
      <c r="D48" s="163"/>
      <c r="E48" s="175"/>
      <c r="F48" s="175"/>
      <c r="G48" s="130"/>
      <c r="H48" s="222" t="str">
        <f t="shared" si="1"/>
        <v/>
      </c>
      <c r="I48" s="222" t="str">
        <f t="shared" si="2"/>
        <v/>
      </c>
      <c r="J48" s="67"/>
      <c r="K48" s="67"/>
      <c r="L48" s="361" t="s">
        <v>1237</v>
      </c>
      <c r="M48" s="294">
        <f t="shared" si="3"/>
        <v>0</v>
      </c>
      <c r="N48" s="176"/>
      <c r="O48" s="163"/>
      <c r="P48" s="163"/>
      <c r="Q48" s="175"/>
      <c r="R48" s="175"/>
      <c r="S48" s="130"/>
      <c r="T48" s="223" t="str">
        <f t="shared" si="4"/>
        <v/>
      </c>
      <c r="U48" s="222" t="str">
        <f t="shared" si="5"/>
        <v/>
      </c>
      <c r="V48" s="362" t="s">
        <v>1237</v>
      </c>
      <c r="W48" s="72"/>
    </row>
    <row r="49" spans="1:23" x14ac:dyDescent="0.2">
      <c r="A49" s="293">
        <f t="shared" si="0"/>
        <v>0</v>
      </c>
      <c r="B49" s="163"/>
      <c r="C49" s="163"/>
      <c r="D49" s="163"/>
      <c r="E49" s="175"/>
      <c r="F49" s="175"/>
      <c r="G49" s="130"/>
      <c r="H49" s="222" t="str">
        <f t="shared" si="1"/>
        <v/>
      </c>
      <c r="I49" s="222" t="str">
        <f t="shared" si="2"/>
        <v/>
      </c>
      <c r="J49" s="67"/>
      <c r="K49" s="67"/>
      <c r="L49" s="361" t="s">
        <v>1237</v>
      </c>
      <c r="M49" s="294">
        <f t="shared" si="3"/>
        <v>0</v>
      </c>
      <c r="N49" s="176"/>
      <c r="O49" s="163"/>
      <c r="P49" s="163"/>
      <c r="Q49" s="175"/>
      <c r="R49" s="175"/>
      <c r="S49" s="130"/>
      <c r="T49" s="223" t="str">
        <f t="shared" si="4"/>
        <v/>
      </c>
      <c r="U49" s="222" t="str">
        <f t="shared" si="5"/>
        <v/>
      </c>
      <c r="V49" s="362" t="s">
        <v>1237</v>
      </c>
      <c r="W49" s="72"/>
    </row>
    <row r="50" spans="1:23" x14ac:dyDescent="0.2">
      <c r="A50" s="293">
        <f t="shared" si="0"/>
        <v>0</v>
      </c>
      <c r="B50" s="163"/>
      <c r="C50" s="163"/>
      <c r="D50" s="163"/>
      <c r="E50" s="175"/>
      <c r="F50" s="175"/>
      <c r="G50" s="130"/>
      <c r="H50" s="222" t="str">
        <f t="shared" si="1"/>
        <v/>
      </c>
      <c r="I50" s="222" t="str">
        <f t="shared" si="2"/>
        <v/>
      </c>
      <c r="J50" s="67"/>
      <c r="K50" s="67"/>
      <c r="L50" s="361" t="s">
        <v>1237</v>
      </c>
      <c r="M50" s="294">
        <f t="shared" si="3"/>
        <v>0</v>
      </c>
      <c r="N50" s="176"/>
      <c r="O50" s="163"/>
      <c r="P50" s="163"/>
      <c r="Q50" s="175"/>
      <c r="R50" s="175"/>
      <c r="S50" s="130"/>
      <c r="T50" s="223" t="str">
        <f t="shared" si="4"/>
        <v/>
      </c>
      <c r="U50" s="222" t="str">
        <f t="shared" si="5"/>
        <v/>
      </c>
      <c r="V50" s="362" t="s">
        <v>1237</v>
      </c>
      <c r="W50" s="72"/>
    </row>
    <row r="51" spans="1:23" x14ac:dyDescent="0.2">
      <c r="A51" s="293">
        <f t="shared" si="0"/>
        <v>0</v>
      </c>
      <c r="B51" s="163"/>
      <c r="C51" s="163"/>
      <c r="D51" s="163"/>
      <c r="E51" s="175"/>
      <c r="F51" s="175"/>
      <c r="G51" s="130"/>
      <c r="H51" s="222" t="str">
        <f t="shared" si="1"/>
        <v/>
      </c>
      <c r="I51" s="222" t="str">
        <f t="shared" si="2"/>
        <v/>
      </c>
      <c r="J51" s="67"/>
      <c r="K51" s="67"/>
      <c r="L51" s="361" t="s">
        <v>1237</v>
      </c>
      <c r="M51" s="294">
        <f t="shared" si="3"/>
        <v>0</v>
      </c>
      <c r="N51" s="176"/>
      <c r="O51" s="163"/>
      <c r="P51" s="163"/>
      <c r="Q51" s="175"/>
      <c r="R51" s="175"/>
      <c r="S51" s="130"/>
      <c r="T51" s="223" t="str">
        <f t="shared" si="4"/>
        <v/>
      </c>
      <c r="U51" s="222" t="str">
        <f t="shared" si="5"/>
        <v/>
      </c>
      <c r="V51" s="362" t="s">
        <v>1237</v>
      </c>
      <c r="W51" s="72"/>
    </row>
    <row r="52" spans="1:23" x14ac:dyDescent="0.2">
      <c r="A52" s="293">
        <f t="shared" si="0"/>
        <v>0</v>
      </c>
      <c r="B52" s="163"/>
      <c r="C52" s="163"/>
      <c r="D52" s="163"/>
      <c r="E52" s="175"/>
      <c r="F52" s="175"/>
      <c r="G52" s="130"/>
      <c r="H52" s="222" t="str">
        <f t="shared" si="1"/>
        <v/>
      </c>
      <c r="I52" s="222" t="str">
        <f t="shared" si="2"/>
        <v/>
      </c>
      <c r="J52" s="67"/>
      <c r="K52" s="67"/>
      <c r="L52" s="361" t="s">
        <v>1237</v>
      </c>
      <c r="M52" s="294">
        <f t="shared" si="3"/>
        <v>0</v>
      </c>
      <c r="N52" s="176"/>
      <c r="O52" s="163"/>
      <c r="P52" s="163"/>
      <c r="Q52" s="175"/>
      <c r="R52" s="175"/>
      <c r="S52" s="130"/>
      <c r="T52" s="223" t="str">
        <f t="shared" si="4"/>
        <v/>
      </c>
      <c r="U52" s="222" t="str">
        <f t="shared" si="5"/>
        <v/>
      </c>
      <c r="V52" s="362" t="s">
        <v>1237</v>
      </c>
      <c r="W52" s="72"/>
    </row>
    <row r="53" spans="1:23" x14ac:dyDescent="0.2">
      <c r="A53" s="293">
        <f t="shared" si="0"/>
        <v>0</v>
      </c>
      <c r="B53" s="163"/>
      <c r="C53" s="163"/>
      <c r="D53" s="163"/>
      <c r="E53" s="175"/>
      <c r="F53" s="175"/>
      <c r="G53" s="130"/>
      <c r="H53" s="222" t="str">
        <f t="shared" si="1"/>
        <v/>
      </c>
      <c r="I53" s="222" t="str">
        <f t="shared" si="2"/>
        <v/>
      </c>
      <c r="J53" s="67"/>
      <c r="K53" s="67"/>
      <c r="L53" s="361" t="s">
        <v>1237</v>
      </c>
      <c r="M53" s="294">
        <f t="shared" si="3"/>
        <v>0</v>
      </c>
      <c r="N53" s="176"/>
      <c r="O53" s="163"/>
      <c r="P53" s="163"/>
      <c r="Q53" s="175"/>
      <c r="R53" s="175"/>
      <c r="S53" s="130"/>
      <c r="T53" s="223" t="str">
        <f t="shared" si="4"/>
        <v/>
      </c>
      <c r="U53" s="222" t="str">
        <f t="shared" si="5"/>
        <v/>
      </c>
      <c r="V53" s="362" t="s">
        <v>1237</v>
      </c>
      <c r="W53" s="72"/>
    </row>
    <row r="54" spans="1:23" x14ac:dyDescent="0.2">
      <c r="A54" s="293">
        <f t="shared" si="0"/>
        <v>0</v>
      </c>
      <c r="B54" s="163"/>
      <c r="C54" s="163"/>
      <c r="D54" s="163"/>
      <c r="E54" s="175"/>
      <c r="F54" s="175"/>
      <c r="G54" s="130"/>
      <c r="H54" s="222" t="str">
        <f t="shared" si="1"/>
        <v/>
      </c>
      <c r="I54" s="222" t="str">
        <f t="shared" si="2"/>
        <v/>
      </c>
      <c r="J54" s="67"/>
      <c r="K54" s="67"/>
      <c r="L54" s="361" t="s">
        <v>1237</v>
      </c>
      <c r="M54" s="294">
        <f t="shared" si="3"/>
        <v>0</v>
      </c>
      <c r="N54" s="176"/>
      <c r="O54" s="163"/>
      <c r="P54" s="163"/>
      <c r="Q54" s="175"/>
      <c r="R54" s="175"/>
      <c r="S54" s="130"/>
      <c r="T54" s="223" t="str">
        <f t="shared" si="4"/>
        <v/>
      </c>
      <c r="U54" s="222" t="str">
        <f t="shared" si="5"/>
        <v/>
      </c>
      <c r="V54" s="362" t="s">
        <v>1237</v>
      </c>
      <c r="W54" s="72"/>
    </row>
    <row r="55" spans="1:23" x14ac:dyDescent="0.2">
      <c r="A55" s="293">
        <f t="shared" si="0"/>
        <v>0</v>
      </c>
      <c r="B55" s="163"/>
      <c r="C55" s="163"/>
      <c r="D55" s="163"/>
      <c r="E55" s="175"/>
      <c r="F55" s="175"/>
      <c r="G55" s="130"/>
      <c r="H55" s="222" t="str">
        <f t="shared" si="1"/>
        <v/>
      </c>
      <c r="I55" s="222" t="str">
        <f t="shared" si="2"/>
        <v/>
      </c>
      <c r="J55" s="67"/>
      <c r="K55" s="67"/>
      <c r="L55" s="361" t="s">
        <v>1237</v>
      </c>
      <c r="M55" s="294">
        <f t="shared" si="3"/>
        <v>0</v>
      </c>
      <c r="N55" s="176"/>
      <c r="O55" s="163"/>
      <c r="P55" s="163"/>
      <c r="Q55" s="175"/>
      <c r="R55" s="175"/>
      <c r="S55" s="130"/>
      <c r="T55" s="223" t="str">
        <f t="shared" si="4"/>
        <v/>
      </c>
      <c r="U55" s="222" t="str">
        <f t="shared" si="5"/>
        <v/>
      </c>
      <c r="V55" s="362" t="s">
        <v>1237</v>
      </c>
      <c r="W55" s="72"/>
    </row>
    <row r="56" spans="1:23" x14ac:dyDescent="0.2">
      <c r="A56" s="293">
        <f t="shared" si="0"/>
        <v>0</v>
      </c>
      <c r="B56" s="163"/>
      <c r="C56" s="163"/>
      <c r="D56" s="163"/>
      <c r="E56" s="175"/>
      <c r="F56" s="175"/>
      <c r="G56" s="130"/>
      <c r="H56" s="222" t="str">
        <f t="shared" si="1"/>
        <v/>
      </c>
      <c r="I56" s="222" t="str">
        <f t="shared" si="2"/>
        <v/>
      </c>
      <c r="J56" s="67"/>
      <c r="K56" s="67"/>
      <c r="L56" s="361" t="s">
        <v>1237</v>
      </c>
      <c r="M56" s="294">
        <f t="shared" si="3"/>
        <v>0</v>
      </c>
      <c r="N56" s="176"/>
      <c r="O56" s="163"/>
      <c r="P56" s="163"/>
      <c r="Q56" s="175"/>
      <c r="R56" s="175"/>
      <c r="S56" s="130"/>
      <c r="T56" s="223" t="str">
        <f t="shared" si="4"/>
        <v/>
      </c>
      <c r="U56" s="222" t="str">
        <f t="shared" si="5"/>
        <v/>
      </c>
      <c r="V56" s="362" t="s">
        <v>1237</v>
      </c>
      <c r="W56" s="72"/>
    </row>
    <row r="57" spans="1:23" x14ac:dyDescent="0.2">
      <c r="A57" s="293">
        <f t="shared" si="0"/>
        <v>0</v>
      </c>
      <c r="B57" s="163"/>
      <c r="C57" s="163"/>
      <c r="D57" s="163"/>
      <c r="E57" s="175"/>
      <c r="F57" s="175"/>
      <c r="G57" s="130"/>
      <c r="H57" s="222" t="str">
        <f t="shared" si="1"/>
        <v/>
      </c>
      <c r="I57" s="222" t="str">
        <f t="shared" si="2"/>
        <v/>
      </c>
      <c r="J57" s="67"/>
      <c r="K57" s="67"/>
      <c r="L57" s="361" t="s">
        <v>1237</v>
      </c>
      <c r="M57" s="294">
        <f t="shared" si="3"/>
        <v>0</v>
      </c>
      <c r="N57" s="176"/>
      <c r="O57" s="163"/>
      <c r="P57" s="163"/>
      <c r="Q57" s="175"/>
      <c r="R57" s="175"/>
      <c r="S57" s="130"/>
      <c r="T57" s="223" t="str">
        <f t="shared" si="4"/>
        <v/>
      </c>
      <c r="U57" s="222" t="str">
        <f t="shared" si="5"/>
        <v/>
      </c>
      <c r="V57" s="362" t="s">
        <v>1237</v>
      </c>
      <c r="W57" s="72"/>
    </row>
    <row r="58" spans="1:23" x14ac:dyDescent="0.2">
      <c r="A58" s="293">
        <f t="shared" si="0"/>
        <v>0</v>
      </c>
      <c r="B58" s="163"/>
      <c r="C58" s="163"/>
      <c r="D58" s="163"/>
      <c r="E58" s="175"/>
      <c r="F58" s="175"/>
      <c r="G58" s="130"/>
      <c r="H58" s="222" t="str">
        <f t="shared" si="1"/>
        <v/>
      </c>
      <c r="I58" s="222" t="str">
        <f t="shared" si="2"/>
        <v/>
      </c>
      <c r="J58" s="67"/>
      <c r="K58" s="67"/>
      <c r="L58" s="361" t="s">
        <v>1237</v>
      </c>
      <c r="M58" s="294">
        <f t="shared" si="3"/>
        <v>0</v>
      </c>
      <c r="N58" s="176"/>
      <c r="O58" s="163"/>
      <c r="P58" s="163"/>
      <c r="Q58" s="175"/>
      <c r="R58" s="175"/>
      <c r="S58" s="130"/>
      <c r="T58" s="223" t="str">
        <f t="shared" si="4"/>
        <v/>
      </c>
      <c r="U58" s="222" t="str">
        <f t="shared" si="5"/>
        <v/>
      </c>
      <c r="V58" s="362" t="s">
        <v>1237</v>
      </c>
      <c r="W58" s="72"/>
    </row>
    <row r="59" spans="1:23" x14ac:dyDescent="0.2">
      <c r="A59" s="293">
        <f t="shared" si="0"/>
        <v>0</v>
      </c>
      <c r="B59" s="163"/>
      <c r="C59" s="163"/>
      <c r="D59" s="163"/>
      <c r="E59" s="175"/>
      <c r="F59" s="175"/>
      <c r="G59" s="130"/>
      <c r="H59" s="222" t="str">
        <f t="shared" si="1"/>
        <v/>
      </c>
      <c r="I59" s="222" t="str">
        <f t="shared" si="2"/>
        <v/>
      </c>
      <c r="J59" s="67"/>
      <c r="K59" s="67"/>
      <c r="L59" s="361" t="s">
        <v>1237</v>
      </c>
      <c r="M59" s="294">
        <f t="shared" si="3"/>
        <v>0</v>
      </c>
      <c r="N59" s="176"/>
      <c r="O59" s="163"/>
      <c r="P59" s="163"/>
      <c r="Q59" s="175"/>
      <c r="R59" s="175"/>
      <c r="S59" s="130"/>
      <c r="T59" s="223" t="str">
        <f t="shared" si="4"/>
        <v/>
      </c>
      <c r="U59" s="222" t="str">
        <f t="shared" si="5"/>
        <v/>
      </c>
      <c r="V59" s="362" t="s">
        <v>1237</v>
      </c>
      <c r="W59" s="72"/>
    </row>
    <row r="60" spans="1:23" x14ac:dyDescent="0.2">
      <c r="A60" s="293">
        <f t="shared" si="0"/>
        <v>0</v>
      </c>
      <c r="B60" s="163"/>
      <c r="C60" s="163"/>
      <c r="D60" s="163"/>
      <c r="E60" s="175"/>
      <c r="F60" s="175"/>
      <c r="G60" s="130"/>
      <c r="H60" s="222" t="str">
        <f t="shared" si="1"/>
        <v/>
      </c>
      <c r="I60" s="222" t="str">
        <f t="shared" si="2"/>
        <v/>
      </c>
      <c r="J60" s="67"/>
      <c r="K60" s="67"/>
      <c r="L60" s="361" t="s">
        <v>1237</v>
      </c>
      <c r="M60" s="294">
        <f t="shared" si="3"/>
        <v>0</v>
      </c>
      <c r="N60" s="176"/>
      <c r="O60" s="163"/>
      <c r="P60" s="163"/>
      <c r="Q60" s="175"/>
      <c r="R60" s="175"/>
      <c r="S60" s="130"/>
      <c r="T60" s="223" t="str">
        <f t="shared" si="4"/>
        <v/>
      </c>
      <c r="U60" s="222" t="str">
        <f t="shared" si="5"/>
        <v/>
      </c>
      <c r="V60" s="362" t="s">
        <v>1237</v>
      </c>
      <c r="W60" s="72"/>
    </row>
    <row r="61" spans="1:23" x14ac:dyDescent="0.2">
      <c r="A61" s="293">
        <f t="shared" si="0"/>
        <v>0</v>
      </c>
      <c r="B61" s="163"/>
      <c r="C61" s="163"/>
      <c r="D61" s="163"/>
      <c r="E61" s="175"/>
      <c r="F61" s="175"/>
      <c r="G61" s="130"/>
      <c r="H61" s="222" t="str">
        <f t="shared" si="1"/>
        <v/>
      </c>
      <c r="I61" s="222" t="str">
        <f t="shared" si="2"/>
        <v/>
      </c>
      <c r="J61" s="67"/>
      <c r="K61" s="67"/>
      <c r="L61" s="361" t="s">
        <v>1237</v>
      </c>
      <c r="M61" s="294">
        <f t="shared" si="3"/>
        <v>0</v>
      </c>
      <c r="N61" s="176"/>
      <c r="O61" s="163"/>
      <c r="P61" s="163"/>
      <c r="Q61" s="175"/>
      <c r="R61" s="175"/>
      <c r="S61" s="130"/>
      <c r="T61" s="223" t="str">
        <f t="shared" si="4"/>
        <v/>
      </c>
      <c r="U61" s="222" t="str">
        <f t="shared" si="5"/>
        <v/>
      </c>
      <c r="V61" s="362" t="s">
        <v>1237</v>
      </c>
      <c r="W61" s="72"/>
    </row>
    <row r="62" spans="1:23" x14ac:dyDescent="0.2">
      <c r="A62" s="293">
        <f t="shared" si="0"/>
        <v>0</v>
      </c>
      <c r="B62" s="163"/>
      <c r="C62" s="163"/>
      <c r="D62" s="163"/>
      <c r="E62" s="175"/>
      <c r="F62" s="175"/>
      <c r="G62" s="130"/>
      <c r="H62" s="222" t="str">
        <f t="shared" si="1"/>
        <v/>
      </c>
      <c r="I62" s="222" t="str">
        <f t="shared" si="2"/>
        <v/>
      </c>
      <c r="J62" s="67"/>
      <c r="K62" s="67"/>
      <c r="L62" s="361" t="s">
        <v>1237</v>
      </c>
      <c r="M62" s="294">
        <f t="shared" si="3"/>
        <v>0</v>
      </c>
      <c r="N62" s="176"/>
      <c r="O62" s="163"/>
      <c r="P62" s="163"/>
      <c r="Q62" s="175"/>
      <c r="R62" s="175"/>
      <c r="S62" s="130"/>
      <c r="T62" s="223" t="str">
        <f t="shared" si="4"/>
        <v/>
      </c>
      <c r="U62" s="222" t="str">
        <f t="shared" si="5"/>
        <v/>
      </c>
      <c r="V62" s="362" t="s">
        <v>1237</v>
      </c>
      <c r="W62" s="72"/>
    </row>
    <row r="63" spans="1:23" x14ac:dyDescent="0.2">
      <c r="A63" s="293">
        <f t="shared" si="0"/>
        <v>0</v>
      </c>
      <c r="B63" s="163"/>
      <c r="C63" s="163"/>
      <c r="D63" s="163"/>
      <c r="E63" s="175"/>
      <c r="F63" s="175"/>
      <c r="G63" s="130"/>
      <c r="H63" s="222" t="str">
        <f t="shared" si="1"/>
        <v/>
      </c>
      <c r="I63" s="222" t="str">
        <f t="shared" si="2"/>
        <v/>
      </c>
      <c r="J63" s="67"/>
      <c r="K63" s="67"/>
      <c r="L63" s="361" t="s">
        <v>1237</v>
      </c>
      <c r="M63" s="294">
        <f t="shared" si="3"/>
        <v>0</v>
      </c>
      <c r="N63" s="176"/>
      <c r="O63" s="163"/>
      <c r="P63" s="163"/>
      <c r="Q63" s="175"/>
      <c r="R63" s="175"/>
      <c r="S63" s="130"/>
      <c r="T63" s="223" t="str">
        <f t="shared" si="4"/>
        <v/>
      </c>
      <c r="U63" s="222" t="str">
        <f t="shared" si="5"/>
        <v/>
      </c>
      <c r="V63" s="362" t="s">
        <v>1237</v>
      </c>
      <c r="W63" s="72"/>
    </row>
    <row r="64" spans="1:23" x14ac:dyDescent="0.2">
      <c r="A64" s="293">
        <f t="shared" si="0"/>
        <v>0</v>
      </c>
      <c r="B64" s="163"/>
      <c r="C64" s="163"/>
      <c r="D64" s="163"/>
      <c r="E64" s="175"/>
      <c r="F64" s="175"/>
      <c r="G64" s="130"/>
      <c r="H64" s="222" t="str">
        <f t="shared" si="1"/>
        <v/>
      </c>
      <c r="I64" s="222" t="str">
        <f t="shared" si="2"/>
        <v/>
      </c>
      <c r="J64" s="67"/>
      <c r="K64" s="67"/>
      <c r="L64" s="361" t="s">
        <v>1237</v>
      </c>
      <c r="M64" s="294">
        <f t="shared" si="3"/>
        <v>0</v>
      </c>
      <c r="N64" s="176"/>
      <c r="O64" s="163"/>
      <c r="P64" s="163"/>
      <c r="Q64" s="175"/>
      <c r="R64" s="175"/>
      <c r="S64" s="130"/>
      <c r="T64" s="223" t="str">
        <f t="shared" si="4"/>
        <v/>
      </c>
      <c r="U64" s="222" t="str">
        <f t="shared" si="5"/>
        <v/>
      </c>
      <c r="V64" s="362" t="s">
        <v>1237</v>
      </c>
      <c r="W64" s="72"/>
    </row>
    <row r="65" spans="1:23" x14ac:dyDescent="0.2">
      <c r="A65" s="293">
        <f t="shared" si="0"/>
        <v>0</v>
      </c>
      <c r="B65" s="163"/>
      <c r="C65" s="163"/>
      <c r="D65" s="163"/>
      <c r="E65" s="175"/>
      <c r="F65" s="175"/>
      <c r="G65" s="130"/>
      <c r="H65" s="222" t="str">
        <f t="shared" si="1"/>
        <v/>
      </c>
      <c r="I65" s="222" t="str">
        <f t="shared" si="2"/>
        <v/>
      </c>
      <c r="J65" s="67"/>
      <c r="K65" s="67"/>
      <c r="L65" s="361" t="s">
        <v>1237</v>
      </c>
      <c r="M65" s="294">
        <f t="shared" si="3"/>
        <v>0</v>
      </c>
      <c r="N65" s="176"/>
      <c r="O65" s="163"/>
      <c r="P65" s="163"/>
      <c r="Q65" s="175"/>
      <c r="R65" s="175"/>
      <c r="S65" s="130"/>
      <c r="T65" s="223" t="str">
        <f t="shared" si="4"/>
        <v/>
      </c>
      <c r="U65" s="222" t="str">
        <f t="shared" si="5"/>
        <v/>
      </c>
      <c r="V65" s="362" t="s">
        <v>1237</v>
      </c>
      <c r="W65" s="72"/>
    </row>
    <row r="66" spans="1:23" x14ac:dyDescent="0.2">
      <c r="A66" s="293">
        <f t="shared" si="0"/>
        <v>0</v>
      </c>
      <c r="B66" s="163"/>
      <c r="C66" s="163"/>
      <c r="D66" s="163"/>
      <c r="E66" s="175"/>
      <c r="F66" s="175"/>
      <c r="G66" s="130"/>
      <c r="H66" s="222" t="str">
        <f t="shared" si="1"/>
        <v/>
      </c>
      <c r="I66" s="222" t="str">
        <f t="shared" si="2"/>
        <v/>
      </c>
      <c r="J66" s="67"/>
      <c r="K66" s="67"/>
      <c r="L66" s="361" t="s">
        <v>1237</v>
      </c>
      <c r="M66" s="294">
        <f t="shared" si="3"/>
        <v>0</v>
      </c>
      <c r="N66" s="176"/>
      <c r="O66" s="163"/>
      <c r="P66" s="163"/>
      <c r="Q66" s="175"/>
      <c r="R66" s="175"/>
      <c r="S66" s="130"/>
      <c r="T66" s="223" t="str">
        <f t="shared" si="4"/>
        <v/>
      </c>
      <c r="U66" s="222" t="str">
        <f t="shared" si="5"/>
        <v/>
      </c>
      <c r="V66" s="362" t="s">
        <v>1237</v>
      </c>
      <c r="W66" s="72"/>
    </row>
    <row r="67" spans="1:23" x14ac:dyDescent="0.2">
      <c r="A67" s="293">
        <f t="shared" si="0"/>
        <v>0</v>
      </c>
      <c r="B67" s="163"/>
      <c r="C67" s="163"/>
      <c r="D67" s="163"/>
      <c r="E67" s="175"/>
      <c r="F67" s="175"/>
      <c r="G67" s="130"/>
      <c r="H67" s="222" t="str">
        <f t="shared" si="1"/>
        <v/>
      </c>
      <c r="I67" s="222" t="str">
        <f t="shared" si="2"/>
        <v/>
      </c>
      <c r="J67" s="67"/>
      <c r="K67" s="67"/>
      <c r="L67" s="361" t="s">
        <v>1237</v>
      </c>
      <c r="M67" s="294">
        <f t="shared" si="3"/>
        <v>0</v>
      </c>
      <c r="N67" s="176"/>
      <c r="O67" s="163"/>
      <c r="P67" s="163"/>
      <c r="Q67" s="175"/>
      <c r="R67" s="175"/>
      <c r="S67" s="130"/>
      <c r="T67" s="223" t="str">
        <f t="shared" si="4"/>
        <v/>
      </c>
      <c r="U67" s="222" t="str">
        <f t="shared" si="5"/>
        <v/>
      </c>
      <c r="V67" s="362" t="s">
        <v>1237</v>
      </c>
      <c r="W67" s="72"/>
    </row>
    <row r="68" spans="1:23" x14ac:dyDescent="0.2">
      <c r="A68" s="293">
        <f t="shared" si="0"/>
        <v>0</v>
      </c>
      <c r="B68" s="163"/>
      <c r="C68" s="163"/>
      <c r="D68" s="163"/>
      <c r="E68" s="175"/>
      <c r="F68" s="175"/>
      <c r="G68" s="130"/>
      <c r="H68" s="222" t="str">
        <f t="shared" si="1"/>
        <v/>
      </c>
      <c r="I68" s="222" t="str">
        <f t="shared" si="2"/>
        <v/>
      </c>
      <c r="J68" s="67"/>
      <c r="K68" s="67"/>
      <c r="L68" s="361" t="s">
        <v>1237</v>
      </c>
      <c r="M68" s="294">
        <f t="shared" si="3"/>
        <v>0</v>
      </c>
      <c r="N68" s="176"/>
      <c r="O68" s="163"/>
      <c r="P68" s="163"/>
      <c r="Q68" s="175"/>
      <c r="R68" s="175"/>
      <c r="S68" s="130"/>
      <c r="T68" s="223" t="str">
        <f t="shared" si="4"/>
        <v/>
      </c>
      <c r="U68" s="222" t="str">
        <f t="shared" si="5"/>
        <v/>
      </c>
      <c r="V68" s="362" t="s">
        <v>1237</v>
      </c>
      <c r="W68" s="72"/>
    </row>
    <row r="69" spans="1:23" x14ac:dyDescent="0.2">
      <c r="A69" s="293">
        <f t="shared" si="0"/>
        <v>0</v>
      </c>
      <c r="B69" s="163"/>
      <c r="C69" s="163"/>
      <c r="D69" s="163"/>
      <c r="E69" s="175"/>
      <c r="F69" s="175"/>
      <c r="G69" s="130"/>
      <c r="H69" s="222" t="str">
        <f t="shared" si="1"/>
        <v/>
      </c>
      <c r="I69" s="222" t="str">
        <f t="shared" si="2"/>
        <v/>
      </c>
      <c r="J69" s="67"/>
      <c r="K69" s="67"/>
      <c r="L69" s="361" t="s">
        <v>1237</v>
      </c>
      <c r="M69" s="294">
        <f t="shared" si="3"/>
        <v>0</v>
      </c>
      <c r="N69" s="176"/>
      <c r="O69" s="163"/>
      <c r="P69" s="163"/>
      <c r="Q69" s="175"/>
      <c r="R69" s="175"/>
      <c r="S69" s="130"/>
      <c r="T69" s="223" t="str">
        <f t="shared" si="4"/>
        <v/>
      </c>
      <c r="U69" s="222" t="str">
        <f t="shared" si="5"/>
        <v/>
      </c>
      <c r="V69" s="362" t="s">
        <v>1237</v>
      </c>
      <c r="W69" s="72"/>
    </row>
    <row r="70" spans="1:23" x14ac:dyDescent="0.2">
      <c r="A70" s="293">
        <f t="shared" si="0"/>
        <v>0</v>
      </c>
      <c r="B70" s="163"/>
      <c r="C70" s="163"/>
      <c r="D70" s="163"/>
      <c r="E70" s="175"/>
      <c r="F70" s="175"/>
      <c r="G70" s="130"/>
      <c r="H70" s="222" t="str">
        <f t="shared" si="1"/>
        <v/>
      </c>
      <c r="I70" s="222" t="str">
        <f t="shared" si="2"/>
        <v/>
      </c>
      <c r="J70" s="67"/>
      <c r="K70" s="67"/>
      <c r="L70" s="361" t="s">
        <v>1237</v>
      </c>
      <c r="M70" s="294">
        <f t="shared" si="3"/>
        <v>0</v>
      </c>
      <c r="N70" s="176"/>
      <c r="O70" s="163"/>
      <c r="P70" s="163"/>
      <c r="Q70" s="175"/>
      <c r="R70" s="175"/>
      <c r="S70" s="130"/>
      <c r="T70" s="223" t="str">
        <f t="shared" si="4"/>
        <v/>
      </c>
      <c r="U70" s="222" t="str">
        <f t="shared" si="5"/>
        <v/>
      </c>
      <c r="V70" s="362" t="s">
        <v>1237</v>
      </c>
      <c r="W70" s="72"/>
    </row>
    <row r="71" spans="1:23" x14ac:dyDescent="0.2">
      <c r="A71" s="293">
        <f t="shared" si="0"/>
        <v>0</v>
      </c>
      <c r="B71" s="163"/>
      <c r="C71" s="163"/>
      <c r="D71" s="163"/>
      <c r="E71" s="175"/>
      <c r="F71" s="175"/>
      <c r="G71" s="130"/>
      <c r="H71" s="222" t="str">
        <f t="shared" si="1"/>
        <v/>
      </c>
      <c r="I71" s="222" t="str">
        <f t="shared" si="2"/>
        <v/>
      </c>
      <c r="J71" s="67"/>
      <c r="K71" s="67"/>
      <c r="L71" s="361" t="s">
        <v>1237</v>
      </c>
      <c r="M71" s="294">
        <f t="shared" si="3"/>
        <v>0</v>
      </c>
      <c r="N71" s="176"/>
      <c r="O71" s="163"/>
      <c r="P71" s="163"/>
      <c r="Q71" s="175"/>
      <c r="R71" s="175"/>
      <c r="S71" s="130"/>
      <c r="T71" s="223" t="str">
        <f t="shared" si="4"/>
        <v/>
      </c>
      <c r="U71" s="222" t="str">
        <f t="shared" si="5"/>
        <v/>
      </c>
      <c r="V71" s="362" t="s">
        <v>1237</v>
      </c>
      <c r="W71" s="72"/>
    </row>
    <row r="72" spans="1:23" x14ac:dyDescent="0.2">
      <c r="A72" s="293">
        <f t="shared" si="0"/>
        <v>0</v>
      </c>
      <c r="B72" s="163"/>
      <c r="C72" s="163"/>
      <c r="D72" s="163"/>
      <c r="E72" s="175"/>
      <c r="F72" s="175"/>
      <c r="G72" s="130"/>
      <c r="H72" s="222" t="str">
        <f t="shared" si="1"/>
        <v/>
      </c>
      <c r="I72" s="222" t="str">
        <f t="shared" si="2"/>
        <v/>
      </c>
      <c r="J72" s="67"/>
      <c r="K72" s="67"/>
      <c r="L72" s="361" t="s">
        <v>1237</v>
      </c>
      <c r="M72" s="294">
        <f t="shared" si="3"/>
        <v>0</v>
      </c>
      <c r="N72" s="176"/>
      <c r="O72" s="163"/>
      <c r="P72" s="163"/>
      <c r="Q72" s="175"/>
      <c r="R72" s="175"/>
      <c r="S72" s="130"/>
      <c r="T72" s="223" t="str">
        <f t="shared" si="4"/>
        <v/>
      </c>
      <c r="U72" s="222" t="str">
        <f t="shared" si="5"/>
        <v/>
      </c>
      <c r="V72" s="362" t="s">
        <v>1237</v>
      </c>
      <c r="W72" s="72"/>
    </row>
    <row r="73" spans="1:23" x14ac:dyDescent="0.2">
      <c r="A73" s="293">
        <f t="shared" si="0"/>
        <v>0</v>
      </c>
      <c r="B73" s="163"/>
      <c r="C73" s="163"/>
      <c r="D73" s="163"/>
      <c r="E73" s="175"/>
      <c r="F73" s="175"/>
      <c r="G73" s="130"/>
      <c r="H73" s="222" t="str">
        <f t="shared" si="1"/>
        <v/>
      </c>
      <c r="I73" s="222" t="str">
        <f t="shared" si="2"/>
        <v/>
      </c>
      <c r="J73" s="67"/>
      <c r="K73" s="67"/>
      <c r="L73" s="361" t="s">
        <v>1237</v>
      </c>
      <c r="M73" s="294">
        <f t="shared" si="3"/>
        <v>0</v>
      </c>
      <c r="N73" s="176"/>
      <c r="O73" s="163"/>
      <c r="P73" s="163"/>
      <c r="Q73" s="175"/>
      <c r="R73" s="175"/>
      <c r="S73" s="130"/>
      <c r="T73" s="223" t="str">
        <f t="shared" si="4"/>
        <v/>
      </c>
      <c r="U73" s="222" t="str">
        <f t="shared" si="5"/>
        <v/>
      </c>
      <c r="V73" s="362" t="s">
        <v>1237</v>
      </c>
      <c r="W73" s="72"/>
    </row>
    <row r="74" spans="1:23" x14ac:dyDescent="0.2">
      <c r="A74" s="293">
        <f t="shared" si="0"/>
        <v>0</v>
      </c>
      <c r="B74" s="163"/>
      <c r="C74" s="163"/>
      <c r="D74" s="163"/>
      <c r="E74" s="175"/>
      <c r="F74" s="175"/>
      <c r="G74" s="130"/>
      <c r="H74" s="222" t="str">
        <f t="shared" si="1"/>
        <v/>
      </c>
      <c r="I74" s="222" t="str">
        <f t="shared" si="2"/>
        <v/>
      </c>
      <c r="J74" s="67"/>
      <c r="K74" s="67"/>
      <c r="L74" s="361" t="s">
        <v>1237</v>
      </c>
      <c r="M74" s="294">
        <f t="shared" si="3"/>
        <v>0</v>
      </c>
      <c r="N74" s="176"/>
      <c r="O74" s="163"/>
      <c r="P74" s="163"/>
      <c r="Q74" s="175"/>
      <c r="R74" s="175"/>
      <c r="S74" s="130"/>
      <c r="T74" s="223" t="str">
        <f t="shared" si="4"/>
        <v/>
      </c>
      <c r="U74" s="222" t="str">
        <f t="shared" si="5"/>
        <v/>
      </c>
      <c r="V74" s="362" t="s">
        <v>1237</v>
      </c>
      <c r="W74" s="72"/>
    </row>
    <row r="75" spans="1:23" x14ac:dyDescent="0.2">
      <c r="A75" s="293">
        <f t="shared" si="0"/>
        <v>0</v>
      </c>
      <c r="B75" s="163"/>
      <c r="C75" s="163"/>
      <c r="D75" s="163"/>
      <c r="E75" s="175"/>
      <c r="F75" s="175"/>
      <c r="G75" s="130"/>
      <c r="H75" s="222" t="str">
        <f t="shared" si="1"/>
        <v/>
      </c>
      <c r="I75" s="222" t="str">
        <f t="shared" si="2"/>
        <v/>
      </c>
      <c r="J75" s="67"/>
      <c r="K75" s="67"/>
      <c r="L75" s="361" t="s">
        <v>1237</v>
      </c>
      <c r="M75" s="294">
        <f t="shared" si="3"/>
        <v>0</v>
      </c>
      <c r="N75" s="176"/>
      <c r="O75" s="163"/>
      <c r="P75" s="163"/>
      <c r="Q75" s="175"/>
      <c r="R75" s="175"/>
      <c r="S75" s="130"/>
      <c r="T75" s="223" t="str">
        <f t="shared" si="4"/>
        <v/>
      </c>
      <c r="U75" s="222" t="str">
        <f t="shared" si="5"/>
        <v/>
      </c>
      <c r="V75" s="362" t="s">
        <v>1237</v>
      </c>
      <c r="W75" s="72"/>
    </row>
    <row r="76" spans="1:23" x14ac:dyDescent="0.2">
      <c r="A76" s="293">
        <f t="shared" si="0"/>
        <v>0</v>
      </c>
      <c r="B76" s="163"/>
      <c r="C76" s="163"/>
      <c r="D76" s="163"/>
      <c r="E76" s="175"/>
      <c r="F76" s="175"/>
      <c r="G76" s="130"/>
      <c r="H76" s="222" t="str">
        <f t="shared" si="1"/>
        <v/>
      </c>
      <c r="I76" s="222" t="str">
        <f t="shared" si="2"/>
        <v/>
      </c>
      <c r="J76" s="67"/>
      <c r="K76" s="67"/>
      <c r="L76" s="361" t="s">
        <v>1237</v>
      </c>
      <c r="M76" s="294">
        <f t="shared" si="3"/>
        <v>0</v>
      </c>
      <c r="N76" s="176"/>
      <c r="O76" s="163"/>
      <c r="P76" s="163"/>
      <c r="Q76" s="175"/>
      <c r="R76" s="175"/>
      <c r="S76" s="130"/>
      <c r="T76" s="223" t="str">
        <f t="shared" si="4"/>
        <v/>
      </c>
      <c r="U76" s="222" t="str">
        <f t="shared" si="5"/>
        <v/>
      </c>
      <c r="V76" s="362" t="s">
        <v>1237</v>
      </c>
      <c r="W76" s="72"/>
    </row>
    <row r="77" spans="1:23" x14ac:dyDescent="0.2">
      <c r="A77" s="293">
        <f t="shared" si="0"/>
        <v>0</v>
      </c>
      <c r="B77" s="163"/>
      <c r="C77" s="163"/>
      <c r="D77" s="163"/>
      <c r="E77" s="175"/>
      <c r="F77" s="175"/>
      <c r="G77" s="130"/>
      <c r="H77" s="222" t="str">
        <f t="shared" si="1"/>
        <v/>
      </c>
      <c r="I77" s="222" t="str">
        <f t="shared" si="2"/>
        <v/>
      </c>
      <c r="J77" s="67"/>
      <c r="K77" s="67"/>
      <c r="L77" s="361" t="s">
        <v>1237</v>
      </c>
      <c r="M77" s="294">
        <f t="shared" si="3"/>
        <v>0</v>
      </c>
      <c r="N77" s="176"/>
      <c r="O77" s="163"/>
      <c r="P77" s="163"/>
      <c r="Q77" s="175"/>
      <c r="R77" s="175"/>
      <c r="S77" s="130"/>
      <c r="T77" s="223" t="str">
        <f t="shared" si="4"/>
        <v/>
      </c>
      <c r="U77" s="222" t="str">
        <f t="shared" si="5"/>
        <v/>
      </c>
      <c r="V77" s="362" t="s">
        <v>1237</v>
      </c>
      <c r="W77" s="72"/>
    </row>
    <row r="78" spans="1:23" x14ac:dyDescent="0.2">
      <c r="A78" s="293">
        <f t="shared" si="0"/>
        <v>0</v>
      </c>
      <c r="B78" s="163"/>
      <c r="C78" s="163"/>
      <c r="D78" s="163"/>
      <c r="E78" s="175"/>
      <c r="F78" s="175"/>
      <c r="G78" s="130"/>
      <c r="H78" s="222" t="str">
        <f t="shared" si="1"/>
        <v/>
      </c>
      <c r="I78" s="222" t="str">
        <f t="shared" si="2"/>
        <v/>
      </c>
      <c r="J78" s="67"/>
      <c r="K78" s="67"/>
      <c r="L78" s="361" t="s">
        <v>1237</v>
      </c>
      <c r="M78" s="294">
        <f t="shared" si="3"/>
        <v>0</v>
      </c>
      <c r="N78" s="176"/>
      <c r="O78" s="163"/>
      <c r="P78" s="163"/>
      <c r="Q78" s="175"/>
      <c r="R78" s="175"/>
      <c r="S78" s="130"/>
      <c r="T78" s="223" t="str">
        <f t="shared" si="4"/>
        <v/>
      </c>
      <c r="U78" s="222" t="str">
        <f t="shared" si="5"/>
        <v/>
      </c>
      <c r="V78" s="362" t="s">
        <v>1237</v>
      </c>
      <c r="W78" s="72"/>
    </row>
    <row r="79" spans="1:23" x14ac:dyDescent="0.2">
      <c r="A79" s="293">
        <f t="shared" si="0"/>
        <v>0</v>
      </c>
      <c r="B79" s="163"/>
      <c r="C79" s="163"/>
      <c r="D79" s="163"/>
      <c r="E79" s="175"/>
      <c r="F79" s="175"/>
      <c r="G79" s="130"/>
      <c r="H79" s="222" t="str">
        <f t="shared" si="1"/>
        <v/>
      </c>
      <c r="I79" s="222" t="str">
        <f t="shared" si="2"/>
        <v/>
      </c>
      <c r="J79" s="67"/>
      <c r="K79" s="67"/>
      <c r="L79" s="361" t="s">
        <v>1237</v>
      </c>
      <c r="M79" s="294">
        <f t="shared" si="3"/>
        <v>0</v>
      </c>
      <c r="N79" s="176"/>
      <c r="O79" s="163"/>
      <c r="P79" s="163"/>
      <c r="Q79" s="175"/>
      <c r="R79" s="175"/>
      <c r="S79" s="130"/>
      <c r="T79" s="223" t="str">
        <f t="shared" si="4"/>
        <v/>
      </c>
      <c r="U79" s="222" t="str">
        <f t="shared" si="5"/>
        <v/>
      </c>
      <c r="V79" s="362" t="s">
        <v>1237</v>
      </c>
      <c r="W79" s="72"/>
    </row>
    <row r="80" spans="1:23" x14ac:dyDescent="0.2">
      <c r="A80" s="293">
        <f t="shared" si="0"/>
        <v>0</v>
      </c>
      <c r="B80" s="163"/>
      <c r="C80" s="163"/>
      <c r="D80" s="163"/>
      <c r="E80" s="175"/>
      <c r="F80" s="175"/>
      <c r="G80" s="130"/>
      <c r="H80" s="222" t="str">
        <f t="shared" si="1"/>
        <v/>
      </c>
      <c r="I80" s="222" t="str">
        <f t="shared" si="2"/>
        <v/>
      </c>
      <c r="J80" s="67"/>
      <c r="K80" s="67"/>
      <c r="L80" s="361" t="s">
        <v>1237</v>
      </c>
      <c r="M80" s="294">
        <f t="shared" si="3"/>
        <v>0</v>
      </c>
      <c r="N80" s="176"/>
      <c r="O80" s="163"/>
      <c r="P80" s="163"/>
      <c r="Q80" s="175"/>
      <c r="R80" s="175"/>
      <c r="S80" s="130"/>
      <c r="T80" s="223" t="str">
        <f t="shared" si="4"/>
        <v/>
      </c>
      <c r="U80" s="222" t="str">
        <f t="shared" si="5"/>
        <v/>
      </c>
      <c r="V80" s="362" t="s">
        <v>1237</v>
      </c>
      <c r="W80" s="72"/>
    </row>
    <row r="81" spans="1:23" x14ac:dyDescent="0.2">
      <c r="A81" s="293">
        <f t="shared" si="0"/>
        <v>0</v>
      </c>
      <c r="B81" s="163"/>
      <c r="C81" s="163"/>
      <c r="D81" s="163"/>
      <c r="E81" s="175"/>
      <c r="F81" s="175"/>
      <c r="G81" s="130"/>
      <c r="H81" s="222" t="str">
        <f t="shared" si="1"/>
        <v/>
      </c>
      <c r="I81" s="222" t="str">
        <f t="shared" si="2"/>
        <v/>
      </c>
      <c r="J81" s="67"/>
      <c r="K81" s="67"/>
      <c r="L81" s="361" t="s">
        <v>1237</v>
      </c>
      <c r="M81" s="294">
        <f t="shared" si="3"/>
        <v>0</v>
      </c>
      <c r="N81" s="176"/>
      <c r="O81" s="163"/>
      <c r="P81" s="163"/>
      <c r="Q81" s="175"/>
      <c r="R81" s="175"/>
      <c r="S81" s="130"/>
      <c r="T81" s="223" t="str">
        <f t="shared" si="4"/>
        <v/>
      </c>
      <c r="U81" s="222" t="str">
        <f t="shared" si="5"/>
        <v/>
      </c>
      <c r="V81" s="362" t="s">
        <v>1237</v>
      </c>
      <c r="W81" s="72"/>
    </row>
    <row r="82" spans="1:23" x14ac:dyDescent="0.2">
      <c r="A82" s="293">
        <f t="shared" ref="A82:A116" si="6">IF(B82&lt;&gt;"",ROW(A66),0)</f>
        <v>0</v>
      </c>
      <c r="B82" s="163"/>
      <c r="C82" s="163"/>
      <c r="D82" s="163"/>
      <c r="E82" s="175"/>
      <c r="F82" s="175"/>
      <c r="G82" s="130"/>
      <c r="H82" s="222" t="str">
        <f t="shared" ref="H82:H116" si="7">IF(ROW(A66)&lt;=$A$16,F82*E82,"")</f>
        <v/>
      </c>
      <c r="I82" s="222" t="str">
        <f t="shared" ref="I82:I116" si="8">IFERROR(H82/52,"")</f>
        <v/>
      </c>
      <c r="J82" s="67"/>
      <c r="K82" s="67"/>
      <c r="L82" s="361" t="s">
        <v>1237</v>
      </c>
      <c r="M82" s="294">
        <f t="shared" ref="M82:M116" si="9">IF(N82&lt;&gt;"",ROW(A66),0)</f>
        <v>0</v>
      </c>
      <c r="N82" s="176"/>
      <c r="O82" s="163"/>
      <c r="P82" s="163"/>
      <c r="Q82" s="175"/>
      <c r="R82" s="175"/>
      <c r="S82" s="130"/>
      <c r="T82" s="223" t="str">
        <f t="shared" ref="T82:T116" si="10">IF(ROW(A66)&lt;=$M$16,R82*Q82,"")</f>
        <v/>
      </c>
      <c r="U82" s="222" t="str">
        <f t="shared" ref="U82:U116" si="11">IFERROR(T82/52,"")</f>
        <v/>
      </c>
      <c r="V82" s="362" t="s">
        <v>1237</v>
      </c>
      <c r="W82" s="72"/>
    </row>
    <row r="83" spans="1:23" x14ac:dyDescent="0.2">
      <c r="A83" s="293">
        <f t="shared" si="6"/>
        <v>0</v>
      </c>
      <c r="B83" s="163"/>
      <c r="C83" s="163"/>
      <c r="D83" s="163"/>
      <c r="E83" s="175"/>
      <c r="F83" s="175"/>
      <c r="G83" s="130"/>
      <c r="H83" s="222" t="str">
        <f t="shared" si="7"/>
        <v/>
      </c>
      <c r="I83" s="222" t="str">
        <f t="shared" si="8"/>
        <v/>
      </c>
      <c r="J83" s="67"/>
      <c r="K83" s="67"/>
      <c r="L83" s="361" t="s">
        <v>1237</v>
      </c>
      <c r="M83" s="294">
        <f t="shared" si="9"/>
        <v>0</v>
      </c>
      <c r="N83" s="176"/>
      <c r="O83" s="163"/>
      <c r="P83" s="163"/>
      <c r="Q83" s="175"/>
      <c r="R83" s="175"/>
      <c r="S83" s="130"/>
      <c r="T83" s="223" t="str">
        <f t="shared" si="10"/>
        <v/>
      </c>
      <c r="U83" s="222" t="str">
        <f t="shared" si="11"/>
        <v/>
      </c>
      <c r="V83" s="362" t="s">
        <v>1237</v>
      </c>
      <c r="W83" s="72"/>
    </row>
    <row r="84" spans="1:23" x14ac:dyDescent="0.2">
      <c r="A84" s="293">
        <f t="shared" si="6"/>
        <v>0</v>
      </c>
      <c r="B84" s="163"/>
      <c r="C84" s="163"/>
      <c r="D84" s="163"/>
      <c r="E84" s="175"/>
      <c r="F84" s="175"/>
      <c r="G84" s="130"/>
      <c r="H84" s="222" t="str">
        <f t="shared" si="7"/>
        <v/>
      </c>
      <c r="I84" s="222" t="str">
        <f t="shared" si="8"/>
        <v/>
      </c>
      <c r="J84" s="67"/>
      <c r="K84" s="67"/>
      <c r="L84" s="361" t="s">
        <v>1237</v>
      </c>
      <c r="M84" s="294">
        <f t="shared" si="9"/>
        <v>0</v>
      </c>
      <c r="N84" s="176"/>
      <c r="O84" s="163"/>
      <c r="P84" s="163"/>
      <c r="Q84" s="175"/>
      <c r="R84" s="175"/>
      <c r="S84" s="130"/>
      <c r="T84" s="223" t="str">
        <f t="shared" si="10"/>
        <v/>
      </c>
      <c r="U84" s="222" t="str">
        <f t="shared" si="11"/>
        <v/>
      </c>
      <c r="V84" s="362" t="s">
        <v>1237</v>
      </c>
      <c r="W84" s="72"/>
    </row>
    <row r="85" spans="1:23" x14ac:dyDescent="0.2">
      <c r="A85" s="293">
        <f t="shared" si="6"/>
        <v>0</v>
      </c>
      <c r="B85" s="163"/>
      <c r="C85" s="163"/>
      <c r="D85" s="163"/>
      <c r="E85" s="175"/>
      <c r="F85" s="175"/>
      <c r="G85" s="130"/>
      <c r="H85" s="222" t="str">
        <f t="shared" si="7"/>
        <v/>
      </c>
      <c r="I85" s="222" t="str">
        <f t="shared" si="8"/>
        <v/>
      </c>
      <c r="J85" s="67"/>
      <c r="K85" s="67"/>
      <c r="L85" s="361" t="s">
        <v>1237</v>
      </c>
      <c r="M85" s="294">
        <f t="shared" si="9"/>
        <v>0</v>
      </c>
      <c r="N85" s="176"/>
      <c r="O85" s="163"/>
      <c r="P85" s="163"/>
      <c r="Q85" s="175"/>
      <c r="R85" s="175"/>
      <c r="S85" s="130"/>
      <c r="T85" s="223" t="str">
        <f t="shared" si="10"/>
        <v/>
      </c>
      <c r="U85" s="222" t="str">
        <f t="shared" si="11"/>
        <v/>
      </c>
      <c r="V85" s="362" t="s">
        <v>1237</v>
      </c>
      <c r="W85" s="72"/>
    </row>
    <row r="86" spans="1:23" x14ac:dyDescent="0.2">
      <c r="A86" s="293">
        <f t="shared" si="6"/>
        <v>0</v>
      </c>
      <c r="B86" s="163"/>
      <c r="C86" s="163"/>
      <c r="D86" s="163"/>
      <c r="E86" s="175"/>
      <c r="F86" s="175"/>
      <c r="G86" s="130"/>
      <c r="H86" s="222" t="str">
        <f t="shared" si="7"/>
        <v/>
      </c>
      <c r="I86" s="222" t="str">
        <f t="shared" si="8"/>
        <v/>
      </c>
      <c r="J86" s="67"/>
      <c r="K86" s="67"/>
      <c r="L86" s="361" t="s">
        <v>1237</v>
      </c>
      <c r="M86" s="294">
        <f t="shared" si="9"/>
        <v>0</v>
      </c>
      <c r="N86" s="176"/>
      <c r="O86" s="163"/>
      <c r="P86" s="163"/>
      <c r="Q86" s="175"/>
      <c r="R86" s="175"/>
      <c r="S86" s="130"/>
      <c r="T86" s="223" t="str">
        <f t="shared" si="10"/>
        <v/>
      </c>
      <c r="U86" s="222" t="str">
        <f t="shared" si="11"/>
        <v/>
      </c>
      <c r="V86" s="362" t="s">
        <v>1237</v>
      </c>
      <c r="W86" s="72"/>
    </row>
    <row r="87" spans="1:23" x14ac:dyDescent="0.2">
      <c r="A87" s="293">
        <f t="shared" si="6"/>
        <v>0</v>
      </c>
      <c r="B87" s="163"/>
      <c r="C87" s="163"/>
      <c r="D87" s="163"/>
      <c r="E87" s="175"/>
      <c r="F87" s="175"/>
      <c r="G87" s="130"/>
      <c r="H87" s="222" t="str">
        <f t="shared" si="7"/>
        <v/>
      </c>
      <c r="I87" s="222" t="str">
        <f t="shared" si="8"/>
        <v/>
      </c>
      <c r="J87" s="67"/>
      <c r="K87" s="67"/>
      <c r="L87" s="361" t="s">
        <v>1237</v>
      </c>
      <c r="M87" s="294">
        <f t="shared" si="9"/>
        <v>0</v>
      </c>
      <c r="N87" s="176"/>
      <c r="O87" s="163"/>
      <c r="P87" s="163"/>
      <c r="Q87" s="175"/>
      <c r="R87" s="175"/>
      <c r="S87" s="130"/>
      <c r="T87" s="223" t="str">
        <f t="shared" si="10"/>
        <v/>
      </c>
      <c r="U87" s="222" t="str">
        <f t="shared" si="11"/>
        <v/>
      </c>
      <c r="V87" s="362" t="s">
        <v>1237</v>
      </c>
      <c r="W87" s="72"/>
    </row>
    <row r="88" spans="1:23" x14ac:dyDescent="0.2">
      <c r="A88" s="293">
        <f t="shared" si="6"/>
        <v>0</v>
      </c>
      <c r="B88" s="163"/>
      <c r="C88" s="163"/>
      <c r="D88" s="163"/>
      <c r="E88" s="175"/>
      <c r="F88" s="175"/>
      <c r="G88" s="130"/>
      <c r="H88" s="222" t="str">
        <f t="shared" si="7"/>
        <v/>
      </c>
      <c r="I88" s="222" t="str">
        <f t="shared" si="8"/>
        <v/>
      </c>
      <c r="J88" s="67"/>
      <c r="K88" s="67"/>
      <c r="L88" s="361" t="s">
        <v>1237</v>
      </c>
      <c r="M88" s="294">
        <f t="shared" si="9"/>
        <v>0</v>
      </c>
      <c r="N88" s="176"/>
      <c r="O88" s="163"/>
      <c r="P88" s="163"/>
      <c r="Q88" s="175"/>
      <c r="R88" s="175"/>
      <c r="S88" s="130"/>
      <c r="T88" s="223" t="str">
        <f t="shared" si="10"/>
        <v/>
      </c>
      <c r="U88" s="222" t="str">
        <f t="shared" si="11"/>
        <v/>
      </c>
      <c r="V88" s="362" t="s">
        <v>1237</v>
      </c>
      <c r="W88" s="72"/>
    </row>
    <row r="89" spans="1:23" x14ac:dyDescent="0.2">
      <c r="A89" s="293">
        <f t="shared" si="6"/>
        <v>0</v>
      </c>
      <c r="B89" s="163"/>
      <c r="C89" s="163"/>
      <c r="D89" s="163"/>
      <c r="E89" s="175"/>
      <c r="F89" s="175"/>
      <c r="G89" s="130"/>
      <c r="H89" s="222" t="str">
        <f t="shared" si="7"/>
        <v/>
      </c>
      <c r="I89" s="222" t="str">
        <f t="shared" si="8"/>
        <v/>
      </c>
      <c r="J89" s="67"/>
      <c r="K89" s="67"/>
      <c r="L89" s="361" t="s">
        <v>1237</v>
      </c>
      <c r="M89" s="294">
        <f t="shared" si="9"/>
        <v>0</v>
      </c>
      <c r="N89" s="176"/>
      <c r="O89" s="163"/>
      <c r="P89" s="163"/>
      <c r="Q89" s="175"/>
      <c r="R89" s="175"/>
      <c r="S89" s="130"/>
      <c r="T89" s="223" t="str">
        <f t="shared" si="10"/>
        <v/>
      </c>
      <c r="U89" s="222" t="str">
        <f t="shared" si="11"/>
        <v/>
      </c>
      <c r="V89" s="362" t="s">
        <v>1237</v>
      </c>
      <c r="W89" s="72"/>
    </row>
    <row r="90" spans="1:23" x14ac:dyDescent="0.2">
      <c r="A90" s="293">
        <f t="shared" si="6"/>
        <v>0</v>
      </c>
      <c r="B90" s="163"/>
      <c r="C90" s="163"/>
      <c r="D90" s="163"/>
      <c r="E90" s="175"/>
      <c r="F90" s="175"/>
      <c r="G90" s="130"/>
      <c r="H90" s="222" t="str">
        <f t="shared" si="7"/>
        <v/>
      </c>
      <c r="I90" s="222" t="str">
        <f t="shared" si="8"/>
        <v/>
      </c>
      <c r="J90" s="67"/>
      <c r="K90" s="67"/>
      <c r="L90" s="361" t="s">
        <v>1237</v>
      </c>
      <c r="M90" s="294">
        <f t="shared" si="9"/>
        <v>0</v>
      </c>
      <c r="N90" s="176"/>
      <c r="O90" s="163"/>
      <c r="P90" s="163"/>
      <c r="Q90" s="175"/>
      <c r="R90" s="175"/>
      <c r="S90" s="130"/>
      <c r="T90" s="223" t="str">
        <f t="shared" si="10"/>
        <v/>
      </c>
      <c r="U90" s="222" t="str">
        <f t="shared" si="11"/>
        <v/>
      </c>
      <c r="V90" s="362" t="s">
        <v>1237</v>
      </c>
      <c r="W90" s="72"/>
    </row>
    <row r="91" spans="1:23" x14ac:dyDescent="0.2">
      <c r="A91" s="293">
        <f t="shared" si="6"/>
        <v>0</v>
      </c>
      <c r="B91" s="163"/>
      <c r="C91" s="163"/>
      <c r="D91" s="163"/>
      <c r="E91" s="175"/>
      <c r="F91" s="175"/>
      <c r="G91" s="130"/>
      <c r="H91" s="222" t="str">
        <f t="shared" si="7"/>
        <v/>
      </c>
      <c r="I91" s="222" t="str">
        <f t="shared" si="8"/>
        <v/>
      </c>
      <c r="J91" s="67"/>
      <c r="K91" s="67"/>
      <c r="L91" s="361" t="s">
        <v>1237</v>
      </c>
      <c r="M91" s="294">
        <f t="shared" si="9"/>
        <v>0</v>
      </c>
      <c r="N91" s="176"/>
      <c r="O91" s="163"/>
      <c r="P91" s="163"/>
      <c r="Q91" s="175"/>
      <c r="R91" s="175"/>
      <c r="S91" s="130"/>
      <c r="T91" s="223" t="str">
        <f t="shared" si="10"/>
        <v/>
      </c>
      <c r="U91" s="222" t="str">
        <f t="shared" si="11"/>
        <v/>
      </c>
      <c r="V91" s="362" t="s">
        <v>1237</v>
      </c>
      <c r="W91" s="72"/>
    </row>
    <row r="92" spans="1:23" x14ac:dyDescent="0.2">
      <c r="A92" s="293">
        <f t="shared" si="6"/>
        <v>0</v>
      </c>
      <c r="B92" s="163"/>
      <c r="C92" s="163"/>
      <c r="D92" s="163"/>
      <c r="E92" s="175"/>
      <c r="F92" s="175"/>
      <c r="G92" s="130"/>
      <c r="H92" s="222" t="str">
        <f t="shared" si="7"/>
        <v/>
      </c>
      <c r="I92" s="222" t="str">
        <f t="shared" si="8"/>
        <v/>
      </c>
      <c r="J92" s="67"/>
      <c r="K92" s="67"/>
      <c r="L92" s="361" t="s">
        <v>1237</v>
      </c>
      <c r="M92" s="294">
        <f t="shared" si="9"/>
        <v>0</v>
      </c>
      <c r="N92" s="176"/>
      <c r="O92" s="163"/>
      <c r="P92" s="163"/>
      <c r="Q92" s="175"/>
      <c r="R92" s="175"/>
      <c r="S92" s="130"/>
      <c r="T92" s="223" t="str">
        <f t="shared" si="10"/>
        <v/>
      </c>
      <c r="U92" s="222" t="str">
        <f t="shared" si="11"/>
        <v/>
      </c>
      <c r="V92" s="362" t="s">
        <v>1237</v>
      </c>
      <c r="W92" s="72"/>
    </row>
    <row r="93" spans="1:23" x14ac:dyDescent="0.2">
      <c r="A93" s="293">
        <f t="shared" si="6"/>
        <v>0</v>
      </c>
      <c r="B93" s="163"/>
      <c r="C93" s="163"/>
      <c r="D93" s="163"/>
      <c r="E93" s="175"/>
      <c r="F93" s="175"/>
      <c r="G93" s="130"/>
      <c r="H93" s="222" t="str">
        <f t="shared" si="7"/>
        <v/>
      </c>
      <c r="I93" s="222" t="str">
        <f t="shared" si="8"/>
        <v/>
      </c>
      <c r="J93" s="67"/>
      <c r="K93" s="67"/>
      <c r="L93" s="361" t="s">
        <v>1237</v>
      </c>
      <c r="M93" s="294">
        <f t="shared" si="9"/>
        <v>0</v>
      </c>
      <c r="N93" s="176"/>
      <c r="O93" s="163"/>
      <c r="P93" s="163"/>
      <c r="Q93" s="175"/>
      <c r="R93" s="175"/>
      <c r="S93" s="130"/>
      <c r="T93" s="223" t="str">
        <f t="shared" si="10"/>
        <v/>
      </c>
      <c r="U93" s="222" t="str">
        <f t="shared" si="11"/>
        <v/>
      </c>
      <c r="V93" s="362" t="s">
        <v>1237</v>
      </c>
      <c r="W93" s="72"/>
    </row>
    <row r="94" spans="1:23" x14ac:dyDescent="0.2">
      <c r="A94" s="293">
        <f t="shared" si="6"/>
        <v>0</v>
      </c>
      <c r="B94" s="163"/>
      <c r="C94" s="163"/>
      <c r="D94" s="163"/>
      <c r="E94" s="175"/>
      <c r="F94" s="175"/>
      <c r="G94" s="130"/>
      <c r="H94" s="222" t="str">
        <f t="shared" si="7"/>
        <v/>
      </c>
      <c r="I94" s="222" t="str">
        <f t="shared" si="8"/>
        <v/>
      </c>
      <c r="J94" s="67"/>
      <c r="K94" s="67"/>
      <c r="L94" s="361" t="s">
        <v>1237</v>
      </c>
      <c r="M94" s="294">
        <f t="shared" si="9"/>
        <v>0</v>
      </c>
      <c r="N94" s="176"/>
      <c r="O94" s="163"/>
      <c r="P94" s="163"/>
      <c r="Q94" s="175"/>
      <c r="R94" s="175"/>
      <c r="S94" s="130"/>
      <c r="T94" s="223" t="str">
        <f t="shared" si="10"/>
        <v/>
      </c>
      <c r="U94" s="222" t="str">
        <f t="shared" si="11"/>
        <v/>
      </c>
      <c r="V94" s="362" t="s">
        <v>1237</v>
      </c>
      <c r="W94" s="72"/>
    </row>
    <row r="95" spans="1:23" x14ac:dyDescent="0.2">
      <c r="A95" s="293">
        <f t="shared" si="6"/>
        <v>0</v>
      </c>
      <c r="B95" s="163"/>
      <c r="C95" s="163"/>
      <c r="D95" s="163"/>
      <c r="E95" s="175"/>
      <c r="F95" s="175"/>
      <c r="G95" s="130"/>
      <c r="H95" s="222" t="str">
        <f t="shared" si="7"/>
        <v/>
      </c>
      <c r="I95" s="222" t="str">
        <f t="shared" si="8"/>
        <v/>
      </c>
      <c r="J95" s="67"/>
      <c r="K95" s="67"/>
      <c r="L95" s="361" t="s">
        <v>1237</v>
      </c>
      <c r="M95" s="294">
        <f t="shared" si="9"/>
        <v>0</v>
      </c>
      <c r="N95" s="176"/>
      <c r="O95" s="163"/>
      <c r="P95" s="163"/>
      <c r="Q95" s="175"/>
      <c r="R95" s="175"/>
      <c r="S95" s="130"/>
      <c r="T95" s="223" t="str">
        <f t="shared" si="10"/>
        <v/>
      </c>
      <c r="U95" s="222" t="str">
        <f t="shared" si="11"/>
        <v/>
      </c>
      <c r="V95" s="362" t="s">
        <v>1237</v>
      </c>
      <c r="W95" s="72"/>
    </row>
    <row r="96" spans="1:23" x14ac:dyDescent="0.2">
      <c r="A96" s="293">
        <f t="shared" si="6"/>
        <v>0</v>
      </c>
      <c r="B96" s="163"/>
      <c r="C96" s="163"/>
      <c r="D96" s="163"/>
      <c r="E96" s="175"/>
      <c r="F96" s="175"/>
      <c r="G96" s="130"/>
      <c r="H96" s="222" t="str">
        <f t="shared" si="7"/>
        <v/>
      </c>
      <c r="I96" s="222" t="str">
        <f t="shared" si="8"/>
        <v/>
      </c>
      <c r="J96" s="67"/>
      <c r="K96" s="67"/>
      <c r="L96" s="361" t="s">
        <v>1237</v>
      </c>
      <c r="M96" s="294">
        <f t="shared" si="9"/>
        <v>0</v>
      </c>
      <c r="N96" s="176"/>
      <c r="O96" s="163"/>
      <c r="P96" s="163"/>
      <c r="Q96" s="175"/>
      <c r="R96" s="175"/>
      <c r="S96" s="130"/>
      <c r="T96" s="223" t="str">
        <f t="shared" si="10"/>
        <v/>
      </c>
      <c r="U96" s="222" t="str">
        <f t="shared" si="11"/>
        <v/>
      </c>
      <c r="V96" s="362" t="s">
        <v>1237</v>
      </c>
      <c r="W96" s="72"/>
    </row>
    <row r="97" spans="1:23" x14ac:dyDescent="0.2">
      <c r="A97" s="293">
        <f t="shared" si="6"/>
        <v>0</v>
      </c>
      <c r="B97" s="163"/>
      <c r="C97" s="163"/>
      <c r="D97" s="163"/>
      <c r="E97" s="175"/>
      <c r="F97" s="175"/>
      <c r="G97" s="130"/>
      <c r="H97" s="222" t="str">
        <f t="shared" si="7"/>
        <v/>
      </c>
      <c r="I97" s="222" t="str">
        <f t="shared" si="8"/>
        <v/>
      </c>
      <c r="J97" s="67"/>
      <c r="K97" s="67"/>
      <c r="L97" s="361" t="s">
        <v>1237</v>
      </c>
      <c r="M97" s="294">
        <f t="shared" si="9"/>
        <v>0</v>
      </c>
      <c r="N97" s="176"/>
      <c r="O97" s="163"/>
      <c r="P97" s="163"/>
      <c r="Q97" s="175"/>
      <c r="R97" s="175"/>
      <c r="S97" s="130"/>
      <c r="T97" s="223" t="str">
        <f t="shared" si="10"/>
        <v/>
      </c>
      <c r="U97" s="222" t="str">
        <f t="shared" si="11"/>
        <v/>
      </c>
      <c r="V97" s="362" t="s">
        <v>1237</v>
      </c>
      <c r="W97" s="72"/>
    </row>
    <row r="98" spans="1:23" x14ac:dyDescent="0.2">
      <c r="A98" s="293">
        <f t="shared" si="6"/>
        <v>0</v>
      </c>
      <c r="B98" s="163"/>
      <c r="C98" s="163"/>
      <c r="D98" s="163"/>
      <c r="E98" s="175"/>
      <c r="F98" s="175"/>
      <c r="G98" s="130"/>
      <c r="H98" s="222" t="str">
        <f t="shared" si="7"/>
        <v/>
      </c>
      <c r="I98" s="222" t="str">
        <f t="shared" si="8"/>
        <v/>
      </c>
      <c r="J98" s="67"/>
      <c r="K98" s="67"/>
      <c r="L98" s="361" t="s">
        <v>1237</v>
      </c>
      <c r="M98" s="294">
        <f t="shared" si="9"/>
        <v>0</v>
      </c>
      <c r="N98" s="176"/>
      <c r="O98" s="163"/>
      <c r="P98" s="163"/>
      <c r="Q98" s="175"/>
      <c r="R98" s="175"/>
      <c r="S98" s="130"/>
      <c r="T98" s="223" t="str">
        <f t="shared" si="10"/>
        <v/>
      </c>
      <c r="U98" s="222" t="str">
        <f t="shared" si="11"/>
        <v/>
      </c>
      <c r="V98" s="362" t="s">
        <v>1237</v>
      </c>
      <c r="W98" s="72"/>
    </row>
    <row r="99" spans="1:23" x14ac:dyDescent="0.2">
      <c r="A99" s="293">
        <f t="shared" si="6"/>
        <v>0</v>
      </c>
      <c r="B99" s="163"/>
      <c r="C99" s="163"/>
      <c r="D99" s="163"/>
      <c r="E99" s="175"/>
      <c r="F99" s="175"/>
      <c r="G99" s="130"/>
      <c r="H99" s="222" t="str">
        <f t="shared" si="7"/>
        <v/>
      </c>
      <c r="I99" s="222" t="str">
        <f t="shared" si="8"/>
        <v/>
      </c>
      <c r="J99" s="67"/>
      <c r="K99" s="67"/>
      <c r="L99" s="361" t="s">
        <v>1237</v>
      </c>
      <c r="M99" s="294">
        <f t="shared" si="9"/>
        <v>0</v>
      </c>
      <c r="N99" s="176"/>
      <c r="O99" s="163"/>
      <c r="P99" s="163"/>
      <c r="Q99" s="175"/>
      <c r="R99" s="175"/>
      <c r="S99" s="130"/>
      <c r="T99" s="223" t="str">
        <f t="shared" si="10"/>
        <v/>
      </c>
      <c r="U99" s="222" t="str">
        <f t="shared" si="11"/>
        <v/>
      </c>
      <c r="V99" s="362" t="s">
        <v>1237</v>
      </c>
      <c r="W99" s="72"/>
    </row>
    <row r="100" spans="1:23" x14ac:dyDescent="0.2">
      <c r="A100" s="293">
        <f t="shared" si="6"/>
        <v>0</v>
      </c>
      <c r="B100" s="163"/>
      <c r="C100" s="163"/>
      <c r="D100" s="163"/>
      <c r="E100" s="175"/>
      <c r="F100" s="175"/>
      <c r="G100" s="130"/>
      <c r="H100" s="222" t="str">
        <f t="shared" si="7"/>
        <v/>
      </c>
      <c r="I100" s="222" t="str">
        <f t="shared" si="8"/>
        <v/>
      </c>
      <c r="J100" s="67"/>
      <c r="K100" s="67"/>
      <c r="L100" s="361" t="s">
        <v>1237</v>
      </c>
      <c r="M100" s="294">
        <f t="shared" si="9"/>
        <v>0</v>
      </c>
      <c r="N100" s="176"/>
      <c r="O100" s="163"/>
      <c r="P100" s="163"/>
      <c r="Q100" s="175"/>
      <c r="R100" s="175"/>
      <c r="S100" s="130"/>
      <c r="T100" s="223" t="str">
        <f t="shared" si="10"/>
        <v/>
      </c>
      <c r="U100" s="222" t="str">
        <f t="shared" si="11"/>
        <v/>
      </c>
      <c r="V100" s="362" t="s">
        <v>1237</v>
      </c>
      <c r="W100" s="72"/>
    </row>
    <row r="101" spans="1:23" x14ac:dyDescent="0.2">
      <c r="A101" s="293">
        <f t="shared" si="6"/>
        <v>0</v>
      </c>
      <c r="B101" s="163"/>
      <c r="C101" s="163"/>
      <c r="D101" s="163"/>
      <c r="E101" s="175"/>
      <c r="F101" s="175"/>
      <c r="G101" s="130"/>
      <c r="H101" s="222" t="str">
        <f t="shared" si="7"/>
        <v/>
      </c>
      <c r="I101" s="222" t="str">
        <f t="shared" si="8"/>
        <v/>
      </c>
      <c r="J101" s="67"/>
      <c r="K101" s="67"/>
      <c r="L101" s="361" t="s">
        <v>1237</v>
      </c>
      <c r="M101" s="294">
        <f t="shared" si="9"/>
        <v>0</v>
      </c>
      <c r="N101" s="176"/>
      <c r="O101" s="163"/>
      <c r="P101" s="163"/>
      <c r="Q101" s="175"/>
      <c r="R101" s="175"/>
      <c r="S101" s="130"/>
      <c r="T101" s="223" t="str">
        <f t="shared" si="10"/>
        <v/>
      </c>
      <c r="U101" s="222" t="str">
        <f t="shared" si="11"/>
        <v/>
      </c>
      <c r="V101" s="362" t="s">
        <v>1237</v>
      </c>
      <c r="W101" s="72"/>
    </row>
    <row r="102" spans="1:23" x14ac:dyDescent="0.2">
      <c r="A102" s="293">
        <f t="shared" si="6"/>
        <v>0</v>
      </c>
      <c r="B102" s="163"/>
      <c r="C102" s="163"/>
      <c r="D102" s="163"/>
      <c r="E102" s="175"/>
      <c r="F102" s="175"/>
      <c r="G102" s="130"/>
      <c r="H102" s="222" t="str">
        <f t="shared" si="7"/>
        <v/>
      </c>
      <c r="I102" s="222" t="str">
        <f t="shared" si="8"/>
        <v/>
      </c>
      <c r="J102" s="67"/>
      <c r="K102" s="67"/>
      <c r="L102" s="361" t="s">
        <v>1237</v>
      </c>
      <c r="M102" s="294">
        <f t="shared" si="9"/>
        <v>0</v>
      </c>
      <c r="N102" s="176"/>
      <c r="O102" s="163"/>
      <c r="P102" s="163"/>
      <c r="Q102" s="175"/>
      <c r="R102" s="175"/>
      <c r="S102" s="130"/>
      <c r="T102" s="223" t="str">
        <f t="shared" si="10"/>
        <v/>
      </c>
      <c r="U102" s="222" t="str">
        <f t="shared" si="11"/>
        <v/>
      </c>
      <c r="V102" s="362" t="s">
        <v>1237</v>
      </c>
      <c r="W102" s="72"/>
    </row>
    <row r="103" spans="1:23" x14ac:dyDescent="0.2">
      <c r="A103" s="293">
        <f t="shared" si="6"/>
        <v>0</v>
      </c>
      <c r="B103" s="163"/>
      <c r="C103" s="163"/>
      <c r="D103" s="163"/>
      <c r="E103" s="175"/>
      <c r="F103" s="175"/>
      <c r="G103" s="130"/>
      <c r="H103" s="222" t="str">
        <f t="shared" si="7"/>
        <v/>
      </c>
      <c r="I103" s="222" t="str">
        <f t="shared" si="8"/>
        <v/>
      </c>
      <c r="J103" s="67"/>
      <c r="K103" s="67"/>
      <c r="L103" s="361" t="s">
        <v>1237</v>
      </c>
      <c r="M103" s="294">
        <f t="shared" si="9"/>
        <v>0</v>
      </c>
      <c r="N103" s="176"/>
      <c r="O103" s="163"/>
      <c r="P103" s="163"/>
      <c r="Q103" s="175"/>
      <c r="R103" s="175"/>
      <c r="S103" s="130"/>
      <c r="T103" s="223" t="str">
        <f t="shared" si="10"/>
        <v/>
      </c>
      <c r="U103" s="222" t="str">
        <f t="shared" si="11"/>
        <v/>
      </c>
      <c r="V103" s="362" t="s">
        <v>1237</v>
      </c>
      <c r="W103" s="72"/>
    </row>
    <row r="104" spans="1:23" x14ac:dyDescent="0.2">
      <c r="A104" s="293">
        <f t="shared" si="6"/>
        <v>0</v>
      </c>
      <c r="B104" s="163"/>
      <c r="C104" s="163"/>
      <c r="D104" s="163"/>
      <c r="E104" s="175"/>
      <c r="F104" s="175"/>
      <c r="G104" s="130"/>
      <c r="H104" s="222" t="str">
        <f t="shared" si="7"/>
        <v/>
      </c>
      <c r="I104" s="222" t="str">
        <f t="shared" si="8"/>
        <v/>
      </c>
      <c r="J104" s="67"/>
      <c r="K104" s="67"/>
      <c r="L104" s="361" t="s">
        <v>1237</v>
      </c>
      <c r="M104" s="294">
        <f t="shared" si="9"/>
        <v>0</v>
      </c>
      <c r="N104" s="176"/>
      <c r="O104" s="163"/>
      <c r="P104" s="163"/>
      <c r="Q104" s="175"/>
      <c r="R104" s="175"/>
      <c r="S104" s="130"/>
      <c r="T104" s="223" t="str">
        <f t="shared" si="10"/>
        <v/>
      </c>
      <c r="U104" s="222" t="str">
        <f t="shared" si="11"/>
        <v/>
      </c>
      <c r="V104" s="362" t="s">
        <v>1237</v>
      </c>
      <c r="W104" s="72"/>
    </row>
    <row r="105" spans="1:23" x14ac:dyDescent="0.2">
      <c r="A105" s="293">
        <f t="shared" si="6"/>
        <v>0</v>
      </c>
      <c r="B105" s="163"/>
      <c r="C105" s="163"/>
      <c r="D105" s="163"/>
      <c r="E105" s="175"/>
      <c r="F105" s="175"/>
      <c r="G105" s="130"/>
      <c r="H105" s="222" t="str">
        <f t="shared" si="7"/>
        <v/>
      </c>
      <c r="I105" s="222" t="str">
        <f t="shared" si="8"/>
        <v/>
      </c>
      <c r="J105" s="67"/>
      <c r="K105" s="67"/>
      <c r="L105" s="361" t="s">
        <v>1237</v>
      </c>
      <c r="M105" s="294">
        <f t="shared" si="9"/>
        <v>0</v>
      </c>
      <c r="N105" s="176"/>
      <c r="O105" s="163"/>
      <c r="P105" s="163"/>
      <c r="Q105" s="175"/>
      <c r="R105" s="175"/>
      <c r="S105" s="130"/>
      <c r="T105" s="223" t="str">
        <f t="shared" si="10"/>
        <v/>
      </c>
      <c r="U105" s="222" t="str">
        <f t="shared" si="11"/>
        <v/>
      </c>
      <c r="V105" s="362" t="s">
        <v>1237</v>
      </c>
      <c r="W105" s="72"/>
    </row>
    <row r="106" spans="1:23" x14ac:dyDescent="0.2">
      <c r="A106" s="293">
        <f t="shared" si="6"/>
        <v>0</v>
      </c>
      <c r="B106" s="163"/>
      <c r="C106" s="163"/>
      <c r="D106" s="163"/>
      <c r="E106" s="175"/>
      <c r="F106" s="175"/>
      <c r="G106" s="130"/>
      <c r="H106" s="222" t="str">
        <f t="shared" si="7"/>
        <v/>
      </c>
      <c r="I106" s="222" t="str">
        <f t="shared" si="8"/>
        <v/>
      </c>
      <c r="J106" s="67"/>
      <c r="K106" s="67"/>
      <c r="L106" s="361" t="s">
        <v>1237</v>
      </c>
      <c r="M106" s="294">
        <f t="shared" si="9"/>
        <v>0</v>
      </c>
      <c r="N106" s="176"/>
      <c r="O106" s="163"/>
      <c r="P106" s="163"/>
      <c r="Q106" s="175"/>
      <c r="R106" s="175"/>
      <c r="S106" s="130"/>
      <c r="T106" s="223" t="str">
        <f t="shared" si="10"/>
        <v/>
      </c>
      <c r="U106" s="222" t="str">
        <f t="shared" si="11"/>
        <v/>
      </c>
      <c r="V106" s="362" t="s">
        <v>1237</v>
      </c>
      <c r="W106" s="72"/>
    </row>
    <row r="107" spans="1:23" x14ac:dyDescent="0.2">
      <c r="A107" s="293">
        <f t="shared" si="6"/>
        <v>0</v>
      </c>
      <c r="B107" s="163"/>
      <c r="C107" s="163"/>
      <c r="D107" s="163"/>
      <c r="E107" s="175"/>
      <c r="F107" s="175"/>
      <c r="G107" s="130"/>
      <c r="H107" s="222" t="str">
        <f t="shared" si="7"/>
        <v/>
      </c>
      <c r="I107" s="222" t="str">
        <f t="shared" si="8"/>
        <v/>
      </c>
      <c r="J107" s="67"/>
      <c r="K107" s="67"/>
      <c r="L107" s="361" t="s">
        <v>1237</v>
      </c>
      <c r="M107" s="294">
        <f t="shared" si="9"/>
        <v>0</v>
      </c>
      <c r="N107" s="176"/>
      <c r="O107" s="163"/>
      <c r="P107" s="163"/>
      <c r="Q107" s="175"/>
      <c r="R107" s="175"/>
      <c r="S107" s="130"/>
      <c r="T107" s="223" t="str">
        <f t="shared" si="10"/>
        <v/>
      </c>
      <c r="U107" s="222" t="str">
        <f t="shared" si="11"/>
        <v/>
      </c>
      <c r="V107" s="362" t="s">
        <v>1237</v>
      </c>
      <c r="W107" s="72"/>
    </row>
    <row r="108" spans="1:23" x14ac:dyDescent="0.2">
      <c r="A108" s="293">
        <f t="shared" si="6"/>
        <v>0</v>
      </c>
      <c r="B108" s="163"/>
      <c r="C108" s="163"/>
      <c r="D108" s="163"/>
      <c r="E108" s="175"/>
      <c r="F108" s="175"/>
      <c r="G108" s="130"/>
      <c r="H108" s="222" t="str">
        <f t="shared" si="7"/>
        <v/>
      </c>
      <c r="I108" s="222" t="str">
        <f t="shared" si="8"/>
        <v/>
      </c>
      <c r="J108" s="67"/>
      <c r="K108" s="67"/>
      <c r="L108" s="361" t="s">
        <v>1237</v>
      </c>
      <c r="M108" s="294">
        <f t="shared" si="9"/>
        <v>0</v>
      </c>
      <c r="N108" s="176"/>
      <c r="O108" s="163"/>
      <c r="P108" s="163"/>
      <c r="Q108" s="175"/>
      <c r="R108" s="175"/>
      <c r="S108" s="130"/>
      <c r="T108" s="223" t="str">
        <f t="shared" si="10"/>
        <v/>
      </c>
      <c r="U108" s="222" t="str">
        <f t="shared" si="11"/>
        <v/>
      </c>
      <c r="V108" s="362" t="s">
        <v>1237</v>
      </c>
      <c r="W108" s="72"/>
    </row>
    <row r="109" spans="1:23" x14ac:dyDescent="0.2">
      <c r="A109" s="293">
        <f t="shared" si="6"/>
        <v>0</v>
      </c>
      <c r="B109" s="163"/>
      <c r="C109" s="163"/>
      <c r="D109" s="163"/>
      <c r="E109" s="175"/>
      <c r="F109" s="175"/>
      <c r="G109" s="130"/>
      <c r="H109" s="222" t="str">
        <f t="shared" si="7"/>
        <v/>
      </c>
      <c r="I109" s="222" t="str">
        <f t="shared" si="8"/>
        <v/>
      </c>
      <c r="J109" s="67"/>
      <c r="K109" s="67"/>
      <c r="L109" s="361" t="s">
        <v>1237</v>
      </c>
      <c r="M109" s="294">
        <f t="shared" si="9"/>
        <v>0</v>
      </c>
      <c r="N109" s="176"/>
      <c r="O109" s="163"/>
      <c r="P109" s="163"/>
      <c r="Q109" s="175"/>
      <c r="R109" s="175"/>
      <c r="S109" s="130"/>
      <c r="T109" s="223" t="str">
        <f t="shared" si="10"/>
        <v/>
      </c>
      <c r="U109" s="222" t="str">
        <f t="shared" si="11"/>
        <v/>
      </c>
      <c r="V109" s="362" t="s">
        <v>1237</v>
      </c>
      <c r="W109" s="72"/>
    </row>
    <row r="110" spans="1:23" x14ac:dyDescent="0.2">
      <c r="A110" s="293">
        <f t="shared" si="6"/>
        <v>0</v>
      </c>
      <c r="B110" s="163"/>
      <c r="C110" s="163"/>
      <c r="D110" s="163"/>
      <c r="E110" s="175"/>
      <c r="F110" s="175"/>
      <c r="G110" s="130"/>
      <c r="H110" s="222" t="str">
        <f t="shared" si="7"/>
        <v/>
      </c>
      <c r="I110" s="222" t="str">
        <f t="shared" si="8"/>
        <v/>
      </c>
      <c r="J110" s="67"/>
      <c r="K110" s="67"/>
      <c r="L110" s="361" t="s">
        <v>1237</v>
      </c>
      <c r="M110" s="294">
        <f t="shared" si="9"/>
        <v>0</v>
      </c>
      <c r="N110" s="176"/>
      <c r="O110" s="163"/>
      <c r="P110" s="163"/>
      <c r="Q110" s="175"/>
      <c r="R110" s="175"/>
      <c r="S110" s="130"/>
      <c r="T110" s="223" t="str">
        <f t="shared" si="10"/>
        <v/>
      </c>
      <c r="U110" s="222" t="str">
        <f t="shared" si="11"/>
        <v/>
      </c>
      <c r="V110" s="362" t="s">
        <v>1237</v>
      </c>
      <c r="W110" s="72"/>
    </row>
    <row r="111" spans="1:23" x14ac:dyDescent="0.2">
      <c r="A111" s="293">
        <f t="shared" si="6"/>
        <v>0</v>
      </c>
      <c r="B111" s="163"/>
      <c r="C111" s="163"/>
      <c r="D111" s="163"/>
      <c r="E111" s="175"/>
      <c r="F111" s="175"/>
      <c r="G111" s="130"/>
      <c r="H111" s="222" t="str">
        <f t="shared" si="7"/>
        <v/>
      </c>
      <c r="I111" s="222" t="str">
        <f t="shared" si="8"/>
        <v/>
      </c>
      <c r="J111" s="67"/>
      <c r="K111" s="67"/>
      <c r="L111" s="361" t="s">
        <v>1237</v>
      </c>
      <c r="M111" s="294">
        <f t="shared" si="9"/>
        <v>0</v>
      </c>
      <c r="N111" s="176"/>
      <c r="O111" s="163"/>
      <c r="P111" s="163"/>
      <c r="Q111" s="175"/>
      <c r="R111" s="175"/>
      <c r="S111" s="130"/>
      <c r="T111" s="223" t="str">
        <f t="shared" si="10"/>
        <v/>
      </c>
      <c r="U111" s="222" t="str">
        <f t="shared" si="11"/>
        <v/>
      </c>
      <c r="V111" s="362" t="s">
        <v>1237</v>
      </c>
      <c r="W111" s="72"/>
    </row>
    <row r="112" spans="1:23" x14ac:dyDescent="0.2">
      <c r="A112" s="293">
        <f t="shared" si="6"/>
        <v>0</v>
      </c>
      <c r="B112" s="163"/>
      <c r="C112" s="163"/>
      <c r="D112" s="163"/>
      <c r="E112" s="175"/>
      <c r="F112" s="175"/>
      <c r="G112" s="130"/>
      <c r="H112" s="222" t="str">
        <f t="shared" si="7"/>
        <v/>
      </c>
      <c r="I112" s="222" t="str">
        <f t="shared" si="8"/>
        <v/>
      </c>
      <c r="J112" s="67"/>
      <c r="K112" s="67"/>
      <c r="L112" s="361" t="s">
        <v>1237</v>
      </c>
      <c r="M112" s="294">
        <f t="shared" si="9"/>
        <v>0</v>
      </c>
      <c r="N112" s="176"/>
      <c r="O112" s="163"/>
      <c r="P112" s="163"/>
      <c r="Q112" s="175"/>
      <c r="R112" s="175"/>
      <c r="S112" s="130"/>
      <c r="T112" s="223" t="str">
        <f t="shared" si="10"/>
        <v/>
      </c>
      <c r="U112" s="222" t="str">
        <f t="shared" si="11"/>
        <v/>
      </c>
      <c r="V112" s="362" t="s">
        <v>1237</v>
      </c>
      <c r="W112" s="72"/>
    </row>
    <row r="113" spans="1:23" x14ac:dyDescent="0.2">
      <c r="A113" s="293">
        <f t="shared" si="6"/>
        <v>0</v>
      </c>
      <c r="B113" s="163"/>
      <c r="C113" s="163"/>
      <c r="D113" s="163"/>
      <c r="E113" s="175"/>
      <c r="F113" s="175"/>
      <c r="G113" s="130"/>
      <c r="H113" s="222" t="str">
        <f t="shared" si="7"/>
        <v/>
      </c>
      <c r="I113" s="222" t="str">
        <f t="shared" si="8"/>
        <v/>
      </c>
      <c r="J113" s="67"/>
      <c r="K113" s="67"/>
      <c r="L113" s="361" t="s">
        <v>1237</v>
      </c>
      <c r="M113" s="294">
        <f t="shared" si="9"/>
        <v>0</v>
      </c>
      <c r="N113" s="176"/>
      <c r="O113" s="163"/>
      <c r="P113" s="163"/>
      <c r="Q113" s="175"/>
      <c r="R113" s="175"/>
      <c r="S113" s="130"/>
      <c r="T113" s="223" t="str">
        <f t="shared" si="10"/>
        <v/>
      </c>
      <c r="U113" s="222" t="str">
        <f t="shared" si="11"/>
        <v/>
      </c>
      <c r="V113" s="362" t="s">
        <v>1237</v>
      </c>
      <c r="W113" s="72"/>
    </row>
    <row r="114" spans="1:23" x14ac:dyDescent="0.2">
      <c r="A114" s="293">
        <f t="shared" si="6"/>
        <v>0</v>
      </c>
      <c r="B114" s="163"/>
      <c r="C114" s="163"/>
      <c r="D114" s="163"/>
      <c r="E114" s="175"/>
      <c r="F114" s="175"/>
      <c r="G114" s="130"/>
      <c r="H114" s="222" t="str">
        <f t="shared" si="7"/>
        <v/>
      </c>
      <c r="I114" s="222" t="str">
        <f t="shared" si="8"/>
        <v/>
      </c>
      <c r="J114" s="67"/>
      <c r="K114" s="67"/>
      <c r="L114" s="361" t="s">
        <v>1237</v>
      </c>
      <c r="M114" s="294">
        <f t="shared" si="9"/>
        <v>0</v>
      </c>
      <c r="N114" s="176"/>
      <c r="O114" s="163"/>
      <c r="P114" s="163"/>
      <c r="Q114" s="175"/>
      <c r="R114" s="175"/>
      <c r="S114" s="130"/>
      <c r="T114" s="223" t="str">
        <f t="shared" si="10"/>
        <v/>
      </c>
      <c r="U114" s="222" t="str">
        <f t="shared" si="11"/>
        <v/>
      </c>
      <c r="V114" s="362" t="s">
        <v>1237</v>
      </c>
      <c r="W114" s="72"/>
    </row>
    <row r="115" spans="1:23" x14ac:dyDescent="0.2">
      <c r="A115" s="293">
        <f t="shared" si="6"/>
        <v>0</v>
      </c>
      <c r="B115" s="163"/>
      <c r="C115" s="163"/>
      <c r="D115" s="163"/>
      <c r="E115" s="175"/>
      <c r="F115" s="175"/>
      <c r="G115" s="130"/>
      <c r="H115" s="222" t="str">
        <f t="shared" si="7"/>
        <v/>
      </c>
      <c r="I115" s="222" t="str">
        <f t="shared" si="8"/>
        <v/>
      </c>
      <c r="J115" s="67"/>
      <c r="K115" s="67"/>
      <c r="L115" s="361" t="s">
        <v>1237</v>
      </c>
      <c r="M115" s="294">
        <f t="shared" si="9"/>
        <v>0</v>
      </c>
      <c r="N115" s="176"/>
      <c r="O115" s="163"/>
      <c r="P115" s="163"/>
      <c r="Q115" s="175"/>
      <c r="R115" s="175"/>
      <c r="S115" s="130"/>
      <c r="T115" s="223" t="str">
        <f t="shared" si="10"/>
        <v/>
      </c>
      <c r="U115" s="222" t="str">
        <f t="shared" si="11"/>
        <v/>
      </c>
      <c r="V115" s="362" t="s">
        <v>1237</v>
      </c>
      <c r="W115" s="72"/>
    </row>
    <row r="116" spans="1:23" x14ac:dyDescent="0.2">
      <c r="A116" s="293">
        <f t="shared" si="6"/>
        <v>0</v>
      </c>
      <c r="B116" s="163"/>
      <c r="C116" s="163"/>
      <c r="D116" s="163"/>
      <c r="E116" s="175"/>
      <c r="F116" s="175"/>
      <c r="G116" s="130"/>
      <c r="H116" s="222" t="str">
        <f t="shared" si="7"/>
        <v/>
      </c>
      <c r="I116" s="222" t="str">
        <f t="shared" si="8"/>
        <v/>
      </c>
      <c r="J116" s="67"/>
      <c r="K116" s="67"/>
      <c r="L116" s="361" t="s">
        <v>1237</v>
      </c>
      <c r="M116" s="294">
        <f t="shared" si="9"/>
        <v>0</v>
      </c>
      <c r="N116" s="176"/>
      <c r="O116" s="163"/>
      <c r="P116" s="163"/>
      <c r="Q116" s="175"/>
      <c r="R116" s="175"/>
      <c r="S116" s="130"/>
      <c r="T116" s="223" t="str">
        <f t="shared" si="10"/>
        <v/>
      </c>
      <c r="U116" s="222" t="str">
        <f t="shared" si="11"/>
        <v/>
      </c>
      <c r="V116" s="362" t="s">
        <v>1237</v>
      </c>
      <c r="W116" s="72"/>
    </row>
    <row r="117" spans="1:23" s="52" customFormat="1" x14ac:dyDescent="0.2">
      <c r="B117" s="72"/>
      <c r="C117" s="72"/>
      <c r="D117" s="72"/>
      <c r="E117" s="72"/>
      <c r="F117" s="72"/>
      <c r="G117" s="72"/>
      <c r="H117" s="72"/>
      <c r="I117" s="72"/>
      <c r="J117" s="72"/>
      <c r="K117" s="72"/>
      <c r="L117" s="72"/>
      <c r="M117" s="72"/>
      <c r="N117" s="72"/>
      <c r="O117" s="72"/>
      <c r="P117" s="72"/>
      <c r="Q117" s="72"/>
      <c r="R117" s="72"/>
      <c r="S117" s="72"/>
      <c r="T117" s="72"/>
      <c r="U117" s="72"/>
      <c r="W117" s="72"/>
    </row>
    <row r="118" spans="1:23" s="52" customFormat="1" x14ac:dyDescent="0.2">
      <c r="B118" s="72"/>
      <c r="C118" s="72"/>
      <c r="D118" s="72"/>
      <c r="E118" s="72"/>
      <c r="F118" s="72"/>
      <c r="G118" s="72"/>
      <c r="H118" s="72"/>
      <c r="I118" s="72"/>
      <c r="J118" s="72"/>
      <c r="K118" s="72"/>
      <c r="L118" s="72"/>
      <c r="M118" s="72"/>
      <c r="N118" s="72"/>
      <c r="O118" s="72"/>
      <c r="P118" s="72"/>
      <c r="Q118" s="72"/>
      <c r="R118" s="72"/>
      <c r="S118" s="72"/>
      <c r="T118" s="72"/>
      <c r="U118" s="72"/>
      <c r="W118" s="72"/>
    </row>
    <row r="119" spans="1:23" s="52" customFormat="1" x14ac:dyDescent="0.2">
      <c r="B119" s="72"/>
      <c r="C119" s="72"/>
      <c r="D119" s="72"/>
      <c r="E119" s="72"/>
      <c r="F119" s="72"/>
      <c r="G119" s="72"/>
      <c r="H119" s="72"/>
      <c r="I119" s="72"/>
      <c r="J119" s="72"/>
      <c r="K119" s="72"/>
      <c r="L119" s="72"/>
      <c r="M119" s="72"/>
      <c r="N119" s="72"/>
      <c r="O119" s="72"/>
      <c r="P119" s="72"/>
      <c r="Q119" s="72"/>
      <c r="R119" s="72"/>
      <c r="S119" s="72"/>
      <c r="T119" s="72"/>
      <c r="U119" s="72"/>
      <c r="W119" s="72"/>
    </row>
    <row r="120" spans="1:23" s="52" customFormat="1" x14ac:dyDescent="0.2">
      <c r="B120" s="72"/>
      <c r="C120" s="72"/>
      <c r="D120" s="72"/>
      <c r="E120" s="72"/>
      <c r="F120" s="72"/>
      <c r="G120" s="72"/>
      <c r="H120" s="72"/>
      <c r="I120" s="72"/>
      <c r="J120" s="72"/>
      <c r="K120" s="72"/>
      <c r="L120" s="72"/>
      <c r="M120" s="72"/>
      <c r="N120" s="72"/>
      <c r="O120" s="72"/>
      <c r="P120" s="72"/>
      <c r="Q120" s="72"/>
      <c r="R120" s="72"/>
      <c r="S120" s="72"/>
      <c r="T120" s="72"/>
      <c r="U120" s="72"/>
    </row>
    <row r="121" spans="1:23" s="52" customFormat="1" x14ac:dyDescent="0.2">
      <c r="B121" s="72"/>
      <c r="C121" s="72"/>
      <c r="D121" s="72"/>
      <c r="E121" s="72"/>
      <c r="F121" s="72"/>
      <c r="G121" s="72"/>
      <c r="H121" s="72"/>
      <c r="I121" s="72"/>
      <c r="J121" s="72"/>
      <c r="K121" s="72"/>
      <c r="L121" s="72"/>
      <c r="M121" s="72"/>
      <c r="N121" s="72"/>
      <c r="O121" s="72"/>
      <c r="P121" s="72"/>
      <c r="Q121" s="72"/>
      <c r="R121" s="72"/>
      <c r="S121" s="72"/>
      <c r="T121" s="72"/>
      <c r="U121" s="72"/>
    </row>
    <row r="122" spans="1:23" s="52" customFormat="1" x14ac:dyDescent="0.2">
      <c r="B122" s="72"/>
      <c r="C122" s="72"/>
      <c r="D122" s="72"/>
      <c r="E122" s="72"/>
      <c r="F122" s="72"/>
      <c r="G122" s="72"/>
      <c r="H122" s="72"/>
      <c r="I122" s="72"/>
      <c r="J122" s="72"/>
      <c r="K122" s="72"/>
      <c r="L122" s="72"/>
      <c r="M122" s="72"/>
      <c r="N122" s="72"/>
      <c r="O122" s="72"/>
      <c r="P122" s="72"/>
      <c r="Q122" s="72"/>
      <c r="R122" s="72"/>
      <c r="S122" s="72"/>
      <c r="T122" s="72"/>
      <c r="U122" s="72"/>
    </row>
    <row r="123" spans="1:23" s="52" customFormat="1" x14ac:dyDescent="0.2">
      <c r="B123" s="72"/>
      <c r="C123" s="72"/>
      <c r="D123" s="72"/>
      <c r="E123" s="72"/>
      <c r="F123" s="72"/>
      <c r="G123" s="72"/>
      <c r="H123" s="72"/>
      <c r="I123" s="72"/>
      <c r="J123" s="72"/>
      <c r="K123" s="72"/>
      <c r="L123" s="72"/>
      <c r="M123" s="72"/>
      <c r="N123" s="72"/>
      <c r="O123" s="72"/>
      <c r="P123" s="72"/>
      <c r="Q123" s="72"/>
      <c r="R123" s="72"/>
      <c r="S123" s="72"/>
      <c r="T123" s="72"/>
      <c r="U123" s="72"/>
    </row>
    <row r="124" spans="1:23" s="52" customFormat="1" x14ac:dyDescent="0.2">
      <c r="B124" s="72"/>
      <c r="C124" s="72"/>
      <c r="D124" s="72"/>
      <c r="E124" s="72"/>
      <c r="F124" s="72"/>
      <c r="G124" s="72"/>
      <c r="H124" s="72"/>
      <c r="I124" s="72"/>
      <c r="J124" s="72"/>
      <c r="K124" s="72"/>
      <c r="L124" s="72"/>
      <c r="M124" s="72"/>
      <c r="N124" s="72"/>
      <c r="O124" s="72"/>
      <c r="P124" s="72"/>
      <c r="Q124" s="72"/>
      <c r="R124" s="72"/>
      <c r="S124" s="72"/>
      <c r="T124" s="72"/>
      <c r="U124" s="72"/>
    </row>
    <row r="125" spans="1:23" s="52" customFormat="1" x14ac:dyDescent="0.2">
      <c r="B125" s="72"/>
      <c r="C125" s="72"/>
      <c r="D125" s="72"/>
      <c r="E125" s="72"/>
      <c r="F125" s="72"/>
      <c r="G125" s="72"/>
      <c r="H125" s="72"/>
      <c r="I125" s="72"/>
      <c r="J125" s="72"/>
      <c r="K125" s="72"/>
      <c r="L125" s="72"/>
      <c r="M125" s="72"/>
      <c r="N125" s="72"/>
      <c r="O125" s="72"/>
      <c r="P125" s="72"/>
      <c r="Q125" s="72"/>
      <c r="R125" s="72"/>
      <c r="S125" s="72"/>
      <c r="T125" s="72"/>
      <c r="U125" s="72"/>
    </row>
    <row r="126" spans="1:23" s="52" customFormat="1" x14ac:dyDescent="0.2">
      <c r="B126" s="72"/>
      <c r="C126" s="72"/>
      <c r="D126" s="72"/>
      <c r="E126" s="72"/>
      <c r="F126" s="72"/>
      <c r="G126" s="72"/>
      <c r="H126" s="72"/>
      <c r="I126" s="72"/>
      <c r="J126" s="72"/>
      <c r="K126" s="72"/>
      <c r="L126" s="72"/>
      <c r="M126" s="72"/>
      <c r="N126" s="72"/>
      <c r="O126" s="72"/>
      <c r="P126" s="72"/>
      <c r="Q126" s="72"/>
      <c r="R126" s="72"/>
      <c r="S126" s="72"/>
      <c r="T126" s="72"/>
      <c r="U126" s="72"/>
    </row>
    <row r="127" spans="1:23" s="52" customFormat="1" x14ac:dyDescent="0.2">
      <c r="B127" s="72"/>
      <c r="C127" s="72"/>
      <c r="D127" s="72"/>
      <c r="E127" s="72"/>
      <c r="F127" s="72"/>
      <c r="G127" s="72"/>
      <c r="H127" s="72"/>
      <c r="I127" s="72"/>
      <c r="J127" s="72"/>
      <c r="K127" s="72"/>
      <c r="L127" s="72"/>
      <c r="M127" s="72"/>
      <c r="N127" s="72"/>
      <c r="O127" s="72"/>
      <c r="P127" s="72"/>
      <c r="Q127" s="72"/>
      <c r="R127" s="72"/>
      <c r="S127" s="72"/>
      <c r="T127" s="72"/>
      <c r="U127" s="72"/>
    </row>
    <row r="128" spans="1:23" s="52" customFormat="1" x14ac:dyDescent="0.2">
      <c r="B128" s="72"/>
      <c r="C128" s="72"/>
      <c r="D128" s="72"/>
      <c r="E128" s="72"/>
      <c r="F128" s="72"/>
      <c r="G128" s="72"/>
      <c r="H128" s="72"/>
      <c r="I128" s="72"/>
      <c r="J128" s="72"/>
      <c r="K128" s="72"/>
      <c r="L128" s="72"/>
      <c r="M128" s="72"/>
      <c r="N128" s="72"/>
      <c r="O128" s="72"/>
      <c r="P128" s="72"/>
      <c r="Q128" s="72"/>
      <c r="R128" s="72"/>
      <c r="S128" s="72"/>
      <c r="T128" s="72"/>
      <c r="U128" s="72"/>
    </row>
    <row r="129" spans="2:21" s="52" customFormat="1" x14ac:dyDescent="0.2">
      <c r="B129" s="72"/>
      <c r="C129" s="72"/>
      <c r="D129" s="72"/>
      <c r="E129" s="72"/>
      <c r="F129" s="72"/>
      <c r="G129" s="72"/>
      <c r="H129" s="72"/>
      <c r="I129" s="72"/>
      <c r="J129" s="72"/>
      <c r="K129" s="72"/>
      <c r="L129" s="72"/>
      <c r="M129" s="72"/>
      <c r="N129" s="72"/>
      <c r="O129" s="72"/>
      <c r="P129" s="72"/>
      <c r="Q129" s="72"/>
      <c r="R129" s="72"/>
      <c r="S129" s="72"/>
      <c r="T129" s="72"/>
      <c r="U129" s="72"/>
    </row>
    <row r="130" spans="2:21" s="52" customFormat="1" x14ac:dyDescent="0.2">
      <c r="B130" s="72"/>
      <c r="C130" s="72"/>
      <c r="D130" s="72"/>
      <c r="E130" s="72"/>
      <c r="F130" s="72"/>
      <c r="G130" s="72"/>
      <c r="H130" s="72"/>
      <c r="I130" s="72"/>
      <c r="J130" s="72"/>
      <c r="K130" s="72"/>
      <c r="L130" s="72"/>
      <c r="M130" s="72"/>
      <c r="N130" s="72"/>
      <c r="O130" s="72"/>
      <c r="P130" s="72"/>
      <c r="Q130" s="72"/>
      <c r="R130" s="72"/>
      <c r="S130" s="72"/>
      <c r="T130" s="72"/>
      <c r="U130" s="72"/>
    </row>
    <row r="131" spans="2:21" s="52" customFormat="1" x14ac:dyDescent="0.2">
      <c r="G131" s="72"/>
      <c r="K131" s="72"/>
      <c r="L131" s="72"/>
      <c r="M131" s="72"/>
      <c r="S131" s="72"/>
    </row>
    <row r="132" spans="2:21" s="52" customFormat="1" x14ac:dyDescent="0.2">
      <c r="G132" s="72"/>
      <c r="K132" s="72"/>
      <c r="L132" s="72"/>
      <c r="M132" s="72"/>
      <c r="S132" s="72"/>
    </row>
    <row r="133" spans="2:21" s="52" customFormat="1" x14ac:dyDescent="0.2">
      <c r="G133" s="72"/>
      <c r="K133" s="72"/>
      <c r="L133" s="72"/>
      <c r="M133" s="72"/>
      <c r="S133" s="72"/>
    </row>
    <row r="134" spans="2:21" s="52" customFormat="1" x14ac:dyDescent="0.2">
      <c r="G134" s="72"/>
      <c r="K134" s="72"/>
      <c r="L134" s="72"/>
      <c r="M134" s="72"/>
      <c r="S134" s="72"/>
    </row>
    <row r="135" spans="2:21" s="52" customFormat="1" x14ac:dyDescent="0.2">
      <c r="G135" s="72"/>
      <c r="K135" s="72"/>
      <c r="L135" s="72"/>
      <c r="M135" s="72"/>
      <c r="S135" s="72"/>
    </row>
    <row r="136" spans="2:21" s="52" customFormat="1" x14ac:dyDescent="0.2">
      <c r="G136" s="72"/>
      <c r="K136" s="72"/>
      <c r="L136" s="72"/>
      <c r="M136" s="72"/>
      <c r="S136" s="72"/>
    </row>
    <row r="137" spans="2:21" s="52" customFormat="1" x14ac:dyDescent="0.2">
      <c r="G137" s="72"/>
      <c r="K137" s="72"/>
      <c r="L137" s="72"/>
      <c r="M137" s="72"/>
      <c r="S137" s="72"/>
    </row>
    <row r="138" spans="2:21" s="52" customFormat="1" x14ac:dyDescent="0.2">
      <c r="G138" s="72"/>
      <c r="K138" s="72"/>
      <c r="L138" s="72"/>
      <c r="M138" s="72"/>
      <c r="S138" s="72"/>
    </row>
    <row r="139" spans="2:21" s="52" customFormat="1" x14ac:dyDescent="0.2">
      <c r="G139" s="72"/>
      <c r="K139" s="72"/>
      <c r="L139" s="72"/>
      <c r="M139" s="72"/>
      <c r="S139" s="72"/>
    </row>
    <row r="140" spans="2:21" s="52" customFormat="1" x14ac:dyDescent="0.2">
      <c r="G140" s="72"/>
      <c r="K140" s="72"/>
      <c r="L140" s="72"/>
      <c r="M140" s="72"/>
      <c r="S140" s="72"/>
    </row>
    <row r="141" spans="2:21" s="52" customFormat="1" x14ac:dyDescent="0.2">
      <c r="G141" s="72"/>
      <c r="K141" s="72"/>
      <c r="L141" s="72"/>
      <c r="M141" s="72"/>
      <c r="S141" s="72"/>
    </row>
    <row r="142" spans="2:21" s="52" customFormat="1" x14ac:dyDescent="0.2">
      <c r="G142" s="72"/>
      <c r="K142" s="72"/>
      <c r="L142" s="72"/>
      <c r="M142" s="72"/>
      <c r="S142" s="72"/>
    </row>
    <row r="143" spans="2:21" s="52" customFormat="1" x14ac:dyDescent="0.2">
      <c r="G143" s="72"/>
      <c r="K143" s="72"/>
      <c r="L143" s="72"/>
      <c r="M143" s="72"/>
      <c r="S143" s="72"/>
    </row>
    <row r="144" spans="2:21" s="52" customFormat="1" x14ac:dyDescent="0.2">
      <c r="G144" s="72"/>
      <c r="K144" s="72"/>
      <c r="L144" s="72"/>
      <c r="M144" s="72"/>
      <c r="S144" s="72"/>
    </row>
    <row r="145" spans="7:19" s="52" customFormat="1" x14ac:dyDescent="0.2">
      <c r="G145" s="72"/>
      <c r="K145" s="72"/>
      <c r="L145" s="72"/>
      <c r="M145" s="72"/>
      <c r="S145" s="72"/>
    </row>
    <row r="146" spans="7:19" s="52" customFormat="1" x14ac:dyDescent="0.2">
      <c r="G146" s="72"/>
      <c r="K146" s="72"/>
      <c r="L146" s="72"/>
      <c r="M146" s="72"/>
      <c r="S146" s="72"/>
    </row>
    <row r="147" spans="7:19" s="52" customFormat="1" x14ac:dyDescent="0.2">
      <c r="G147" s="72"/>
      <c r="K147" s="72"/>
      <c r="L147" s="72"/>
      <c r="M147" s="72"/>
      <c r="S147" s="72"/>
    </row>
    <row r="148" spans="7:19" s="52" customFormat="1" x14ac:dyDescent="0.2">
      <c r="G148" s="72"/>
      <c r="K148" s="72"/>
      <c r="L148" s="72"/>
      <c r="M148" s="72"/>
      <c r="S148" s="72"/>
    </row>
    <row r="149" spans="7:19" s="52" customFormat="1" x14ac:dyDescent="0.2">
      <c r="G149" s="72"/>
      <c r="K149" s="72"/>
      <c r="L149" s="72"/>
      <c r="M149" s="72"/>
      <c r="S149" s="72"/>
    </row>
    <row r="150" spans="7:19" s="52" customFormat="1" x14ac:dyDescent="0.2">
      <c r="G150" s="72"/>
      <c r="K150" s="72"/>
      <c r="L150" s="72"/>
      <c r="M150" s="72"/>
      <c r="S150" s="72"/>
    </row>
    <row r="151" spans="7:19" s="52" customFormat="1" x14ac:dyDescent="0.2">
      <c r="G151" s="72"/>
      <c r="K151" s="72"/>
      <c r="L151" s="72"/>
      <c r="M151" s="72"/>
      <c r="S151" s="72"/>
    </row>
    <row r="152" spans="7:19" s="52" customFormat="1" x14ac:dyDescent="0.2">
      <c r="G152" s="72"/>
      <c r="K152" s="72"/>
      <c r="L152" s="72"/>
      <c r="M152" s="72"/>
      <c r="S152" s="72"/>
    </row>
    <row r="153" spans="7:19" s="52" customFormat="1" x14ac:dyDescent="0.2">
      <c r="G153" s="72"/>
      <c r="K153" s="72"/>
      <c r="L153" s="72"/>
      <c r="M153" s="72"/>
      <c r="S153" s="72"/>
    </row>
    <row r="154" spans="7:19" s="52" customFormat="1" x14ac:dyDescent="0.2">
      <c r="G154" s="72"/>
      <c r="K154" s="72"/>
      <c r="L154" s="72"/>
      <c r="M154" s="72"/>
      <c r="S154" s="72"/>
    </row>
    <row r="155" spans="7:19" s="52" customFormat="1" x14ac:dyDescent="0.2">
      <c r="G155" s="72"/>
      <c r="K155" s="72"/>
      <c r="L155" s="72"/>
      <c r="M155" s="72"/>
      <c r="S155" s="72"/>
    </row>
    <row r="156" spans="7:19" s="52" customFormat="1" x14ac:dyDescent="0.2">
      <c r="G156" s="72"/>
      <c r="K156" s="72"/>
      <c r="L156" s="72"/>
      <c r="M156" s="72"/>
      <c r="S156" s="72"/>
    </row>
    <row r="157" spans="7:19" s="52" customFormat="1" x14ac:dyDescent="0.2">
      <c r="G157" s="72"/>
      <c r="K157" s="72"/>
      <c r="L157" s="72"/>
      <c r="M157" s="72"/>
      <c r="S157" s="72"/>
    </row>
    <row r="158" spans="7:19" s="52" customFormat="1" x14ac:dyDescent="0.2">
      <c r="G158" s="72"/>
      <c r="K158" s="72"/>
      <c r="L158" s="72"/>
      <c r="M158" s="72"/>
      <c r="S158" s="72"/>
    </row>
    <row r="159" spans="7:19" s="52" customFormat="1" x14ac:dyDescent="0.2">
      <c r="G159" s="72"/>
      <c r="K159" s="72"/>
      <c r="L159" s="72"/>
      <c r="M159" s="72"/>
      <c r="S159" s="72"/>
    </row>
    <row r="160" spans="7:19" s="52" customFormat="1" x14ac:dyDescent="0.2">
      <c r="G160" s="72"/>
      <c r="K160" s="72"/>
      <c r="L160" s="72"/>
      <c r="M160" s="72"/>
      <c r="S160" s="72"/>
    </row>
    <row r="161" spans="7:19" s="52" customFormat="1" x14ac:dyDescent="0.2">
      <c r="G161" s="72"/>
      <c r="K161" s="72"/>
      <c r="L161" s="72"/>
      <c r="M161" s="72"/>
      <c r="S161" s="72"/>
    </row>
    <row r="162" spans="7:19" s="52" customFormat="1" x14ac:dyDescent="0.2">
      <c r="G162" s="72"/>
      <c r="K162" s="72"/>
      <c r="L162" s="72"/>
      <c r="M162" s="72"/>
      <c r="S162" s="72"/>
    </row>
    <row r="163" spans="7:19" s="52" customFormat="1" x14ac:dyDescent="0.2">
      <c r="G163" s="72"/>
      <c r="K163" s="72"/>
      <c r="L163" s="72"/>
      <c r="M163" s="72"/>
      <c r="S163" s="72"/>
    </row>
    <row r="164" spans="7:19" s="52" customFormat="1" x14ac:dyDescent="0.2">
      <c r="G164" s="72"/>
      <c r="K164" s="72"/>
      <c r="L164" s="72"/>
      <c r="M164" s="72"/>
      <c r="S164" s="72"/>
    </row>
    <row r="165" spans="7:19" s="52" customFormat="1" x14ac:dyDescent="0.2">
      <c r="G165" s="72"/>
      <c r="K165" s="72"/>
      <c r="L165" s="72"/>
      <c r="M165" s="72"/>
      <c r="S165" s="72"/>
    </row>
    <row r="166" spans="7:19" s="52" customFormat="1" x14ac:dyDescent="0.2">
      <c r="G166" s="72"/>
      <c r="K166" s="72"/>
      <c r="L166" s="72"/>
      <c r="M166" s="72"/>
      <c r="S166" s="72"/>
    </row>
    <row r="167" spans="7:19" s="52" customFormat="1" x14ac:dyDescent="0.2">
      <c r="G167" s="72"/>
      <c r="K167" s="72"/>
      <c r="L167" s="72"/>
      <c r="M167" s="72"/>
      <c r="S167" s="72"/>
    </row>
    <row r="168" spans="7:19" s="52" customFormat="1" x14ac:dyDescent="0.2">
      <c r="G168" s="72"/>
      <c r="K168" s="72"/>
      <c r="L168" s="72"/>
      <c r="M168" s="72"/>
      <c r="S168" s="72"/>
    </row>
    <row r="169" spans="7:19" s="52" customFormat="1" x14ac:dyDescent="0.2">
      <c r="G169" s="72"/>
      <c r="K169" s="72"/>
      <c r="L169" s="72"/>
      <c r="M169" s="72"/>
      <c r="S169" s="72"/>
    </row>
    <row r="170" spans="7:19" s="52" customFormat="1" x14ac:dyDescent="0.2">
      <c r="G170" s="72"/>
      <c r="K170" s="72"/>
      <c r="L170" s="72"/>
      <c r="M170" s="72"/>
      <c r="S170" s="72"/>
    </row>
    <row r="171" spans="7:19" s="52" customFormat="1" x14ac:dyDescent="0.2">
      <c r="G171" s="72"/>
      <c r="K171" s="72"/>
      <c r="L171" s="72"/>
      <c r="M171" s="72"/>
      <c r="S171" s="72"/>
    </row>
    <row r="172" spans="7:19" s="52" customFormat="1" x14ac:dyDescent="0.2">
      <c r="G172" s="72"/>
      <c r="K172" s="72"/>
      <c r="L172" s="72"/>
      <c r="M172" s="72"/>
      <c r="S172" s="72"/>
    </row>
    <row r="173" spans="7:19" s="52" customFormat="1" x14ac:dyDescent="0.2">
      <c r="G173" s="72"/>
      <c r="K173" s="72"/>
      <c r="L173" s="72"/>
      <c r="M173" s="72"/>
      <c r="S173" s="72"/>
    </row>
    <row r="174" spans="7:19" s="52" customFormat="1" x14ac:dyDescent="0.2">
      <c r="G174" s="72"/>
      <c r="K174" s="72"/>
      <c r="L174" s="72"/>
      <c r="M174" s="72"/>
      <c r="S174" s="72"/>
    </row>
    <row r="175" spans="7:19" s="52" customFormat="1" x14ac:dyDescent="0.2">
      <c r="G175" s="72"/>
      <c r="K175" s="72"/>
      <c r="L175" s="72"/>
      <c r="M175" s="72"/>
      <c r="S175" s="72"/>
    </row>
    <row r="176" spans="7:19" s="52" customFormat="1" x14ac:dyDescent="0.2">
      <c r="G176" s="72"/>
      <c r="K176" s="72"/>
      <c r="L176" s="72"/>
      <c r="M176" s="72"/>
      <c r="S176" s="72"/>
    </row>
    <row r="177" spans="7:19" s="52" customFormat="1" x14ac:dyDescent="0.2">
      <c r="G177" s="72"/>
      <c r="K177" s="72"/>
      <c r="L177" s="72"/>
      <c r="M177" s="72"/>
      <c r="S177" s="72"/>
    </row>
    <row r="178" spans="7:19" s="52" customFormat="1" x14ac:dyDescent="0.2">
      <c r="G178" s="72"/>
      <c r="K178" s="72"/>
      <c r="L178" s="72"/>
      <c r="M178" s="72"/>
      <c r="S178" s="72"/>
    </row>
    <row r="179" spans="7:19" s="52" customFormat="1" x14ac:dyDescent="0.2">
      <c r="G179" s="72"/>
      <c r="K179" s="72"/>
      <c r="L179" s="72"/>
      <c r="M179" s="72"/>
      <c r="S179" s="72"/>
    </row>
    <row r="180" spans="7:19" s="52" customFormat="1" x14ac:dyDescent="0.2">
      <c r="G180" s="72"/>
      <c r="K180" s="72"/>
      <c r="L180" s="72"/>
      <c r="M180" s="72"/>
      <c r="S180" s="72"/>
    </row>
    <row r="181" spans="7:19" s="52" customFormat="1" x14ac:dyDescent="0.2">
      <c r="G181" s="72"/>
      <c r="K181" s="72"/>
      <c r="L181" s="72"/>
      <c r="M181" s="72"/>
      <c r="S181" s="72"/>
    </row>
    <row r="182" spans="7:19" s="52" customFormat="1" x14ac:dyDescent="0.2">
      <c r="G182" s="72"/>
      <c r="K182" s="72"/>
      <c r="L182" s="72"/>
      <c r="M182" s="72"/>
      <c r="S182" s="72"/>
    </row>
    <row r="183" spans="7:19" s="52" customFormat="1" x14ac:dyDescent="0.2">
      <c r="G183" s="72"/>
      <c r="K183" s="72"/>
      <c r="L183" s="72"/>
      <c r="M183" s="72"/>
      <c r="S183" s="72"/>
    </row>
    <row r="184" spans="7:19" s="52" customFormat="1" x14ac:dyDescent="0.2">
      <c r="G184" s="72"/>
      <c r="K184" s="72"/>
      <c r="L184" s="72"/>
      <c r="M184" s="72"/>
      <c r="S184" s="72"/>
    </row>
    <row r="185" spans="7:19" s="52" customFormat="1" x14ac:dyDescent="0.2">
      <c r="G185" s="72"/>
      <c r="K185" s="72"/>
      <c r="L185" s="72"/>
      <c r="M185" s="72"/>
      <c r="S185" s="72"/>
    </row>
    <row r="186" spans="7:19" s="52" customFormat="1" x14ac:dyDescent="0.2">
      <c r="G186" s="72"/>
      <c r="K186" s="72"/>
      <c r="L186" s="72"/>
      <c r="M186" s="72"/>
      <c r="S186" s="72"/>
    </row>
    <row r="187" spans="7:19" s="52" customFormat="1" x14ac:dyDescent="0.2">
      <c r="G187" s="72"/>
      <c r="K187" s="72"/>
      <c r="L187" s="72"/>
      <c r="M187" s="72"/>
      <c r="S187" s="72"/>
    </row>
    <row r="188" spans="7:19" s="52" customFormat="1" x14ac:dyDescent="0.2">
      <c r="G188" s="72"/>
      <c r="K188" s="72"/>
      <c r="L188" s="72"/>
      <c r="M188" s="72"/>
      <c r="S188" s="72"/>
    </row>
    <row r="189" spans="7:19" s="52" customFormat="1" x14ac:dyDescent="0.2">
      <c r="G189" s="72"/>
      <c r="K189" s="72"/>
      <c r="L189" s="72"/>
      <c r="M189" s="72"/>
      <c r="S189" s="72"/>
    </row>
    <row r="190" spans="7:19" s="52" customFormat="1" x14ac:dyDescent="0.2">
      <c r="G190" s="72"/>
      <c r="K190" s="72"/>
      <c r="L190" s="72"/>
      <c r="M190" s="72"/>
      <c r="S190" s="72"/>
    </row>
    <row r="191" spans="7:19" s="52" customFormat="1" x14ac:dyDescent="0.2">
      <c r="G191" s="72"/>
      <c r="K191" s="72"/>
      <c r="L191" s="72"/>
      <c r="M191" s="72"/>
      <c r="S191" s="72"/>
    </row>
    <row r="192" spans="7:19" s="52" customFormat="1" x14ac:dyDescent="0.2">
      <c r="G192" s="72"/>
      <c r="K192" s="72"/>
      <c r="L192" s="72"/>
      <c r="M192" s="72"/>
      <c r="S192" s="72"/>
    </row>
    <row r="193" spans="7:19" s="52" customFormat="1" x14ac:dyDescent="0.2">
      <c r="G193" s="72"/>
      <c r="K193" s="72"/>
      <c r="L193" s="72"/>
      <c r="M193" s="72"/>
      <c r="S193" s="72"/>
    </row>
    <row r="194" spans="7:19" s="52" customFormat="1" x14ac:dyDescent="0.2">
      <c r="G194" s="72"/>
      <c r="K194" s="72"/>
      <c r="L194" s="72"/>
      <c r="M194" s="72"/>
      <c r="S194" s="72"/>
    </row>
    <row r="195" spans="7:19" s="52" customFormat="1" x14ac:dyDescent="0.2">
      <c r="G195" s="72"/>
      <c r="K195" s="72"/>
      <c r="L195" s="72"/>
      <c r="M195" s="72"/>
      <c r="S195" s="72"/>
    </row>
    <row r="196" spans="7:19" s="52" customFormat="1" x14ac:dyDescent="0.2">
      <c r="G196" s="72"/>
      <c r="K196" s="72"/>
      <c r="L196" s="72"/>
      <c r="M196" s="72"/>
      <c r="S196" s="72"/>
    </row>
    <row r="197" spans="7:19" s="52" customFormat="1" x14ac:dyDescent="0.2">
      <c r="G197" s="72"/>
      <c r="K197" s="72"/>
      <c r="L197" s="72"/>
      <c r="M197" s="72"/>
      <c r="S197" s="72"/>
    </row>
    <row r="198" spans="7:19" s="52" customFormat="1" x14ac:dyDescent="0.2">
      <c r="G198" s="72"/>
      <c r="K198" s="72"/>
      <c r="L198" s="72"/>
      <c r="M198" s="72"/>
      <c r="S198" s="72"/>
    </row>
    <row r="199" spans="7:19" s="52" customFormat="1" x14ac:dyDescent="0.2">
      <c r="G199" s="72"/>
      <c r="K199" s="72"/>
      <c r="L199" s="72"/>
      <c r="M199" s="72"/>
      <c r="S199" s="72"/>
    </row>
    <row r="200" spans="7:19" s="52" customFormat="1" x14ac:dyDescent="0.2">
      <c r="G200" s="72"/>
      <c r="K200" s="72"/>
      <c r="L200" s="72"/>
      <c r="M200" s="72"/>
      <c r="S200" s="72"/>
    </row>
    <row r="201" spans="7:19" s="52" customFormat="1" x14ac:dyDescent="0.2">
      <c r="G201" s="72"/>
      <c r="K201" s="72"/>
      <c r="L201" s="72"/>
      <c r="M201" s="72"/>
      <c r="S201" s="72"/>
    </row>
    <row r="202" spans="7:19" s="52" customFormat="1" x14ac:dyDescent="0.2">
      <c r="G202" s="72"/>
      <c r="K202" s="72"/>
      <c r="L202" s="72"/>
      <c r="M202" s="72"/>
      <c r="S202" s="72"/>
    </row>
    <row r="203" spans="7:19" s="52" customFormat="1" x14ac:dyDescent="0.2">
      <c r="G203" s="72"/>
      <c r="K203" s="72"/>
      <c r="L203" s="72"/>
      <c r="M203" s="72"/>
      <c r="S203" s="72"/>
    </row>
    <row r="204" spans="7:19" s="52" customFormat="1" x14ac:dyDescent="0.2">
      <c r="G204" s="72"/>
      <c r="K204" s="72"/>
      <c r="L204" s="72"/>
      <c r="M204" s="72"/>
      <c r="S204" s="72"/>
    </row>
    <row r="205" spans="7:19" s="52" customFormat="1" x14ac:dyDescent="0.2">
      <c r="G205" s="72"/>
      <c r="K205" s="72"/>
      <c r="L205" s="72"/>
      <c r="M205" s="72"/>
      <c r="S205" s="72"/>
    </row>
    <row r="206" spans="7:19" s="52" customFormat="1" x14ac:dyDescent="0.2">
      <c r="G206" s="72"/>
      <c r="K206" s="72"/>
      <c r="L206" s="72"/>
      <c r="M206" s="72"/>
      <c r="S206" s="72"/>
    </row>
    <row r="207" spans="7:19" s="52" customFormat="1" x14ac:dyDescent="0.2">
      <c r="G207" s="72"/>
      <c r="K207" s="72"/>
      <c r="L207" s="72"/>
      <c r="M207" s="72"/>
      <c r="S207" s="72"/>
    </row>
    <row r="208" spans="7:19" s="52" customFormat="1" x14ac:dyDescent="0.2">
      <c r="G208" s="72"/>
      <c r="K208" s="72"/>
      <c r="L208" s="72"/>
      <c r="M208" s="72"/>
      <c r="S208" s="72"/>
    </row>
    <row r="209" spans="7:19" s="52" customFormat="1" x14ac:dyDescent="0.2">
      <c r="G209" s="72"/>
      <c r="K209" s="72"/>
      <c r="L209" s="72"/>
      <c r="M209" s="72"/>
      <c r="S209" s="72"/>
    </row>
    <row r="210" spans="7:19" s="52" customFormat="1" x14ac:dyDescent="0.2">
      <c r="G210" s="72"/>
      <c r="K210" s="72"/>
      <c r="L210" s="72"/>
      <c r="M210" s="72"/>
      <c r="S210" s="72"/>
    </row>
    <row r="211" spans="7:19" s="52" customFormat="1" x14ac:dyDescent="0.2">
      <c r="G211" s="72"/>
      <c r="K211" s="72"/>
      <c r="L211" s="72"/>
      <c r="M211" s="72"/>
      <c r="S211" s="72"/>
    </row>
    <row r="212" spans="7:19" s="52" customFormat="1" x14ac:dyDescent="0.2">
      <c r="G212" s="72"/>
      <c r="K212" s="72"/>
      <c r="L212" s="72"/>
      <c r="M212" s="72"/>
      <c r="S212" s="72"/>
    </row>
    <row r="213" spans="7:19" s="52" customFormat="1" x14ac:dyDescent="0.2">
      <c r="G213" s="72"/>
      <c r="K213" s="72"/>
      <c r="L213" s="72"/>
      <c r="M213" s="72"/>
      <c r="S213" s="72"/>
    </row>
    <row r="214" spans="7:19" s="52" customFormat="1" x14ac:dyDescent="0.2">
      <c r="G214" s="72"/>
      <c r="K214" s="72"/>
      <c r="L214" s="72"/>
      <c r="M214" s="72"/>
      <c r="S214" s="72"/>
    </row>
    <row r="215" spans="7:19" s="52" customFormat="1" x14ac:dyDescent="0.2">
      <c r="G215" s="72"/>
      <c r="K215" s="72"/>
      <c r="L215" s="72"/>
      <c r="M215" s="72"/>
      <c r="S215" s="72"/>
    </row>
    <row r="216" spans="7:19" s="52" customFormat="1" x14ac:dyDescent="0.2">
      <c r="G216" s="72"/>
      <c r="K216" s="72"/>
      <c r="L216" s="72"/>
      <c r="M216" s="72"/>
      <c r="S216" s="72"/>
    </row>
    <row r="217" spans="7:19" s="52" customFormat="1" x14ac:dyDescent="0.2">
      <c r="G217" s="72"/>
      <c r="K217" s="72"/>
      <c r="L217" s="72"/>
      <c r="M217" s="72"/>
      <c r="S217" s="72"/>
    </row>
    <row r="218" spans="7:19" s="52" customFormat="1" x14ac:dyDescent="0.2">
      <c r="G218" s="72"/>
      <c r="K218" s="72"/>
      <c r="L218" s="72"/>
      <c r="M218" s="72"/>
      <c r="S218" s="72"/>
    </row>
    <row r="219" spans="7:19" s="52" customFormat="1" x14ac:dyDescent="0.2">
      <c r="G219" s="72"/>
      <c r="K219" s="72"/>
      <c r="L219" s="72"/>
      <c r="M219" s="72"/>
      <c r="S219" s="72"/>
    </row>
    <row r="220" spans="7:19" s="52" customFormat="1" x14ac:dyDescent="0.2">
      <c r="G220" s="72"/>
      <c r="K220" s="72"/>
      <c r="L220" s="72"/>
      <c r="M220" s="72"/>
      <c r="S220" s="72"/>
    </row>
    <row r="221" spans="7:19" s="52" customFormat="1" x14ac:dyDescent="0.2">
      <c r="G221" s="72"/>
      <c r="K221" s="72"/>
      <c r="L221" s="72"/>
      <c r="M221" s="72"/>
      <c r="S221" s="72"/>
    </row>
    <row r="222" spans="7:19" s="52" customFormat="1" x14ac:dyDescent="0.2">
      <c r="G222" s="72"/>
      <c r="K222" s="72"/>
      <c r="L222" s="72"/>
      <c r="M222" s="72"/>
      <c r="S222" s="72"/>
    </row>
    <row r="223" spans="7:19" s="52" customFormat="1" x14ac:dyDescent="0.2">
      <c r="G223" s="72"/>
      <c r="K223" s="72"/>
      <c r="L223" s="72"/>
      <c r="M223" s="72"/>
      <c r="S223" s="72"/>
    </row>
    <row r="224" spans="7:19" s="52" customFormat="1" x14ac:dyDescent="0.2">
      <c r="G224" s="72"/>
      <c r="K224" s="72"/>
      <c r="L224" s="72"/>
      <c r="M224" s="72"/>
      <c r="S224" s="72"/>
    </row>
    <row r="225" spans="7:19" s="52" customFormat="1" x14ac:dyDescent="0.2">
      <c r="G225" s="72"/>
      <c r="K225" s="72"/>
      <c r="L225" s="72"/>
      <c r="M225" s="72"/>
      <c r="S225" s="72"/>
    </row>
    <row r="226" spans="7:19" s="52" customFormat="1" x14ac:dyDescent="0.2">
      <c r="G226" s="72"/>
      <c r="K226" s="72"/>
      <c r="L226" s="72"/>
      <c r="M226" s="72"/>
      <c r="S226" s="72"/>
    </row>
    <row r="227" spans="7:19" s="52" customFormat="1" x14ac:dyDescent="0.2">
      <c r="G227" s="72"/>
      <c r="K227" s="72"/>
      <c r="L227" s="72"/>
      <c r="M227" s="72"/>
      <c r="S227" s="72"/>
    </row>
    <row r="228" spans="7:19" s="52" customFormat="1" x14ac:dyDescent="0.2">
      <c r="G228" s="72"/>
      <c r="K228" s="72"/>
      <c r="L228" s="72"/>
      <c r="M228" s="72"/>
      <c r="S228" s="72"/>
    </row>
    <row r="229" spans="7:19" s="52" customFormat="1" x14ac:dyDescent="0.2">
      <c r="G229" s="72"/>
      <c r="K229" s="72"/>
      <c r="L229" s="72"/>
      <c r="M229" s="72"/>
      <c r="S229" s="72"/>
    </row>
    <row r="230" spans="7:19" s="52" customFormat="1" x14ac:dyDescent="0.2">
      <c r="G230" s="72"/>
      <c r="K230" s="72"/>
      <c r="L230" s="72"/>
      <c r="M230" s="72"/>
      <c r="S230" s="72"/>
    </row>
    <row r="231" spans="7:19" s="52" customFormat="1" x14ac:dyDescent="0.2">
      <c r="G231" s="72"/>
      <c r="K231" s="72"/>
      <c r="L231" s="72"/>
      <c r="M231" s="72"/>
      <c r="S231" s="72"/>
    </row>
    <row r="232" spans="7:19" s="52" customFormat="1" x14ac:dyDescent="0.2">
      <c r="G232" s="72"/>
      <c r="K232" s="72"/>
      <c r="L232" s="72"/>
      <c r="M232" s="72"/>
      <c r="S232" s="72"/>
    </row>
    <row r="233" spans="7:19" s="52" customFormat="1" x14ac:dyDescent="0.2">
      <c r="G233" s="72"/>
      <c r="K233" s="72"/>
      <c r="L233" s="72"/>
      <c r="M233" s="72"/>
      <c r="S233" s="72"/>
    </row>
    <row r="234" spans="7:19" s="52" customFormat="1" x14ac:dyDescent="0.2">
      <c r="G234" s="72"/>
      <c r="K234" s="72"/>
      <c r="L234" s="72"/>
      <c r="M234" s="72"/>
      <c r="S234" s="72"/>
    </row>
    <row r="235" spans="7:19" s="52" customFormat="1" x14ac:dyDescent="0.2">
      <c r="G235" s="72"/>
      <c r="K235" s="72"/>
      <c r="L235" s="72"/>
      <c r="M235" s="72"/>
      <c r="S235" s="72"/>
    </row>
    <row r="236" spans="7:19" s="52" customFormat="1" x14ac:dyDescent="0.2">
      <c r="G236" s="72"/>
      <c r="K236" s="72"/>
      <c r="L236" s="72"/>
      <c r="M236" s="72"/>
      <c r="S236" s="72"/>
    </row>
    <row r="237" spans="7:19" s="52" customFormat="1" x14ac:dyDescent="0.2">
      <c r="G237" s="72"/>
      <c r="K237" s="72"/>
      <c r="L237" s="72"/>
      <c r="M237" s="72"/>
      <c r="S237" s="72"/>
    </row>
    <row r="238" spans="7:19" s="52" customFormat="1" x14ac:dyDescent="0.2">
      <c r="G238" s="72"/>
      <c r="K238" s="72"/>
      <c r="L238" s="72"/>
      <c r="M238" s="72"/>
      <c r="S238" s="72"/>
    </row>
    <row r="239" spans="7:19" s="52" customFormat="1" x14ac:dyDescent="0.2">
      <c r="G239" s="72"/>
      <c r="K239" s="72"/>
      <c r="L239" s="72"/>
      <c r="M239" s="72"/>
      <c r="S239" s="72"/>
    </row>
    <row r="240" spans="7:19" s="52" customFormat="1" x14ac:dyDescent="0.2">
      <c r="G240" s="72"/>
      <c r="K240" s="72"/>
      <c r="L240" s="72"/>
      <c r="M240" s="72"/>
      <c r="S240" s="72"/>
    </row>
    <row r="241" spans="5:19" s="52" customFormat="1" x14ac:dyDescent="0.2">
      <c r="G241" s="72"/>
      <c r="K241" s="72"/>
      <c r="L241" s="72"/>
      <c r="M241" s="72"/>
      <c r="S241" s="72"/>
    </row>
    <row r="242" spans="5:19" s="52" customFormat="1" x14ac:dyDescent="0.2">
      <c r="G242" s="72"/>
      <c r="K242" s="72"/>
      <c r="L242" s="72"/>
      <c r="M242" s="72"/>
      <c r="S242" s="72"/>
    </row>
    <row r="243" spans="5:19" s="52" customFormat="1" x14ac:dyDescent="0.2">
      <c r="E243" s="72"/>
      <c r="F243" s="72"/>
      <c r="G243" s="72"/>
      <c r="H243" s="72"/>
      <c r="I243" s="72"/>
      <c r="K243" s="72"/>
      <c r="L243" s="72"/>
      <c r="M243" s="72"/>
      <c r="S243" s="72"/>
    </row>
    <row r="244" spans="5:19" s="52" customFormat="1" x14ac:dyDescent="0.2">
      <c r="E244" s="72"/>
      <c r="F244" s="72"/>
      <c r="G244" s="72"/>
      <c r="H244" s="72"/>
      <c r="I244" s="72"/>
      <c r="K244" s="72"/>
      <c r="L244" s="72"/>
      <c r="M244" s="72"/>
      <c r="S244" s="72"/>
    </row>
    <row r="245" spans="5:19" s="52" customFormat="1" x14ac:dyDescent="0.2">
      <c r="E245" s="72"/>
      <c r="F245" s="72"/>
      <c r="G245" s="72"/>
      <c r="H245" s="72"/>
      <c r="I245" s="72"/>
      <c r="K245" s="72"/>
      <c r="L245" s="72"/>
      <c r="M245" s="72"/>
      <c r="S245" s="72"/>
    </row>
    <row r="246" spans="5:19" s="52" customFormat="1" x14ac:dyDescent="0.2">
      <c r="E246" s="72"/>
      <c r="F246" s="72"/>
      <c r="G246" s="72"/>
      <c r="H246" s="72"/>
      <c r="I246" s="72"/>
      <c r="K246" s="72"/>
      <c r="L246" s="72"/>
      <c r="M246" s="72"/>
      <c r="S246" s="72"/>
    </row>
    <row r="247" spans="5:19" s="52" customFormat="1" x14ac:dyDescent="0.2">
      <c r="E247" s="72"/>
      <c r="F247" s="72"/>
      <c r="G247" s="72"/>
      <c r="H247" s="72"/>
      <c r="I247" s="72"/>
      <c r="K247" s="72"/>
      <c r="L247" s="72"/>
      <c r="M247" s="72"/>
      <c r="S247" s="72"/>
    </row>
    <row r="248" spans="5:19" s="52" customFormat="1" x14ac:dyDescent="0.2">
      <c r="E248" s="72"/>
      <c r="F248" s="72"/>
      <c r="G248" s="72"/>
      <c r="H248" s="72"/>
      <c r="I248" s="72"/>
      <c r="K248" s="72"/>
      <c r="L248" s="72"/>
      <c r="M248" s="72"/>
      <c r="S248" s="72"/>
    </row>
    <row r="249" spans="5:19" s="52" customFormat="1" x14ac:dyDescent="0.2">
      <c r="E249" s="72"/>
      <c r="F249" s="72"/>
      <c r="G249" s="72"/>
      <c r="H249" s="72"/>
      <c r="I249" s="72"/>
      <c r="K249" s="72"/>
      <c r="L249" s="72"/>
      <c r="M249" s="72"/>
      <c r="S249" s="72"/>
    </row>
    <row r="250" spans="5:19" s="52" customFormat="1" x14ac:dyDescent="0.2">
      <c r="E250" s="72"/>
      <c r="F250" s="72"/>
      <c r="G250" s="72"/>
      <c r="H250" s="72"/>
      <c r="I250" s="72"/>
      <c r="K250" s="72"/>
      <c r="L250" s="72"/>
      <c r="M250" s="72"/>
      <c r="S250" s="72"/>
    </row>
    <row r="251" spans="5:19" s="52" customFormat="1" x14ac:dyDescent="0.2">
      <c r="E251" s="72"/>
      <c r="F251" s="72"/>
      <c r="G251" s="72"/>
      <c r="H251" s="72"/>
      <c r="I251" s="72"/>
      <c r="K251" s="72"/>
      <c r="L251" s="72"/>
      <c r="M251" s="72"/>
      <c r="S251" s="72"/>
    </row>
    <row r="252" spans="5:19" s="52" customFormat="1" x14ac:dyDescent="0.2">
      <c r="E252" s="72"/>
      <c r="F252" s="72"/>
      <c r="G252" s="72"/>
      <c r="H252" s="72"/>
      <c r="I252" s="72"/>
      <c r="K252" s="72"/>
      <c r="L252" s="72"/>
      <c r="M252" s="72"/>
      <c r="S252" s="72"/>
    </row>
    <row r="253" spans="5:19" s="52" customFormat="1" x14ac:dyDescent="0.2">
      <c r="E253" s="72"/>
      <c r="F253" s="72"/>
      <c r="G253" s="72"/>
      <c r="H253" s="72"/>
      <c r="I253" s="72"/>
      <c r="K253" s="72"/>
      <c r="L253" s="72"/>
      <c r="M253" s="72"/>
      <c r="S253" s="72"/>
    </row>
    <row r="254" spans="5:19" x14ac:dyDescent="0.2">
      <c r="E254" s="72"/>
      <c r="F254" s="72"/>
      <c r="G254" s="72"/>
      <c r="H254" s="72"/>
      <c r="I254" s="72"/>
    </row>
    <row r="255" spans="5:19" x14ac:dyDescent="0.2">
      <c r="E255" s="72"/>
      <c r="F255" s="72"/>
      <c r="G255" s="72"/>
      <c r="H255" s="72"/>
      <c r="I255" s="72"/>
    </row>
    <row r="256" spans="5:19" x14ac:dyDescent="0.2">
      <c r="E256" s="72"/>
      <c r="F256" s="72"/>
      <c r="G256" s="72"/>
      <c r="H256" s="72"/>
      <c r="I256" s="72"/>
    </row>
    <row r="257" spans="5:9" x14ac:dyDescent="0.2">
      <c r="E257" s="72"/>
      <c r="F257" s="72"/>
      <c r="G257" s="72"/>
      <c r="H257" s="72"/>
      <c r="I257" s="72"/>
    </row>
    <row r="258" spans="5:9" x14ac:dyDescent="0.2">
      <c r="E258" s="72"/>
      <c r="F258" s="72"/>
      <c r="G258" s="72"/>
      <c r="H258" s="72"/>
      <c r="I258" s="72"/>
    </row>
    <row r="259" spans="5:9" x14ac:dyDescent="0.2">
      <c r="E259" s="72"/>
      <c r="F259" s="72"/>
      <c r="G259" s="72"/>
      <c r="H259" s="72"/>
      <c r="I259" s="72"/>
    </row>
  </sheetData>
  <sheetProtection algorithmName="SHA-512" hashValue="Ilzml+yy3przbPLf+odjjqHoJ1da0W/b/NXYgU5yGyhXmXgAwbPV2DxUXT8iwtfbWVPid+03q39gDvmxZZKkjg==" saltValue="JA2V5DcOjMIX+ZxtmmHZhQ==" spinCount="100000" sheet="1" objects="1" scenarios="1"/>
  <mergeCells count="1">
    <mergeCell ref="B13:C13"/>
  </mergeCells>
  <phoneticPr fontId="76" type="noConversion"/>
  <conditionalFormatting sqref="B17:I116">
    <cfRule type="expression" dxfId="42" priority="12">
      <formula>IF(ROW(B17)-16&lt;=$A$16,TRUE, FALSE)</formula>
    </cfRule>
  </conditionalFormatting>
  <conditionalFormatting sqref="N17:U116">
    <cfRule type="expression" dxfId="41" priority="11">
      <formula>IF(ROW(N17)-16&lt;=$M$16,TRUE, FALSE)</formula>
    </cfRule>
  </conditionalFormatting>
  <conditionalFormatting sqref="L17:L116">
    <cfRule type="expression" dxfId="40" priority="10">
      <formula>IF(ROW(L17)-16&lt;=$A$16,TRUE, FALSE)</formula>
    </cfRule>
  </conditionalFormatting>
  <conditionalFormatting sqref="V17:V116">
    <cfRule type="expression" dxfId="39" priority="4">
      <formula>IF(ROW(V17)-16&lt;=$M$16,TRUE, FALSE)</formula>
    </cfRule>
  </conditionalFormatting>
  <conditionalFormatting sqref="L17:L116 B17:F116">
    <cfRule type="expression" dxfId="38" priority="3">
      <formula>IF(OR(LOWER($L17)="x",$A17=0),FALSE,TRUE)</formula>
    </cfRule>
  </conditionalFormatting>
  <conditionalFormatting sqref="N17:R116 V17:V116">
    <cfRule type="expression" dxfId="37" priority="1">
      <formula>IF(OR(LOWER($V17)="x",$M17=0),FALSE,TRUE)</formula>
    </cfRule>
  </conditionalFormatting>
  <dataValidations count="2">
    <dataValidation type="list" allowBlank="1" showInputMessage="1" showErrorMessage="1" sqref="L17:L116 V17:V116" xr:uid="{75EFCBC7-094A-4C84-90AD-9F5611DD4B80}">
      <formula1>"x"</formula1>
    </dataValidation>
    <dataValidation type="whole" allowBlank="1" showInputMessage="1" showErrorMessage="1" errorTitle="Invalid value entered" error="Please enter a value between 0 and 52. If more than 52 weeks is required, please split capacity over multiple lines." sqref="E17:E116" xr:uid="{E6F9CE89-F305-4234-A637-F553A73DE4C6}">
      <formula1>0</formula1>
      <formula2>52</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95250</xdr:rowOff>
                  </from>
                  <to>
                    <xdr:col>3</xdr:col>
                    <xdr:colOff>247650</xdr:colOff>
                    <xdr:row>13</xdr:row>
                    <xdr:rowOff>95250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95250</xdr:rowOff>
                  </from>
                  <to>
                    <xdr:col>3</xdr:col>
                    <xdr:colOff>142875</xdr:colOff>
                    <xdr:row>6</xdr:row>
                    <xdr:rowOff>171450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1428750</xdr:colOff>
                    <xdr:row>15</xdr:row>
                    <xdr:rowOff>533400</xdr:rowOff>
                  </from>
                  <to>
                    <xdr:col>2</xdr:col>
                    <xdr:colOff>1123950</xdr:colOff>
                    <xdr:row>16</xdr:row>
                    <xdr:rowOff>171450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561975</xdr:colOff>
                    <xdr:row>5</xdr:row>
                    <xdr:rowOff>171450</xdr:rowOff>
                  </from>
                  <to>
                    <xdr:col>2</xdr:col>
                    <xdr:colOff>866775</xdr:colOff>
                    <xdr:row>7</xdr:row>
                    <xdr:rowOff>28575</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819150</xdr:colOff>
                    <xdr:row>11</xdr:row>
                    <xdr:rowOff>38100</xdr:rowOff>
                  </to>
                </anchor>
              </controlPr>
            </control>
          </mc:Choice>
        </mc:AlternateContent>
        <mc:AlternateContent xmlns:mc="http://schemas.openxmlformats.org/markup-compatibility/2006">
          <mc:Choice Requires="x14">
            <control shapeId="32803" r:id="rId11" name="Button 35">
              <controlPr defaultSize="0" print="0" autoFill="0" autoPict="0" macro="[0]!Export_Capacity">
                <anchor moveWithCells="1" sizeWithCells="1">
                  <from>
                    <xdr:col>12</xdr:col>
                    <xdr:colOff>238125</xdr:colOff>
                    <xdr:row>2</xdr:row>
                    <xdr:rowOff>104775</xdr:rowOff>
                  </from>
                  <to>
                    <xdr:col>13</xdr:col>
                    <xdr:colOff>1352550</xdr:colOff>
                    <xdr:row>5</xdr:row>
                    <xdr:rowOff>0</xdr:rowOff>
                  </to>
                </anchor>
              </controlPr>
            </control>
          </mc:Choice>
        </mc:AlternateContent>
        <mc:AlternateContent xmlns:mc="http://schemas.openxmlformats.org/markup-compatibility/2006">
          <mc:Choice Requires="x14">
            <control shapeId="32804" r:id="rId12" name="Button 36">
              <controlPr defaultSize="0" print="0" autoFill="0" autoPict="0" macro="[0]!Import_Capacity">
                <anchor moveWithCells="1" sizeWithCells="1">
                  <from>
                    <xdr:col>12</xdr:col>
                    <xdr:colOff>247650</xdr:colOff>
                    <xdr:row>5</xdr:row>
                    <xdr:rowOff>38100</xdr:rowOff>
                  </from>
                  <to>
                    <xdr:col>13</xdr:col>
                    <xdr:colOff>1352550</xdr:colOff>
                    <xdr:row>7</xdr:row>
                    <xdr:rowOff>95250</xdr:rowOff>
                  </to>
                </anchor>
              </controlPr>
            </control>
          </mc:Choice>
        </mc:AlternateContent>
        <mc:AlternateContent xmlns:mc="http://schemas.openxmlformats.org/markup-compatibility/2006">
          <mc:Choice Requires="x14">
            <control shapeId="32806" r:id="rId13" name="Button 38">
              <controlPr defaultSize="0" print="0" autoFill="0" autoPict="0" macro="[0]!Delete_Capacity">
                <anchor moveWithCells="1" sizeWithCells="1">
                  <from>
                    <xdr:col>12</xdr:col>
                    <xdr:colOff>247650</xdr:colOff>
                    <xdr:row>7</xdr:row>
                    <xdr:rowOff>171450</xdr:rowOff>
                  </from>
                  <to>
                    <xdr:col>13</xdr:col>
                    <xdr:colOff>1352550</xdr:colOff>
                    <xdr:row>12</xdr:row>
                    <xdr:rowOff>66675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election activeCell="Q12" sqref="Q12"/>
    </sheetView>
  </sheetViews>
  <sheetFormatPr defaultColWidth="9" defaultRowHeight="14.25" x14ac:dyDescent="0.2"/>
  <cols>
    <col min="1" max="1" width="2.5" style="72" customWidth="1"/>
    <col min="2" max="2" width="40.625" style="72" customWidth="1"/>
    <col min="3" max="3" width="0.75" style="81" customWidth="1"/>
    <col min="4" max="5" width="10.75" style="72" customWidth="1"/>
    <col min="6" max="6" width="0.75" style="81" customWidth="1"/>
    <col min="7" max="8" width="10.75" style="72" customWidth="1"/>
    <col min="9" max="9" width="0.75" style="81" customWidth="1"/>
    <col min="10" max="11" width="10.75" style="72" customWidth="1"/>
    <col min="12" max="12" width="0.75" style="81" customWidth="1"/>
    <col min="13" max="14" width="10.75" style="72" customWidth="1"/>
    <col min="15" max="15" width="0.75" style="81" customWidth="1"/>
    <col min="16" max="17" width="10.75" style="72" customWidth="1"/>
    <col min="18" max="18" width="2.75" style="72" customWidth="1"/>
    <col min="19" max="16384" width="9" style="72"/>
  </cols>
  <sheetData>
    <row r="2" spans="1:19" ht="14.25" customHeight="1" x14ac:dyDescent="0.2">
      <c r="B2" s="107" t="s">
        <v>478</v>
      </c>
      <c r="C2" s="128"/>
      <c r="D2" s="128"/>
      <c r="E2" s="128"/>
      <c r="F2" s="110"/>
    </row>
    <row r="3" spans="1:19" x14ac:dyDescent="0.2">
      <c r="B3" s="139" t="s">
        <v>474</v>
      </c>
      <c r="C3" s="139"/>
      <c r="D3" s="270">
        <f ca="1">IF(Capacity!C3="",TODAY(),Capacity!C3)</f>
        <v>44418</v>
      </c>
      <c r="F3" s="111"/>
    </row>
    <row r="4" spans="1:19" x14ac:dyDescent="0.2">
      <c r="B4" s="139" t="s">
        <v>437</v>
      </c>
      <c r="C4" s="139"/>
      <c r="D4" s="271">
        <f ca="1">IF(Capacity!C4="",DATE(YEAR(D3)+1,MONTH(D3),DAY(D3))-1,Capacity!C4)</f>
        <v>44782</v>
      </c>
      <c r="F4" s="111"/>
    </row>
    <row r="6" spans="1:19" ht="15" customHeight="1" x14ac:dyDescent="0.2">
      <c r="C6" s="108"/>
      <c r="D6" s="106"/>
      <c r="E6" s="106"/>
      <c r="F6" s="108"/>
      <c r="G6" s="106"/>
      <c r="H6" s="106"/>
      <c r="I6" s="108"/>
      <c r="J6" s="106"/>
      <c r="K6" s="106"/>
      <c r="L6" s="108"/>
      <c r="M6" s="106"/>
      <c r="N6" s="106"/>
      <c r="O6" s="108"/>
      <c r="P6" s="106"/>
      <c r="Q6" s="106"/>
      <c r="R6" s="77"/>
      <c r="S6" s="78"/>
    </row>
    <row r="7" spans="1:19" ht="14.25" customHeight="1" x14ac:dyDescent="0.2">
      <c r="B7" s="106"/>
      <c r="C7" s="108"/>
      <c r="D7" s="106"/>
      <c r="E7" s="106"/>
      <c r="F7" s="108"/>
      <c r="G7" s="106"/>
      <c r="H7" s="106"/>
      <c r="I7" s="108"/>
      <c r="J7" s="106"/>
      <c r="K7" s="106"/>
      <c r="L7" s="108"/>
      <c r="M7" s="106"/>
      <c r="N7" s="106"/>
      <c r="O7" s="108"/>
      <c r="P7" s="106"/>
      <c r="Q7" s="106"/>
      <c r="R7" s="77"/>
      <c r="S7" s="78"/>
    </row>
    <row r="8" spans="1:19" ht="15" x14ac:dyDescent="0.2">
      <c r="C8" s="109"/>
      <c r="D8" s="424" t="s">
        <v>475</v>
      </c>
      <c r="E8" s="424"/>
      <c r="F8" s="424"/>
      <c r="G8" s="424"/>
      <c r="H8" s="424"/>
      <c r="I8" s="424"/>
      <c r="J8" s="424"/>
      <c r="K8" s="424"/>
      <c r="L8" s="108"/>
      <c r="M8" s="106"/>
      <c r="N8" s="106"/>
      <c r="O8" s="108"/>
      <c r="P8" s="106"/>
      <c r="Q8" s="106"/>
      <c r="S8" s="78"/>
    </row>
    <row r="10" spans="1:19" x14ac:dyDescent="0.2">
      <c r="D10" s="422" t="s">
        <v>444</v>
      </c>
      <c r="E10" s="423"/>
      <c r="F10" s="112"/>
      <c r="G10" s="420" t="s">
        <v>445</v>
      </c>
      <c r="H10" s="421"/>
      <c r="I10" s="112"/>
      <c r="J10" s="422" t="s">
        <v>446</v>
      </c>
      <c r="K10" s="423"/>
      <c r="L10" s="112"/>
      <c r="M10" s="420" t="s">
        <v>447</v>
      </c>
      <c r="N10" s="421"/>
      <c r="O10" s="112"/>
      <c r="P10" s="422" t="s">
        <v>448</v>
      </c>
      <c r="Q10" s="423"/>
    </row>
    <row r="11" spans="1:19" x14ac:dyDescent="0.2">
      <c r="A11" s="74">
        <f>MAX(A12:A111)</f>
        <v>5</v>
      </c>
      <c r="B11" s="114" t="s">
        <v>946</v>
      </c>
      <c r="C11" s="113"/>
      <c r="D11" s="123" t="s">
        <v>148</v>
      </c>
      <c r="E11" s="123" t="s">
        <v>149</v>
      </c>
      <c r="F11" s="112"/>
      <c r="G11" s="124" t="s">
        <v>148</v>
      </c>
      <c r="H11" s="124" t="s">
        <v>149</v>
      </c>
      <c r="I11" s="112"/>
      <c r="J11" s="123" t="s">
        <v>148</v>
      </c>
      <c r="K11" s="123" t="s">
        <v>149</v>
      </c>
      <c r="L11" s="112"/>
      <c r="M11" s="124" t="s">
        <v>148</v>
      </c>
      <c r="N11" s="124" t="s">
        <v>149</v>
      </c>
      <c r="O11" s="112"/>
      <c r="P11" s="123" t="s">
        <v>148</v>
      </c>
      <c r="Q11" s="123" t="s">
        <v>149</v>
      </c>
    </row>
    <row r="12" spans="1:19" x14ac:dyDescent="0.2">
      <c r="A12" s="74">
        <f>IF(B12="",0,ROW(A1))</f>
        <v>1</v>
      </c>
      <c r="B12" s="171" t="s">
        <v>1253</v>
      </c>
      <c r="D12" s="173">
        <v>43584</v>
      </c>
      <c r="E12" s="173">
        <v>43597</v>
      </c>
      <c r="F12" s="111"/>
      <c r="G12" s="173">
        <v>43598</v>
      </c>
      <c r="H12" s="173">
        <v>43618</v>
      </c>
      <c r="I12" s="111"/>
      <c r="J12" s="173">
        <v>43724</v>
      </c>
      <c r="K12" s="173">
        <v>43751</v>
      </c>
      <c r="L12" s="111"/>
      <c r="M12" s="173">
        <v>43864</v>
      </c>
      <c r="N12" s="173">
        <v>43870</v>
      </c>
      <c r="O12" s="111"/>
      <c r="P12" s="173"/>
      <c r="Q12" s="173"/>
    </row>
    <row r="13" spans="1:19" x14ac:dyDescent="0.2">
      <c r="A13" s="74">
        <f t="shared" ref="A13:A76" si="0">IF(B13="",0,ROW(A2))</f>
        <v>2</v>
      </c>
      <c r="B13" s="172" t="s">
        <v>1254</v>
      </c>
      <c r="D13" s="174">
        <v>43815</v>
      </c>
      <c r="E13" s="174">
        <v>43849</v>
      </c>
      <c r="F13" s="111"/>
      <c r="G13" s="174"/>
      <c r="H13" s="174"/>
      <c r="J13" s="174"/>
      <c r="K13" s="174"/>
      <c r="M13" s="174"/>
      <c r="N13" s="174"/>
      <c r="P13" s="174"/>
      <c r="Q13" s="174"/>
    </row>
    <row r="14" spans="1:19" x14ac:dyDescent="0.2">
      <c r="A14" s="74">
        <f t="shared" si="0"/>
        <v>3</v>
      </c>
      <c r="B14" s="172" t="s">
        <v>1255</v>
      </c>
      <c r="D14" s="174">
        <v>43682</v>
      </c>
      <c r="E14" s="174">
        <v>43723</v>
      </c>
      <c r="F14" s="111"/>
      <c r="G14" s="174"/>
      <c r="H14" s="174"/>
      <c r="J14" s="174"/>
      <c r="K14" s="174"/>
      <c r="M14" s="174"/>
      <c r="N14" s="174"/>
      <c r="P14" s="174"/>
      <c r="Q14" s="174"/>
    </row>
    <row r="15" spans="1:19" x14ac:dyDescent="0.2">
      <c r="A15" s="74">
        <f t="shared" si="0"/>
        <v>4</v>
      </c>
      <c r="B15" s="172" t="s">
        <v>1256</v>
      </c>
      <c r="D15" s="174"/>
      <c r="E15" s="174"/>
      <c r="G15" s="174"/>
      <c r="H15" s="174"/>
      <c r="J15" s="174"/>
      <c r="K15" s="174"/>
      <c r="M15" s="174"/>
      <c r="N15" s="174"/>
      <c r="P15" s="174"/>
      <c r="Q15" s="174"/>
    </row>
    <row r="16" spans="1:19" x14ac:dyDescent="0.2">
      <c r="A16" s="74">
        <f t="shared" si="0"/>
        <v>5</v>
      </c>
      <c r="B16" s="172" t="s">
        <v>1257</v>
      </c>
      <c r="D16" s="174"/>
      <c r="E16" s="174"/>
      <c r="G16" s="174"/>
      <c r="H16" s="174"/>
      <c r="J16" s="174"/>
      <c r="K16" s="174"/>
      <c r="M16" s="174"/>
      <c r="N16" s="174"/>
      <c r="P16" s="174"/>
      <c r="Q16" s="174"/>
    </row>
    <row r="17" spans="1:17" x14ac:dyDescent="0.2">
      <c r="A17" s="74">
        <f t="shared" si="0"/>
        <v>0</v>
      </c>
      <c r="B17" s="172"/>
      <c r="D17" s="174"/>
      <c r="E17" s="174"/>
      <c r="G17" s="174"/>
      <c r="H17" s="174"/>
      <c r="J17" s="174"/>
      <c r="K17" s="174"/>
      <c r="M17" s="174"/>
      <c r="N17" s="174"/>
      <c r="P17" s="174"/>
      <c r="Q17" s="174"/>
    </row>
    <row r="18" spans="1:17" x14ac:dyDescent="0.2">
      <c r="A18" s="74">
        <f t="shared" si="0"/>
        <v>0</v>
      </c>
      <c r="B18" s="172"/>
      <c r="D18" s="174"/>
      <c r="E18" s="174"/>
      <c r="G18" s="174"/>
      <c r="H18" s="174"/>
      <c r="J18" s="174"/>
      <c r="K18" s="174"/>
      <c r="M18" s="174"/>
      <c r="N18" s="174"/>
      <c r="P18" s="174"/>
      <c r="Q18" s="174"/>
    </row>
    <row r="19" spans="1:17" x14ac:dyDescent="0.2">
      <c r="A19" s="74">
        <f t="shared" si="0"/>
        <v>0</v>
      </c>
      <c r="B19" s="172"/>
      <c r="D19" s="174"/>
      <c r="E19" s="174"/>
      <c r="G19" s="174"/>
      <c r="H19" s="174"/>
      <c r="J19" s="174"/>
      <c r="K19" s="174"/>
      <c r="M19" s="174"/>
      <c r="N19" s="174"/>
      <c r="P19" s="174"/>
      <c r="Q19" s="174"/>
    </row>
    <row r="20" spans="1:17" x14ac:dyDescent="0.2">
      <c r="A20" s="74">
        <f t="shared" si="0"/>
        <v>0</v>
      </c>
      <c r="B20" s="172"/>
      <c r="D20" s="174"/>
      <c r="E20" s="174"/>
      <c r="G20" s="174"/>
      <c r="H20" s="174"/>
      <c r="J20" s="174"/>
      <c r="K20" s="174"/>
      <c r="M20" s="174"/>
      <c r="N20" s="174"/>
      <c r="P20" s="174"/>
      <c r="Q20" s="174"/>
    </row>
    <row r="21" spans="1:17" x14ac:dyDescent="0.2">
      <c r="A21" s="74">
        <f t="shared" si="0"/>
        <v>0</v>
      </c>
      <c r="B21" s="172"/>
      <c r="D21" s="174"/>
      <c r="E21" s="174"/>
      <c r="G21" s="174"/>
      <c r="H21" s="174"/>
      <c r="J21" s="174"/>
      <c r="K21" s="174"/>
      <c r="M21" s="174"/>
      <c r="N21" s="174"/>
      <c r="P21" s="174"/>
      <c r="Q21" s="174"/>
    </row>
    <row r="22" spans="1:17" x14ac:dyDescent="0.2">
      <c r="A22" s="74">
        <f t="shared" si="0"/>
        <v>0</v>
      </c>
      <c r="B22" s="172"/>
      <c r="D22" s="174"/>
      <c r="E22" s="174"/>
      <c r="G22" s="174"/>
      <c r="H22" s="174"/>
      <c r="J22" s="174"/>
      <c r="K22" s="174"/>
      <c r="M22" s="174"/>
      <c r="N22" s="174"/>
      <c r="P22" s="174"/>
      <c r="Q22" s="174"/>
    </row>
    <row r="23" spans="1:17" x14ac:dyDescent="0.2">
      <c r="A23" s="74">
        <f t="shared" si="0"/>
        <v>0</v>
      </c>
      <c r="B23" s="172"/>
      <c r="D23" s="174"/>
      <c r="E23" s="174"/>
      <c r="G23" s="174"/>
      <c r="H23" s="174"/>
      <c r="J23" s="174"/>
      <c r="K23" s="174"/>
      <c r="M23" s="174"/>
      <c r="N23" s="174"/>
      <c r="P23" s="174"/>
      <c r="Q23" s="174"/>
    </row>
    <row r="24" spans="1:17" x14ac:dyDescent="0.2">
      <c r="A24" s="74">
        <f t="shared" si="0"/>
        <v>0</v>
      </c>
      <c r="B24" s="172"/>
      <c r="D24" s="174"/>
      <c r="E24" s="174"/>
      <c r="G24" s="174"/>
      <c r="H24" s="174"/>
      <c r="J24" s="174"/>
      <c r="K24" s="174"/>
      <c r="M24" s="174"/>
      <c r="N24" s="174"/>
      <c r="P24" s="174"/>
      <c r="Q24" s="174"/>
    </row>
    <row r="25" spans="1:17" x14ac:dyDescent="0.2">
      <c r="A25" s="74">
        <f t="shared" si="0"/>
        <v>0</v>
      </c>
      <c r="B25" s="172"/>
      <c r="D25" s="174"/>
      <c r="E25" s="174"/>
      <c r="G25" s="174"/>
      <c r="H25" s="174"/>
      <c r="J25" s="174"/>
      <c r="K25" s="174"/>
      <c r="M25" s="174"/>
      <c r="N25" s="174"/>
      <c r="P25" s="174"/>
      <c r="Q25" s="174"/>
    </row>
    <row r="26" spans="1:17" x14ac:dyDescent="0.2">
      <c r="A26" s="74">
        <f t="shared" si="0"/>
        <v>0</v>
      </c>
      <c r="B26" s="172"/>
      <c r="D26" s="174"/>
      <c r="E26" s="174"/>
      <c r="G26" s="174"/>
      <c r="H26" s="174"/>
      <c r="J26" s="174"/>
      <c r="K26" s="174"/>
      <c r="M26" s="174"/>
      <c r="N26" s="174"/>
      <c r="P26" s="174"/>
      <c r="Q26" s="174"/>
    </row>
    <row r="27" spans="1:17" x14ac:dyDescent="0.2">
      <c r="A27" s="74">
        <f t="shared" si="0"/>
        <v>0</v>
      </c>
      <c r="B27" s="172"/>
      <c r="D27" s="174"/>
      <c r="E27" s="174"/>
      <c r="G27" s="174"/>
      <c r="H27" s="174"/>
      <c r="J27" s="174"/>
      <c r="K27" s="174"/>
      <c r="M27" s="174"/>
      <c r="N27" s="174"/>
      <c r="P27" s="174"/>
      <c r="Q27" s="174"/>
    </row>
    <row r="28" spans="1:17" x14ac:dyDescent="0.2">
      <c r="A28" s="74">
        <f t="shared" si="0"/>
        <v>0</v>
      </c>
      <c r="B28" s="172"/>
      <c r="D28" s="174"/>
      <c r="E28" s="174"/>
      <c r="G28" s="174"/>
      <c r="H28" s="174"/>
      <c r="J28" s="174"/>
      <c r="K28" s="174"/>
      <c r="M28" s="174"/>
      <c r="N28" s="174"/>
      <c r="P28" s="174"/>
      <c r="Q28" s="174"/>
    </row>
    <row r="29" spans="1:17" x14ac:dyDescent="0.2">
      <c r="A29" s="74">
        <f t="shared" si="0"/>
        <v>0</v>
      </c>
      <c r="B29" s="172"/>
      <c r="D29" s="174"/>
      <c r="E29" s="174"/>
      <c r="G29" s="174"/>
      <c r="H29" s="174"/>
      <c r="J29" s="174"/>
      <c r="K29" s="174"/>
      <c r="M29" s="174"/>
      <c r="N29" s="174"/>
      <c r="P29" s="174"/>
      <c r="Q29" s="174"/>
    </row>
    <row r="30" spans="1:17" x14ac:dyDescent="0.2">
      <c r="A30" s="74">
        <f t="shared" si="0"/>
        <v>0</v>
      </c>
      <c r="B30" s="172"/>
      <c r="D30" s="174"/>
      <c r="E30" s="174"/>
      <c r="G30" s="174"/>
      <c r="H30" s="174"/>
      <c r="J30" s="174"/>
      <c r="K30" s="174"/>
      <c r="M30" s="174"/>
      <c r="N30" s="174"/>
      <c r="P30" s="174"/>
      <c r="Q30" s="174"/>
    </row>
    <row r="31" spans="1:17" x14ac:dyDescent="0.2">
      <c r="A31" s="74">
        <f t="shared" si="0"/>
        <v>0</v>
      </c>
      <c r="B31" s="172"/>
      <c r="D31" s="174"/>
      <c r="E31" s="174"/>
      <c r="G31" s="174"/>
      <c r="H31" s="174"/>
      <c r="J31" s="174"/>
      <c r="K31" s="174"/>
      <c r="M31" s="174"/>
      <c r="N31" s="174"/>
      <c r="P31" s="174"/>
      <c r="Q31" s="174"/>
    </row>
    <row r="32" spans="1:17" x14ac:dyDescent="0.2">
      <c r="A32" s="74">
        <f t="shared" si="0"/>
        <v>0</v>
      </c>
      <c r="B32" s="172"/>
      <c r="D32" s="174"/>
      <c r="E32" s="174"/>
      <c r="G32" s="174"/>
      <c r="H32" s="174"/>
      <c r="J32" s="174"/>
      <c r="K32" s="174"/>
      <c r="M32" s="174"/>
      <c r="N32" s="174"/>
      <c r="P32" s="174"/>
      <c r="Q32" s="174"/>
    </row>
    <row r="33" spans="1:17" x14ac:dyDescent="0.2">
      <c r="A33" s="74">
        <f t="shared" si="0"/>
        <v>0</v>
      </c>
      <c r="B33" s="172"/>
      <c r="D33" s="174"/>
      <c r="E33" s="174"/>
      <c r="G33" s="174"/>
      <c r="H33" s="174"/>
      <c r="J33" s="174"/>
      <c r="K33" s="174"/>
      <c r="M33" s="174"/>
      <c r="N33" s="174"/>
      <c r="P33" s="174"/>
      <c r="Q33" s="174"/>
    </row>
    <row r="34" spans="1:17" x14ac:dyDescent="0.2">
      <c r="A34" s="74">
        <f t="shared" si="0"/>
        <v>0</v>
      </c>
      <c r="B34" s="172"/>
      <c r="D34" s="174"/>
      <c r="E34" s="174"/>
      <c r="G34" s="174"/>
      <c r="H34" s="174"/>
      <c r="J34" s="174"/>
      <c r="K34" s="174"/>
      <c r="M34" s="174"/>
      <c r="N34" s="174"/>
      <c r="P34" s="174"/>
      <c r="Q34" s="174"/>
    </row>
    <row r="35" spans="1:17" x14ac:dyDescent="0.2">
      <c r="A35" s="74">
        <f t="shared" si="0"/>
        <v>0</v>
      </c>
      <c r="B35" s="172"/>
      <c r="D35" s="174"/>
      <c r="E35" s="174"/>
      <c r="G35" s="174"/>
      <c r="H35" s="174"/>
      <c r="J35" s="174"/>
      <c r="K35" s="174"/>
      <c r="M35" s="174"/>
      <c r="N35" s="174"/>
      <c r="P35" s="174"/>
      <c r="Q35" s="174"/>
    </row>
    <row r="36" spans="1:17" x14ac:dyDescent="0.2">
      <c r="A36" s="74">
        <f t="shared" si="0"/>
        <v>0</v>
      </c>
      <c r="B36" s="172"/>
      <c r="D36" s="174"/>
      <c r="E36" s="174"/>
      <c r="G36" s="174"/>
      <c r="H36" s="174"/>
      <c r="J36" s="174"/>
      <c r="K36" s="174"/>
      <c r="M36" s="174"/>
      <c r="N36" s="174"/>
      <c r="P36" s="174"/>
      <c r="Q36" s="174"/>
    </row>
    <row r="37" spans="1:17" x14ac:dyDescent="0.2">
      <c r="A37" s="74">
        <f t="shared" si="0"/>
        <v>0</v>
      </c>
      <c r="B37" s="172"/>
      <c r="D37" s="174"/>
      <c r="E37" s="174"/>
      <c r="G37" s="174"/>
      <c r="H37" s="174"/>
      <c r="J37" s="174"/>
      <c r="K37" s="174"/>
      <c r="M37" s="174"/>
      <c r="N37" s="174"/>
      <c r="P37" s="174"/>
      <c r="Q37" s="174"/>
    </row>
    <row r="38" spans="1:17" x14ac:dyDescent="0.2">
      <c r="A38" s="74">
        <f t="shared" si="0"/>
        <v>0</v>
      </c>
      <c r="B38" s="172"/>
      <c r="D38" s="174"/>
      <c r="E38" s="174"/>
      <c r="G38" s="174"/>
      <c r="H38" s="174"/>
      <c r="J38" s="174"/>
      <c r="K38" s="174"/>
      <c r="M38" s="174"/>
      <c r="N38" s="174"/>
      <c r="P38" s="174"/>
      <c r="Q38" s="174"/>
    </row>
    <row r="39" spans="1:17" x14ac:dyDescent="0.2">
      <c r="A39" s="74">
        <f t="shared" si="0"/>
        <v>0</v>
      </c>
      <c r="B39" s="172"/>
      <c r="D39" s="174"/>
      <c r="E39" s="174"/>
      <c r="G39" s="174"/>
      <c r="H39" s="174"/>
      <c r="J39" s="174"/>
      <c r="K39" s="174"/>
      <c r="M39" s="174"/>
      <c r="N39" s="174"/>
      <c r="P39" s="174"/>
      <c r="Q39" s="174"/>
    </row>
    <row r="40" spans="1:17" x14ac:dyDescent="0.2">
      <c r="A40" s="74">
        <f t="shared" si="0"/>
        <v>0</v>
      </c>
      <c r="B40" s="172"/>
      <c r="D40" s="174"/>
      <c r="E40" s="174"/>
      <c r="G40" s="174"/>
      <c r="H40" s="174"/>
      <c r="J40" s="174"/>
      <c r="K40" s="174"/>
      <c r="M40" s="174"/>
      <c r="N40" s="174"/>
      <c r="P40" s="174"/>
      <c r="Q40" s="174"/>
    </row>
    <row r="41" spans="1:17" x14ac:dyDescent="0.2">
      <c r="A41" s="74">
        <f t="shared" si="0"/>
        <v>0</v>
      </c>
      <c r="B41" s="172"/>
      <c r="D41" s="174"/>
      <c r="E41" s="174"/>
      <c r="G41" s="174"/>
      <c r="H41" s="174"/>
      <c r="J41" s="174"/>
      <c r="K41" s="174"/>
      <c r="M41" s="174"/>
      <c r="N41" s="174"/>
      <c r="P41" s="174"/>
      <c r="Q41" s="174"/>
    </row>
    <row r="42" spans="1:17" x14ac:dyDescent="0.2">
      <c r="A42" s="74">
        <f t="shared" si="0"/>
        <v>0</v>
      </c>
      <c r="B42" s="172"/>
      <c r="D42" s="174"/>
      <c r="E42" s="174"/>
      <c r="G42" s="174"/>
      <c r="H42" s="174"/>
      <c r="J42" s="174"/>
      <c r="K42" s="174"/>
      <c r="M42" s="174"/>
      <c r="N42" s="174"/>
      <c r="P42" s="174"/>
      <c r="Q42" s="174"/>
    </row>
    <row r="43" spans="1:17" x14ac:dyDescent="0.2">
      <c r="A43" s="74">
        <f t="shared" si="0"/>
        <v>0</v>
      </c>
      <c r="B43" s="172"/>
      <c r="D43" s="174"/>
      <c r="E43" s="174"/>
      <c r="G43" s="174"/>
      <c r="H43" s="174"/>
      <c r="J43" s="174"/>
      <c r="K43" s="174"/>
      <c r="M43" s="174"/>
      <c r="N43" s="174"/>
      <c r="P43" s="174"/>
      <c r="Q43" s="174"/>
    </row>
    <row r="44" spans="1:17" x14ac:dyDescent="0.2">
      <c r="A44" s="74">
        <f t="shared" si="0"/>
        <v>0</v>
      </c>
      <c r="B44" s="172"/>
      <c r="D44" s="174"/>
      <c r="E44" s="174"/>
      <c r="G44" s="174"/>
      <c r="H44" s="174"/>
      <c r="J44" s="174"/>
      <c r="K44" s="174"/>
      <c r="M44" s="174"/>
      <c r="N44" s="174"/>
      <c r="P44" s="174"/>
      <c r="Q44" s="174"/>
    </row>
    <row r="45" spans="1:17" x14ac:dyDescent="0.2">
      <c r="A45" s="74">
        <f t="shared" si="0"/>
        <v>0</v>
      </c>
      <c r="B45" s="172"/>
      <c r="D45" s="174"/>
      <c r="E45" s="174"/>
      <c r="G45" s="174"/>
      <c r="H45" s="174"/>
      <c r="J45" s="174"/>
      <c r="K45" s="174"/>
      <c r="M45" s="174"/>
      <c r="N45" s="174"/>
      <c r="P45" s="174"/>
      <c r="Q45" s="174"/>
    </row>
    <row r="46" spans="1:17" x14ac:dyDescent="0.2">
      <c r="A46" s="74">
        <f t="shared" si="0"/>
        <v>0</v>
      </c>
      <c r="B46" s="172"/>
      <c r="D46" s="174"/>
      <c r="E46" s="174"/>
      <c r="G46" s="174"/>
      <c r="H46" s="174"/>
      <c r="J46" s="174"/>
      <c r="K46" s="174"/>
      <c r="M46" s="174"/>
      <c r="N46" s="174"/>
      <c r="P46" s="174"/>
      <c r="Q46" s="174"/>
    </row>
    <row r="47" spans="1:17" x14ac:dyDescent="0.2">
      <c r="A47" s="74">
        <f t="shared" si="0"/>
        <v>0</v>
      </c>
      <c r="B47" s="172"/>
      <c r="D47" s="174"/>
      <c r="E47" s="174"/>
      <c r="G47" s="174"/>
      <c r="H47" s="174"/>
      <c r="J47" s="174"/>
      <c r="K47" s="174"/>
      <c r="M47" s="174"/>
      <c r="N47" s="174"/>
      <c r="P47" s="174"/>
      <c r="Q47" s="174"/>
    </row>
    <row r="48" spans="1:17" x14ac:dyDescent="0.2">
      <c r="A48" s="74">
        <f t="shared" si="0"/>
        <v>0</v>
      </c>
      <c r="B48" s="172"/>
      <c r="D48" s="174"/>
      <c r="E48" s="174"/>
      <c r="G48" s="174"/>
      <c r="H48" s="174"/>
      <c r="J48" s="174"/>
      <c r="K48" s="174"/>
      <c r="M48" s="174"/>
      <c r="N48" s="174"/>
      <c r="P48" s="174"/>
      <c r="Q48" s="174"/>
    </row>
    <row r="49" spans="1:17" x14ac:dyDescent="0.2">
      <c r="A49" s="74">
        <f t="shared" si="0"/>
        <v>0</v>
      </c>
      <c r="B49" s="172"/>
      <c r="D49" s="174"/>
      <c r="E49" s="174"/>
      <c r="G49" s="174"/>
      <c r="H49" s="174"/>
      <c r="J49" s="174"/>
      <c r="K49" s="174"/>
      <c r="M49" s="174"/>
      <c r="N49" s="174"/>
      <c r="P49" s="174"/>
      <c r="Q49" s="174"/>
    </row>
    <row r="50" spans="1:17" x14ac:dyDescent="0.2">
      <c r="A50" s="74">
        <f t="shared" si="0"/>
        <v>0</v>
      </c>
      <c r="B50" s="172"/>
      <c r="D50" s="174"/>
      <c r="E50" s="174"/>
      <c r="G50" s="174"/>
      <c r="H50" s="174"/>
      <c r="J50" s="174"/>
      <c r="K50" s="174"/>
      <c r="M50" s="174"/>
      <c r="N50" s="174"/>
      <c r="P50" s="174"/>
      <c r="Q50" s="174"/>
    </row>
    <row r="51" spans="1:17" x14ac:dyDescent="0.2">
      <c r="A51" s="74">
        <f t="shared" si="0"/>
        <v>0</v>
      </c>
      <c r="B51" s="172"/>
      <c r="D51" s="174"/>
      <c r="E51" s="174"/>
      <c r="G51" s="174"/>
      <c r="H51" s="174"/>
      <c r="J51" s="174"/>
      <c r="K51" s="174"/>
      <c r="M51" s="174"/>
      <c r="N51" s="174"/>
      <c r="P51" s="174"/>
      <c r="Q51" s="174"/>
    </row>
    <row r="52" spans="1:17" x14ac:dyDescent="0.2">
      <c r="A52" s="74">
        <f t="shared" si="0"/>
        <v>0</v>
      </c>
      <c r="B52" s="172"/>
      <c r="D52" s="174"/>
      <c r="E52" s="174"/>
      <c r="G52" s="174"/>
      <c r="H52" s="174"/>
      <c r="J52" s="174"/>
      <c r="K52" s="174"/>
      <c r="M52" s="174"/>
      <c r="N52" s="174"/>
      <c r="P52" s="174"/>
      <c r="Q52" s="174"/>
    </row>
    <row r="53" spans="1:17" x14ac:dyDescent="0.2">
      <c r="A53" s="74">
        <f t="shared" si="0"/>
        <v>0</v>
      </c>
      <c r="B53" s="172"/>
      <c r="D53" s="174"/>
      <c r="E53" s="174"/>
      <c r="G53" s="174"/>
      <c r="H53" s="174"/>
      <c r="J53" s="174"/>
      <c r="K53" s="174"/>
      <c r="M53" s="174"/>
      <c r="N53" s="174"/>
      <c r="P53" s="174"/>
      <c r="Q53" s="174"/>
    </row>
    <row r="54" spans="1:17" x14ac:dyDescent="0.2">
      <c r="A54" s="74">
        <f t="shared" si="0"/>
        <v>0</v>
      </c>
      <c r="B54" s="172"/>
      <c r="D54" s="174"/>
      <c r="E54" s="174"/>
      <c r="G54" s="174"/>
      <c r="H54" s="174"/>
      <c r="J54" s="174"/>
      <c r="K54" s="174"/>
      <c r="M54" s="174"/>
      <c r="N54" s="174"/>
      <c r="P54" s="174"/>
      <c r="Q54" s="174"/>
    </row>
    <row r="55" spans="1:17" x14ac:dyDescent="0.2">
      <c r="A55" s="74">
        <f t="shared" si="0"/>
        <v>0</v>
      </c>
      <c r="B55" s="172"/>
      <c r="D55" s="174"/>
      <c r="E55" s="174"/>
      <c r="G55" s="174"/>
      <c r="H55" s="174"/>
      <c r="J55" s="174"/>
      <c r="K55" s="174"/>
      <c r="M55" s="174"/>
      <c r="N55" s="174"/>
      <c r="P55" s="174"/>
      <c r="Q55" s="174"/>
    </row>
    <row r="56" spans="1:17" x14ac:dyDescent="0.2">
      <c r="A56" s="74">
        <f t="shared" si="0"/>
        <v>0</v>
      </c>
      <c r="B56" s="172"/>
      <c r="D56" s="174"/>
      <c r="E56" s="174"/>
      <c r="G56" s="174"/>
      <c r="H56" s="174"/>
      <c r="J56" s="174"/>
      <c r="K56" s="174"/>
      <c r="M56" s="174"/>
      <c r="N56" s="174"/>
      <c r="P56" s="174"/>
      <c r="Q56" s="174"/>
    </row>
    <row r="57" spans="1:17" x14ac:dyDescent="0.2">
      <c r="A57" s="74">
        <f t="shared" si="0"/>
        <v>0</v>
      </c>
      <c r="B57" s="172"/>
      <c r="D57" s="174"/>
      <c r="E57" s="174"/>
      <c r="G57" s="174"/>
      <c r="H57" s="174"/>
      <c r="J57" s="174"/>
      <c r="K57" s="174"/>
      <c r="M57" s="174"/>
      <c r="N57" s="174"/>
      <c r="P57" s="174"/>
      <c r="Q57" s="174"/>
    </row>
    <row r="58" spans="1:17" x14ac:dyDescent="0.2">
      <c r="A58" s="74">
        <f t="shared" si="0"/>
        <v>0</v>
      </c>
      <c r="B58" s="172"/>
      <c r="D58" s="174"/>
      <c r="E58" s="174"/>
      <c r="G58" s="174"/>
      <c r="H58" s="174"/>
      <c r="J58" s="174"/>
      <c r="K58" s="174"/>
      <c r="M58" s="174"/>
      <c r="N58" s="174"/>
      <c r="P58" s="174"/>
      <c r="Q58" s="174"/>
    </row>
    <row r="59" spans="1:17" x14ac:dyDescent="0.2">
      <c r="A59" s="74">
        <f t="shared" si="0"/>
        <v>0</v>
      </c>
      <c r="B59" s="172"/>
      <c r="D59" s="174"/>
      <c r="E59" s="174"/>
      <c r="G59" s="174"/>
      <c r="H59" s="174"/>
      <c r="J59" s="174"/>
      <c r="K59" s="174"/>
      <c r="M59" s="174"/>
      <c r="N59" s="174"/>
      <c r="P59" s="174"/>
      <c r="Q59" s="174"/>
    </row>
    <row r="60" spans="1:17" x14ac:dyDescent="0.2">
      <c r="A60" s="74">
        <f t="shared" si="0"/>
        <v>0</v>
      </c>
      <c r="B60" s="172"/>
      <c r="D60" s="174"/>
      <c r="E60" s="174"/>
      <c r="G60" s="174"/>
      <c r="H60" s="174"/>
      <c r="J60" s="174"/>
      <c r="K60" s="174"/>
      <c r="M60" s="174"/>
      <c r="N60" s="174"/>
      <c r="P60" s="174"/>
      <c r="Q60" s="174"/>
    </row>
    <row r="61" spans="1:17" x14ac:dyDescent="0.2">
      <c r="A61" s="74">
        <f t="shared" si="0"/>
        <v>0</v>
      </c>
      <c r="B61" s="172"/>
      <c r="D61" s="174"/>
      <c r="E61" s="174"/>
      <c r="G61" s="174"/>
      <c r="H61" s="174"/>
      <c r="J61" s="174"/>
      <c r="K61" s="174"/>
      <c r="M61" s="174"/>
      <c r="N61" s="174"/>
      <c r="P61" s="174"/>
      <c r="Q61" s="174"/>
    </row>
    <row r="62" spans="1:17" x14ac:dyDescent="0.2">
      <c r="A62" s="74">
        <f t="shared" si="0"/>
        <v>0</v>
      </c>
      <c r="B62" s="172"/>
      <c r="D62" s="174"/>
      <c r="E62" s="174"/>
      <c r="G62" s="174"/>
      <c r="H62" s="174"/>
      <c r="J62" s="174"/>
      <c r="K62" s="174"/>
      <c r="M62" s="174"/>
      <c r="N62" s="174"/>
      <c r="P62" s="174"/>
      <c r="Q62" s="174"/>
    </row>
    <row r="63" spans="1:17" x14ac:dyDescent="0.2">
      <c r="A63" s="74">
        <f t="shared" si="0"/>
        <v>0</v>
      </c>
      <c r="B63" s="172"/>
      <c r="D63" s="174"/>
      <c r="E63" s="174"/>
      <c r="G63" s="174"/>
      <c r="H63" s="174"/>
      <c r="J63" s="174"/>
      <c r="K63" s="174"/>
      <c r="M63" s="174"/>
      <c r="N63" s="174"/>
      <c r="P63" s="174"/>
      <c r="Q63" s="174"/>
    </row>
    <row r="64" spans="1:17" x14ac:dyDescent="0.2">
      <c r="A64" s="74">
        <f t="shared" si="0"/>
        <v>0</v>
      </c>
      <c r="B64" s="172"/>
      <c r="D64" s="174"/>
      <c r="E64" s="174"/>
      <c r="G64" s="174"/>
      <c r="H64" s="174"/>
      <c r="J64" s="174"/>
      <c r="K64" s="174"/>
      <c r="M64" s="174"/>
      <c r="N64" s="174"/>
      <c r="P64" s="174"/>
      <c r="Q64" s="174"/>
    </row>
    <row r="65" spans="1:17" x14ac:dyDescent="0.2">
      <c r="A65" s="74">
        <f t="shared" si="0"/>
        <v>0</v>
      </c>
      <c r="B65" s="172"/>
      <c r="D65" s="174"/>
      <c r="E65" s="174"/>
      <c r="G65" s="174"/>
      <c r="H65" s="174"/>
      <c r="J65" s="174"/>
      <c r="K65" s="174"/>
      <c r="M65" s="174"/>
      <c r="N65" s="174"/>
      <c r="P65" s="174"/>
      <c r="Q65" s="174"/>
    </row>
    <row r="66" spans="1:17" x14ac:dyDescent="0.2">
      <c r="A66" s="74">
        <f t="shared" si="0"/>
        <v>0</v>
      </c>
      <c r="B66" s="172"/>
      <c r="D66" s="174"/>
      <c r="E66" s="174"/>
      <c r="G66" s="174"/>
      <c r="H66" s="174"/>
      <c r="J66" s="174"/>
      <c r="K66" s="174"/>
      <c r="M66" s="174"/>
      <c r="N66" s="174"/>
      <c r="P66" s="174"/>
      <c r="Q66" s="174"/>
    </row>
    <row r="67" spans="1:17" x14ac:dyDescent="0.2">
      <c r="A67" s="74">
        <f t="shared" si="0"/>
        <v>0</v>
      </c>
      <c r="B67" s="172"/>
      <c r="D67" s="174"/>
      <c r="E67" s="174"/>
      <c r="G67" s="174"/>
      <c r="H67" s="174"/>
      <c r="J67" s="174"/>
      <c r="K67" s="174"/>
      <c r="M67" s="174"/>
      <c r="N67" s="174"/>
      <c r="P67" s="174"/>
      <c r="Q67" s="174"/>
    </row>
    <row r="68" spans="1:17" x14ac:dyDescent="0.2">
      <c r="A68" s="74">
        <f t="shared" si="0"/>
        <v>0</v>
      </c>
      <c r="B68" s="172"/>
      <c r="D68" s="174"/>
      <c r="E68" s="174"/>
      <c r="G68" s="174"/>
      <c r="H68" s="174"/>
      <c r="J68" s="174"/>
      <c r="K68" s="174"/>
      <c r="M68" s="174"/>
      <c r="N68" s="174"/>
      <c r="P68" s="174"/>
      <c r="Q68" s="174"/>
    </row>
    <row r="69" spans="1:17" x14ac:dyDescent="0.2">
      <c r="A69" s="74">
        <f t="shared" si="0"/>
        <v>0</v>
      </c>
      <c r="B69" s="172"/>
      <c r="D69" s="174"/>
      <c r="E69" s="174"/>
      <c r="G69" s="174"/>
      <c r="H69" s="174"/>
      <c r="J69" s="174"/>
      <c r="K69" s="174"/>
      <c r="M69" s="174"/>
      <c r="N69" s="174"/>
      <c r="P69" s="174"/>
      <c r="Q69" s="174"/>
    </row>
    <row r="70" spans="1:17" x14ac:dyDescent="0.2">
      <c r="A70" s="74">
        <f t="shared" si="0"/>
        <v>0</v>
      </c>
      <c r="B70" s="172"/>
      <c r="D70" s="174"/>
      <c r="E70" s="174"/>
      <c r="G70" s="174"/>
      <c r="H70" s="174"/>
      <c r="J70" s="174"/>
      <c r="K70" s="174"/>
      <c r="M70" s="174"/>
      <c r="N70" s="174"/>
      <c r="P70" s="174"/>
      <c r="Q70" s="174"/>
    </row>
    <row r="71" spans="1:17" x14ac:dyDescent="0.2">
      <c r="A71" s="74">
        <f t="shared" si="0"/>
        <v>0</v>
      </c>
      <c r="B71" s="172"/>
      <c r="D71" s="174"/>
      <c r="E71" s="174"/>
      <c r="G71" s="174"/>
      <c r="H71" s="174"/>
      <c r="J71" s="174"/>
      <c r="K71" s="174"/>
      <c r="M71" s="174"/>
      <c r="N71" s="174"/>
      <c r="P71" s="174"/>
      <c r="Q71" s="174"/>
    </row>
    <row r="72" spans="1:17" x14ac:dyDescent="0.2">
      <c r="A72" s="74">
        <f t="shared" si="0"/>
        <v>0</v>
      </c>
      <c r="B72" s="172"/>
      <c r="D72" s="174"/>
      <c r="E72" s="174"/>
      <c r="G72" s="174"/>
      <c r="H72" s="174"/>
      <c r="J72" s="174"/>
      <c r="K72" s="174"/>
      <c r="M72" s="174"/>
      <c r="N72" s="174"/>
      <c r="P72" s="174"/>
      <c r="Q72" s="174"/>
    </row>
    <row r="73" spans="1:17" x14ac:dyDescent="0.2">
      <c r="A73" s="74">
        <f t="shared" si="0"/>
        <v>0</v>
      </c>
      <c r="B73" s="172"/>
      <c r="D73" s="174"/>
      <c r="E73" s="174"/>
      <c r="G73" s="174"/>
      <c r="H73" s="174"/>
      <c r="J73" s="174"/>
      <c r="K73" s="174"/>
      <c r="M73" s="174"/>
      <c r="N73" s="174"/>
      <c r="P73" s="174"/>
      <c r="Q73" s="174"/>
    </row>
    <row r="74" spans="1:17" x14ac:dyDescent="0.2">
      <c r="A74" s="74">
        <f t="shared" si="0"/>
        <v>0</v>
      </c>
      <c r="B74" s="172"/>
      <c r="D74" s="174"/>
      <c r="E74" s="174"/>
      <c r="G74" s="174"/>
      <c r="H74" s="174"/>
      <c r="J74" s="174"/>
      <c r="K74" s="174"/>
      <c r="M74" s="174"/>
      <c r="N74" s="174"/>
      <c r="P74" s="174"/>
      <c r="Q74" s="174"/>
    </row>
    <row r="75" spans="1:17" x14ac:dyDescent="0.2">
      <c r="A75" s="74">
        <f t="shared" si="0"/>
        <v>0</v>
      </c>
      <c r="B75" s="172"/>
      <c r="D75" s="174"/>
      <c r="E75" s="174"/>
      <c r="G75" s="174"/>
      <c r="H75" s="174"/>
      <c r="J75" s="174"/>
      <c r="K75" s="174"/>
      <c r="M75" s="174"/>
      <c r="N75" s="174"/>
      <c r="P75" s="174"/>
      <c r="Q75" s="174"/>
    </row>
    <row r="76" spans="1:17" x14ac:dyDescent="0.2">
      <c r="A76" s="74">
        <f t="shared" si="0"/>
        <v>0</v>
      </c>
      <c r="B76" s="172"/>
      <c r="D76" s="174"/>
      <c r="E76" s="174"/>
      <c r="G76" s="174"/>
      <c r="H76" s="174"/>
      <c r="J76" s="174"/>
      <c r="K76" s="174"/>
      <c r="M76" s="174"/>
      <c r="N76" s="174"/>
      <c r="P76" s="174"/>
      <c r="Q76" s="174"/>
    </row>
    <row r="77" spans="1:17" x14ac:dyDescent="0.2">
      <c r="A77" s="74">
        <f t="shared" ref="A77:A111" si="1">IF(B77="",0,ROW(A66))</f>
        <v>0</v>
      </c>
      <c r="B77" s="172"/>
      <c r="D77" s="174"/>
      <c r="E77" s="174"/>
      <c r="G77" s="174"/>
      <c r="H77" s="174"/>
      <c r="J77" s="174"/>
      <c r="K77" s="174"/>
      <c r="M77" s="174"/>
      <c r="N77" s="174"/>
      <c r="P77" s="174"/>
      <c r="Q77" s="174"/>
    </row>
    <row r="78" spans="1:17" x14ac:dyDescent="0.2">
      <c r="A78" s="74">
        <f t="shared" si="1"/>
        <v>0</v>
      </c>
      <c r="B78" s="172"/>
      <c r="D78" s="174"/>
      <c r="E78" s="174"/>
      <c r="G78" s="174"/>
      <c r="H78" s="174"/>
      <c r="J78" s="174"/>
      <c r="K78" s="174"/>
      <c r="M78" s="174"/>
      <c r="N78" s="174"/>
      <c r="P78" s="174"/>
      <c r="Q78" s="174"/>
    </row>
    <row r="79" spans="1:17" x14ac:dyDescent="0.2">
      <c r="A79" s="74">
        <f t="shared" si="1"/>
        <v>0</v>
      </c>
      <c r="B79" s="172"/>
      <c r="D79" s="174"/>
      <c r="E79" s="174"/>
      <c r="G79" s="174"/>
      <c r="H79" s="174"/>
      <c r="J79" s="174"/>
      <c r="K79" s="174"/>
      <c r="M79" s="174"/>
      <c r="N79" s="174"/>
      <c r="P79" s="174"/>
      <c r="Q79" s="174"/>
    </row>
    <row r="80" spans="1:17" x14ac:dyDescent="0.2">
      <c r="A80" s="74">
        <f t="shared" si="1"/>
        <v>0</v>
      </c>
      <c r="B80" s="172"/>
      <c r="D80" s="174"/>
      <c r="E80" s="174"/>
      <c r="G80" s="174"/>
      <c r="H80" s="174"/>
      <c r="J80" s="174"/>
      <c r="K80" s="174"/>
      <c r="M80" s="174"/>
      <c r="N80" s="174"/>
      <c r="P80" s="174"/>
      <c r="Q80" s="174"/>
    </row>
    <row r="81" spans="1:17" x14ac:dyDescent="0.2">
      <c r="A81" s="74">
        <f t="shared" si="1"/>
        <v>0</v>
      </c>
      <c r="B81" s="172"/>
      <c r="D81" s="174"/>
      <c r="E81" s="174"/>
      <c r="G81" s="174"/>
      <c r="H81" s="174"/>
      <c r="J81" s="174"/>
      <c r="K81" s="174"/>
      <c r="M81" s="174"/>
      <c r="N81" s="174"/>
      <c r="P81" s="174"/>
      <c r="Q81" s="174"/>
    </row>
    <row r="82" spans="1:17" x14ac:dyDescent="0.2">
      <c r="A82" s="74">
        <f t="shared" si="1"/>
        <v>0</v>
      </c>
      <c r="B82" s="172"/>
      <c r="D82" s="174"/>
      <c r="E82" s="174"/>
      <c r="G82" s="174"/>
      <c r="H82" s="174"/>
      <c r="J82" s="174"/>
      <c r="K82" s="174"/>
      <c r="M82" s="174"/>
      <c r="N82" s="174"/>
      <c r="P82" s="174"/>
      <c r="Q82" s="174"/>
    </row>
    <row r="83" spans="1:17" x14ac:dyDescent="0.2">
      <c r="A83" s="74">
        <f t="shared" si="1"/>
        <v>0</v>
      </c>
      <c r="B83" s="172"/>
      <c r="D83" s="174"/>
      <c r="E83" s="174"/>
      <c r="G83" s="174"/>
      <c r="H83" s="174"/>
      <c r="J83" s="174"/>
      <c r="K83" s="174"/>
      <c r="M83" s="174"/>
      <c r="N83" s="174"/>
      <c r="P83" s="174"/>
      <c r="Q83" s="174"/>
    </row>
    <row r="84" spans="1:17" x14ac:dyDescent="0.2">
      <c r="A84" s="74">
        <f t="shared" si="1"/>
        <v>0</v>
      </c>
      <c r="B84" s="172"/>
      <c r="D84" s="174"/>
      <c r="E84" s="174"/>
      <c r="G84" s="174"/>
      <c r="H84" s="174"/>
      <c r="J84" s="174"/>
      <c r="K84" s="174"/>
      <c r="M84" s="174"/>
      <c r="N84" s="174"/>
      <c r="P84" s="174"/>
      <c r="Q84" s="174"/>
    </row>
    <row r="85" spans="1:17" x14ac:dyDescent="0.2">
      <c r="A85" s="74">
        <f t="shared" si="1"/>
        <v>0</v>
      </c>
      <c r="B85" s="172"/>
      <c r="D85" s="174"/>
      <c r="E85" s="174"/>
      <c r="G85" s="174"/>
      <c r="H85" s="174"/>
      <c r="J85" s="174"/>
      <c r="K85" s="174"/>
      <c r="M85" s="174"/>
      <c r="N85" s="174"/>
      <c r="P85" s="174"/>
      <c r="Q85" s="174"/>
    </row>
    <row r="86" spans="1:17" x14ac:dyDescent="0.2">
      <c r="A86" s="74">
        <f t="shared" si="1"/>
        <v>0</v>
      </c>
      <c r="B86" s="172"/>
      <c r="D86" s="174"/>
      <c r="E86" s="174"/>
      <c r="G86" s="174"/>
      <c r="H86" s="174"/>
      <c r="J86" s="174"/>
      <c r="K86" s="174"/>
      <c r="M86" s="174"/>
      <c r="N86" s="174"/>
      <c r="P86" s="174"/>
      <c r="Q86" s="174"/>
    </row>
    <row r="87" spans="1:17" x14ac:dyDescent="0.2">
      <c r="A87" s="74">
        <f t="shared" si="1"/>
        <v>0</v>
      </c>
      <c r="B87" s="172"/>
      <c r="D87" s="174"/>
      <c r="E87" s="174"/>
      <c r="G87" s="174"/>
      <c r="H87" s="174"/>
      <c r="J87" s="174"/>
      <c r="K87" s="174"/>
      <c r="M87" s="174"/>
      <c r="N87" s="174"/>
      <c r="P87" s="174"/>
      <c r="Q87" s="174"/>
    </row>
    <row r="88" spans="1:17" x14ac:dyDescent="0.2">
      <c r="A88" s="74">
        <f t="shared" si="1"/>
        <v>0</v>
      </c>
      <c r="B88" s="172"/>
      <c r="D88" s="174"/>
      <c r="E88" s="174"/>
      <c r="G88" s="174"/>
      <c r="H88" s="174"/>
      <c r="J88" s="174"/>
      <c r="K88" s="174"/>
      <c r="M88" s="174"/>
      <c r="N88" s="174"/>
      <c r="P88" s="174"/>
      <c r="Q88" s="174"/>
    </row>
    <row r="89" spans="1:17" x14ac:dyDescent="0.2">
      <c r="A89" s="74">
        <f t="shared" si="1"/>
        <v>0</v>
      </c>
      <c r="B89" s="172"/>
      <c r="D89" s="174"/>
      <c r="E89" s="174"/>
      <c r="G89" s="174"/>
      <c r="H89" s="174"/>
      <c r="J89" s="174"/>
      <c r="K89" s="174"/>
      <c r="M89" s="174"/>
      <c r="N89" s="174"/>
      <c r="P89" s="174"/>
      <c r="Q89" s="174"/>
    </row>
    <row r="90" spans="1:17" x14ac:dyDescent="0.2">
      <c r="A90" s="74">
        <f t="shared" si="1"/>
        <v>0</v>
      </c>
      <c r="B90" s="172"/>
      <c r="D90" s="174"/>
      <c r="E90" s="174"/>
      <c r="G90" s="174"/>
      <c r="H90" s="174"/>
      <c r="J90" s="174"/>
      <c r="K90" s="174"/>
      <c r="M90" s="174"/>
      <c r="N90" s="174"/>
      <c r="P90" s="174"/>
      <c r="Q90" s="174"/>
    </row>
    <row r="91" spans="1:17" x14ac:dyDescent="0.2">
      <c r="A91" s="74">
        <f t="shared" si="1"/>
        <v>0</v>
      </c>
      <c r="B91" s="172"/>
      <c r="D91" s="174"/>
      <c r="E91" s="174"/>
      <c r="G91" s="174"/>
      <c r="H91" s="174"/>
      <c r="J91" s="174"/>
      <c r="K91" s="174"/>
      <c r="M91" s="174"/>
      <c r="N91" s="174"/>
      <c r="P91" s="174"/>
      <c r="Q91" s="174"/>
    </row>
    <row r="92" spans="1:17" x14ac:dyDescent="0.2">
      <c r="A92" s="74">
        <f t="shared" si="1"/>
        <v>0</v>
      </c>
      <c r="B92" s="172"/>
      <c r="D92" s="174"/>
      <c r="E92" s="174"/>
      <c r="G92" s="174"/>
      <c r="H92" s="174"/>
      <c r="J92" s="174"/>
      <c r="K92" s="174"/>
      <c r="M92" s="174"/>
      <c r="N92" s="174"/>
      <c r="P92" s="174"/>
      <c r="Q92" s="174"/>
    </row>
    <row r="93" spans="1:17" x14ac:dyDescent="0.2">
      <c r="A93" s="74">
        <f t="shared" si="1"/>
        <v>0</v>
      </c>
      <c r="B93" s="172"/>
      <c r="D93" s="174"/>
      <c r="E93" s="174"/>
      <c r="G93" s="174"/>
      <c r="H93" s="174"/>
      <c r="J93" s="174"/>
      <c r="K93" s="174"/>
      <c r="M93" s="174"/>
      <c r="N93" s="174"/>
      <c r="P93" s="174"/>
      <c r="Q93" s="174"/>
    </row>
    <row r="94" spans="1:17" x14ac:dyDescent="0.2">
      <c r="A94" s="74">
        <f t="shared" si="1"/>
        <v>0</v>
      </c>
      <c r="B94" s="172"/>
      <c r="D94" s="174"/>
      <c r="E94" s="174"/>
      <c r="G94" s="174"/>
      <c r="H94" s="174"/>
      <c r="J94" s="174"/>
      <c r="K94" s="174"/>
      <c r="M94" s="174"/>
      <c r="N94" s="174"/>
      <c r="P94" s="174"/>
      <c r="Q94" s="174"/>
    </row>
    <row r="95" spans="1:17" x14ac:dyDescent="0.2">
      <c r="A95" s="74">
        <f t="shared" si="1"/>
        <v>0</v>
      </c>
      <c r="B95" s="172"/>
      <c r="D95" s="174"/>
      <c r="E95" s="174"/>
      <c r="G95" s="174"/>
      <c r="H95" s="174"/>
      <c r="J95" s="174"/>
      <c r="K95" s="174"/>
      <c r="M95" s="174"/>
      <c r="N95" s="174"/>
      <c r="P95" s="174"/>
      <c r="Q95" s="174"/>
    </row>
    <row r="96" spans="1:17" x14ac:dyDescent="0.2">
      <c r="A96" s="74">
        <f t="shared" si="1"/>
        <v>0</v>
      </c>
      <c r="B96" s="172"/>
      <c r="D96" s="174"/>
      <c r="E96" s="174"/>
      <c r="G96" s="174"/>
      <c r="H96" s="174"/>
      <c r="J96" s="174"/>
      <c r="K96" s="174"/>
      <c r="M96" s="174"/>
      <c r="N96" s="174"/>
      <c r="P96" s="174"/>
      <c r="Q96" s="174"/>
    </row>
    <row r="97" spans="1:17" x14ac:dyDescent="0.2">
      <c r="A97" s="74">
        <f t="shared" si="1"/>
        <v>0</v>
      </c>
      <c r="B97" s="172"/>
      <c r="D97" s="174"/>
      <c r="E97" s="174"/>
      <c r="G97" s="174"/>
      <c r="H97" s="174"/>
      <c r="J97" s="174"/>
      <c r="K97" s="174"/>
      <c r="M97" s="174"/>
      <c r="N97" s="174"/>
      <c r="P97" s="174"/>
      <c r="Q97" s="174"/>
    </row>
    <row r="98" spans="1:17" x14ac:dyDescent="0.2">
      <c r="A98" s="74">
        <f t="shared" si="1"/>
        <v>0</v>
      </c>
      <c r="B98" s="172"/>
      <c r="D98" s="174"/>
      <c r="E98" s="174"/>
      <c r="G98" s="174"/>
      <c r="H98" s="174"/>
      <c r="J98" s="174"/>
      <c r="K98" s="174"/>
      <c r="M98" s="174"/>
      <c r="N98" s="174"/>
      <c r="P98" s="174"/>
      <c r="Q98" s="174"/>
    </row>
    <row r="99" spans="1:17" x14ac:dyDescent="0.2">
      <c r="A99" s="74">
        <f t="shared" si="1"/>
        <v>0</v>
      </c>
      <c r="B99" s="172"/>
      <c r="D99" s="174"/>
      <c r="E99" s="174"/>
      <c r="G99" s="174"/>
      <c r="H99" s="174"/>
      <c r="J99" s="174"/>
      <c r="K99" s="174"/>
      <c r="M99" s="174"/>
      <c r="N99" s="174"/>
      <c r="P99" s="174"/>
      <c r="Q99" s="174"/>
    </row>
    <row r="100" spans="1:17" x14ac:dyDescent="0.2">
      <c r="A100" s="74">
        <f t="shared" si="1"/>
        <v>0</v>
      </c>
      <c r="B100" s="172"/>
      <c r="D100" s="174"/>
      <c r="E100" s="174"/>
      <c r="G100" s="174"/>
      <c r="H100" s="174"/>
      <c r="J100" s="174"/>
      <c r="K100" s="174"/>
      <c r="M100" s="174"/>
      <c r="N100" s="174"/>
      <c r="P100" s="174"/>
      <c r="Q100" s="174"/>
    </row>
    <row r="101" spans="1:17" x14ac:dyDescent="0.2">
      <c r="A101" s="74">
        <f t="shared" si="1"/>
        <v>0</v>
      </c>
      <c r="B101" s="172"/>
      <c r="D101" s="174"/>
      <c r="E101" s="174"/>
      <c r="G101" s="174"/>
      <c r="H101" s="174"/>
      <c r="J101" s="174"/>
      <c r="K101" s="174"/>
      <c r="M101" s="174"/>
      <c r="N101" s="174"/>
      <c r="P101" s="174"/>
      <c r="Q101" s="174"/>
    </row>
    <row r="102" spans="1:17" x14ac:dyDescent="0.2">
      <c r="A102" s="74">
        <f t="shared" si="1"/>
        <v>0</v>
      </c>
      <c r="B102" s="172"/>
      <c r="D102" s="174"/>
      <c r="E102" s="174"/>
      <c r="G102" s="174"/>
      <c r="H102" s="174"/>
      <c r="J102" s="174"/>
      <c r="K102" s="174"/>
      <c r="M102" s="174"/>
      <c r="N102" s="174"/>
      <c r="P102" s="174"/>
      <c r="Q102" s="174"/>
    </row>
    <row r="103" spans="1:17" x14ac:dyDescent="0.2">
      <c r="A103" s="74">
        <f t="shared" si="1"/>
        <v>0</v>
      </c>
      <c r="B103" s="172"/>
      <c r="D103" s="174"/>
      <c r="E103" s="174"/>
      <c r="G103" s="174"/>
      <c r="H103" s="174"/>
      <c r="J103" s="174"/>
      <c r="K103" s="174"/>
      <c r="M103" s="174"/>
      <c r="N103" s="174"/>
      <c r="P103" s="174"/>
      <c r="Q103" s="174"/>
    </row>
    <row r="104" spans="1:17" x14ac:dyDescent="0.2">
      <c r="A104" s="74">
        <f t="shared" si="1"/>
        <v>0</v>
      </c>
      <c r="B104" s="172"/>
      <c r="D104" s="174"/>
      <c r="E104" s="174"/>
      <c r="G104" s="174"/>
      <c r="H104" s="174"/>
      <c r="J104" s="174"/>
      <c r="K104" s="174"/>
      <c r="M104" s="174"/>
      <c r="N104" s="174"/>
      <c r="P104" s="174"/>
      <c r="Q104" s="174"/>
    </row>
    <row r="105" spans="1:17" x14ac:dyDescent="0.2">
      <c r="A105" s="74">
        <f t="shared" si="1"/>
        <v>0</v>
      </c>
      <c r="B105" s="172"/>
      <c r="D105" s="174"/>
      <c r="E105" s="174"/>
      <c r="G105" s="174"/>
      <c r="H105" s="174"/>
      <c r="J105" s="174"/>
      <c r="K105" s="174"/>
      <c r="M105" s="174"/>
      <c r="N105" s="174"/>
      <c r="P105" s="174"/>
      <c r="Q105" s="174"/>
    </row>
    <row r="106" spans="1:17" x14ac:dyDescent="0.2">
      <c r="A106" s="74">
        <f t="shared" si="1"/>
        <v>0</v>
      </c>
      <c r="B106" s="172"/>
      <c r="D106" s="174"/>
      <c r="E106" s="174"/>
      <c r="G106" s="174"/>
      <c r="H106" s="174"/>
      <c r="J106" s="174"/>
      <c r="K106" s="174"/>
      <c r="M106" s="174"/>
      <c r="N106" s="174"/>
      <c r="P106" s="174"/>
      <c r="Q106" s="174"/>
    </row>
    <row r="107" spans="1:17" x14ac:dyDescent="0.2">
      <c r="A107" s="74">
        <f t="shared" si="1"/>
        <v>0</v>
      </c>
      <c r="B107" s="172"/>
      <c r="D107" s="174"/>
      <c r="E107" s="174"/>
      <c r="G107" s="174"/>
      <c r="H107" s="174"/>
      <c r="J107" s="174"/>
      <c r="K107" s="174"/>
      <c r="M107" s="174"/>
      <c r="N107" s="174"/>
      <c r="P107" s="174"/>
      <c r="Q107" s="174"/>
    </row>
    <row r="108" spans="1:17" x14ac:dyDescent="0.2">
      <c r="A108" s="74">
        <f t="shared" si="1"/>
        <v>0</v>
      </c>
      <c r="B108" s="172"/>
      <c r="D108" s="174"/>
      <c r="E108" s="174"/>
      <c r="G108" s="174"/>
      <c r="H108" s="174"/>
      <c r="J108" s="174"/>
      <c r="K108" s="174"/>
      <c r="M108" s="174"/>
      <c r="N108" s="174"/>
      <c r="P108" s="174"/>
      <c r="Q108" s="174"/>
    </row>
    <row r="109" spans="1:17" x14ac:dyDescent="0.2">
      <c r="A109" s="74">
        <f t="shared" si="1"/>
        <v>0</v>
      </c>
      <c r="B109" s="172"/>
      <c r="D109" s="174"/>
      <c r="E109" s="174"/>
      <c r="G109" s="174"/>
      <c r="H109" s="174"/>
      <c r="J109" s="174"/>
      <c r="K109" s="174"/>
      <c r="M109" s="174"/>
      <c r="N109" s="174"/>
      <c r="P109" s="174"/>
      <c r="Q109" s="174"/>
    </row>
    <row r="110" spans="1:17" x14ac:dyDescent="0.2">
      <c r="A110" s="74">
        <f t="shared" si="1"/>
        <v>0</v>
      </c>
      <c r="B110" s="172"/>
      <c r="D110" s="174"/>
      <c r="E110" s="174"/>
      <c r="G110" s="174"/>
      <c r="H110" s="174"/>
      <c r="J110" s="174"/>
      <c r="K110" s="174"/>
      <c r="M110" s="174"/>
      <c r="N110" s="174"/>
      <c r="P110" s="174"/>
      <c r="Q110" s="174"/>
    </row>
    <row r="111" spans="1:17" x14ac:dyDescent="0.2">
      <c r="A111" s="74">
        <f t="shared" si="1"/>
        <v>0</v>
      </c>
      <c r="B111" s="172"/>
      <c r="D111" s="174"/>
      <c r="E111" s="174"/>
      <c r="G111" s="174"/>
      <c r="H111" s="174"/>
      <c r="J111" s="174"/>
      <c r="K111" s="174"/>
      <c r="M111" s="174"/>
      <c r="N111" s="174"/>
      <c r="P111" s="174"/>
      <c r="Q111" s="174"/>
    </row>
  </sheetData>
  <dataConsolidate/>
  <mergeCells count="6">
    <mergeCell ref="M10:N10"/>
    <mergeCell ref="P10:Q10"/>
    <mergeCell ref="D8:K8"/>
    <mergeCell ref="D10:E10"/>
    <mergeCell ref="G10:H10"/>
    <mergeCell ref="J10:K10"/>
  </mergeCells>
  <conditionalFormatting sqref="B12:B111 D12:E111 G12:H111 J12:K111 M12:N111 P12:Q111">
    <cfRule type="expression" dxfId="36" priority="4">
      <formula>IF($B12="",FALSE, TRUE)</formula>
    </cfRule>
  </conditionalFormatting>
  <conditionalFormatting sqref="E12:E111 H12:H111 K12:K111 N12:N111 Q12:Q111">
    <cfRule type="expression" dxfId="35" priority="1">
      <formula>IF(AND(D12&lt;&gt;"",E12=""),1,0)</formula>
    </cfRule>
  </conditionalFormatting>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topLeftCell="A2" workbookViewId="0">
      <selection activeCell="B4" sqref="B4"/>
    </sheetView>
  </sheetViews>
  <sheetFormatPr defaultColWidth="9" defaultRowHeight="14.25" x14ac:dyDescent="0.2"/>
  <cols>
    <col min="1" max="1" width="2.75" style="72" customWidth="1"/>
    <col min="2" max="2" width="19.75" style="72" customWidth="1"/>
    <col min="3" max="5" width="30.625" style="72" customWidth="1"/>
    <col min="6" max="6" width="9.75" style="72" customWidth="1"/>
    <col min="7" max="7" width="15.25" style="72" customWidth="1"/>
    <col min="8" max="8" width="9" style="72"/>
    <col min="9" max="9" width="10" style="72" customWidth="1"/>
    <col min="10" max="16384" width="9" style="72"/>
  </cols>
  <sheetData>
    <row r="1" spans="1:11" ht="15" x14ac:dyDescent="0.25">
      <c r="B1" s="425" t="s">
        <v>473</v>
      </c>
      <c r="C1" s="425"/>
      <c r="D1" s="425"/>
    </row>
    <row r="2" spans="1:11" ht="14.25" customHeight="1" x14ac:dyDescent="0.2"/>
    <row r="3" spans="1:11" ht="15" x14ac:dyDescent="0.25">
      <c r="B3" s="56" t="s">
        <v>479</v>
      </c>
    </row>
    <row r="4" spans="1:11" x14ac:dyDescent="0.2">
      <c r="B4" s="140" t="s">
        <v>480</v>
      </c>
    </row>
    <row r="5" spans="1:11" hidden="1" x14ac:dyDescent="0.2"/>
    <row r="6" spans="1:11" ht="15" hidden="1" customHeight="1" x14ac:dyDescent="0.2">
      <c r="A6" s="77"/>
      <c r="B6" s="78"/>
      <c r="C6" s="78"/>
      <c r="D6" s="78"/>
      <c r="E6" s="78"/>
      <c r="F6" s="78"/>
      <c r="G6" s="78"/>
      <c r="H6" s="78"/>
      <c r="I6" s="78"/>
      <c r="J6" s="78"/>
      <c r="K6" s="78"/>
    </row>
    <row r="7" spans="1:11" ht="14.25" hidden="1" customHeight="1" x14ac:dyDescent="0.2">
      <c r="A7" s="77"/>
      <c r="B7" s="78"/>
      <c r="C7" s="78"/>
      <c r="D7" s="78"/>
      <c r="E7" s="78"/>
      <c r="F7" s="78"/>
      <c r="G7" s="78"/>
      <c r="H7" s="78"/>
      <c r="I7" s="78"/>
      <c r="J7" s="78"/>
      <c r="K7" s="78"/>
    </row>
    <row r="8" spans="1:11" x14ac:dyDescent="0.2">
      <c r="B8" s="78"/>
      <c r="C8" s="78"/>
      <c r="D8" s="78"/>
      <c r="E8" s="78"/>
      <c r="F8" s="78"/>
      <c r="G8" s="78"/>
      <c r="H8" s="78"/>
      <c r="I8" s="78"/>
      <c r="J8" s="78"/>
      <c r="K8" s="78"/>
    </row>
    <row r="9" spans="1:11" ht="15" x14ac:dyDescent="0.25">
      <c r="B9" s="56" t="s">
        <v>434</v>
      </c>
    </row>
    <row r="11" spans="1:11" ht="42.75" x14ac:dyDescent="0.2">
      <c r="B11" s="120" t="s">
        <v>252</v>
      </c>
      <c r="C11" s="120" t="s">
        <v>452</v>
      </c>
      <c r="D11" s="120" t="s">
        <v>453</v>
      </c>
      <c r="E11" s="120" t="s">
        <v>454</v>
      </c>
      <c r="F11" s="121" t="s">
        <v>295</v>
      </c>
      <c r="G11" s="121" t="s">
        <v>465</v>
      </c>
      <c r="H11" s="121" t="s">
        <v>460</v>
      </c>
      <c r="I11" s="121" t="s">
        <v>878</v>
      </c>
      <c r="J11" s="121" t="s">
        <v>294</v>
      </c>
    </row>
    <row r="12" spans="1:11" x14ac:dyDescent="0.2">
      <c r="B12" s="218" t="str">
        <f>IF(Capacity!B17=0,"",Capacity!B17)</f>
        <v/>
      </c>
      <c r="C12" s="132" t="s">
        <v>1258</v>
      </c>
      <c r="D12" s="132"/>
      <c r="E12" s="132"/>
      <c r="F12" s="215" t="str">
        <f>IF(ROW(A1)&lt;=Capacity!$A$16,Capacity!E17,"")</f>
        <v/>
      </c>
      <c r="G12" s="216" t="str">
        <f>IF(ROW(A1)&lt;=Capacity!$A$16,'Capacity calculation (hide)'!BH5,"")</f>
        <v/>
      </c>
      <c r="H12" s="215" t="str">
        <f>IF(ROW(A1)&lt;=Capacity!$A$16,Capacity!H17,"")</f>
        <v/>
      </c>
      <c r="I12" s="217" t="str">
        <f>IF(ROW(A1)&lt;=Capacity!$A$16,'Capacity calculation (hide)'!DL5,"")</f>
        <v/>
      </c>
      <c r="J12" s="218" t="str">
        <f>IFERROR(IF(G12-F12 &lt;0, "Under","Over"),"")</f>
        <v/>
      </c>
    </row>
    <row r="13" spans="1:11" x14ac:dyDescent="0.2">
      <c r="B13" s="218" t="str">
        <f>IF(Capacity!B18=0,"",Capacity!B18)</f>
        <v/>
      </c>
      <c r="C13" s="132" t="s">
        <v>1258</v>
      </c>
      <c r="D13" s="132" t="s">
        <v>1259</v>
      </c>
      <c r="E13" s="132"/>
      <c r="F13" s="215" t="str">
        <f>IF(ROW(A2)&lt;=Capacity!$A$16,Capacity!E18,"")</f>
        <v/>
      </c>
      <c r="G13" s="216" t="str">
        <f>IF(ROW(A2)&lt;=Capacity!$A$16,'Capacity calculation (hide)'!BH6,"")</f>
        <v/>
      </c>
      <c r="H13" s="215" t="str">
        <f>IF(ROW(A2)&lt;=Capacity!$A$16,Capacity!H18,"")</f>
        <v/>
      </c>
      <c r="I13" s="217" t="str">
        <f>IF(ROW(A2)&lt;=Capacity!$A$16,'Capacity calculation (hide)'!DL6,"")</f>
        <v/>
      </c>
      <c r="J13" s="218" t="str">
        <f t="shared" ref="J13:J76" si="0">IFERROR(IF(G13-F13 &lt;0, "Under","Over"),"")</f>
        <v/>
      </c>
    </row>
    <row r="14" spans="1:11" x14ac:dyDescent="0.2">
      <c r="B14" s="218" t="str">
        <f>IF(Capacity!B19=0,"",Capacity!B19)</f>
        <v/>
      </c>
      <c r="C14" s="132" t="s">
        <v>1259</v>
      </c>
      <c r="D14" s="132" t="s">
        <v>1260</v>
      </c>
      <c r="E14" s="132"/>
      <c r="F14" s="215" t="str">
        <f>IF(ROW(A3)&lt;=Capacity!$A$16,Capacity!E19,"")</f>
        <v/>
      </c>
      <c r="G14" s="216" t="str">
        <f>IF(ROW(A3)&lt;=Capacity!$A$16,'Capacity calculation (hide)'!BH7,"")</f>
        <v/>
      </c>
      <c r="H14" s="215" t="str">
        <f>IF(ROW(A3)&lt;=Capacity!$A$16,Capacity!H19,"")</f>
        <v/>
      </c>
      <c r="I14" s="217" t="str">
        <f>IF(ROW(A3)&lt;=Capacity!$A$16,'Capacity calculation (hide)'!DL7,"")</f>
        <v/>
      </c>
      <c r="J14" s="218" t="str">
        <f t="shared" si="0"/>
        <v/>
      </c>
    </row>
    <row r="15" spans="1:11" x14ac:dyDescent="0.2">
      <c r="B15" s="218" t="str">
        <f>IF(Capacity!B20=0,"",Capacity!B20)</f>
        <v/>
      </c>
      <c r="C15" s="132" t="s">
        <v>1260</v>
      </c>
      <c r="D15" s="132"/>
      <c r="E15" s="132"/>
      <c r="F15" s="215" t="str">
        <f>IF(ROW(A4)&lt;=Capacity!$A$16,Capacity!E20,"")</f>
        <v/>
      </c>
      <c r="G15" s="216" t="str">
        <f>IF(ROW(A4)&lt;=Capacity!$A$16,'Capacity calculation (hide)'!BH8,"")</f>
        <v/>
      </c>
      <c r="H15" s="215" t="str">
        <f>IF(ROW(A4)&lt;=Capacity!$A$16,Capacity!H20,"")</f>
        <v/>
      </c>
      <c r="I15" s="217" t="str">
        <f>IF(ROW(A4)&lt;=Capacity!$A$16,'Capacity calculation (hide)'!DL8,"")</f>
        <v/>
      </c>
      <c r="J15" s="218" t="str">
        <f t="shared" si="0"/>
        <v/>
      </c>
    </row>
    <row r="16" spans="1:11" x14ac:dyDescent="0.2">
      <c r="B16" s="218" t="str">
        <f>IF(Capacity!B21=0,"",Capacity!B21)</f>
        <v/>
      </c>
      <c r="C16" s="132"/>
      <c r="D16" s="132"/>
      <c r="E16" s="132"/>
      <c r="F16" s="215" t="str">
        <f>IF(ROW(A5)&lt;=Capacity!$A$16,Capacity!E21,"")</f>
        <v/>
      </c>
      <c r="G16" s="216" t="str">
        <f>IF(ROW(A5)&lt;=Capacity!$A$16,'Capacity calculation (hide)'!BH9,"")</f>
        <v/>
      </c>
      <c r="H16" s="215" t="str">
        <f>IF(ROW(A5)&lt;=Capacity!$A$16,Capacity!H21,"")</f>
        <v/>
      </c>
      <c r="I16" s="217" t="str">
        <f>IF(ROW(A5)&lt;=Capacity!$A$16,'Capacity calculation (hide)'!DL9,"")</f>
        <v/>
      </c>
      <c r="J16" s="218" t="str">
        <f t="shared" si="0"/>
        <v/>
      </c>
    </row>
    <row r="17" spans="2:10" x14ac:dyDescent="0.2">
      <c r="B17" s="218" t="str">
        <f>IF(Capacity!B22=0,"",Capacity!B22)</f>
        <v/>
      </c>
      <c r="C17" s="132"/>
      <c r="D17" s="132"/>
      <c r="E17" s="132"/>
      <c r="F17" s="215" t="str">
        <f>IF(ROW(A6)&lt;=Capacity!$A$16,Capacity!E22,"")</f>
        <v/>
      </c>
      <c r="G17" s="216" t="str">
        <f>IF(ROW(A6)&lt;=Capacity!$A$16,'Capacity calculation (hide)'!BH10,"")</f>
        <v/>
      </c>
      <c r="H17" s="215" t="str">
        <f>IF(ROW(A6)&lt;=Capacity!$A$16,Capacity!H22,"")</f>
        <v/>
      </c>
      <c r="I17" s="217" t="str">
        <f>IF(ROW(A6)&lt;=Capacity!$A$16,'Capacity calculation (hide)'!DL10,"")</f>
        <v/>
      </c>
      <c r="J17" s="218" t="str">
        <f t="shared" si="0"/>
        <v/>
      </c>
    </row>
    <row r="18" spans="2:10" x14ac:dyDescent="0.2">
      <c r="B18" s="218" t="str">
        <f>IF(Capacity!B23=0,"",Capacity!B23)</f>
        <v/>
      </c>
      <c r="C18" s="132"/>
      <c r="D18" s="132"/>
      <c r="E18" s="132"/>
      <c r="F18" s="215" t="str">
        <f>IF(ROW(A7)&lt;=Capacity!$A$16,Capacity!E23,"")</f>
        <v/>
      </c>
      <c r="G18" s="216" t="str">
        <f>IF(ROW(A7)&lt;=Capacity!$A$16,'Capacity calculation (hide)'!BH11,"")</f>
        <v/>
      </c>
      <c r="H18" s="215" t="str">
        <f>IF(ROW(A7)&lt;=Capacity!$A$16,Capacity!H23,"")</f>
        <v/>
      </c>
      <c r="I18" s="217" t="str">
        <f>IF(ROW(A7)&lt;=Capacity!$A$16,'Capacity calculation (hide)'!DL11,"")</f>
        <v/>
      </c>
      <c r="J18" s="218" t="str">
        <f t="shared" si="0"/>
        <v/>
      </c>
    </row>
    <row r="19" spans="2:10" x14ac:dyDescent="0.2">
      <c r="B19" s="218" t="str">
        <f>IF(Capacity!B24=0,"",Capacity!B24)</f>
        <v/>
      </c>
      <c r="C19" s="132"/>
      <c r="D19" s="132"/>
      <c r="E19" s="132"/>
      <c r="F19" s="215" t="str">
        <f>IF(ROW(A8)&lt;=Capacity!$A$16,Capacity!E24,"")</f>
        <v/>
      </c>
      <c r="G19" s="216" t="str">
        <f>IF(ROW(A8)&lt;=Capacity!$A$16,'Capacity calculation (hide)'!BH12,"")</f>
        <v/>
      </c>
      <c r="H19" s="215" t="str">
        <f>IF(ROW(A8)&lt;=Capacity!$A$16,Capacity!H24,"")</f>
        <v/>
      </c>
      <c r="I19" s="217" t="str">
        <f>IF(ROW(A8)&lt;=Capacity!$A$16,'Capacity calculation (hide)'!DL12,"")</f>
        <v/>
      </c>
      <c r="J19" s="218" t="str">
        <f t="shared" si="0"/>
        <v/>
      </c>
    </row>
    <row r="20" spans="2:10" x14ac:dyDescent="0.2">
      <c r="B20" s="218" t="str">
        <f>IF(Capacity!B25=0,"",Capacity!B25)</f>
        <v/>
      </c>
      <c r="C20" s="132"/>
      <c r="D20" s="132"/>
      <c r="E20" s="132"/>
      <c r="F20" s="215" t="str">
        <f>IF(ROW(A9)&lt;=Capacity!$A$16,Capacity!E25,"")</f>
        <v/>
      </c>
      <c r="G20" s="216" t="str">
        <f>IF(ROW(A9)&lt;=Capacity!$A$16,'Capacity calculation (hide)'!BH13,"")</f>
        <v/>
      </c>
      <c r="H20" s="215" t="str">
        <f>IF(ROW(A9)&lt;=Capacity!$A$16,Capacity!H25,"")</f>
        <v/>
      </c>
      <c r="I20" s="217" t="str">
        <f>IF(ROW(A9)&lt;=Capacity!$A$16,'Capacity calculation (hide)'!DL13,"")</f>
        <v/>
      </c>
      <c r="J20" s="218" t="str">
        <f t="shared" si="0"/>
        <v/>
      </c>
    </row>
    <row r="21" spans="2:10" x14ac:dyDescent="0.2">
      <c r="B21" s="218" t="str">
        <f>IF(Capacity!B26=0,"",Capacity!B26)</f>
        <v/>
      </c>
      <c r="C21" s="132"/>
      <c r="D21" s="132"/>
      <c r="E21" s="132"/>
      <c r="F21" s="215" t="str">
        <f>IF(ROW(A10)&lt;=Capacity!$A$16,Capacity!E26,"")</f>
        <v/>
      </c>
      <c r="G21" s="216" t="str">
        <f>IF(ROW(A10)&lt;=Capacity!$A$16,'Capacity calculation (hide)'!BH14,"")</f>
        <v/>
      </c>
      <c r="H21" s="215" t="str">
        <f>IF(ROW(A10)&lt;=Capacity!$A$16,Capacity!H26,"")</f>
        <v/>
      </c>
      <c r="I21" s="217" t="str">
        <f>IF(ROW(A10)&lt;=Capacity!$A$16,'Capacity calculation (hide)'!DL14,"")</f>
        <v/>
      </c>
      <c r="J21" s="218" t="str">
        <f t="shared" si="0"/>
        <v/>
      </c>
    </row>
    <row r="22" spans="2:10" x14ac:dyDescent="0.2">
      <c r="B22" s="218" t="str">
        <f>IF(Capacity!B27=0,"",Capacity!B27)</f>
        <v/>
      </c>
      <c r="C22" s="132"/>
      <c r="D22" s="132"/>
      <c r="E22" s="132"/>
      <c r="F22" s="215" t="str">
        <f>IF(ROW(A11)&lt;=Capacity!$A$16,Capacity!E27,"")</f>
        <v/>
      </c>
      <c r="G22" s="216" t="str">
        <f>IF(ROW(A11)&lt;=Capacity!$A$16,'Capacity calculation (hide)'!BH15,"")</f>
        <v/>
      </c>
      <c r="H22" s="215" t="str">
        <f>IF(ROW(A11)&lt;=Capacity!$A$16,Capacity!H27,"")</f>
        <v/>
      </c>
      <c r="I22" s="217" t="str">
        <f>IF(ROW(A11)&lt;=Capacity!$A$16,'Capacity calculation (hide)'!DL15,"")</f>
        <v/>
      </c>
      <c r="J22" s="218" t="str">
        <f t="shared" si="0"/>
        <v/>
      </c>
    </row>
    <row r="23" spans="2:10" x14ac:dyDescent="0.2">
      <c r="B23" s="218" t="str">
        <f>IF(Capacity!B28=0,"",Capacity!B28)</f>
        <v/>
      </c>
      <c r="C23" s="132"/>
      <c r="D23" s="132"/>
      <c r="E23" s="132"/>
      <c r="F23" s="215" t="str">
        <f>IF(ROW(A12)&lt;=Capacity!$A$16,Capacity!E28,"")</f>
        <v/>
      </c>
      <c r="G23" s="216" t="str">
        <f>IF(ROW(A12)&lt;=Capacity!$A$16,'Capacity calculation (hide)'!BH16,"")</f>
        <v/>
      </c>
      <c r="H23" s="215" t="str">
        <f>IF(ROW(A12)&lt;=Capacity!$A$16,Capacity!H28,"")</f>
        <v/>
      </c>
      <c r="I23" s="217" t="str">
        <f>IF(ROW(A12)&lt;=Capacity!$A$16,'Capacity calculation (hide)'!DL16,"")</f>
        <v/>
      </c>
      <c r="J23" s="218" t="str">
        <f t="shared" si="0"/>
        <v/>
      </c>
    </row>
    <row r="24" spans="2:10" x14ac:dyDescent="0.2">
      <c r="B24" s="218" t="str">
        <f>IF(Capacity!B29=0,"",Capacity!B29)</f>
        <v/>
      </c>
      <c r="C24" s="132"/>
      <c r="D24" s="132"/>
      <c r="E24" s="132"/>
      <c r="F24" s="215" t="str">
        <f>IF(ROW(A13)&lt;=Capacity!$A$16,Capacity!E29,"")</f>
        <v/>
      </c>
      <c r="G24" s="216" t="str">
        <f>IF(ROW(A13)&lt;=Capacity!$A$16,'Capacity calculation (hide)'!BH17,"")</f>
        <v/>
      </c>
      <c r="H24" s="215" t="str">
        <f>IF(ROW(A13)&lt;=Capacity!$A$16,Capacity!H29,"")</f>
        <v/>
      </c>
      <c r="I24" s="217" t="str">
        <f>IF(ROW(A13)&lt;=Capacity!$A$16,'Capacity calculation (hide)'!DL17,"")</f>
        <v/>
      </c>
      <c r="J24" s="218" t="str">
        <f t="shared" si="0"/>
        <v/>
      </c>
    </row>
    <row r="25" spans="2:10" x14ac:dyDescent="0.2">
      <c r="B25" s="218" t="str">
        <f>IF(Capacity!B30=0,"",Capacity!B30)</f>
        <v/>
      </c>
      <c r="C25" s="132"/>
      <c r="D25" s="132"/>
      <c r="E25" s="132"/>
      <c r="F25" s="215" t="str">
        <f>IF(ROW(A14)&lt;=Capacity!$A$16,Capacity!E30,"")</f>
        <v/>
      </c>
      <c r="G25" s="216" t="str">
        <f>IF(ROW(A14)&lt;=Capacity!$A$16,'Capacity calculation (hide)'!BH18,"")</f>
        <v/>
      </c>
      <c r="H25" s="215" t="str">
        <f>IF(ROW(A14)&lt;=Capacity!$A$16,Capacity!H30,"")</f>
        <v/>
      </c>
      <c r="I25" s="217" t="str">
        <f>IF(ROW(A14)&lt;=Capacity!$A$16,'Capacity calculation (hide)'!DL18,"")</f>
        <v/>
      </c>
      <c r="J25" s="218" t="str">
        <f t="shared" si="0"/>
        <v/>
      </c>
    </row>
    <row r="26" spans="2:10" x14ac:dyDescent="0.2">
      <c r="B26" s="218" t="str">
        <f>IF(Capacity!B31=0,"",Capacity!B31)</f>
        <v/>
      </c>
      <c r="C26" s="132"/>
      <c r="D26" s="132"/>
      <c r="E26" s="132"/>
      <c r="F26" s="215" t="str">
        <f>IF(ROW(A15)&lt;=Capacity!$A$16,Capacity!E31,"")</f>
        <v/>
      </c>
      <c r="G26" s="216" t="str">
        <f>IF(ROW(A15)&lt;=Capacity!$A$16,'Capacity calculation (hide)'!BH19,"")</f>
        <v/>
      </c>
      <c r="H26" s="215" t="str">
        <f>IF(ROW(A15)&lt;=Capacity!$A$16,Capacity!H31,"")</f>
        <v/>
      </c>
      <c r="I26" s="217" t="str">
        <f>IF(ROW(A15)&lt;=Capacity!$A$16,'Capacity calculation (hide)'!DL19,"")</f>
        <v/>
      </c>
      <c r="J26" s="218" t="str">
        <f t="shared" si="0"/>
        <v/>
      </c>
    </row>
    <row r="27" spans="2:10" x14ac:dyDescent="0.2">
      <c r="B27" s="218" t="str">
        <f>IF(Capacity!B32=0,"",Capacity!B32)</f>
        <v/>
      </c>
      <c r="C27" s="132"/>
      <c r="D27" s="132"/>
      <c r="E27" s="132"/>
      <c r="F27" s="215" t="str">
        <f>IF(ROW(A16)&lt;=Capacity!$A$16,Capacity!E32,"")</f>
        <v/>
      </c>
      <c r="G27" s="216" t="str">
        <f>IF(ROW(A16)&lt;=Capacity!$A$16,'Capacity calculation (hide)'!BH20,"")</f>
        <v/>
      </c>
      <c r="H27" s="215" t="str">
        <f>IF(ROW(A16)&lt;=Capacity!$A$16,Capacity!H32,"")</f>
        <v/>
      </c>
      <c r="I27" s="217" t="str">
        <f>IF(ROW(A16)&lt;=Capacity!$A$16,'Capacity calculation (hide)'!DL20,"")</f>
        <v/>
      </c>
      <c r="J27" s="218" t="str">
        <f t="shared" si="0"/>
        <v/>
      </c>
    </row>
    <row r="28" spans="2:10" x14ac:dyDescent="0.2">
      <c r="B28" s="218" t="str">
        <f>IF(Capacity!B33=0,"",Capacity!B33)</f>
        <v/>
      </c>
      <c r="C28" s="132"/>
      <c r="D28" s="132"/>
      <c r="E28" s="132"/>
      <c r="F28" s="215" t="str">
        <f>IF(ROW(A17)&lt;=Capacity!$A$16,Capacity!E33,"")</f>
        <v/>
      </c>
      <c r="G28" s="216" t="str">
        <f>IF(ROW(A17)&lt;=Capacity!$A$16,'Capacity calculation (hide)'!BH21,"")</f>
        <v/>
      </c>
      <c r="H28" s="215" t="str">
        <f>IF(ROW(A17)&lt;=Capacity!$A$16,Capacity!H33,"")</f>
        <v/>
      </c>
      <c r="I28" s="217" t="str">
        <f>IF(ROW(A17)&lt;=Capacity!$A$16,'Capacity calculation (hide)'!DL21,"")</f>
        <v/>
      </c>
      <c r="J28" s="218" t="str">
        <f t="shared" si="0"/>
        <v/>
      </c>
    </row>
    <row r="29" spans="2:10" x14ac:dyDescent="0.2">
      <c r="B29" s="218" t="str">
        <f>IF(Capacity!B34=0,"",Capacity!B34)</f>
        <v/>
      </c>
      <c r="C29" s="132"/>
      <c r="D29" s="132"/>
      <c r="E29" s="132"/>
      <c r="F29" s="215" t="str">
        <f>IF(ROW(A18)&lt;=Capacity!$A$16,Capacity!E34,"")</f>
        <v/>
      </c>
      <c r="G29" s="216" t="str">
        <f>IF(ROW(A18)&lt;=Capacity!$A$16,'Capacity calculation (hide)'!BH22,"")</f>
        <v/>
      </c>
      <c r="H29" s="215" t="str">
        <f>IF(ROW(A18)&lt;=Capacity!$A$16,Capacity!H34,"")</f>
        <v/>
      </c>
      <c r="I29" s="217" t="str">
        <f>IF(ROW(A18)&lt;=Capacity!$A$16,'Capacity calculation (hide)'!DL22,"")</f>
        <v/>
      </c>
      <c r="J29" s="218" t="str">
        <f t="shared" si="0"/>
        <v/>
      </c>
    </row>
    <row r="30" spans="2:10" x14ac:dyDescent="0.2">
      <c r="B30" s="218" t="str">
        <f>IF(Capacity!B35=0,"",Capacity!B35)</f>
        <v/>
      </c>
      <c r="C30" s="132"/>
      <c r="D30" s="132"/>
      <c r="E30" s="132"/>
      <c r="F30" s="215" t="str">
        <f>IF(ROW(A19)&lt;=Capacity!$A$16,Capacity!E35,"")</f>
        <v/>
      </c>
      <c r="G30" s="216" t="str">
        <f>IF(ROW(A19)&lt;=Capacity!$A$16,'Capacity calculation (hide)'!BH23,"")</f>
        <v/>
      </c>
      <c r="H30" s="215" t="str">
        <f>IF(ROW(A19)&lt;=Capacity!$A$16,Capacity!H35,"")</f>
        <v/>
      </c>
      <c r="I30" s="217" t="str">
        <f>IF(ROW(A19)&lt;=Capacity!$A$16,'Capacity calculation (hide)'!DL23,"")</f>
        <v/>
      </c>
      <c r="J30" s="218" t="str">
        <f t="shared" si="0"/>
        <v/>
      </c>
    </row>
    <row r="31" spans="2:10" x14ac:dyDescent="0.2">
      <c r="B31" s="218" t="str">
        <f>IF(Capacity!B36=0,"",Capacity!B36)</f>
        <v/>
      </c>
      <c r="C31" s="132"/>
      <c r="D31" s="132"/>
      <c r="E31" s="132"/>
      <c r="F31" s="215" t="str">
        <f>IF(ROW(A20)&lt;=Capacity!$A$16,Capacity!E36,"")</f>
        <v/>
      </c>
      <c r="G31" s="216" t="str">
        <f>IF(ROW(A20)&lt;=Capacity!$A$16,'Capacity calculation (hide)'!BH24,"")</f>
        <v/>
      </c>
      <c r="H31" s="215" t="str">
        <f>IF(ROW(A20)&lt;=Capacity!$A$16,Capacity!H36,"")</f>
        <v/>
      </c>
      <c r="I31" s="217" t="str">
        <f>IF(ROW(A20)&lt;=Capacity!$A$16,'Capacity calculation (hide)'!DL24,"")</f>
        <v/>
      </c>
      <c r="J31" s="218" t="str">
        <f t="shared" si="0"/>
        <v/>
      </c>
    </row>
    <row r="32" spans="2:10" x14ac:dyDescent="0.2">
      <c r="B32" s="218" t="str">
        <f>IF(Capacity!B37=0,"",Capacity!B37)</f>
        <v/>
      </c>
      <c r="C32" s="132"/>
      <c r="D32" s="132"/>
      <c r="E32" s="132"/>
      <c r="F32" s="215" t="str">
        <f>IF(ROW(A21)&lt;=Capacity!$A$16,Capacity!E37,"")</f>
        <v/>
      </c>
      <c r="G32" s="216" t="str">
        <f>IF(ROW(A21)&lt;=Capacity!$A$16,'Capacity calculation (hide)'!BH25,"")</f>
        <v/>
      </c>
      <c r="H32" s="215" t="str">
        <f>IF(ROW(A21)&lt;=Capacity!$A$16,Capacity!H37,"")</f>
        <v/>
      </c>
      <c r="I32" s="217" t="str">
        <f>IF(ROW(A21)&lt;=Capacity!$A$16,'Capacity calculation (hide)'!DL25,"")</f>
        <v/>
      </c>
      <c r="J32" s="218" t="str">
        <f t="shared" si="0"/>
        <v/>
      </c>
    </row>
    <row r="33" spans="2:10" x14ac:dyDescent="0.2">
      <c r="B33" s="218" t="str">
        <f>IF(Capacity!B38=0,"",Capacity!B38)</f>
        <v/>
      </c>
      <c r="C33" s="132"/>
      <c r="D33" s="132"/>
      <c r="E33" s="132"/>
      <c r="F33" s="215" t="str">
        <f>IF(ROW(A22)&lt;=Capacity!$A$16,Capacity!E38,"")</f>
        <v/>
      </c>
      <c r="G33" s="216" t="str">
        <f>IF(ROW(A22)&lt;=Capacity!$A$16,'Capacity calculation (hide)'!BH26,"")</f>
        <v/>
      </c>
      <c r="H33" s="215" t="str">
        <f>IF(ROW(A22)&lt;=Capacity!$A$16,Capacity!H38,"")</f>
        <v/>
      </c>
      <c r="I33" s="217" t="str">
        <f>IF(ROW(A22)&lt;=Capacity!$A$16,'Capacity calculation (hide)'!DL26,"")</f>
        <v/>
      </c>
      <c r="J33" s="218" t="str">
        <f t="shared" si="0"/>
        <v/>
      </c>
    </row>
    <row r="34" spans="2:10" x14ac:dyDescent="0.2">
      <c r="B34" s="218" t="str">
        <f>IF(Capacity!B39=0,"",Capacity!B39)</f>
        <v/>
      </c>
      <c r="C34" s="132"/>
      <c r="D34" s="132"/>
      <c r="E34" s="132"/>
      <c r="F34" s="215" t="str">
        <f>IF(ROW(A23)&lt;=Capacity!$A$16,Capacity!E39,"")</f>
        <v/>
      </c>
      <c r="G34" s="216" t="str">
        <f>IF(ROW(A23)&lt;=Capacity!$A$16,'Capacity calculation (hide)'!BH27,"")</f>
        <v/>
      </c>
      <c r="H34" s="215" t="str">
        <f>IF(ROW(A23)&lt;=Capacity!$A$16,Capacity!H39,"")</f>
        <v/>
      </c>
      <c r="I34" s="217" t="str">
        <f>IF(ROW(A23)&lt;=Capacity!$A$16,'Capacity calculation (hide)'!DL27,"")</f>
        <v/>
      </c>
      <c r="J34" s="218" t="str">
        <f t="shared" si="0"/>
        <v/>
      </c>
    </row>
    <row r="35" spans="2:10" x14ac:dyDescent="0.2">
      <c r="B35" s="218" t="str">
        <f>IF(Capacity!B40=0,"",Capacity!B40)</f>
        <v/>
      </c>
      <c r="C35" s="132"/>
      <c r="D35" s="132"/>
      <c r="E35" s="132"/>
      <c r="F35" s="215" t="str">
        <f>IF(ROW(A24)&lt;=Capacity!$A$16,Capacity!E40,"")</f>
        <v/>
      </c>
      <c r="G35" s="216" t="str">
        <f>IF(ROW(A24)&lt;=Capacity!$A$16,'Capacity calculation (hide)'!BH28,"")</f>
        <v/>
      </c>
      <c r="H35" s="215" t="str">
        <f>IF(ROW(A24)&lt;=Capacity!$A$16,Capacity!H40,"")</f>
        <v/>
      </c>
      <c r="I35" s="217" t="str">
        <f>IF(ROW(A24)&lt;=Capacity!$A$16,'Capacity calculation (hide)'!DL28,"")</f>
        <v/>
      </c>
      <c r="J35" s="218" t="str">
        <f t="shared" si="0"/>
        <v/>
      </c>
    </row>
    <row r="36" spans="2:10" x14ac:dyDescent="0.2">
      <c r="B36" s="218" t="str">
        <f>IF(Capacity!B41=0,"",Capacity!B41)</f>
        <v/>
      </c>
      <c r="C36" s="132"/>
      <c r="D36" s="132"/>
      <c r="E36" s="132"/>
      <c r="F36" s="215" t="str">
        <f>IF(ROW(A25)&lt;=Capacity!$A$16,Capacity!E41,"")</f>
        <v/>
      </c>
      <c r="G36" s="216" t="str">
        <f>IF(ROW(A25)&lt;=Capacity!$A$16,'Capacity calculation (hide)'!BH29,"")</f>
        <v/>
      </c>
      <c r="H36" s="215" t="str">
        <f>IF(ROW(A25)&lt;=Capacity!$A$16,Capacity!H41,"")</f>
        <v/>
      </c>
      <c r="I36" s="217" t="str">
        <f>IF(ROW(A25)&lt;=Capacity!$A$16,'Capacity calculation (hide)'!DL29,"")</f>
        <v/>
      </c>
      <c r="J36" s="218" t="str">
        <f t="shared" si="0"/>
        <v/>
      </c>
    </row>
    <row r="37" spans="2:10" x14ac:dyDescent="0.2">
      <c r="B37" s="218" t="str">
        <f>IF(Capacity!B42=0,"",Capacity!B42)</f>
        <v/>
      </c>
      <c r="C37" s="132"/>
      <c r="D37" s="132"/>
      <c r="E37" s="132"/>
      <c r="F37" s="215" t="str">
        <f>IF(ROW(A26)&lt;=Capacity!$A$16,Capacity!E42,"")</f>
        <v/>
      </c>
      <c r="G37" s="216" t="str">
        <f>IF(ROW(A26)&lt;=Capacity!$A$16,'Capacity calculation (hide)'!BH30,"")</f>
        <v/>
      </c>
      <c r="H37" s="215" t="str">
        <f>IF(ROW(A26)&lt;=Capacity!$A$16,Capacity!H42,"")</f>
        <v/>
      </c>
      <c r="I37" s="217" t="str">
        <f>IF(ROW(A26)&lt;=Capacity!$A$16,'Capacity calculation (hide)'!DL30,"")</f>
        <v/>
      </c>
      <c r="J37" s="218" t="str">
        <f t="shared" si="0"/>
        <v/>
      </c>
    </row>
    <row r="38" spans="2:10" x14ac:dyDescent="0.2">
      <c r="B38" s="218" t="str">
        <f>IF(Capacity!B43=0,"",Capacity!B43)</f>
        <v/>
      </c>
      <c r="C38" s="132"/>
      <c r="D38" s="132"/>
      <c r="E38" s="132"/>
      <c r="F38" s="215" t="str">
        <f>IF(ROW(A27)&lt;=Capacity!$A$16,Capacity!E43,"")</f>
        <v/>
      </c>
      <c r="G38" s="216" t="str">
        <f>IF(ROW(A27)&lt;=Capacity!$A$16,'Capacity calculation (hide)'!BH31,"")</f>
        <v/>
      </c>
      <c r="H38" s="215" t="str">
        <f>IF(ROW(A27)&lt;=Capacity!$A$16,Capacity!H43,"")</f>
        <v/>
      </c>
      <c r="I38" s="217" t="str">
        <f>IF(ROW(A27)&lt;=Capacity!$A$16,'Capacity calculation (hide)'!DL31,"")</f>
        <v/>
      </c>
      <c r="J38" s="218" t="str">
        <f t="shared" si="0"/>
        <v/>
      </c>
    </row>
    <row r="39" spans="2:10" x14ac:dyDescent="0.2">
      <c r="B39" s="218" t="str">
        <f>IF(Capacity!B44=0,"",Capacity!B44)</f>
        <v/>
      </c>
      <c r="C39" s="132"/>
      <c r="D39" s="132"/>
      <c r="E39" s="132"/>
      <c r="F39" s="215" t="str">
        <f>IF(ROW(A28)&lt;=Capacity!$A$16,Capacity!E44,"")</f>
        <v/>
      </c>
      <c r="G39" s="216" t="str">
        <f>IF(ROW(A28)&lt;=Capacity!$A$16,'Capacity calculation (hide)'!BH32,"")</f>
        <v/>
      </c>
      <c r="H39" s="215" t="str">
        <f>IF(ROW(A28)&lt;=Capacity!$A$16,Capacity!H44,"")</f>
        <v/>
      </c>
      <c r="I39" s="217" t="str">
        <f>IF(ROW(A28)&lt;=Capacity!$A$16,'Capacity calculation (hide)'!DL32,"")</f>
        <v/>
      </c>
      <c r="J39" s="218" t="str">
        <f t="shared" si="0"/>
        <v/>
      </c>
    </row>
    <row r="40" spans="2:10" x14ac:dyDescent="0.2">
      <c r="B40" s="218" t="str">
        <f>IF(Capacity!B45=0,"",Capacity!B45)</f>
        <v/>
      </c>
      <c r="C40" s="132"/>
      <c r="D40" s="132"/>
      <c r="E40" s="132"/>
      <c r="F40" s="215" t="str">
        <f>IF(ROW(A29)&lt;=Capacity!$A$16,Capacity!E45,"")</f>
        <v/>
      </c>
      <c r="G40" s="216" t="str">
        <f>IF(ROW(A29)&lt;=Capacity!$A$16,'Capacity calculation (hide)'!BH33,"")</f>
        <v/>
      </c>
      <c r="H40" s="215" t="str">
        <f>IF(ROW(A29)&lt;=Capacity!$A$16,Capacity!H45,"")</f>
        <v/>
      </c>
      <c r="I40" s="217" t="str">
        <f>IF(ROW(A29)&lt;=Capacity!$A$16,'Capacity calculation (hide)'!DL33,"")</f>
        <v/>
      </c>
      <c r="J40" s="218" t="str">
        <f t="shared" si="0"/>
        <v/>
      </c>
    </row>
    <row r="41" spans="2:10" x14ac:dyDescent="0.2">
      <c r="B41" s="218" t="str">
        <f>IF(Capacity!B46=0,"",Capacity!B46)</f>
        <v/>
      </c>
      <c r="C41" s="132"/>
      <c r="D41" s="132"/>
      <c r="E41" s="132"/>
      <c r="F41" s="215" t="str">
        <f>IF(ROW(A30)&lt;=Capacity!$A$16,Capacity!E46,"")</f>
        <v/>
      </c>
      <c r="G41" s="216" t="str">
        <f>IF(ROW(A30)&lt;=Capacity!$A$16,'Capacity calculation (hide)'!BH34,"")</f>
        <v/>
      </c>
      <c r="H41" s="215" t="str">
        <f>IF(ROW(A30)&lt;=Capacity!$A$16,Capacity!H46,"")</f>
        <v/>
      </c>
      <c r="I41" s="217" t="str">
        <f>IF(ROW(A30)&lt;=Capacity!$A$16,'Capacity calculation (hide)'!DL34,"")</f>
        <v/>
      </c>
      <c r="J41" s="218" t="str">
        <f t="shared" si="0"/>
        <v/>
      </c>
    </row>
    <row r="42" spans="2:10" x14ac:dyDescent="0.2">
      <c r="B42" s="218" t="str">
        <f>IF(Capacity!B47=0,"",Capacity!B47)</f>
        <v/>
      </c>
      <c r="C42" s="132"/>
      <c r="D42" s="132"/>
      <c r="E42" s="132"/>
      <c r="F42" s="215" t="str">
        <f>IF(ROW(A31)&lt;=Capacity!$A$16,Capacity!E47,"")</f>
        <v/>
      </c>
      <c r="G42" s="216" t="str">
        <f>IF(ROW(A31)&lt;=Capacity!$A$16,'Capacity calculation (hide)'!BH35,"")</f>
        <v/>
      </c>
      <c r="H42" s="215" t="str">
        <f>IF(ROW(A31)&lt;=Capacity!$A$16,Capacity!H47,"")</f>
        <v/>
      </c>
      <c r="I42" s="217" t="str">
        <f>IF(ROW(A31)&lt;=Capacity!$A$16,'Capacity calculation (hide)'!DL35,"")</f>
        <v/>
      </c>
      <c r="J42" s="218" t="str">
        <f t="shared" si="0"/>
        <v/>
      </c>
    </row>
    <row r="43" spans="2:10" x14ac:dyDescent="0.2">
      <c r="B43" s="218" t="str">
        <f>IF(Capacity!B48=0,"",Capacity!B48)</f>
        <v/>
      </c>
      <c r="C43" s="132"/>
      <c r="D43" s="132"/>
      <c r="E43" s="132"/>
      <c r="F43" s="215" t="str">
        <f>IF(ROW(A32)&lt;=Capacity!$A$16,Capacity!E48,"")</f>
        <v/>
      </c>
      <c r="G43" s="216" t="str">
        <f>IF(ROW(A32)&lt;=Capacity!$A$16,'Capacity calculation (hide)'!BH36,"")</f>
        <v/>
      </c>
      <c r="H43" s="215" t="str">
        <f>IF(ROW(A32)&lt;=Capacity!$A$16,Capacity!H48,"")</f>
        <v/>
      </c>
      <c r="I43" s="217" t="str">
        <f>IF(ROW(A32)&lt;=Capacity!$A$16,'Capacity calculation (hide)'!DL36,"")</f>
        <v/>
      </c>
      <c r="J43" s="218" t="str">
        <f t="shared" si="0"/>
        <v/>
      </c>
    </row>
    <row r="44" spans="2:10" x14ac:dyDescent="0.2">
      <c r="B44" s="218" t="str">
        <f>IF(Capacity!B49=0,"",Capacity!B49)</f>
        <v/>
      </c>
      <c r="C44" s="132"/>
      <c r="D44" s="132"/>
      <c r="E44" s="132"/>
      <c r="F44" s="215" t="str">
        <f>IF(ROW(A33)&lt;=Capacity!$A$16,Capacity!E49,"")</f>
        <v/>
      </c>
      <c r="G44" s="216" t="str">
        <f>IF(ROW(A33)&lt;=Capacity!$A$16,'Capacity calculation (hide)'!BH37,"")</f>
        <v/>
      </c>
      <c r="H44" s="215" t="str">
        <f>IF(ROW(A33)&lt;=Capacity!$A$16,Capacity!H49,"")</f>
        <v/>
      </c>
      <c r="I44" s="217" t="str">
        <f>IF(ROW(A33)&lt;=Capacity!$A$16,'Capacity calculation (hide)'!DL37,"")</f>
        <v/>
      </c>
      <c r="J44" s="218" t="str">
        <f t="shared" si="0"/>
        <v/>
      </c>
    </row>
    <row r="45" spans="2:10" x14ac:dyDescent="0.2">
      <c r="B45" s="218" t="str">
        <f>IF(Capacity!B50=0,"",Capacity!B50)</f>
        <v/>
      </c>
      <c r="C45" s="132"/>
      <c r="D45" s="132"/>
      <c r="E45" s="132"/>
      <c r="F45" s="215" t="str">
        <f>IF(ROW(A34)&lt;=Capacity!$A$16,Capacity!E50,"")</f>
        <v/>
      </c>
      <c r="G45" s="216" t="str">
        <f>IF(ROW(A34)&lt;=Capacity!$A$16,'Capacity calculation (hide)'!BH38,"")</f>
        <v/>
      </c>
      <c r="H45" s="215" t="str">
        <f>IF(ROW(A34)&lt;=Capacity!$A$16,Capacity!H50,"")</f>
        <v/>
      </c>
      <c r="I45" s="217" t="str">
        <f>IF(ROW(A34)&lt;=Capacity!$A$16,'Capacity calculation (hide)'!DL38,"")</f>
        <v/>
      </c>
      <c r="J45" s="218" t="str">
        <f t="shared" si="0"/>
        <v/>
      </c>
    </row>
    <row r="46" spans="2:10" x14ac:dyDescent="0.2">
      <c r="B46" s="218" t="str">
        <f>IF(Capacity!B51=0,"",Capacity!B51)</f>
        <v/>
      </c>
      <c r="C46" s="132"/>
      <c r="D46" s="132"/>
      <c r="E46" s="132"/>
      <c r="F46" s="215" t="str">
        <f>IF(ROW(A35)&lt;=Capacity!$A$16,Capacity!E51,"")</f>
        <v/>
      </c>
      <c r="G46" s="216" t="str">
        <f>IF(ROW(A35)&lt;=Capacity!$A$16,'Capacity calculation (hide)'!BH39,"")</f>
        <v/>
      </c>
      <c r="H46" s="215" t="str">
        <f>IF(ROW(A35)&lt;=Capacity!$A$16,Capacity!H51,"")</f>
        <v/>
      </c>
      <c r="I46" s="217" t="str">
        <f>IF(ROW(A35)&lt;=Capacity!$A$16,'Capacity calculation (hide)'!DL39,"")</f>
        <v/>
      </c>
      <c r="J46" s="218" t="str">
        <f t="shared" si="0"/>
        <v/>
      </c>
    </row>
    <row r="47" spans="2:10" x14ac:dyDescent="0.2">
      <c r="B47" s="218" t="str">
        <f>IF(Capacity!B52=0,"",Capacity!B52)</f>
        <v/>
      </c>
      <c r="C47" s="132"/>
      <c r="D47" s="132"/>
      <c r="E47" s="132"/>
      <c r="F47" s="215" t="str">
        <f>IF(ROW(A36)&lt;=Capacity!$A$16,Capacity!E52,"")</f>
        <v/>
      </c>
      <c r="G47" s="216" t="str">
        <f>IF(ROW(A36)&lt;=Capacity!$A$16,'Capacity calculation (hide)'!BH40,"")</f>
        <v/>
      </c>
      <c r="H47" s="215" t="str">
        <f>IF(ROW(A36)&lt;=Capacity!$A$16,Capacity!H52,"")</f>
        <v/>
      </c>
      <c r="I47" s="217" t="str">
        <f>IF(ROW(A36)&lt;=Capacity!$A$16,'Capacity calculation (hide)'!DL40,"")</f>
        <v/>
      </c>
      <c r="J47" s="218" t="str">
        <f t="shared" si="0"/>
        <v/>
      </c>
    </row>
    <row r="48" spans="2:10" x14ac:dyDescent="0.2">
      <c r="B48" s="218" t="str">
        <f>IF(Capacity!B53=0,"",Capacity!B53)</f>
        <v/>
      </c>
      <c r="C48" s="132"/>
      <c r="D48" s="132"/>
      <c r="E48" s="132"/>
      <c r="F48" s="215" t="str">
        <f>IF(ROW(A37)&lt;=Capacity!$A$16,Capacity!E53,"")</f>
        <v/>
      </c>
      <c r="G48" s="216" t="str">
        <f>IF(ROW(A37)&lt;=Capacity!$A$16,'Capacity calculation (hide)'!BH41,"")</f>
        <v/>
      </c>
      <c r="H48" s="215" t="str">
        <f>IF(ROW(A37)&lt;=Capacity!$A$16,Capacity!H53,"")</f>
        <v/>
      </c>
      <c r="I48" s="217" t="str">
        <f>IF(ROW(A37)&lt;=Capacity!$A$16,'Capacity calculation (hide)'!DL41,"")</f>
        <v/>
      </c>
      <c r="J48" s="218" t="str">
        <f t="shared" si="0"/>
        <v/>
      </c>
    </row>
    <row r="49" spans="2:10" x14ac:dyDescent="0.2">
      <c r="B49" s="218" t="str">
        <f>IF(Capacity!B54=0,"",Capacity!B54)</f>
        <v/>
      </c>
      <c r="C49" s="132"/>
      <c r="D49" s="132"/>
      <c r="E49" s="132"/>
      <c r="F49" s="215" t="str">
        <f>IF(ROW(A38)&lt;=Capacity!$A$16,Capacity!E54,"")</f>
        <v/>
      </c>
      <c r="G49" s="216" t="str">
        <f>IF(ROW(A38)&lt;=Capacity!$A$16,'Capacity calculation (hide)'!BH42,"")</f>
        <v/>
      </c>
      <c r="H49" s="215" t="str">
        <f>IF(ROW(A38)&lt;=Capacity!$A$16,Capacity!H54,"")</f>
        <v/>
      </c>
      <c r="I49" s="217" t="str">
        <f>IF(ROW(A38)&lt;=Capacity!$A$16,'Capacity calculation (hide)'!DL42,"")</f>
        <v/>
      </c>
      <c r="J49" s="218" t="str">
        <f t="shared" si="0"/>
        <v/>
      </c>
    </row>
    <row r="50" spans="2:10" x14ac:dyDescent="0.2">
      <c r="B50" s="218" t="str">
        <f>IF(Capacity!B55=0,"",Capacity!B55)</f>
        <v/>
      </c>
      <c r="C50" s="132"/>
      <c r="D50" s="132"/>
      <c r="E50" s="132"/>
      <c r="F50" s="215" t="str">
        <f>IF(ROW(A39)&lt;=Capacity!$A$16,Capacity!E55,"")</f>
        <v/>
      </c>
      <c r="G50" s="216" t="str">
        <f>IF(ROW(A39)&lt;=Capacity!$A$16,'Capacity calculation (hide)'!BH43,"")</f>
        <v/>
      </c>
      <c r="H50" s="215" t="str">
        <f>IF(ROW(A39)&lt;=Capacity!$A$16,Capacity!H55,"")</f>
        <v/>
      </c>
      <c r="I50" s="217" t="str">
        <f>IF(ROW(A39)&lt;=Capacity!$A$16,'Capacity calculation (hide)'!DL43,"")</f>
        <v/>
      </c>
      <c r="J50" s="218" t="str">
        <f t="shared" si="0"/>
        <v/>
      </c>
    </row>
    <row r="51" spans="2:10" x14ac:dyDescent="0.2">
      <c r="B51" s="218" t="str">
        <f>IF(Capacity!B56=0,"",Capacity!B56)</f>
        <v/>
      </c>
      <c r="C51" s="132"/>
      <c r="D51" s="132"/>
      <c r="E51" s="132"/>
      <c r="F51" s="215" t="str">
        <f>IF(ROW(A40)&lt;=Capacity!$A$16,Capacity!E56,"")</f>
        <v/>
      </c>
      <c r="G51" s="216" t="str">
        <f>IF(ROW(A40)&lt;=Capacity!$A$16,'Capacity calculation (hide)'!BH44,"")</f>
        <v/>
      </c>
      <c r="H51" s="215" t="str">
        <f>IF(ROW(A40)&lt;=Capacity!$A$16,Capacity!H56,"")</f>
        <v/>
      </c>
      <c r="I51" s="217" t="str">
        <f>IF(ROW(A40)&lt;=Capacity!$A$16,'Capacity calculation (hide)'!DL44,"")</f>
        <v/>
      </c>
      <c r="J51" s="218" t="str">
        <f t="shared" si="0"/>
        <v/>
      </c>
    </row>
    <row r="52" spans="2:10" x14ac:dyDescent="0.2">
      <c r="B52" s="218" t="str">
        <f>IF(Capacity!B57=0,"",Capacity!B57)</f>
        <v/>
      </c>
      <c r="C52" s="132"/>
      <c r="D52" s="132"/>
      <c r="E52" s="132"/>
      <c r="F52" s="215" t="str">
        <f>IF(ROW(A41)&lt;=Capacity!$A$16,Capacity!E57,"")</f>
        <v/>
      </c>
      <c r="G52" s="216" t="str">
        <f>IF(ROW(A41)&lt;=Capacity!$A$16,'Capacity calculation (hide)'!BH45,"")</f>
        <v/>
      </c>
      <c r="H52" s="215" t="str">
        <f>IF(ROW(A41)&lt;=Capacity!$A$16,Capacity!H57,"")</f>
        <v/>
      </c>
      <c r="I52" s="217" t="str">
        <f>IF(ROW(A41)&lt;=Capacity!$A$16,'Capacity calculation (hide)'!DL45,"")</f>
        <v/>
      </c>
      <c r="J52" s="218" t="str">
        <f t="shared" si="0"/>
        <v/>
      </c>
    </row>
    <row r="53" spans="2:10" x14ac:dyDescent="0.2">
      <c r="B53" s="218" t="str">
        <f>IF(Capacity!B58=0,"",Capacity!B58)</f>
        <v/>
      </c>
      <c r="C53" s="132"/>
      <c r="D53" s="132"/>
      <c r="E53" s="132"/>
      <c r="F53" s="215" t="str">
        <f>IF(ROW(A42)&lt;=Capacity!$A$16,Capacity!E58,"")</f>
        <v/>
      </c>
      <c r="G53" s="216" t="str">
        <f>IF(ROW(A42)&lt;=Capacity!$A$16,'Capacity calculation (hide)'!BH46,"")</f>
        <v/>
      </c>
      <c r="H53" s="215" t="str">
        <f>IF(ROW(A42)&lt;=Capacity!$A$16,Capacity!H58,"")</f>
        <v/>
      </c>
      <c r="I53" s="217" t="str">
        <f>IF(ROW(A42)&lt;=Capacity!$A$16,'Capacity calculation (hide)'!DL46,"")</f>
        <v/>
      </c>
      <c r="J53" s="218" t="str">
        <f t="shared" si="0"/>
        <v/>
      </c>
    </row>
    <row r="54" spans="2:10" x14ac:dyDescent="0.2">
      <c r="B54" s="218" t="str">
        <f>IF(Capacity!B59=0,"",Capacity!B59)</f>
        <v/>
      </c>
      <c r="C54" s="132"/>
      <c r="D54" s="132"/>
      <c r="E54" s="132"/>
      <c r="F54" s="215" t="str">
        <f>IF(ROW(A43)&lt;=Capacity!$A$16,Capacity!E59,"")</f>
        <v/>
      </c>
      <c r="G54" s="216" t="str">
        <f>IF(ROW(A43)&lt;=Capacity!$A$16,'Capacity calculation (hide)'!BH47,"")</f>
        <v/>
      </c>
      <c r="H54" s="215" t="str">
        <f>IF(ROW(A43)&lt;=Capacity!$A$16,Capacity!H59,"")</f>
        <v/>
      </c>
      <c r="I54" s="217" t="str">
        <f>IF(ROW(A43)&lt;=Capacity!$A$16,'Capacity calculation (hide)'!DL47,"")</f>
        <v/>
      </c>
      <c r="J54" s="218" t="str">
        <f t="shared" si="0"/>
        <v/>
      </c>
    </row>
    <row r="55" spans="2:10" x14ac:dyDescent="0.2">
      <c r="B55" s="218" t="str">
        <f>IF(Capacity!B60=0,"",Capacity!B60)</f>
        <v/>
      </c>
      <c r="C55" s="132"/>
      <c r="D55" s="132"/>
      <c r="E55" s="132"/>
      <c r="F55" s="215" t="str">
        <f>IF(ROW(A44)&lt;=Capacity!$A$16,Capacity!E60,"")</f>
        <v/>
      </c>
      <c r="G55" s="216" t="str">
        <f>IF(ROW(A44)&lt;=Capacity!$A$16,'Capacity calculation (hide)'!BH48,"")</f>
        <v/>
      </c>
      <c r="H55" s="215" t="str">
        <f>IF(ROW(A44)&lt;=Capacity!$A$16,Capacity!H60,"")</f>
        <v/>
      </c>
      <c r="I55" s="217" t="str">
        <f>IF(ROW(A44)&lt;=Capacity!$A$16,'Capacity calculation (hide)'!DL48,"")</f>
        <v/>
      </c>
      <c r="J55" s="218" t="str">
        <f t="shared" si="0"/>
        <v/>
      </c>
    </row>
    <row r="56" spans="2:10" x14ac:dyDescent="0.2">
      <c r="B56" s="218" t="str">
        <f>IF(Capacity!B61=0,"",Capacity!B61)</f>
        <v/>
      </c>
      <c r="C56" s="132"/>
      <c r="D56" s="132"/>
      <c r="E56" s="132"/>
      <c r="F56" s="215" t="str">
        <f>IF(ROW(A45)&lt;=Capacity!$A$16,Capacity!E61,"")</f>
        <v/>
      </c>
      <c r="G56" s="216" t="str">
        <f>IF(ROW(A45)&lt;=Capacity!$A$16,'Capacity calculation (hide)'!BH49,"")</f>
        <v/>
      </c>
      <c r="H56" s="215" t="str">
        <f>IF(ROW(A45)&lt;=Capacity!$A$16,Capacity!H61,"")</f>
        <v/>
      </c>
      <c r="I56" s="217" t="str">
        <f>IF(ROW(A45)&lt;=Capacity!$A$16,'Capacity calculation (hide)'!DL49,"")</f>
        <v/>
      </c>
      <c r="J56" s="218" t="str">
        <f t="shared" si="0"/>
        <v/>
      </c>
    </row>
    <row r="57" spans="2:10" x14ac:dyDescent="0.2">
      <c r="B57" s="218" t="str">
        <f>IF(Capacity!B62=0,"",Capacity!B62)</f>
        <v/>
      </c>
      <c r="C57" s="132"/>
      <c r="D57" s="132"/>
      <c r="E57" s="132"/>
      <c r="F57" s="215" t="str">
        <f>IF(ROW(A46)&lt;=Capacity!$A$16,Capacity!E62,"")</f>
        <v/>
      </c>
      <c r="G57" s="216" t="str">
        <f>IF(ROW(A46)&lt;=Capacity!$A$16,'Capacity calculation (hide)'!BH50,"")</f>
        <v/>
      </c>
      <c r="H57" s="215" t="str">
        <f>IF(ROW(A46)&lt;=Capacity!$A$16,Capacity!H62,"")</f>
        <v/>
      </c>
      <c r="I57" s="217" t="str">
        <f>IF(ROW(A46)&lt;=Capacity!$A$16,'Capacity calculation (hide)'!DL50,"")</f>
        <v/>
      </c>
      <c r="J57" s="218" t="str">
        <f t="shared" si="0"/>
        <v/>
      </c>
    </row>
    <row r="58" spans="2:10" x14ac:dyDescent="0.2">
      <c r="B58" s="218" t="str">
        <f>IF(Capacity!B63=0,"",Capacity!B63)</f>
        <v/>
      </c>
      <c r="C58" s="132"/>
      <c r="D58" s="132"/>
      <c r="E58" s="132"/>
      <c r="F58" s="215" t="str">
        <f>IF(ROW(A47)&lt;=Capacity!$A$16,Capacity!E63,"")</f>
        <v/>
      </c>
      <c r="G58" s="216" t="str">
        <f>IF(ROW(A47)&lt;=Capacity!$A$16,'Capacity calculation (hide)'!BH51,"")</f>
        <v/>
      </c>
      <c r="H58" s="215" t="str">
        <f>IF(ROW(A47)&lt;=Capacity!$A$16,Capacity!H63,"")</f>
        <v/>
      </c>
      <c r="I58" s="217" t="str">
        <f>IF(ROW(A47)&lt;=Capacity!$A$16,'Capacity calculation (hide)'!DL51,"")</f>
        <v/>
      </c>
      <c r="J58" s="218" t="str">
        <f t="shared" si="0"/>
        <v/>
      </c>
    </row>
    <row r="59" spans="2:10" x14ac:dyDescent="0.2">
      <c r="B59" s="218" t="str">
        <f>IF(Capacity!B64=0,"",Capacity!B64)</f>
        <v/>
      </c>
      <c r="C59" s="132"/>
      <c r="D59" s="132"/>
      <c r="E59" s="132"/>
      <c r="F59" s="215" t="str">
        <f>IF(ROW(A48)&lt;=Capacity!$A$16,Capacity!E64,"")</f>
        <v/>
      </c>
      <c r="G59" s="216" t="str">
        <f>IF(ROW(A48)&lt;=Capacity!$A$16,'Capacity calculation (hide)'!BH52,"")</f>
        <v/>
      </c>
      <c r="H59" s="215" t="str">
        <f>IF(ROW(A48)&lt;=Capacity!$A$16,Capacity!H64,"")</f>
        <v/>
      </c>
      <c r="I59" s="217" t="str">
        <f>IF(ROW(A48)&lt;=Capacity!$A$16,'Capacity calculation (hide)'!DL52,"")</f>
        <v/>
      </c>
      <c r="J59" s="218" t="str">
        <f t="shared" si="0"/>
        <v/>
      </c>
    </row>
    <row r="60" spans="2:10" x14ac:dyDescent="0.2">
      <c r="B60" s="218" t="str">
        <f>IF(Capacity!B65=0,"",Capacity!B65)</f>
        <v/>
      </c>
      <c r="C60" s="132"/>
      <c r="D60" s="132"/>
      <c r="E60" s="132"/>
      <c r="F60" s="215" t="str">
        <f>IF(ROW(A49)&lt;=Capacity!$A$16,Capacity!E65,"")</f>
        <v/>
      </c>
      <c r="G60" s="216" t="str">
        <f>IF(ROW(A49)&lt;=Capacity!$A$16,'Capacity calculation (hide)'!BH53,"")</f>
        <v/>
      </c>
      <c r="H60" s="215" t="str">
        <f>IF(ROW(A49)&lt;=Capacity!$A$16,Capacity!H65,"")</f>
        <v/>
      </c>
      <c r="I60" s="217" t="str">
        <f>IF(ROW(A49)&lt;=Capacity!$A$16,'Capacity calculation (hide)'!DL53,"")</f>
        <v/>
      </c>
      <c r="J60" s="218" t="str">
        <f t="shared" si="0"/>
        <v/>
      </c>
    </row>
    <row r="61" spans="2:10" x14ac:dyDescent="0.2">
      <c r="B61" s="218" t="str">
        <f>IF(Capacity!B66=0,"",Capacity!B66)</f>
        <v/>
      </c>
      <c r="C61" s="132"/>
      <c r="D61" s="132"/>
      <c r="E61" s="132"/>
      <c r="F61" s="215" t="str">
        <f>IF(ROW(A50)&lt;=Capacity!$A$16,Capacity!E66,"")</f>
        <v/>
      </c>
      <c r="G61" s="216" t="str">
        <f>IF(ROW(A50)&lt;=Capacity!$A$16,'Capacity calculation (hide)'!BH54,"")</f>
        <v/>
      </c>
      <c r="H61" s="215" t="str">
        <f>IF(ROW(A50)&lt;=Capacity!$A$16,Capacity!H66,"")</f>
        <v/>
      </c>
      <c r="I61" s="217" t="str">
        <f>IF(ROW(A50)&lt;=Capacity!$A$16,'Capacity calculation (hide)'!DL54,"")</f>
        <v/>
      </c>
      <c r="J61" s="218" t="str">
        <f t="shared" si="0"/>
        <v/>
      </c>
    </row>
    <row r="62" spans="2:10" x14ac:dyDescent="0.2">
      <c r="B62" s="218" t="str">
        <f>IF(Capacity!B67=0,"",Capacity!B67)</f>
        <v/>
      </c>
      <c r="C62" s="132"/>
      <c r="D62" s="132"/>
      <c r="E62" s="132"/>
      <c r="F62" s="215" t="str">
        <f>IF(ROW(A51)&lt;=Capacity!$A$16,Capacity!E67,"")</f>
        <v/>
      </c>
      <c r="G62" s="216" t="str">
        <f>IF(ROW(A51)&lt;=Capacity!$A$16,'Capacity calculation (hide)'!BH55,"")</f>
        <v/>
      </c>
      <c r="H62" s="215" t="str">
        <f>IF(ROW(A51)&lt;=Capacity!$A$16,Capacity!H67,"")</f>
        <v/>
      </c>
      <c r="I62" s="217" t="str">
        <f>IF(ROW(A51)&lt;=Capacity!$A$16,'Capacity calculation (hide)'!DL55,"")</f>
        <v/>
      </c>
      <c r="J62" s="218" t="str">
        <f t="shared" si="0"/>
        <v/>
      </c>
    </row>
    <row r="63" spans="2:10" x14ac:dyDescent="0.2">
      <c r="B63" s="218" t="str">
        <f>IF(Capacity!B68=0,"",Capacity!B68)</f>
        <v/>
      </c>
      <c r="C63" s="132"/>
      <c r="D63" s="132"/>
      <c r="E63" s="132"/>
      <c r="F63" s="215" t="str">
        <f>IF(ROW(A52)&lt;=Capacity!$A$16,Capacity!E68,"")</f>
        <v/>
      </c>
      <c r="G63" s="216" t="str">
        <f>IF(ROW(A52)&lt;=Capacity!$A$16,'Capacity calculation (hide)'!BH56,"")</f>
        <v/>
      </c>
      <c r="H63" s="215" t="str">
        <f>IF(ROW(A52)&lt;=Capacity!$A$16,Capacity!H68,"")</f>
        <v/>
      </c>
      <c r="I63" s="217" t="str">
        <f>IF(ROW(A52)&lt;=Capacity!$A$16,'Capacity calculation (hide)'!DL56,"")</f>
        <v/>
      </c>
      <c r="J63" s="218" t="str">
        <f t="shared" si="0"/>
        <v/>
      </c>
    </row>
    <row r="64" spans="2:10" x14ac:dyDescent="0.2">
      <c r="B64" s="218" t="str">
        <f>IF(Capacity!B69=0,"",Capacity!B69)</f>
        <v/>
      </c>
      <c r="C64" s="132"/>
      <c r="D64" s="132"/>
      <c r="E64" s="132"/>
      <c r="F64" s="215" t="str">
        <f>IF(ROW(A53)&lt;=Capacity!$A$16,Capacity!E69,"")</f>
        <v/>
      </c>
      <c r="G64" s="216" t="str">
        <f>IF(ROW(A53)&lt;=Capacity!$A$16,'Capacity calculation (hide)'!BH57,"")</f>
        <v/>
      </c>
      <c r="H64" s="215" t="str">
        <f>IF(ROW(A53)&lt;=Capacity!$A$16,Capacity!H69,"")</f>
        <v/>
      </c>
      <c r="I64" s="217" t="str">
        <f>IF(ROW(A53)&lt;=Capacity!$A$16,'Capacity calculation (hide)'!DL57,"")</f>
        <v/>
      </c>
      <c r="J64" s="218" t="str">
        <f t="shared" si="0"/>
        <v/>
      </c>
    </row>
    <row r="65" spans="2:10" x14ac:dyDescent="0.2">
      <c r="B65" s="218" t="str">
        <f>IF(Capacity!B70=0,"",Capacity!B70)</f>
        <v/>
      </c>
      <c r="C65" s="132"/>
      <c r="D65" s="132"/>
      <c r="E65" s="132"/>
      <c r="F65" s="215" t="str">
        <f>IF(ROW(A54)&lt;=Capacity!$A$16,Capacity!E70,"")</f>
        <v/>
      </c>
      <c r="G65" s="216" t="str">
        <f>IF(ROW(A54)&lt;=Capacity!$A$16,'Capacity calculation (hide)'!BH58,"")</f>
        <v/>
      </c>
      <c r="H65" s="215" t="str">
        <f>IF(ROW(A54)&lt;=Capacity!$A$16,Capacity!H70,"")</f>
        <v/>
      </c>
      <c r="I65" s="217" t="str">
        <f>IF(ROW(A54)&lt;=Capacity!$A$16,'Capacity calculation (hide)'!DL58,"")</f>
        <v/>
      </c>
      <c r="J65" s="218" t="str">
        <f t="shared" si="0"/>
        <v/>
      </c>
    </row>
    <row r="66" spans="2:10" x14ac:dyDescent="0.2">
      <c r="B66" s="218" t="str">
        <f>IF(Capacity!B71=0,"",Capacity!B71)</f>
        <v/>
      </c>
      <c r="C66" s="132"/>
      <c r="D66" s="132"/>
      <c r="E66" s="132"/>
      <c r="F66" s="215" t="str">
        <f>IF(ROW(A55)&lt;=Capacity!$A$16,Capacity!E71,"")</f>
        <v/>
      </c>
      <c r="G66" s="216" t="str">
        <f>IF(ROW(A55)&lt;=Capacity!$A$16,'Capacity calculation (hide)'!BH59,"")</f>
        <v/>
      </c>
      <c r="H66" s="215" t="str">
        <f>IF(ROW(A55)&lt;=Capacity!$A$16,Capacity!H71,"")</f>
        <v/>
      </c>
      <c r="I66" s="217" t="str">
        <f>IF(ROW(A55)&lt;=Capacity!$A$16,'Capacity calculation (hide)'!DL59,"")</f>
        <v/>
      </c>
      <c r="J66" s="218" t="str">
        <f t="shared" si="0"/>
        <v/>
      </c>
    </row>
    <row r="67" spans="2:10" x14ac:dyDescent="0.2">
      <c r="B67" s="218" t="str">
        <f>IF(Capacity!B72=0,"",Capacity!B72)</f>
        <v/>
      </c>
      <c r="C67" s="132"/>
      <c r="D67" s="132"/>
      <c r="E67" s="132"/>
      <c r="F67" s="215" t="str">
        <f>IF(ROW(A56)&lt;=Capacity!$A$16,Capacity!E72,"")</f>
        <v/>
      </c>
      <c r="G67" s="216" t="str">
        <f>IF(ROW(A56)&lt;=Capacity!$A$16,'Capacity calculation (hide)'!BH60,"")</f>
        <v/>
      </c>
      <c r="H67" s="215" t="str">
        <f>IF(ROW(A56)&lt;=Capacity!$A$16,Capacity!H72,"")</f>
        <v/>
      </c>
      <c r="I67" s="217" t="str">
        <f>IF(ROW(A56)&lt;=Capacity!$A$16,'Capacity calculation (hide)'!DL60,"")</f>
        <v/>
      </c>
      <c r="J67" s="218" t="str">
        <f t="shared" si="0"/>
        <v/>
      </c>
    </row>
    <row r="68" spans="2:10" x14ac:dyDescent="0.2">
      <c r="B68" s="218" t="str">
        <f>IF(Capacity!B73=0,"",Capacity!B73)</f>
        <v/>
      </c>
      <c r="C68" s="132"/>
      <c r="D68" s="132"/>
      <c r="E68" s="132"/>
      <c r="F68" s="215" t="str">
        <f>IF(ROW(A57)&lt;=Capacity!$A$16,Capacity!E73,"")</f>
        <v/>
      </c>
      <c r="G68" s="216" t="str">
        <f>IF(ROW(A57)&lt;=Capacity!$A$16,'Capacity calculation (hide)'!BH61,"")</f>
        <v/>
      </c>
      <c r="H68" s="215" t="str">
        <f>IF(ROW(A57)&lt;=Capacity!$A$16,Capacity!H73,"")</f>
        <v/>
      </c>
      <c r="I68" s="217" t="str">
        <f>IF(ROW(A57)&lt;=Capacity!$A$16,'Capacity calculation (hide)'!DL61,"")</f>
        <v/>
      </c>
      <c r="J68" s="218" t="str">
        <f t="shared" si="0"/>
        <v/>
      </c>
    </row>
    <row r="69" spans="2:10" x14ac:dyDescent="0.2">
      <c r="B69" s="218" t="str">
        <f>IF(Capacity!B74=0,"",Capacity!B74)</f>
        <v/>
      </c>
      <c r="C69" s="132"/>
      <c r="D69" s="132"/>
      <c r="E69" s="132"/>
      <c r="F69" s="215" t="str">
        <f>IF(ROW(A58)&lt;=Capacity!$A$16,Capacity!E74,"")</f>
        <v/>
      </c>
      <c r="G69" s="216" t="str">
        <f>IF(ROW(A58)&lt;=Capacity!$A$16,'Capacity calculation (hide)'!BH62,"")</f>
        <v/>
      </c>
      <c r="H69" s="215" t="str">
        <f>IF(ROW(A58)&lt;=Capacity!$A$16,Capacity!H74,"")</f>
        <v/>
      </c>
      <c r="I69" s="217" t="str">
        <f>IF(ROW(A58)&lt;=Capacity!$A$16,'Capacity calculation (hide)'!DL62,"")</f>
        <v/>
      </c>
      <c r="J69" s="218" t="str">
        <f t="shared" si="0"/>
        <v/>
      </c>
    </row>
    <row r="70" spans="2:10" x14ac:dyDescent="0.2">
      <c r="B70" s="218" t="str">
        <f>IF(Capacity!B75=0,"",Capacity!B75)</f>
        <v/>
      </c>
      <c r="C70" s="132"/>
      <c r="D70" s="132"/>
      <c r="E70" s="132"/>
      <c r="F70" s="215" t="str">
        <f>IF(ROW(A59)&lt;=Capacity!$A$16,Capacity!E75,"")</f>
        <v/>
      </c>
      <c r="G70" s="216" t="str">
        <f>IF(ROW(A59)&lt;=Capacity!$A$16,'Capacity calculation (hide)'!BH63,"")</f>
        <v/>
      </c>
      <c r="H70" s="215" t="str">
        <f>IF(ROW(A59)&lt;=Capacity!$A$16,Capacity!H75,"")</f>
        <v/>
      </c>
      <c r="I70" s="217" t="str">
        <f>IF(ROW(A59)&lt;=Capacity!$A$16,'Capacity calculation (hide)'!DL63,"")</f>
        <v/>
      </c>
      <c r="J70" s="218" t="str">
        <f t="shared" si="0"/>
        <v/>
      </c>
    </row>
    <row r="71" spans="2:10" x14ac:dyDescent="0.2">
      <c r="B71" s="218" t="str">
        <f>IF(Capacity!B76=0,"",Capacity!B76)</f>
        <v/>
      </c>
      <c r="C71" s="132"/>
      <c r="D71" s="132"/>
      <c r="E71" s="132"/>
      <c r="F71" s="215" t="str">
        <f>IF(ROW(A60)&lt;=Capacity!$A$16,Capacity!E76,"")</f>
        <v/>
      </c>
      <c r="G71" s="216" t="str">
        <f>IF(ROW(A60)&lt;=Capacity!$A$16,'Capacity calculation (hide)'!BH64,"")</f>
        <v/>
      </c>
      <c r="H71" s="215" t="str">
        <f>IF(ROW(A60)&lt;=Capacity!$A$16,Capacity!H76,"")</f>
        <v/>
      </c>
      <c r="I71" s="217" t="str">
        <f>IF(ROW(A60)&lt;=Capacity!$A$16,'Capacity calculation (hide)'!DL64,"")</f>
        <v/>
      </c>
      <c r="J71" s="218" t="str">
        <f t="shared" si="0"/>
        <v/>
      </c>
    </row>
    <row r="72" spans="2:10" x14ac:dyDescent="0.2">
      <c r="B72" s="218" t="str">
        <f>IF(Capacity!B77=0,"",Capacity!B77)</f>
        <v/>
      </c>
      <c r="C72" s="132"/>
      <c r="D72" s="132"/>
      <c r="E72" s="132"/>
      <c r="F72" s="215" t="str">
        <f>IF(ROW(A61)&lt;=Capacity!$A$16,Capacity!E77,"")</f>
        <v/>
      </c>
      <c r="G72" s="216" t="str">
        <f>IF(ROW(A61)&lt;=Capacity!$A$16,'Capacity calculation (hide)'!BH65,"")</f>
        <v/>
      </c>
      <c r="H72" s="215" t="str">
        <f>IF(ROW(A61)&lt;=Capacity!$A$16,Capacity!H77,"")</f>
        <v/>
      </c>
      <c r="I72" s="217" t="str">
        <f>IF(ROW(A61)&lt;=Capacity!$A$16,'Capacity calculation (hide)'!DL65,"")</f>
        <v/>
      </c>
      <c r="J72" s="218" t="str">
        <f t="shared" si="0"/>
        <v/>
      </c>
    </row>
    <row r="73" spans="2:10" x14ac:dyDescent="0.2">
      <c r="B73" s="218" t="str">
        <f>IF(Capacity!B78=0,"",Capacity!B78)</f>
        <v/>
      </c>
      <c r="C73" s="132"/>
      <c r="D73" s="132"/>
      <c r="E73" s="132"/>
      <c r="F73" s="215" t="str">
        <f>IF(ROW(A62)&lt;=Capacity!$A$16,Capacity!E78,"")</f>
        <v/>
      </c>
      <c r="G73" s="216" t="str">
        <f>IF(ROW(A62)&lt;=Capacity!$A$16,'Capacity calculation (hide)'!BH66,"")</f>
        <v/>
      </c>
      <c r="H73" s="215" t="str">
        <f>IF(ROW(A62)&lt;=Capacity!$A$16,Capacity!H78,"")</f>
        <v/>
      </c>
      <c r="I73" s="217" t="str">
        <f>IF(ROW(A62)&lt;=Capacity!$A$16,'Capacity calculation (hide)'!DL66,"")</f>
        <v/>
      </c>
      <c r="J73" s="218" t="str">
        <f t="shared" si="0"/>
        <v/>
      </c>
    </row>
    <row r="74" spans="2:10" x14ac:dyDescent="0.2">
      <c r="B74" s="218" t="str">
        <f>IF(Capacity!B79=0,"",Capacity!B79)</f>
        <v/>
      </c>
      <c r="C74" s="132"/>
      <c r="D74" s="132"/>
      <c r="E74" s="132"/>
      <c r="F74" s="215" t="str">
        <f>IF(ROW(A63)&lt;=Capacity!$A$16,Capacity!E79,"")</f>
        <v/>
      </c>
      <c r="G74" s="216" t="str">
        <f>IF(ROW(A63)&lt;=Capacity!$A$16,'Capacity calculation (hide)'!BH67,"")</f>
        <v/>
      </c>
      <c r="H74" s="215" t="str">
        <f>IF(ROW(A63)&lt;=Capacity!$A$16,Capacity!H79,"")</f>
        <v/>
      </c>
      <c r="I74" s="217" t="str">
        <f>IF(ROW(A63)&lt;=Capacity!$A$16,'Capacity calculation (hide)'!DL67,"")</f>
        <v/>
      </c>
      <c r="J74" s="218" t="str">
        <f t="shared" si="0"/>
        <v/>
      </c>
    </row>
    <row r="75" spans="2:10" x14ac:dyDescent="0.2">
      <c r="B75" s="218" t="str">
        <f>IF(Capacity!B80=0,"",Capacity!B80)</f>
        <v/>
      </c>
      <c r="C75" s="132"/>
      <c r="D75" s="132"/>
      <c r="E75" s="132"/>
      <c r="F75" s="215" t="str">
        <f>IF(ROW(A64)&lt;=Capacity!$A$16,Capacity!E80,"")</f>
        <v/>
      </c>
      <c r="G75" s="216" t="str">
        <f>IF(ROW(A64)&lt;=Capacity!$A$16,'Capacity calculation (hide)'!BH68,"")</f>
        <v/>
      </c>
      <c r="H75" s="215" t="str">
        <f>IF(ROW(A64)&lt;=Capacity!$A$16,Capacity!H80,"")</f>
        <v/>
      </c>
      <c r="I75" s="217" t="str">
        <f>IF(ROW(A64)&lt;=Capacity!$A$16,'Capacity calculation (hide)'!DL68,"")</f>
        <v/>
      </c>
      <c r="J75" s="218" t="str">
        <f t="shared" si="0"/>
        <v/>
      </c>
    </row>
    <row r="76" spans="2:10" x14ac:dyDescent="0.2">
      <c r="B76" s="218" t="str">
        <f>IF(Capacity!B81=0,"",Capacity!B81)</f>
        <v/>
      </c>
      <c r="C76" s="132"/>
      <c r="D76" s="132"/>
      <c r="E76" s="132"/>
      <c r="F76" s="215" t="str">
        <f>IF(ROW(A65)&lt;=Capacity!$A$16,Capacity!E81,"")</f>
        <v/>
      </c>
      <c r="G76" s="216" t="str">
        <f>IF(ROW(A65)&lt;=Capacity!$A$16,'Capacity calculation (hide)'!BH69,"")</f>
        <v/>
      </c>
      <c r="H76" s="215" t="str">
        <f>IF(ROW(A65)&lt;=Capacity!$A$16,Capacity!H81,"")</f>
        <v/>
      </c>
      <c r="I76" s="217" t="str">
        <f>IF(ROW(A65)&lt;=Capacity!$A$16,'Capacity calculation (hide)'!DL69,"")</f>
        <v/>
      </c>
      <c r="J76" s="218" t="str">
        <f t="shared" si="0"/>
        <v/>
      </c>
    </row>
    <row r="77" spans="2:10" x14ac:dyDescent="0.2">
      <c r="B77" s="218" t="str">
        <f>IF(Capacity!B82=0,"",Capacity!B82)</f>
        <v/>
      </c>
      <c r="C77" s="132"/>
      <c r="D77" s="132"/>
      <c r="E77" s="132"/>
      <c r="F77" s="215" t="str">
        <f>IF(ROW(A66)&lt;=Capacity!$A$16,Capacity!E82,"")</f>
        <v/>
      </c>
      <c r="G77" s="216" t="str">
        <f>IF(ROW(A66)&lt;=Capacity!$A$16,'Capacity calculation (hide)'!BH70,"")</f>
        <v/>
      </c>
      <c r="H77" s="215" t="str">
        <f>IF(ROW(A66)&lt;=Capacity!$A$16,Capacity!H82,"")</f>
        <v/>
      </c>
      <c r="I77" s="217" t="str">
        <f>IF(ROW(A66)&lt;=Capacity!$A$16,'Capacity calculation (hide)'!DL70,"")</f>
        <v/>
      </c>
      <c r="J77" s="218" t="str">
        <f t="shared" ref="J77:J111" si="1">IFERROR(IF(G77-F77 &lt;0, "Under","Over"),"")</f>
        <v/>
      </c>
    </row>
    <row r="78" spans="2:10" x14ac:dyDescent="0.2">
      <c r="B78" s="218" t="str">
        <f>IF(Capacity!B83=0,"",Capacity!B83)</f>
        <v/>
      </c>
      <c r="C78" s="132"/>
      <c r="D78" s="132"/>
      <c r="E78" s="132"/>
      <c r="F78" s="215" t="str">
        <f>IF(ROW(A67)&lt;=Capacity!$A$16,Capacity!E83,"")</f>
        <v/>
      </c>
      <c r="G78" s="216" t="str">
        <f>IF(ROW(A67)&lt;=Capacity!$A$16,'Capacity calculation (hide)'!BH71,"")</f>
        <v/>
      </c>
      <c r="H78" s="215" t="str">
        <f>IF(ROW(A67)&lt;=Capacity!$A$16,Capacity!H83,"")</f>
        <v/>
      </c>
      <c r="I78" s="217" t="str">
        <f>IF(ROW(A67)&lt;=Capacity!$A$16,'Capacity calculation (hide)'!DL71,"")</f>
        <v/>
      </c>
      <c r="J78" s="218" t="str">
        <f t="shared" si="1"/>
        <v/>
      </c>
    </row>
    <row r="79" spans="2:10" x14ac:dyDescent="0.2">
      <c r="B79" s="218" t="str">
        <f>IF(Capacity!B84=0,"",Capacity!B84)</f>
        <v/>
      </c>
      <c r="C79" s="132"/>
      <c r="D79" s="132"/>
      <c r="E79" s="132"/>
      <c r="F79" s="215" t="str">
        <f>IF(ROW(A68)&lt;=Capacity!$A$16,Capacity!E84,"")</f>
        <v/>
      </c>
      <c r="G79" s="216" t="str">
        <f>IF(ROW(A68)&lt;=Capacity!$A$16,'Capacity calculation (hide)'!BH72,"")</f>
        <v/>
      </c>
      <c r="H79" s="215" t="str">
        <f>IF(ROW(A68)&lt;=Capacity!$A$16,Capacity!H84,"")</f>
        <v/>
      </c>
      <c r="I79" s="217" t="str">
        <f>IF(ROW(A68)&lt;=Capacity!$A$16,'Capacity calculation (hide)'!DL72,"")</f>
        <v/>
      </c>
      <c r="J79" s="218" t="str">
        <f t="shared" si="1"/>
        <v/>
      </c>
    </row>
    <row r="80" spans="2:10" x14ac:dyDescent="0.2">
      <c r="B80" s="218" t="str">
        <f>IF(Capacity!B85=0,"",Capacity!B85)</f>
        <v/>
      </c>
      <c r="C80" s="132"/>
      <c r="D80" s="132"/>
      <c r="E80" s="132"/>
      <c r="F80" s="215" t="str">
        <f>IF(ROW(A69)&lt;=Capacity!$A$16,Capacity!E85,"")</f>
        <v/>
      </c>
      <c r="G80" s="216" t="str">
        <f>IF(ROW(A69)&lt;=Capacity!$A$16,'Capacity calculation (hide)'!BH73,"")</f>
        <v/>
      </c>
      <c r="H80" s="215" t="str">
        <f>IF(ROW(A69)&lt;=Capacity!$A$16,Capacity!H85,"")</f>
        <v/>
      </c>
      <c r="I80" s="217" t="str">
        <f>IF(ROW(A69)&lt;=Capacity!$A$16,'Capacity calculation (hide)'!DL73,"")</f>
        <v/>
      </c>
      <c r="J80" s="218" t="str">
        <f t="shared" si="1"/>
        <v/>
      </c>
    </row>
    <row r="81" spans="2:10" x14ac:dyDescent="0.2">
      <c r="B81" s="218" t="str">
        <f>IF(Capacity!B86=0,"",Capacity!B86)</f>
        <v/>
      </c>
      <c r="C81" s="132"/>
      <c r="D81" s="132"/>
      <c r="E81" s="132"/>
      <c r="F81" s="215" t="str">
        <f>IF(ROW(A70)&lt;=Capacity!$A$16,Capacity!E86,"")</f>
        <v/>
      </c>
      <c r="G81" s="216" t="str">
        <f>IF(ROW(A70)&lt;=Capacity!$A$16,'Capacity calculation (hide)'!BH74,"")</f>
        <v/>
      </c>
      <c r="H81" s="215" t="str">
        <f>IF(ROW(A70)&lt;=Capacity!$A$16,Capacity!H86,"")</f>
        <v/>
      </c>
      <c r="I81" s="217" t="str">
        <f>IF(ROW(A70)&lt;=Capacity!$A$16,'Capacity calculation (hide)'!DL74,"")</f>
        <v/>
      </c>
      <c r="J81" s="218" t="str">
        <f t="shared" si="1"/>
        <v/>
      </c>
    </row>
    <row r="82" spans="2:10" x14ac:dyDescent="0.2">
      <c r="B82" s="218" t="str">
        <f>IF(Capacity!B87=0,"",Capacity!B87)</f>
        <v/>
      </c>
      <c r="C82" s="132"/>
      <c r="D82" s="132"/>
      <c r="E82" s="132"/>
      <c r="F82" s="215" t="str">
        <f>IF(ROW(A71)&lt;=Capacity!$A$16,Capacity!E87,"")</f>
        <v/>
      </c>
      <c r="G82" s="216" t="str">
        <f>IF(ROW(A71)&lt;=Capacity!$A$16,'Capacity calculation (hide)'!BH75,"")</f>
        <v/>
      </c>
      <c r="H82" s="215" t="str">
        <f>IF(ROW(A71)&lt;=Capacity!$A$16,Capacity!H87,"")</f>
        <v/>
      </c>
      <c r="I82" s="217" t="str">
        <f>IF(ROW(A71)&lt;=Capacity!$A$16,'Capacity calculation (hide)'!DL75,"")</f>
        <v/>
      </c>
      <c r="J82" s="218" t="str">
        <f t="shared" si="1"/>
        <v/>
      </c>
    </row>
    <row r="83" spans="2:10" x14ac:dyDescent="0.2">
      <c r="B83" s="218" t="str">
        <f>IF(Capacity!B88=0,"",Capacity!B88)</f>
        <v/>
      </c>
      <c r="C83" s="132"/>
      <c r="D83" s="132"/>
      <c r="E83" s="132"/>
      <c r="F83" s="215" t="str">
        <f>IF(ROW(A72)&lt;=Capacity!$A$16,Capacity!E88,"")</f>
        <v/>
      </c>
      <c r="G83" s="216" t="str">
        <f>IF(ROW(A72)&lt;=Capacity!$A$16,'Capacity calculation (hide)'!BH76,"")</f>
        <v/>
      </c>
      <c r="H83" s="215" t="str">
        <f>IF(ROW(A72)&lt;=Capacity!$A$16,Capacity!H88,"")</f>
        <v/>
      </c>
      <c r="I83" s="217" t="str">
        <f>IF(ROW(A72)&lt;=Capacity!$A$16,'Capacity calculation (hide)'!DL76,"")</f>
        <v/>
      </c>
      <c r="J83" s="218" t="str">
        <f t="shared" si="1"/>
        <v/>
      </c>
    </row>
    <row r="84" spans="2:10" x14ac:dyDescent="0.2">
      <c r="B84" s="218" t="str">
        <f>IF(Capacity!B89=0,"",Capacity!B89)</f>
        <v/>
      </c>
      <c r="C84" s="132"/>
      <c r="D84" s="132"/>
      <c r="E84" s="132"/>
      <c r="F84" s="215" t="str">
        <f>IF(ROW(A73)&lt;=Capacity!$A$16,Capacity!E89,"")</f>
        <v/>
      </c>
      <c r="G84" s="216" t="str">
        <f>IF(ROW(A73)&lt;=Capacity!$A$16,'Capacity calculation (hide)'!BH77,"")</f>
        <v/>
      </c>
      <c r="H84" s="215" t="str">
        <f>IF(ROW(A73)&lt;=Capacity!$A$16,Capacity!H89,"")</f>
        <v/>
      </c>
      <c r="I84" s="217" t="str">
        <f>IF(ROW(A73)&lt;=Capacity!$A$16,'Capacity calculation (hide)'!DL77,"")</f>
        <v/>
      </c>
      <c r="J84" s="218" t="str">
        <f t="shared" si="1"/>
        <v/>
      </c>
    </row>
    <row r="85" spans="2:10" x14ac:dyDescent="0.2">
      <c r="B85" s="218" t="str">
        <f>IF(Capacity!B90=0,"",Capacity!B90)</f>
        <v/>
      </c>
      <c r="C85" s="132"/>
      <c r="D85" s="132"/>
      <c r="E85" s="132"/>
      <c r="F85" s="215" t="str">
        <f>IF(ROW(A74)&lt;=Capacity!$A$16,Capacity!E90,"")</f>
        <v/>
      </c>
      <c r="G85" s="216" t="str">
        <f>IF(ROW(A74)&lt;=Capacity!$A$16,'Capacity calculation (hide)'!BH78,"")</f>
        <v/>
      </c>
      <c r="H85" s="215" t="str">
        <f>IF(ROW(A74)&lt;=Capacity!$A$16,Capacity!H90,"")</f>
        <v/>
      </c>
      <c r="I85" s="217" t="str">
        <f>IF(ROW(A74)&lt;=Capacity!$A$16,'Capacity calculation (hide)'!DL78,"")</f>
        <v/>
      </c>
      <c r="J85" s="218" t="str">
        <f t="shared" si="1"/>
        <v/>
      </c>
    </row>
    <row r="86" spans="2:10" x14ac:dyDescent="0.2">
      <c r="B86" s="218" t="str">
        <f>IF(Capacity!B91=0,"",Capacity!B91)</f>
        <v/>
      </c>
      <c r="C86" s="132"/>
      <c r="D86" s="132"/>
      <c r="E86" s="132"/>
      <c r="F86" s="215" t="str">
        <f>IF(ROW(A75)&lt;=Capacity!$A$16,Capacity!E91,"")</f>
        <v/>
      </c>
      <c r="G86" s="216" t="str">
        <f>IF(ROW(A75)&lt;=Capacity!$A$16,'Capacity calculation (hide)'!BH79,"")</f>
        <v/>
      </c>
      <c r="H86" s="215" t="str">
        <f>IF(ROW(A75)&lt;=Capacity!$A$16,Capacity!H91,"")</f>
        <v/>
      </c>
      <c r="I86" s="217" t="str">
        <f>IF(ROW(A75)&lt;=Capacity!$A$16,'Capacity calculation (hide)'!DL79,"")</f>
        <v/>
      </c>
      <c r="J86" s="218" t="str">
        <f t="shared" si="1"/>
        <v/>
      </c>
    </row>
    <row r="87" spans="2:10" x14ac:dyDescent="0.2">
      <c r="B87" s="218" t="str">
        <f>IF(Capacity!B92=0,"",Capacity!B92)</f>
        <v/>
      </c>
      <c r="C87" s="132"/>
      <c r="D87" s="132"/>
      <c r="E87" s="132"/>
      <c r="F87" s="215" t="str">
        <f>IF(ROW(A76)&lt;=Capacity!$A$16,Capacity!E92,"")</f>
        <v/>
      </c>
      <c r="G87" s="216" t="str">
        <f>IF(ROW(A76)&lt;=Capacity!$A$16,'Capacity calculation (hide)'!BH80,"")</f>
        <v/>
      </c>
      <c r="H87" s="215" t="str">
        <f>IF(ROW(A76)&lt;=Capacity!$A$16,Capacity!H92,"")</f>
        <v/>
      </c>
      <c r="I87" s="217" t="str">
        <f>IF(ROW(A76)&lt;=Capacity!$A$16,'Capacity calculation (hide)'!DL80,"")</f>
        <v/>
      </c>
      <c r="J87" s="218" t="str">
        <f t="shared" si="1"/>
        <v/>
      </c>
    </row>
    <row r="88" spans="2:10" x14ac:dyDescent="0.2">
      <c r="B88" s="218" t="str">
        <f>IF(Capacity!B93=0,"",Capacity!B93)</f>
        <v/>
      </c>
      <c r="C88" s="132"/>
      <c r="D88" s="132"/>
      <c r="E88" s="132"/>
      <c r="F88" s="215" t="str">
        <f>IF(ROW(A77)&lt;=Capacity!$A$16,Capacity!E93,"")</f>
        <v/>
      </c>
      <c r="G88" s="216" t="str">
        <f>IF(ROW(A77)&lt;=Capacity!$A$16,'Capacity calculation (hide)'!BH81,"")</f>
        <v/>
      </c>
      <c r="H88" s="215" t="str">
        <f>IF(ROW(A77)&lt;=Capacity!$A$16,Capacity!H93,"")</f>
        <v/>
      </c>
      <c r="I88" s="217" t="str">
        <f>IF(ROW(A77)&lt;=Capacity!$A$16,'Capacity calculation (hide)'!DL81,"")</f>
        <v/>
      </c>
      <c r="J88" s="218" t="str">
        <f t="shared" si="1"/>
        <v/>
      </c>
    </row>
    <row r="89" spans="2:10" x14ac:dyDescent="0.2">
      <c r="B89" s="218" t="str">
        <f>IF(Capacity!B94=0,"",Capacity!B94)</f>
        <v/>
      </c>
      <c r="C89" s="132"/>
      <c r="D89" s="132"/>
      <c r="E89" s="132"/>
      <c r="F89" s="215" t="str">
        <f>IF(ROW(A78)&lt;=Capacity!$A$16,Capacity!E94,"")</f>
        <v/>
      </c>
      <c r="G89" s="216" t="str">
        <f>IF(ROW(A78)&lt;=Capacity!$A$16,'Capacity calculation (hide)'!BH82,"")</f>
        <v/>
      </c>
      <c r="H89" s="215" t="str">
        <f>IF(ROW(A78)&lt;=Capacity!$A$16,Capacity!H94,"")</f>
        <v/>
      </c>
      <c r="I89" s="217" t="str">
        <f>IF(ROW(A78)&lt;=Capacity!$A$16,'Capacity calculation (hide)'!DL82,"")</f>
        <v/>
      </c>
      <c r="J89" s="218" t="str">
        <f t="shared" si="1"/>
        <v/>
      </c>
    </row>
    <row r="90" spans="2:10" x14ac:dyDescent="0.2">
      <c r="B90" s="218" t="str">
        <f>IF(Capacity!B95=0,"",Capacity!B95)</f>
        <v/>
      </c>
      <c r="C90" s="132"/>
      <c r="D90" s="132"/>
      <c r="E90" s="132"/>
      <c r="F90" s="215" t="str">
        <f>IF(ROW(A79)&lt;=Capacity!$A$16,Capacity!E95,"")</f>
        <v/>
      </c>
      <c r="G90" s="216" t="str">
        <f>IF(ROW(A79)&lt;=Capacity!$A$16,'Capacity calculation (hide)'!BH83,"")</f>
        <v/>
      </c>
      <c r="H90" s="215" t="str">
        <f>IF(ROW(A79)&lt;=Capacity!$A$16,Capacity!H95,"")</f>
        <v/>
      </c>
      <c r="I90" s="217" t="str">
        <f>IF(ROW(A79)&lt;=Capacity!$A$16,'Capacity calculation (hide)'!DL83,"")</f>
        <v/>
      </c>
      <c r="J90" s="218" t="str">
        <f t="shared" si="1"/>
        <v/>
      </c>
    </row>
    <row r="91" spans="2:10" x14ac:dyDescent="0.2">
      <c r="B91" s="218" t="str">
        <f>IF(Capacity!B96=0,"",Capacity!B96)</f>
        <v/>
      </c>
      <c r="C91" s="132"/>
      <c r="D91" s="132"/>
      <c r="E91" s="132"/>
      <c r="F91" s="215" t="str">
        <f>IF(ROW(A80)&lt;=Capacity!$A$16,Capacity!E96,"")</f>
        <v/>
      </c>
      <c r="G91" s="216" t="str">
        <f>IF(ROW(A80)&lt;=Capacity!$A$16,'Capacity calculation (hide)'!BH84,"")</f>
        <v/>
      </c>
      <c r="H91" s="215" t="str">
        <f>IF(ROW(A80)&lt;=Capacity!$A$16,Capacity!H96,"")</f>
        <v/>
      </c>
      <c r="I91" s="217" t="str">
        <f>IF(ROW(A80)&lt;=Capacity!$A$16,'Capacity calculation (hide)'!DL84,"")</f>
        <v/>
      </c>
      <c r="J91" s="218" t="str">
        <f t="shared" si="1"/>
        <v/>
      </c>
    </row>
    <row r="92" spans="2:10" x14ac:dyDescent="0.2">
      <c r="B92" s="218" t="str">
        <f>IF(Capacity!B97=0,"",Capacity!B97)</f>
        <v/>
      </c>
      <c r="C92" s="132"/>
      <c r="D92" s="132"/>
      <c r="E92" s="132"/>
      <c r="F92" s="215" t="str">
        <f>IF(ROW(A81)&lt;=Capacity!$A$16,Capacity!E97,"")</f>
        <v/>
      </c>
      <c r="G92" s="216" t="str">
        <f>IF(ROW(A81)&lt;=Capacity!$A$16,'Capacity calculation (hide)'!BH85,"")</f>
        <v/>
      </c>
      <c r="H92" s="215" t="str">
        <f>IF(ROW(A81)&lt;=Capacity!$A$16,Capacity!H97,"")</f>
        <v/>
      </c>
      <c r="I92" s="217" t="str">
        <f>IF(ROW(A81)&lt;=Capacity!$A$16,'Capacity calculation (hide)'!DL85,"")</f>
        <v/>
      </c>
      <c r="J92" s="218" t="str">
        <f t="shared" si="1"/>
        <v/>
      </c>
    </row>
    <row r="93" spans="2:10" x14ac:dyDescent="0.2">
      <c r="B93" s="218" t="str">
        <f>IF(Capacity!B98=0,"",Capacity!B98)</f>
        <v/>
      </c>
      <c r="C93" s="132"/>
      <c r="D93" s="132"/>
      <c r="E93" s="132"/>
      <c r="F93" s="215" t="str">
        <f>IF(ROW(A82)&lt;=Capacity!$A$16,Capacity!E98,"")</f>
        <v/>
      </c>
      <c r="G93" s="216" t="str">
        <f>IF(ROW(A82)&lt;=Capacity!$A$16,'Capacity calculation (hide)'!BH86,"")</f>
        <v/>
      </c>
      <c r="H93" s="215" t="str">
        <f>IF(ROW(A82)&lt;=Capacity!$A$16,Capacity!H98,"")</f>
        <v/>
      </c>
      <c r="I93" s="217" t="str">
        <f>IF(ROW(A82)&lt;=Capacity!$A$16,'Capacity calculation (hide)'!DL86,"")</f>
        <v/>
      </c>
      <c r="J93" s="218" t="str">
        <f t="shared" si="1"/>
        <v/>
      </c>
    </row>
    <row r="94" spans="2:10" x14ac:dyDescent="0.2">
      <c r="B94" s="218" t="str">
        <f>IF(Capacity!B99=0,"",Capacity!B99)</f>
        <v/>
      </c>
      <c r="C94" s="132"/>
      <c r="D94" s="132"/>
      <c r="E94" s="132"/>
      <c r="F94" s="215" t="str">
        <f>IF(ROW(A83)&lt;=Capacity!$A$16,Capacity!E99,"")</f>
        <v/>
      </c>
      <c r="G94" s="216" t="str">
        <f>IF(ROW(A83)&lt;=Capacity!$A$16,'Capacity calculation (hide)'!BH87,"")</f>
        <v/>
      </c>
      <c r="H94" s="215" t="str">
        <f>IF(ROW(A83)&lt;=Capacity!$A$16,Capacity!H99,"")</f>
        <v/>
      </c>
      <c r="I94" s="217" t="str">
        <f>IF(ROW(A83)&lt;=Capacity!$A$16,'Capacity calculation (hide)'!DL87,"")</f>
        <v/>
      </c>
      <c r="J94" s="218" t="str">
        <f t="shared" si="1"/>
        <v/>
      </c>
    </row>
    <row r="95" spans="2:10" x14ac:dyDescent="0.2">
      <c r="B95" s="218" t="str">
        <f>IF(Capacity!B100=0,"",Capacity!B100)</f>
        <v/>
      </c>
      <c r="C95" s="132"/>
      <c r="D95" s="132"/>
      <c r="E95" s="132"/>
      <c r="F95" s="215" t="str">
        <f>IF(ROW(A84)&lt;=Capacity!$A$16,Capacity!E100,"")</f>
        <v/>
      </c>
      <c r="G95" s="216" t="str">
        <f>IF(ROW(A84)&lt;=Capacity!$A$16,'Capacity calculation (hide)'!BH88,"")</f>
        <v/>
      </c>
      <c r="H95" s="215" t="str">
        <f>IF(ROW(A84)&lt;=Capacity!$A$16,Capacity!H100,"")</f>
        <v/>
      </c>
      <c r="I95" s="217" t="str">
        <f>IF(ROW(A84)&lt;=Capacity!$A$16,'Capacity calculation (hide)'!DL88,"")</f>
        <v/>
      </c>
      <c r="J95" s="218" t="str">
        <f t="shared" si="1"/>
        <v/>
      </c>
    </row>
    <row r="96" spans="2:10" x14ac:dyDescent="0.2">
      <c r="B96" s="218" t="str">
        <f>IF(Capacity!B101=0,"",Capacity!B101)</f>
        <v/>
      </c>
      <c r="C96" s="132"/>
      <c r="D96" s="132"/>
      <c r="E96" s="132"/>
      <c r="F96" s="215" t="str">
        <f>IF(ROW(A85)&lt;=Capacity!$A$16,Capacity!E101,"")</f>
        <v/>
      </c>
      <c r="G96" s="216" t="str">
        <f>IF(ROW(A85)&lt;=Capacity!$A$16,'Capacity calculation (hide)'!BH89,"")</f>
        <v/>
      </c>
      <c r="H96" s="215" t="str">
        <f>IF(ROW(A85)&lt;=Capacity!$A$16,Capacity!H101,"")</f>
        <v/>
      </c>
      <c r="I96" s="217" t="str">
        <f>IF(ROW(A85)&lt;=Capacity!$A$16,'Capacity calculation (hide)'!DL89,"")</f>
        <v/>
      </c>
      <c r="J96" s="218" t="str">
        <f t="shared" si="1"/>
        <v/>
      </c>
    </row>
    <row r="97" spans="2:10" x14ac:dyDescent="0.2">
      <c r="B97" s="218" t="str">
        <f>IF(Capacity!B102=0,"",Capacity!B102)</f>
        <v/>
      </c>
      <c r="C97" s="132"/>
      <c r="D97" s="132"/>
      <c r="E97" s="132"/>
      <c r="F97" s="215" t="str">
        <f>IF(ROW(A86)&lt;=Capacity!$A$16,Capacity!E102,"")</f>
        <v/>
      </c>
      <c r="G97" s="216" t="str">
        <f>IF(ROW(A86)&lt;=Capacity!$A$16,'Capacity calculation (hide)'!BH90,"")</f>
        <v/>
      </c>
      <c r="H97" s="215" t="str">
        <f>IF(ROW(A86)&lt;=Capacity!$A$16,Capacity!H102,"")</f>
        <v/>
      </c>
      <c r="I97" s="217" t="str">
        <f>IF(ROW(A86)&lt;=Capacity!$A$16,'Capacity calculation (hide)'!DL90,"")</f>
        <v/>
      </c>
      <c r="J97" s="218" t="str">
        <f t="shared" si="1"/>
        <v/>
      </c>
    </row>
    <row r="98" spans="2:10" x14ac:dyDescent="0.2">
      <c r="B98" s="218" t="str">
        <f>IF(Capacity!B103=0,"",Capacity!B103)</f>
        <v/>
      </c>
      <c r="C98" s="132"/>
      <c r="D98" s="132"/>
      <c r="E98" s="132"/>
      <c r="F98" s="215" t="str">
        <f>IF(ROW(A87)&lt;=Capacity!$A$16,Capacity!E103,"")</f>
        <v/>
      </c>
      <c r="G98" s="216" t="str">
        <f>IF(ROW(A87)&lt;=Capacity!$A$16,'Capacity calculation (hide)'!BH91,"")</f>
        <v/>
      </c>
      <c r="H98" s="215" t="str">
        <f>IF(ROW(A87)&lt;=Capacity!$A$16,Capacity!H103,"")</f>
        <v/>
      </c>
      <c r="I98" s="217" t="str">
        <f>IF(ROW(A87)&lt;=Capacity!$A$16,'Capacity calculation (hide)'!DL91,"")</f>
        <v/>
      </c>
      <c r="J98" s="218" t="str">
        <f t="shared" si="1"/>
        <v/>
      </c>
    </row>
    <row r="99" spans="2:10" x14ac:dyDescent="0.2">
      <c r="B99" s="218" t="str">
        <f>IF(Capacity!B104=0,"",Capacity!B104)</f>
        <v/>
      </c>
      <c r="C99" s="132"/>
      <c r="D99" s="132"/>
      <c r="E99" s="132"/>
      <c r="F99" s="215" t="str">
        <f>IF(ROW(A88)&lt;=Capacity!$A$16,Capacity!E104,"")</f>
        <v/>
      </c>
      <c r="G99" s="216" t="str">
        <f>IF(ROW(A88)&lt;=Capacity!$A$16,'Capacity calculation (hide)'!BH92,"")</f>
        <v/>
      </c>
      <c r="H99" s="215" t="str">
        <f>IF(ROW(A88)&lt;=Capacity!$A$16,Capacity!H104,"")</f>
        <v/>
      </c>
      <c r="I99" s="217" t="str">
        <f>IF(ROW(A88)&lt;=Capacity!$A$16,'Capacity calculation (hide)'!DL92,"")</f>
        <v/>
      </c>
      <c r="J99" s="218" t="str">
        <f t="shared" si="1"/>
        <v/>
      </c>
    </row>
    <row r="100" spans="2:10" x14ac:dyDescent="0.2">
      <c r="B100" s="218" t="str">
        <f>IF(Capacity!B105=0,"",Capacity!B105)</f>
        <v/>
      </c>
      <c r="C100" s="132"/>
      <c r="D100" s="132"/>
      <c r="E100" s="132"/>
      <c r="F100" s="215" t="str">
        <f>IF(ROW(A89)&lt;=Capacity!$A$16,Capacity!E105,"")</f>
        <v/>
      </c>
      <c r="G100" s="216" t="str">
        <f>IF(ROW(A89)&lt;=Capacity!$A$16,'Capacity calculation (hide)'!BH93,"")</f>
        <v/>
      </c>
      <c r="H100" s="215" t="str">
        <f>IF(ROW(A89)&lt;=Capacity!$A$16,Capacity!H105,"")</f>
        <v/>
      </c>
      <c r="I100" s="217" t="str">
        <f>IF(ROW(A89)&lt;=Capacity!$A$16,'Capacity calculation (hide)'!DL93,"")</f>
        <v/>
      </c>
      <c r="J100" s="218" t="str">
        <f t="shared" si="1"/>
        <v/>
      </c>
    </row>
    <row r="101" spans="2:10" x14ac:dyDescent="0.2">
      <c r="B101" s="218" t="str">
        <f>IF(Capacity!B106=0,"",Capacity!B106)</f>
        <v/>
      </c>
      <c r="C101" s="132"/>
      <c r="D101" s="132"/>
      <c r="E101" s="132"/>
      <c r="F101" s="215" t="str">
        <f>IF(ROW(A90)&lt;=Capacity!$A$16,Capacity!E106,"")</f>
        <v/>
      </c>
      <c r="G101" s="216" t="str">
        <f>IF(ROW(A90)&lt;=Capacity!$A$16,'Capacity calculation (hide)'!BH94,"")</f>
        <v/>
      </c>
      <c r="H101" s="215" t="str">
        <f>IF(ROW(A90)&lt;=Capacity!$A$16,Capacity!H106,"")</f>
        <v/>
      </c>
      <c r="I101" s="217" t="str">
        <f>IF(ROW(A90)&lt;=Capacity!$A$16,'Capacity calculation (hide)'!DL94,"")</f>
        <v/>
      </c>
      <c r="J101" s="218" t="str">
        <f t="shared" si="1"/>
        <v/>
      </c>
    </row>
    <row r="102" spans="2:10" x14ac:dyDescent="0.2">
      <c r="B102" s="218" t="str">
        <f>IF(Capacity!B107=0,"",Capacity!B107)</f>
        <v/>
      </c>
      <c r="C102" s="132"/>
      <c r="D102" s="132"/>
      <c r="E102" s="132"/>
      <c r="F102" s="215" t="str">
        <f>IF(ROW(A91)&lt;=Capacity!$A$16,Capacity!E107,"")</f>
        <v/>
      </c>
      <c r="G102" s="216" t="str">
        <f>IF(ROW(A91)&lt;=Capacity!$A$16,'Capacity calculation (hide)'!BH95,"")</f>
        <v/>
      </c>
      <c r="H102" s="215" t="str">
        <f>IF(ROW(A91)&lt;=Capacity!$A$16,Capacity!H107,"")</f>
        <v/>
      </c>
      <c r="I102" s="217" t="str">
        <f>IF(ROW(A91)&lt;=Capacity!$A$16,'Capacity calculation (hide)'!DL95,"")</f>
        <v/>
      </c>
      <c r="J102" s="218" t="str">
        <f t="shared" si="1"/>
        <v/>
      </c>
    </row>
    <row r="103" spans="2:10" x14ac:dyDescent="0.2">
      <c r="B103" s="218" t="str">
        <f>IF(Capacity!B108=0,"",Capacity!B108)</f>
        <v/>
      </c>
      <c r="C103" s="132"/>
      <c r="D103" s="132"/>
      <c r="E103" s="132"/>
      <c r="F103" s="215" t="str">
        <f>IF(ROW(A92)&lt;=Capacity!$A$16,Capacity!E108,"")</f>
        <v/>
      </c>
      <c r="G103" s="216" t="str">
        <f>IF(ROW(A92)&lt;=Capacity!$A$16,'Capacity calculation (hide)'!BH96,"")</f>
        <v/>
      </c>
      <c r="H103" s="215" t="str">
        <f>IF(ROW(A92)&lt;=Capacity!$A$16,Capacity!H108,"")</f>
        <v/>
      </c>
      <c r="I103" s="217" t="str">
        <f>IF(ROW(A92)&lt;=Capacity!$A$16,'Capacity calculation (hide)'!DL96,"")</f>
        <v/>
      </c>
      <c r="J103" s="218" t="str">
        <f t="shared" si="1"/>
        <v/>
      </c>
    </row>
    <row r="104" spans="2:10" x14ac:dyDescent="0.2">
      <c r="B104" s="218" t="str">
        <f>IF(Capacity!B109=0,"",Capacity!B109)</f>
        <v/>
      </c>
      <c r="C104" s="132"/>
      <c r="D104" s="132"/>
      <c r="E104" s="132"/>
      <c r="F104" s="215" t="str">
        <f>IF(ROW(A93)&lt;=Capacity!$A$16,Capacity!E109,"")</f>
        <v/>
      </c>
      <c r="G104" s="216" t="str">
        <f>IF(ROW(A93)&lt;=Capacity!$A$16,'Capacity calculation (hide)'!BH97,"")</f>
        <v/>
      </c>
      <c r="H104" s="215" t="str">
        <f>IF(ROW(A93)&lt;=Capacity!$A$16,Capacity!H109,"")</f>
        <v/>
      </c>
      <c r="I104" s="217" t="str">
        <f>IF(ROW(A93)&lt;=Capacity!$A$16,'Capacity calculation (hide)'!DL97,"")</f>
        <v/>
      </c>
      <c r="J104" s="218" t="str">
        <f t="shared" si="1"/>
        <v/>
      </c>
    </row>
    <row r="105" spans="2:10" x14ac:dyDescent="0.2">
      <c r="B105" s="218" t="str">
        <f>IF(Capacity!B110=0,"",Capacity!B110)</f>
        <v/>
      </c>
      <c r="C105" s="132"/>
      <c r="D105" s="132"/>
      <c r="E105" s="132"/>
      <c r="F105" s="215" t="str">
        <f>IF(ROW(A94)&lt;=Capacity!$A$16,Capacity!E110,"")</f>
        <v/>
      </c>
      <c r="G105" s="216" t="str">
        <f>IF(ROW(A94)&lt;=Capacity!$A$16,'Capacity calculation (hide)'!BH98,"")</f>
        <v/>
      </c>
      <c r="H105" s="215" t="str">
        <f>IF(ROW(A94)&lt;=Capacity!$A$16,Capacity!H110,"")</f>
        <v/>
      </c>
      <c r="I105" s="217" t="str">
        <f>IF(ROW(A94)&lt;=Capacity!$A$16,'Capacity calculation (hide)'!DL98,"")</f>
        <v/>
      </c>
      <c r="J105" s="218" t="str">
        <f t="shared" si="1"/>
        <v/>
      </c>
    </row>
    <row r="106" spans="2:10" x14ac:dyDescent="0.2">
      <c r="B106" s="218" t="str">
        <f>IF(Capacity!B111=0,"",Capacity!B111)</f>
        <v/>
      </c>
      <c r="C106" s="132"/>
      <c r="D106" s="132"/>
      <c r="E106" s="132"/>
      <c r="F106" s="215" t="str">
        <f>IF(ROW(A95)&lt;=Capacity!$A$16,Capacity!E111,"")</f>
        <v/>
      </c>
      <c r="G106" s="216" t="str">
        <f>IF(ROW(A95)&lt;=Capacity!$A$16,'Capacity calculation (hide)'!BH99,"")</f>
        <v/>
      </c>
      <c r="H106" s="215" t="str">
        <f>IF(ROW(A95)&lt;=Capacity!$A$16,Capacity!H111,"")</f>
        <v/>
      </c>
      <c r="I106" s="217" t="str">
        <f>IF(ROW(A95)&lt;=Capacity!$A$16,'Capacity calculation (hide)'!DL99,"")</f>
        <v/>
      </c>
      <c r="J106" s="218" t="str">
        <f t="shared" si="1"/>
        <v/>
      </c>
    </row>
    <row r="107" spans="2:10" x14ac:dyDescent="0.2">
      <c r="B107" s="218" t="str">
        <f>IF(Capacity!B112=0,"",Capacity!B112)</f>
        <v/>
      </c>
      <c r="C107" s="132"/>
      <c r="D107" s="132"/>
      <c r="E107" s="132"/>
      <c r="F107" s="215" t="str">
        <f>IF(ROW(A96)&lt;=Capacity!$A$16,Capacity!E112,"")</f>
        <v/>
      </c>
      <c r="G107" s="216" t="str">
        <f>IF(ROW(A96)&lt;=Capacity!$A$16,'Capacity calculation (hide)'!BH100,"")</f>
        <v/>
      </c>
      <c r="H107" s="215" t="str">
        <f>IF(ROW(A96)&lt;=Capacity!$A$16,Capacity!H112,"")</f>
        <v/>
      </c>
      <c r="I107" s="217" t="str">
        <f>IF(ROW(A96)&lt;=Capacity!$A$16,'Capacity calculation (hide)'!DL100,"")</f>
        <v/>
      </c>
      <c r="J107" s="218" t="str">
        <f t="shared" si="1"/>
        <v/>
      </c>
    </row>
    <row r="108" spans="2:10" x14ac:dyDescent="0.2">
      <c r="B108" s="218" t="str">
        <f>IF(Capacity!B113=0,"",Capacity!B113)</f>
        <v/>
      </c>
      <c r="C108" s="132"/>
      <c r="D108" s="132"/>
      <c r="E108" s="132"/>
      <c r="F108" s="215" t="str">
        <f>IF(ROW(A97)&lt;=Capacity!$A$16,Capacity!E113,"")</f>
        <v/>
      </c>
      <c r="G108" s="216" t="str">
        <f>IF(ROW(A97)&lt;=Capacity!$A$16,'Capacity calculation (hide)'!BH101,"")</f>
        <v/>
      </c>
      <c r="H108" s="215" t="str">
        <f>IF(ROW(A97)&lt;=Capacity!$A$16,Capacity!H113,"")</f>
        <v/>
      </c>
      <c r="I108" s="217" t="str">
        <f>IF(ROW(A97)&lt;=Capacity!$A$16,'Capacity calculation (hide)'!DL101,"")</f>
        <v/>
      </c>
      <c r="J108" s="218" t="str">
        <f t="shared" si="1"/>
        <v/>
      </c>
    </row>
    <row r="109" spans="2:10" x14ac:dyDescent="0.2">
      <c r="B109" s="218" t="str">
        <f>IF(Capacity!B114=0,"",Capacity!B114)</f>
        <v/>
      </c>
      <c r="C109" s="132"/>
      <c r="D109" s="132"/>
      <c r="E109" s="132"/>
      <c r="F109" s="215" t="str">
        <f>IF(ROW(A98)&lt;=Capacity!$A$16,Capacity!E114,"")</f>
        <v/>
      </c>
      <c r="G109" s="216" t="str">
        <f>IF(ROW(A98)&lt;=Capacity!$A$16,'Capacity calculation (hide)'!BH102,"")</f>
        <v/>
      </c>
      <c r="H109" s="215" t="str">
        <f>IF(ROW(A98)&lt;=Capacity!$A$16,Capacity!H114,"")</f>
        <v/>
      </c>
      <c r="I109" s="217" t="str">
        <f>IF(ROW(A98)&lt;=Capacity!$A$16,'Capacity calculation (hide)'!DL102,"")</f>
        <v/>
      </c>
      <c r="J109" s="218" t="str">
        <f t="shared" si="1"/>
        <v/>
      </c>
    </row>
    <row r="110" spans="2:10" x14ac:dyDescent="0.2">
      <c r="B110" s="218" t="str">
        <f>IF(Capacity!B115=0,"",Capacity!B115)</f>
        <v/>
      </c>
      <c r="C110" s="132"/>
      <c r="D110" s="132"/>
      <c r="E110" s="132"/>
      <c r="F110" s="215" t="str">
        <f>IF(ROW(A99)&lt;=Capacity!$A$16,Capacity!E115,"")</f>
        <v/>
      </c>
      <c r="G110" s="216" t="str">
        <f>IF(ROW(A99)&lt;=Capacity!$A$16,'Capacity calculation (hide)'!BH103,"")</f>
        <v/>
      </c>
      <c r="H110" s="215" t="str">
        <f>IF(ROW(A99)&lt;=Capacity!$A$16,Capacity!H115,"")</f>
        <v/>
      </c>
      <c r="I110" s="217" t="str">
        <f>IF(ROW(A99)&lt;=Capacity!$A$16,'Capacity calculation (hide)'!DL103,"")</f>
        <v/>
      </c>
      <c r="J110" s="218" t="str">
        <f t="shared" si="1"/>
        <v/>
      </c>
    </row>
    <row r="111" spans="2:10" x14ac:dyDescent="0.2">
      <c r="B111" s="218" t="str">
        <f>IF(Capacity!B116=0,"",Capacity!B116)</f>
        <v/>
      </c>
      <c r="C111" s="132"/>
      <c r="D111" s="132"/>
      <c r="E111" s="132"/>
      <c r="F111" s="215" t="str">
        <f>IF(ROW(A100)&lt;=Capacity!$A$16,Capacity!E116,"")</f>
        <v/>
      </c>
      <c r="G111" s="216" t="str">
        <f>IF(ROW(A100)&lt;=Capacity!$A$16,'Capacity calculation (hide)'!BH104,"")</f>
        <v/>
      </c>
      <c r="H111" s="215" t="str">
        <f>IF(ROW(A100)&lt;=Capacity!$A$16,Capacity!H116,"")</f>
        <v/>
      </c>
      <c r="I111" s="217" t="str">
        <f>IF(ROW(A100)&lt;=Capacity!$A$16,'Capacity calculation (hide)'!DL104,"")</f>
        <v/>
      </c>
      <c r="J111" s="218" t="str">
        <f t="shared" si="1"/>
        <v/>
      </c>
    </row>
    <row r="115" spans="2:10" ht="15" hidden="1" x14ac:dyDescent="0.25">
      <c r="B115" s="56" t="s">
        <v>461</v>
      </c>
    </row>
    <row r="116" spans="2:10" hidden="1" x14ac:dyDescent="0.2"/>
    <row r="117" spans="2:10" ht="42.75" hidden="1" x14ac:dyDescent="0.2">
      <c r="B117" s="120" t="s">
        <v>252</v>
      </c>
      <c r="C117" s="120" t="s">
        <v>452</v>
      </c>
      <c r="D117" s="120" t="s">
        <v>453</v>
      </c>
      <c r="E117" s="120" t="s">
        <v>454</v>
      </c>
      <c r="F117" s="121" t="s">
        <v>295</v>
      </c>
      <c r="G117" s="121" t="s">
        <v>465</v>
      </c>
      <c r="H117" s="121" t="s">
        <v>460</v>
      </c>
      <c r="I117" s="121" t="s">
        <v>464</v>
      </c>
      <c r="J117" s="121" t="s">
        <v>294</v>
      </c>
    </row>
    <row r="118" spans="2:10" hidden="1" x14ac:dyDescent="0.2">
      <c r="B118" s="218" t="str">
        <f>IF(Capacity!N17=0,"",Capacity!N17)</f>
        <v/>
      </c>
      <c r="C118" s="132" t="s">
        <v>1260</v>
      </c>
      <c r="D118" s="132"/>
      <c r="E118" s="132"/>
      <c r="F118" s="215" t="str">
        <f>IF(ROW(A1)&lt;=Capacity!$M$16,Capacity!Q17,"")</f>
        <v/>
      </c>
      <c r="G118" s="320" t="str">
        <f>IF(ROW(A1)&lt;=Capacity!$M$16,'Capacity calculation (hide)'!BH112,"")</f>
        <v/>
      </c>
      <c r="H118" s="215" t="str">
        <f>IF(ROW(A1)&lt;=Capacity!$M$16,Capacity!T17,"")</f>
        <v/>
      </c>
      <c r="I118" s="217" t="str">
        <f>IF(ROW(A1)&lt;=Capacity!$M$16,'Capacity calculation (hide)'!DL111,"")</f>
        <v/>
      </c>
      <c r="J118" s="218" t="str">
        <f>IFERROR(IF(G118-F118 &lt;0, "Under","Over"),"")</f>
        <v/>
      </c>
    </row>
    <row r="119" spans="2:10" hidden="1" x14ac:dyDescent="0.2">
      <c r="B119" s="218" t="str">
        <f>IF(Capacity!N18=0,"",Capacity!N18)</f>
        <v/>
      </c>
      <c r="C119" s="132" t="s">
        <v>1260</v>
      </c>
      <c r="D119" s="132" t="s">
        <v>1259</v>
      </c>
      <c r="E119" s="132"/>
      <c r="F119" s="215" t="str">
        <f>IF(ROW(A2)&lt;=Capacity!$M$16,Capacity!Q18,"")</f>
        <v/>
      </c>
      <c r="G119" s="320" t="str">
        <f>IF(ROW(A2)&lt;=Capacity!$M$16,'Capacity calculation (hide)'!BH113,"")</f>
        <v/>
      </c>
      <c r="H119" s="215" t="str">
        <f>IF(ROW(A2)&lt;=Capacity!$M$16,Capacity!T18,"")</f>
        <v/>
      </c>
      <c r="I119" s="217" t="str">
        <f>IF(ROW(A2)&lt;=Capacity!$M$16,'Capacity calculation (hide)'!DL112,"")</f>
        <v/>
      </c>
      <c r="J119" s="218" t="str">
        <f t="shared" ref="J119:J182" si="2">IFERROR(IF(G119-F119 &lt;0, "Under","Over"),"")</f>
        <v/>
      </c>
    </row>
    <row r="120" spans="2:10" hidden="1" x14ac:dyDescent="0.2">
      <c r="B120" s="218" t="str">
        <f>IF(Capacity!N19=0,"",Capacity!N19)</f>
        <v/>
      </c>
      <c r="C120" s="132"/>
      <c r="D120" s="132"/>
      <c r="E120" s="132"/>
      <c r="F120" s="215" t="str">
        <f>IF(ROW(A3)&lt;=Capacity!$M$16,Capacity!Q19,"")</f>
        <v/>
      </c>
      <c r="G120" s="320" t="str">
        <f>IF(ROW(A3)&lt;=Capacity!$M$16,'Capacity calculation (hide)'!BH114,"")</f>
        <v/>
      </c>
      <c r="H120" s="215" t="str">
        <f>IF(ROW(A3)&lt;=Capacity!$M$16,Capacity!T19,"")</f>
        <v/>
      </c>
      <c r="I120" s="217" t="str">
        <f>IF(ROW(A3)&lt;=Capacity!$M$16,'Capacity calculation (hide)'!DL113,"")</f>
        <v/>
      </c>
      <c r="J120" s="218" t="str">
        <f t="shared" si="2"/>
        <v/>
      </c>
    </row>
    <row r="121" spans="2:10" hidden="1" x14ac:dyDescent="0.2">
      <c r="B121" s="218" t="str">
        <f>IF(Capacity!N20=0,"",Capacity!N20)</f>
        <v/>
      </c>
      <c r="C121" s="132"/>
      <c r="D121" s="132"/>
      <c r="E121" s="132"/>
      <c r="F121" s="215" t="str">
        <f>IF(ROW(A4)&lt;=Capacity!$M$16,Capacity!Q20,"")</f>
        <v/>
      </c>
      <c r="G121" s="320" t="str">
        <f>IF(ROW(A4)&lt;=Capacity!$M$16,'Capacity calculation (hide)'!BH115,"")</f>
        <v/>
      </c>
      <c r="H121" s="215" t="str">
        <f>IF(ROW(A4)&lt;=Capacity!$M$16,Capacity!T20,"")</f>
        <v/>
      </c>
      <c r="I121" s="217" t="str">
        <f>IF(ROW(A4)&lt;=Capacity!$M$16,'Capacity calculation (hide)'!DL114,"")</f>
        <v/>
      </c>
      <c r="J121" s="218" t="str">
        <f t="shared" si="2"/>
        <v/>
      </c>
    </row>
    <row r="122" spans="2:10" hidden="1" x14ac:dyDescent="0.2">
      <c r="B122" s="218" t="str">
        <f>IF(Capacity!N21=0,"",Capacity!N21)</f>
        <v/>
      </c>
      <c r="C122" s="132"/>
      <c r="D122" s="132"/>
      <c r="E122" s="132"/>
      <c r="F122" s="215" t="str">
        <f>IF(ROW(A5)&lt;=Capacity!$M$16,Capacity!Q21,"")</f>
        <v/>
      </c>
      <c r="G122" s="320" t="str">
        <f>IF(ROW(A5)&lt;=Capacity!$M$16,'Capacity calculation (hide)'!BH116,"")</f>
        <v/>
      </c>
      <c r="H122" s="215" t="str">
        <f>IF(ROW(A5)&lt;=Capacity!$M$16,Capacity!T21,"")</f>
        <v/>
      </c>
      <c r="I122" s="217" t="str">
        <f>IF(ROW(A5)&lt;=Capacity!$M$16,'Capacity calculation (hide)'!DL115,"")</f>
        <v/>
      </c>
      <c r="J122" s="218" t="str">
        <f t="shared" si="2"/>
        <v/>
      </c>
    </row>
    <row r="123" spans="2:10" hidden="1" x14ac:dyDescent="0.2">
      <c r="B123" s="218" t="str">
        <f>IF(Capacity!N22=0,"",Capacity!N22)</f>
        <v/>
      </c>
      <c r="C123" s="132"/>
      <c r="D123" s="132"/>
      <c r="E123" s="132"/>
      <c r="F123" s="215" t="str">
        <f>IF(ROW(A6)&lt;=Capacity!$M$16,Capacity!Q22,"")</f>
        <v/>
      </c>
      <c r="G123" s="320" t="str">
        <f>IF(ROW(A6)&lt;=Capacity!$M$16,'Capacity calculation (hide)'!BH117,"")</f>
        <v/>
      </c>
      <c r="H123" s="215" t="str">
        <f>IF(ROW(A6)&lt;=Capacity!$M$16,Capacity!T22,"")</f>
        <v/>
      </c>
      <c r="I123" s="217" t="str">
        <f>IF(ROW(A6)&lt;=Capacity!$M$16,'Capacity calculation (hide)'!DL116,"")</f>
        <v/>
      </c>
      <c r="J123" s="218" t="str">
        <f t="shared" si="2"/>
        <v/>
      </c>
    </row>
    <row r="124" spans="2:10" hidden="1" x14ac:dyDescent="0.2">
      <c r="B124" s="218" t="str">
        <f>IF(Capacity!N23=0,"",Capacity!N23)</f>
        <v/>
      </c>
      <c r="C124" s="132"/>
      <c r="D124" s="132"/>
      <c r="E124" s="132"/>
      <c r="F124" s="215" t="str">
        <f>IF(ROW(A7)&lt;=Capacity!$M$16,Capacity!Q23,"")</f>
        <v/>
      </c>
      <c r="G124" s="320" t="str">
        <f>IF(ROW(A7)&lt;=Capacity!$M$16,'Capacity calculation (hide)'!BH118,"")</f>
        <v/>
      </c>
      <c r="H124" s="215" t="str">
        <f>IF(ROW(A7)&lt;=Capacity!$M$16,Capacity!T23,"")</f>
        <v/>
      </c>
      <c r="I124" s="217" t="str">
        <f>IF(ROW(A7)&lt;=Capacity!$M$16,'Capacity calculation (hide)'!DL117,"")</f>
        <v/>
      </c>
      <c r="J124" s="218" t="str">
        <f t="shared" si="2"/>
        <v/>
      </c>
    </row>
    <row r="125" spans="2:10" hidden="1" x14ac:dyDescent="0.2">
      <c r="B125" s="218" t="str">
        <f>IF(Capacity!N24=0,"",Capacity!N24)</f>
        <v/>
      </c>
      <c r="C125" s="132"/>
      <c r="D125" s="132"/>
      <c r="E125" s="132"/>
      <c r="F125" s="215" t="str">
        <f>IF(ROW(A8)&lt;=Capacity!$M$16,Capacity!Q24,"")</f>
        <v/>
      </c>
      <c r="G125" s="320" t="str">
        <f>IF(ROW(A8)&lt;=Capacity!$M$16,'Capacity calculation (hide)'!BH119,"")</f>
        <v/>
      </c>
      <c r="H125" s="215" t="str">
        <f>IF(ROW(A8)&lt;=Capacity!$M$16,Capacity!T24,"")</f>
        <v/>
      </c>
      <c r="I125" s="217" t="str">
        <f>IF(ROW(A8)&lt;=Capacity!$M$16,'Capacity calculation (hide)'!DL118,"")</f>
        <v/>
      </c>
      <c r="J125" s="218" t="str">
        <f t="shared" si="2"/>
        <v/>
      </c>
    </row>
    <row r="126" spans="2:10" hidden="1" x14ac:dyDescent="0.2">
      <c r="B126" s="218" t="str">
        <f>IF(Capacity!N25=0,"",Capacity!N25)</f>
        <v/>
      </c>
      <c r="C126" s="132"/>
      <c r="D126" s="132"/>
      <c r="E126" s="132"/>
      <c r="F126" s="215" t="str">
        <f>IF(ROW(A9)&lt;=Capacity!$M$16,Capacity!Q25,"")</f>
        <v/>
      </c>
      <c r="G126" s="320" t="str">
        <f>IF(ROW(A9)&lt;=Capacity!$M$16,'Capacity calculation (hide)'!BH120,"")</f>
        <v/>
      </c>
      <c r="H126" s="215" t="str">
        <f>IF(ROW(A9)&lt;=Capacity!$M$16,Capacity!T25,"")</f>
        <v/>
      </c>
      <c r="I126" s="217" t="str">
        <f>IF(ROW(A9)&lt;=Capacity!$M$16,'Capacity calculation (hide)'!DL119,"")</f>
        <v/>
      </c>
      <c r="J126" s="218" t="str">
        <f t="shared" si="2"/>
        <v/>
      </c>
    </row>
    <row r="127" spans="2:10" hidden="1" x14ac:dyDescent="0.2">
      <c r="B127" s="218" t="str">
        <f>IF(Capacity!N26=0,"",Capacity!N26)</f>
        <v/>
      </c>
      <c r="C127" s="132"/>
      <c r="D127" s="132"/>
      <c r="E127" s="132"/>
      <c r="F127" s="215" t="str">
        <f>IF(ROW(A10)&lt;=Capacity!$M$16,Capacity!Q26,"")</f>
        <v/>
      </c>
      <c r="G127" s="320" t="str">
        <f>IF(ROW(A10)&lt;=Capacity!$M$16,'Capacity calculation (hide)'!BH121,"")</f>
        <v/>
      </c>
      <c r="H127" s="215" t="str">
        <f>IF(ROW(A10)&lt;=Capacity!$M$16,Capacity!T26,"")</f>
        <v/>
      </c>
      <c r="I127" s="217" t="str">
        <f>IF(ROW(A10)&lt;=Capacity!$M$16,'Capacity calculation (hide)'!DL120,"")</f>
        <v/>
      </c>
      <c r="J127" s="218" t="str">
        <f t="shared" si="2"/>
        <v/>
      </c>
    </row>
    <row r="128" spans="2:10" hidden="1" x14ac:dyDescent="0.2">
      <c r="B128" s="218" t="str">
        <f>IF(Capacity!N27=0,"",Capacity!N27)</f>
        <v/>
      </c>
      <c r="C128" s="132"/>
      <c r="D128" s="132"/>
      <c r="E128" s="132"/>
      <c r="F128" s="215" t="str">
        <f>IF(ROW(A11)&lt;=Capacity!$M$16,Capacity!Q27,"")</f>
        <v/>
      </c>
      <c r="G128" s="320" t="str">
        <f>IF(ROW(A11)&lt;=Capacity!$M$16,'Capacity calculation (hide)'!BH122,"")</f>
        <v/>
      </c>
      <c r="H128" s="215" t="str">
        <f>IF(ROW(A11)&lt;=Capacity!$M$16,Capacity!T27,"")</f>
        <v/>
      </c>
      <c r="I128" s="217" t="str">
        <f>IF(ROW(A11)&lt;=Capacity!$M$16,'Capacity calculation (hide)'!DL121,"")</f>
        <v/>
      </c>
      <c r="J128" s="218" t="str">
        <f t="shared" si="2"/>
        <v/>
      </c>
    </row>
    <row r="129" spans="2:10" hidden="1" x14ac:dyDescent="0.2">
      <c r="B129" s="218" t="str">
        <f>IF(Capacity!N28=0,"",Capacity!N28)</f>
        <v/>
      </c>
      <c r="C129" s="132"/>
      <c r="D129" s="132"/>
      <c r="E129" s="132"/>
      <c r="F129" s="215" t="str">
        <f>IF(ROW(A12)&lt;=Capacity!$M$16,Capacity!Q28,"")</f>
        <v/>
      </c>
      <c r="G129" s="320" t="str">
        <f>IF(ROW(A12)&lt;=Capacity!$M$16,'Capacity calculation (hide)'!BH123,"")</f>
        <v/>
      </c>
      <c r="H129" s="215" t="str">
        <f>IF(ROW(A12)&lt;=Capacity!$M$16,Capacity!T28,"")</f>
        <v/>
      </c>
      <c r="I129" s="217" t="str">
        <f>IF(ROW(A12)&lt;=Capacity!$M$16,'Capacity calculation (hide)'!DL122,"")</f>
        <v/>
      </c>
      <c r="J129" s="218" t="str">
        <f t="shared" si="2"/>
        <v/>
      </c>
    </row>
    <row r="130" spans="2:10" hidden="1" x14ac:dyDescent="0.2">
      <c r="B130" s="218" t="str">
        <f>IF(Capacity!N29=0,"",Capacity!N29)</f>
        <v/>
      </c>
      <c r="C130" s="132"/>
      <c r="D130" s="132"/>
      <c r="E130" s="132"/>
      <c r="F130" s="215" t="str">
        <f>IF(ROW(A13)&lt;=Capacity!$M$16,Capacity!Q29,"")</f>
        <v/>
      </c>
      <c r="G130" s="320" t="str">
        <f>IF(ROW(A13)&lt;=Capacity!$M$16,'Capacity calculation (hide)'!BH124,"")</f>
        <v/>
      </c>
      <c r="H130" s="215" t="str">
        <f>IF(ROW(A13)&lt;=Capacity!$M$16,Capacity!T29,"")</f>
        <v/>
      </c>
      <c r="I130" s="217" t="str">
        <f>IF(ROW(A13)&lt;=Capacity!$M$16,'Capacity calculation (hide)'!DL123,"")</f>
        <v/>
      </c>
      <c r="J130" s="218" t="str">
        <f t="shared" si="2"/>
        <v/>
      </c>
    </row>
    <row r="131" spans="2:10" hidden="1" x14ac:dyDescent="0.2">
      <c r="B131" s="218" t="str">
        <f>IF(Capacity!N30=0,"",Capacity!N30)</f>
        <v/>
      </c>
      <c r="C131" s="132"/>
      <c r="D131" s="132"/>
      <c r="E131" s="132"/>
      <c r="F131" s="215" t="str">
        <f>IF(ROW(A14)&lt;=Capacity!$M$16,Capacity!Q30,"")</f>
        <v/>
      </c>
      <c r="G131" s="320" t="str">
        <f>IF(ROW(A14)&lt;=Capacity!$M$16,'Capacity calculation (hide)'!BH125,"")</f>
        <v/>
      </c>
      <c r="H131" s="215" t="str">
        <f>IF(ROW(A14)&lt;=Capacity!$M$16,Capacity!T30,"")</f>
        <v/>
      </c>
      <c r="I131" s="217" t="str">
        <f>IF(ROW(A14)&lt;=Capacity!$M$16,'Capacity calculation (hide)'!DL124,"")</f>
        <v/>
      </c>
      <c r="J131" s="218" t="str">
        <f t="shared" si="2"/>
        <v/>
      </c>
    </row>
    <row r="132" spans="2:10" hidden="1" x14ac:dyDescent="0.2">
      <c r="B132" s="218" t="str">
        <f>IF(Capacity!N31=0,"",Capacity!N31)</f>
        <v/>
      </c>
      <c r="C132" s="132"/>
      <c r="D132" s="132"/>
      <c r="E132" s="132"/>
      <c r="F132" s="215" t="str">
        <f>IF(ROW(A15)&lt;=Capacity!$M$16,Capacity!Q31,"")</f>
        <v/>
      </c>
      <c r="G132" s="320" t="str">
        <f>IF(ROW(A15)&lt;=Capacity!$M$16,'Capacity calculation (hide)'!BH126,"")</f>
        <v/>
      </c>
      <c r="H132" s="215" t="str">
        <f>IF(ROW(A15)&lt;=Capacity!$M$16,Capacity!T31,"")</f>
        <v/>
      </c>
      <c r="I132" s="217" t="str">
        <f>IF(ROW(A15)&lt;=Capacity!$M$16,'Capacity calculation (hide)'!DL125,"")</f>
        <v/>
      </c>
      <c r="J132" s="218" t="str">
        <f t="shared" si="2"/>
        <v/>
      </c>
    </row>
    <row r="133" spans="2:10" hidden="1" x14ac:dyDescent="0.2">
      <c r="B133" s="218" t="str">
        <f>IF(Capacity!N32=0,"",Capacity!N32)</f>
        <v/>
      </c>
      <c r="C133" s="132"/>
      <c r="D133" s="132"/>
      <c r="E133" s="132"/>
      <c r="F133" s="215" t="str">
        <f>IF(ROW(A16)&lt;=Capacity!$M$16,Capacity!Q32,"")</f>
        <v/>
      </c>
      <c r="G133" s="320" t="str">
        <f>IF(ROW(A16)&lt;=Capacity!$M$16,'Capacity calculation (hide)'!BH127,"")</f>
        <v/>
      </c>
      <c r="H133" s="215" t="str">
        <f>IF(ROW(A16)&lt;=Capacity!$M$16,Capacity!T32,"")</f>
        <v/>
      </c>
      <c r="I133" s="217" t="str">
        <f>IF(ROW(A16)&lt;=Capacity!$M$16,'Capacity calculation (hide)'!DL126,"")</f>
        <v/>
      </c>
      <c r="J133" s="218" t="str">
        <f t="shared" si="2"/>
        <v/>
      </c>
    </row>
    <row r="134" spans="2:10" hidden="1" x14ac:dyDescent="0.2">
      <c r="B134" s="218" t="str">
        <f>IF(Capacity!N33=0,"",Capacity!N33)</f>
        <v/>
      </c>
      <c r="C134" s="132"/>
      <c r="D134" s="132"/>
      <c r="E134" s="132"/>
      <c r="F134" s="215" t="str">
        <f>IF(ROW(A17)&lt;=Capacity!$M$16,Capacity!Q33,"")</f>
        <v/>
      </c>
      <c r="G134" s="320" t="str">
        <f>IF(ROW(A17)&lt;=Capacity!$M$16,'Capacity calculation (hide)'!BH128,"")</f>
        <v/>
      </c>
      <c r="H134" s="215" t="str">
        <f>IF(ROW(A17)&lt;=Capacity!$M$16,Capacity!T33,"")</f>
        <v/>
      </c>
      <c r="I134" s="217" t="str">
        <f>IF(ROW(A17)&lt;=Capacity!$M$16,'Capacity calculation (hide)'!DL127,"")</f>
        <v/>
      </c>
      <c r="J134" s="218" t="str">
        <f t="shared" si="2"/>
        <v/>
      </c>
    </row>
    <row r="135" spans="2:10" hidden="1" x14ac:dyDescent="0.2">
      <c r="B135" s="218" t="str">
        <f>IF(Capacity!N34=0,"",Capacity!N34)</f>
        <v/>
      </c>
      <c r="C135" s="132"/>
      <c r="D135" s="132"/>
      <c r="E135" s="132"/>
      <c r="F135" s="215" t="str">
        <f>IF(ROW(A18)&lt;=Capacity!$M$16,Capacity!Q34,"")</f>
        <v/>
      </c>
      <c r="G135" s="320" t="str">
        <f>IF(ROW(A18)&lt;=Capacity!$M$16,'Capacity calculation (hide)'!BH129,"")</f>
        <v/>
      </c>
      <c r="H135" s="215" t="str">
        <f>IF(ROW(A18)&lt;=Capacity!$M$16,Capacity!T34,"")</f>
        <v/>
      </c>
      <c r="I135" s="217" t="str">
        <f>IF(ROW(A18)&lt;=Capacity!$M$16,'Capacity calculation (hide)'!DL128,"")</f>
        <v/>
      </c>
      <c r="J135" s="218" t="str">
        <f t="shared" si="2"/>
        <v/>
      </c>
    </row>
    <row r="136" spans="2:10" hidden="1" x14ac:dyDescent="0.2">
      <c r="B136" s="218" t="str">
        <f>IF(Capacity!N35=0,"",Capacity!N35)</f>
        <v/>
      </c>
      <c r="C136" s="132"/>
      <c r="D136" s="132"/>
      <c r="E136" s="132"/>
      <c r="F136" s="215" t="str">
        <f>IF(ROW(A19)&lt;=Capacity!$M$16,Capacity!Q35,"")</f>
        <v/>
      </c>
      <c r="G136" s="320" t="str">
        <f>IF(ROW(A19)&lt;=Capacity!$M$16,'Capacity calculation (hide)'!BH130,"")</f>
        <v/>
      </c>
      <c r="H136" s="215" t="str">
        <f>IF(ROW(A19)&lt;=Capacity!$M$16,Capacity!T35,"")</f>
        <v/>
      </c>
      <c r="I136" s="217" t="str">
        <f>IF(ROW(A19)&lt;=Capacity!$M$16,'Capacity calculation (hide)'!DL129,"")</f>
        <v/>
      </c>
      <c r="J136" s="218" t="str">
        <f t="shared" si="2"/>
        <v/>
      </c>
    </row>
    <row r="137" spans="2:10" hidden="1" x14ac:dyDescent="0.2">
      <c r="B137" s="218" t="str">
        <f>IF(Capacity!N36=0,"",Capacity!N36)</f>
        <v/>
      </c>
      <c r="C137" s="132"/>
      <c r="D137" s="132"/>
      <c r="E137" s="132"/>
      <c r="F137" s="215" t="str">
        <f>IF(ROW(A20)&lt;=Capacity!$M$16,Capacity!Q36,"")</f>
        <v/>
      </c>
      <c r="G137" s="320" t="str">
        <f>IF(ROW(A20)&lt;=Capacity!$M$16,'Capacity calculation (hide)'!BH131,"")</f>
        <v/>
      </c>
      <c r="H137" s="215" t="str">
        <f>IF(ROW(A20)&lt;=Capacity!$M$16,Capacity!T36,"")</f>
        <v/>
      </c>
      <c r="I137" s="217" t="str">
        <f>IF(ROW(A20)&lt;=Capacity!$M$16,'Capacity calculation (hide)'!DL130,"")</f>
        <v/>
      </c>
      <c r="J137" s="218" t="str">
        <f t="shared" si="2"/>
        <v/>
      </c>
    </row>
    <row r="138" spans="2:10" hidden="1" x14ac:dyDescent="0.2">
      <c r="B138" s="218" t="str">
        <f>IF(Capacity!N37=0,"",Capacity!N37)</f>
        <v/>
      </c>
      <c r="C138" s="132"/>
      <c r="D138" s="132"/>
      <c r="E138" s="132"/>
      <c r="F138" s="215" t="str">
        <f>IF(ROW(A21)&lt;=Capacity!$M$16,Capacity!Q37,"")</f>
        <v/>
      </c>
      <c r="G138" s="320" t="str">
        <f>IF(ROW(A21)&lt;=Capacity!$M$16,'Capacity calculation (hide)'!BH132,"")</f>
        <v/>
      </c>
      <c r="H138" s="215" t="str">
        <f>IF(ROW(A21)&lt;=Capacity!$M$16,Capacity!T37,"")</f>
        <v/>
      </c>
      <c r="I138" s="217" t="str">
        <f>IF(ROW(A21)&lt;=Capacity!$M$16,'Capacity calculation (hide)'!DL131,"")</f>
        <v/>
      </c>
      <c r="J138" s="218" t="str">
        <f t="shared" si="2"/>
        <v/>
      </c>
    </row>
    <row r="139" spans="2:10" hidden="1" x14ac:dyDescent="0.2">
      <c r="B139" s="218" t="str">
        <f>IF(Capacity!N38=0,"",Capacity!N38)</f>
        <v/>
      </c>
      <c r="C139" s="132"/>
      <c r="D139" s="132"/>
      <c r="E139" s="132"/>
      <c r="F139" s="215" t="str">
        <f>IF(ROW(A22)&lt;=Capacity!$M$16,Capacity!Q38,"")</f>
        <v/>
      </c>
      <c r="G139" s="320" t="str">
        <f>IF(ROW(A22)&lt;=Capacity!$M$16,'Capacity calculation (hide)'!BH133,"")</f>
        <v/>
      </c>
      <c r="H139" s="215" t="str">
        <f>IF(ROW(A22)&lt;=Capacity!$M$16,Capacity!T38,"")</f>
        <v/>
      </c>
      <c r="I139" s="217" t="str">
        <f>IF(ROW(A22)&lt;=Capacity!$M$16,'Capacity calculation (hide)'!DL132,"")</f>
        <v/>
      </c>
      <c r="J139" s="218" t="str">
        <f t="shared" si="2"/>
        <v/>
      </c>
    </row>
    <row r="140" spans="2:10" hidden="1" x14ac:dyDescent="0.2">
      <c r="B140" s="218" t="str">
        <f>IF(Capacity!N39=0,"",Capacity!N39)</f>
        <v/>
      </c>
      <c r="C140" s="132"/>
      <c r="D140" s="132"/>
      <c r="E140" s="132"/>
      <c r="F140" s="215" t="str">
        <f>IF(ROW(A23)&lt;=Capacity!$M$16,Capacity!Q39,"")</f>
        <v/>
      </c>
      <c r="G140" s="320" t="str">
        <f>IF(ROW(A23)&lt;=Capacity!$M$16,'Capacity calculation (hide)'!BH134,"")</f>
        <v/>
      </c>
      <c r="H140" s="215" t="str">
        <f>IF(ROW(A23)&lt;=Capacity!$M$16,Capacity!T39,"")</f>
        <v/>
      </c>
      <c r="I140" s="217" t="str">
        <f>IF(ROW(A23)&lt;=Capacity!$M$16,'Capacity calculation (hide)'!DL133,"")</f>
        <v/>
      </c>
      <c r="J140" s="218" t="str">
        <f t="shared" si="2"/>
        <v/>
      </c>
    </row>
    <row r="141" spans="2:10" hidden="1" x14ac:dyDescent="0.2">
      <c r="B141" s="218" t="str">
        <f>IF(Capacity!N40=0,"",Capacity!N40)</f>
        <v/>
      </c>
      <c r="C141" s="132"/>
      <c r="D141" s="132"/>
      <c r="E141" s="132"/>
      <c r="F141" s="215" t="str">
        <f>IF(ROW(A24)&lt;=Capacity!$M$16,Capacity!Q40,"")</f>
        <v/>
      </c>
      <c r="G141" s="320" t="str">
        <f>IF(ROW(A24)&lt;=Capacity!$M$16,'Capacity calculation (hide)'!BH135,"")</f>
        <v/>
      </c>
      <c r="H141" s="215" t="str">
        <f>IF(ROW(A24)&lt;=Capacity!$M$16,Capacity!T40,"")</f>
        <v/>
      </c>
      <c r="I141" s="217" t="str">
        <f>IF(ROW(A24)&lt;=Capacity!$M$16,'Capacity calculation (hide)'!DL134,"")</f>
        <v/>
      </c>
      <c r="J141" s="218" t="str">
        <f t="shared" si="2"/>
        <v/>
      </c>
    </row>
    <row r="142" spans="2:10" hidden="1" x14ac:dyDescent="0.2">
      <c r="B142" s="218" t="str">
        <f>IF(Capacity!N41=0,"",Capacity!N41)</f>
        <v/>
      </c>
      <c r="C142" s="132"/>
      <c r="D142" s="132"/>
      <c r="E142" s="132"/>
      <c r="F142" s="215" t="str">
        <f>IF(ROW(A25)&lt;=Capacity!$M$16,Capacity!Q41,"")</f>
        <v/>
      </c>
      <c r="G142" s="320" t="str">
        <f>IF(ROW(A25)&lt;=Capacity!$M$16,'Capacity calculation (hide)'!BH136,"")</f>
        <v/>
      </c>
      <c r="H142" s="215" t="str">
        <f>IF(ROW(A25)&lt;=Capacity!$M$16,Capacity!T41,"")</f>
        <v/>
      </c>
      <c r="I142" s="217" t="str">
        <f>IF(ROW(A25)&lt;=Capacity!$M$16,'Capacity calculation (hide)'!DL135,"")</f>
        <v/>
      </c>
      <c r="J142" s="218" t="str">
        <f t="shared" si="2"/>
        <v/>
      </c>
    </row>
    <row r="143" spans="2:10" hidden="1" x14ac:dyDescent="0.2">
      <c r="B143" s="218" t="str">
        <f>IF(Capacity!N42=0,"",Capacity!N42)</f>
        <v/>
      </c>
      <c r="C143" s="132"/>
      <c r="D143" s="132"/>
      <c r="E143" s="132"/>
      <c r="F143" s="215" t="str">
        <f>IF(ROW(A26)&lt;=Capacity!$M$16,Capacity!Q42,"")</f>
        <v/>
      </c>
      <c r="G143" s="320" t="str">
        <f>IF(ROW(A26)&lt;=Capacity!$M$16,'Capacity calculation (hide)'!BH137,"")</f>
        <v/>
      </c>
      <c r="H143" s="215" t="str">
        <f>IF(ROW(A26)&lt;=Capacity!$M$16,Capacity!T42,"")</f>
        <v/>
      </c>
      <c r="I143" s="217" t="str">
        <f>IF(ROW(A26)&lt;=Capacity!$M$16,'Capacity calculation (hide)'!DL136,"")</f>
        <v/>
      </c>
      <c r="J143" s="218" t="str">
        <f t="shared" si="2"/>
        <v/>
      </c>
    </row>
    <row r="144" spans="2:10" hidden="1" x14ac:dyDescent="0.2">
      <c r="B144" s="218" t="str">
        <f>IF(Capacity!N43=0,"",Capacity!N43)</f>
        <v/>
      </c>
      <c r="C144" s="132"/>
      <c r="D144" s="132"/>
      <c r="E144" s="132"/>
      <c r="F144" s="215" t="str">
        <f>IF(ROW(A27)&lt;=Capacity!$M$16,Capacity!Q43,"")</f>
        <v/>
      </c>
      <c r="G144" s="320" t="str">
        <f>IF(ROW(A27)&lt;=Capacity!$M$16,'Capacity calculation (hide)'!BH138,"")</f>
        <v/>
      </c>
      <c r="H144" s="215" t="str">
        <f>IF(ROW(A27)&lt;=Capacity!$M$16,Capacity!T43,"")</f>
        <v/>
      </c>
      <c r="I144" s="217" t="str">
        <f>IF(ROW(A27)&lt;=Capacity!$M$16,'Capacity calculation (hide)'!DL137,"")</f>
        <v/>
      </c>
      <c r="J144" s="218" t="str">
        <f t="shared" si="2"/>
        <v/>
      </c>
    </row>
    <row r="145" spans="2:10" hidden="1" x14ac:dyDescent="0.2">
      <c r="B145" s="218" t="str">
        <f>IF(Capacity!N44=0,"",Capacity!N44)</f>
        <v/>
      </c>
      <c r="C145" s="132"/>
      <c r="D145" s="132"/>
      <c r="E145" s="132"/>
      <c r="F145" s="215" t="str">
        <f>IF(ROW(A28)&lt;=Capacity!$M$16,Capacity!Q44,"")</f>
        <v/>
      </c>
      <c r="G145" s="320" t="str">
        <f>IF(ROW(A28)&lt;=Capacity!$M$16,'Capacity calculation (hide)'!BH139,"")</f>
        <v/>
      </c>
      <c r="H145" s="215" t="str">
        <f>IF(ROW(A28)&lt;=Capacity!$M$16,Capacity!T44,"")</f>
        <v/>
      </c>
      <c r="I145" s="217" t="str">
        <f>IF(ROW(A28)&lt;=Capacity!$M$16,'Capacity calculation (hide)'!DL138,"")</f>
        <v/>
      </c>
      <c r="J145" s="218" t="str">
        <f t="shared" si="2"/>
        <v/>
      </c>
    </row>
    <row r="146" spans="2:10" hidden="1" x14ac:dyDescent="0.2">
      <c r="B146" s="218" t="str">
        <f>IF(Capacity!N45=0,"",Capacity!N45)</f>
        <v/>
      </c>
      <c r="C146" s="132"/>
      <c r="D146" s="132"/>
      <c r="E146" s="132"/>
      <c r="F146" s="215" t="str">
        <f>IF(ROW(A29)&lt;=Capacity!$M$16,Capacity!Q45,"")</f>
        <v/>
      </c>
      <c r="G146" s="320" t="str">
        <f>IF(ROW(A29)&lt;=Capacity!$M$16,'Capacity calculation (hide)'!BH140,"")</f>
        <v/>
      </c>
      <c r="H146" s="215" t="str">
        <f>IF(ROW(A29)&lt;=Capacity!$M$16,Capacity!T45,"")</f>
        <v/>
      </c>
      <c r="I146" s="217" t="str">
        <f>IF(ROW(A29)&lt;=Capacity!$M$16,'Capacity calculation (hide)'!DL139,"")</f>
        <v/>
      </c>
      <c r="J146" s="218" t="str">
        <f t="shared" si="2"/>
        <v/>
      </c>
    </row>
    <row r="147" spans="2:10" hidden="1" x14ac:dyDescent="0.2">
      <c r="B147" s="218" t="str">
        <f>IF(Capacity!N46=0,"",Capacity!N46)</f>
        <v/>
      </c>
      <c r="C147" s="132"/>
      <c r="D147" s="132"/>
      <c r="E147" s="132"/>
      <c r="F147" s="215" t="str">
        <f>IF(ROW(A30)&lt;=Capacity!$M$16,Capacity!Q46,"")</f>
        <v/>
      </c>
      <c r="G147" s="320" t="str">
        <f>IF(ROW(A30)&lt;=Capacity!$M$16,'Capacity calculation (hide)'!BH141,"")</f>
        <v/>
      </c>
      <c r="H147" s="215" t="str">
        <f>IF(ROW(A30)&lt;=Capacity!$M$16,Capacity!T46,"")</f>
        <v/>
      </c>
      <c r="I147" s="217" t="str">
        <f>IF(ROW(A30)&lt;=Capacity!$M$16,'Capacity calculation (hide)'!DL140,"")</f>
        <v/>
      </c>
      <c r="J147" s="218" t="str">
        <f t="shared" si="2"/>
        <v/>
      </c>
    </row>
    <row r="148" spans="2:10" hidden="1" x14ac:dyDescent="0.2">
      <c r="B148" s="218" t="str">
        <f>IF(Capacity!N47=0,"",Capacity!N47)</f>
        <v/>
      </c>
      <c r="C148" s="132"/>
      <c r="D148" s="132"/>
      <c r="E148" s="132"/>
      <c r="F148" s="215" t="str">
        <f>IF(ROW(A31)&lt;=Capacity!$M$16,Capacity!Q47,"")</f>
        <v/>
      </c>
      <c r="G148" s="320" t="str">
        <f>IF(ROW(A31)&lt;=Capacity!$M$16,'Capacity calculation (hide)'!BH142,"")</f>
        <v/>
      </c>
      <c r="H148" s="215" t="str">
        <f>IF(ROW(A31)&lt;=Capacity!$M$16,Capacity!T47,"")</f>
        <v/>
      </c>
      <c r="I148" s="217" t="str">
        <f>IF(ROW(A31)&lt;=Capacity!$M$16,'Capacity calculation (hide)'!DL141,"")</f>
        <v/>
      </c>
      <c r="J148" s="218" t="str">
        <f t="shared" si="2"/>
        <v/>
      </c>
    </row>
    <row r="149" spans="2:10" hidden="1" x14ac:dyDescent="0.2">
      <c r="B149" s="218" t="str">
        <f>IF(Capacity!N48=0,"",Capacity!N48)</f>
        <v/>
      </c>
      <c r="C149" s="132"/>
      <c r="D149" s="132"/>
      <c r="E149" s="132"/>
      <c r="F149" s="215" t="str">
        <f>IF(ROW(A32)&lt;=Capacity!$M$16,Capacity!Q48,"")</f>
        <v/>
      </c>
      <c r="G149" s="320" t="str">
        <f>IF(ROW(A32)&lt;=Capacity!$M$16,'Capacity calculation (hide)'!BH143,"")</f>
        <v/>
      </c>
      <c r="H149" s="215" t="str">
        <f>IF(ROW(A32)&lt;=Capacity!$M$16,Capacity!T48,"")</f>
        <v/>
      </c>
      <c r="I149" s="217" t="str">
        <f>IF(ROW(A32)&lt;=Capacity!$M$16,'Capacity calculation (hide)'!DL142,"")</f>
        <v/>
      </c>
      <c r="J149" s="218" t="str">
        <f t="shared" si="2"/>
        <v/>
      </c>
    </row>
    <row r="150" spans="2:10" hidden="1" x14ac:dyDescent="0.2">
      <c r="B150" s="218" t="str">
        <f>IF(Capacity!N49=0,"",Capacity!N49)</f>
        <v/>
      </c>
      <c r="C150" s="132"/>
      <c r="D150" s="132"/>
      <c r="E150" s="132"/>
      <c r="F150" s="215" t="str">
        <f>IF(ROW(A33)&lt;=Capacity!$M$16,Capacity!Q49,"")</f>
        <v/>
      </c>
      <c r="G150" s="320" t="str">
        <f>IF(ROW(A33)&lt;=Capacity!$M$16,'Capacity calculation (hide)'!BH144,"")</f>
        <v/>
      </c>
      <c r="H150" s="215" t="str">
        <f>IF(ROW(A33)&lt;=Capacity!$M$16,Capacity!T49,"")</f>
        <v/>
      </c>
      <c r="I150" s="217" t="str">
        <f>IF(ROW(A33)&lt;=Capacity!$M$16,'Capacity calculation (hide)'!DL143,"")</f>
        <v/>
      </c>
      <c r="J150" s="218" t="str">
        <f t="shared" si="2"/>
        <v/>
      </c>
    </row>
    <row r="151" spans="2:10" hidden="1" x14ac:dyDescent="0.2">
      <c r="B151" s="218" t="str">
        <f>IF(Capacity!N50=0,"",Capacity!N50)</f>
        <v/>
      </c>
      <c r="C151" s="132"/>
      <c r="D151" s="132"/>
      <c r="E151" s="132"/>
      <c r="F151" s="215" t="str">
        <f>IF(ROW(A34)&lt;=Capacity!$M$16,Capacity!Q50,"")</f>
        <v/>
      </c>
      <c r="G151" s="320" t="str">
        <f>IF(ROW(A34)&lt;=Capacity!$M$16,'Capacity calculation (hide)'!BH145,"")</f>
        <v/>
      </c>
      <c r="H151" s="215" t="str">
        <f>IF(ROW(A34)&lt;=Capacity!$M$16,Capacity!T50,"")</f>
        <v/>
      </c>
      <c r="I151" s="217" t="str">
        <f>IF(ROW(A34)&lt;=Capacity!$M$16,'Capacity calculation (hide)'!DL144,"")</f>
        <v/>
      </c>
      <c r="J151" s="218" t="str">
        <f t="shared" si="2"/>
        <v/>
      </c>
    </row>
    <row r="152" spans="2:10" hidden="1" x14ac:dyDescent="0.2">
      <c r="B152" s="218" t="str">
        <f>IF(Capacity!N51=0,"",Capacity!N51)</f>
        <v/>
      </c>
      <c r="C152" s="132"/>
      <c r="D152" s="132"/>
      <c r="E152" s="132"/>
      <c r="F152" s="215" t="str">
        <f>IF(ROW(A35)&lt;=Capacity!$M$16,Capacity!Q51,"")</f>
        <v/>
      </c>
      <c r="G152" s="320" t="str">
        <f>IF(ROW(A35)&lt;=Capacity!$M$16,'Capacity calculation (hide)'!BH146,"")</f>
        <v/>
      </c>
      <c r="H152" s="215" t="str">
        <f>IF(ROW(A35)&lt;=Capacity!$M$16,Capacity!T51,"")</f>
        <v/>
      </c>
      <c r="I152" s="217" t="str">
        <f>IF(ROW(A35)&lt;=Capacity!$M$16,'Capacity calculation (hide)'!DL145,"")</f>
        <v/>
      </c>
      <c r="J152" s="218" t="str">
        <f t="shared" si="2"/>
        <v/>
      </c>
    </row>
    <row r="153" spans="2:10" hidden="1" x14ac:dyDescent="0.2">
      <c r="B153" s="218" t="str">
        <f>IF(Capacity!N52=0,"",Capacity!N52)</f>
        <v/>
      </c>
      <c r="C153" s="132"/>
      <c r="D153" s="132"/>
      <c r="E153" s="132"/>
      <c r="F153" s="215" t="str">
        <f>IF(ROW(A36)&lt;=Capacity!$M$16,Capacity!Q52,"")</f>
        <v/>
      </c>
      <c r="G153" s="320" t="str">
        <f>IF(ROW(A36)&lt;=Capacity!$M$16,'Capacity calculation (hide)'!BH147,"")</f>
        <v/>
      </c>
      <c r="H153" s="215" t="str">
        <f>IF(ROW(A36)&lt;=Capacity!$M$16,Capacity!T52,"")</f>
        <v/>
      </c>
      <c r="I153" s="217" t="str">
        <f>IF(ROW(A36)&lt;=Capacity!$M$16,'Capacity calculation (hide)'!DL146,"")</f>
        <v/>
      </c>
      <c r="J153" s="218" t="str">
        <f t="shared" si="2"/>
        <v/>
      </c>
    </row>
    <row r="154" spans="2:10" hidden="1" x14ac:dyDescent="0.2">
      <c r="B154" s="218" t="str">
        <f>IF(Capacity!N53=0,"",Capacity!N53)</f>
        <v/>
      </c>
      <c r="C154" s="132"/>
      <c r="D154" s="132"/>
      <c r="E154" s="132"/>
      <c r="F154" s="215" t="str">
        <f>IF(ROW(A37)&lt;=Capacity!$M$16,Capacity!Q53,"")</f>
        <v/>
      </c>
      <c r="G154" s="320" t="str">
        <f>IF(ROW(A37)&lt;=Capacity!$M$16,'Capacity calculation (hide)'!BH148,"")</f>
        <v/>
      </c>
      <c r="H154" s="215" t="str">
        <f>IF(ROW(A37)&lt;=Capacity!$M$16,Capacity!T53,"")</f>
        <v/>
      </c>
      <c r="I154" s="217" t="str">
        <f>IF(ROW(A37)&lt;=Capacity!$M$16,'Capacity calculation (hide)'!DL147,"")</f>
        <v/>
      </c>
      <c r="J154" s="218" t="str">
        <f t="shared" si="2"/>
        <v/>
      </c>
    </row>
    <row r="155" spans="2:10" hidden="1" x14ac:dyDescent="0.2">
      <c r="B155" s="218" t="str">
        <f>IF(Capacity!N54=0,"",Capacity!N54)</f>
        <v/>
      </c>
      <c r="C155" s="132"/>
      <c r="D155" s="132"/>
      <c r="E155" s="132"/>
      <c r="F155" s="215" t="str">
        <f>IF(ROW(A38)&lt;=Capacity!$M$16,Capacity!Q54,"")</f>
        <v/>
      </c>
      <c r="G155" s="320" t="str">
        <f>IF(ROW(A38)&lt;=Capacity!$M$16,'Capacity calculation (hide)'!BH149,"")</f>
        <v/>
      </c>
      <c r="H155" s="215" t="str">
        <f>IF(ROW(A38)&lt;=Capacity!$M$16,Capacity!T54,"")</f>
        <v/>
      </c>
      <c r="I155" s="217" t="str">
        <f>IF(ROW(A38)&lt;=Capacity!$M$16,'Capacity calculation (hide)'!DL148,"")</f>
        <v/>
      </c>
      <c r="J155" s="218" t="str">
        <f t="shared" si="2"/>
        <v/>
      </c>
    </row>
    <row r="156" spans="2:10" hidden="1" x14ac:dyDescent="0.2">
      <c r="B156" s="218" t="str">
        <f>IF(Capacity!N55=0,"",Capacity!N55)</f>
        <v/>
      </c>
      <c r="C156" s="132"/>
      <c r="D156" s="132"/>
      <c r="E156" s="132"/>
      <c r="F156" s="215" t="str">
        <f>IF(ROW(A39)&lt;=Capacity!$M$16,Capacity!Q55,"")</f>
        <v/>
      </c>
      <c r="G156" s="320" t="str">
        <f>IF(ROW(A39)&lt;=Capacity!$M$16,'Capacity calculation (hide)'!BH150,"")</f>
        <v/>
      </c>
      <c r="H156" s="215" t="str">
        <f>IF(ROW(A39)&lt;=Capacity!$M$16,Capacity!T55,"")</f>
        <v/>
      </c>
      <c r="I156" s="217" t="str">
        <f>IF(ROW(A39)&lt;=Capacity!$M$16,'Capacity calculation (hide)'!DL149,"")</f>
        <v/>
      </c>
      <c r="J156" s="218" t="str">
        <f t="shared" si="2"/>
        <v/>
      </c>
    </row>
    <row r="157" spans="2:10" hidden="1" x14ac:dyDescent="0.2">
      <c r="B157" s="218" t="str">
        <f>IF(Capacity!N56=0,"",Capacity!N56)</f>
        <v/>
      </c>
      <c r="C157" s="132"/>
      <c r="D157" s="132"/>
      <c r="E157" s="132"/>
      <c r="F157" s="215" t="str">
        <f>IF(ROW(A40)&lt;=Capacity!$M$16,Capacity!Q56,"")</f>
        <v/>
      </c>
      <c r="G157" s="320" t="str">
        <f>IF(ROW(A40)&lt;=Capacity!$M$16,'Capacity calculation (hide)'!BH151,"")</f>
        <v/>
      </c>
      <c r="H157" s="215" t="str">
        <f>IF(ROW(A40)&lt;=Capacity!$M$16,Capacity!T56,"")</f>
        <v/>
      </c>
      <c r="I157" s="217" t="str">
        <f>IF(ROW(A40)&lt;=Capacity!$M$16,'Capacity calculation (hide)'!DL150,"")</f>
        <v/>
      </c>
      <c r="J157" s="218" t="str">
        <f t="shared" si="2"/>
        <v/>
      </c>
    </row>
    <row r="158" spans="2:10" hidden="1" x14ac:dyDescent="0.2">
      <c r="B158" s="218" t="str">
        <f>IF(Capacity!N57=0,"",Capacity!N57)</f>
        <v/>
      </c>
      <c r="C158" s="132"/>
      <c r="D158" s="132"/>
      <c r="E158" s="132"/>
      <c r="F158" s="215" t="str">
        <f>IF(ROW(A41)&lt;=Capacity!$M$16,Capacity!Q57,"")</f>
        <v/>
      </c>
      <c r="G158" s="320" t="str">
        <f>IF(ROW(A41)&lt;=Capacity!$M$16,'Capacity calculation (hide)'!BH152,"")</f>
        <v/>
      </c>
      <c r="H158" s="215" t="str">
        <f>IF(ROW(A41)&lt;=Capacity!$M$16,Capacity!T57,"")</f>
        <v/>
      </c>
      <c r="I158" s="217" t="str">
        <f>IF(ROW(A41)&lt;=Capacity!$M$16,'Capacity calculation (hide)'!DL151,"")</f>
        <v/>
      </c>
      <c r="J158" s="218" t="str">
        <f t="shared" si="2"/>
        <v/>
      </c>
    </row>
    <row r="159" spans="2:10" hidden="1" x14ac:dyDescent="0.2">
      <c r="B159" s="218" t="str">
        <f>IF(Capacity!N58=0,"",Capacity!N58)</f>
        <v/>
      </c>
      <c r="C159" s="132"/>
      <c r="D159" s="132"/>
      <c r="E159" s="132"/>
      <c r="F159" s="215" t="str">
        <f>IF(ROW(A42)&lt;=Capacity!$M$16,Capacity!Q58,"")</f>
        <v/>
      </c>
      <c r="G159" s="320" t="str">
        <f>IF(ROW(A42)&lt;=Capacity!$M$16,'Capacity calculation (hide)'!BH153,"")</f>
        <v/>
      </c>
      <c r="H159" s="215" t="str">
        <f>IF(ROW(A42)&lt;=Capacity!$M$16,Capacity!T58,"")</f>
        <v/>
      </c>
      <c r="I159" s="217" t="str">
        <f>IF(ROW(A42)&lt;=Capacity!$M$16,'Capacity calculation (hide)'!DL152,"")</f>
        <v/>
      </c>
      <c r="J159" s="218" t="str">
        <f t="shared" si="2"/>
        <v/>
      </c>
    </row>
    <row r="160" spans="2:10" hidden="1" x14ac:dyDescent="0.2">
      <c r="B160" s="218" t="str">
        <f>IF(Capacity!N59=0,"",Capacity!N59)</f>
        <v/>
      </c>
      <c r="C160" s="132"/>
      <c r="D160" s="132"/>
      <c r="E160" s="132"/>
      <c r="F160" s="215" t="str">
        <f>IF(ROW(A43)&lt;=Capacity!$M$16,Capacity!Q59,"")</f>
        <v/>
      </c>
      <c r="G160" s="320" t="str">
        <f>IF(ROW(A43)&lt;=Capacity!$M$16,'Capacity calculation (hide)'!BH154,"")</f>
        <v/>
      </c>
      <c r="H160" s="215" t="str">
        <f>IF(ROW(A43)&lt;=Capacity!$M$16,Capacity!T59,"")</f>
        <v/>
      </c>
      <c r="I160" s="217" t="str">
        <f>IF(ROW(A43)&lt;=Capacity!$M$16,'Capacity calculation (hide)'!DL153,"")</f>
        <v/>
      </c>
      <c r="J160" s="218" t="str">
        <f t="shared" si="2"/>
        <v/>
      </c>
    </row>
    <row r="161" spans="2:10" hidden="1" x14ac:dyDescent="0.2">
      <c r="B161" s="218" t="str">
        <f>IF(Capacity!N60=0,"",Capacity!N60)</f>
        <v/>
      </c>
      <c r="C161" s="132"/>
      <c r="D161" s="132"/>
      <c r="E161" s="132"/>
      <c r="F161" s="215" t="str">
        <f>IF(ROW(A44)&lt;=Capacity!$M$16,Capacity!Q60,"")</f>
        <v/>
      </c>
      <c r="G161" s="320" t="str">
        <f>IF(ROW(A44)&lt;=Capacity!$M$16,'Capacity calculation (hide)'!BH155,"")</f>
        <v/>
      </c>
      <c r="H161" s="215" t="str">
        <f>IF(ROW(A44)&lt;=Capacity!$M$16,Capacity!T60,"")</f>
        <v/>
      </c>
      <c r="I161" s="217" t="str">
        <f>IF(ROW(A44)&lt;=Capacity!$M$16,'Capacity calculation (hide)'!DL154,"")</f>
        <v/>
      </c>
      <c r="J161" s="218" t="str">
        <f t="shared" si="2"/>
        <v/>
      </c>
    </row>
    <row r="162" spans="2:10" hidden="1" x14ac:dyDescent="0.2">
      <c r="B162" s="218" t="str">
        <f>IF(Capacity!N61=0,"",Capacity!N61)</f>
        <v/>
      </c>
      <c r="C162" s="132"/>
      <c r="D162" s="132"/>
      <c r="E162" s="132"/>
      <c r="F162" s="215" t="str">
        <f>IF(ROW(A45)&lt;=Capacity!$M$16,Capacity!Q61,"")</f>
        <v/>
      </c>
      <c r="G162" s="320" t="str">
        <f>IF(ROW(A45)&lt;=Capacity!$M$16,'Capacity calculation (hide)'!BH156,"")</f>
        <v/>
      </c>
      <c r="H162" s="215" t="str">
        <f>IF(ROW(A45)&lt;=Capacity!$M$16,Capacity!T61,"")</f>
        <v/>
      </c>
      <c r="I162" s="217" t="str">
        <f>IF(ROW(A45)&lt;=Capacity!$M$16,'Capacity calculation (hide)'!DL155,"")</f>
        <v/>
      </c>
      <c r="J162" s="218" t="str">
        <f t="shared" si="2"/>
        <v/>
      </c>
    </row>
    <row r="163" spans="2:10" hidden="1" x14ac:dyDescent="0.2">
      <c r="B163" s="218" t="str">
        <f>IF(Capacity!N62=0,"",Capacity!N62)</f>
        <v/>
      </c>
      <c r="C163" s="132"/>
      <c r="D163" s="132"/>
      <c r="E163" s="132"/>
      <c r="F163" s="215" t="str">
        <f>IF(ROW(A46)&lt;=Capacity!$M$16,Capacity!Q62,"")</f>
        <v/>
      </c>
      <c r="G163" s="320" t="str">
        <f>IF(ROW(A46)&lt;=Capacity!$M$16,'Capacity calculation (hide)'!BH157,"")</f>
        <v/>
      </c>
      <c r="H163" s="215" t="str">
        <f>IF(ROW(A46)&lt;=Capacity!$M$16,Capacity!T62,"")</f>
        <v/>
      </c>
      <c r="I163" s="217" t="str">
        <f>IF(ROW(A46)&lt;=Capacity!$M$16,'Capacity calculation (hide)'!DL156,"")</f>
        <v/>
      </c>
      <c r="J163" s="218" t="str">
        <f t="shared" si="2"/>
        <v/>
      </c>
    </row>
    <row r="164" spans="2:10" hidden="1" x14ac:dyDescent="0.2">
      <c r="B164" s="218" t="str">
        <f>IF(Capacity!N63=0,"",Capacity!N63)</f>
        <v/>
      </c>
      <c r="C164" s="132"/>
      <c r="D164" s="132"/>
      <c r="E164" s="132"/>
      <c r="F164" s="215" t="str">
        <f>IF(ROW(A47)&lt;=Capacity!$M$16,Capacity!Q63,"")</f>
        <v/>
      </c>
      <c r="G164" s="320" t="str">
        <f>IF(ROW(A47)&lt;=Capacity!$M$16,'Capacity calculation (hide)'!BH158,"")</f>
        <v/>
      </c>
      <c r="H164" s="215" t="str">
        <f>IF(ROW(A47)&lt;=Capacity!$M$16,Capacity!T63,"")</f>
        <v/>
      </c>
      <c r="I164" s="217" t="str">
        <f>IF(ROW(A47)&lt;=Capacity!$M$16,'Capacity calculation (hide)'!DL157,"")</f>
        <v/>
      </c>
      <c r="J164" s="218" t="str">
        <f t="shared" si="2"/>
        <v/>
      </c>
    </row>
    <row r="165" spans="2:10" hidden="1" x14ac:dyDescent="0.2">
      <c r="B165" s="218" t="str">
        <f>IF(Capacity!N64=0,"",Capacity!N64)</f>
        <v/>
      </c>
      <c r="C165" s="132"/>
      <c r="D165" s="132"/>
      <c r="E165" s="132"/>
      <c r="F165" s="215" t="str">
        <f>IF(ROW(A48)&lt;=Capacity!$M$16,Capacity!Q64,"")</f>
        <v/>
      </c>
      <c r="G165" s="320" t="str">
        <f>IF(ROW(A48)&lt;=Capacity!$M$16,'Capacity calculation (hide)'!BH159,"")</f>
        <v/>
      </c>
      <c r="H165" s="215" t="str">
        <f>IF(ROW(A48)&lt;=Capacity!$M$16,Capacity!T64,"")</f>
        <v/>
      </c>
      <c r="I165" s="217" t="str">
        <f>IF(ROW(A48)&lt;=Capacity!$M$16,'Capacity calculation (hide)'!DL158,"")</f>
        <v/>
      </c>
      <c r="J165" s="218" t="str">
        <f t="shared" si="2"/>
        <v/>
      </c>
    </row>
    <row r="166" spans="2:10" hidden="1" x14ac:dyDescent="0.2">
      <c r="B166" s="218" t="str">
        <f>IF(Capacity!N65=0,"",Capacity!N65)</f>
        <v/>
      </c>
      <c r="C166" s="132"/>
      <c r="D166" s="132"/>
      <c r="E166" s="132"/>
      <c r="F166" s="215" t="str">
        <f>IF(ROW(A49)&lt;=Capacity!$M$16,Capacity!Q65,"")</f>
        <v/>
      </c>
      <c r="G166" s="320" t="str">
        <f>IF(ROW(A49)&lt;=Capacity!$M$16,'Capacity calculation (hide)'!BH160,"")</f>
        <v/>
      </c>
      <c r="H166" s="215" t="str">
        <f>IF(ROW(A49)&lt;=Capacity!$M$16,Capacity!T65,"")</f>
        <v/>
      </c>
      <c r="I166" s="217" t="str">
        <f>IF(ROW(A49)&lt;=Capacity!$M$16,'Capacity calculation (hide)'!DL159,"")</f>
        <v/>
      </c>
      <c r="J166" s="218" t="str">
        <f t="shared" si="2"/>
        <v/>
      </c>
    </row>
    <row r="167" spans="2:10" hidden="1" x14ac:dyDescent="0.2">
      <c r="B167" s="218" t="str">
        <f>IF(Capacity!N66=0,"",Capacity!N66)</f>
        <v/>
      </c>
      <c r="C167" s="132"/>
      <c r="D167" s="132"/>
      <c r="E167" s="132"/>
      <c r="F167" s="215" t="str">
        <f>IF(ROW(A50)&lt;=Capacity!$M$16,Capacity!Q66,"")</f>
        <v/>
      </c>
      <c r="G167" s="320" t="str">
        <f>IF(ROW(A50)&lt;=Capacity!$M$16,'Capacity calculation (hide)'!BH161,"")</f>
        <v/>
      </c>
      <c r="H167" s="215" t="str">
        <f>IF(ROW(A50)&lt;=Capacity!$M$16,Capacity!T66,"")</f>
        <v/>
      </c>
      <c r="I167" s="217" t="str">
        <f>IF(ROW(A50)&lt;=Capacity!$M$16,'Capacity calculation (hide)'!DL160,"")</f>
        <v/>
      </c>
      <c r="J167" s="218" t="str">
        <f t="shared" si="2"/>
        <v/>
      </c>
    </row>
    <row r="168" spans="2:10" hidden="1" x14ac:dyDescent="0.2">
      <c r="B168" s="218" t="str">
        <f>IF(Capacity!N67=0,"",Capacity!N67)</f>
        <v/>
      </c>
      <c r="C168" s="132"/>
      <c r="D168" s="132"/>
      <c r="E168" s="132"/>
      <c r="F168" s="215" t="str">
        <f>IF(ROW(A51)&lt;=Capacity!$M$16,Capacity!Q67,"")</f>
        <v/>
      </c>
      <c r="G168" s="320" t="str">
        <f>IF(ROW(A51)&lt;=Capacity!$M$16,'Capacity calculation (hide)'!BH162,"")</f>
        <v/>
      </c>
      <c r="H168" s="215" t="str">
        <f>IF(ROW(A51)&lt;=Capacity!$M$16,Capacity!T67,"")</f>
        <v/>
      </c>
      <c r="I168" s="217" t="str">
        <f>IF(ROW(A51)&lt;=Capacity!$M$16,'Capacity calculation (hide)'!DL161,"")</f>
        <v/>
      </c>
      <c r="J168" s="218" t="str">
        <f t="shared" si="2"/>
        <v/>
      </c>
    </row>
    <row r="169" spans="2:10" hidden="1" x14ac:dyDescent="0.2">
      <c r="B169" s="218" t="str">
        <f>IF(Capacity!N68=0,"",Capacity!N68)</f>
        <v/>
      </c>
      <c r="C169" s="132"/>
      <c r="D169" s="132"/>
      <c r="E169" s="132"/>
      <c r="F169" s="215" t="str">
        <f>IF(ROW(A52)&lt;=Capacity!$M$16,Capacity!Q68,"")</f>
        <v/>
      </c>
      <c r="G169" s="320" t="str">
        <f>IF(ROW(A52)&lt;=Capacity!$M$16,'Capacity calculation (hide)'!BH163,"")</f>
        <v/>
      </c>
      <c r="H169" s="215" t="str">
        <f>IF(ROW(A52)&lt;=Capacity!$M$16,Capacity!T68,"")</f>
        <v/>
      </c>
      <c r="I169" s="217" t="str">
        <f>IF(ROW(A52)&lt;=Capacity!$M$16,'Capacity calculation (hide)'!DL162,"")</f>
        <v/>
      </c>
      <c r="J169" s="218" t="str">
        <f t="shared" si="2"/>
        <v/>
      </c>
    </row>
    <row r="170" spans="2:10" hidden="1" x14ac:dyDescent="0.2">
      <c r="B170" s="218" t="str">
        <f>IF(Capacity!N69=0,"",Capacity!N69)</f>
        <v/>
      </c>
      <c r="C170" s="132"/>
      <c r="D170" s="132"/>
      <c r="E170" s="132"/>
      <c r="F170" s="215" t="str">
        <f>IF(ROW(A53)&lt;=Capacity!$M$16,Capacity!Q69,"")</f>
        <v/>
      </c>
      <c r="G170" s="320" t="str">
        <f>IF(ROW(A53)&lt;=Capacity!$M$16,'Capacity calculation (hide)'!BH164,"")</f>
        <v/>
      </c>
      <c r="H170" s="215" t="str">
        <f>IF(ROW(A53)&lt;=Capacity!$M$16,Capacity!T69,"")</f>
        <v/>
      </c>
      <c r="I170" s="217" t="str">
        <f>IF(ROW(A53)&lt;=Capacity!$M$16,'Capacity calculation (hide)'!DL163,"")</f>
        <v/>
      </c>
      <c r="J170" s="218" t="str">
        <f t="shared" si="2"/>
        <v/>
      </c>
    </row>
    <row r="171" spans="2:10" hidden="1" x14ac:dyDescent="0.2">
      <c r="B171" s="218" t="str">
        <f>IF(Capacity!N70=0,"",Capacity!N70)</f>
        <v/>
      </c>
      <c r="C171" s="132"/>
      <c r="D171" s="132"/>
      <c r="E171" s="132"/>
      <c r="F171" s="215" t="str">
        <f>IF(ROW(A54)&lt;=Capacity!$M$16,Capacity!Q70,"")</f>
        <v/>
      </c>
      <c r="G171" s="320" t="str">
        <f>IF(ROW(A54)&lt;=Capacity!$M$16,'Capacity calculation (hide)'!BH165,"")</f>
        <v/>
      </c>
      <c r="H171" s="215" t="str">
        <f>IF(ROW(A54)&lt;=Capacity!$M$16,Capacity!T70,"")</f>
        <v/>
      </c>
      <c r="I171" s="217" t="str">
        <f>IF(ROW(A54)&lt;=Capacity!$M$16,'Capacity calculation (hide)'!DL164,"")</f>
        <v/>
      </c>
      <c r="J171" s="218" t="str">
        <f t="shared" si="2"/>
        <v/>
      </c>
    </row>
    <row r="172" spans="2:10" hidden="1" x14ac:dyDescent="0.2">
      <c r="B172" s="218" t="str">
        <f>IF(Capacity!N71=0,"",Capacity!N71)</f>
        <v/>
      </c>
      <c r="C172" s="132"/>
      <c r="D172" s="132"/>
      <c r="E172" s="132"/>
      <c r="F172" s="215" t="str">
        <f>IF(ROW(A55)&lt;=Capacity!$M$16,Capacity!Q71,"")</f>
        <v/>
      </c>
      <c r="G172" s="320" t="str">
        <f>IF(ROW(A55)&lt;=Capacity!$M$16,'Capacity calculation (hide)'!BH166,"")</f>
        <v/>
      </c>
      <c r="H172" s="215" t="str">
        <f>IF(ROW(A55)&lt;=Capacity!$M$16,Capacity!T71,"")</f>
        <v/>
      </c>
      <c r="I172" s="217" t="str">
        <f>IF(ROW(A55)&lt;=Capacity!$M$16,'Capacity calculation (hide)'!DL165,"")</f>
        <v/>
      </c>
      <c r="J172" s="218" t="str">
        <f t="shared" si="2"/>
        <v/>
      </c>
    </row>
    <row r="173" spans="2:10" hidden="1" x14ac:dyDescent="0.2">
      <c r="B173" s="218" t="str">
        <f>IF(Capacity!N72=0,"",Capacity!N72)</f>
        <v/>
      </c>
      <c r="C173" s="132"/>
      <c r="D173" s="132"/>
      <c r="E173" s="132"/>
      <c r="F173" s="215" t="str">
        <f>IF(ROW(A56)&lt;=Capacity!$M$16,Capacity!Q72,"")</f>
        <v/>
      </c>
      <c r="G173" s="320" t="str">
        <f>IF(ROW(A56)&lt;=Capacity!$M$16,'Capacity calculation (hide)'!BH167,"")</f>
        <v/>
      </c>
      <c r="H173" s="215" t="str">
        <f>IF(ROW(A56)&lt;=Capacity!$M$16,Capacity!T72,"")</f>
        <v/>
      </c>
      <c r="I173" s="217" t="str">
        <f>IF(ROW(A56)&lt;=Capacity!$M$16,'Capacity calculation (hide)'!DL166,"")</f>
        <v/>
      </c>
      <c r="J173" s="218" t="str">
        <f t="shared" si="2"/>
        <v/>
      </c>
    </row>
    <row r="174" spans="2:10" hidden="1" x14ac:dyDescent="0.2">
      <c r="B174" s="218" t="str">
        <f>IF(Capacity!N73=0,"",Capacity!N73)</f>
        <v/>
      </c>
      <c r="C174" s="132"/>
      <c r="D174" s="132"/>
      <c r="E174" s="132"/>
      <c r="F174" s="215" t="str">
        <f>IF(ROW(A57)&lt;=Capacity!$M$16,Capacity!Q73,"")</f>
        <v/>
      </c>
      <c r="G174" s="320" t="str">
        <f>IF(ROW(A57)&lt;=Capacity!$M$16,'Capacity calculation (hide)'!BH168,"")</f>
        <v/>
      </c>
      <c r="H174" s="215" t="str">
        <f>IF(ROW(A57)&lt;=Capacity!$M$16,Capacity!T73,"")</f>
        <v/>
      </c>
      <c r="I174" s="217" t="str">
        <f>IF(ROW(A57)&lt;=Capacity!$M$16,'Capacity calculation (hide)'!DL167,"")</f>
        <v/>
      </c>
      <c r="J174" s="218" t="str">
        <f t="shared" si="2"/>
        <v/>
      </c>
    </row>
    <row r="175" spans="2:10" hidden="1" x14ac:dyDescent="0.2">
      <c r="B175" s="218" t="str">
        <f>IF(Capacity!N74=0,"",Capacity!N74)</f>
        <v/>
      </c>
      <c r="C175" s="132"/>
      <c r="D175" s="132"/>
      <c r="E175" s="132"/>
      <c r="F175" s="215" t="str">
        <f>IF(ROW(A58)&lt;=Capacity!$M$16,Capacity!Q74,"")</f>
        <v/>
      </c>
      <c r="G175" s="320" t="str">
        <f>IF(ROW(A58)&lt;=Capacity!$M$16,'Capacity calculation (hide)'!BH169,"")</f>
        <v/>
      </c>
      <c r="H175" s="215" t="str">
        <f>IF(ROW(A58)&lt;=Capacity!$M$16,Capacity!T74,"")</f>
        <v/>
      </c>
      <c r="I175" s="217" t="str">
        <f>IF(ROW(A58)&lt;=Capacity!$M$16,'Capacity calculation (hide)'!DL168,"")</f>
        <v/>
      </c>
      <c r="J175" s="218" t="str">
        <f t="shared" si="2"/>
        <v/>
      </c>
    </row>
    <row r="176" spans="2:10" hidden="1" x14ac:dyDescent="0.2">
      <c r="B176" s="218" t="str">
        <f>IF(Capacity!N75=0,"",Capacity!N75)</f>
        <v/>
      </c>
      <c r="C176" s="132"/>
      <c r="D176" s="132"/>
      <c r="E176" s="132"/>
      <c r="F176" s="215" t="str">
        <f>IF(ROW(A59)&lt;=Capacity!$M$16,Capacity!Q75,"")</f>
        <v/>
      </c>
      <c r="G176" s="320" t="str">
        <f>IF(ROW(A59)&lt;=Capacity!$M$16,'Capacity calculation (hide)'!BH170,"")</f>
        <v/>
      </c>
      <c r="H176" s="215" t="str">
        <f>IF(ROW(A59)&lt;=Capacity!$M$16,Capacity!T75,"")</f>
        <v/>
      </c>
      <c r="I176" s="217" t="str">
        <f>IF(ROW(A59)&lt;=Capacity!$M$16,'Capacity calculation (hide)'!DL169,"")</f>
        <v/>
      </c>
      <c r="J176" s="218" t="str">
        <f t="shared" si="2"/>
        <v/>
      </c>
    </row>
    <row r="177" spans="2:10" hidden="1" x14ac:dyDescent="0.2">
      <c r="B177" s="218" t="str">
        <f>IF(Capacity!N76=0,"",Capacity!N76)</f>
        <v/>
      </c>
      <c r="C177" s="132"/>
      <c r="D177" s="132"/>
      <c r="E177" s="132"/>
      <c r="F177" s="215" t="str">
        <f>IF(ROW(A60)&lt;=Capacity!$M$16,Capacity!Q76,"")</f>
        <v/>
      </c>
      <c r="G177" s="320" t="str">
        <f>IF(ROW(A60)&lt;=Capacity!$M$16,'Capacity calculation (hide)'!BH171,"")</f>
        <v/>
      </c>
      <c r="H177" s="215" t="str">
        <f>IF(ROW(A60)&lt;=Capacity!$M$16,Capacity!T76,"")</f>
        <v/>
      </c>
      <c r="I177" s="217" t="str">
        <f>IF(ROW(A60)&lt;=Capacity!$M$16,'Capacity calculation (hide)'!DL170,"")</f>
        <v/>
      </c>
      <c r="J177" s="218" t="str">
        <f t="shared" si="2"/>
        <v/>
      </c>
    </row>
    <row r="178" spans="2:10" hidden="1" x14ac:dyDescent="0.2">
      <c r="B178" s="218" t="str">
        <f>IF(Capacity!N77=0,"",Capacity!N77)</f>
        <v/>
      </c>
      <c r="C178" s="132"/>
      <c r="D178" s="132"/>
      <c r="E178" s="132"/>
      <c r="F178" s="215" t="str">
        <f>IF(ROW(A61)&lt;=Capacity!$M$16,Capacity!Q77,"")</f>
        <v/>
      </c>
      <c r="G178" s="320" t="str">
        <f>IF(ROW(A61)&lt;=Capacity!$M$16,'Capacity calculation (hide)'!BH172,"")</f>
        <v/>
      </c>
      <c r="H178" s="215" t="str">
        <f>IF(ROW(A61)&lt;=Capacity!$M$16,Capacity!T77,"")</f>
        <v/>
      </c>
      <c r="I178" s="217" t="str">
        <f>IF(ROW(A61)&lt;=Capacity!$M$16,'Capacity calculation (hide)'!DL171,"")</f>
        <v/>
      </c>
      <c r="J178" s="218" t="str">
        <f t="shared" si="2"/>
        <v/>
      </c>
    </row>
    <row r="179" spans="2:10" hidden="1" x14ac:dyDescent="0.2">
      <c r="B179" s="218" t="str">
        <f>IF(Capacity!N78=0,"",Capacity!N78)</f>
        <v/>
      </c>
      <c r="C179" s="132"/>
      <c r="D179" s="132"/>
      <c r="E179" s="132"/>
      <c r="F179" s="215" t="str">
        <f>IF(ROW(A62)&lt;=Capacity!$M$16,Capacity!Q78,"")</f>
        <v/>
      </c>
      <c r="G179" s="320" t="str">
        <f>IF(ROW(A62)&lt;=Capacity!$M$16,'Capacity calculation (hide)'!BH173,"")</f>
        <v/>
      </c>
      <c r="H179" s="215" t="str">
        <f>IF(ROW(A62)&lt;=Capacity!$M$16,Capacity!T78,"")</f>
        <v/>
      </c>
      <c r="I179" s="217" t="str">
        <f>IF(ROW(A62)&lt;=Capacity!$M$16,'Capacity calculation (hide)'!DL172,"")</f>
        <v/>
      </c>
      <c r="J179" s="218" t="str">
        <f t="shared" si="2"/>
        <v/>
      </c>
    </row>
    <row r="180" spans="2:10" hidden="1" x14ac:dyDescent="0.2">
      <c r="B180" s="218" t="str">
        <f>IF(Capacity!N79=0,"",Capacity!N79)</f>
        <v/>
      </c>
      <c r="C180" s="132"/>
      <c r="D180" s="132"/>
      <c r="E180" s="132"/>
      <c r="F180" s="215" t="str">
        <f>IF(ROW(A63)&lt;=Capacity!$M$16,Capacity!Q79,"")</f>
        <v/>
      </c>
      <c r="G180" s="320" t="str">
        <f>IF(ROW(A63)&lt;=Capacity!$M$16,'Capacity calculation (hide)'!BH174,"")</f>
        <v/>
      </c>
      <c r="H180" s="215" t="str">
        <f>IF(ROW(A63)&lt;=Capacity!$M$16,Capacity!T79,"")</f>
        <v/>
      </c>
      <c r="I180" s="217" t="str">
        <f>IF(ROW(A63)&lt;=Capacity!$M$16,'Capacity calculation (hide)'!DL173,"")</f>
        <v/>
      </c>
      <c r="J180" s="218" t="str">
        <f t="shared" si="2"/>
        <v/>
      </c>
    </row>
    <row r="181" spans="2:10" hidden="1" x14ac:dyDescent="0.2">
      <c r="B181" s="218" t="str">
        <f>IF(Capacity!N80=0,"",Capacity!N80)</f>
        <v/>
      </c>
      <c r="C181" s="132"/>
      <c r="D181" s="132"/>
      <c r="E181" s="132"/>
      <c r="F181" s="215" t="str">
        <f>IF(ROW(A64)&lt;=Capacity!$M$16,Capacity!Q80,"")</f>
        <v/>
      </c>
      <c r="G181" s="320" t="str">
        <f>IF(ROW(A64)&lt;=Capacity!$M$16,'Capacity calculation (hide)'!BH175,"")</f>
        <v/>
      </c>
      <c r="H181" s="215" t="str">
        <f>IF(ROW(A64)&lt;=Capacity!$M$16,Capacity!T80,"")</f>
        <v/>
      </c>
      <c r="I181" s="217" t="str">
        <f>IF(ROW(A64)&lt;=Capacity!$M$16,'Capacity calculation (hide)'!DL174,"")</f>
        <v/>
      </c>
      <c r="J181" s="218" t="str">
        <f t="shared" si="2"/>
        <v/>
      </c>
    </row>
    <row r="182" spans="2:10" hidden="1" x14ac:dyDescent="0.2">
      <c r="B182" s="218" t="str">
        <f>IF(Capacity!N81=0,"",Capacity!N81)</f>
        <v/>
      </c>
      <c r="C182" s="132"/>
      <c r="D182" s="132"/>
      <c r="E182" s="132"/>
      <c r="F182" s="215" t="str">
        <f>IF(ROW(A65)&lt;=Capacity!$M$16,Capacity!Q81,"")</f>
        <v/>
      </c>
      <c r="G182" s="320" t="str">
        <f>IF(ROW(A65)&lt;=Capacity!$M$16,'Capacity calculation (hide)'!BH176,"")</f>
        <v/>
      </c>
      <c r="H182" s="215" t="str">
        <f>IF(ROW(A65)&lt;=Capacity!$M$16,Capacity!T81,"")</f>
        <v/>
      </c>
      <c r="I182" s="217" t="str">
        <f>IF(ROW(A65)&lt;=Capacity!$M$16,'Capacity calculation (hide)'!DL175,"")</f>
        <v/>
      </c>
      <c r="J182" s="218" t="str">
        <f t="shared" si="2"/>
        <v/>
      </c>
    </row>
    <row r="183" spans="2:10" hidden="1" x14ac:dyDescent="0.2">
      <c r="B183" s="218" t="str">
        <f>IF(Capacity!N82=0,"",Capacity!N82)</f>
        <v/>
      </c>
      <c r="C183" s="132"/>
      <c r="D183" s="132"/>
      <c r="E183" s="132"/>
      <c r="F183" s="215" t="str">
        <f>IF(ROW(A66)&lt;=Capacity!$M$16,Capacity!Q82,"")</f>
        <v/>
      </c>
      <c r="G183" s="320" t="str">
        <f>IF(ROW(A66)&lt;=Capacity!$M$16,'Capacity calculation (hide)'!BH177,"")</f>
        <v/>
      </c>
      <c r="H183" s="215" t="str">
        <f>IF(ROW(A66)&lt;=Capacity!$M$16,Capacity!T82,"")</f>
        <v/>
      </c>
      <c r="I183" s="217" t="str">
        <f>IF(ROW(A66)&lt;=Capacity!$M$16,'Capacity calculation (hide)'!DL176,"")</f>
        <v/>
      </c>
      <c r="J183" s="218" t="str">
        <f t="shared" ref="J183:J217" si="3">IFERROR(IF(G183-F183 &lt;0, "Under","Over"),"")</f>
        <v/>
      </c>
    </row>
    <row r="184" spans="2:10" hidden="1" x14ac:dyDescent="0.2">
      <c r="B184" s="218" t="str">
        <f>IF(Capacity!N83=0,"",Capacity!N83)</f>
        <v/>
      </c>
      <c r="C184" s="132"/>
      <c r="D184" s="132"/>
      <c r="E184" s="132"/>
      <c r="F184" s="215" t="str">
        <f>IF(ROW(A67)&lt;=Capacity!$M$16,Capacity!Q83,"")</f>
        <v/>
      </c>
      <c r="G184" s="320" t="str">
        <f>IF(ROW(A67)&lt;=Capacity!$M$16,'Capacity calculation (hide)'!BH178,"")</f>
        <v/>
      </c>
      <c r="H184" s="215" t="str">
        <f>IF(ROW(A67)&lt;=Capacity!$M$16,Capacity!T83,"")</f>
        <v/>
      </c>
      <c r="I184" s="217" t="str">
        <f>IF(ROW(A67)&lt;=Capacity!$M$16,'Capacity calculation (hide)'!DL177,"")</f>
        <v/>
      </c>
      <c r="J184" s="218" t="str">
        <f t="shared" si="3"/>
        <v/>
      </c>
    </row>
    <row r="185" spans="2:10" hidden="1" x14ac:dyDescent="0.2">
      <c r="B185" s="218" t="str">
        <f>IF(Capacity!N84=0,"",Capacity!N84)</f>
        <v/>
      </c>
      <c r="C185" s="132"/>
      <c r="D185" s="132"/>
      <c r="E185" s="132"/>
      <c r="F185" s="215" t="str">
        <f>IF(ROW(A68)&lt;=Capacity!$M$16,Capacity!Q84,"")</f>
        <v/>
      </c>
      <c r="G185" s="320" t="str">
        <f>IF(ROW(A68)&lt;=Capacity!$M$16,'Capacity calculation (hide)'!BH179,"")</f>
        <v/>
      </c>
      <c r="H185" s="215" t="str">
        <f>IF(ROW(A68)&lt;=Capacity!$M$16,Capacity!T84,"")</f>
        <v/>
      </c>
      <c r="I185" s="217" t="str">
        <f>IF(ROW(A68)&lt;=Capacity!$M$16,'Capacity calculation (hide)'!DL178,"")</f>
        <v/>
      </c>
      <c r="J185" s="218" t="str">
        <f t="shared" si="3"/>
        <v/>
      </c>
    </row>
    <row r="186" spans="2:10" hidden="1" x14ac:dyDescent="0.2">
      <c r="B186" s="218" t="str">
        <f>IF(Capacity!N85=0,"",Capacity!N85)</f>
        <v/>
      </c>
      <c r="C186" s="132"/>
      <c r="D186" s="132"/>
      <c r="E186" s="132"/>
      <c r="F186" s="215" t="str">
        <f>IF(ROW(A69)&lt;=Capacity!$M$16,Capacity!Q85,"")</f>
        <v/>
      </c>
      <c r="G186" s="320" t="str">
        <f>IF(ROW(A69)&lt;=Capacity!$M$16,'Capacity calculation (hide)'!BH180,"")</f>
        <v/>
      </c>
      <c r="H186" s="215" t="str">
        <f>IF(ROW(A69)&lt;=Capacity!$M$16,Capacity!T85,"")</f>
        <v/>
      </c>
      <c r="I186" s="217" t="str">
        <f>IF(ROW(A69)&lt;=Capacity!$M$16,'Capacity calculation (hide)'!DL179,"")</f>
        <v/>
      </c>
      <c r="J186" s="218" t="str">
        <f t="shared" si="3"/>
        <v/>
      </c>
    </row>
    <row r="187" spans="2:10" hidden="1" x14ac:dyDescent="0.2">
      <c r="B187" s="218" t="str">
        <f>IF(Capacity!N86=0,"",Capacity!N86)</f>
        <v/>
      </c>
      <c r="C187" s="132"/>
      <c r="D187" s="132"/>
      <c r="E187" s="132"/>
      <c r="F187" s="215" t="str">
        <f>IF(ROW(A70)&lt;=Capacity!$M$16,Capacity!Q86,"")</f>
        <v/>
      </c>
      <c r="G187" s="320" t="str">
        <f>IF(ROW(A70)&lt;=Capacity!$M$16,'Capacity calculation (hide)'!BH181,"")</f>
        <v/>
      </c>
      <c r="H187" s="215" t="str">
        <f>IF(ROW(A70)&lt;=Capacity!$M$16,Capacity!T86,"")</f>
        <v/>
      </c>
      <c r="I187" s="217" t="str">
        <f>IF(ROW(A70)&lt;=Capacity!$M$16,'Capacity calculation (hide)'!DL180,"")</f>
        <v/>
      </c>
      <c r="J187" s="218" t="str">
        <f t="shared" si="3"/>
        <v/>
      </c>
    </row>
    <row r="188" spans="2:10" hidden="1" x14ac:dyDescent="0.2">
      <c r="B188" s="218" t="str">
        <f>IF(Capacity!N87=0,"",Capacity!N87)</f>
        <v/>
      </c>
      <c r="C188" s="132"/>
      <c r="D188" s="132"/>
      <c r="E188" s="132"/>
      <c r="F188" s="215" t="str">
        <f>IF(ROW(A71)&lt;=Capacity!$M$16,Capacity!Q87,"")</f>
        <v/>
      </c>
      <c r="G188" s="320" t="str">
        <f>IF(ROW(A71)&lt;=Capacity!$M$16,'Capacity calculation (hide)'!BH182,"")</f>
        <v/>
      </c>
      <c r="H188" s="215" t="str">
        <f>IF(ROW(A71)&lt;=Capacity!$M$16,Capacity!T87,"")</f>
        <v/>
      </c>
      <c r="I188" s="217" t="str">
        <f>IF(ROW(A71)&lt;=Capacity!$M$16,'Capacity calculation (hide)'!DL181,"")</f>
        <v/>
      </c>
      <c r="J188" s="218" t="str">
        <f t="shared" si="3"/>
        <v/>
      </c>
    </row>
    <row r="189" spans="2:10" hidden="1" x14ac:dyDescent="0.2">
      <c r="B189" s="218" t="str">
        <f>IF(Capacity!N88=0,"",Capacity!N88)</f>
        <v/>
      </c>
      <c r="C189" s="132"/>
      <c r="D189" s="132"/>
      <c r="E189" s="132"/>
      <c r="F189" s="215" t="str">
        <f>IF(ROW(A72)&lt;=Capacity!$M$16,Capacity!Q88,"")</f>
        <v/>
      </c>
      <c r="G189" s="320" t="str">
        <f>IF(ROW(A72)&lt;=Capacity!$M$16,'Capacity calculation (hide)'!BH183,"")</f>
        <v/>
      </c>
      <c r="H189" s="215" t="str">
        <f>IF(ROW(A72)&lt;=Capacity!$M$16,Capacity!T88,"")</f>
        <v/>
      </c>
      <c r="I189" s="217" t="str">
        <f>IF(ROW(A72)&lt;=Capacity!$M$16,'Capacity calculation (hide)'!DL182,"")</f>
        <v/>
      </c>
      <c r="J189" s="218" t="str">
        <f t="shared" si="3"/>
        <v/>
      </c>
    </row>
    <row r="190" spans="2:10" hidden="1" x14ac:dyDescent="0.2">
      <c r="B190" s="218" t="str">
        <f>IF(Capacity!N89=0,"",Capacity!N89)</f>
        <v/>
      </c>
      <c r="C190" s="132"/>
      <c r="D190" s="132"/>
      <c r="E190" s="132"/>
      <c r="F190" s="215" t="str">
        <f>IF(ROW(A73)&lt;=Capacity!$M$16,Capacity!Q89,"")</f>
        <v/>
      </c>
      <c r="G190" s="320" t="str">
        <f>IF(ROW(A73)&lt;=Capacity!$M$16,'Capacity calculation (hide)'!BH184,"")</f>
        <v/>
      </c>
      <c r="H190" s="215" t="str">
        <f>IF(ROW(A73)&lt;=Capacity!$M$16,Capacity!T89,"")</f>
        <v/>
      </c>
      <c r="I190" s="217" t="str">
        <f>IF(ROW(A73)&lt;=Capacity!$M$16,'Capacity calculation (hide)'!DL183,"")</f>
        <v/>
      </c>
      <c r="J190" s="218" t="str">
        <f t="shared" si="3"/>
        <v/>
      </c>
    </row>
    <row r="191" spans="2:10" hidden="1" x14ac:dyDescent="0.2">
      <c r="B191" s="218" t="str">
        <f>IF(Capacity!N90=0,"",Capacity!N90)</f>
        <v/>
      </c>
      <c r="C191" s="132"/>
      <c r="D191" s="132"/>
      <c r="E191" s="132"/>
      <c r="F191" s="215" t="str">
        <f>IF(ROW(A74)&lt;=Capacity!$M$16,Capacity!Q90,"")</f>
        <v/>
      </c>
      <c r="G191" s="320" t="str">
        <f>IF(ROW(A74)&lt;=Capacity!$M$16,'Capacity calculation (hide)'!BH185,"")</f>
        <v/>
      </c>
      <c r="H191" s="215" t="str">
        <f>IF(ROW(A74)&lt;=Capacity!$M$16,Capacity!T90,"")</f>
        <v/>
      </c>
      <c r="I191" s="217" t="str">
        <f>IF(ROW(A74)&lt;=Capacity!$M$16,'Capacity calculation (hide)'!DL184,"")</f>
        <v/>
      </c>
      <c r="J191" s="218" t="str">
        <f t="shared" si="3"/>
        <v/>
      </c>
    </row>
    <row r="192" spans="2:10" hidden="1" x14ac:dyDescent="0.2">
      <c r="B192" s="218" t="str">
        <f>IF(Capacity!N91=0,"",Capacity!N91)</f>
        <v/>
      </c>
      <c r="C192" s="132"/>
      <c r="D192" s="132"/>
      <c r="E192" s="132"/>
      <c r="F192" s="215" t="str">
        <f>IF(ROW(A75)&lt;=Capacity!$M$16,Capacity!Q91,"")</f>
        <v/>
      </c>
      <c r="G192" s="320" t="str">
        <f>IF(ROW(A75)&lt;=Capacity!$M$16,'Capacity calculation (hide)'!BH186,"")</f>
        <v/>
      </c>
      <c r="H192" s="215" t="str">
        <f>IF(ROW(A75)&lt;=Capacity!$M$16,Capacity!T91,"")</f>
        <v/>
      </c>
      <c r="I192" s="217" t="str">
        <f>IF(ROW(A75)&lt;=Capacity!$M$16,'Capacity calculation (hide)'!DL185,"")</f>
        <v/>
      </c>
      <c r="J192" s="218" t="str">
        <f t="shared" si="3"/>
        <v/>
      </c>
    </row>
    <row r="193" spans="2:10" hidden="1" x14ac:dyDescent="0.2">
      <c r="B193" s="218" t="str">
        <f>IF(Capacity!N92=0,"",Capacity!N92)</f>
        <v/>
      </c>
      <c r="C193" s="132"/>
      <c r="D193" s="132"/>
      <c r="E193" s="132"/>
      <c r="F193" s="215" t="str">
        <f>IF(ROW(A76)&lt;=Capacity!$M$16,Capacity!Q92,"")</f>
        <v/>
      </c>
      <c r="G193" s="320" t="str">
        <f>IF(ROW(A76)&lt;=Capacity!$M$16,'Capacity calculation (hide)'!BH187,"")</f>
        <v/>
      </c>
      <c r="H193" s="215" t="str">
        <f>IF(ROW(A76)&lt;=Capacity!$M$16,Capacity!T92,"")</f>
        <v/>
      </c>
      <c r="I193" s="217" t="str">
        <f>IF(ROW(A76)&lt;=Capacity!$M$16,'Capacity calculation (hide)'!DL186,"")</f>
        <v/>
      </c>
      <c r="J193" s="218" t="str">
        <f t="shared" si="3"/>
        <v/>
      </c>
    </row>
    <row r="194" spans="2:10" hidden="1" x14ac:dyDescent="0.2">
      <c r="B194" s="218" t="str">
        <f>IF(Capacity!N93=0,"",Capacity!N93)</f>
        <v/>
      </c>
      <c r="C194" s="132"/>
      <c r="D194" s="132"/>
      <c r="E194" s="132"/>
      <c r="F194" s="215" t="str">
        <f>IF(ROW(A77)&lt;=Capacity!$M$16,Capacity!Q93,"")</f>
        <v/>
      </c>
      <c r="G194" s="320" t="str">
        <f>IF(ROW(A77)&lt;=Capacity!$M$16,'Capacity calculation (hide)'!BH188,"")</f>
        <v/>
      </c>
      <c r="H194" s="215" t="str">
        <f>IF(ROW(A77)&lt;=Capacity!$M$16,Capacity!T93,"")</f>
        <v/>
      </c>
      <c r="I194" s="217" t="str">
        <f>IF(ROW(A77)&lt;=Capacity!$M$16,'Capacity calculation (hide)'!DL187,"")</f>
        <v/>
      </c>
      <c r="J194" s="218" t="str">
        <f t="shared" si="3"/>
        <v/>
      </c>
    </row>
    <row r="195" spans="2:10" hidden="1" x14ac:dyDescent="0.2">
      <c r="B195" s="218" t="str">
        <f>IF(Capacity!N94=0,"",Capacity!N94)</f>
        <v/>
      </c>
      <c r="C195" s="132"/>
      <c r="D195" s="132"/>
      <c r="E195" s="132"/>
      <c r="F195" s="215" t="str">
        <f>IF(ROW(A78)&lt;=Capacity!$M$16,Capacity!Q94,"")</f>
        <v/>
      </c>
      <c r="G195" s="320" t="str">
        <f>IF(ROW(A78)&lt;=Capacity!$M$16,'Capacity calculation (hide)'!BH189,"")</f>
        <v/>
      </c>
      <c r="H195" s="215" t="str">
        <f>IF(ROW(A78)&lt;=Capacity!$M$16,Capacity!T94,"")</f>
        <v/>
      </c>
      <c r="I195" s="217" t="str">
        <f>IF(ROW(A78)&lt;=Capacity!$M$16,'Capacity calculation (hide)'!DL188,"")</f>
        <v/>
      </c>
      <c r="J195" s="218" t="str">
        <f t="shared" si="3"/>
        <v/>
      </c>
    </row>
    <row r="196" spans="2:10" hidden="1" x14ac:dyDescent="0.2">
      <c r="B196" s="218" t="str">
        <f>IF(Capacity!N95=0,"",Capacity!N95)</f>
        <v/>
      </c>
      <c r="C196" s="132"/>
      <c r="D196" s="132"/>
      <c r="E196" s="132"/>
      <c r="F196" s="215" t="str">
        <f>IF(ROW(A79)&lt;=Capacity!$M$16,Capacity!Q95,"")</f>
        <v/>
      </c>
      <c r="G196" s="320" t="str">
        <f>IF(ROW(A79)&lt;=Capacity!$M$16,'Capacity calculation (hide)'!BH190,"")</f>
        <v/>
      </c>
      <c r="H196" s="215" t="str">
        <f>IF(ROW(A79)&lt;=Capacity!$M$16,Capacity!T95,"")</f>
        <v/>
      </c>
      <c r="I196" s="217" t="str">
        <f>IF(ROW(A79)&lt;=Capacity!$M$16,'Capacity calculation (hide)'!DL189,"")</f>
        <v/>
      </c>
      <c r="J196" s="218" t="str">
        <f t="shared" si="3"/>
        <v/>
      </c>
    </row>
    <row r="197" spans="2:10" hidden="1" x14ac:dyDescent="0.2">
      <c r="B197" s="218" t="str">
        <f>IF(Capacity!N96=0,"",Capacity!N96)</f>
        <v/>
      </c>
      <c r="C197" s="132"/>
      <c r="D197" s="132"/>
      <c r="E197" s="132"/>
      <c r="F197" s="215" t="str">
        <f>IF(ROW(A80)&lt;=Capacity!$M$16,Capacity!Q96,"")</f>
        <v/>
      </c>
      <c r="G197" s="320" t="str">
        <f>IF(ROW(A80)&lt;=Capacity!$M$16,'Capacity calculation (hide)'!BH191,"")</f>
        <v/>
      </c>
      <c r="H197" s="215" t="str">
        <f>IF(ROW(A80)&lt;=Capacity!$M$16,Capacity!T96,"")</f>
        <v/>
      </c>
      <c r="I197" s="217" t="str">
        <f>IF(ROW(A80)&lt;=Capacity!$M$16,'Capacity calculation (hide)'!DL190,"")</f>
        <v/>
      </c>
      <c r="J197" s="218" t="str">
        <f t="shared" si="3"/>
        <v/>
      </c>
    </row>
    <row r="198" spans="2:10" hidden="1" x14ac:dyDescent="0.2">
      <c r="B198" s="218" t="str">
        <f>IF(Capacity!N97=0,"",Capacity!N97)</f>
        <v/>
      </c>
      <c r="C198" s="132"/>
      <c r="D198" s="132"/>
      <c r="E198" s="132"/>
      <c r="F198" s="215" t="str">
        <f>IF(ROW(A81)&lt;=Capacity!$M$16,Capacity!Q97,"")</f>
        <v/>
      </c>
      <c r="G198" s="320" t="str">
        <f>IF(ROW(A81)&lt;=Capacity!$M$16,'Capacity calculation (hide)'!BH192,"")</f>
        <v/>
      </c>
      <c r="H198" s="215" t="str">
        <f>IF(ROW(A81)&lt;=Capacity!$M$16,Capacity!T97,"")</f>
        <v/>
      </c>
      <c r="I198" s="217" t="str">
        <f>IF(ROW(A81)&lt;=Capacity!$M$16,'Capacity calculation (hide)'!DL191,"")</f>
        <v/>
      </c>
      <c r="J198" s="218" t="str">
        <f t="shared" si="3"/>
        <v/>
      </c>
    </row>
    <row r="199" spans="2:10" hidden="1" x14ac:dyDescent="0.2">
      <c r="B199" s="218" t="str">
        <f>IF(Capacity!N98=0,"",Capacity!N98)</f>
        <v/>
      </c>
      <c r="C199" s="132"/>
      <c r="D199" s="132"/>
      <c r="E199" s="132"/>
      <c r="F199" s="215" t="str">
        <f>IF(ROW(A82)&lt;=Capacity!$M$16,Capacity!Q98,"")</f>
        <v/>
      </c>
      <c r="G199" s="320" t="str">
        <f>IF(ROW(A82)&lt;=Capacity!$M$16,'Capacity calculation (hide)'!BH193,"")</f>
        <v/>
      </c>
      <c r="H199" s="215" t="str">
        <f>IF(ROW(A82)&lt;=Capacity!$M$16,Capacity!T98,"")</f>
        <v/>
      </c>
      <c r="I199" s="217" t="str">
        <f>IF(ROW(A82)&lt;=Capacity!$M$16,'Capacity calculation (hide)'!DL192,"")</f>
        <v/>
      </c>
      <c r="J199" s="218" t="str">
        <f t="shared" si="3"/>
        <v/>
      </c>
    </row>
    <row r="200" spans="2:10" hidden="1" x14ac:dyDescent="0.2">
      <c r="B200" s="218" t="str">
        <f>IF(Capacity!N99=0,"",Capacity!N99)</f>
        <v/>
      </c>
      <c r="C200" s="132"/>
      <c r="D200" s="132"/>
      <c r="E200" s="132"/>
      <c r="F200" s="215" t="str">
        <f>IF(ROW(A83)&lt;=Capacity!$M$16,Capacity!Q99,"")</f>
        <v/>
      </c>
      <c r="G200" s="320" t="str">
        <f>IF(ROW(A83)&lt;=Capacity!$M$16,'Capacity calculation (hide)'!BH194,"")</f>
        <v/>
      </c>
      <c r="H200" s="215" t="str">
        <f>IF(ROW(A83)&lt;=Capacity!$M$16,Capacity!T99,"")</f>
        <v/>
      </c>
      <c r="I200" s="217" t="str">
        <f>IF(ROW(A83)&lt;=Capacity!$M$16,'Capacity calculation (hide)'!DL193,"")</f>
        <v/>
      </c>
      <c r="J200" s="218" t="str">
        <f t="shared" si="3"/>
        <v/>
      </c>
    </row>
    <row r="201" spans="2:10" hidden="1" x14ac:dyDescent="0.2">
      <c r="B201" s="218" t="str">
        <f>IF(Capacity!N100=0,"",Capacity!N100)</f>
        <v/>
      </c>
      <c r="C201" s="132"/>
      <c r="D201" s="132"/>
      <c r="E201" s="132"/>
      <c r="F201" s="215" t="str">
        <f>IF(ROW(A84)&lt;=Capacity!$M$16,Capacity!Q100,"")</f>
        <v/>
      </c>
      <c r="G201" s="320" t="str">
        <f>IF(ROW(A84)&lt;=Capacity!$M$16,'Capacity calculation (hide)'!BH195,"")</f>
        <v/>
      </c>
      <c r="H201" s="215" t="str">
        <f>IF(ROW(A84)&lt;=Capacity!$M$16,Capacity!T100,"")</f>
        <v/>
      </c>
      <c r="I201" s="217" t="str">
        <f>IF(ROW(A84)&lt;=Capacity!$M$16,'Capacity calculation (hide)'!DL194,"")</f>
        <v/>
      </c>
      <c r="J201" s="218" t="str">
        <f t="shared" si="3"/>
        <v/>
      </c>
    </row>
    <row r="202" spans="2:10" hidden="1" x14ac:dyDescent="0.2">
      <c r="B202" s="218" t="str">
        <f>IF(Capacity!N101=0,"",Capacity!N101)</f>
        <v/>
      </c>
      <c r="C202" s="132"/>
      <c r="D202" s="132"/>
      <c r="E202" s="132"/>
      <c r="F202" s="215" t="str">
        <f>IF(ROW(A85)&lt;=Capacity!$M$16,Capacity!Q101,"")</f>
        <v/>
      </c>
      <c r="G202" s="320" t="str">
        <f>IF(ROW(A85)&lt;=Capacity!$M$16,'Capacity calculation (hide)'!BH196,"")</f>
        <v/>
      </c>
      <c r="H202" s="215" t="str">
        <f>IF(ROW(A85)&lt;=Capacity!$M$16,Capacity!T101,"")</f>
        <v/>
      </c>
      <c r="I202" s="217" t="str">
        <f>IF(ROW(A85)&lt;=Capacity!$M$16,'Capacity calculation (hide)'!DL195,"")</f>
        <v/>
      </c>
      <c r="J202" s="218" t="str">
        <f t="shared" si="3"/>
        <v/>
      </c>
    </row>
    <row r="203" spans="2:10" hidden="1" x14ac:dyDescent="0.2">
      <c r="B203" s="218" t="str">
        <f>IF(Capacity!N102=0,"",Capacity!N102)</f>
        <v/>
      </c>
      <c r="C203" s="132"/>
      <c r="D203" s="132"/>
      <c r="E203" s="132"/>
      <c r="F203" s="215" t="str">
        <f>IF(ROW(A86)&lt;=Capacity!$M$16,Capacity!Q102,"")</f>
        <v/>
      </c>
      <c r="G203" s="320" t="str">
        <f>IF(ROW(A86)&lt;=Capacity!$M$16,'Capacity calculation (hide)'!BH197,"")</f>
        <v/>
      </c>
      <c r="H203" s="215" t="str">
        <f>IF(ROW(A86)&lt;=Capacity!$M$16,Capacity!T102,"")</f>
        <v/>
      </c>
      <c r="I203" s="217" t="str">
        <f>IF(ROW(A86)&lt;=Capacity!$M$16,'Capacity calculation (hide)'!DL196,"")</f>
        <v/>
      </c>
      <c r="J203" s="218" t="str">
        <f t="shared" si="3"/>
        <v/>
      </c>
    </row>
    <row r="204" spans="2:10" hidden="1" x14ac:dyDescent="0.2">
      <c r="B204" s="218" t="str">
        <f>IF(Capacity!N103=0,"",Capacity!N103)</f>
        <v/>
      </c>
      <c r="C204" s="132"/>
      <c r="D204" s="132"/>
      <c r="E204" s="132"/>
      <c r="F204" s="215" t="str">
        <f>IF(ROW(A87)&lt;=Capacity!$M$16,Capacity!Q103,"")</f>
        <v/>
      </c>
      <c r="G204" s="320" t="str">
        <f>IF(ROW(A87)&lt;=Capacity!$M$16,'Capacity calculation (hide)'!BH198,"")</f>
        <v/>
      </c>
      <c r="H204" s="215" t="str">
        <f>IF(ROW(A87)&lt;=Capacity!$M$16,Capacity!T103,"")</f>
        <v/>
      </c>
      <c r="I204" s="217" t="str">
        <f>IF(ROW(A87)&lt;=Capacity!$M$16,'Capacity calculation (hide)'!DL197,"")</f>
        <v/>
      </c>
      <c r="J204" s="218" t="str">
        <f t="shared" si="3"/>
        <v/>
      </c>
    </row>
    <row r="205" spans="2:10" hidden="1" x14ac:dyDescent="0.2">
      <c r="B205" s="218" t="str">
        <f>IF(Capacity!N104=0,"",Capacity!N104)</f>
        <v/>
      </c>
      <c r="C205" s="132"/>
      <c r="D205" s="132"/>
      <c r="E205" s="132"/>
      <c r="F205" s="215" t="str">
        <f>IF(ROW(A88)&lt;=Capacity!$M$16,Capacity!Q104,"")</f>
        <v/>
      </c>
      <c r="G205" s="320" t="str">
        <f>IF(ROW(A88)&lt;=Capacity!$M$16,'Capacity calculation (hide)'!BH199,"")</f>
        <v/>
      </c>
      <c r="H205" s="215" t="str">
        <f>IF(ROW(A88)&lt;=Capacity!$M$16,Capacity!T104,"")</f>
        <v/>
      </c>
      <c r="I205" s="217" t="str">
        <f>IF(ROW(A88)&lt;=Capacity!$M$16,'Capacity calculation (hide)'!DL198,"")</f>
        <v/>
      </c>
      <c r="J205" s="218" t="str">
        <f t="shared" si="3"/>
        <v/>
      </c>
    </row>
    <row r="206" spans="2:10" hidden="1" x14ac:dyDescent="0.2">
      <c r="B206" s="218" t="str">
        <f>IF(Capacity!N105=0,"",Capacity!N105)</f>
        <v/>
      </c>
      <c r="C206" s="132"/>
      <c r="D206" s="132"/>
      <c r="E206" s="132"/>
      <c r="F206" s="215" t="str">
        <f>IF(ROW(A89)&lt;=Capacity!$M$16,Capacity!Q105,"")</f>
        <v/>
      </c>
      <c r="G206" s="320" t="str">
        <f>IF(ROW(A89)&lt;=Capacity!$M$16,'Capacity calculation (hide)'!BH200,"")</f>
        <v/>
      </c>
      <c r="H206" s="215" t="str">
        <f>IF(ROW(A89)&lt;=Capacity!$M$16,Capacity!T105,"")</f>
        <v/>
      </c>
      <c r="I206" s="217" t="str">
        <f>IF(ROW(A89)&lt;=Capacity!$M$16,'Capacity calculation (hide)'!DL199,"")</f>
        <v/>
      </c>
      <c r="J206" s="218" t="str">
        <f t="shared" si="3"/>
        <v/>
      </c>
    </row>
    <row r="207" spans="2:10" hidden="1" x14ac:dyDescent="0.2">
      <c r="B207" s="218" t="str">
        <f>IF(Capacity!N106=0,"",Capacity!N106)</f>
        <v/>
      </c>
      <c r="C207" s="132"/>
      <c r="D207" s="132"/>
      <c r="E207" s="132"/>
      <c r="F207" s="215" t="str">
        <f>IF(ROW(A90)&lt;=Capacity!$M$16,Capacity!Q106,"")</f>
        <v/>
      </c>
      <c r="G207" s="320" t="str">
        <f>IF(ROW(A90)&lt;=Capacity!$M$16,'Capacity calculation (hide)'!BH201,"")</f>
        <v/>
      </c>
      <c r="H207" s="215" t="str">
        <f>IF(ROW(A90)&lt;=Capacity!$M$16,Capacity!T106,"")</f>
        <v/>
      </c>
      <c r="I207" s="217" t="str">
        <f>IF(ROW(A90)&lt;=Capacity!$M$16,'Capacity calculation (hide)'!DL200,"")</f>
        <v/>
      </c>
      <c r="J207" s="218" t="str">
        <f t="shared" si="3"/>
        <v/>
      </c>
    </row>
    <row r="208" spans="2:10" hidden="1" x14ac:dyDescent="0.2">
      <c r="B208" s="218" t="str">
        <f>IF(Capacity!N107=0,"",Capacity!N107)</f>
        <v/>
      </c>
      <c r="C208" s="132"/>
      <c r="D208" s="132"/>
      <c r="E208" s="132"/>
      <c r="F208" s="215" t="str">
        <f>IF(ROW(A91)&lt;=Capacity!$M$16,Capacity!Q107,"")</f>
        <v/>
      </c>
      <c r="G208" s="320" t="str">
        <f>IF(ROW(A91)&lt;=Capacity!$M$16,'Capacity calculation (hide)'!BH202,"")</f>
        <v/>
      </c>
      <c r="H208" s="215" t="str">
        <f>IF(ROW(A91)&lt;=Capacity!$M$16,Capacity!T107,"")</f>
        <v/>
      </c>
      <c r="I208" s="217" t="str">
        <f>IF(ROW(A91)&lt;=Capacity!$M$16,'Capacity calculation (hide)'!DL201,"")</f>
        <v/>
      </c>
      <c r="J208" s="218" t="str">
        <f t="shared" si="3"/>
        <v/>
      </c>
    </row>
    <row r="209" spans="2:10" hidden="1" x14ac:dyDescent="0.2">
      <c r="B209" s="218" t="str">
        <f>IF(Capacity!N108=0,"",Capacity!N108)</f>
        <v/>
      </c>
      <c r="C209" s="132"/>
      <c r="D209" s="132"/>
      <c r="E209" s="132"/>
      <c r="F209" s="215" t="str">
        <f>IF(ROW(A92)&lt;=Capacity!$M$16,Capacity!Q108,"")</f>
        <v/>
      </c>
      <c r="G209" s="320" t="str">
        <f>IF(ROW(A92)&lt;=Capacity!$M$16,'Capacity calculation (hide)'!BH203,"")</f>
        <v/>
      </c>
      <c r="H209" s="215" t="str">
        <f>IF(ROW(A92)&lt;=Capacity!$M$16,Capacity!T108,"")</f>
        <v/>
      </c>
      <c r="I209" s="217" t="str">
        <f>IF(ROW(A92)&lt;=Capacity!$M$16,'Capacity calculation (hide)'!DL202,"")</f>
        <v/>
      </c>
      <c r="J209" s="218" t="str">
        <f t="shared" si="3"/>
        <v/>
      </c>
    </row>
    <row r="210" spans="2:10" hidden="1" x14ac:dyDescent="0.2">
      <c r="B210" s="218" t="str">
        <f>IF(Capacity!N109=0,"",Capacity!N109)</f>
        <v/>
      </c>
      <c r="C210" s="132"/>
      <c r="D210" s="132"/>
      <c r="E210" s="132"/>
      <c r="F210" s="215" t="str">
        <f>IF(ROW(A93)&lt;=Capacity!$M$16,Capacity!Q109,"")</f>
        <v/>
      </c>
      <c r="G210" s="320" t="str">
        <f>IF(ROW(A93)&lt;=Capacity!$M$16,'Capacity calculation (hide)'!BH204,"")</f>
        <v/>
      </c>
      <c r="H210" s="215" t="str">
        <f>IF(ROW(A93)&lt;=Capacity!$M$16,Capacity!T109,"")</f>
        <v/>
      </c>
      <c r="I210" s="217" t="str">
        <f>IF(ROW(A93)&lt;=Capacity!$M$16,'Capacity calculation (hide)'!DL203,"")</f>
        <v/>
      </c>
      <c r="J210" s="218" t="str">
        <f t="shared" si="3"/>
        <v/>
      </c>
    </row>
    <row r="211" spans="2:10" hidden="1" x14ac:dyDescent="0.2">
      <c r="B211" s="218" t="str">
        <f>IF(Capacity!N110=0,"",Capacity!N110)</f>
        <v/>
      </c>
      <c r="C211" s="132"/>
      <c r="D211" s="132"/>
      <c r="E211" s="132"/>
      <c r="F211" s="215" t="str">
        <f>IF(ROW(A94)&lt;=Capacity!$M$16,Capacity!Q110,"")</f>
        <v/>
      </c>
      <c r="G211" s="320" t="str">
        <f>IF(ROW(A94)&lt;=Capacity!$M$16,'Capacity calculation (hide)'!BH205,"")</f>
        <v/>
      </c>
      <c r="H211" s="215" t="str">
        <f>IF(ROW(A94)&lt;=Capacity!$M$16,Capacity!T110,"")</f>
        <v/>
      </c>
      <c r="I211" s="217" t="str">
        <f>IF(ROW(A94)&lt;=Capacity!$M$16,'Capacity calculation (hide)'!DL204,"")</f>
        <v/>
      </c>
      <c r="J211" s="218" t="str">
        <f t="shared" si="3"/>
        <v/>
      </c>
    </row>
    <row r="212" spans="2:10" hidden="1" x14ac:dyDescent="0.2">
      <c r="B212" s="218" t="str">
        <f>IF(Capacity!N111=0,"",Capacity!N111)</f>
        <v/>
      </c>
      <c r="C212" s="132"/>
      <c r="D212" s="132"/>
      <c r="E212" s="132"/>
      <c r="F212" s="215" t="str">
        <f>IF(ROW(A95)&lt;=Capacity!$M$16,Capacity!Q111,"")</f>
        <v/>
      </c>
      <c r="G212" s="320" t="str">
        <f>IF(ROW(A95)&lt;=Capacity!$M$16,'Capacity calculation (hide)'!BH206,"")</f>
        <v/>
      </c>
      <c r="H212" s="215" t="str">
        <f>IF(ROW(A95)&lt;=Capacity!$M$16,Capacity!T111,"")</f>
        <v/>
      </c>
      <c r="I212" s="217" t="str">
        <f>IF(ROW(A95)&lt;=Capacity!$M$16,'Capacity calculation (hide)'!DL205,"")</f>
        <v/>
      </c>
      <c r="J212" s="218" t="str">
        <f t="shared" si="3"/>
        <v/>
      </c>
    </row>
    <row r="213" spans="2:10" hidden="1" x14ac:dyDescent="0.2">
      <c r="B213" s="218" t="str">
        <f>IF(Capacity!N112=0,"",Capacity!N112)</f>
        <v/>
      </c>
      <c r="C213" s="132"/>
      <c r="D213" s="132"/>
      <c r="E213" s="132"/>
      <c r="F213" s="215" t="str">
        <f>IF(ROW(A96)&lt;=Capacity!$M$16,Capacity!Q112,"")</f>
        <v/>
      </c>
      <c r="G213" s="320" t="str">
        <f>IF(ROW(A96)&lt;=Capacity!$M$16,'Capacity calculation (hide)'!BH207,"")</f>
        <v/>
      </c>
      <c r="H213" s="215" t="str">
        <f>IF(ROW(A96)&lt;=Capacity!$M$16,Capacity!T112,"")</f>
        <v/>
      </c>
      <c r="I213" s="217" t="str">
        <f>IF(ROW(A96)&lt;=Capacity!$M$16,'Capacity calculation (hide)'!DL206,"")</f>
        <v/>
      </c>
      <c r="J213" s="218" t="str">
        <f t="shared" si="3"/>
        <v/>
      </c>
    </row>
    <row r="214" spans="2:10" hidden="1" x14ac:dyDescent="0.2">
      <c r="B214" s="218" t="str">
        <f>IF(Capacity!N113=0,"",Capacity!N113)</f>
        <v/>
      </c>
      <c r="C214" s="132"/>
      <c r="D214" s="132"/>
      <c r="E214" s="132"/>
      <c r="F214" s="215" t="str">
        <f>IF(ROW(A97)&lt;=Capacity!$M$16,Capacity!Q113,"")</f>
        <v/>
      </c>
      <c r="G214" s="320" t="str">
        <f>IF(ROW(A97)&lt;=Capacity!$M$16,'Capacity calculation (hide)'!BH208,"")</f>
        <v/>
      </c>
      <c r="H214" s="215" t="str">
        <f>IF(ROW(A97)&lt;=Capacity!$M$16,Capacity!T113,"")</f>
        <v/>
      </c>
      <c r="I214" s="217" t="str">
        <f>IF(ROW(A97)&lt;=Capacity!$M$16,'Capacity calculation (hide)'!DL207,"")</f>
        <v/>
      </c>
      <c r="J214" s="218" t="str">
        <f t="shared" si="3"/>
        <v/>
      </c>
    </row>
    <row r="215" spans="2:10" hidden="1" x14ac:dyDescent="0.2">
      <c r="B215" s="218" t="str">
        <f>IF(Capacity!N114=0,"",Capacity!N114)</f>
        <v/>
      </c>
      <c r="C215" s="132"/>
      <c r="D215" s="132"/>
      <c r="E215" s="132"/>
      <c r="F215" s="215" t="str">
        <f>IF(ROW(A98)&lt;=Capacity!$M$16,Capacity!Q114,"")</f>
        <v/>
      </c>
      <c r="G215" s="320" t="str">
        <f>IF(ROW(A98)&lt;=Capacity!$M$16,'Capacity calculation (hide)'!BH209,"")</f>
        <v/>
      </c>
      <c r="H215" s="215" t="str">
        <f>IF(ROW(A98)&lt;=Capacity!$M$16,Capacity!T114,"")</f>
        <v/>
      </c>
      <c r="I215" s="217" t="str">
        <f>IF(ROW(A98)&lt;=Capacity!$M$16,'Capacity calculation (hide)'!DL208,"")</f>
        <v/>
      </c>
      <c r="J215" s="218" t="str">
        <f t="shared" si="3"/>
        <v/>
      </c>
    </row>
    <row r="216" spans="2:10" hidden="1" x14ac:dyDescent="0.2">
      <c r="B216" s="218" t="str">
        <f>IF(Capacity!N115=0,"",Capacity!N115)</f>
        <v/>
      </c>
      <c r="C216" s="132"/>
      <c r="D216" s="132"/>
      <c r="E216" s="132"/>
      <c r="F216" s="215" t="str">
        <f>IF(ROW(A99)&lt;=Capacity!$M$16,Capacity!Q115,"")</f>
        <v/>
      </c>
      <c r="G216" s="320" t="str">
        <f>IF(ROW(A99)&lt;=Capacity!$M$16,'Capacity calculation (hide)'!BH210,"")</f>
        <v/>
      </c>
      <c r="H216" s="215" t="str">
        <f>IF(ROW(A99)&lt;=Capacity!$M$16,Capacity!T115,"")</f>
        <v/>
      </c>
      <c r="I216" s="217" t="str">
        <f>IF(ROW(A99)&lt;=Capacity!$M$16,'Capacity calculation (hide)'!DL209,"")</f>
        <v/>
      </c>
      <c r="J216" s="218" t="str">
        <f t="shared" si="3"/>
        <v/>
      </c>
    </row>
    <row r="217" spans="2:10" hidden="1" x14ac:dyDescent="0.2">
      <c r="B217" s="218" t="str">
        <f>IF(Capacity!N116=0,"",Capacity!N116)</f>
        <v/>
      </c>
      <c r="C217" s="132"/>
      <c r="D217" s="132"/>
      <c r="E217" s="132"/>
      <c r="F217" s="215" t="str">
        <f>IF(ROW(A100)&lt;=Capacity!$M$16,Capacity!Q116,"")</f>
        <v/>
      </c>
      <c r="G217" s="320" t="str">
        <f>IF(ROW(A100)&lt;=Capacity!$M$16,'Capacity calculation (hide)'!BH211,"")</f>
        <v/>
      </c>
      <c r="H217" s="215" t="str">
        <f>IF(ROW(A100)&lt;=Capacity!$M$16,Capacity!T116,"")</f>
        <v/>
      </c>
      <c r="I217" s="217" t="str">
        <f>IF(ROW(A100)&lt;=Capacity!$M$16,'Capacity calculation (hide)'!DL210,"")</f>
        <v/>
      </c>
      <c r="J217" s="218" t="str">
        <f t="shared" si="3"/>
        <v/>
      </c>
    </row>
  </sheetData>
  <dataConsolidate/>
  <mergeCells count="1">
    <mergeCell ref="B1:D1"/>
  </mergeCells>
  <conditionalFormatting sqref="B12:J111">
    <cfRule type="expression" dxfId="32" priority="4">
      <formula>IF($B12="",FALSE,TRUE)</formula>
    </cfRule>
  </conditionalFormatting>
  <conditionalFormatting sqref="B12:B111 F12:I111">
    <cfRule type="expression" dxfId="31" priority="3">
      <formula>IF($B12="",FALSE, TRUE)</formula>
    </cfRule>
  </conditionalFormatting>
  <conditionalFormatting sqref="B118:J217">
    <cfRule type="expression" dxfId="30" priority="2">
      <formula>IF($B118="",FALSE,TRUE)</formula>
    </cfRule>
  </conditionalFormatting>
  <conditionalFormatting sqref="B118:B217 F118:I217">
    <cfRule type="expression" dxfId="29"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46"/>
  <sheetViews>
    <sheetView showGridLines="0" showRowColHeaders="0" zoomScaleNormal="100" workbookViewId="0">
      <selection activeCell="I124" sqref="I124"/>
    </sheetView>
  </sheetViews>
  <sheetFormatPr defaultColWidth="9" defaultRowHeight="14.25" x14ac:dyDescent="0.2"/>
  <cols>
    <col min="1" max="1" width="0.25" style="67" customWidth="1"/>
    <col min="2" max="2" width="19.625" style="67" customWidth="1"/>
    <col min="3" max="6" width="9.125" style="67" customWidth="1"/>
    <col min="7" max="7" width="6.125" style="67" customWidth="1"/>
    <col min="8" max="9" width="2.125" style="67" customWidth="1"/>
    <col min="10" max="10" width="2.25" style="67" customWidth="1"/>
    <col min="11" max="12" width="2.125" style="67" customWidth="1"/>
    <col min="13" max="13" width="2.5" style="67" customWidth="1"/>
    <col min="14" max="16" width="2.125" style="67" customWidth="1"/>
    <col min="17" max="17" width="2.25" style="67" customWidth="1"/>
    <col min="18" max="19" width="2.125" style="67" customWidth="1"/>
    <col min="20" max="20" width="2.25" style="67" customWidth="1"/>
    <col min="21" max="21" width="2.125" style="67" customWidth="1"/>
    <col min="22" max="22" width="2.25" style="67" customWidth="1"/>
    <col min="23" max="25" width="2.125" style="67" customWidth="1"/>
    <col min="26" max="27" width="2.25" style="67" customWidth="1"/>
    <col min="28" max="28" width="2.125" style="67" customWidth="1"/>
    <col min="29" max="29" width="2.25" style="67" customWidth="1"/>
    <col min="30" max="30" width="2.125" style="67" customWidth="1"/>
    <col min="31" max="32" width="2.25" style="67" customWidth="1"/>
    <col min="33" max="33" width="2.125" style="67" customWidth="1"/>
    <col min="34" max="34" width="2.25" style="67" customWidth="1"/>
    <col min="35" max="36" width="2.125" style="67" customWidth="1"/>
    <col min="37" max="37" width="2.5" style="67" customWidth="1"/>
    <col min="38" max="40" width="2.125" style="67" customWidth="1"/>
    <col min="41" max="41" width="2.25" style="67" customWidth="1"/>
    <col min="42" max="44" width="2.125" style="67" customWidth="1"/>
    <col min="45" max="46" width="2.25" style="67" customWidth="1"/>
    <col min="47" max="48" width="2.125" style="67" customWidth="1"/>
    <col min="49" max="49" width="2.25" style="67" customWidth="1"/>
    <col min="50" max="50" width="2.125" style="67" customWidth="1"/>
    <col min="51" max="51" width="2.25" style="67" customWidth="1"/>
    <col min="52" max="52" width="2.125" style="67" customWidth="1"/>
    <col min="53" max="53" width="2.5" style="67" customWidth="1"/>
    <col min="54" max="57" width="2.125" style="67" customWidth="1"/>
    <col min="58" max="58" width="2.25" style="67" customWidth="1"/>
    <col min="59" max="59" width="2.125" style="67" customWidth="1"/>
    <col min="60" max="60" width="2.75" style="67" customWidth="1"/>
    <col min="61" max="61" width="6.5" style="67" bestFit="1" customWidth="1"/>
    <col min="62" max="66" width="9" style="67" customWidth="1"/>
    <col min="67" max="16384" width="9" style="67"/>
  </cols>
  <sheetData>
    <row r="2" spans="2:64" ht="15" x14ac:dyDescent="0.25">
      <c r="B2" s="2" t="s">
        <v>477</v>
      </c>
    </row>
    <row r="3" spans="2:64" x14ac:dyDescent="0.2">
      <c r="C3" s="45" t="s">
        <v>480</v>
      </c>
      <c r="D3" s="45" t="s">
        <v>481</v>
      </c>
    </row>
    <row r="4" spans="2:64" ht="28.5" x14ac:dyDescent="0.2">
      <c r="B4" s="80" t="str">
        <f>"Total Capacity 
("&amp;$C$16&amp;" per year):"</f>
        <v>Total Capacity 
(Patients per year):</v>
      </c>
      <c r="C4" s="221">
        <f>'Capacity calculation (hide)'!DL4</f>
        <v>0</v>
      </c>
      <c r="D4" s="221">
        <f>'Capacity calculation (hide)'!DL111</f>
        <v>0</v>
      </c>
      <c r="E4" s="135"/>
      <c r="F4" s="135"/>
    </row>
    <row r="5" spans="2:64" x14ac:dyDescent="0.2">
      <c r="H5" s="79"/>
      <c r="I5" s="79"/>
      <c r="J5" s="79"/>
      <c r="K5" s="79"/>
      <c r="L5" s="79"/>
      <c r="M5" s="79"/>
      <c r="N5" s="79"/>
      <c r="O5" s="79"/>
      <c r="P5" s="79"/>
      <c r="Q5" s="79"/>
      <c r="R5" s="79"/>
      <c r="S5" s="79"/>
      <c r="T5" s="79"/>
      <c r="U5" s="79"/>
      <c r="V5" s="79"/>
      <c r="W5" s="79"/>
      <c r="X5" s="79"/>
      <c r="Y5" s="79"/>
    </row>
    <row r="6" spans="2:64" ht="14.25" customHeight="1" x14ac:dyDescent="0.2">
      <c r="B6" s="116" t="s">
        <v>438</v>
      </c>
      <c r="C6" s="116" t="s">
        <v>439</v>
      </c>
      <c r="D6" s="127"/>
      <c r="E6" s="127"/>
      <c r="F6" s="127"/>
      <c r="G6" s="65"/>
      <c r="H6" s="125"/>
      <c r="I6" s="125"/>
      <c r="J6" s="66"/>
      <c r="K6" s="66"/>
      <c r="L6" s="66"/>
      <c r="M6" s="66"/>
      <c r="N6" s="66"/>
      <c r="O6" s="66"/>
      <c r="P6" s="66"/>
      <c r="Q6" s="66"/>
      <c r="R6" s="66"/>
      <c r="S6" s="66"/>
      <c r="T6" s="66"/>
      <c r="U6" s="66"/>
      <c r="V6" s="66"/>
      <c r="W6" s="66"/>
      <c r="X6" s="66"/>
      <c r="Y6" s="66"/>
      <c r="Z6" s="66"/>
      <c r="AA6" s="66"/>
      <c r="AB6" s="66"/>
      <c r="AC6" s="66"/>
      <c r="AD6" s="66"/>
      <c r="AE6" s="66"/>
      <c r="AF6" s="66"/>
      <c r="AG6" s="66"/>
      <c r="AH6" s="66"/>
      <c r="AI6" s="66"/>
      <c r="AJ6" s="66"/>
      <c r="AK6" s="66"/>
      <c r="AL6" s="66"/>
      <c r="AM6" s="66"/>
      <c r="AN6" s="66"/>
      <c r="AO6" s="66"/>
      <c r="AP6" s="66"/>
      <c r="AQ6" s="66"/>
      <c r="AR6" s="66"/>
      <c r="AS6" s="66"/>
      <c r="AT6" s="66"/>
      <c r="AU6" s="66"/>
      <c r="AV6" s="66"/>
      <c r="AW6" s="66"/>
      <c r="AX6" s="66"/>
      <c r="AY6" s="66"/>
      <c r="AZ6" s="66"/>
      <c r="BA6" s="66"/>
      <c r="BB6" s="66"/>
      <c r="BC6" s="66"/>
      <c r="BD6" s="66"/>
      <c r="BE6" s="66"/>
      <c r="BF6" s="66"/>
      <c r="BG6" s="66"/>
      <c r="BH6" s="66"/>
      <c r="BI6" s="66"/>
      <c r="BJ6" s="66"/>
    </row>
    <row r="7" spans="2:64" x14ac:dyDescent="0.2">
      <c r="B7" s="122"/>
      <c r="C7" s="122"/>
      <c r="D7" s="127"/>
      <c r="E7" s="127"/>
      <c r="F7" s="127"/>
      <c r="G7" s="65"/>
      <c r="H7" s="125"/>
      <c r="I7" s="125"/>
      <c r="J7" s="66"/>
      <c r="K7" s="66"/>
      <c r="L7" s="66"/>
      <c r="M7" s="66"/>
      <c r="N7" s="66"/>
      <c r="O7" s="66"/>
      <c r="P7" s="66"/>
      <c r="Q7" s="66"/>
      <c r="R7" s="66"/>
      <c r="S7" s="66"/>
      <c r="T7" s="66"/>
      <c r="U7" s="66"/>
      <c r="V7" s="66"/>
      <c r="W7" s="66"/>
      <c r="X7" s="66"/>
      <c r="Y7" s="66"/>
      <c r="Z7" s="66"/>
      <c r="AA7" s="66"/>
      <c r="AB7" s="66"/>
      <c r="AC7" s="66"/>
      <c r="AD7" s="66"/>
      <c r="AE7" s="66"/>
      <c r="AF7" s="66"/>
      <c r="AG7" s="66"/>
      <c r="AH7" s="66"/>
      <c r="AI7" s="66"/>
      <c r="AJ7" s="66"/>
      <c r="AK7" s="66"/>
      <c r="AL7" s="66"/>
      <c r="AM7" s="66"/>
      <c r="AN7" s="66"/>
      <c r="AO7" s="66"/>
      <c r="AP7" s="66"/>
      <c r="AQ7" s="66"/>
      <c r="AR7" s="66"/>
      <c r="AS7" s="66"/>
      <c r="AT7" s="66"/>
      <c r="AU7" s="66"/>
      <c r="AV7" s="66"/>
      <c r="AW7" s="66"/>
      <c r="AX7" s="66"/>
      <c r="AY7" s="66"/>
      <c r="AZ7" s="66"/>
      <c r="BA7" s="66"/>
      <c r="BB7" s="66"/>
      <c r="BC7" s="66"/>
      <c r="BD7" s="66"/>
      <c r="BE7" s="66"/>
      <c r="BF7" s="66"/>
      <c r="BG7" s="66"/>
      <c r="BH7" s="66"/>
      <c r="BI7" s="66"/>
      <c r="BJ7" s="66"/>
      <c r="BK7" s="66"/>
      <c r="BL7" s="66"/>
    </row>
    <row r="8" spans="2:64" x14ac:dyDescent="0.2">
      <c r="B8" s="65"/>
      <c r="C8" s="65"/>
      <c r="D8" s="65"/>
      <c r="E8" s="65"/>
      <c r="F8" s="65"/>
      <c r="G8" s="65"/>
      <c r="H8" s="125"/>
      <c r="I8" s="125"/>
      <c r="J8" s="66"/>
      <c r="K8" s="66"/>
      <c r="L8" s="66"/>
      <c r="M8" s="66"/>
      <c r="N8" s="66"/>
      <c r="O8" s="66"/>
      <c r="P8" s="66"/>
      <c r="Q8" s="66"/>
      <c r="R8" s="66"/>
      <c r="S8" s="66"/>
      <c r="T8" s="66"/>
      <c r="U8" s="66"/>
      <c r="V8" s="66"/>
      <c r="W8" s="66"/>
      <c r="X8" s="66"/>
      <c r="Y8" s="66"/>
      <c r="Z8" s="66"/>
      <c r="AA8" s="66"/>
      <c r="AB8" s="66"/>
      <c r="AC8" s="66"/>
      <c r="AD8" s="66"/>
      <c r="AE8" s="66"/>
      <c r="AF8" s="66"/>
      <c r="AG8" s="66"/>
      <c r="AH8" s="66"/>
      <c r="AI8" s="66"/>
      <c r="AJ8" s="66"/>
      <c r="AK8" s="66"/>
      <c r="AL8" s="66"/>
      <c r="AM8" s="66"/>
      <c r="AN8" s="66"/>
      <c r="AO8" s="66"/>
      <c r="AP8" s="66"/>
      <c r="AQ8" s="66"/>
      <c r="AR8" s="66"/>
      <c r="AS8" s="66"/>
      <c r="AT8" s="66"/>
      <c r="AU8" s="66"/>
      <c r="AV8" s="66"/>
      <c r="AW8" s="66"/>
      <c r="AX8" s="66"/>
      <c r="AY8" s="66"/>
      <c r="AZ8" s="66"/>
      <c r="BA8" s="66"/>
      <c r="BB8" s="66"/>
      <c r="BC8" s="66"/>
      <c r="BD8" s="66"/>
      <c r="BE8" s="66"/>
      <c r="BF8" s="66"/>
      <c r="BG8" s="66"/>
      <c r="BH8" s="66"/>
      <c r="BI8" s="66"/>
      <c r="BJ8" s="66"/>
      <c r="BK8" s="66"/>
      <c r="BL8" s="66"/>
    </row>
    <row r="9" spans="2:64" x14ac:dyDescent="0.2">
      <c r="B9" s="67" t="s">
        <v>296</v>
      </c>
      <c r="H9" s="125"/>
      <c r="I9" s="125"/>
      <c r="J9" s="66"/>
      <c r="K9" s="66"/>
      <c r="L9" s="66"/>
      <c r="M9" s="66"/>
      <c r="N9" s="66"/>
      <c r="O9" s="66"/>
      <c r="P9" s="66"/>
      <c r="Q9" s="66"/>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row>
    <row r="10" spans="2:64" x14ac:dyDescent="0.2">
      <c r="B10" s="133" t="s">
        <v>471</v>
      </c>
      <c r="C10" s="407" t="s">
        <v>57</v>
      </c>
      <c r="D10" s="408"/>
      <c r="E10" s="409"/>
      <c r="F10" s="129"/>
      <c r="H10" s="125"/>
      <c r="I10" s="125"/>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row>
    <row r="11" spans="2:64" x14ac:dyDescent="0.2">
      <c r="B11" s="134" t="s">
        <v>472</v>
      </c>
      <c r="C11" s="407" t="s">
        <v>57</v>
      </c>
      <c r="D11" s="408"/>
      <c r="E11" s="409"/>
      <c r="F11" s="129"/>
      <c r="G11" s="126"/>
      <c r="H11" s="125"/>
      <c r="I11" s="125"/>
      <c r="J11" s="66"/>
      <c r="K11" s="66"/>
      <c r="L11" s="66"/>
      <c r="M11" s="66"/>
      <c r="N11" s="66"/>
      <c r="O11" s="66"/>
      <c r="P11" s="66"/>
      <c r="Q11" s="66"/>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row>
    <row r="12" spans="2:64" x14ac:dyDescent="0.2">
      <c r="H12" s="125"/>
      <c r="I12" s="125"/>
      <c r="J12" s="66"/>
      <c r="K12" s="66"/>
      <c r="L12" s="66"/>
      <c r="M12" s="66"/>
      <c r="N12" s="66"/>
      <c r="O12" s="66"/>
      <c r="P12" s="66"/>
      <c r="Q12" s="66"/>
      <c r="R12" s="66"/>
      <c r="S12" s="66"/>
      <c r="T12" s="66"/>
      <c r="U12" s="66"/>
      <c r="V12" s="66"/>
      <c r="W12" s="66"/>
      <c r="X12" s="66"/>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row>
    <row r="13" spans="2:64" ht="15" x14ac:dyDescent="0.25">
      <c r="C13" s="304" t="s">
        <v>481</v>
      </c>
      <c r="D13" s="304" t="s">
        <v>480</v>
      </c>
      <c r="H13" s="125"/>
      <c r="I13" s="125"/>
      <c r="J13" s="66"/>
      <c r="K13" s="66"/>
      <c r="L13" s="66"/>
      <c r="M13" s="66"/>
      <c r="N13" s="66"/>
      <c r="O13" s="66"/>
      <c r="P13" s="66"/>
      <c r="Q13" s="66"/>
      <c r="R13" s="66"/>
      <c r="S13" s="66"/>
      <c r="T13" s="66"/>
      <c r="U13" s="66"/>
      <c r="V13" s="66"/>
      <c r="W13" s="66"/>
      <c r="X13" s="66"/>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row>
    <row r="14" spans="2:64" x14ac:dyDescent="0.2">
      <c r="B14" s="81" t="s">
        <v>1157</v>
      </c>
      <c r="C14" s="153" t="s">
        <v>22</v>
      </c>
      <c r="D14" s="153" t="s">
        <v>20</v>
      </c>
      <c r="H14" s="125"/>
      <c r="I14" s="125"/>
      <c r="J14" s="66"/>
      <c r="K14" s="66"/>
      <c r="L14" s="66"/>
      <c r="M14" s="66"/>
      <c r="N14" s="66"/>
      <c r="O14" s="66"/>
      <c r="P14" s="66"/>
      <c r="Q14" s="66"/>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row>
    <row r="15" spans="2:64" x14ac:dyDescent="0.2">
      <c r="H15" s="125"/>
      <c r="I15" s="125"/>
      <c r="J15" s="66"/>
      <c r="K15" s="66"/>
      <c r="L15" s="66"/>
      <c r="M15" s="66"/>
      <c r="N15" s="66"/>
      <c r="O15" s="66"/>
      <c r="P15" s="66"/>
      <c r="Q15" s="66"/>
      <c r="R15" s="66"/>
      <c r="S15" s="66"/>
      <c r="T15" s="66"/>
      <c r="U15" s="66"/>
      <c r="V15" s="66"/>
      <c r="W15" s="66"/>
      <c r="X15" s="66"/>
      <c r="Y15" s="66"/>
      <c r="Z15" s="66"/>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row>
    <row r="16" spans="2:64" x14ac:dyDescent="0.2">
      <c r="B16" s="67" t="s">
        <v>14</v>
      </c>
      <c r="C16" s="162" t="s">
        <v>19</v>
      </c>
      <c r="H16" s="125"/>
      <c r="I16" s="125"/>
      <c r="J16" s="66"/>
      <c r="K16" s="66"/>
      <c r="L16" s="66"/>
      <c r="M16" s="66"/>
      <c r="N16" s="66"/>
      <c r="O16" s="66"/>
      <c r="P16" s="66"/>
      <c r="Q16" s="66"/>
      <c r="R16" s="66"/>
      <c r="S16" s="66"/>
      <c r="T16" s="66"/>
      <c r="U16" s="66"/>
      <c r="V16" s="66"/>
      <c r="W16" s="66"/>
      <c r="X16" s="66"/>
      <c r="Y16" s="66"/>
      <c r="Z16" s="66"/>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row>
    <row r="17" spans="2:64" x14ac:dyDescent="0.2">
      <c r="H17" s="125"/>
      <c r="I17" s="125"/>
      <c r="J17" s="66"/>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row>
    <row r="18" spans="2:64" x14ac:dyDescent="0.2">
      <c r="B18" s="335" t="s">
        <v>1207</v>
      </c>
      <c r="H18" s="125"/>
      <c r="I18" s="125"/>
      <c r="J18" s="66"/>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row>
    <row r="19" spans="2:64" x14ac:dyDescent="0.2">
      <c r="B19" s="336" t="s">
        <v>1208</v>
      </c>
      <c r="H19" s="125"/>
      <c r="I19" s="125"/>
      <c r="J19" s="66"/>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row>
    <row r="20" spans="2:64" ht="15" x14ac:dyDescent="0.25">
      <c r="B20" s="314" t="s">
        <v>1209</v>
      </c>
      <c r="H20" s="125"/>
      <c r="I20" s="125"/>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row>
    <row r="21" spans="2:64" ht="13.9" customHeight="1" x14ac:dyDescent="0.2">
      <c r="B21" s="426" t="s">
        <v>1273</v>
      </c>
      <c r="C21" s="429" t="s">
        <v>486</v>
      </c>
      <c r="D21" s="430"/>
      <c r="E21" s="433" t="s">
        <v>483</v>
      </c>
      <c r="F21" s="434"/>
      <c r="H21" s="125"/>
      <c r="I21" s="125"/>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row>
    <row r="22" spans="2:64" x14ac:dyDescent="0.2">
      <c r="B22" s="427"/>
      <c r="C22" s="431"/>
      <c r="D22" s="432"/>
      <c r="E22" s="435"/>
      <c r="F22" s="436"/>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row>
    <row r="23" spans="2:64" ht="28.5" x14ac:dyDescent="0.2">
      <c r="B23" s="428"/>
      <c r="C23" s="303" t="s">
        <v>484</v>
      </c>
      <c r="D23" s="143" t="s">
        <v>485</v>
      </c>
      <c r="E23" s="143" t="s">
        <v>484</v>
      </c>
      <c r="F23" s="282" t="s">
        <v>485</v>
      </c>
      <c r="H23" s="341"/>
      <c r="I23" s="341"/>
      <c r="J23" s="341"/>
      <c r="K23" s="341"/>
      <c r="L23" s="341"/>
      <c r="M23" s="341"/>
      <c r="N23" s="341"/>
      <c r="O23" s="341"/>
      <c r="P23" s="341"/>
      <c r="Q23" s="341"/>
      <c r="R23" s="341"/>
      <c r="S23" s="341"/>
      <c r="T23" s="341"/>
      <c r="U23" s="341"/>
      <c r="V23" s="341"/>
      <c r="W23" s="341"/>
      <c r="X23" s="341"/>
      <c r="Y23" s="341"/>
      <c r="Z23" s="341"/>
      <c r="AA23" s="341"/>
      <c r="AB23" s="341"/>
      <c r="AC23" s="341"/>
      <c r="AD23" s="341"/>
      <c r="AE23" s="341"/>
      <c r="AF23" s="341"/>
      <c r="AG23" s="341"/>
      <c r="AH23" s="341"/>
      <c r="AI23" s="341"/>
      <c r="AJ23" s="341"/>
      <c r="AK23" s="341"/>
      <c r="AL23" s="341"/>
      <c r="AM23" s="341"/>
      <c r="AN23" s="341"/>
      <c r="AO23" s="341"/>
      <c r="AP23" s="341"/>
      <c r="AQ23" s="341"/>
      <c r="AR23" s="341"/>
      <c r="AS23" s="341"/>
      <c r="AT23" s="341"/>
      <c r="AU23" s="341"/>
      <c r="AV23" s="341"/>
      <c r="AW23" s="341"/>
      <c r="AX23" s="341"/>
      <c r="AY23" s="341"/>
      <c r="AZ23" s="341"/>
      <c r="BA23" s="341"/>
      <c r="BB23" s="341"/>
      <c r="BC23" s="341"/>
      <c r="BD23" s="341"/>
      <c r="BE23" s="341"/>
      <c r="BF23" s="341"/>
      <c r="BG23" s="341"/>
      <c r="BH23" s="125"/>
      <c r="BI23" s="282" t="s">
        <v>1242</v>
      </c>
      <c r="BJ23" s="125"/>
      <c r="BK23" s="125"/>
      <c r="BL23" s="125"/>
    </row>
    <row r="24" spans="2:64" hidden="1" x14ac:dyDescent="0.2">
      <c r="B24" s="219" t="str">
        <f>IF(Capacity!N17="","",Capacity!N17)</f>
        <v/>
      </c>
      <c r="C24" s="220" t="str">
        <f>IF(B24="","",Capacity!Q17)</f>
        <v/>
      </c>
      <c r="D24" s="309" t="str">
        <f>IF(B24="","",Capacity!R17)</f>
        <v/>
      </c>
      <c r="E24" s="220" t="str">
        <f>IF(B24="","",IF(COUNTBLANK(H24:BG24)=52,SUM('Capacity calculation (hide)'!H112:BG112),52-COUNTBLANK(H24:BG24)))</f>
        <v/>
      </c>
      <c r="F24" s="310" t="str">
        <f>'Capacity calculation (hide)'!BI112</f>
        <v/>
      </c>
      <c r="H24" s="364"/>
      <c r="I24" s="364"/>
      <c r="J24" s="364"/>
      <c r="K24" s="364"/>
      <c r="L24" s="364"/>
      <c r="M24" s="364"/>
      <c r="N24" s="364"/>
      <c r="O24" s="364"/>
      <c r="P24" s="364"/>
      <c r="Q24" s="364"/>
      <c r="R24" s="364"/>
      <c r="S24" s="364"/>
      <c r="T24" s="364"/>
      <c r="U24" s="364"/>
      <c r="V24" s="364"/>
      <c r="W24" s="364"/>
      <c r="X24" s="364"/>
      <c r="Y24" s="364"/>
      <c r="Z24" s="364"/>
      <c r="AA24" s="364"/>
      <c r="AB24" s="364"/>
      <c r="AC24" s="364"/>
      <c r="AD24" s="364"/>
      <c r="AE24" s="364"/>
      <c r="AF24" s="364"/>
      <c r="AG24" s="364"/>
      <c r="AH24" s="364"/>
      <c r="AI24" s="364"/>
      <c r="AJ24" s="364"/>
      <c r="AK24" s="364"/>
      <c r="AL24" s="364"/>
      <c r="AM24" s="364"/>
      <c r="AN24" s="364"/>
      <c r="AO24" s="364"/>
      <c r="AP24" s="364"/>
      <c r="AQ24" s="364"/>
      <c r="AR24" s="364"/>
      <c r="AS24" s="364"/>
      <c r="AT24" s="364"/>
      <c r="AU24" s="364"/>
      <c r="AV24" s="364"/>
      <c r="AW24" s="364"/>
      <c r="AX24" s="364"/>
      <c r="AY24" s="364"/>
      <c r="AZ24" s="364"/>
      <c r="BA24" s="364"/>
      <c r="BB24" s="364"/>
      <c r="BC24" s="364"/>
      <c r="BD24" s="364"/>
      <c r="BE24" s="364"/>
      <c r="BF24" s="364"/>
      <c r="BG24" s="364" t="s">
        <v>1237</v>
      </c>
      <c r="BH24" s="66"/>
      <c r="BI24" s="342" t="s">
        <v>1237</v>
      </c>
      <c r="BJ24" s="66"/>
      <c r="BK24" s="66"/>
      <c r="BL24" s="66"/>
    </row>
    <row r="25" spans="2:64" hidden="1" x14ac:dyDescent="0.2">
      <c r="B25" s="219" t="str">
        <f>IF(Capacity!N18="","",Capacity!N18)</f>
        <v/>
      </c>
      <c r="C25" s="220" t="str">
        <f>IF(B25="","",Capacity!Q18)</f>
        <v/>
      </c>
      <c r="D25" s="309" t="str">
        <f>IF(B25="","",Capacity!R18)</f>
        <v/>
      </c>
      <c r="E25" s="220" t="str">
        <f>IF(B25="","",IF(COUNTBLANK(H25:BG25)=52,SUM('Capacity calculation (hide)'!H113:BG113),52-COUNTBLANK(H25:BG25)))</f>
        <v/>
      </c>
      <c r="F25" s="310" t="str">
        <f>'Capacity calculation (hide)'!BI113</f>
        <v/>
      </c>
      <c r="H25" s="365"/>
      <c r="I25" s="364"/>
      <c r="J25" s="364"/>
      <c r="K25" s="364"/>
      <c r="L25" s="364"/>
      <c r="M25" s="364"/>
      <c r="N25" s="364"/>
      <c r="O25" s="364"/>
      <c r="P25" s="364"/>
      <c r="Q25" s="364"/>
      <c r="R25" s="364"/>
      <c r="S25" s="364"/>
      <c r="T25" s="364"/>
      <c r="U25" s="364"/>
      <c r="V25" s="364"/>
      <c r="W25" s="364"/>
      <c r="X25" s="364"/>
      <c r="Y25" s="364"/>
      <c r="Z25" s="364"/>
      <c r="AA25" s="364"/>
      <c r="AB25" s="364"/>
      <c r="AC25" s="364"/>
      <c r="AD25" s="364"/>
      <c r="AE25" s="364"/>
      <c r="AF25" s="364"/>
      <c r="AG25" s="364"/>
      <c r="AH25" s="364"/>
      <c r="AI25" s="364"/>
      <c r="AJ25" s="364"/>
      <c r="AK25" s="364"/>
      <c r="AL25" s="364"/>
      <c r="AM25" s="364"/>
      <c r="AN25" s="364"/>
      <c r="AO25" s="364"/>
      <c r="AP25" s="364"/>
      <c r="AQ25" s="364"/>
      <c r="AR25" s="364"/>
      <c r="AS25" s="364"/>
      <c r="AT25" s="364"/>
      <c r="AU25" s="364"/>
      <c r="AV25" s="364"/>
      <c r="AW25" s="364"/>
      <c r="AX25" s="364"/>
      <c r="AY25" s="364"/>
      <c r="AZ25" s="364"/>
      <c r="BA25" s="364"/>
      <c r="BB25" s="364"/>
      <c r="BC25" s="364"/>
      <c r="BD25" s="364"/>
      <c r="BE25" s="364"/>
      <c r="BF25" s="364"/>
      <c r="BG25" s="366"/>
      <c r="BH25" s="66"/>
      <c r="BI25" s="342" t="s">
        <v>1237</v>
      </c>
    </row>
    <row r="26" spans="2:64" hidden="1" x14ac:dyDescent="0.2">
      <c r="B26" s="219" t="str">
        <f>IF(Capacity!N19="","",Capacity!N19)</f>
        <v/>
      </c>
      <c r="C26" s="220" t="str">
        <f>IF(B26="","",Capacity!Q19)</f>
        <v/>
      </c>
      <c r="D26" s="309" t="str">
        <f>IF(B26="","",Capacity!R19)</f>
        <v/>
      </c>
      <c r="E26" s="220" t="str">
        <f>IF(B26="","",IF(COUNTBLANK(H26:BG26)=52,SUM('Capacity calculation (hide)'!H114:BG114),52-COUNTBLANK(H26:BG26)))</f>
        <v/>
      </c>
      <c r="F26" s="310" t="str">
        <f>'Capacity calculation (hide)'!BI114</f>
        <v/>
      </c>
      <c r="H26" s="364"/>
      <c r="I26" s="364"/>
      <c r="J26" s="364"/>
      <c r="K26" s="364"/>
      <c r="L26" s="364"/>
      <c r="M26" s="364"/>
      <c r="N26" s="364"/>
      <c r="O26" s="364"/>
      <c r="P26" s="364"/>
      <c r="Q26" s="364"/>
      <c r="R26" s="364"/>
      <c r="S26" s="364"/>
      <c r="T26" s="364"/>
      <c r="U26" s="364"/>
      <c r="V26" s="364"/>
      <c r="W26" s="364"/>
      <c r="X26" s="364"/>
      <c r="Y26" s="364"/>
      <c r="Z26" s="364"/>
      <c r="AA26" s="364"/>
      <c r="AB26" s="364"/>
      <c r="AC26" s="364"/>
      <c r="AD26" s="364"/>
      <c r="AE26" s="364"/>
      <c r="AF26" s="364"/>
      <c r="AG26" s="364"/>
      <c r="AH26" s="364"/>
      <c r="AI26" s="364"/>
      <c r="AJ26" s="364"/>
      <c r="AK26" s="364"/>
      <c r="AL26" s="364"/>
      <c r="AM26" s="364"/>
      <c r="AN26" s="364"/>
      <c r="AO26" s="364"/>
      <c r="AP26" s="364"/>
      <c r="AQ26" s="364"/>
      <c r="AR26" s="364"/>
      <c r="AS26" s="364"/>
      <c r="AT26" s="364"/>
      <c r="AU26" s="364"/>
      <c r="AV26" s="364"/>
      <c r="AW26" s="364"/>
      <c r="AX26" s="364"/>
      <c r="AY26" s="364"/>
      <c r="AZ26" s="364"/>
      <c r="BA26" s="364"/>
      <c r="BB26" s="364"/>
      <c r="BC26" s="364"/>
      <c r="BD26" s="364"/>
      <c r="BE26" s="364"/>
      <c r="BF26" s="364"/>
      <c r="BG26" s="364"/>
      <c r="BH26" s="129"/>
      <c r="BI26" s="342" t="s">
        <v>1237</v>
      </c>
    </row>
    <row r="27" spans="2:64" hidden="1" x14ac:dyDescent="0.2">
      <c r="B27" s="219" t="str">
        <f>IF(Capacity!N20="","",Capacity!N20)</f>
        <v/>
      </c>
      <c r="C27" s="220" t="str">
        <f>IF(B27="","",Capacity!Q20)</f>
        <v/>
      </c>
      <c r="D27" s="309" t="str">
        <f>IF(B27="","",Capacity!R20)</f>
        <v/>
      </c>
      <c r="E27" s="220" t="str">
        <f>IF(B27="","",IF(COUNTBLANK(H27:BG27)=52,SUM('Capacity calculation (hide)'!H115:BG115),52-COUNTBLANK(H27:BG27)))</f>
        <v/>
      </c>
      <c r="F27" s="310" t="str">
        <f>'Capacity calculation (hide)'!BI115</f>
        <v/>
      </c>
      <c r="H27" s="364"/>
      <c r="I27" s="364"/>
      <c r="J27" s="364"/>
      <c r="K27" s="364"/>
      <c r="L27" s="364"/>
      <c r="M27" s="364"/>
      <c r="N27" s="364"/>
      <c r="O27" s="364"/>
      <c r="P27" s="364"/>
      <c r="Q27" s="364"/>
      <c r="R27" s="364"/>
      <c r="S27" s="364"/>
      <c r="T27" s="364"/>
      <c r="U27" s="364"/>
      <c r="V27" s="364"/>
      <c r="W27" s="364"/>
      <c r="X27" s="364"/>
      <c r="Y27" s="364"/>
      <c r="Z27" s="364"/>
      <c r="AA27" s="364"/>
      <c r="AB27" s="364"/>
      <c r="AC27" s="364"/>
      <c r="AD27" s="363"/>
      <c r="AE27" s="363"/>
      <c r="AF27" s="363"/>
      <c r="AG27" s="363"/>
      <c r="AH27" s="363"/>
      <c r="AI27" s="363"/>
      <c r="AJ27" s="363"/>
      <c r="AK27" s="363"/>
      <c r="AL27" s="363"/>
      <c r="AM27" s="363"/>
      <c r="AN27" s="363"/>
      <c r="AO27" s="363"/>
      <c r="AP27" s="363"/>
      <c r="AQ27" s="363"/>
      <c r="AR27" s="363"/>
      <c r="AS27" s="363"/>
      <c r="AT27" s="363"/>
      <c r="AU27" s="363"/>
      <c r="AV27" s="363"/>
      <c r="AW27" s="363"/>
      <c r="AX27" s="363"/>
      <c r="AY27" s="363"/>
      <c r="AZ27" s="363"/>
      <c r="BA27" s="363"/>
      <c r="BB27" s="363"/>
      <c r="BC27" s="363"/>
      <c r="BD27" s="363"/>
      <c r="BE27" s="363"/>
      <c r="BF27" s="363"/>
      <c r="BG27" s="363"/>
      <c r="BI27" s="342" t="s">
        <v>1237</v>
      </c>
    </row>
    <row r="28" spans="2:64" hidden="1" x14ac:dyDescent="0.2">
      <c r="B28" s="219" t="str">
        <f>IF(Capacity!N21="","",Capacity!N21)</f>
        <v/>
      </c>
      <c r="C28" s="220" t="str">
        <f>IF(B28="","",Capacity!Q21)</f>
        <v/>
      </c>
      <c r="D28" s="309" t="str">
        <f>IF(B28="","",Capacity!R21)</f>
        <v/>
      </c>
      <c r="E28" s="220" t="str">
        <f>IF(B28="","",IF(COUNTBLANK(H28:BG28)=52,SUM('Capacity calculation (hide)'!H116:BG116),52-COUNTBLANK(H28:BG28)))</f>
        <v/>
      </c>
      <c r="F28" s="310" t="str">
        <f>'Capacity calculation (hide)'!BI116</f>
        <v/>
      </c>
      <c r="H28" s="364"/>
      <c r="I28" s="364"/>
      <c r="J28" s="364"/>
      <c r="K28" s="364"/>
      <c r="L28" s="364"/>
      <c r="M28" s="364"/>
      <c r="N28" s="364"/>
      <c r="O28" s="364"/>
      <c r="P28" s="364"/>
      <c r="Q28" s="364"/>
      <c r="R28" s="364"/>
      <c r="S28" s="364"/>
      <c r="T28" s="364"/>
      <c r="U28" s="364"/>
      <c r="V28" s="364"/>
      <c r="W28" s="364"/>
      <c r="X28" s="364"/>
      <c r="Y28" s="364"/>
      <c r="Z28" s="364"/>
      <c r="AA28" s="364"/>
      <c r="AB28" s="364"/>
      <c r="AC28" s="364"/>
      <c r="AD28" s="363"/>
      <c r="AE28" s="363"/>
      <c r="AF28" s="363"/>
      <c r="AG28" s="363"/>
      <c r="AH28" s="363"/>
      <c r="AI28" s="363"/>
      <c r="AJ28" s="363"/>
      <c r="AK28" s="363"/>
      <c r="AL28" s="363"/>
      <c r="AM28" s="363"/>
      <c r="AN28" s="363"/>
      <c r="AO28" s="363"/>
      <c r="AP28" s="363"/>
      <c r="AQ28" s="363"/>
      <c r="AR28" s="363"/>
      <c r="AS28" s="363"/>
      <c r="AT28" s="363"/>
      <c r="AU28" s="363"/>
      <c r="AV28" s="363"/>
      <c r="AW28" s="363"/>
      <c r="AX28" s="363"/>
      <c r="AY28" s="363"/>
      <c r="AZ28" s="363"/>
      <c r="BA28" s="363"/>
      <c r="BB28" s="363"/>
      <c r="BC28" s="363"/>
      <c r="BD28" s="363"/>
      <c r="BE28" s="363"/>
      <c r="BF28" s="363"/>
      <c r="BG28" s="363"/>
      <c r="BI28" s="342" t="s">
        <v>1237</v>
      </c>
    </row>
    <row r="29" spans="2:64" hidden="1" x14ac:dyDescent="0.2">
      <c r="B29" s="219" t="str">
        <f>IF(Capacity!N22="","",Capacity!N22)</f>
        <v/>
      </c>
      <c r="C29" s="220" t="str">
        <f>IF(B29="","",Capacity!Q22)</f>
        <v/>
      </c>
      <c r="D29" s="309" t="str">
        <f>IF(B29="","",Capacity!R22)</f>
        <v/>
      </c>
      <c r="E29" s="220" t="str">
        <f>IF(B29="","",IF(COUNTBLANK(H29:BG29)=52,SUM('Capacity calculation (hide)'!H117:BG117),52-COUNTBLANK(H29:BG29)))</f>
        <v/>
      </c>
      <c r="F29" s="310" t="str">
        <f>'Capacity calculation (hide)'!BI117</f>
        <v/>
      </c>
      <c r="H29" s="364"/>
      <c r="I29" s="364"/>
      <c r="J29" s="364"/>
      <c r="K29" s="364"/>
      <c r="L29" s="364"/>
      <c r="M29" s="364"/>
      <c r="N29" s="364"/>
      <c r="O29" s="364"/>
      <c r="P29" s="364"/>
      <c r="Q29" s="364"/>
      <c r="R29" s="364"/>
      <c r="S29" s="364"/>
      <c r="T29" s="364"/>
      <c r="U29" s="364"/>
      <c r="V29" s="364"/>
      <c r="W29" s="364"/>
      <c r="X29" s="364"/>
      <c r="Y29" s="364"/>
      <c r="Z29" s="364"/>
      <c r="AA29" s="364"/>
      <c r="AB29" s="364"/>
      <c r="AC29" s="364"/>
      <c r="AD29" s="363"/>
      <c r="AE29" s="363"/>
      <c r="AF29" s="363"/>
      <c r="AG29" s="363"/>
      <c r="AH29" s="363"/>
      <c r="AI29" s="363"/>
      <c r="AJ29" s="363"/>
      <c r="AK29" s="363"/>
      <c r="AL29" s="363"/>
      <c r="AM29" s="363"/>
      <c r="AN29" s="363"/>
      <c r="AO29" s="363"/>
      <c r="AP29" s="363"/>
      <c r="AQ29" s="363"/>
      <c r="AR29" s="363"/>
      <c r="AS29" s="363"/>
      <c r="AT29" s="363"/>
      <c r="AU29" s="363"/>
      <c r="AV29" s="363"/>
      <c r="AW29" s="363"/>
      <c r="AX29" s="363"/>
      <c r="AY29" s="363"/>
      <c r="AZ29" s="363"/>
      <c r="BA29" s="363"/>
      <c r="BB29" s="363"/>
      <c r="BC29" s="363"/>
      <c r="BD29" s="363"/>
      <c r="BE29" s="363"/>
      <c r="BF29" s="363"/>
      <c r="BG29" s="363"/>
      <c r="BI29" s="342" t="s">
        <v>1237</v>
      </c>
    </row>
    <row r="30" spans="2:64" hidden="1" x14ac:dyDescent="0.2">
      <c r="B30" s="219" t="str">
        <f>IF(Capacity!N23="","",Capacity!N23)</f>
        <v/>
      </c>
      <c r="C30" s="220" t="str">
        <f>IF(B30="","",Capacity!Q23)</f>
        <v/>
      </c>
      <c r="D30" s="309" t="str">
        <f>IF(B30="","",Capacity!R23)</f>
        <v/>
      </c>
      <c r="E30" s="220" t="str">
        <f>IF(B30="","",IF(COUNTBLANK(H30:BG30)=52,SUM('Capacity calculation (hide)'!H118:BG118),52-COUNTBLANK(H30:BG30)))</f>
        <v/>
      </c>
      <c r="F30" s="310" t="str">
        <f>'Capacity calculation (hide)'!BI118</f>
        <v/>
      </c>
      <c r="H30" s="364"/>
      <c r="I30" s="364"/>
      <c r="J30" s="364"/>
      <c r="K30" s="364"/>
      <c r="L30" s="364"/>
      <c r="M30" s="364"/>
      <c r="N30" s="364"/>
      <c r="O30" s="364"/>
      <c r="P30" s="364"/>
      <c r="Q30" s="364"/>
      <c r="R30" s="364"/>
      <c r="S30" s="364"/>
      <c r="T30" s="364"/>
      <c r="U30" s="364"/>
      <c r="V30" s="364"/>
      <c r="W30" s="364"/>
      <c r="X30" s="364"/>
      <c r="Y30" s="364"/>
      <c r="Z30" s="364"/>
      <c r="AA30" s="364"/>
      <c r="AB30" s="364"/>
      <c r="AC30" s="364"/>
      <c r="AD30" s="363"/>
      <c r="AE30" s="363"/>
      <c r="AF30" s="363"/>
      <c r="AG30" s="363"/>
      <c r="AH30" s="363"/>
      <c r="AI30" s="363"/>
      <c r="AJ30" s="363"/>
      <c r="AK30" s="363"/>
      <c r="AL30" s="363"/>
      <c r="AM30" s="363"/>
      <c r="AN30" s="363"/>
      <c r="AO30" s="363"/>
      <c r="AP30" s="363"/>
      <c r="AQ30" s="363"/>
      <c r="AR30" s="363"/>
      <c r="AS30" s="363"/>
      <c r="AT30" s="363"/>
      <c r="AU30" s="363"/>
      <c r="AV30" s="363"/>
      <c r="AW30" s="363"/>
      <c r="AX30" s="363"/>
      <c r="AY30" s="363"/>
      <c r="AZ30" s="363"/>
      <c r="BA30" s="363"/>
      <c r="BB30" s="363"/>
      <c r="BC30" s="363"/>
      <c r="BD30" s="363"/>
      <c r="BE30" s="363"/>
      <c r="BF30" s="363"/>
      <c r="BG30" s="363"/>
      <c r="BI30" s="342" t="s">
        <v>1237</v>
      </c>
    </row>
    <row r="31" spans="2:64" hidden="1" x14ac:dyDescent="0.2">
      <c r="B31" s="219" t="str">
        <f>IF(Capacity!N24="","",Capacity!N24)</f>
        <v/>
      </c>
      <c r="C31" s="220" t="str">
        <f>IF(B31="","",Capacity!Q24)</f>
        <v/>
      </c>
      <c r="D31" s="309" t="str">
        <f>IF(B31="","",Capacity!R24)</f>
        <v/>
      </c>
      <c r="E31" s="220" t="str">
        <f>IF(B31="","",IF(COUNTBLANK(H31:BG31)=52,SUM('Capacity calculation (hide)'!H119:BG119),52-COUNTBLANK(H31:BG31)))</f>
        <v/>
      </c>
      <c r="F31" s="310" t="str">
        <f>'Capacity calculation (hide)'!BI119</f>
        <v/>
      </c>
      <c r="H31" s="364"/>
      <c r="I31" s="364"/>
      <c r="J31" s="364"/>
      <c r="K31" s="364"/>
      <c r="L31" s="364"/>
      <c r="M31" s="364"/>
      <c r="N31" s="364"/>
      <c r="O31" s="364"/>
      <c r="P31" s="364"/>
      <c r="Q31" s="364"/>
      <c r="R31" s="364"/>
      <c r="S31" s="364"/>
      <c r="T31" s="364"/>
      <c r="U31" s="364"/>
      <c r="V31" s="364"/>
      <c r="W31" s="364"/>
      <c r="X31" s="364"/>
      <c r="Y31" s="364"/>
      <c r="Z31" s="364"/>
      <c r="AA31" s="364"/>
      <c r="AB31" s="364"/>
      <c r="AC31" s="364"/>
      <c r="AD31" s="363"/>
      <c r="AE31" s="363"/>
      <c r="AF31" s="363"/>
      <c r="AG31" s="363"/>
      <c r="AH31" s="363"/>
      <c r="AI31" s="363"/>
      <c r="AJ31" s="363"/>
      <c r="AK31" s="363"/>
      <c r="AL31" s="363"/>
      <c r="AM31" s="363"/>
      <c r="AN31" s="363"/>
      <c r="AO31" s="363"/>
      <c r="AP31" s="363"/>
      <c r="AQ31" s="363"/>
      <c r="AR31" s="363"/>
      <c r="AS31" s="363"/>
      <c r="AT31" s="363"/>
      <c r="AU31" s="363"/>
      <c r="AV31" s="363"/>
      <c r="AW31" s="363"/>
      <c r="AX31" s="363"/>
      <c r="AY31" s="363"/>
      <c r="AZ31" s="363"/>
      <c r="BA31" s="363"/>
      <c r="BB31" s="363"/>
      <c r="BC31" s="363"/>
      <c r="BD31" s="363"/>
      <c r="BE31" s="363"/>
      <c r="BF31" s="363"/>
      <c r="BG31" s="363"/>
      <c r="BI31" s="342" t="s">
        <v>1237</v>
      </c>
    </row>
    <row r="32" spans="2:64" hidden="1" x14ac:dyDescent="0.2">
      <c r="B32" s="219" t="str">
        <f>IF(Capacity!N25="","",Capacity!N25)</f>
        <v/>
      </c>
      <c r="C32" s="220" t="str">
        <f>IF(B32="","",Capacity!Q25)</f>
        <v/>
      </c>
      <c r="D32" s="309" t="str">
        <f>IF(B32="","",Capacity!R25)</f>
        <v/>
      </c>
      <c r="E32" s="220" t="str">
        <f>IF(B32="","",IF(COUNTBLANK(H32:BG32)=52,SUM('Capacity calculation (hide)'!H120:BG120),52-COUNTBLANK(H32:BG32)))</f>
        <v/>
      </c>
      <c r="F32" s="310" t="str">
        <f>'Capacity calculation (hide)'!BI120</f>
        <v/>
      </c>
      <c r="H32" s="364"/>
      <c r="I32" s="364"/>
      <c r="J32" s="364"/>
      <c r="K32" s="364"/>
      <c r="L32" s="364"/>
      <c r="M32" s="364"/>
      <c r="N32" s="364"/>
      <c r="O32" s="364"/>
      <c r="P32" s="364"/>
      <c r="Q32" s="364"/>
      <c r="R32" s="364"/>
      <c r="S32" s="364"/>
      <c r="T32" s="364"/>
      <c r="U32" s="364"/>
      <c r="V32" s="364"/>
      <c r="W32" s="364"/>
      <c r="X32" s="364"/>
      <c r="Y32" s="364"/>
      <c r="Z32" s="364"/>
      <c r="AA32" s="364"/>
      <c r="AB32" s="364"/>
      <c r="AC32" s="364"/>
      <c r="AD32" s="363"/>
      <c r="AE32" s="363"/>
      <c r="AF32" s="363"/>
      <c r="AG32" s="363"/>
      <c r="AH32" s="363"/>
      <c r="AI32" s="363"/>
      <c r="AJ32" s="363"/>
      <c r="AK32" s="363"/>
      <c r="AL32" s="363"/>
      <c r="AM32" s="363"/>
      <c r="AN32" s="363"/>
      <c r="AO32" s="363"/>
      <c r="AP32" s="363"/>
      <c r="AQ32" s="363"/>
      <c r="AR32" s="363"/>
      <c r="AS32" s="363"/>
      <c r="AT32" s="363"/>
      <c r="AU32" s="363"/>
      <c r="AV32" s="363"/>
      <c r="AW32" s="363"/>
      <c r="AX32" s="363"/>
      <c r="AY32" s="363"/>
      <c r="AZ32" s="363"/>
      <c r="BA32" s="363"/>
      <c r="BB32" s="363"/>
      <c r="BC32" s="363"/>
      <c r="BD32" s="363"/>
      <c r="BE32" s="363"/>
      <c r="BF32" s="363"/>
      <c r="BG32" s="363"/>
      <c r="BI32" s="342" t="s">
        <v>1237</v>
      </c>
    </row>
    <row r="33" spans="2:61" hidden="1" x14ac:dyDescent="0.2">
      <c r="B33" s="219" t="str">
        <f>IF(Capacity!N26="","",Capacity!N26)</f>
        <v/>
      </c>
      <c r="C33" s="220" t="str">
        <f>IF(B33="","",Capacity!Q26)</f>
        <v/>
      </c>
      <c r="D33" s="309" t="str">
        <f>IF(B33="","",Capacity!R26)</f>
        <v/>
      </c>
      <c r="E33" s="220" t="str">
        <f>IF(B33="","",IF(COUNTBLANK(H33:BG33)=52,SUM('Capacity calculation (hide)'!H121:BG121),52-COUNTBLANK(H33:BG33)))</f>
        <v/>
      </c>
      <c r="F33" s="310" t="str">
        <f>'Capacity calculation (hide)'!BI121</f>
        <v/>
      </c>
      <c r="H33" s="364"/>
      <c r="I33" s="364"/>
      <c r="J33" s="364"/>
      <c r="K33" s="364"/>
      <c r="L33" s="364"/>
      <c r="M33" s="364"/>
      <c r="N33" s="364"/>
      <c r="O33" s="364"/>
      <c r="P33" s="364"/>
      <c r="Q33" s="364"/>
      <c r="R33" s="364"/>
      <c r="S33" s="364"/>
      <c r="T33" s="364"/>
      <c r="U33" s="364"/>
      <c r="V33" s="364"/>
      <c r="W33" s="364"/>
      <c r="X33" s="364"/>
      <c r="Y33" s="364"/>
      <c r="Z33" s="364"/>
      <c r="AA33" s="364"/>
      <c r="AB33" s="364"/>
      <c r="AC33" s="364"/>
      <c r="AD33" s="363"/>
      <c r="AE33" s="363"/>
      <c r="AF33" s="363"/>
      <c r="AG33" s="363"/>
      <c r="AH33" s="363"/>
      <c r="AI33" s="363"/>
      <c r="AJ33" s="363"/>
      <c r="AK33" s="363"/>
      <c r="AL33" s="363"/>
      <c r="AM33" s="363"/>
      <c r="AN33" s="363"/>
      <c r="AO33" s="363"/>
      <c r="AP33" s="363"/>
      <c r="AQ33" s="363"/>
      <c r="AR33" s="363"/>
      <c r="AS33" s="363"/>
      <c r="AT33" s="363"/>
      <c r="AU33" s="363"/>
      <c r="AV33" s="363"/>
      <c r="AW33" s="363"/>
      <c r="AX33" s="363"/>
      <c r="AY33" s="363"/>
      <c r="AZ33" s="363"/>
      <c r="BA33" s="363"/>
      <c r="BB33" s="363"/>
      <c r="BC33" s="363"/>
      <c r="BD33" s="363"/>
      <c r="BE33" s="363"/>
      <c r="BF33" s="363"/>
      <c r="BG33" s="363"/>
      <c r="BI33" s="342" t="s">
        <v>1237</v>
      </c>
    </row>
    <row r="34" spans="2:61" hidden="1" x14ac:dyDescent="0.2">
      <c r="B34" s="219" t="str">
        <f>IF(Capacity!N27="","",Capacity!N27)</f>
        <v/>
      </c>
      <c r="C34" s="220" t="str">
        <f>IF(B34="","",Capacity!Q27)</f>
        <v/>
      </c>
      <c r="D34" s="309" t="str">
        <f>IF(B34="","",Capacity!R27)</f>
        <v/>
      </c>
      <c r="E34" s="220" t="str">
        <f>IF(B34="","",IF(COUNTBLANK(H34:BG34)=52,SUM('Capacity calculation (hide)'!H122:BG122),52-COUNTBLANK(H34:BG34)))</f>
        <v/>
      </c>
      <c r="F34" s="310" t="str">
        <f>'Capacity calculation (hide)'!BI122</f>
        <v/>
      </c>
      <c r="H34" s="363"/>
      <c r="I34" s="363"/>
      <c r="J34" s="367"/>
      <c r="K34" s="367"/>
      <c r="L34" s="367"/>
      <c r="M34" s="367"/>
      <c r="N34" s="367"/>
      <c r="O34" s="367"/>
      <c r="P34" s="367"/>
      <c r="Q34" s="367"/>
      <c r="R34" s="367"/>
      <c r="S34" s="367"/>
      <c r="T34" s="367"/>
      <c r="U34" s="367"/>
      <c r="V34" s="367"/>
      <c r="W34" s="367"/>
      <c r="X34" s="367"/>
      <c r="Y34" s="367"/>
      <c r="Z34" s="367"/>
      <c r="AA34" s="367"/>
      <c r="AB34" s="367"/>
      <c r="AC34" s="367"/>
      <c r="AD34" s="367"/>
      <c r="AE34" s="367"/>
      <c r="AF34" s="367"/>
      <c r="AG34" s="367"/>
      <c r="AH34" s="367"/>
      <c r="AI34" s="367"/>
      <c r="AJ34" s="367"/>
      <c r="AK34" s="367"/>
      <c r="AL34" s="367"/>
      <c r="AM34" s="367"/>
      <c r="AN34" s="367"/>
      <c r="AO34" s="367"/>
      <c r="AP34" s="367"/>
      <c r="AQ34" s="367"/>
      <c r="AR34" s="367"/>
      <c r="AS34" s="367"/>
      <c r="AT34" s="367"/>
      <c r="AU34" s="367"/>
      <c r="AV34" s="367"/>
      <c r="AW34" s="367"/>
      <c r="AX34" s="367"/>
      <c r="AY34" s="367"/>
      <c r="AZ34" s="367"/>
      <c r="BA34" s="367"/>
      <c r="BB34" s="367"/>
      <c r="BC34" s="367"/>
      <c r="BD34" s="367"/>
      <c r="BE34" s="367"/>
      <c r="BF34" s="367"/>
      <c r="BG34" s="363"/>
      <c r="BI34" s="342" t="s">
        <v>1237</v>
      </c>
    </row>
    <row r="35" spans="2:61" hidden="1" x14ac:dyDescent="0.2">
      <c r="B35" s="219" t="str">
        <f>IF(Capacity!N28="","",Capacity!N28)</f>
        <v/>
      </c>
      <c r="C35" s="220" t="str">
        <f>IF(B35="","",Capacity!Q28)</f>
        <v/>
      </c>
      <c r="D35" s="309" t="str">
        <f>IF(B35="","",Capacity!R28)</f>
        <v/>
      </c>
      <c r="E35" s="220" t="str">
        <f>IF(B35="","",IF(COUNTBLANK(H35:BG35)=52,SUM('Capacity calculation (hide)'!H123:BG123),52-COUNTBLANK(H35:BG35)))</f>
        <v/>
      </c>
      <c r="F35" s="310" t="str">
        <f>'Capacity calculation (hide)'!BI123</f>
        <v/>
      </c>
      <c r="H35" s="364"/>
      <c r="I35" s="364"/>
      <c r="J35" s="364"/>
      <c r="K35" s="364"/>
      <c r="L35" s="364"/>
      <c r="M35" s="364"/>
      <c r="N35" s="364"/>
      <c r="O35" s="364"/>
      <c r="P35" s="364"/>
      <c r="Q35" s="364"/>
      <c r="R35" s="364"/>
      <c r="S35" s="364"/>
      <c r="T35" s="364"/>
      <c r="U35" s="364"/>
      <c r="V35" s="364"/>
      <c r="W35" s="364"/>
      <c r="X35" s="364"/>
      <c r="Y35" s="364"/>
      <c r="Z35" s="364"/>
      <c r="AA35" s="364"/>
      <c r="AB35" s="364"/>
      <c r="AC35" s="364"/>
      <c r="AD35" s="364"/>
      <c r="AE35" s="364"/>
      <c r="AF35" s="364"/>
      <c r="AG35" s="364"/>
      <c r="AH35" s="364"/>
      <c r="AI35" s="364"/>
      <c r="AJ35" s="364"/>
      <c r="AK35" s="364"/>
      <c r="AL35" s="364"/>
      <c r="AM35" s="364"/>
      <c r="AN35" s="364"/>
      <c r="AO35" s="364"/>
      <c r="AP35" s="364"/>
      <c r="AQ35" s="364"/>
      <c r="AR35" s="364"/>
      <c r="AS35" s="364"/>
      <c r="AT35" s="364"/>
      <c r="AU35" s="364"/>
      <c r="AV35" s="364"/>
      <c r="AW35" s="364"/>
      <c r="AX35" s="364"/>
      <c r="AY35" s="364"/>
      <c r="AZ35" s="364"/>
      <c r="BA35" s="364"/>
      <c r="BB35" s="364"/>
      <c r="BC35" s="364"/>
      <c r="BD35" s="364"/>
      <c r="BE35" s="364"/>
      <c r="BF35" s="364"/>
      <c r="BG35" s="364"/>
      <c r="BI35" s="342" t="s">
        <v>1237</v>
      </c>
    </row>
    <row r="36" spans="2:61" hidden="1" x14ac:dyDescent="0.2">
      <c r="B36" s="219" t="str">
        <f>IF(Capacity!N29="","",Capacity!N29)</f>
        <v/>
      </c>
      <c r="C36" s="220" t="str">
        <f>IF(B36="","",Capacity!Q29)</f>
        <v/>
      </c>
      <c r="D36" s="309" t="str">
        <f>IF(B36="","",Capacity!R29)</f>
        <v/>
      </c>
      <c r="E36" s="220" t="str">
        <f>IF(B36="","",IF(COUNTBLANK(H36:BG36)=52,SUM('Capacity calculation (hide)'!H124:BG124),52-COUNTBLANK(H36:BG36)))</f>
        <v/>
      </c>
      <c r="F36" s="310" t="str">
        <f>'Capacity calculation (hide)'!BI124</f>
        <v/>
      </c>
      <c r="H36" s="364"/>
      <c r="I36" s="364"/>
      <c r="J36" s="364"/>
      <c r="K36" s="364"/>
      <c r="L36" s="364"/>
      <c r="M36" s="364"/>
      <c r="N36" s="364"/>
      <c r="O36" s="364"/>
      <c r="P36" s="364"/>
      <c r="Q36" s="364"/>
      <c r="R36" s="364"/>
      <c r="S36" s="364"/>
      <c r="T36" s="364"/>
      <c r="U36" s="364"/>
      <c r="V36" s="364"/>
      <c r="W36" s="364"/>
      <c r="X36" s="364"/>
      <c r="Y36" s="364"/>
      <c r="Z36" s="364"/>
      <c r="AA36" s="364"/>
      <c r="AB36" s="364"/>
      <c r="AC36" s="364"/>
      <c r="AD36" s="364"/>
      <c r="AE36" s="364"/>
      <c r="AF36" s="364"/>
      <c r="AG36" s="364"/>
      <c r="AH36" s="364"/>
      <c r="AI36" s="364"/>
      <c r="AJ36" s="364"/>
      <c r="AK36" s="364"/>
      <c r="AL36" s="364"/>
      <c r="AM36" s="364"/>
      <c r="AN36" s="364"/>
      <c r="AO36" s="364"/>
      <c r="AP36" s="364"/>
      <c r="AQ36" s="364"/>
      <c r="AR36" s="364"/>
      <c r="AS36" s="364"/>
      <c r="AT36" s="364"/>
      <c r="AU36" s="364"/>
      <c r="AV36" s="364"/>
      <c r="AW36" s="364"/>
      <c r="AX36" s="364"/>
      <c r="AY36" s="364"/>
      <c r="AZ36" s="364"/>
      <c r="BA36" s="364"/>
      <c r="BB36" s="364"/>
      <c r="BC36" s="364"/>
      <c r="BD36" s="364"/>
      <c r="BE36" s="364"/>
      <c r="BF36" s="364"/>
      <c r="BG36" s="364"/>
      <c r="BI36" s="342" t="s">
        <v>1237</v>
      </c>
    </row>
    <row r="37" spans="2:61" hidden="1" x14ac:dyDescent="0.2">
      <c r="B37" s="219" t="str">
        <f>IF(Capacity!N30="","",Capacity!N30)</f>
        <v/>
      </c>
      <c r="C37" s="220" t="str">
        <f>IF(B37="","",Capacity!Q30)</f>
        <v/>
      </c>
      <c r="D37" s="309" t="str">
        <f>IF(B37="","",Capacity!R30)</f>
        <v/>
      </c>
      <c r="E37" s="220" t="str">
        <f>IF(B37="","",IF(COUNTBLANK(H37:BG37)=52,SUM('Capacity calculation (hide)'!H125:BG125),52-COUNTBLANK(H37:BG37)))</f>
        <v/>
      </c>
      <c r="F37" s="310" t="str">
        <f>'Capacity calculation (hide)'!BI125</f>
        <v/>
      </c>
      <c r="H37" s="363"/>
      <c r="I37" s="363"/>
      <c r="J37" s="363"/>
      <c r="K37" s="363"/>
      <c r="L37" s="363"/>
      <c r="M37" s="363"/>
      <c r="N37" s="363"/>
      <c r="O37" s="363"/>
      <c r="P37" s="363"/>
      <c r="Q37" s="363"/>
      <c r="R37" s="363"/>
      <c r="S37" s="363"/>
      <c r="T37" s="363"/>
      <c r="U37" s="363"/>
      <c r="V37" s="363"/>
      <c r="W37" s="363"/>
      <c r="X37" s="363"/>
      <c r="Y37" s="363"/>
      <c r="Z37" s="363"/>
      <c r="AA37" s="363"/>
      <c r="AB37" s="363"/>
      <c r="AC37" s="363"/>
      <c r="AD37" s="363"/>
      <c r="AE37" s="363"/>
      <c r="AF37" s="363"/>
      <c r="AG37" s="363"/>
      <c r="AH37" s="363"/>
      <c r="AI37" s="363"/>
      <c r="AJ37" s="363"/>
      <c r="AK37" s="363"/>
      <c r="AL37" s="363"/>
      <c r="AM37" s="363"/>
      <c r="AN37" s="363"/>
      <c r="AO37" s="363"/>
      <c r="AP37" s="363"/>
      <c r="AQ37" s="363"/>
      <c r="AR37" s="363"/>
      <c r="AS37" s="363"/>
      <c r="AT37" s="363"/>
      <c r="AU37" s="363"/>
      <c r="AV37" s="363"/>
      <c r="AW37" s="363"/>
      <c r="AX37" s="363"/>
      <c r="AY37" s="363"/>
      <c r="AZ37" s="363"/>
      <c r="BA37" s="363"/>
      <c r="BB37" s="363"/>
      <c r="BC37" s="363"/>
      <c r="BD37" s="363"/>
      <c r="BE37" s="363"/>
      <c r="BF37" s="363"/>
      <c r="BG37" s="363"/>
      <c r="BI37" s="342" t="s">
        <v>1237</v>
      </c>
    </row>
    <row r="38" spans="2:61" hidden="1" x14ac:dyDescent="0.2">
      <c r="B38" s="219" t="str">
        <f>IF(Capacity!N31="","",Capacity!N31)</f>
        <v/>
      </c>
      <c r="C38" s="220" t="str">
        <f>IF(B38="","",Capacity!Q31)</f>
        <v/>
      </c>
      <c r="D38" s="309" t="str">
        <f>IF(B38="","",Capacity!R31)</f>
        <v/>
      </c>
      <c r="E38" s="220" t="str">
        <f>IF(B38="","",IF(COUNTBLANK(H38:BG38)=52,SUM('Capacity calculation (hide)'!H126:BG126),52-COUNTBLANK(H38:BG38)))</f>
        <v/>
      </c>
      <c r="F38" s="310" t="str">
        <f>'Capacity calculation (hide)'!BI126</f>
        <v/>
      </c>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I38" s="342" t="s">
        <v>1237</v>
      </c>
    </row>
    <row r="39" spans="2:61" hidden="1" x14ac:dyDescent="0.2">
      <c r="B39" s="219" t="str">
        <f>IF(Capacity!N32="","",Capacity!N32)</f>
        <v/>
      </c>
      <c r="C39" s="220" t="str">
        <f>IF(B39="","",Capacity!Q32)</f>
        <v/>
      </c>
      <c r="D39" s="309" t="str">
        <f>IF(B39="","",Capacity!R32)</f>
        <v/>
      </c>
      <c r="E39" s="220" t="str">
        <f>IF(B39="","",IF(COUNTBLANK(H39:BG39)=52,SUM('Capacity calculation (hide)'!H127:BG127),52-COUNTBLANK(H39:BG39)))</f>
        <v/>
      </c>
      <c r="F39" s="310" t="str">
        <f>'Capacity calculation (hide)'!BI127</f>
        <v/>
      </c>
      <c r="H39" s="363"/>
      <c r="I39" s="363"/>
      <c r="J39" s="363"/>
      <c r="K39" s="363"/>
      <c r="L39" s="363"/>
      <c r="M39" s="363"/>
      <c r="N39" s="363"/>
      <c r="O39" s="363"/>
      <c r="P39" s="363"/>
      <c r="Q39" s="363"/>
      <c r="R39" s="363"/>
      <c r="S39" s="363"/>
      <c r="T39" s="363"/>
      <c r="U39" s="363"/>
      <c r="V39" s="363"/>
      <c r="W39" s="363"/>
      <c r="X39" s="363"/>
      <c r="Y39" s="363"/>
      <c r="Z39" s="363"/>
      <c r="AA39" s="363"/>
      <c r="AB39" s="363"/>
      <c r="AC39" s="363"/>
      <c r="AD39" s="363"/>
      <c r="AE39" s="363"/>
      <c r="AF39" s="363"/>
      <c r="AG39" s="363"/>
      <c r="AH39" s="363"/>
      <c r="AI39" s="363"/>
      <c r="AJ39" s="363"/>
      <c r="AK39" s="363"/>
      <c r="AL39" s="363"/>
      <c r="AM39" s="363"/>
      <c r="AN39" s="363"/>
      <c r="AO39" s="363"/>
      <c r="AP39" s="363"/>
      <c r="AQ39" s="363"/>
      <c r="AR39" s="363"/>
      <c r="AS39" s="363"/>
      <c r="AT39" s="363"/>
      <c r="AU39" s="363"/>
      <c r="AV39" s="363"/>
      <c r="AW39" s="363"/>
      <c r="AX39" s="363"/>
      <c r="AY39" s="363"/>
      <c r="AZ39" s="363"/>
      <c r="BA39" s="363"/>
      <c r="BB39" s="363"/>
      <c r="BC39" s="363"/>
      <c r="BD39" s="363"/>
      <c r="BE39" s="363"/>
      <c r="BF39" s="363"/>
      <c r="BG39" s="363"/>
      <c r="BI39" s="342" t="s">
        <v>1237</v>
      </c>
    </row>
    <row r="40" spans="2:61" hidden="1" x14ac:dyDescent="0.2">
      <c r="B40" s="219" t="str">
        <f>IF(Capacity!N33="","",Capacity!N33)</f>
        <v/>
      </c>
      <c r="C40" s="220" t="str">
        <f>IF(B40="","",Capacity!Q33)</f>
        <v/>
      </c>
      <c r="D40" s="309" t="str">
        <f>IF(B40="","",Capacity!R33)</f>
        <v/>
      </c>
      <c r="E40" s="220" t="str">
        <f>IF(B40="","",IF(COUNTBLANK(H40:BG40)=52,SUM('Capacity calculation (hide)'!H128:BG128),52-COUNTBLANK(H40:BG40)))</f>
        <v/>
      </c>
      <c r="F40" s="310" t="str">
        <f>'Capacity calculation (hide)'!BI128</f>
        <v/>
      </c>
      <c r="H40" s="363"/>
      <c r="I40" s="363"/>
      <c r="J40" s="363"/>
      <c r="K40" s="363"/>
      <c r="L40" s="363"/>
      <c r="M40" s="363"/>
      <c r="N40" s="363"/>
      <c r="O40" s="363"/>
      <c r="P40" s="363"/>
      <c r="Q40" s="363"/>
      <c r="R40" s="363"/>
      <c r="S40" s="363"/>
      <c r="T40" s="363"/>
      <c r="U40" s="363"/>
      <c r="V40" s="363"/>
      <c r="W40" s="363"/>
      <c r="X40" s="363"/>
      <c r="Y40" s="363"/>
      <c r="Z40" s="363"/>
      <c r="AA40" s="363"/>
      <c r="AB40" s="363"/>
      <c r="AC40" s="363"/>
      <c r="AD40" s="363"/>
      <c r="AE40" s="363"/>
      <c r="AF40" s="363"/>
      <c r="AG40" s="363"/>
      <c r="AH40" s="363"/>
      <c r="AI40" s="363"/>
      <c r="AJ40" s="363"/>
      <c r="AK40" s="363"/>
      <c r="AL40" s="363"/>
      <c r="AM40" s="363"/>
      <c r="AN40" s="363"/>
      <c r="AO40" s="363"/>
      <c r="AP40" s="363"/>
      <c r="AQ40" s="363"/>
      <c r="AR40" s="363"/>
      <c r="AS40" s="363"/>
      <c r="AT40" s="363"/>
      <c r="AU40" s="363"/>
      <c r="AV40" s="363"/>
      <c r="AW40" s="363"/>
      <c r="AX40" s="363"/>
      <c r="AY40" s="363"/>
      <c r="AZ40" s="363"/>
      <c r="BA40" s="363"/>
      <c r="BB40" s="363"/>
      <c r="BC40" s="363"/>
      <c r="BD40" s="363"/>
      <c r="BE40" s="363"/>
      <c r="BF40" s="363"/>
      <c r="BG40" s="363"/>
      <c r="BI40" s="342" t="s">
        <v>1237</v>
      </c>
    </row>
    <row r="41" spans="2:61" hidden="1" x14ac:dyDescent="0.2">
      <c r="B41" s="219" t="str">
        <f>IF(Capacity!N34="","",Capacity!N34)</f>
        <v/>
      </c>
      <c r="C41" s="220" t="str">
        <f>IF(B41="","",Capacity!Q34)</f>
        <v/>
      </c>
      <c r="D41" s="309" t="str">
        <f>IF(B41="","",Capacity!R34)</f>
        <v/>
      </c>
      <c r="E41" s="220" t="str">
        <f>IF(B41="","",IF(COUNTBLANK(H41:BG41)=52,SUM('Capacity calculation (hide)'!H129:BG129),52-COUNTBLANK(H41:BG41)))</f>
        <v/>
      </c>
      <c r="F41" s="310" t="str">
        <f>'Capacity calculation (hide)'!BI129</f>
        <v/>
      </c>
      <c r="H41" s="363"/>
      <c r="I41" s="363"/>
      <c r="J41" s="363"/>
      <c r="K41" s="363"/>
      <c r="L41" s="363"/>
      <c r="M41" s="363"/>
      <c r="N41" s="363"/>
      <c r="O41" s="363"/>
      <c r="P41" s="363"/>
      <c r="Q41" s="363"/>
      <c r="R41" s="363"/>
      <c r="S41" s="363"/>
      <c r="T41" s="363"/>
      <c r="U41" s="363"/>
      <c r="V41" s="363"/>
      <c r="W41" s="363"/>
      <c r="X41" s="363"/>
      <c r="Y41" s="363"/>
      <c r="Z41" s="363"/>
      <c r="AA41" s="363"/>
      <c r="AB41" s="363"/>
      <c r="AC41" s="363"/>
      <c r="AD41" s="363"/>
      <c r="AE41" s="363"/>
      <c r="AF41" s="363"/>
      <c r="AG41" s="363"/>
      <c r="AH41" s="363"/>
      <c r="AI41" s="363"/>
      <c r="AJ41" s="363"/>
      <c r="AK41" s="363"/>
      <c r="AL41" s="363"/>
      <c r="AM41" s="363"/>
      <c r="AN41" s="363"/>
      <c r="AO41" s="363"/>
      <c r="AP41" s="363"/>
      <c r="AQ41" s="363"/>
      <c r="AR41" s="363"/>
      <c r="AS41" s="363"/>
      <c r="AT41" s="363"/>
      <c r="AU41" s="363"/>
      <c r="AV41" s="363"/>
      <c r="AW41" s="363"/>
      <c r="AX41" s="363"/>
      <c r="AY41" s="363"/>
      <c r="AZ41" s="363"/>
      <c r="BA41" s="363"/>
      <c r="BB41" s="363"/>
      <c r="BC41" s="363"/>
      <c r="BD41" s="363"/>
      <c r="BE41" s="363"/>
      <c r="BF41" s="363"/>
      <c r="BG41" s="363"/>
      <c r="BI41" s="342" t="s">
        <v>1237</v>
      </c>
    </row>
    <row r="42" spans="2:61" hidden="1" x14ac:dyDescent="0.2">
      <c r="B42" s="219" t="str">
        <f>IF(Capacity!N35="","",Capacity!N35)</f>
        <v/>
      </c>
      <c r="C42" s="220" t="str">
        <f>IF(B42="","",Capacity!Q35)</f>
        <v/>
      </c>
      <c r="D42" s="309" t="str">
        <f>IF(B42="","",Capacity!R35)</f>
        <v/>
      </c>
      <c r="E42" s="220" t="str">
        <f>IF(B42="","",IF(COUNTBLANK(H42:BG42)=52,SUM('Capacity calculation (hide)'!H130:BG130),52-COUNTBLANK(H42:BG42)))</f>
        <v/>
      </c>
      <c r="F42" s="310" t="str">
        <f>'Capacity calculation (hide)'!BI130</f>
        <v/>
      </c>
      <c r="H42" s="363"/>
      <c r="I42" s="363"/>
      <c r="J42" s="363"/>
      <c r="K42" s="363"/>
      <c r="L42" s="363"/>
      <c r="M42" s="363"/>
      <c r="N42" s="363"/>
      <c r="O42" s="363"/>
      <c r="P42" s="363"/>
      <c r="Q42" s="363"/>
      <c r="R42" s="363"/>
      <c r="S42" s="363"/>
      <c r="T42" s="363"/>
      <c r="U42" s="363"/>
      <c r="V42" s="363"/>
      <c r="W42" s="363"/>
      <c r="X42" s="363"/>
      <c r="Y42" s="363"/>
      <c r="Z42" s="363"/>
      <c r="AA42" s="363"/>
      <c r="AB42" s="363"/>
      <c r="AC42" s="363"/>
      <c r="AD42" s="363"/>
      <c r="AE42" s="363"/>
      <c r="AF42" s="363"/>
      <c r="AG42" s="363"/>
      <c r="AH42" s="363"/>
      <c r="AI42" s="363"/>
      <c r="AJ42" s="363"/>
      <c r="AK42" s="363"/>
      <c r="AL42" s="363"/>
      <c r="AM42" s="363"/>
      <c r="AN42" s="363"/>
      <c r="AO42" s="363"/>
      <c r="AP42" s="363"/>
      <c r="AQ42" s="363"/>
      <c r="AR42" s="363"/>
      <c r="AS42" s="363"/>
      <c r="AT42" s="363"/>
      <c r="AU42" s="363"/>
      <c r="AV42" s="363"/>
      <c r="AW42" s="363"/>
      <c r="AX42" s="363"/>
      <c r="AY42" s="363"/>
      <c r="AZ42" s="363"/>
      <c r="BA42" s="363"/>
      <c r="BB42" s="363"/>
      <c r="BC42" s="363"/>
      <c r="BD42" s="363"/>
      <c r="BE42" s="363"/>
      <c r="BF42" s="363"/>
      <c r="BG42" s="363"/>
      <c r="BI42" s="342" t="s">
        <v>1237</v>
      </c>
    </row>
    <row r="43" spans="2:61" hidden="1" x14ac:dyDescent="0.2">
      <c r="B43" s="219" t="str">
        <f>IF(Capacity!N36="","",Capacity!N36)</f>
        <v/>
      </c>
      <c r="C43" s="220" t="str">
        <f>IF(B43="","",Capacity!Q36)</f>
        <v/>
      </c>
      <c r="D43" s="309" t="str">
        <f>IF(B43="","",Capacity!R36)</f>
        <v/>
      </c>
      <c r="E43" s="220" t="str">
        <f>IF(B43="","",IF(COUNTBLANK(H43:BG43)=52,SUM('Capacity calculation (hide)'!H131:BG131),52-COUNTBLANK(H43:BG43)))</f>
        <v/>
      </c>
      <c r="F43" s="310" t="str">
        <f>'Capacity calculation (hide)'!BI131</f>
        <v/>
      </c>
      <c r="H43" s="363"/>
      <c r="I43" s="363"/>
      <c r="J43" s="363"/>
      <c r="K43" s="363"/>
      <c r="L43" s="363"/>
      <c r="M43" s="363"/>
      <c r="N43" s="363"/>
      <c r="O43" s="363"/>
      <c r="P43" s="363"/>
      <c r="Q43" s="363"/>
      <c r="R43" s="363"/>
      <c r="S43" s="363"/>
      <c r="T43" s="363"/>
      <c r="U43" s="363"/>
      <c r="V43" s="363"/>
      <c r="W43" s="363"/>
      <c r="X43" s="363"/>
      <c r="Y43" s="363"/>
      <c r="Z43" s="363"/>
      <c r="AA43" s="363"/>
      <c r="AB43" s="363"/>
      <c r="AC43" s="363"/>
      <c r="AD43" s="363"/>
      <c r="AE43" s="363"/>
      <c r="AF43" s="363"/>
      <c r="AG43" s="363"/>
      <c r="AH43" s="363"/>
      <c r="AI43" s="363"/>
      <c r="AJ43" s="363"/>
      <c r="AK43" s="363"/>
      <c r="AL43" s="363"/>
      <c r="AM43" s="363"/>
      <c r="AN43" s="363"/>
      <c r="AO43" s="363"/>
      <c r="AP43" s="363"/>
      <c r="AQ43" s="363"/>
      <c r="AR43" s="363"/>
      <c r="AS43" s="363"/>
      <c r="AT43" s="363"/>
      <c r="AU43" s="363"/>
      <c r="AV43" s="363"/>
      <c r="AW43" s="363"/>
      <c r="AX43" s="363"/>
      <c r="AY43" s="363"/>
      <c r="AZ43" s="363"/>
      <c r="BA43" s="363"/>
      <c r="BB43" s="363"/>
      <c r="BC43" s="363"/>
      <c r="BD43" s="363"/>
      <c r="BE43" s="363"/>
      <c r="BF43" s="363"/>
      <c r="BG43" s="363"/>
      <c r="BI43" s="342" t="s">
        <v>1237</v>
      </c>
    </row>
    <row r="44" spans="2:61" hidden="1" x14ac:dyDescent="0.2">
      <c r="B44" s="219" t="str">
        <f>IF(Capacity!N37="","",Capacity!N37)</f>
        <v/>
      </c>
      <c r="C44" s="220" t="str">
        <f>IF(B44="","",Capacity!Q37)</f>
        <v/>
      </c>
      <c r="D44" s="309" t="str">
        <f>IF(B44="","",Capacity!R37)</f>
        <v/>
      </c>
      <c r="E44" s="220" t="str">
        <f>IF(B44="","",IF(COUNTBLANK(H44:BG44)=52,SUM('Capacity calculation (hide)'!H132:BG132),52-COUNTBLANK(H44:BG44)))</f>
        <v/>
      </c>
      <c r="F44" s="310" t="str">
        <f>'Capacity calculation (hide)'!BI132</f>
        <v/>
      </c>
      <c r="H44" s="363"/>
      <c r="I44" s="363"/>
      <c r="J44" s="363"/>
      <c r="K44" s="363"/>
      <c r="L44" s="363"/>
      <c r="M44" s="363"/>
      <c r="N44" s="363"/>
      <c r="O44" s="363"/>
      <c r="P44" s="363"/>
      <c r="Q44" s="363"/>
      <c r="R44" s="363"/>
      <c r="S44" s="363"/>
      <c r="T44" s="363"/>
      <c r="U44" s="363"/>
      <c r="V44" s="363"/>
      <c r="W44" s="363"/>
      <c r="X44" s="363"/>
      <c r="Y44" s="363"/>
      <c r="Z44" s="363"/>
      <c r="AA44" s="363"/>
      <c r="AB44" s="363"/>
      <c r="AC44" s="363"/>
      <c r="AD44" s="363"/>
      <c r="AE44" s="363"/>
      <c r="AF44" s="363"/>
      <c r="AG44" s="363"/>
      <c r="AH44" s="363"/>
      <c r="AI44" s="363"/>
      <c r="AJ44" s="363"/>
      <c r="AK44" s="363"/>
      <c r="AL44" s="363"/>
      <c r="AM44" s="363"/>
      <c r="AN44" s="363"/>
      <c r="AO44" s="363"/>
      <c r="AP44" s="363"/>
      <c r="AQ44" s="363"/>
      <c r="AR44" s="363"/>
      <c r="AS44" s="363"/>
      <c r="AT44" s="363"/>
      <c r="AU44" s="363"/>
      <c r="AV44" s="363"/>
      <c r="AW44" s="363"/>
      <c r="AX44" s="363"/>
      <c r="AY44" s="363"/>
      <c r="AZ44" s="363"/>
      <c r="BA44" s="363"/>
      <c r="BB44" s="363"/>
      <c r="BC44" s="363"/>
      <c r="BD44" s="363"/>
      <c r="BE44" s="363"/>
      <c r="BF44" s="363"/>
      <c r="BG44" s="363"/>
      <c r="BI44" s="342" t="s">
        <v>1237</v>
      </c>
    </row>
    <row r="45" spans="2:61" hidden="1" x14ac:dyDescent="0.2">
      <c r="B45" s="219" t="str">
        <f>IF(Capacity!N38="","",Capacity!N38)</f>
        <v/>
      </c>
      <c r="C45" s="220" t="str">
        <f>IF(B45="","",Capacity!Q38)</f>
        <v/>
      </c>
      <c r="D45" s="309" t="str">
        <f>IF(B45="","",Capacity!R38)</f>
        <v/>
      </c>
      <c r="E45" s="220" t="str">
        <f>IF(B45="","",IF(COUNTBLANK(H45:BG45)=52,SUM('Capacity calculation (hide)'!H133:BG133),52-COUNTBLANK(H45:BG45)))</f>
        <v/>
      </c>
      <c r="F45" s="310" t="str">
        <f>'Capacity calculation (hide)'!BI133</f>
        <v/>
      </c>
      <c r="H45" s="363"/>
      <c r="I45" s="363"/>
      <c r="J45" s="363"/>
      <c r="K45" s="363"/>
      <c r="L45" s="363"/>
      <c r="M45" s="363"/>
      <c r="N45" s="363"/>
      <c r="O45" s="363"/>
      <c r="P45" s="363"/>
      <c r="Q45" s="363"/>
      <c r="R45" s="363"/>
      <c r="S45" s="363"/>
      <c r="T45" s="363"/>
      <c r="U45" s="363"/>
      <c r="V45" s="363"/>
      <c r="W45" s="363"/>
      <c r="X45" s="363"/>
      <c r="Y45" s="363"/>
      <c r="Z45" s="363"/>
      <c r="AA45" s="363"/>
      <c r="AB45" s="363"/>
      <c r="AC45" s="363"/>
      <c r="AD45" s="363"/>
      <c r="AE45" s="363"/>
      <c r="AF45" s="363"/>
      <c r="AG45" s="363"/>
      <c r="AH45" s="363"/>
      <c r="AI45" s="363"/>
      <c r="AJ45" s="363"/>
      <c r="AK45" s="363"/>
      <c r="AL45" s="363"/>
      <c r="AM45" s="363"/>
      <c r="AN45" s="363"/>
      <c r="AO45" s="363"/>
      <c r="AP45" s="363"/>
      <c r="AQ45" s="363"/>
      <c r="AR45" s="363"/>
      <c r="AS45" s="363"/>
      <c r="AT45" s="363"/>
      <c r="AU45" s="363"/>
      <c r="AV45" s="363"/>
      <c r="AW45" s="363"/>
      <c r="AX45" s="363"/>
      <c r="AY45" s="363"/>
      <c r="AZ45" s="363"/>
      <c r="BA45" s="363"/>
      <c r="BB45" s="363"/>
      <c r="BC45" s="363"/>
      <c r="BD45" s="363"/>
      <c r="BE45" s="363"/>
      <c r="BF45" s="363"/>
      <c r="BG45" s="363"/>
      <c r="BI45" s="342" t="s">
        <v>1237</v>
      </c>
    </row>
    <row r="46" spans="2:61" hidden="1" x14ac:dyDescent="0.2">
      <c r="B46" s="219" t="str">
        <f>IF(Capacity!N39="","",Capacity!N39)</f>
        <v/>
      </c>
      <c r="C46" s="220" t="str">
        <f>IF(B46="","",Capacity!Q39)</f>
        <v/>
      </c>
      <c r="D46" s="309" t="str">
        <f>IF(B46="","",Capacity!R39)</f>
        <v/>
      </c>
      <c r="E46" s="220" t="str">
        <f>IF(B46="","",IF(COUNTBLANK(H46:BG46)=52,SUM('Capacity calculation (hide)'!H134:BG134),52-COUNTBLANK(H46:BG46)))</f>
        <v/>
      </c>
      <c r="F46" s="310" t="str">
        <f>'Capacity calculation (hide)'!BI134</f>
        <v/>
      </c>
      <c r="H46" s="363"/>
      <c r="I46" s="363"/>
      <c r="J46" s="363"/>
      <c r="K46" s="363"/>
      <c r="L46" s="363"/>
      <c r="M46" s="363"/>
      <c r="N46" s="363"/>
      <c r="O46" s="363"/>
      <c r="P46" s="363"/>
      <c r="Q46" s="363"/>
      <c r="R46" s="363"/>
      <c r="S46" s="363"/>
      <c r="T46" s="363"/>
      <c r="U46" s="363"/>
      <c r="V46" s="363"/>
      <c r="W46" s="363"/>
      <c r="X46" s="363"/>
      <c r="Y46" s="363"/>
      <c r="Z46" s="363"/>
      <c r="AA46" s="363"/>
      <c r="AB46" s="363"/>
      <c r="AC46" s="363"/>
      <c r="AD46" s="363"/>
      <c r="AE46" s="363"/>
      <c r="AF46" s="363"/>
      <c r="AG46" s="363"/>
      <c r="AH46" s="363"/>
      <c r="AI46" s="363"/>
      <c r="AJ46" s="363"/>
      <c r="AK46" s="363"/>
      <c r="AL46" s="363"/>
      <c r="AM46" s="363"/>
      <c r="AN46" s="363"/>
      <c r="AO46" s="363"/>
      <c r="AP46" s="363"/>
      <c r="AQ46" s="363"/>
      <c r="AR46" s="363"/>
      <c r="AS46" s="363"/>
      <c r="AT46" s="363"/>
      <c r="AU46" s="363"/>
      <c r="AV46" s="363"/>
      <c r="AW46" s="363"/>
      <c r="AX46" s="363"/>
      <c r="AY46" s="363"/>
      <c r="AZ46" s="363"/>
      <c r="BA46" s="363"/>
      <c r="BB46" s="363"/>
      <c r="BC46" s="363"/>
      <c r="BD46" s="363"/>
      <c r="BE46" s="363"/>
      <c r="BF46" s="363"/>
      <c r="BG46" s="363"/>
      <c r="BI46" s="342" t="s">
        <v>1237</v>
      </c>
    </row>
    <row r="47" spans="2:61" hidden="1" x14ac:dyDescent="0.2">
      <c r="B47" s="219" t="str">
        <f>IF(Capacity!N40="","",Capacity!N40)</f>
        <v/>
      </c>
      <c r="C47" s="220" t="str">
        <f>IF(B47="","",Capacity!Q40)</f>
        <v/>
      </c>
      <c r="D47" s="309" t="str">
        <f>IF(B47="","",Capacity!R40)</f>
        <v/>
      </c>
      <c r="E47" s="220" t="str">
        <f>IF(B47="","",IF(COUNTBLANK(H47:BG47)=52,SUM('Capacity calculation (hide)'!H135:BG135),52-COUNTBLANK(H47:BG47)))</f>
        <v/>
      </c>
      <c r="F47" s="310" t="str">
        <f>'Capacity calculation (hide)'!BI135</f>
        <v/>
      </c>
      <c r="H47" s="363"/>
      <c r="I47" s="363"/>
      <c r="J47" s="363"/>
      <c r="K47" s="363"/>
      <c r="L47" s="363"/>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I47" s="342" t="s">
        <v>1237</v>
      </c>
    </row>
    <row r="48" spans="2:61" hidden="1" x14ac:dyDescent="0.2">
      <c r="B48" s="219" t="str">
        <f>IF(Capacity!N41="","",Capacity!N41)</f>
        <v/>
      </c>
      <c r="C48" s="220" t="str">
        <f>IF(B48="","",Capacity!Q41)</f>
        <v/>
      </c>
      <c r="D48" s="309" t="str">
        <f>IF(B48="","",Capacity!R41)</f>
        <v/>
      </c>
      <c r="E48" s="220" t="str">
        <f>IF(B48="","",IF(COUNTBLANK(H48:BG48)=52,SUM('Capacity calculation (hide)'!H136:BG136),52-COUNTBLANK(H48:BG48)))</f>
        <v/>
      </c>
      <c r="F48" s="310" t="str">
        <f>'Capacity calculation (hide)'!BI136</f>
        <v/>
      </c>
      <c r="H48" s="363"/>
      <c r="I48" s="363"/>
      <c r="J48" s="363"/>
      <c r="K48" s="363"/>
      <c r="L48" s="363"/>
      <c r="M48" s="363"/>
      <c r="N48" s="363"/>
      <c r="O48" s="363"/>
      <c r="P48" s="363"/>
      <c r="Q48" s="363"/>
      <c r="R48" s="363"/>
      <c r="S48" s="363"/>
      <c r="T48" s="363"/>
      <c r="U48" s="363"/>
      <c r="V48" s="363"/>
      <c r="W48" s="363"/>
      <c r="X48" s="363"/>
      <c r="Y48" s="363"/>
      <c r="Z48" s="363"/>
      <c r="AA48" s="363"/>
      <c r="AB48" s="363"/>
      <c r="AC48" s="363"/>
      <c r="AD48" s="363"/>
      <c r="AE48" s="363"/>
      <c r="AF48" s="363"/>
      <c r="AG48" s="363"/>
      <c r="AH48" s="363"/>
      <c r="AI48" s="363"/>
      <c r="AJ48" s="363"/>
      <c r="AK48" s="363"/>
      <c r="AL48" s="363"/>
      <c r="AM48" s="363"/>
      <c r="AN48" s="363"/>
      <c r="AO48" s="363"/>
      <c r="AP48" s="363"/>
      <c r="AQ48" s="363"/>
      <c r="AR48" s="363"/>
      <c r="AS48" s="363"/>
      <c r="AT48" s="363"/>
      <c r="AU48" s="363"/>
      <c r="AV48" s="363"/>
      <c r="AW48" s="363"/>
      <c r="AX48" s="363"/>
      <c r="AY48" s="363"/>
      <c r="AZ48" s="363"/>
      <c r="BA48" s="363"/>
      <c r="BB48" s="363"/>
      <c r="BC48" s="363"/>
      <c r="BD48" s="363"/>
      <c r="BE48" s="363"/>
      <c r="BF48" s="363"/>
      <c r="BG48" s="363"/>
      <c r="BI48" s="342" t="s">
        <v>1237</v>
      </c>
    </row>
    <row r="49" spans="2:61" hidden="1" x14ac:dyDescent="0.2">
      <c r="B49" s="219" t="str">
        <f>IF(Capacity!N42="","",Capacity!N42)</f>
        <v/>
      </c>
      <c r="C49" s="220" t="str">
        <f>IF(B49="","",Capacity!Q42)</f>
        <v/>
      </c>
      <c r="D49" s="309" t="str">
        <f>IF(B49="","",Capacity!R42)</f>
        <v/>
      </c>
      <c r="E49" s="220" t="str">
        <f>IF(B49="","",IF(COUNTBLANK(H49:BG49)=52,SUM('Capacity calculation (hide)'!H137:BG137),52-COUNTBLANK(H49:BG49)))</f>
        <v/>
      </c>
      <c r="F49" s="310" t="str">
        <f>'Capacity calculation (hide)'!BI137</f>
        <v/>
      </c>
      <c r="H49" s="363"/>
      <c r="I49" s="363"/>
      <c r="J49" s="363"/>
      <c r="K49" s="363"/>
      <c r="L49" s="363"/>
      <c r="M49" s="363"/>
      <c r="N49" s="363"/>
      <c r="O49" s="363"/>
      <c r="P49" s="363"/>
      <c r="Q49" s="363"/>
      <c r="R49" s="363"/>
      <c r="S49" s="363"/>
      <c r="T49" s="363"/>
      <c r="U49" s="363"/>
      <c r="V49" s="363"/>
      <c r="W49" s="363"/>
      <c r="X49" s="363"/>
      <c r="Y49" s="363"/>
      <c r="Z49" s="363"/>
      <c r="AA49" s="363"/>
      <c r="AB49" s="363"/>
      <c r="AC49" s="363"/>
      <c r="AD49" s="363"/>
      <c r="AE49" s="363"/>
      <c r="AF49" s="363"/>
      <c r="AG49" s="363"/>
      <c r="AH49" s="363"/>
      <c r="AI49" s="363"/>
      <c r="AJ49" s="363"/>
      <c r="AK49" s="363"/>
      <c r="AL49" s="363"/>
      <c r="AM49" s="363"/>
      <c r="AN49" s="363"/>
      <c r="AO49" s="363"/>
      <c r="AP49" s="363"/>
      <c r="AQ49" s="363"/>
      <c r="AR49" s="363"/>
      <c r="AS49" s="363"/>
      <c r="AT49" s="363"/>
      <c r="AU49" s="363"/>
      <c r="AV49" s="363"/>
      <c r="AW49" s="363"/>
      <c r="AX49" s="363"/>
      <c r="AY49" s="363"/>
      <c r="AZ49" s="363"/>
      <c r="BA49" s="363"/>
      <c r="BB49" s="363"/>
      <c r="BC49" s="363"/>
      <c r="BD49" s="363"/>
      <c r="BE49" s="363"/>
      <c r="BF49" s="363"/>
      <c r="BG49" s="363"/>
      <c r="BI49" s="342" t="s">
        <v>1237</v>
      </c>
    </row>
    <row r="50" spans="2:61" hidden="1" x14ac:dyDescent="0.2">
      <c r="B50" s="219" t="str">
        <f>IF(Capacity!N43="","",Capacity!N43)</f>
        <v/>
      </c>
      <c r="C50" s="220" t="str">
        <f>IF(B50="","",Capacity!Q43)</f>
        <v/>
      </c>
      <c r="D50" s="309" t="str">
        <f>IF(B50="","",Capacity!R43)</f>
        <v/>
      </c>
      <c r="E50" s="220" t="str">
        <f>IF(B50="","",IF(COUNTBLANK(H50:BG50)=52,SUM('Capacity calculation (hide)'!H138:BG138),52-COUNTBLANK(H50:BG50)))</f>
        <v/>
      </c>
      <c r="F50" s="310" t="str">
        <f>'Capacity calculation (hide)'!BI138</f>
        <v/>
      </c>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363"/>
      <c r="BC50" s="363"/>
      <c r="BD50" s="363"/>
      <c r="BE50" s="363"/>
      <c r="BF50" s="363"/>
      <c r="BG50" s="363"/>
      <c r="BI50" s="342" t="s">
        <v>1237</v>
      </c>
    </row>
    <row r="51" spans="2:61" hidden="1" x14ac:dyDescent="0.2">
      <c r="B51" s="219" t="str">
        <f>IF(Capacity!N44="","",Capacity!N44)</f>
        <v/>
      </c>
      <c r="C51" s="220" t="str">
        <f>IF(B51="","",Capacity!Q44)</f>
        <v/>
      </c>
      <c r="D51" s="309" t="str">
        <f>IF(B51="","",Capacity!R44)</f>
        <v/>
      </c>
      <c r="E51" s="220" t="str">
        <f>IF(B51="","",IF(COUNTBLANK(H51:BG51)=52,SUM('Capacity calculation (hide)'!H139:BG139),52-COUNTBLANK(H51:BG51)))</f>
        <v/>
      </c>
      <c r="F51" s="310" t="str">
        <f>'Capacity calculation (hide)'!BI139</f>
        <v/>
      </c>
      <c r="H51" s="363"/>
      <c r="I51" s="363"/>
      <c r="J51" s="363"/>
      <c r="K51" s="363"/>
      <c r="L51" s="363"/>
      <c r="M51" s="363"/>
      <c r="N51" s="363"/>
      <c r="O51" s="363"/>
      <c r="P51" s="363"/>
      <c r="Q51" s="363"/>
      <c r="R51" s="363"/>
      <c r="S51" s="363"/>
      <c r="T51" s="363"/>
      <c r="U51" s="363"/>
      <c r="V51" s="363"/>
      <c r="W51" s="363"/>
      <c r="X51" s="363"/>
      <c r="Y51" s="363"/>
      <c r="Z51" s="363"/>
      <c r="AA51" s="363"/>
      <c r="AB51" s="363"/>
      <c r="AC51" s="363"/>
      <c r="AD51" s="363"/>
      <c r="AE51" s="363"/>
      <c r="AF51" s="363"/>
      <c r="AG51" s="363"/>
      <c r="AH51" s="363"/>
      <c r="AI51" s="363"/>
      <c r="AJ51" s="363"/>
      <c r="AK51" s="363"/>
      <c r="AL51" s="363"/>
      <c r="AM51" s="363"/>
      <c r="AN51" s="363"/>
      <c r="AO51" s="363"/>
      <c r="AP51" s="363"/>
      <c r="AQ51" s="363"/>
      <c r="AR51" s="363"/>
      <c r="AS51" s="363"/>
      <c r="AT51" s="363"/>
      <c r="AU51" s="363"/>
      <c r="AV51" s="363"/>
      <c r="AW51" s="363"/>
      <c r="AX51" s="363"/>
      <c r="AY51" s="363"/>
      <c r="AZ51" s="363"/>
      <c r="BA51" s="363"/>
      <c r="BB51" s="363"/>
      <c r="BC51" s="363"/>
      <c r="BD51" s="363"/>
      <c r="BE51" s="363"/>
      <c r="BF51" s="363"/>
      <c r="BG51" s="363"/>
      <c r="BI51" s="342" t="s">
        <v>1237</v>
      </c>
    </row>
    <row r="52" spans="2:61" hidden="1" x14ac:dyDescent="0.2">
      <c r="B52" s="219" t="str">
        <f>IF(Capacity!N45="","",Capacity!N45)</f>
        <v/>
      </c>
      <c r="C52" s="220" t="str">
        <f>IF(B52="","",Capacity!Q45)</f>
        <v/>
      </c>
      <c r="D52" s="309" t="str">
        <f>IF(B52="","",Capacity!R45)</f>
        <v/>
      </c>
      <c r="E52" s="220" t="str">
        <f>IF(B52="","",IF(COUNTBLANK(H52:BG52)=52,SUM('Capacity calculation (hide)'!H140:BG140),52-COUNTBLANK(H52:BG52)))</f>
        <v/>
      </c>
      <c r="F52" s="310" t="str">
        <f>'Capacity calculation (hide)'!BI140</f>
        <v/>
      </c>
      <c r="H52" s="363"/>
      <c r="I52" s="363"/>
      <c r="J52" s="363"/>
      <c r="K52" s="363"/>
      <c r="L52" s="363"/>
      <c r="M52" s="363"/>
      <c r="N52" s="363"/>
      <c r="O52" s="363"/>
      <c r="P52" s="363"/>
      <c r="Q52" s="363"/>
      <c r="R52" s="363"/>
      <c r="S52" s="363"/>
      <c r="T52" s="363"/>
      <c r="U52" s="363"/>
      <c r="V52" s="363"/>
      <c r="W52" s="363"/>
      <c r="X52" s="363"/>
      <c r="Y52" s="363"/>
      <c r="Z52" s="363"/>
      <c r="AA52" s="363"/>
      <c r="AB52" s="363"/>
      <c r="AC52" s="363"/>
      <c r="AD52" s="363"/>
      <c r="AE52" s="363"/>
      <c r="AF52" s="363"/>
      <c r="AG52" s="363"/>
      <c r="AH52" s="363"/>
      <c r="AI52" s="363"/>
      <c r="AJ52" s="363"/>
      <c r="AK52" s="363"/>
      <c r="AL52" s="363"/>
      <c r="AM52" s="363"/>
      <c r="AN52" s="363"/>
      <c r="AO52" s="363"/>
      <c r="AP52" s="363"/>
      <c r="AQ52" s="363"/>
      <c r="AR52" s="363"/>
      <c r="AS52" s="363"/>
      <c r="AT52" s="363"/>
      <c r="AU52" s="363"/>
      <c r="AV52" s="363"/>
      <c r="AW52" s="363"/>
      <c r="AX52" s="363"/>
      <c r="AY52" s="363"/>
      <c r="AZ52" s="363"/>
      <c r="BA52" s="363"/>
      <c r="BB52" s="363"/>
      <c r="BC52" s="363"/>
      <c r="BD52" s="363"/>
      <c r="BE52" s="363"/>
      <c r="BF52" s="363"/>
      <c r="BG52" s="363"/>
      <c r="BI52" s="342" t="s">
        <v>1237</v>
      </c>
    </row>
    <row r="53" spans="2:61" hidden="1" x14ac:dyDescent="0.2">
      <c r="B53" s="219" t="str">
        <f>IF(Capacity!N46="","",Capacity!N46)</f>
        <v/>
      </c>
      <c r="C53" s="220" t="str">
        <f>IF(B53="","",Capacity!Q46)</f>
        <v/>
      </c>
      <c r="D53" s="309" t="str">
        <f>IF(B53="","",Capacity!R46)</f>
        <v/>
      </c>
      <c r="E53" s="220" t="str">
        <f>IF(B53="","",IF(COUNTBLANK(H53:BG53)=52,SUM('Capacity calculation (hide)'!H141:BG141),52-COUNTBLANK(H53:BG53)))</f>
        <v/>
      </c>
      <c r="F53" s="310" t="str">
        <f>'Capacity calculation (hide)'!BI141</f>
        <v/>
      </c>
      <c r="H53" s="363"/>
      <c r="I53" s="363"/>
      <c r="J53" s="363"/>
      <c r="K53" s="363"/>
      <c r="L53" s="363"/>
      <c r="M53" s="363"/>
      <c r="N53" s="363"/>
      <c r="O53" s="363"/>
      <c r="P53" s="363"/>
      <c r="Q53" s="363"/>
      <c r="R53" s="363"/>
      <c r="S53" s="363"/>
      <c r="T53" s="363"/>
      <c r="U53" s="363"/>
      <c r="V53" s="363"/>
      <c r="W53" s="363"/>
      <c r="X53" s="363"/>
      <c r="Y53" s="363"/>
      <c r="Z53" s="363"/>
      <c r="AA53" s="363"/>
      <c r="AB53" s="363"/>
      <c r="AC53" s="363"/>
      <c r="AD53" s="363"/>
      <c r="AE53" s="363"/>
      <c r="AF53" s="363"/>
      <c r="AG53" s="363"/>
      <c r="AH53" s="363"/>
      <c r="AI53" s="363"/>
      <c r="AJ53" s="363"/>
      <c r="AK53" s="363"/>
      <c r="AL53" s="363"/>
      <c r="AM53" s="363"/>
      <c r="AN53" s="363"/>
      <c r="AO53" s="363"/>
      <c r="AP53" s="363"/>
      <c r="AQ53" s="363"/>
      <c r="AR53" s="363"/>
      <c r="AS53" s="363"/>
      <c r="AT53" s="363"/>
      <c r="AU53" s="363"/>
      <c r="AV53" s="363"/>
      <c r="AW53" s="363"/>
      <c r="AX53" s="363"/>
      <c r="AY53" s="363"/>
      <c r="AZ53" s="363"/>
      <c r="BA53" s="363"/>
      <c r="BB53" s="363"/>
      <c r="BC53" s="363"/>
      <c r="BD53" s="363"/>
      <c r="BE53" s="363"/>
      <c r="BF53" s="363"/>
      <c r="BG53" s="363"/>
      <c r="BI53" s="342" t="s">
        <v>1237</v>
      </c>
    </row>
    <row r="54" spans="2:61" hidden="1" x14ac:dyDescent="0.2">
      <c r="B54" s="219" t="str">
        <f>IF(Capacity!N47="","",Capacity!N47)</f>
        <v/>
      </c>
      <c r="C54" s="220" t="str">
        <f>IF(B54="","",Capacity!Q47)</f>
        <v/>
      </c>
      <c r="D54" s="309" t="str">
        <f>IF(B54="","",Capacity!R47)</f>
        <v/>
      </c>
      <c r="E54" s="220" t="str">
        <f>IF(B54="","",IF(COUNTBLANK(H54:BG54)=52,SUM('Capacity calculation (hide)'!H142:BG142),52-COUNTBLANK(H54:BG54)))</f>
        <v/>
      </c>
      <c r="F54" s="310" t="str">
        <f>'Capacity calculation (hide)'!BI142</f>
        <v/>
      </c>
      <c r="H54" s="363"/>
      <c r="I54" s="363"/>
      <c r="J54" s="363"/>
      <c r="K54" s="363"/>
      <c r="L54" s="363"/>
      <c r="M54" s="363"/>
      <c r="N54" s="363"/>
      <c r="O54" s="363"/>
      <c r="P54" s="363"/>
      <c r="Q54" s="363"/>
      <c r="R54" s="363"/>
      <c r="S54" s="363"/>
      <c r="T54" s="363"/>
      <c r="U54" s="363"/>
      <c r="V54" s="363"/>
      <c r="W54" s="363"/>
      <c r="X54" s="363"/>
      <c r="Y54" s="363"/>
      <c r="Z54" s="363"/>
      <c r="AA54" s="363"/>
      <c r="AB54" s="363"/>
      <c r="AC54" s="363"/>
      <c r="AD54" s="363"/>
      <c r="AE54" s="363"/>
      <c r="AF54" s="363"/>
      <c r="AG54" s="363"/>
      <c r="AH54" s="363"/>
      <c r="AI54" s="363"/>
      <c r="AJ54" s="363"/>
      <c r="AK54" s="363"/>
      <c r="AL54" s="363"/>
      <c r="AM54" s="363"/>
      <c r="AN54" s="363"/>
      <c r="AO54" s="363"/>
      <c r="AP54" s="363"/>
      <c r="AQ54" s="363"/>
      <c r="AR54" s="363"/>
      <c r="AS54" s="363"/>
      <c r="AT54" s="363"/>
      <c r="AU54" s="363"/>
      <c r="AV54" s="363"/>
      <c r="AW54" s="363"/>
      <c r="AX54" s="363"/>
      <c r="AY54" s="363"/>
      <c r="AZ54" s="363"/>
      <c r="BA54" s="363"/>
      <c r="BB54" s="363"/>
      <c r="BC54" s="363"/>
      <c r="BD54" s="363"/>
      <c r="BE54" s="363"/>
      <c r="BF54" s="363"/>
      <c r="BG54" s="363"/>
      <c r="BI54" s="342" t="s">
        <v>1237</v>
      </c>
    </row>
    <row r="55" spans="2:61" hidden="1" x14ac:dyDescent="0.2">
      <c r="B55" s="219" t="str">
        <f>IF(Capacity!N48="","",Capacity!N48)</f>
        <v/>
      </c>
      <c r="C55" s="220" t="str">
        <f>IF(B55="","",Capacity!Q48)</f>
        <v/>
      </c>
      <c r="D55" s="309" t="str">
        <f>IF(B55="","",Capacity!R48)</f>
        <v/>
      </c>
      <c r="E55" s="220" t="str">
        <f>IF(B55="","",IF(COUNTBLANK(H55:BG55)=52,SUM('Capacity calculation (hide)'!H143:BG143),52-COUNTBLANK(H55:BG55)))</f>
        <v/>
      </c>
      <c r="F55" s="310" t="str">
        <f>'Capacity calculation (hide)'!BI143</f>
        <v/>
      </c>
      <c r="H55" s="363"/>
      <c r="I55" s="363"/>
      <c r="J55" s="363"/>
      <c r="K55" s="363"/>
      <c r="L55" s="363"/>
      <c r="M55" s="363"/>
      <c r="N55" s="363"/>
      <c r="O55" s="363"/>
      <c r="P55" s="363"/>
      <c r="Q55" s="363"/>
      <c r="R55" s="363"/>
      <c r="S55" s="363"/>
      <c r="T55" s="363"/>
      <c r="U55" s="363"/>
      <c r="V55" s="363"/>
      <c r="W55" s="363"/>
      <c r="X55" s="363"/>
      <c r="Y55" s="363"/>
      <c r="Z55" s="363"/>
      <c r="AA55" s="363"/>
      <c r="AB55" s="363"/>
      <c r="AC55" s="363"/>
      <c r="AD55" s="363"/>
      <c r="AE55" s="363"/>
      <c r="AF55" s="363"/>
      <c r="AG55" s="363"/>
      <c r="AH55" s="363"/>
      <c r="AI55" s="363"/>
      <c r="AJ55" s="363"/>
      <c r="AK55" s="363"/>
      <c r="AL55" s="363"/>
      <c r="AM55" s="363"/>
      <c r="AN55" s="363"/>
      <c r="AO55" s="363"/>
      <c r="AP55" s="363"/>
      <c r="AQ55" s="363"/>
      <c r="AR55" s="363"/>
      <c r="AS55" s="363"/>
      <c r="AT55" s="363"/>
      <c r="AU55" s="363"/>
      <c r="AV55" s="363"/>
      <c r="AW55" s="363"/>
      <c r="AX55" s="363"/>
      <c r="AY55" s="363"/>
      <c r="AZ55" s="363"/>
      <c r="BA55" s="363"/>
      <c r="BB55" s="363"/>
      <c r="BC55" s="363"/>
      <c r="BD55" s="363"/>
      <c r="BE55" s="363"/>
      <c r="BF55" s="363"/>
      <c r="BG55" s="363"/>
      <c r="BI55" s="342" t="s">
        <v>1237</v>
      </c>
    </row>
    <row r="56" spans="2:61" hidden="1" x14ac:dyDescent="0.2">
      <c r="B56" s="219" t="str">
        <f>IF(Capacity!N49="","",Capacity!N49)</f>
        <v/>
      </c>
      <c r="C56" s="220" t="str">
        <f>IF(B56="","",Capacity!Q49)</f>
        <v/>
      </c>
      <c r="D56" s="309" t="str">
        <f>IF(B56="","",Capacity!R49)</f>
        <v/>
      </c>
      <c r="E56" s="220" t="str">
        <f>IF(B56="","",IF(COUNTBLANK(H56:BG56)=52,SUM('Capacity calculation (hide)'!H144:BG144),52-COUNTBLANK(H56:BG56)))</f>
        <v/>
      </c>
      <c r="F56" s="310" t="str">
        <f>'Capacity calculation (hide)'!BI144</f>
        <v/>
      </c>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3"/>
      <c r="AW56" s="363"/>
      <c r="AX56" s="363"/>
      <c r="AY56" s="363"/>
      <c r="AZ56" s="363"/>
      <c r="BA56" s="363"/>
      <c r="BB56" s="363"/>
      <c r="BC56" s="363"/>
      <c r="BD56" s="363"/>
      <c r="BE56" s="363"/>
      <c r="BF56" s="363"/>
      <c r="BG56" s="363"/>
      <c r="BI56" s="342" t="s">
        <v>1237</v>
      </c>
    </row>
    <row r="57" spans="2:61" hidden="1" x14ac:dyDescent="0.2">
      <c r="B57" s="219" t="str">
        <f>IF(Capacity!N50="","",Capacity!N50)</f>
        <v/>
      </c>
      <c r="C57" s="220" t="str">
        <f>IF(B57="","",Capacity!Q50)</f>
        <v/>
      </c>
      <c r="D57" s="309" t="str">
        <f>IF(B57="","",Capacity!R50)</f>
        <v/>
      </c>
      <c r="E57" s="220" t="str">
        <f>IF(B57="","",IF(COUNTBLANK(H57:BG57)=52,SUM('Capacity calculation (hide)'!H145:BG145),52-COUNTBLANK(H57:BG57)))</f>
        <v/>
      </c>
      <c r="F57" s="310" t="str">
        <f>'Capacity calculation (hide)'!BI145</f>
        <v/>
      </c>
      <c r="H57" s="363"/>
      <c r="I57" s="363"/>
      <c r="J57" s="363"/>
      <c r="K57" s="363"/>
      <c r="L57" s="363"/>
      <c r="M57" s="363"/>
      <c r="N57" s="363"/>
      <c r="O57" s="363"/>
      <c r="P57" s="363"/>
      <c r="Q57" s="363"/>
      <c r="R57" s="363"/>
      <c r="S57" s="363"/>
      <c r="T57" s="363"/>
      <c r="U57" s="363"/>
      <c r="V57" s="363"/>
      <c r="W57" s="363"/>
      <c r="X57" s="363"/>
      <c r="Y57" s="363"/>
      <c r="Z57" s="363"/>
      <c r="AA57" s="363"/>
      <c r="AB57" s="363"/>
      <c r="AC57" s="363"/>
      <c r="AD57" s="363"/>
      <c r="AE57" s="363"/>
      <c r="AF57" s="363"/>
      <c r="AG57" s="363"/>
      <c r="AH57" s="363"/>
      <c r="AI57" s="363"/>
      <c r="AJ57" s="363"/>
      <c r="AK57" s="363"/>
      <c r="AL57" s="363"/>
      <c r="AM57" s="363"/>
      <c r="AN57" s="363"/>
      <c r="AO57" s="363"/>
      <c r="AP57" s="363"/>
      <c r="AQ57" s="363"/>
      <c r="AR57" s="363"/>
      <c r="AS57" s="363"/>
      <c r="AT57" s="363"/>
      <c r="AU57" s="363"/>
      <c r="AV57" s="363"/>
      <c r="AW57" s="363"/>
      <c r="AX57" s="363"/>
      <c r="AY57" s="363"/>
      <c r="AZ57" s="363"/>
      <c r="BA57" s="363"/>
      <c r="BB57" s="363"/>
      <c r="BC57" s="363"/>
      <c r="BD57" s="363"/>
      <c r="BE57" s="363"/>
      <c r="BF57" s="363"/>
      <c r="BG57" s="363"/>
      <c r="BI57" s="342" t="s">
        <v>1237</v>
      </c>
    </row>
    <row r="58" spans="2:61" hidden="1" x14ac:dyDescent="0.2">
      <c r="B58" s="219" t="str">
        <f>IF(Capacity!N51="","",Capacity!N51)</f>
        <v/>
      </c>
      <c r="C58" s="220" t="str">
        <f>IF(B58="","",Capacity!Q51)</f>
        <v/>
      </c>
      <c r="D58" s="309" t="str">
        <f>IF(B58="","",Capacity!R51)</f>
        <v/>
      </c>
      <c r="E58" s="220" t="str">
        <f>IF(B58="","",IF(COUNTBLANK(H58:BG58)=52,SUM('Capacity calculation (hide)'!H146:BG146),52-COUNTBLANK(H58:BG58)))</f>
        <v/>
      </c>
      <c r="F58" s="310" t="str">
        <f>'Capacity calculation (hide)'!BI146</f>
        <v/>
      </c>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3"/>
      <c r="AW58" s="363"/>
      <c r="AX58" s="363"/>
      <c r="AY58" s="363"/>
      <c r="AZ58" s="363"/>
      <c r="BA58" s="363"/>
      <c r="BB58" s="363"/>
      <c r="BC58" s="363"/>
      <c r="BD58" s="363"/>
      <c r="BE58" s="363"/>
      <c r="BF58" s="363"/>
      <c r="BG58" s="363"/>
      <c r="BI58" s="342" t="s">
        <v>1237</v>
      </c>
    </row>
    <row r="59" spans="2:61" hidden="1" x14ac:dyDescent="0.2">
      <c r="B59" s="219" t="str">
        <f>IF(Capacity!N52="","",Capacity!N52)</f>
        <v/>
      </c>
      <c r="C59" s="220" t="str">
        <f>IF(B59="","",Capacity!Q52)</f>
        <v/>
      </c>
      <c r="D59" s="309" t="str">
        <f>IF(B59="","",Capacity!R52)</f>
        <v/>
      </c>
      <c r="E59" s="220" t="str">
        <f>IF(B59="","",IF(COUNTBLANK(H59:BG59)=52,SUM('Capacity calculation (hide)'!H147:BG147),52-COUNTBLANK(H59:BG59)))</f>
        <v/>
      </c>
      <c r="F59" s="310" t="str">
        <f>'Capacity calculation (hide)'!BI147</f>
        <v/>
      </c>
      <c r="H59" s="363"/>
      <c r="I59" s="363"/>
      <c r="J59" s="363"/>
      <c r="K59" s="363"/>
      <c r="L59" s="363"/>
      <c r="M59" s="363"/>
      <c r="N59" s="363"/>
      <c r="O59" s="363"/>
      <c r="P59" s="363"/>
      <c r="Q59" s="363"/>
      <c r="R59" s="363"/>
      <c r="S59" s="363"/>
      <c r="T59" s="363"/>
      <c r="U59" s="363"/>
      <c r="V59" s="363"/>
      <c r="W59" s="363"/>
      <c r="X59" s="363"/>
      <c r="Y59" s="363"/>
      <c r="Z59" s="363"/>
      <c r="AA59" s="363"/>
      <c r="AB59" s="363"/>
      <c r="AC59" s="363"/>
      <c r="AD59" s="363"/>
      <c r="AE59" s="363"/>
      <c r="AF59" s="363"/>
      <c r="AG59" s="363"/>
      <c r="AH59" s="363"/>
      <c r="AI59" s="363"/>
      <c r="AJ59" s="363"/>
      <c r="AK59" s="363"/>
      <c r="AL59" s="363"/>
      <c r="AM59" s="363"/>
      <c r="AN59" s="363"/>
      <c r="AO59" s="363"/>
      <c r="AP59" s="363"/>
      <c r="AQ59" s="363"/>
      <c r="AR59" s="363"/>
      <c r="AS59" s="363"/>
      <c r="AT59" s="363"/>
      <c r="AU59" s="363"/>
      <c r="AV59" s="363"/>
      <c r="AW59" s="363"/>
      <c r="AX59" s="363"/>
      <c r="AY59" s="363"/>
      <c r="AZ59" s="363"/>
      <c r="BA59" s="363"/>
      <c r="BB59" s="363"/>
      <c r="BC59" s="363"/>
      <c r="BD59" s="363"/>
      <c r="BE59" s="363"/>
      <c r="BF59" s="363"/>
      <c r="BG59" s="363"/>
      <c r="BI59" s="342" t="s">
        <v>1237</v>
      </c>
    </row>
    <row r="60" spans="2:61" hidden="1" x14ac:dyDescent="0.2">
      <c r="B60" s="219" t="str">
        <f>IF(Capacity!N53="","",Capacity!N53)</f>
        <v/>
      </c>
      <c r="C60" s="220" t="str">
        <f>IF(B60="","",Capacity!Q53)</f>
        <v/>
      </c>
      <c r="D60" s="309" t="str">
        <f>IF(B60="","",Capacity!R53)</f>
        <v/>
      </c>
      <c r="E60" s="220" t="str">
        <f>IF(B60="","",IF(COUNTBLANK(H60:BG60)=52,SUM('Capacity calculation (hide)'!H148:BG148),52-COUNTBLANK(H60:BG60)))</f>
        <v/>
      </c>
      <c r="F60" s="310" t="str">
        <f>'Capacity calculation (hide)'!BI148</f>
        <v/>
      </c>
      <c r="H60" s="363"/>
      <c r="I60" s="363"/>
      <c r="J60" s="363"/>
      <c r="K60" s="363"/>
      <c r="L60" s="363"/>
      <c r="M60" s="363"/>
      <c r="N60" s="363"/>
      <c r="O60" s="363"/>
      <c r="P60" s="363"/>
      <c r="Q60" s="363"/>
      <c r="R60" s="363"/>
      <c r="S60" s="363"/>
      <c r="T60" s="363"/>
      <c r="U60" s="363"/>
      <c r="V60" s="363"/>
      <c r="W60" s="363"/>
      <c r="X60" s="363"/>
      <c r="Y60" s="363"/>
      <c r="Z60" s="363"/>
      <c r="AA60" s="363"/>
      <c r="AB60" s="363"/>
      <c r="AC60" s="363"/>
      <c r="AD60" s="363"/>
      <c r="AE60" s="363"/>
      <c r="AF60" s="363"/>
      <c r="AG60" s="363"/>
      <c r="AH60" s="363"/>
      <c r="AI60" s="363"/>
      <c r="AJ60" s="363"/>
      <c r="AK60" s="363"/>
      <c r="AL60" s="363"/>
      <c r="AM60" s="363"/>
      <c r="AN60" s="363"/>
      <c r="AO60" s="363"/>
      <c r="AP60" s="363"/>
      <c r="AQ60" s="363"/>
      <c r="AR60" s="363"/>
      <c r="AS60" s="363"/>
      <c r="AT60" s="363"/>
      <c r="AU60" s="363"/>
      <c r="AV60" s="363"/>
      <c r="AW60" s="363"/>
      <c r="AX60" s="363"/>
      <c r="AY60" s="363"/>
      <c r="AZ60" s="363"/>
      <c r="BA60" s="363"/>
      <c r="BB60" s="363"/>
      <c r="BC60" s="363"/>
      <c r="BD60" s="363"/>
      <c r="BE60" s="363"/>
      <c r="BF60" s="363"/>
      <c r="BG60" s="363"/>
      <c r="BI60" s="342" t="s">
        <v>1237</v>
      </c>
    </row>
    <row r="61" spans="2:61" hidden="1" x14ac:dyDescent="0.2">
      <c r="B61" s="219" t="str">
        <f>IF(Capacity!N54="","",Capacity!N54)</f>
        <v/>
      </c>
      <c r="C61" s="220" t="str">
        <f>IF(B61="","",Capacity!Q54)</f>
        <v/>
      </c>
      <c r="D61" s="309" t="str">
        <f>IF(B61="","",Capacity!R54)</f>
        <v/>
      </c>
      <c r="E61" s="220" t="str">
        <f>IF(B61="","",IF(COUNTBLANK(H61:BG61)=52,SUM('Capacity calculation (hide)'!H149:BG149),52-COUNTBLANK(H61:BG61)))</f>
        <v/>
      </c>
      <c r="F61" s="310" t="str">
        <f>'Capacity calculation (hide)'!BI149</f>
        <v/>
      </c>
      <c r="H61" s="363"/>
      <c r="I61" s="363"/>
      <c r="J61" s="363"/>
      <c r="K61" s="363"/>
      <c r="L61" s="363"/>
      <c r="M61" s="363"/>
      <c r="N61" s="363"/>
      <c r="O61" s="363"/>
      <c r="P61" s="363"/>
      <c r="Q61" s="363"/>
      <c r="R61" s="363"/>
      <c r="S61" s="363"/>
      <c r="T61" s="363"/>
      <c r="U61" s="363"/>
      <c r="V61" s="363"/>
      <c r="W61" s="363"/>
      <c r="X61" s="363"/>
      <c r="Y61" s="363"/>
      <c r="Z61" s="363"/>
      <c r="AA61" s="363"/>
      <c r="AB61" s="363"/>
      <c r="AC61" s="363"/>
      <c r="AD61" s="363"/>
      <c r="AE61" s="363"/>
      <c r="AF61" s="363"/>
      <c r="AG61" s="363"/>
      <c r="AH61" s="363"/>
      <c r="AI61" s="363"/>
      <c r="AJ61" s="363"/>
      <c r="AK61" s="363"/>
      <c r="AL61" s="363"/>
      <c r="AM61" s="363"/>
      <c r="AN61" s="363"/>
      <c r="AO61" s="363"/>
      <c r="AP61" s="363"/>
      <c r="AQ61" s="363"/>
      <c r="AR61" s="363"/>
      <c r="AS61" s="363"/>
      <c r="AT61" s="363"/>
      <c r="AU61" s="363"/>
      <c r="AV61" s="363"/>
      <c r="AW61" s="363"/>
      <c r="AX61" s="363"/>
      <c r="AY61" s="363"/>
      <c r="AZ61" s="363"/>
      <c r="BA61" s="363"/>
      <c r="BB61" s="363"/>
      <c r="BC61" s="363"/>
      <c r="BD61" s="363"/>
      <c r="BE61" s="363"/>
      <c r="BF61" s="363"/>
      <c r="BG61" s="363"/>
      <c r="BI61" s="342" t="s">
        <v>1237</v>
      </c>
    </row>
    <row r="62" spans="2:61" hidden="1" x14ac:dyDescent="0.2">
      <c r="B62" s="219" t="str">
        <f>IF(Capacity!N55="","",Capacity!N55)</f>
        <v/>
      </c>
      <c r="C62" s="220" t="str">
        <f>IF(B62="","",Capacity!Q55)</f>
        <v/>
      </c>
      <c r="D62" s="309" t="str">
        <f>IF(B62="","",Capacity!R55)</f>
        <v/>
      </c>
      <c r="E62" s="220" t="str">
        <f>IF(B62="","",IF(COUNTBLANK(H62:BG62)=52,SUM('Capacity calculation (hide)'!H150:BG150),52-COUNTBLANK(H62:BG62)))</f>
        <v/>
      </c>
      <c r="F62" s="310" t="str">
        <f>'Capacity calculation (hide)'!BI150</f>
        <v/>
      </c>
      <c r="H62" s="363"/>
      <c r="I62" s="363"/>
      <c r="J62" s="363"/>
      <c r="K62" s="363"/>
      <c r="L62" s="363"/>
      <c r="M62" s="363"/>
      <c r="N62" s="363"/>
      <c r="O62" s="363"/>
      <c r="P62" s="363"/>
      <c r="Q62" s="363"/>
      <c r="R62" s="363"/>
      <c r="S62" s="363"/>
      <c r="T62" s="363"/>
      <c r="U62" s="363"/>
      <c r="V62" s="363"/>
      <c r="W62" s="363"/>
      <c r="X62" s="363"/>
      <c r="Y62" s="363"/>
      <c r="Z62" s="363"/>
      <c r="AA62" s="363"/>
      <c r="AB62" s="363"/>
      <c r="AC62" s="363"/>
      <c r="AD62" s="363"/>
      <c r="AE62" s="363"/>
      <c r="AF62" s="363"/>
      <c r="AG62" s="363"/>
      <c r="AH62" s="363"/>
      <c r="AI62" s="363"/>
      <c r="AJ62" s="363"/>
      <c r="AK62" s="363"/>
      <c r="AL62" s="363"/>
      <c r="AM62" s="363"/>
      <c r="AN62" s="363"/>
      <c r="AO62" s="363"/>
      <c r="AP62" s="363"/>
      <c r="AQ62" s="363"/>
      <c r="AR62" s="363"/>
      <c r="AS62" s="363"/>
      <c r="AT62" s="363"/>
      <c r="AU62" s="363"/>
      <c r="AV62" s="363"/>
      <c r="AW62" s="363"/>
      <c r="AX62" s="363"/>
      <c r="AY62" s="363"/>
      <c r="AZ62" s="363"/>
      <c r="BA62" s="363"/>
      <c r="BB62" s="363"/>
      <c r="BC62" s="363"/>
      <c r="BD62" s="363"/>
      <c r="BE62" s="363"/>
      <c r="BF62" s="363"/>
      <c r="BG62" s="363"/>
      <c r="BI62" s="342" t="s">
        <v>1237</v>
      </c>
    </row>
    <row r="63" spans="2:61" hidden="1" x14ac:dyDescent="0.2">
      <c r="B63" s="219" t="str">
        <f>IF(Capacity!N56="","",Capacity!N56)</f>
        <v/>
      </c>
      <c r="C63" s="220" t="str">
        <f>IF(B63="","",Capacity!Q56)</f>
        <v/>
      </c>
      <c r="D63" s="309" t="str">
        <f>IF(B63="","",Capacity!R56)</f>
        <v/>
      </c>
      <c r="E63" s="220" t="str">
        <f>IF(B63="","",IF(COUNTBLANK(H63:BG63)=52,SUM('Capacity calculation (hide)'!H151:BG151),52-COUNTBLANK(H63:BG63)))</f>
        <v/>
      </c>
      <c r="F63" s="310" t="str">
        <f>'Capacity calculation (hide)'!BI151</f>
        <v/>
      </c>
      <c r="H63" s="363"/>
      <c r="I63" s="363"/>
      <c r="J63" s="363"/>
      <c r="K63" s="363"/>
      <c r="L63" s="363"/>
      <c r="M63" s="363"/>
      <c r="N63" s="363"/>
      <c r="O63" s="363"/>
      <c r="P63" s="363"/>
      <c r="Q63" s="363"/>
      <c r="R63" s="363"/>
      <c r="S63" s="363"/>
      <c r="T63" s="363"/>
      <c r="U63" s="363"/>
      <c r="V63" s="363"/>
      <c r="W63" s="363"/>
      <c r="X63" s="363"/>
      <c r="Y63" s="363"/>
      <c r="Z63" s="363"/>
      <c r="AA63" s="363"/>
      <c r="AB63" s="363"/>
      <c r="AC63" s="363"/>
      <c r="AD63" s="363"/>
      <c r="AE63" s="363"/>
      <c r="AF63" s="363"/>
      <c r="AG63" s="363"/>
      <c r="AH63" s="363"/>
      <c r="AI63" s="363"/>
      <c r="AJ63" s="363"/>
      <c r="AK63" s="363"/>
      <c r="AL63" s="363"/>
      <c r="AM63" s="363"/>
      <c r="AN63" s="363"/>
      <c r="AO63" s="363"/>
      <c r="AP63" s="363"/>
      <c r="AQ63" s="363"/>
      <c r="AR63" s="363"/>
      <c r="AS63" s="363"/>
      <c r="AT63" s="363"/>
      <c r="AU63" s="363"/>
      <c r="AV63" s="363"/>
      <c r="AW63" s="363"/>
      <c r="AX63" s="363"/>
      <c r="AY63" s="363"/>
      <c r="AZ63" s="363"/>
      <c r="BA63" s="363"/>
      <c r="BB63" s="363"/>
      <c r="BC63" s="363"/>
      <c r="BD63" s="363"/>
      <c r="BE63" s="363"/>
      <c r="BF63" s="363"/>
      <c r="BG63" s="363"/>
      <c r="BI63" s="342" t="s">
        <v>1237</v>
      </c>
    </row>
    <row r="64" spans="2:61" hidden="1" x14ac:dyDescent="0.2">
      <c r="B64" s="219" t="str">
        <f>IF(Capacity!N57="","",Capacity!N57)</f>
        <v/>
      </c>
      <c r="C64" s="220" t="str">
        <f>IF(B64="","",Capacity!Q57)</f>
        <v/>
      </c>
      <c r="D64" s="309" t="str">
        <f>IF(B64="","",Capacity!R57)</f>
        <v/>
      </c>
      <c r="E64" s="220" t="str">
        <f>IF(B64="","",IF(COUNTBLANK(H64:BG64)=52,SUM('Capacity calculation (hide)'!H152:BG152),52-COUNTBLANK(H64:BG64)))</f>
        <v/>
      </c>
      <c r="F64" s="310" t="str">
        <f>'Capacity calculation (hide)'!BI152</f>
        <v/>
      </c>
      <c r="H64" s="363"/>
      <c r="I64" s="363"/>
      <c r="J64" s="363"/>
      <c r="K64" s="363"/>
      <c r="L64" s="363"/>
      <c r="M64" s="363"/>
      <c r="N64" s="363"/>
      <c r="O64" s="363"/>
      <c r="P64" s="363"/>
      <c r="Q64" s="363"/>
      <c r="R64" s="363"/>
      <c r="S64" s="363"/>
      <c r="T64" s="363"/>
      <c r="U64" s="363"/>
      <c r="V64" s="363"/>
      <c r="W64" s="363"/>
      <c r="X64" s="363"/>
      <c r="Y64" s="363"/>
      <c r="Z64" s="363"/>
      <c r="AA64" s="363"/>
      <c r="AB64" s="363"/>
      <c r="AC64" s="363"/>
      <c r="AD64" s="363"/>
      <c r="AE64" s="363"/>
      <c r="AF64" s="363"/>
      <c r="AG64" s="363"/>
      <c r="AH64" s="363"/>
      <c r="AI64" s="363"/>
      <c r="AJ64" s="363"/>
      <c r="AK64" s="363"/>
      <c r="AL64" s="363"/>
      <c r="AM64" s="363"/>
      <c r="AN64" s="363"/>
      <c r="AO64" s="363"/>
      <c r="AP64" s="363"/>
      <c r="AQ64" s="363"/>
      <c r="AR64" s="363"/>
      <c r="AS64" s="363"/>
      <c r="AT64" s="363"/>
      <c r="AU64" s="363"/>
      <c r="AV64" s="363"/>
      <c r="AW64" s="363"/>
      <c r="AX64" s="363"/>
      <c r="AY64" s="363"/>
      <c r="AZ64" s="363"/>
      <c r="BA64" s="363"/>
      <c r="BB64" s="363"/>
      <c r="BC64" s="363"/>
      <c r="BD64" s="363"/>
      <c r="BE64" s="363"/>
      <c r="BF64" s="363"/>
      <c r="BG64" s="363"/>
      <c r="BI64" s="342" t="s">
        <v>1237</v>
      </c>
    </row>
    <row r="65" spans="2:61" hidden="1" x14ac:dyDescent="0.2">
      <c r="B65" s="219" t="str">
        <f>IF(Capacity!N58="","",Capacity!N58)</f>
        <v/>
      </c>
      <c r="C65" s="220" t="str">
        <f>IF(B65="","",Capacity!Q58)</f>
        <v/>
      </c>
      <c r="D65" s="309" t="str">
        <f>IF(B65="","",Capacity!R58)</f>
        <v/>
      </c>
      <c r="E65" s="220" t="str">
        <f>IF(B65="","",IF(COUNTBLANK(H65:BG65)=52,SUM('Capacity calculation (hide)'!H153:BG153),52-COUNTBLANK(H65:BG65)))</f>
        <v/>
      </c>
      <c r="F65" s="310" t="str">
        <f>'Capacity calculation (hide)'!BI153</f>
        <v/>
      </c>
      <c r="H65" s="363"/>
      <c r="I65" s="363"/>
      <c r="J65" s="363"/>
      <c r="K65" s="363"/>
      <c r="L65" s="363"/>
      <c r="M65" s="363"/>
      <c r="N65" s="363"/>
      <c r="O65" s="363"/>
      <c r="P65" s="363"/>
      <c r="Q65" s="363"/>
      <c r="R65" s="363"/>
      <c r="S65" s="363"/>
      <c r="T65" s="363"/>
      <c r="U65" s="363"/>
      <c r="V65" s="363"/>
      <c r="W65" s="363"/>
      <c r="X65" s="363"/>
      <c r="Y65" s="363"/>
      <c r="Z65" s="363"/>
      <c r="AA65" s="363"/>
      <c r="AB65" s="363"/>
      <c r="AC65" s="363"/>
      <c r="AD65" s="363"/>
      <c r="AE65" s="363"/>
      <c r="AF65" s="363"/>
      <c r="AG65" s="363"/>
      <c r="AH65" s="363"/>
      <c r="AI65" s="363"/>
      <c r="AJ65" s="363"/>
      <c r="AK65" s="363"/>
      <c r="AL65" s="363"/>
      <c r="AM65" s="363"/>
      <c r="AN65" s="363"/>
      <c r="AO65" s="363"/>
      <c r="AP65" s="363"/>
      <c r="AQ65" s="363"/>
      <c r="AR65" s="363"/>
      <c r="AS65" s="363"/>
      <c r="AT65" s="363"/>
      <c r="AU65" s="363"/>
      <c r="AV65" s="363"/>
      <c r="AW65" s="363"/>
      <c r="AX65" s="363"/>
      <c r="AY65" s="363"/>
      <c r="AZ65" s="363"/>
      <c r="BA65" s="363"/>
      <c r="BB65" s="363"/>
      <c r="BC65" s="363"/>
      <c r="BD65" s="363"/>
      <c r="BE65" s="363"/>
      <c r="BF65" s="363"/>
      <c r="BG65" s="363"/>
      <c r="BI65" s="342" t="s">
        <v>1237</v>
      </c>
    </row>
    <row r="66" spans="2:61" hidden="1" x14ac:dyDescent="0.2">
      <c r="B66" s="219" t="str">
        <f>IF(Capacity!N59="","",Capacity!N59)</f>
        <v/>
      </c>
      <c r="C66" s="220" t="str">
        <f>IF(B66="","",Capacity!Q59)</f>
        <v/>
      </c>
      <c r="D66" s="309" t="str">
        <f>IF(B66="","",Capacity!R59)</f>
        <v/>
      </c>
      <c r="E66" s="220" t="str">
        <f>IF(B66="","",IF(COUNTBLANK(H66:BG66)=52,SUM('Capacity calculation (hide)'!H154:BG154),52-COUNTBLANK(H66:BG66)))</f>
        <v/>
      </c>
      <c r="F66" s="310" t="str">
        <f>'Capacity calculation (hide)'!BI154</f>
        <v/>
      </c>
      <c r="H66" s="363"/>
      <c r="I66" s="363"/>
      <c r="J66" s="363"/>
      <c r="K66" s="363"/>
      <c r="L66" s="363"/>
      <c r="M66" s="363"/>
      <c r="N66" s="363"/>
      <c r="O66" s="363"/>
      <c r="P66" s="363"/>
      <c r="Q66" s="363"/>
      <c r="R66" s="363"/>
      <c r="S66" s="363"/>
      <c r="T66" s="363"/>
      <c r="U66" s="363"/>
      <c r="V66" s="363"/>
      <c r="W66" s="363"/>
      <c r="X66" s="363"/>
      <c r="Y66" s="363"/>
      <c r="Z66" s="363"/>
      <c r="AA66" s="363"/>
      <c r="AB66" s="363"/>
      <c r="AC66" s="363"/>
      <c r="AD66" s="363"/>
      <c r="AE66" s="363"/>
      <c r="AF66" s="363"/>
      <c r="AG66" s="363"/>
      <c r="AH66" s="363"/>
      <c r="AI66" s="363"/>
      <c r="AJ66" s="363"/>
      <c r="AK66" s="363"/>
      <c r="AL66" s="363"/>
      <c r="AM66" s="363"/>
      <c r="AN66" s="363"/>
      <c r="AO66" s="363"/>
      <c r="AP66" s="363"/>
      <c r="AQ66" s="363"/>
      <c r="AR66" s="363"/>
      <c r="AS66" s="363"/>
      <c r="AT66" s="363"/>
      <c r="AU66" s="363"/>
      <c r="AV66" s="363"/>
      <c r="AW66" s="363"/>
      <c r="AX66" s="363"/>
      <c r="AY66" s="363"/>
      <c r="AZ66" s="363"/>
      <c r="BA66" s="363"/>
      <c r="BB66" s="363"/>
      <c r="BC66" s="363"/>
      <c r="BD66" s="363"/>
      <c r="BE66" s="363"/>
      <c r="BF66" s="363"/>
      <c r="BG66" s="363"/>
      <c r="BI66" s="342" t="s">
        <v>1237</v>
      </c>
    </row>
    <row r="67" spans="2:61" hidden="1" x14ac:dyDescent="0.2">
      <c r="B67" s="219" t="str">
        <f>IF(Capacity!N60="","",Capacity!N60)</f>
        <v/>
      </c>
      <c r="C67" s="220" t="str">
        <f>IF(B67="","",Capacity!Q60)</f>
        <v/>
      </c>
      <c r="D67" s="309" t="str">
        <f>IF(B67="","",Capacity!R60)</f>
        <v/>
      </c>
      <c r="E67" s="220" t="str">
        <f>IF(B67="","",IF(COUNTBLANK(H67:BG67)=52,SUM('Capacity calculation (hide)'!H155:BG155),52-COUNTBLANK(H67:BG67)))</f>
        <v/>
      </c>
      <c r="F67" s="310" t="str">
        <f>'Capacity calculation (hide)'!BI155</f>
        <v/>
      </c>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I67" s="342" t="s">
        <v>1237</v>
      </c>
    </row>
    <row r="68" spans="2:61" hidden="1" x14ac:dyDescent="0.2">
      <c r="B68" s="219" t="str">
        <f>IF(Capacity!N61="","",Capacity!N61)</f>
        <v/>
      </c>
      <c r="C68" s="220" t="str">
        <f>IF(B68="","",Capacity!Q61)</f>
        <v/>
      </c>
      <c r="D68" s="309" t="str">
        <f>IF(B68="","",Capacity!R61)</f>
        <v/>
      </c>
      <c r="E68" s="220" t="str">
        <f>IF(B68="","",IF(COUNTBLANK(H68:BG68)=52,SUM('Capacity calculation (hide)'!H156:BG156),52-COUNTBLANK(H68:BG68)))</f>
        <v/>
      </c>
      <c r="F68" s="310" t="str">
        <f>'Capacity calculation (hide)'!BI156</f>
        <v/>
      </c>
      <c r="H68" s="363"/>
      <c r="I68" s="363"/>
      <c r="J68" s="363"/>
      <c r="K68" s="363"/>
      <c r="L68" s="363"/>
      <c r="M68" s="363"/>
      <c r="N68" s="363"/>
      <c r="O68" s="363"/>
      <c r="P68" s="363"/>
      <c r="Q68" s="363"/>
      <c r="R68" s="363"/>
      <c r="S68" s="363"/>
      <c r="T68" s="363"/>
      <c r="U68" s="363"/>
      <c r="V68" s="363"/>
      <c r="W68" s="363"/>
      <c r="X68" s="363"/>
      <c r="Y68" s="363"/>
      <c r="Z68" s="363"/>
      <c r="AA68" s="363"/>
      <c r="AB68" s="363"/>
      <c r="AC68" s="363"/>
      <c r="AD68" s="363"/>
      <c r="AE68" s="363"/>
      <c r="AF68" s="363"/>
      <c r="AG68" s="363"/>
      <c r="AH68" s="363"/>
      <c r="AI68" s="363"/>
      <c r="AJ68" s="363"/>
      <c r="AK68" s="363"/>
      <c r="AL68" s="363"/>
      <c r="AM68" s="363"/>
      <c r="AN68" s="363"/>
      <c r="AO68" s="363"/>
      <c r="AP68" s="363"/>
      <c r="AQ68" s="363"/>
      <c r="AR68" s="363"/>
      <c r="AS68" s="363"/>
      <c r="AT68" s="363"/>
      <c r="AU68" s="363"/>
      <c r="AV68" s="363"/>
      <c r="AW68" s="363"/>
      <c r="AX68" s="363"/>
      <c r="AY68" s="363"/>
      <c r="AZ68" s="363"/>
      <c r="BA68" s="363"/>
      <c r="BB68" s="363"/>
      <c r="BC68" s="363"/>
      <c r="BD68" s="363"/>
      <c r="BE68" s="363"/>
      <c r="BF68" s="363"/>
      <c r="BG68" s="363"/>
      <c r="BI68" s="342" t="s">
        <v>1237</v>
      </c>
    </row>
    <row r="69" spans="2:61" hidden="1" x14ac:dyDescent="0.2">
      <c r="B69" s="219" t="str">
        <f>IF(Capacity!N62="","",Capacity!N62)</f>
        <v/>
      </c>
      <c r="C69" s="220" t="str">
        <f>IF(B69="","",Capacity!Q62)</f>
        <v/>
      </c>
      <c r="D69" s="309" t="str">
        <f>IF(B69="","",Capacity!R62)</f>
        <v/>
      </c>
      <c r="E69" s="220" t="str">
        <f>IF(B69="","",IF(COUNTBLANK(H69:BG69)=52,SUM('Capacity calculation (hide)'!H157:BG157),52-COUNTBLANK(H69:BG69)))</f>
        <v/>
      </c>
      <c r="F69" s="310" t="str">
        <f>'Capacity calculation (hide)'!BI157</f>
        <v/>
      </c>
      <c r="H69" s="363"/>
      <c r="I69" s="363"/>
      <c r="J69" s="363"/>
      <c r="K69" s="363"/>
      <c r="L69" s="363"/>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I69" s="342" t="s">
        <v>1237</v>
      </c>
    </row>
    <row r="70" spans="2:61" hidden="1" x14ac:dyDescent="0.2">
      <c r="B70" s="219" t="str">
        <f>IF(Capacity!N63="","",Capacity!N63)</f>
        <v/>
      </c>
      <c r="C70" s="220" t="str">
        <f>IF(B70="","",Capacity!Q63)</f>
        <v/>
      </c>
      <c r="D70" s="309" t="str">
        <f>IF(B70="","",Capacity!R63)</f>
        <v/>
      </c>
      <c r="E70" s="220" t="str">
        <f>IF(B70="","",IF(COUNTBLANK(H70:BG70)=52,SUM('Capacity calculation (hide)'!H158:BG158),52-COUNTBLANK(H70:BG70)))</f>
        <v/>
      </c>
      <c r="F70" s="310" t="str">
        <f>'Capacity calculation (hide)'!BI158</f>
        <v/>
      </c>
      <c r="H70" s="363"/>
      <c r="I70" s="363"/>
      <c r="J70" s="363"/>
      <c r="K70" s="363"/>
      <c r="L70" s="363"/>
      <c r="M70" s="363"/>
      <c r="N70" s="363"/>
      <c r="O70" s="363"/>
      <c r="P70" s="363"/>
      <c r="Q70" s="363"/>
      <c r="R70" s="363"/>
      <c r="S70" s="363"/>
      <c r="T70" s="363"/>
      <c r="U70" s="363"/>
      <c r="V70" s="363"/>
      <c r="W70" s="363"/>
      <c r="X70" s="363"/>
      <c r="Y70" s="363"/>
      <c r="Z70" s="363"/>
      <c r="AA70" s="363"/>
      <c r="AB70" s="363"/>
      <c r="AC70" s="363"/>
      <c r="AD70" s="363"/>
      <c r="AE70" s="363"/>
      <c r="AF70" s="363"/>
      <c r="AG70" s="363"/>
      <c r="AH70" s="363"/>
      <c r="AI70" s="363"/>
      <c r="AJ70" s="363"/>
      <c r="AK70" s="363"/>
      <c r="AL70" s="363"/>
      <c r="AM70" s="363"/>
      <c r="AN70" s="363"/>
      <c r="AO70" s="363"/>
      <c r="AP70" s="363"/>
      <c r="AQ70" s="363"/>
      <c r="AR70" s="363"/>
      <c r="AS70" s="363"/>
      <c r="AT70" s="363"/>
      <c r="AU70" s="363"/>
      <c r="AV70" s="363"/>
      <c r="AW70" s="363"/>
      <c r="AX70" s="363"/>
      <c r="AY70" s="363"/>
      <c r="AZ70" s="363"/>
      <c r="BA70" s="363"/>
      <c r="BB70" s="363"/>
      <c r="BC70" s="363"/>
      <c r="BD70" s="363"/>
      <c r="BE70" s="363"/>
      <c r="BF70" s="363"/>
      <c r="BG70" s="363"/>
      <c r="BI70" s="342" t="s">
        <v>1237</v>
      </c>
    </row>
    <row r="71" spans="2:61" hidden="1" x14ac:dyDescent="0.2">
      <c r="B71" s="219" t="str">
        <f>IF(Capacity!N64="","",Capacity!N64)</f>
        <v/>
      </c>
      <c r="C71" s="220" t="str">
        <f>IF(B71="","",Capacity!Q64)</f>
        <v/>
      </c>
      <c r="D71" s="309" t="str">
        <f>IF(B71="","",Capacity!R64)</f>
        <v/>
      </c>
      <c r="E71" s="220" t="str">
        <f>IF(B71="","",IF(COUNTBLANK(H71:BG71)=52,SUM('Capacity calculation (hide)'!H159:BG159),52-COUNTBLANK(H71:BG71)))</f>
        <v/>
      </c>
      <c r="F71" s="310" t="str">
        <f>'Capacity calculation (hide)'!BI159</f>
        <v/>
      </c>
      <c r="H71" s="363"/>
      <c r="I71" s="363"/>
      <c r="J71" s="363"/>
      <c r="K71" s="363"/>
      <c r="L71" s="363"/>
      <c r="M71" s="363"/>
      <c r="N71" s="363"/>
      <c r="O71" s="363"/>
      <c r="P71" s="363"/>
      <c r="Q71" s="363"/>
      <c r="R71" s="363"/>
      <c r="S71" s="363"/>
      <c r="T71" s="363"/>
      <c r="U71" s="363"/>
      <c r="V71" s="363"/>
      <c r="W71" s="363"/>
      <c r="X71" s="363"/>
      <c r="Y71" s="363"/>
      <c r="Z71" s="363"/>
      <c r="AA71" s="363"/>
      <c r="AB71" s="363"/>
      <c r="AC71" s="363"/>
      <c r="AD71" s="363"/>
      <c r="AE71" s="363"/>
      <c r="AF71" s="363"/>
      <c r="AG71" s="363"/>
      <c r="AH71" s="363"/>
      <c r="AI71" s="363"/>
      <c r="AJ71" s="363"/>
      <c r="AK71" s="363"/>
      <c r="AL71" s="363"/>
      <c r="AM71" s="363"/>
      <c r="AN71" s="363"/>
      <c r="AO71" s="363"/>
      <c r="AP71" s="363"/>
      <c r="AQ71" s="363"/>
      <c r="AR71" s="363"/>
      <c r="AS71" s="363"/>
      <c r="AT71" s="363"/>
      <c r="AU71" s="363"/>
      <c r="AV71" s="363"/>
      <c r="AW71" s="363"/>
      <c r="AX71" s="363"/>
      <c r="AY71" s="363"/>
      <c r="AZ71" s="363"/>
      <c r="BA71" s="363"/>
      <c r="BB71" s="363"/>
      <c r="BC71" s="363"/>
      <c r="BD71" s="363"/>
      <c r="BE71" s="363"/>
      <c r="BF71" s="363"/>
      <c r="BG71" s="363"/>
      <c r="BI71" s="342" t="s">
        <v>1237</v>
      </c>
    </row>
    <row r="72" spans="2:61" hidden="1" x14ac:dyDescent="0.2">
      <c r="B72" s="219" t="str">
        <f>IF(Capacity!N65="","",Capacity!N65)</f>
        <v/>
      </c>
      <c r="C72" s="220" t="str">
        <f>IF(B72="","",Capacity!Q65)</f>
        <v/>
      </c>
      <c r="D72" s="309" t="str">
        <f>IF(B72="","",Capacity!R65)</f>
        <v/>
      </c>
      <c r="E72" s="220" t="str">
        <f>IF(B72="","",IF(COUNTBLANK(H72:BG72)=52,SUM('Capacity calculation (hide)'!H160:BG160),52-COUNTBLANK(H72:BG72)))</f>
        <v/>
      </c>
      <c r="F72" s="310" t="str">
        <f>'Capacity calculation (hide)'!BI160</f>
        <v/>
      </c>
      <c r="H72" s="363"/>
      <c r="I72" s="363"/>
      <c r="J72" s="363"/>
      <c r="K72" s="363"/>
      <c r="L72" s="363"/>
      <c r="M72" s="363"/>
      <c r="N72" s="363"/>
      <c r="O72" s="363"/>
      <c r="P72" s="363"/>
      <c r="Q72" s="363"/>
      <c r="R72" s="363"/>
      <c r="S72" s="363"/>
      <c r="T72" s="363"/>
      <c r="U72" s="363"/>
      <c r="V72" s="363"/>
      <c r="W72" s="363"/>
      <c r="X72" s="363"/>
      <c r="Y72" s="363"/>
      <c r="Z72" s="363"/>
      <c r="AA72" s="363"/>
      <c r="AB72" s="363"/>
      <c r="AC72" s="363"/>
      <c r="AD72" s="363"/>
      <c r="AE72" s="363"/>
      <c r="AF72" s="363"/>
      <c r="AG72" s="363"/>
      <c r="AH72" s="363"/>
      <c r="AI72" s="363"/>
      <c r="AJ72" s="363"/>
      <c r="AK72" s="363"/>
      <c r="AL72" s="363"/>
      <c r="AM72" s="363"/>
      <c r="AN72" s="363"/>
      <c r="AO72" s="363"/>
      <c r="AP72" s="363"/>
      <c r="AQ72" s="363"/>
      <c r="AR72" s="363"/>
      <c r="AS72" s="363"/>
      <c r="AT72" s="363"/>
      <c r="AU72" s="363"/>
      <c r="AV72" s="363"/>
      <c r="AW72" s="363"/>
      <c r="AX72" s="363"/>
      <c r="AY72" s="363"/>
      <c r="AZ72" s="363"/>
      <c r="BA72" s="363"/>
      <c r="BB72" s="363"/>
      <c r="BC72" s="363"/>
      <c r="BD72" s="363"/>
      <c r="BE72" s="363"/>
      <c r="BF72" s="363"/>
      <c r="BG72" s="363"/>
      <c r="BI72" s="342" t="s">
        <v>1237</v>
      </c>
    </row>
    <row r="73" spans="2:61" hidden="1" x14ac:dyDescent="0.2">
      <c r="B73" s="219" t="str">
        <f>IF(Capacity!N66="","",Capacity!N66)</f>
        <v/>
      </c>
      <c r="C73" s="220" t="str">
        <f>IF(B73="","",Capacity!Q66)</f>
        <v/>
      </c>
      <c r="D73" s="309" t="str">
        <f>IF(B73="","",Capacity!R66)</f>
        <v/>
      </c>
      <c r="E73" s="220" t="str">
        <f>IF(B73="","",IF(COUNTBLANK(H73:BG73)=52,SUM('Capacity calculation (hide)'!H161:BG161),52-COUNTBLANK(H73:BG73)))</f>
        <v/>
      </c>
      <c r="F73" s="310" t="str">
        <f>'Capacity calculation (hide)'!BI161</f>
        <v/>
      </c>
      <c r="H73" s="363"/>
      <c r="I73" s="363"/>
      <c r="J73" s="363"/>
      <c r="K73" s="363"/>
      <c r="L73" s="363"/>
      <c r="M73" s="363"/>
      <c r="N73" s="363"/>
      <c r="O73" s="363"/>
      <c r="P73" s="363"/>
      <c r="Q73" s="363"/>
      <c r="R73" s="363"/>
      <c r="S73" s="363"/>
      <c r="T73" s="363"/>
      <c r="U73" s="363"/>
      <c r="V73" s="363"/>
      <c r="W73" s="363"/>
      <c r="X73" s="363"/>
      <c r="Y73" s="363"/>
      <c r="Z73" s="363"/>
      <c r="AA73" s="363"/>
      <c r="AB73" s="363"/>
      <c r="AC73" s="363"/>
      <c r="AD73" s="363"/>
      <c r="AE73" s="363"/>
      <c r="AF73" s="363"/>
      <c r="AG73" s="363"/>
      <c r="AH73" s="363"/>
      <c r="AI73" s="363"/>
      <c r="AJ73" s="363"/>
      <c r="AK73" s="363"/>
      <c r="AL73" s="363"/>
      <c r="AM73" s="363"/>
      <c r="AN73" s="363"/>
      <c r="AO73" s="363"/>
      <c r="AP73" s="363"/>
      <c r="AQ73" s="363"/>
      <c r="AR73" s="363"/>
      <c r="AS73" s="363"/>
      <c r="AT73" s="363"/>
      <c r="AU73" s="363"/>
      <c r="AV73" s="363"/>
      <c r="AW73" s="363"/>
      <c r="AX73" s="363"/>
      <c r="AY73" s="363"/>
      <c r="AZ73" s="363"/>
      <c r="BA73" s="363"/>
      <c r="BB73" s="363"/>
      <c r="BC73" s="363"/>
      <c r="BD73" s="363"/>
      <c r="BE73" s="363"/>
      <c r="BF73" s="363"/>
      <c r="BG73" s="363"/>
      <c r="BI73" s="342" t="s">
        <v>1237</v>
      </c>
    </row>
    <row r="74" spans="2:61" hidden="1" x14ac:dyDescent="0.2">
      <c r="B74" s="219" t="str">
        <f>IF(Capacity!N67="","",Capacity!N67)</f>
        <v/>
      </c>
      <c r="C74" s="220" t="str">
        <f>IF(B74="","",Capacity!Q67)</f>
        <v/>
      </c>
      <c r="D74" s="309" t="str">
        <f>IF(B74="","",Capacity!R67)</f>
        <v/>
      </c>
      <c r="E74" s="220" t="str">
        <f>IF(B74="","",IF(COUNTBLANK(H74:BG74)=52,SUM('Capacity calculation (hide)'!H162:BG162),52-COUNTBLANK(H74:BG74)))</f>
        <v/>
      </c>
      <c r="F74" s="310" t="str">
        <f>'Capacity calculation (hide)'!BI162</f>
        <v/>
      </c>
      <c r="H74" s="363"/>
      <c r="I74" s="363"/>
      <c r="J74" s="363"/>
      <c r="K74" s="363"/>
      <c r="L74" s="363"/>
      <c r="M74" s="363"/>
      <c r="N74" s="363"/>
      <c r="O74" s="363"/>
      <c r="P74" s="363"/>
      <c r="Q74" s="363"/>
      <c r="R74" s="363"/>
      <c r="S74" s="363"/>
      <c r="T74" s="363"/>
      <c r="U74" s="363"/>
      <c r="V74" s="363"/>
      <c r="W74" s="363"/>
      <c r="X74" s="363"/>
      <c r="Y74" s="363"/>
      <c r="Z74" s="363"/>
      <c r="AA74" s="363"/>
      <c r="AB74" s="363"/>
      <c r="AC74" s="363"/>
      <c r="AD74" s="363"/>
      <c r="AE74" s="363"/>
      <c r="AF74" s="363"/>
      <c r="AG74" s="363"/>
      <c r="AH74" s="363"/>
      <c r="AI74" s="363"/>
      <c r="AJ74" s="363"/>
      <c r="AK74" s="363"/>
      <c r="AL74" s="363"/>
      <c r="AM74" s="363"/>
      <c r="AN74" s="363"/>
      <c r="AO74" s="363"/>
      <c r="AP74" s="363"/>
      <c r="AQ74" s="363"/>
      <c r="AR74" s="363"/>
      <c r="AS74" s="363"/>
      <c r="AT74" s="363"/>
      <c r="AU74" s="363"/>
      <c r="AV74" s="363"/>
      <c r="AW74" s="363"/>
      <c r="AX74" s="363"/>
      <c r="AY74" s="363"/>
      <c r="AZ74" s="363"/>
      <c r="BA74" s="363"/>
      <c r="BB74" s="363"/>
      <c r="BC74" s="363"/>
      <c r="BD74" s="363"/>
      <c r="BE74" s="363"/>
      <c r="BF74" s="363"/>
      <c r="BG74" s="363"/>
      <c r="BI74" s="342" t="s">
        <v>1237</v>
      </c>
    </row>
    <row r="75" spans="2:61" hidden="1" x14ac:dyDescent="0.2">
      <c r="B75" s="219" t="str">
        <f>IF(Capacity!N68="","",Capacity!N68)</f>
        <v/>
      </c>
      <c r="C75" s="220" t="str">
        <f>IF(B75="","",Capacity!Q68)</f>
        <v/>
      </c>
      <c r="D75" s="309" t="str">
        <f>IF(B75="","",Capacity!R68)</f>
        <v/>
      </c>
      <c r="E75" s="220" t="str">
        <f>IF(B75="","",IF(COUNTBLANK(H75:BG75)=52,SUM('Capacity calculation (hide)'!H163:BG163),52-COUNTBLANK(H75:BG75)))</f>
        <v/>
      </c>
      <c r="F75" s="310" t="str">
        <f>'Capacity calculation (hide)'!BI163</f>
        <v/>
      </c>
      <c r="H75" s="363"/>
      <c r="I75" s="363"/>
      <c r="J75" s="363"/>
      <c r="K75" s="363"/>
      <c r="L75" s="363"/>
      <c r="M75" s="363"/>
      <c r="N75" s="363"/>
      <c r="O75" s="363"/>
      <c r="P75" s="363"/>
      <c r="Q75" s="363"/>
      <c r="R75" s="363"/>
      <c r="S75" s="363"/>
      <c r="T75" s="363"/>
      <c r="U75" s="363"/>
      <c r="V75" s="363"/>
      <c r="W75" s="363"/>
      <c r="X75" s="363"/>
      <c r="Y75" s="363"/>
      <c r="Z75" s="363"/>
      <c r="AA75" s="363"/>
      <c r="AB75" s="363"/>
      <c r="AC75" s="363"/>
      <c r="AD75" s="363"/>
      <c r="AE75" s="363"/>
      <c r="AF75" s="363"/>
      <c r="AG75" s="363"/>
      <c r="AH75" s="363"/>
      <c r="AI75" s="363"/>
      <c r="AJ75" s="363"/>
      <c r="AK75" s="363"/>
      <c r="AL75" s="363"/>
      <c r="AM75" s="363"/>
      <c r="AN75" s="363"/>
      <c r="AO75" s="363"/>
      <c r="AP75" s="363"/>
      <c r="AQ75" s="363"/>
      <c r="AR75" s="363"/>
      <c r="AS75" s="363"/>
      <c r="AT75" s="363"/>
      <c r="AU75" s="363"/>
      <c r="AV75" s="363"/>
      <c r="AW75" s="363"/>
      <c r="AX75" s="363"/>
      <c r="AY75" s="363"/>
      <c r="AZ75" s="363"/>
      <c r="BA75" s="363"/>
      <c r="BB75" s="363"/>
      <c r="BC75" s="363"/>
      <c r="BD75" s="363"/>
      <c r="BE75" s="363"/>
      <c r="BF75" s="363"/>
      <c r="BG75" s="363"/>
      <c r="BI75" s="342" t="s">
        <v>1237</v>
      </c>
    </row>
    <row r="76" spans="2:61" hidden="1" x14ac:dyDescent="0.2">
      <c r="B76" s="219" t="str">
        <f>IF(Capacity!N69="","",Capacity!N69)</f>
        <v/>
      </c>
      <c r="C76" s="220" t="str">
        <f>IF(B76="","",Capacity!Q69)</f>
        <v/>
      </c>
      <c r="D76" s="309" t="str">
        <f>IF(B76="","",Capacity!R69)</f>
        <v/>
      </c>
      <c r="E76" s="220" t="str">
        <f>IF(B76="","",IF(COUNTBLANK(H76:BG76)=52,SUM('Capacity calculation (hide)'!H164:BG164),52-COUNTBLANK(H76:BG76)))</f>
        <v/>
      </c>
      <c r="F76" s="310" t="str">
        <f>'Capacity calculation (hide)'!BI164</f>
        <v/>
      </c>
      <c r="H76" s="363"/>
      <c r="I76" s="363"/>
      <c r="J76" s="363"/>
      <c r="K76" s="363"/>
      <c r="L76" s="363"/>
      <c r="M76" s="363"/>
      <c r="N76" s="363"/>
      <c r="O76" s="363"/>
      <c r="P76" s="363"/>
      <c r="Q76" s="363"/>
      <c r="R76" s="363"/>
      <c r="S76" s="363"/>
      <c r="T76" s="363"/>
      <c r="U76" s="363"/>
      <c r="V76" s="363"/>
      <c r="W76" s="363"/>
      <c r="X76" s="363"/>
      <c r="Y76" s="363"/>
      <c r="Z76" s="363"/>
      <c r="AA76" s="363"/>
      <c r="AB76" s="363"/>
      <c r="AC76" s="363"/>
      <c r="AD76" s="363"/>
      <c r="AE76" s="363"/>
      <c r="AF76" s="363"/>
      <c r="AG76" s="363"/>
      <c r="AH76" s="363"/>
      <c r="AI76" s="363"/>
      <c r="AJ76" s="363"/>
      <c r="AK76" s="363"/>
      <c r="AL76" s="363"/>
      <c r="AM76" s="363"/>
      <c r="AN76" s="363"/>
      <c r="AO76" s="363"/>
      <c r="AP76" s="363"/>
      <c r="AQ76" s="363"/>
      <c r="AR76" s="363"/>
      <c r="AS76" s="363"/>
      <c r="AT76" s="363"/>
      <c r="AU76" s="363"/>
      <c r="AV76" s="363"/>
      <c r="AW76" s="363"/>
      <c r="AX76" s="363"/>
      <c r="AY76" s="363"/>
      <c r="AZ76" s="363"/>
      <c r="BA76" s="363"/>
      <c r="BB76" s="363"/>
      <c r="BC76" s="363"/>
      <c r="BD76" s="363"/>
      <c r="BE76" s="363"/>
      <c r="BF76" s="363"/>
      <c r="BG76" s="363"/>
      <c r="BI76" s="342" t="s">
        <v>1237</v>
      </c>
    </row>
    <row r="77" spans="2:61" hidden="1" x14ac:dyDescent="0.2">
      <c r="B77" s="219" t="str">
        <f>IF(Capacity!N70="","",Capacity!N70)</f>
        <v/>
      </c>
      <c r="C77" s="220" t="str">
        <f>IF(B77="","",Capacity!Q70)</f>
        <v/>
      </c>
      <c r="D77" s="309" t="str">
        <f>IF(B77="","",Capacity!R70)</f>
        <v/>
      </c>
      <c r="E77" s="220" t="str">
        <f>IF(B77="","",IF(COUNTBLANK(H77:BG77)=52,SUM('Capacity calculation (hide)'!H165:BG165),52-COUNTBLANK(H77:BG77)))</f>
        <v/>
      </c>
      <c r="F77" s="310" t="str">
        <f>'Capacity calculation (hide)'!BI165</f>
        <v/>
      </c>
      <c r="H77" s="363"/>
      <c r="I77" s="363"/>
      <c r="J77" s="363"/>
      <c r="K77" s="363"/>
      <c r="L77" s="363"/>
      <c r="M77" s="363"/>
      <c r="N77" s="363"/>
      <c r="O77" s="363"/>
      <c r="P77" s="363"/>
      <c r="Q77" s="363"/>
      <c r="R77" s="363"/>
      <c r="S77" s="363"/>
      <c r="T77" s="363"/>
      <c r="U77" s="363"/>
      <c r="V77" s="363"/>
      <c r="W77" s="363"/>
      <c r="X77" s="363"/>
      <c r="Y77" s="363"/>
      <c r="Z77" s="363"/>
      <c r="AA77" s="363"/>
      <c r="AB77" s="363"/>
      <c r="AC77" s="363"/>
      <c r="AD77" s="363"/>
      <c r="AE77" s="363"/>
      <c r="AF77" s="363"/>
      <c r="AG77" s="363"/>
      <c r="AH77" s="363"/>
      <c r="AI77" s="363"/>
      <c r="AJ77" s="363"/>
      <c r="AK77" s="363"/>
      <c r="AL77" s="363"/>
      <c r="AM77" s="363"/>
      <c r="AN77" s="363"/>
      <c r="AO77" s="363"/>
      <c r="AP77" s="363"/>
      <c r="AQ77" s="363"/>
      <c r="AR77" s="363"/>
      <c r="AS77" s="363"/>
      <c r="AT77" s="363"/>
      <c r="AU77" s="363"/>
      <c r="AV77" s="363"/>
      <c r="AW77" s="363"/>
      <c r="AX77" s="363"/>
      <c r="AY77" s="363"/>
      <c r="AZ77" s="363"/>
      <c r="BA77" s="363"/>
      <c r="BB77" s="363"/>
      <c r="BC77" s="363"/>
      <c r="BD77" s="363"/>
      <c r="BE77" s="363"/>
      <c r="BF77" s="363"/>
      <c r="BG77" s="363"/>
      <c r="BI77" s="342" t="s">
        <v>1237</v>
      </c>
    </row>
    <row r="78" spans="2:61" hidden="1" x14ac:dyDescent="0.2">
      <c r="B78" s="219" t="str">
        <f>IF(Capacity!N71="","",Capacity!N71)</f>
        <v/>
      </c>
      <c r="C78" s="220" t="str">
        <f>IF(B78="","",Capacity!Q71)</f>
        <v/>
      </c>
      <c r="D78" s="309" t="str">
        <f>IF(B78="","",Capacity!R71)</f>
        <v/>
      </c>
      <c r="E78" s="220" t="str">
        <f>IF(B78="","",IF(COUNTBLANK(H78:BG78)=52,SUM('Capacity calculation (hide)'!H166:BG166),52-COUNTBLANK(H78:BG78)))</f>
        <v/>
      </c>
      <c r="F78" s="310" t="str">
        <f>'Capacity calculation (hide)'!BI166</f>
        <v/>
      </c>
      <c r="H78" s="363"/>
      <c r="I78" s="363"/>
      <c r="J78" s="363"/>
      <c r="K78" s="363"/>
      <c r="L78" s="363"/>
      <c r="M78" s="363"/>
      <c r="N78" s="363"/>
      <c r="O78" s="363"/>
      <c r="P78" s="363"/>
      <c r="Q78" s="363"/>
      <c r="R78" s="363"/>
      <c r="S78" s="363"/>
      <c r="T78" s="363"/>
      <c r="U78" s="363"/>
      <c r="V78" s="363"/>
      <c r="W78" s="363"/>
      <c r="X78" s="363"/>
      <c r="Y78" s="363"/>
      <c r="Z78" s="363"/>
      <c r="AA78" s="363"/>
      <c r="AB78" s="363"/>
      <c r="AC78" s="363"/>
      <c r="AD78" s="363"/>
      <c r="AE78" s="363"/>
      <c r="AF78" s="363"/>
      <c r="AG78" s="363"/>
      <c r="AH78" s="363"/>
      <c r="AI78" s="363"/>
      <c r="AJ78" s="363"/>
      <c r="AK78" s="363"/>
      <c r="AL78" s="363"/>
      <c r="AM78" s="363"/>
      <c r="AN78" s="363"/>
      <c r="AO78" s="363"/>
      <c r="AP78" s="363"/>
      <c r="AQ78" s="363"/>
      <c r="AR78" s="363"/>
      <c r="AS78" s="363"/>
      <c r="AT78" s="363"/>
      <c r="AU78" s="363"/>
      <c r="AV78" s="363"/>
      <c r="AW78" s="363"/>
      <c r="AX78" s="363"/>
      <c r="AY78" s="363"/>
      <c r="AZ78" s="363"/>
      <c r="BA78" s="363"/>
      <c r="BB78" s="363"/>
      <c r="BC78" s="363"/>
      <c r="BD78" s="363"/>
      <c r="BE78" s="363"/>
      <c r="BF78" s="363"/>
      <c r="BG78" s="363"/>
      <c r="BI78" s="342" t="s">
        <v>1237</v>
      </c>
    </row>
    <row r="79" spans="2:61" hidden="1" x14ac:dyDescent="0.2">
      <c r="B79" s="219" t="str">
        <f>IF(Capacity!N72="","",Capacity!N72)</f>
        <v/>
      </c>
      <c r="C79" s="220" t="str">
        <f>IF(B79="","",Capacity!Q72)</f>
        <v/>
      </c>
      <c r="D79" s="309" t="str">
        <f>IF(B79="","",Capacity!R72)</f>
        <v/>
      </c>
      <c r="E79" s="220" t="str">
        <f>IF(B79="","",IF(COUNTBLANK(H79:BG79)=52,SUM('Capacity calculation (hide)'!H167:BG167),52-COUNTBLANK(H79:BG79)))</f>
        <v/>
      </c>
      <c r="F79" s="310" t="str">
        <f>'Capacity calculation (hide)'!BI167</f>
        <v/>
      </c>
      <c r="H79" s="363"/>
      <c r="I79" s="363"/>
      <c r="J79" s="363"/>
      <c r="K79" s="363"/>
      <c r="L79" s="363"/>
      <c r="M79" s="363"/>
      <c r="N79" s="363"/>
      <c r="O79" s="363"/>
      <c r="P79" s="363"/>
      <c r="Q79" s="363"/>
      <c r="R79" s="363"/>
      <c r="S79" s="363"/>
      <c r="T79" s="363"/>
      <c r="U79" s="363"/>
      <c r="V79" s="363"/>
      <c r="W79" s="363"/>
      <c r="X79" s="363"/>
      <c r="Y79" s="363"/>
      <c r="Z79" s="363"/>
      <c r="AA79" s="363"/>
      <c r="AB79" s="363"/>
      <c r="AC79" s="363"/>
      <c r="AD79" s="363"/>
      <c r="AE79" s="363"/>
      <c r="AF79" s="363"/>
      <c r="AG79" s="363"/>
      <c r="AH79" s="363"/>
      <c r="AI79" s="363"/>
      <c r="AJ79" s="363"/>
      <c r="AK79" s="363"/>
      <c r="AL79" s="363"/>
      <c r="AM79" s="363"/>
      <c r="AN79" s="363"/>
      <c r="AO79" s="363"/>
      <c r="AP79" s="363"/>
      <c r="AQ79" s="363"/>
      <c r="AR79" s="363"/>
      <c r="AS79" s="363"/>
      <c r="AT79" s="363"/>
      <c r="AU79" s="363"/>
      <c r="AV79" s="363"/>
      <c r="AW79" s="363"/>
      <c r="AX79" s="363"/>
      <c r="AY79" s="363"/>
      <c r="AZ79" s="363"/>
      <c r="BA79" s="363"/>
      <c r="BB79" s="363"/>
      <c r="BC79" s="363"/>
      <c r="BD79" s="363"/>
      <c r="BE79" s="363"/>
      <c r="BF79" s="363"/>
      <c r="BG79" s="363"/>
      <c r="BI79" s="342" t="s">
        <v>1237</v>
      </c>
    </row>
    <row r="80" spans="2:61" hidden="1" x14ac:dyDescent="0.2">
      <c r="B80" s="219" t="str">
        <f>IF(Capacity!N73="","",Capacity!N73)</f>
        <v/>
      </c>
      <c r="C80" s="220" t="str">
        <f>IF(B80="","",Capacity!Q73)</f>
        <v/>
      </c>
      <c r="D80" s="309" t="str">
        <f>IF(B80="","",Capacity!R73)</f>
        <v/>
      </c>
      <c r="E80" s="220" t="str">
        <f>IF(B80="","",IF(COUNTBLANK(H80:BG80)=52,SUM('Capacity calculation (hide)'!H168:BG168),52-COUNTBLANK(H80:BG80)))</f>
        <v/>
      </c>
      <c r="F80" s="310" t="str">
        <f>'Capacity calculation (hide)'!BI168</f>
        <v/>
      </c>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I80" s="342" t="s">
        <v>1237</v>
      </c>
    </row>
    <row r="81" spans="2:61" hidden="1" x14ac:dyDescent="0.2">
      <c r="B81" s="219" t="str">
        <f>IF(Capacity!N74="","",Capacity!N74)</f>
        <v/>
      </c>
      <c r="C81" s="220" t="str">
        <f>IF(B81="","",Capacity!Q74)</f>
        <v/>
      </c>
      <c r="D81" s="309" t="str">
        <f>IF(B81="","",Capacity!R74)</f>
        <v/>
      </c>
      <c r="E81" s="220" t="str">
        <f>IF(B81="","",IF(COUNTBLANK(H81:BG81)=52,SUM('Capacity calculation (hide)'!H169:BG169),52-COUNTBLANK(H81:BG81)))</f>
        <v/>
      </c>
      <c r="F81" s="310" t="str">
        <f>'Capacity calculation (hide)'!BI169</f>
        <v/>
      </c>
      <c r="H81" s="363"/>
      <c r="I81" s="363"/>
      <c r="J81" s="363"/>
      <c r="K81" s="363"/>
      <c r="L81" s="363"/>
      <c r="M81" s="363"/>
      <c r="N81" s="363"/>
      <c r="O81" s="363"/>
      <c r="P81" s="363"/>
      <c r="Q81" s="363"/>
      <c r="R81" s="363"/>
      <c r="S81" s="363"/>
      <c r="T81" s="363"/>
      <c r="U81" s="363"/>
      <c r="V81" s="363"/>
      <c r="W81" s="363"/>
      <c r="X81" s="363"/>
      <c r="Y81" s="363"/>
      <c r="Z81" s="363"/>
      <c r="AA81" s="363"/>
      <c r="AB81" s="363"/>
      <c r="AC81" s="363"/>
      <c r="AD81" s="363"/>
      <c r="AE81" s="363"/>
      <c r="AF81" s="363"/>
      <c r="AG81" s="363"/>
      <c r="AH81" s="363"/>
      <c r="AI81" s="363"/>
      <c r="AJ81" s="363"/>
      <c r="AK81" s="363"/>
      <c r="AL81" s="363"/>
      <c r="AM81" s="363"/>
      <c r="AN81" s="363"/>
      <c r="AO81" s="363"/>
      <c r="AP81" s="363"/>
      <c r="AQ81" s="363"/>
      <c r="AR81" s="363"/>
      <c r="AS81" s="363"/>
      <c r="AT81" s="363"/>
      <c r="AU81" s="363"/>
      <c r="AV81" s="363"/>
      <c r="AW81" s="363"/>
      <c r="AX81" s="363"/>
      <c r="AY81" s="363"/>
      <c r="AZ81" s="363"/>
      <c r="BA81" s="363"/>
      <c r="BB81" s="363"/>
      <c r="BC81" s="363"/>
      <c r="BD81" s="363"/>
      <c r="BE81" s="363"/>
      <c r="BF81" s="363"/>
      <c r="BG81" s="363"/>
      <c r="BI81" s="342" t="s">
        <v>1237</v>
      </c>
    </row>
    <row r="82" spans="2:61" hidden="1" x14ac:dyDescent="0.2">
      <c r="B82" s="219" t="str">
        <f>IF(Capacity!N75="","",Capacity!N75)</f>
        <v/>
      </c>
      <c r="C82" s="220" t="str">
        <f>IF(B82="","",Capacity!Q75)</f>
        <v/>
      </c>
      <c r="D82" s="309" t="str">
        <f>IF(B82="","",Capacity!R75)</f>
        <v/>
      </c>
      <c r="E82" s="220" t="str">
        <f>IF(B82="","",IF(COUNTBLANK(H82:BG82)=52,SUM('Capacity calculation (hide)'!H170:BG170),52-COUNTBLANK(H82:BG82)))</f>
        <v/>
      </c>
      <c r="F82" s="310" t="str">
        <f>'Capacity calculation (hide)'!BI170</f>
        <v/>
      </c>
      <c r="H82" s="363"/>
      <c r="I82" s="363"/>
      <c r="J82" s="363"/>
      <c r="K82" s="363"/>
      <c r="L82" s="363"/>
      <c r="M82" s="363"/>
      <c r="N82" s="363"/>
      <c r="O82" s="363"/>
      <c r="P82" s="363"/>
      <c r="Q82" s="363"/>
      <c r="R82" s="363"/>
      <c r="S82" s="363"/>
      <c r="T82" s="363"/>
      <c r="U82" s="363"/>
      <c r="V82" s="363"/>
      <c r="W82" s="363"/>
      <c r="X82" s="363"/>
      <c r="Y82" s="363"/>
      <c r="Z82" s="363"/>
      <c r="AA82" s="363"/>
      <c r="AB82" s="363"/>
      <c r="AC82" s="363"/>
      <c r="AD82" s="363"/>
      <c r="AE82" s="363"/>
      <c r="AF82" s="363"/>
      <c r="AG82" s="363"/>
      <c r="AH82" s="363"/>
      <c r="AI82" s="363"/>
      <c r="AJ82" s="363"/>
      <c r="AK82" s="363"/>
      <c r="AL82" s="363"/>
      <c r="AM82" s="363"/>
      <c r="AN82" s="363"/>
      <c r="AO82" s="363"/>
      <c r="AP82" s="363"/>
      <c r="AQ82" s="363"/>
      <c r="AR82" s="363"/>
      <c r="AS82" s="363"/>
      <c r="AT82" s="363"/>
      <c r="AU82" s="363"/>
      <c r="AV82" s="363"/>
      <c r="AW82" s="363"/>
      <c r="AX82" s="363"/>
      <c r="AY82" s="363"/>
      <c r="AZ82" s="363"/>
      <c r="BA82" s="363"/>
      <c r="BB82" s="363"/>
      <c r="BC82" s="363"/>
      <c r="BD82" s="363"/>
      <c r="BE82" s="363"/>
      <c r="BF82" s="363"/>
      <c r="BG82" s="363"/>
      <c r="BI82" s="342" t="s">
        <v>1237</v>
      </c>
    </row>
    <row r="83" spans="2:61" hidden="1" x14ac:dyDescent="0.2">
      <c r="B83" s="219" t="str">
        <f>IF(Capacity!N76="","",Capacity!N76)</f>
        <v/>
      </c>
      <c r="C83" s="220" t="str">
        <f>IF(B83="","",Capacity!Q76)</f>
        <v/>
      </c>
      <c r="D83" s="309" t="str">
        <f>IF(B83="","",Capacity!R76)</f>
        <v/>
      </c>
      <c r="E83" s="220" t="str">
        <f>IF(B83="","",IF(COUNTBLANK(H83:BG83)=52,SUM('Capacity calculation (hide)'!H171:BG171),52-COUNTBLANK(H83:BG83)))</f>
        <v/>
      </c>
      <c r="F83" s="310" t="str">
        <f>'Capacity calculation (hide)'!BI171</f>
        <v/>
      </c>
      <c r="H83" s="363"/>
      <c r="I83" s="363"/>
      <c r="J83" s="363"/>
      <c r="K83" s="363"/>
      <c r="L83" s="363"/>
      <c r="M83" s="363"/>
      <c r="N83" s="363"/>
      <c r="O83" s="363"/>
      <c r="P83" s="363"/>
      <c r="Q83" s="363"/>
      <c r="R83" s="363"/>
      <c r="S83" s="363"/>
      <c r="T83" s="363"/>
      <c r="U83" s="363"/>
      <c r="V83" s="363"/>
      <c r="W83" s="363"/>
      <c r="X83" s="363"/>
      <c r="Y83" s="363"/>
      <c r="Z83" s="363"/>
      <c r="AA83" s="363"/>
      <c r="AB83" s="363"/>
      <c r="AC83" s="363"/>
      <c r="AD83" s="363"/>
      <c r="AE83" s="363"/>
      <c r="AF83" s="363"/>
      <c r="AG83" s="363"/>
      <c r="AH83" s="363"/>
      <c r="AI83" s="363"/>
      <c r="AJ83" s="363"/>
      <c r="AK83" s="363"/>
      <c r="AL83" s="363"/>
      <c r="AM83" s="363"/>
      <c r="AN83" s="363"/>
      <c r="AO83" s="363"/>
      <c r="AP83" s="363"/>
      <c r="AQ83" s="363"/>
      <c r="AR83" s="363"/>
      <c r="AS83" s="363"/>
      <c r="AT83" s="363"/>
      <c r="AU83" s="363"/>
      <c r="AV83" s="363"/>
      <c r="AW83" s="363"/>
      <c r="AX83" s="363"/>
      <c r="AY83" s="363"/>
      <c r="AZ83" s="363"/>
      <c r="BA83" s="363"/>
      <c r="BB83" s="363"/>
      <c r="BC83" s="363"/>
      <c r="BD83" s="363"/>
      <c r="BE83" s="363"/>
      <c r="BF83" s="363"/>
      <c r="BG83" s="363"/>
      <c r="BI83" s="342" t="s">
        <v>1237</v>
      </c>
    </row>
    <row r="84" spans="2:61" hidden="1" x14ac:dyDescent="0.2">
      <c r="B84" s="219" t="str">
        <f>IF(Capacity!N77="","",Capacity!N77)</f>
        <v/>
      </c>
      <c r="C84" s="220" t="str">
        <f>IF(B84="","",Capacity!Q77)</f>
        <v/>
      </c>
      <c r="D84" s="309" t="str">
        <f>IF(B84="","",Capacity!R77)</f>
        <v/>
      </c>
      <c r="E84" s="220" t="str">
        <f>IF(B84="","",IF(COUNTBLANK(H84:BG84)=52,SUM('Capacity calculation (hide)'!H172:BG172),52-COUNTBLANK(H84:BG84)))</f>
        <v/>
      </c>
      <c r="F84" s="310" t="str">
        <f>'Capacity calculation (hide)'!BI172</f>
        <v/>
      </c>
      <c r="H84" s="363"/>
      <c r="I84" s="363"/>
      <c r="J84" s="363"/>
      <c r="K84" s="363"/>
      <c r="L84" s="363"/>
      <c r="M84" s="363"/>
      <c r="N84" s="363"/>
      <c r="O84" s="363"/>
      <c r="P84" s="363"/>
      <c r="Q84" s="363"/>
      <c r="R84" s="363"/>
      <c r="S84" s="363"/>
      <c r="T84" s="363"/>
      <c r="U84" s="363"/>
      <c r="V84" s="363"/>
      <c r="W84" s="363"/>
      <c r="X84" s="363"/>
      <c r="Y84" s="363"/>
      <c r="Z84" s="363"/>
      <c r="AA84" s="363"/>
      <c r="AB84" s="363"/>
      <c r="AC84" s="363"/>
      <c r="AD84" s="363"/>
      <c r="AE84" s="363"/>
      <c r="AF84" s="363"/>
      <c r="AG84" s="363"/>
      <c r="AH84" s="363"/>
      <c r="AI84" s="363"/>
      <c r="AJ84" s="363"/>
      <c r="AK84" s="363"/>
      <c r="AL84" s="363"/>
      <c r="AM84" s="363"/>
      <c r="AN84" s="363"/>
      <c r="AO84" s="363"/>
      <c r="AP84" s="363"/>
      <c r="AQ84" s="363"/>
      <c r="AR84" s="363"/>
      <c r="AS84" s="363"/>
      <c r="AT84" s="363"/>
      <c r="AU84" s="363"/>
      <c r="AV84" s="363"/>
      <c r="AW84" s="363"/>
      <c r="AX84" s="363"/>
      <c r="AY84" s="363"/>
      <c r="AZ84" s="363"/>
      <c r="BA84" s="363"/>
      <c r="BB84" s="363"/>
      <c r="BC84" s="363"/>
      <c r="BD84" s="363"/>
      <c r="BE84" s="363"/>
      <c r="BF84" s="363"/>
      <c r="BG84" s="363"/>
      <c r="BI84" s="342" t="s">
        <v>1237</v>
      </c>
    </row>
    <row r="85" spans="2:61" hidden="1" x14ac:dyDescent="0.2">
      <c r="B85" s="219" t="str">
        <f>IF(Capacity!N78="","",Capacity!N78)</f>
        <v/>
      </c>
      <c r="C85" s="220" t="str">
        <f>IF(B85="","",Capacity!Q78)</f>
        <v/>
      </c>
      <c r="D85" s="309" t="str">
        <f>IF(B85="","",Capacity!R78)</f>
        <v/>
      </c>
      <c r="E85" s="220" t="str">
        <f>IF(B85="","",IF(COUNTBLANK(H85:BG85)=52,SUM('Capacity calculation (hide)'!H173:BG173),52-COUNTBLANK(H85:BG85)))</f>
        <v/>
      </c>
      <c r="F85" s="310" t="str">
        <f>'Capacity calculation (hide)'!BI173</f>
        <v/>
      </c>
      <c r="H85" s="363"/>
      <c r="I85" s="363"/>
      <c r="J85" s="363"/>
      <c r="K85" s="363"/>
      <c r="L85" s="363"/>
      <c r="M85" s="363"/>
      <c r="N85" s="363"/>
      <c r="O85" s="363"/>
      <c r="P85" s="363"/>
      <c r="Q85" s="363"/>
      <c r="R85" s="363"/>
      <c r="S85" s="363"/>
      <c r="T85" s="363"/>
      <c r="U85" s="363"/>
      <c r="V85" s="363"/>
      <c r="W85" s="363"/>
      <c r="X85" s="363"/>
      <c r="Y85" s="363"/>
      <c r="Z85" s="363"/>
      <c r="AA85" s="363"/>
      <c r="AB85" s="363"/>
      <c r="AC85" s="363"/>
      <c r="AD85" s="363"/>
      <c r="AE85" s="363"/>
      <c r="AF85" s="363"/>
      <c r="AG85" s="363"/>
      <c r="AH85" s="363"/>
      <c r="AI85" s="363"/>
      <c r="AJ85" s="363"/>
      <c r="AK85" s="363"/>
      <c r="AL85" s="363"/>
      <c r="AM85" s="363"/>
      <c r="AN85" s="363"/>
      <c r="AO85" s="363"/>
      <c r="AP85" s="363"/>
      <c r="AQ85" s="363"/>
      <c r="AR85" s="363"/>
      <c r="AS85" s="363"/>
      <c r="AT85" s="363"/>
      <c r="AU85" s="363"/>
      <c r="AV85" s="363"/>
      <c r="AW85" s="363"/>
      <c r="AX85" s="363"/>
      <c r="AY85" s="363"/>
      <c r="AZ85" s="363"/>
      <c r="BA85" s="363"/>
      <c r="BB85" s="363"/>
      <c r="BC85" s="363"/>
      <c r="BD85" s="363"/>
      <c r="BE85" s="363"/>
      <c r="BF85" s="363"/>
      <c r="BG85" s="363"/>
      <c r="BI85" s="342" t="s">
        <v>1237</v>
      </c>
    </row>
    <row r="86" spans="2:61" hidden="1" x14ac:dyDescent="0.2">
      <c r="B86" s="219" t="str">
        <f>IF(Capacity!N79="","",Capacity!N79)</f>
        <v/>
      </c>
      <c r="C86" s="220" t="str">
        <f>IF(B86="","",Capacity!Q79)</f>
        <v/>
      </c>
      <c r="D86" s="309" t="str">
        <f>IF(B86="","",Capacity!R79)</f>
        <v/>
      </c>
      <c r="E86" s="220" t="str">
        <f>IF(B86="","",IF(COUNTBLANK(H86:BG86)=52,SUM('Capacity calculation (hide)'!H174:BG174),52-COUNTBLANK(H86:BG86)))</f>
        <v/>
      </c>
      <c r="F86" s="310" t="str">
        <f>'Capacity calculation (hide)'!BI174</f>
        <v/>
      </c>
      <c r="H86" s="363"/>
      <c r="I86" s="363"/>
      <c r="J86" s="363"/>
      <c r="K86" s="363"/>
      <c r="L86" s="363"/>
      <c r="M86" s="363"/>
      <c r="N86" s="363"/>
      <c r="O86" s="363"/>
      <c r="P86" s="363"/>
      <c r="Q86" s="363"/>
      <c r="R86" s="363"/>
      <c r="S86" s="363"/>
      <c r="T86" s="363"/>
      <c r="U86" s="363"/>
      <c r="V86" s="363"/>
      <c r="W86" s="363"/>
      <c r="X86" s="363"/>
      <c r="Y86" s="363"/>
      <c r="Z86" s="363"/>
      <c r="AA86" s="363"/>
      <c r="AB86" s="363"/>
      <c r="AC86" s="363"/>
      <c r="AD86" s="363"/>
      <c r="AE86" s="363"/>
      <c r="AF86" s="363"/>
      <c r="AG86" s="363"/>
      <c r="AH86" s="363"/>
      <c r="AI86" s="363"/>
      <c r="AJ86" s="363"/>
      <c r="AK86" s="363"/>
      <c r="AL86" s="363"/>
      <c r="AM86" s="363"/>
      <c r="AN86" s="363"/>
      <c r="AO86" s="363"/>
      <c r="AP86" s="363"/>
      <c r="AQ86" s="363"/>
      <c r="AR86" s="363"/>
      <c r="AS86" s="363"/>
      <c r="AT86" s="363"/>
      <c r="AU86" s="363"/>
      <c r="AV86" s="363"/>
      <c r="AW86" s="363"/>
      <c r="AX86" s="363"/>
      <c r="AY86" s="363"/>
      <c r="AZ86" s="363"/>
      <c r="BA86" s="363"/>
      <c r="BB86" s="363"/>
      <c r="BC86" s="363"/>
      <c r="BD86" s="363"/>
      <c r="BE86" s="363"/>
      <c r="BF86" s="363"/>
      <c r="BG86" s="363"/>
      <c r="BI86" s="342" t="s">
        <v>1237</v>
      </c>
    </row>
    <row r="87" spans="2:61" hidden="1" x14ac:dyDescent="0.2">
      <c r="B87" s="219" t="str">
        <f>IF(Capacity!N80="","",Capacity!N80)</f>
        <v/>
      </c>
      <c r="C87" s="220" t="str">
        <f>IF(B87="","",Capacity!Q80)</f>
        <v/>
      </c>
      <c r="D87" s="309" t="str">
        <f>IF(B87="","",Capacity!R80)</f>
        <v/>
      </c>
      <c r="E87" s="220" t="str">
        <f>IF(B87="","",IF(COUNTBLANK(H87:BG87)=52,SUM('Capacity calculation (hide)'!H175:BG175),52-COUNTBLANK(H87:BG87)))</f>
        <v/>
      </c>
      <c r="F87" s="310" t="str">
        <f>'Capacity calculation (hide)'!BI175</f>
        <v/>
      </c>
      <c r="H87" s="363"/>
      <c r="I87" s="363"/>
      <c r="J87" s="363"/>
      <c r="K87" s="363"/>
      <c r="L87" s="363"/>
      <c r="M87" s="363"/>
      <c r="N87" s="363"/>
      <c r="O87" s="363"/>
      <c r="P87" s="363"/>
      <c r="Q87" s="363"/>
      <c r="R87" s="363"/>
      <c r="S87" s="363"/>
      <c r="T87" s="363"/>
      <c r="U87" s="363"/>
      <c r="V87" s="363"/>
      <c r="W87" s="363"/>
      <c r="X87" s="363"/>
      <c r="Y87" s="363"/>
      <c r="Z87" s="363"/>
      <c r="AA87" s="363"/>
      <c r="AB87" s="363"/>
      <c r="AC87" s="363"/>
      <c r="AD87" s="363"/>
      <c r="AE87" s="363"/>
      <c r="AF87" s="363"/>
      <c r="AG87" s="363"/>
      <c r="AH87" s="363"/>
      <c r="AI87" s="363"/>
      <c r="AJ87" s="363"/>
      <c r="AK87" s="363"/>
      <c r="AL87" s="363"/>
      <c r="AM87" s="363"/>
      <c r="AN87" s="363"/>
      <c r="AO87" s="363"/>
      <c r="AP87" s="363"/>
      <c r="AQ87" s="363"/>
      <c r="AR87" s="363"/>
      <c r="AS87" s="363"/>
      <c r="AT87" s="363"/>
      <c r="AU87" s="363"/>
      <c r="AV87" s="363"/>
      <c r="AW87" s="363"/>
      <c r="AX87" s="363"/>
      <c r="AY87" s="363"/>
      <c r="AZ87" s="363"/>
      <c r="BA87" s="363"/>
      <c r="BB87" s="363"/>
      <c r="BC87" s="363"/>
      <c r="BD87" s="363"/>
      <c r="BE87" s="363"/>
      <c r="BF87" s="363"/>
      <c r="BG87" s="363"/>
      <c r="BI87" s="342" t="s">
        <v>1237</v>
      </c>
    </row>
    <row r="88" spans="2:61" hidden="1" x14ac:dyDescent="0.2">
      <c r="B88" s="219" t="str">
        <f>IF(Capacity!N81="","",Capacity!N81)</f>
        <v/>
      </c>
      <c r="C88" s="220" t="str">
        <f>IF(B88="","",Capacity!Q81)</f>
        <v/>
      </c>
      <c r="D88" s="309" t="str">
        <f>IF(B88="","",Capacity!R81)</f>
        <v/>
      </c>
      <c r="E88" s="220" t="str">
        <f>IF(B88="","",IF(COUNTBLANK(H88:BG88)=52,SUM('Capacity calculation (hide)'!H176:BG176),52-COUNTBLANK(H88:BG88)))</f>
        <v/>
      </c>
      <c r="F88" s="310" t="str">
        <f>'Capacity calculation (hide)'!BI176</f>
        <v/>
      </c>
      <c r="H88" s="363"/>
      <c r="I88" s="363"/>
      <c r="J88" s="363"/>
      <c r="K88" s="363"/>
      <c r="L88" s="363"/>
      <c r="M88" s="363"/>
      <c r="N88" s="363"/>
      <c r="O88" s="363"/>
      <c r="P88" s="363"/>
      <c r="Q88" s="363"/>
      <c r="R88" s="363"/>
      <c r="S88" s="363"/>
      <c r="T88" s="363"/>
      <c r="U88" s="363"/>
      <c r="V88" s="363"/>
      <c r="W88" s="363"/>
      <c r="X88" s="363"/>
      <c r="Y88" s="363"/>
      <c r="Z88" s="363"/>
      <c r="AA88" s="363"/>
      <c r="AB88" s="363"/>
      <c r="AC88" s="363"/>
      <c r="AD88" s="363"/>
      <c r="AE88" s="363"/>
      <c r="AF88" s="363"/>
      <c r="AG88" s="363"/>
      <c r="AH88" s="363"/>
      <c r="AI88" s="363"/>
      <c r="AJ88" s="363"/>
      <c r="AK88" s="363"/>
      <c r="AL88" s="363"/>
      <c r="AM88" s="363"/>
      <c r="AN88" s="363"/>
      <c r="AO88" s="363"/>
      <c r="AP88" s="363"/>
      <c r="AQ88" s="363"/>
      <c r="AR88" s="363"/>
      <c r="AS88" s="363"/>
      <c r="AT88" s="363"/>
      <c r="AU88" s="363"/>
      <c r="AV88" s="363"/>
      <c r="AW88" s="363"/>
      <c r="AX88" s="363"/>
      <c r="AY88" s="363"/>
      <c r="AZ88" s="363"/>
      <c r="BA88" s="363"/>
      <c r="BB88" s="363"/>
      <c r="BC88" s="363"/>
      <c r="BD88" s="363"/>
      <c r="BE88" s="363"/>
      <c r="BF88" s="363"/>
      <c r="BG88" s="363"/>
      <c r="BI88" s="342" t="s">
        <v>1237</v>
      </c>
    </row>
    <row r="89" spans="2:61" hidden="1" x14ac:dyDescent="0.2">
      <c r="B89" s="219" t="str">
        <f>IF(Capacity!N82="","",Capacity!N82)</f>
        <v/>
      </c>
      <c r="C89" s="220" t="str">
        <f>IF(B89="","",Capacity!Q82)</f>
        <v/>
      </c>
      <c r="D89" s="309" t="str">
        <f>IF(B89="","",Capacity!R82)</f>
        <v/>
      </c>
      <c r="E89" s="220" t="str">
        <f>IF(B89="","",IF(COUNTBLANK(H89:BG89)=52,SUM('Capacity calculation (hide)'!H177:BG177),52-COUNTBLANK(H89:BG89)))</f>
        <v/>
      </c>
      <c r="F89" s="310" t="str">
        <f>'Capacity calculation (hide)'!BI177</f>
        <v/>
      </c>
      <c r="H89" s="363"/>
      <c r="I89" s="363"/>
      <c r="J89" s="363"/>
      <c r="K89" s="363"/>
      <c r="L89" s="363"/>
      <c r="M89" s="363"/>
      <c r="N89" s="363"/>
      <c r="O89" s="363"/>
      <c r="P89" s="363"/>
      <c r="Q89" s="363"/>
      <c r="R89" s="363"/>
      <c r="S89" s="363"/>
      <c r="T89" s="363"/>
      <c r="U89" s="363"/>
      <c r="V89" s="363"/>
      <c r="W89" s="363"/>
      <c r="X89" s="363"/>
      <c r="Y89" s="363"/>
      <c r="Z89" s="363"/>
      <c r="AA89" s="363"/>
      <c r="AB89" s="363"/>
      <c r="AC89" s="363"/>
      <c r="AD89" s="363"/>
      <c r="AE89" s="363"/>
      <c r="AF89" s="363"/>
      <c r="AG89" s="363"/>
      <c r="AH89" s="363"/>
      <c r="AI89" s="363"/>
      <c r="AJ89" s="363"/>
      <c r="AK89" s="363"/>
      <c r="AL89" s="363"/>
      <c r="AM89" s="363"/>
      <c r="AN89" s="363"/>
      <c r="AO89" s="363"/>
      <c r="AP89" s="363"/>
      <c r="AQ89" s="363"/>
      <c r="AR89" s="363"/>
      <c r="AS89" s="363"/>
      <c r="AT89" s="363"/>
      <c r="AU89" s="363"/>
      <c r="AV89" s="363"/>
      <c r="AW89" s="363"/>
      <c r="AX89" s="363"/>
      <c r="AY89" s="363"/>
      <c r="AZ89" s="363"/>
      <c r="BA89" s="363"/>
      <c r="BB89" s="363"/>
      <c r="BC89" s="363"/>
      <c r="BD89" s="363"/>
      <c r="BE89" s="363"/>
      <c r="BF89" s="363"/>
      <c r="BG89" s="363"/>
      <c r="BI89" s="342" t="s">
        <v>1237</v>
      </c>
    </row>
    <row r="90" spans="2:61" hidden="1" x14ac:dyDescent="0.2">
      <c r="B90" s="219" t="str">
        <f>IF(Capacity!N83="","",Capacity!N83)</f>
        <v/>
      </c>
      <c r="C90" s="220" t="str">
        <f>IF(B90="","",Capacity!Q83)</f>
        <v/>
      </c>
      <c r="D90" s="309" t="str">
        <f>IF(B90="","",Capacity!R83)</f>
        <v/>
      </c>
      <c r="E90" s="220" t="str">
        <f>IF(B90="","",IF(COUNTBLANK(H90:BG90)=52,SUM('Capacity calculation (hide)'!H178:BG178),52-COUNTBLANK(H90:BG90)))</f>
        <v/>
      </c>
      <c r="F90" s="310" t="str">
        <f>'Capacity calculation (hide)'!BI178</f>
        <v/>
      </c>
      <c r="H90" s="363"/>
      <c r="I90" s="363"/>
      <c r="J90" s="363"/>
      <c r="K90" s="363"/>
      <c r="L90" s="363"/>
      <c r="M90" s="363"/>
      <c r="N90" s="363"/>
      <c r="O90" s="363"/>
      <c r="P90" s="363"/>
      <c r="Q90" s="363"/>
      <c r="R90" s="363"/>
      <c r="S90" s="363"/>
      <c r="T90" s="363"/>
      <c r="U90" s="363"/>
      <c r="V90" s="363"/>
      <c r="W90" s="363"/>
      <c r="X90" s="363"/>
      <c r="Y90" s="363"/>
      <c r="Z90" s="363"/>
      <c r="AA90" s="363"/>
      <c r="AB90" s="363"/>
      <c r="AC90" s="363"/>
      <c r="AD90" s="363"/>
      <c r="AE90" s="363"/>
      <c r="AF90" s="363"/>
      <c r="AG90" s="363"/>
      <c r="AH90" s="363"/>
      <c r="AI90" s="363"/>
      <c r="AJ90" s="363"/>
      <c r="AK90" s="363"/>
      <c r="AL90" s="363"/>
      <c r="AM90" s="363"/>
      <c r="AN90" s="363"/>
      <c r="AO90" s="363"/>
      <c r="AP90" s="363"/>
      <c r="AQ90" s="363"/>
      <c r="AR90" s="363"/>
      <c r="AS90" s="363"/>
      <c r="AT90" s="363"/>
      <c r="AU90" s="363"/>
      <c r="AV90" s="363"/>
      <c r="AW90" s="363"/>
      <c r="AX90" s="363"/>
      <c r="AY90" s="363"/>
      <c r="AZ90" s="363"/>
      <c r="BA90" s="363"/>
      <c r="BB90" s="363"/>
      <c r="BC90" s="363"/>
      <c r="BD90" s="363"/>
      <c r="BE90" s="363"/>
      <c r="BF90" s="363"/>
      <c r="BG90" s="363"/>
      <c r="BI90" s="342" t="s">
        <v>1237</v>
      </c>
    </row>
    <row r="91" spans="2:61" hidden="1" x14ac:dyDescent="0.2">
      <c r="B91" s="219" t="str">
        <f>IF(Capacity!N84="","",Capacity!N84)</f>
        <v/>
      </c>
      <c r="C91" s="220" t="str">
        <f>IF(B91="","",Capacity!Q84)</f>
        <v/>
      </c>
      <c r="D91" s="309" t="str">
        <f>IF(B91="","",Capacity!R84)</f>
        <v/>
      </c>
      <c r="E91" s="220" t="str">
        <f>IF(B91="","",IF(COUNTBLANK(H91:BG91)=52,SUM('Capacity calculation (hide)'!H179:BG179),52-COUNTBLANK(H91:BG91)))</f>
        <v/>
      </c>
      <c r="F91" s="310" t="str">
        <f>'Capacity calculation (hide)'!BI179</f>
        <v/>
      </c>
      <c r="H91" s="363"/>
      <c r="I91" s="363"/>
      <c r="J91" s="363"/>
      <c r="K91" s="363"/>
      <c r="L91" s="363"/>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I91" s="342" t="s">
        <v>1237</v>
      </c>
    </row>
    <row r="92" spans="2:61" hidden="1" x14ac:dyDescent="0.2">
      <c r="B92" s="219" t="str">
        <f>IF(Capacity!N85="","",Capacity!N85)</f>
        <v/>
      </c>
      <c r="C92" s="220" t="str">
        <f>IF(B92="","",Capacity!Q85)</f>
        <v/>
      </c>
      <c r="D92" s="309" t="str">
        <f>IF(B92="","",Capacity!R85)</f>
        <v/>
      </c>
      <c r="E92" s="220" t="str">
        <f>IF(B92="","",IF(COUNTBLANK(H92:BG92)=52,SUM('Capacity calculation (hide)'!H180:BG180),52-COUNTBLANK(H92:BG92)))</f>
        <v/>
      </c>
      <c r="F92" s="310" t="str">
        <f>'Capacity calculation (hide)'!BI180</f>
        <v/>
      </c>
      <c r="H92" s="363"/>
      <c r="I92" s="363"/>
      <c r="J92" s="363"/>
      <c r="K92" s="363"/>
      <c r="L92" s="363"/>
      <c r="M92" s="363"/>
      <c r="N92" s="363"/>
      <c r="O92" s="363"/>
      <c r="P92" s="363"/>
      <c r="Q92" s="363"/>
      <c r="R92" s="363"/>
      <c r="S92" s="363"/>
      <c r="T92" s="363"/>
      <c r="U92" s="363"/>
      <c r="V92" s="363"/>
      <c r="W92" s="363"/>
      <c r="X92" s="363"/>
      <c r="Y92" s="363"/>
      <c r="Z92" s="363"/>
      <c r="AA92" s="363"/>
      <c r="AB92" s="363"/>
      <c r="AC92" s="363"/>
      <c r="AD92" s="363"/>
      <c r="AE92" s="363"/>
      <c r="AF92" s="363"/>
      <c r="AG92" s="363"/>
      <c r="AH92" s="363"/>
      <c r="AI92" s="363"/>
      <c r="AJ92" s="363"/>
      <c r="AK92" s="363"/>
      <c r="AL92" s="363"/>
      <c r="AM92" s="363"/>
      <c r="AN92" s="363"/>
      <c r="AO92" s="363"/>
      <c r="AP92" s="363"/>
      <c r="AQ92" s="363"/>
      <c r="AR92" s="363"/>
      <c r="AS92" s="363"/>
      <c r="AT92" s="363"/>
      <c r="AU92" s="363"/>
      <c r="AV92" s="363"/>
      <c r="AW92" s="363"/>
      <c r="AX92" s="363"/>
      <c r="AY92" s="363"/>
      <c r="AZ92" s="363"/>
      <c r="BA92" s="363"/>
      <c r="BB92" s="363"/>
      <c r="BC92" s="363"/>
      <c r="BD92" s="363"/>
      <c r="BE92" s="363"/>
      <c r="BF92" s="363"/>
      <c r="BG92" s="363"/>
      <c r="BI92" s="342" t="s">
        <v>1237</v>
      </c>
    </row>
    <row r="93" spans="2:61" hidden="1" x14ac:dyDescent="0.2">
      <c r="B93" s="219" t="str">
        <f>IF(Capacity!N86="","",Capacity!N86)</f>
        <v/>
      </c>
      <c r="C93" s="220" t="str">
        <f>IF(B93="","",Capacity!Q86)</f>
        <v/>
      </c>
      <c r="D93" s="309" t="str">
        <f>IF(B93="","",Capacity!R86)</f>
        <v/>
      </c>
      <c r="E93" s="220" t="str">
        <f>IF(B93="","",IF(COUNTBLANK(H93:BG93)=52,SUM('Capacity calculation (hide)'!H181:BG181),52-COUNTBLANK(H93:BG93)))</f>
        <v/>
      </c>
      <c r="F93" s="310" t="str">
        <f>'Capacity calculation (hide)'!BI181</f>
        <v/>
      </c>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I93" s="342" t="s">
        <v>1237</v>
      </c>
    </row>
    <row r="94" spans="2:61" hidden="1" x14ac:dyDescent="0.2">
      <c r="B94" s="219" t="str">
        <f>IF(Capacity!N87="","",Capacity!N87)</f>
        <v/>
      </c>
      <c r="C94" s="220" t="str">
        <f>IF(B94="","",Capacity!Q87)</f>
        <v/>
      </c>
      <c r="D94" s="309" t="str">
        <f>IF(B94="","",Capacity!R87)</f>
        <v/>
      </c>
      <c r="E94" s="220" t="str">
        <f>IF(B94="","",IF(COUNTBLANK(H94:BG94)=52,SUM('Capacity calculation (hide)'!H182:BG182),52-COUNTBLANK(H94:BG94)))</f>
        <v/>
      </c>
      <c r="F94" s="310" t="str">
        <f>'Capacity calculation (hide)'!BI182</f>
        <v/>
      </c>
      <c r="H94" s="363"/>
      <c r="I94" s="363"/>
      <c r="J94" s="363"/>
      <c r="K94" s="363"/>
      <c r="L94" s="363"/>
      <c r="M94" s="363"/>
      <c r="N94" s="363"/>
      <c r="O94" s="363"/>
      <c r="P94" s="363"/>
      <c r="Q94" s="363"/>
      <c r="R94" s="363"/>
      <c r="S94" s="363"/>
      <c r="T94" s="363"/>
      <c r="U94" s="363"/>
      <c r="V94" s="363"/>
      <c r="W94" s="363"/>
      <c r="X94" s="363"/>
      <c r="Y94" s="363"/>
      <c r="Z94" s="363"/>
      <c r="AA94" s="363"/>
      <c r="AB94" s="363"/>
      <c r="AC94" s="363"/>
      <c r="AD94" s="363"/>
      <c r="AE94" s="363"/>
      <c r="AF94" s="363"/>
      <c r="AG94" s="363"/>
      <c r="AH94" s="363"/>
      <c r="AI94" s="363"/>
      <c r="AJ94" s="363"/>
      <c r="AK94" s="363"/>
      <c r="AL94" s="363"/>
      <c r="AM94" s="363"/>
      <c r="AN94" s="363"/>
      <c r="AO94" s="363"/>
      <c r="AP94" s="363"/>
      <c r="AQ94" s="363"/>
      <c r="AR94" s="363"/>
      <c r="AS94" s="363"/>
      <c r="AT94" s="363"/>
      <c r="AU94" s="363"/>
      <c r="AV94" s="363"/>
      <c r="AW94" s="363"/>
      <c r="AX94" s="363"/>
      <c r="AY94" s="363"/>
      <c r="AZ94" s="363"/>
      <c r="BA94" s="363"/>
      <c r="BB94" s="363"/>
      <c r="BC94" s="363"/>
      <c r="BD94" s="363"/>
      <c r="BE94" s="363"/>
      <c r="BF94" s="363"/>
      <c r="BG94" s="363"/>
      <c r="BI94" s="342" t="s">
        <v>1237</v>
      </c>
    </row>
    <row r="95" spans="2:61" hidden="1" x14ac:dyDescent="0.2">
      <c r="B95" s="219" t="str">
        <f>IF(Capacity!N88="","",Capacity!N88)</f>
        <v/>
      </c>
      <c r="C95" s="220" t="str">
        <f>IF(B95="","",Capacity!Q88)</f>
        <v/>
      </c>
      <c r="D95" s="309" t="str">
        <f>IF(B95="","",Capacity!R88)</f>
        <v/>
      </c>
      <c r="E95" s="220" t="str">
        <f>IF(B95="","",IF(COUNTBLANK(H95:BG95)=52,SUM('Capacity calculation (hide)'!H183:BG183),52-COUNTBLANK(H95:BG95)))</f>
        <v/>
      </c>
      <c r="F95" s="310" t="str">
        <f>'Capacity calculation (hide)'!BI183</f>
        <v/>
      </c>
      <c r="H95" s="363"/>
      <c r="I95" s="363"/>
      <c r="J95" s="363"/>
      <c r="K95" s="363"/>
      <c r="L95" s="363"/>
      <c r="M95" s="363"/>
      <c r="N95" s="363"/>
      <c r="O95" s="363"/>
      <c r="P95" s="363"/>
      <c r="Q95" s="363"/>
      <c r="R95" s="363"/>
      <c r="S95" s="363"/>
      <c r="T95" s="363"/>
      <c r="U95" s="363"/>
      <c r="V95" s="363"/>
      <c r="W95" s="363"/>
      <c r="X95" s="363"/>
      <c r="Y95" s="363"/>
      <c r="Z95" s="363"/>
      <c r="AA95" s="363"/>
      <c r="AB95" s="363"/>
      <c r="AC95" s="363"/>
      <c r="AD95" s="363"/>
      <c r="AE95" s="363"/>
      <c r="AF95" s="363"/>
      <c r="AG95" s="363"/>
      <c r="AH95" s="363"/>
      <c r="AI95" s="363"/>
      <c r="AJ95" s="363"/>
      <c r="AK95" s="363"/>
      <c r="AL95" s="363"/>
      <c r="AM95" s="363"/>
      <c r="AN95" s="363"/>
      <c r="AO95" s="363"/>
      <c r="AP95" s="363"/>
      <c r="AQ95" s="363"/>
      <c r="AR95" s="363"/>
      <c r="AS95" s="363"/>
      <c r="AT95" s="363"/>
      <c r="AU95" s="363"/>
      <c r="AV95" s="363"/>
      <c r="AW95" s="363"/>
      <c r="AX95" s="363"/>
      <c r="AY95" s="363"/>
      <c r="AZ95" s="363"/>
      <c r="BA95" s="363"/>
      <c r="BB95" s="363"/>
      <c r="BC95" s="363"/>
      <c r="BD95" s="363"/>
      <c r="BE95" s="363"/>
      <c r="BF95" s="363"/>
      <c r="BG95" s="363"/>
      <c r="BI95" s="342" t="s">
        <v>1237</v>
      </c>
    </row>
    <row r="96" spans="2:61" hidden="1" x14ac:dyDescent="0.2">
      <c r="B96" s="219" t="str">
        <f>IF(Capacity!N89="","",Capacity!N89)</f>
        <v/>
      </c>
      <c r="C96" s="220" t="str">
        <f>IF(B96="","",Capacity!Q89)</f>
        <v/>
      </c>
      <c r="D96" s="309" t="str">
        <f>IF(B96="","",Capacity!R89)</f>
        <v/>
      </c>
      <c r="E96" s="220" t="str">
        <f>IF(B96="","",IF(COUNTBLANK(H96:BG96)=52,SUM('Capacity calculation (hide)'!H184:BG184),52-COUNTBLANK(H96:BG96)))</f>
        <v/>
      </c>
      <c r="F96" s="310" t="str">
        <f>'Capacity calculation (hide)'!BI184</f>
        <v/>
      </c>
      <c r="H96" s="363"/>
      <c r="I96" s="363"/>
      <c r="J96" s="363"/>
      <c r="K96" s="363"/>
      <c r="L96" s="363"/>
      <c r="M96" s="363"/>
      <c r="N96" s="363"/>
      <c r="O96" s="363"/>
      <c r="P96" s="363"/>
      <c r="Q96" s="363"/>
      <c r="R96" s="363"/>
      <c r="S96" s="363"/>
      <c r="T96" s="363"/>
      <c r="U96" s="363"/>
      <c r="V96" s="363"/>
      <c r="W96" s="363"/>
      <c r="X96" s="363"/>
      <c r="Y96" s="363"/>
      <c r="Z96" s="363"/>
      <c r="AA96" s="363"/>
      <c r="AB96" s="363"/>
      <c r="AC96" s="363"/>
      <c r="AD96" s="363"/>
      <c r="AE96" s="363"/>
      <c r="AF96" s="363"/>
      <c r="AG96" s="363"/>
      <c r="AH96" s="363"/>
      <c r="AI96" s="363"/>
      <c r="AJ96" s="363"/>
      <c r="AK96" s="363"/>
      <c r="AL96" s="363"/>
      <c r="AM96" s="363"/>
      <c r="AN96" s="363"/>
      <c r="AO96" s="363"/>
      <c r="AP96" s="363"/>
      <c r="AQ96" s="363"/>
      <c r="AR96" s="363"/>
      <c r="AS96" s="363"/>
      <c r="AT96" s="363"/>
      <c r="AU96" s="363"/>
      <c r="AV96" s="363"/>
      <c r="AW96" s="363"/>
      <c r="AX96" s="363"/>
      <c r="AY96" s="363"/>
      <c r="AZ96" s="363"/>
      <c r="BA96" s="363"/>
      <c r="BB96" s="363"/>
      <c r="BC96" s="363"/>
      <c r="BD96" s="363"/>
      <c r="BE96" s="363"/>
      <c r="BF96" s="363"/>
      <c r="BG96" s="363"/>
      <c r="BI96" s="342" t="s">
        <v>1237</v>
      </c>
    </row>
    <row r="97" spans="2:61" hidden="1" x14ac:dyDescent="0.2">
      <c r="B97" s="219" t="str">
        <f>IF(Capacity!N90="","",Capacity!N90)</f>
        <v/>
      </c>
      <c r="C97" s="220" t="str">
        <f>IF(B97="","",Capacity!Q90)</f>
        <v/>
      </c>
      <c r="D97" s="309" t="str">
        <f>IF(B97="","",Capacity!R90)</f>
        <v/>
      </c>
      <c r="E97" s="220" t="str">
        <f>IF(B97="","",IF(COUNTBLANK(H97:BG97)=52,SUM('Capacity calculation (hide)'!H185:BG185),52-COUNTBLANK(H97:BG97)))</f>
        <v/>
      </c>
      <c r="F97" s="310" t="str">
        <f>'Capacity calculation (hide)'!BI185</f>
        <v/>
      </c>
      <c r="H97" s="363"/>
      <c r="I97" s="363"/>
      <c r="J97" s="363"/>
      <c r="K97" s="363"/>
      <c r="L97" s="363"/>
      <c r="M97" s="363"/>
      <c r="N97" s="363"/>
      <c r="O97" s="363"/>
      <c r="P97" s="363"/>
      <c r="Q97" s="363"/>
      <c r="R97" s="363"/>
      <c r="S97" s="363"/>
      <c r="T97" s="363"/>
      <c r="U97" s="363"/>
      <c r="V97" s="363"/>
      <c r="W97" s="363"/>
      <c r="X97" s="363"/>
      <c r="Y97" s="363"/>
      <c r="Z97" s="363"/>
      <c r="AA97" s="363"/>
      <c r="AB97" s="363"/>
      <c r="AC97" s="363"/>
      <c r="AD97" s="363"/>
      <c r="AE97" s="363"/>
      <c r="AF97" s="363"/>
      <c r="AG97" s="363"/>
      <c r="AH97" s="363"/>
      <c r="AI97" s="363"/>
      <c r="AJ97" s="363"/>
      <c r="AK97" s="363"/>
      <c r="AL97" s="363"/>
      <c r="AM97" s="363"/>
      <c r="AN97" s="363"/>
      <c r="AO97" s="363"/>
      <c r="AP97" s="363"/>
      <c r="AQ97" s="363"/>
      <c r="AR97" s="363"/>
      <c r="AS97" s="363"/>
      <c r="AT97" s="363"/>
      <c r="AU97" s="363"/>
      <c r="AV97" s="363"/>
      <c r="AW97" s="363"/>
      <c r="AX97" s="363"/>
      <c r="AY97" s="363"/>
      <c r="AZ97" s="363"/>
      <c r="BA97" s="363"/>
      <c r="BB97" s="363"/>
      <c r="BC97" s="363"/>
      <c r="BD97" s="363"/>
      <c r="BE97" s="363"/>
      <c r="BF97" s="363"/>
      <c r="BG97" s="363"/>
      <c r="BI97" s="342" t="s">
        <v>1237</v>
      </c>
    </row>
    <row r="98" spans="2:61" hidden="1" x14ac:dyDescent="0.2">
      <c r="B98" s="219" t="str">
        <f>IF(Capacity!N91="","",Capacity!N91)</f>
        <v/>
      </c>
      <c r="C98" s="220" t="str">
        <f>IF(B98="","",Capacity!Q91)</f>
        <v/>
      </c>
      <c r="D98" s="309" t="str">
        <f>IF(B98="","",Capacity!R91)</f>
        <v/>
      </c>
      <c r="E98" s="220" t="str">
        <f>IF(B98="","",IF(COUNTBLANK(H98:BG98)=52,SUM('Capacity calculation (hide)'!H186:BG186),52-COUNTBLANK(H98:BG98)))</f>
        <v/>
      </c>
      <c r="F98" s="310" t="str">
        <f>'Capacity calculation (hide)'!BI186</f>
        <v/>
      </c>
      <c r="H98" s="363"/>
      <c r="I98" s="363"/>
      <c r="J98" s="363"/>
      <c r="K98" s="363"/>
      <c r="L98" s="363"/>
      <c r="M98" s="363"/>
      <c r="N98" s="363"/>
      <c r="O98" s="363"/>
      <c r="P98" s="363"/>
      <c r="Q98" s="363"/>
      <c r="R98" s="363"/>
      <c r="S98" s="363"/>
      <c r="T98" s="363"/>
      <c r="U98" s="363"/>
      <c r="V98" s="363"/>
      <c r="W98" s="363"/>
      <c r="X98" s="363"/>
      <c r="Y98" s="363"/>
      <c r="Z98" s="363"/>
      <c r="AA98" s="363"/>
      <c r="AB98" s="363"/>
      <c r="AC98" s="363"/>
      <c r="AD98" s="363"/>
      <c r="AE98" s="363"/>
      <c r="AF98" s="363"/>
      <c r="AG98" s="363"/>
      <c r="AH98" s="363"/>
      <c r="AI98" s="363"/>
      <c r="AJ98" s="363"/>
      <c r="AK98" s="363"/>
      <c r="AL98" s="363"/>
      <c r="AM98" s="363"/>
      <c r="AN98" s="363"/>
      <c r="AO98" s="363"/>
      <c r="AP98" s="363"/>
      <c r="AQ98" s="363"/>
      <c r="AR98" s="363"/>
      <c r="AS98" s="363"/>
      <c r="AT98" s="363"/>
      <c r="AU98" s="363"/>
      <c r="AV98" s="363"/>
      <c r="AW98" s="363"/>
      <c r="AX98" s="363"/>
      <c r="AY98" s="363"/>
      <c r="AZ98" s="363"/>
      <c r="BA98" s="363"/>
      <c r="BB98" s="363"/>
      <c r="BC98" s="363"/>
      <c r="BD98" s="363"/>
      <c r="BE98" s="363"/>
      <c r="BF98" s="363"/>
      <c r="BG98" s="363"/>
      <c r="BI98" s="342" t="s">
        <v>1237</v>
      </c>
    </row>
    <row r="99" spans="2:61" hidden="1" x14ac:dyDescent="0.2">
      <c r="B99" s="219" t="str">
        <f>IF(Capacity!N92="","",Capacity!N92)</f>
        <v/>
      </c>
      <c r="C99" s="220" t="str">
        <f>IF(B99="","",Capacity!Q92)</f>
        <v/>
      </c>
      <c r="D99" s="309" t="str">
        <f>IF(B99="","",Capacity!R92)</f>
        <v/>
      </c>
      <c r="E99" s="220" t="str">
        <f>IF(B99="","",IF(COUNTBLANK(H99:BG99)=52,SUM('Capacity calculation (hide)'!H187:BG187),52-COUNTBLANK(H99:BG99)))</f>
        <v/>
      </c>
      <c r="F99" s="310" t="str">
        <f>'Capacity calculation (hide)'!BI187</f>
        <v/>
      </c>
      <c r="H99" s="363"/>
      <c r="I99" s="363"/>
      <c r="J99" s="363"/>
      <c r="K99" s="363"/>
      <c r="L99" s="363"/>
      <c r="M99" s="363"/>
      <c r="N99" s="363"/>
      <c r="O99" s="363"/>
      <c r="P99" s="363"/>
      <c r="Q99" s="363"/>
      <c r="R99" s="363"/>
      <c r="S99" s="363"/>
      <c r="T99" s="363"/>
      <c r="U99" s="363"/>
      <c r="V99" s="363"/>
      <c r="W99" s="363"/>
      <c r="X99" s="363"/>
      <c r="Y99" s="363"/>
      <c r="Z99" s="363"/>
      <c r="AA99" s="363"/>
      <c r="AB99" s="363"/>
      <c r="AC99" s="363"/>
      <c r="AD99" s="363"/>
      <c r="AE99" s="363"/>
      <c r="AF99" s="363"/>
      <c r="AG99" s="363"/>
      <c r="AH99" s="363"/>
      <c r="AI99" s="363"/>
      <c r="AJ99" s="363"/>
      <c r="AK99" s="363"/>
      <c r="AL99" s="363"/>
      <c r="AM99" s="363"/>
      <c r="AN99" s="363"/>
      <c r="AO99" s="363"/>
      <c r="AP99" s="363"/>
      <c r="AQ99" s="363"/>
      <c r="AR99" s="363"/>
      <c r="AS99" s="363"/>
      <c r="AT99" s="363"/>
      <c r="AU99" s="363"/>
      <c r="AV99" s="363"/>
      <c r="AW99" s="363"/>
      <c r="AX99" s="363"/>
      <c r="AY99" s="363"/>
      <c r="AZ99" s="363"/>
      <c r="BA99" s="363"/>
      <c r="BB99" s="363"/>
      <c r="BC99" s="363"/>
      <c r="BD99" s="363"/>
      <c r="BE99" s="363"/>
      <c r="BF99" s="363"/>
      <c r="BG99" s="363"/>
      <c r="BI99" s="342" t="s">
        <v>1237</v>
      </c>
    </row>
    <row r="100" spans="2:61" hidden="1" x14ac:dyDescent="0.2">
      <c r="B100" s="219" t="str">
        <f>IF(Capacity!N93="","",Capacity!N93)</f>
        <v/>
      </c>
      <c r="C100" s="220" t="str">
        <f>IF(B100="","",Capacity!Q93)</f>
        <v/>
      </c>
      <c r="D100" s="309" t="str">
        <f>IF(B100="","",Capacity!R93)</f>
        <v/>
      </c>
      <c r="E100" s="220" t="str">
        <f>IF(B100="","",IF(COUNTBLANK(H100:BG100)=52,SUM('Capacity calculation (hide)'!H188:BG188),52-COUNTBLANK(H100:BG100)))</f>
        <v/>
      </c>
      <c r="F100" s="310" t="str">
        <f>'Capacity calculation (hide)'!BI188</f>
        <v/>
      </c>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3"/>
      <c r="AD100" s="363"/>
      <c r="AE100" s="363"/>
      <c r="AF100" s="363"/>
      <c r="AG100" s="363"/>
      <c r="AH100" s="363"/>
      <c r="AI100" s="363"/>
      <c r="AJ100" s="363"/>
      <c r="AK100" s="363"/>
      <c r="AL100" s="363"/>
      <c r="AM100" s="363"/>
      <c r="AN100" s="363"/>
      <c r="AO100" s="363"/>
      <c r="AP100" s="363"/>
      <c r="AQ100" s="363"/>
      <c r="AR100" s="363"/>
      <c r="AS100" s="363"/>
      <c r="AT100" s="363"/>
      <c r="AU100" s="363"/>
      <c r="AV100" s="363"/>
      <c r="AW100" s="363"/>
      <c r="AX100" s="363"/>
      <c r="AY100" s="363"/>
      <c r="AZ100" s="363"/>
      <c r="BA100" s="363"/>
      <c r="BB100" s="363"/>
      <c r="BC100" s="363"/>
      <c r="BD100" s="363"/>
      <c r="BE100" s="363"/>
      <c r="BF100" s="363"/>
      <c r="BG100" s="363"/>
      <c r="BI100" s="342" t="s">
        <v>1237</v>
      </c>
    </row>
    <row r="101" spans="2:61" hidden="1" x14ac:dyDescent="0.2">
      <c r="B101" s="219" t="str">
        <f>IF(Capacity!N94="","",Capacity!N94)</f>
        <v/>
      </c>
      <c r="C101" s="220" t="str">
        <f>IF(B101="","",Capacity!Q94)</f>
        <v/>
      </c>
      <c r="D101" s="309" t="str">
        <f>IF(B101="","",Capacity!R94)</f>
        <v/>
      </c>
      <c r="E101" s="220" t="str">
        <f>IF(B101="","",IF(COUNTBLANK(H101:BG101)=52,SUM('Capacity calculation (hide)'!H189:BG189),52-COUNTBLANK(H101:BG101)))</f>
        <v/>
      </c>
      <c r="F101" s="310" t="str">
        <f>'Capacity calculation (hide)'!BI189</f>
        <v/>
      </c>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3"/>
      <c r="AD101" s="363"/>
      <c r="AE101" s="363"/>
      <c r="AF101" s="363"/>
      <c r="AG101" s="363"/>
      <c r="AH101" s="363"/>
      <c r="AI101" s="363"/>
      <c r="AJ101" s="363"/>
      <c r="AK101" s="363"/>
      <c r="AL101" s="363"/>
      <c r="AM101" s="363"/>
      <c r="AN101" s="363"/>
      <c r="AO101" s="363"/>
      <c r="AP101" s="363"/>
      <c r="AQ101" s="363"/>
      <c r="AR101" s="363"/>
      <c r="AS101" s="363"/>
      <c r="AT101" s="363"/>
      <c r="AU101" s="363"/>
      <c r="AV101" s="363"/>
      <c r="AW101" s="363"/>
      <c r="AX101" s="363"/>
      <c r="AY101" s="363"/>
      <c r="AZ101" s="363"/>
      <c r="BA101" s="363"/>
      <c r="BB101" s="363"/>
      <c r="BC101" s="363"/>
      <c r="BD101" s="363"/>
      <c r="BE101" s="363"/>
      <c r="BF101" s="363"/>
      <c r="BG101" s="363"/>
      <c r="BI101" s="342" t="s">
        <v>1237</v>
      </c>
    </row>
    <row r="102" spans="2:61" hidden="1" x14ac:dyDescent="0.2">
      <c r="B102" s="219" t="str">
        <f>IF(Capacity!N95="","",Capacity!N95)</f>
        <v/>
      </c>
      <c r="C102" s="220" t="str">
        <f>IF(B102="","",Capacity!Q95)</f>
        <v/>
      </c>
      <c r="D102" s="309" t="str">
        <f>IF(B102="","",Capacity!R95)</f>
        <v/>
      </c>
      <c r="E102" s="220" t="str">
        <f>IF(B102="","",IF(COUNTBLANK(H102:BG102)=52,SUM('Capacity calculation (hide)'!H190:BG190),52-COUNTBLANK(H102:BG102)))</f>
        <v/>
      </c>
      <c r="F102" s="310" t="str">
        <f>'Capacity calculation (hide)'!BI190</f>
        <v/>
      </c>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3"/>
      <c r="AD102" s="363"/>
      <c r="AE102" s="363"/>
      <c r="AF102" s="363"/>
      <c r="AG102" s="363"/>
      <c r="AH102" s="363"/>
      <c r="AI102" s="363"/>
      <c r="AJ102" s="363"/>
      <c r="AK102" s="363"/>
      <c r="AL102" s="363"/>
      <c r="AM102" s="363"/>
      <c r="AN102" s="363"/>
      <c r="AO102" s="363"/>
      <c r="AP102" s="363"/>
      <c r="AQ102" s="363"/>
      <c r="AR102" s="363"/>
      <c r="AS102" s="363"/>
      <c r="AT102" s="363"/>
      <c r="AU102" s="363"/>
      <c r="AV102" s="363"/>
      <c r="AW102" s="363"/>
      <c r="AX102" s="363"/>
      <c r="AY102" s="363"/>
      <c r="AZ102" s="363"/>
      <c r="BA102" s="363"/>
      <c r="BB102" s="363"/>
      <c r="BC102" s="363"/>
      <c r="BD102" s="363"/>
      <c r="BE102" s="363"/>
      <c r="BF102" s="363"/>
      <c r="BG102" s="363"/>
      <c r="BI102" s="342" t="s">
        <v>1237</v>
      </c>
    </row>
    <row r="103" spans="2:61" hidden="1" x14ac:dyDescent="0.2">
      <c r="B103" s="219" t="str">
        <f>IF(Capacity!N96="","",Capacity!N96)</f>
        <v/>
      </c>
      <c r="C103" s="220" t="str">
        <f>IF(B103="","",Capacity!Q96)</f>
        <v/>
      </c>
      <c r="D103" s="309" t="str">
        <f>IF(B103="","",Capacity!R96)</f>
        <v/>
      </c>
      <c r="E103" s="220" t="str">
        <f>IF(B103="","",IF(COUNTBLANK(H103:BG103)=52,SUM('Capacity calculation (hide)'!H191:BG191),52-COUNTBLANK(H103:BG103)))</f>
        <v/>
      </c>
      <c r="F103" s="310" t="str">
        <f>'Capacity calculation (hide)'!BI191</f>
        <v/>
      </c>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3"/>
      <c r="AD103" s="363"/>
      <c r="AE103" s="363"/>
      <c r="AF103" s="363"/>
      <c r="AG103" s="363"/>
      <c r="AH103" s="363"/>
      <c r="AI103" s="363"/>
      <c r="AJ103" s="363"/>
      <c r="AK103" s="363"/>
      <c r="AL103" s="363"/>
      <c r="AM103" s="363"/>
      <c r="AN103" s="363"/>
      <c r="AO103" s="363"/>
      <c r="AP103" s="363"/>
      <c r="AQ103" s="363"/>
      <c r="AR103" s="363"/>
      <c r="AS103" s="363"/>
      <c r="AT103" s="363"/>
      <c r="AU103" s="363"/>
      <c r="AV103" s="363"/>
      <c r="AW103" s="363"/>
      <c r="AX103" s="363"/>
      <c r="AY103" s="363"/>
      <c r="AZ103" s="363"/>
      <c r="BA103" s="363"/>
      <c r="BB103" s="363"/>
      <c r="BC103" s="363"/>
      <c r="BD103" s="363"/>
      <c r="BE103" s="363"/>
      <c r="BF103" s="363"/>
      <c r="BG103" s="363"/>
      <c r="BI103" s="342" t="s">
        <v>1237</v>
      </c>
    </row>
    <row r="104" spans="2:61" hidden="1" x14ac:dyDescent="0.2">
      <c r="B104" s="219" t="str">
        <f>IF(Capacity!N97="","",Capacity!N97)</f>
        <v/>
      </c>
      <c r="C104" s="220" t="str">
        <f>IF(B104="","",Capacity!Q97)</f>
        <v/>
      </c>
      <c r="D104" s="309" t="str">
        <f>IF(B104="","",Capacity!R97)</f>
        <v/>
      </c>
      <c r="E104" s="220" t="str">
        <f>IF(B104="","",IF(COUNTBLANK(H104:BG104)=52,SUM('Capacity calculation (hide)'!H192:BG192),52-COUNTBLANK(H104:BG104)))</f>
        <v/>
      </c>
      <c r="F104" s="310" t="str">
        <f>'Capacity calculation (hide)'!BI192</f>
        <v/>
      </c>
      <c r="H104" s="363"/>
      <c r="I104" s="363"/>
      <c r="J104" s="363"/>
      <c r="K104" s="363"/>
      <c r="L104" s="363"/>
      <c r="M104" s="363"/>
      <c r="N104" s="363"/>
      <c r="O104" s="363"/>
      <c r="P104" s="363"/>
      <c r="Q104" s="363"/>
      <c r="R104" s="363"/>
      <c r="S104" s="363"/>
      <c r="T104" s="363"/>
      <c r="U104" s="363"/>
      <c r="V104" s="363"/>
      <c r="W104" s="363"/>
      <c r="X104" s="363"/>
      <c r="Y104" s="363"/>
      <c r="Z104" s="363"/>
      <c r="AA104" s="363"/>
      <c r="AB104" s="363"/>
      <c r="AC104" s="363"/>
      <c r="AD104" s="363"/>
      <c r="AE104" s="363"/>
      <c r="AF104" s="363"/>
      <c r="AG104" s="363"/>
      <c r="AH104" s="363"/>
      <c r="AI104" s="363"/>
      <c r="AJ104" s="363"/>
      <c r="AK104" s="363"/>
      <c r="AL104" s="363"/>
      <c r="AM104" s="363"/>
      <c r="AN104" s="363"/>
      <c r="AO104" s="363"/>
      <c r="AP104" s="363"/>
      <c r="AQ104" s="363"/>
      <c r="AR104" s="363"/>
      <c r="AS104" s="363"/>
      <c r="AT104" s="363"/>
      <c r="AU104" s="363"/>
      <c r="AV104" s="363"/>
      <c r="AW104" s="363"/>
      <c r="AX104" s="363"/>
      <c r="AY104" s="363"/>
      <c r="AZ104" s="363"/>
      <c r="BA104" s="363"/>
      <c r="BB104" s="363"/>
      <c r="BC104" s="363"/>
      <c r="BD104" s="363"/>
      <c r="BE104" s="363"/>
      <c r="BF104" s="363"/>
      <c r="BG104" s="363"/>
      <c r="BI104" s="342" t="s">
        <v>1237</v>
      </c>
    </row>
    <row r="105" spans="2:61" hidden="1" x14ac:dyDescent="0.2">
      <c r="B105" s="219" t="str">
        <f>IF(Capacity!N98="","",Capacity!N98)</f>
        <v/>
      </c>
      <c r="C105" s="220" t="str">
        <f>IF(B105="","",Capacity!Q98)</f>
        <v/>
      </c>
      <c r="D105" s="309" t="str">
        <f>IF(B105="","",Capacity!R98)</f>
        <v/>
      </c>
      <c r="E105" s="220" t="str">
        <f>IF(B105="","",IF(COUNTBLANK(H105:BG105)=52,SUM('Capacity calculation (hide)'!H193:BG193),52-COUNTBLANK(H105:BG105)))</f>
        <v/>
      </c>
      <c r="F105" s="310" t="str">
        <f>'Capacity calculation (hide)'!BI193</f>
        <v/>
      </c>
      <c r="H105" s="363"/>
      <c r="I105" s="363"/>
      <c r="J105" s="363"/>
      <c r="K105" s="363"/>
      <c r="L105" s="363"/>
      <c r="M105" s="363"/>
      <c r="N105" s="363"/>
      <c r="O105" s="363"/>
      <c r="P105" s="363"/>
      <c r="Q105" s="363"/>
      <c r="R105" s="363"/>
      <c r="S105" s="363"/>
      <c r="T105" s="363"/>
      <c r="U105" s="363"/>
      <c r="V105" s="363"/>
      <c r="W105" s="363"/>
      <c r="X105" s="363"/>
      <c r="Y105" s="363"/>
      <c r="Z105" s="363"/>
      <c r="AA105" s="363"/>
      <c r="AB105" s="363"/>
      <c r="AC105" s="363"/>
      <c r="AD105" s="363"/>
      <c r="AE105" s="363"/>
      <c r="AF105" s="363"/>
      <c r="AG105" s="363"/>
      <c r="AH105" s="363"/>
      <c r="AI105" s="363"/>
      <c r="AJ105" s="363"/>
      <c r="AK105" s="363"/>
      <c r="AL105" s="363"/>
      <c r="AM105" s="363"/>
      <c r="AN105" s="363"/>
      <c r="AO105" s="363"/>
      <c r="AP105" s="363"/>
      <c r="AQ105" s="363"/>
      <c r="AR105" s="363"/>
      <c r="AS105" s="363"/>
      <c r="AT105" s="363"/>
      <c r="AU105" s="363"/>
      <c r="AV105" s="363"/>
      <c r="AW105" s="363"/>
      <c r="AX105" s="363"/>
      <c r="AY105" s="363"/>
      <c r="AZ105" s="363"/>
      <c r="BA105" s="363"/>
      <c r="BB105" s="363"/>
      <c r="BC105" s="363"/>
      <c r="BD105" s="363"/>
      <c r="BE105" s="363"/>
      <c r="BF105" s="363"/>
      <c r="BG105" s="363"/>
      <c r="BI105" s="342" t="s">
        <v>1237</v>
      </c>
    </row>
    <row r="106" spans="2:61" hidden="1" x14ac:dyDescent="0.2">
      <c r="B106" s="219" t="str">
        <f>IF(Capacity!N99="","",Capacity!N99)</f>
        <v/>
      </c>
      <c r="C106" s="220" t="str">
        <f>IF(B106="","",Capacity!Q99)</f>
        <v/>
      </c>
      <c r="D106" s="309" t="str">
        <f>IF(B106="","",Capacity!R99)</f>
        <v/>
      </c>
      <c r="E106" s="220" t="str">
        <f>IF(B106="","",IF(COUNTBLANK(H106:BG106)=52,SUM('Capacity calculation (hide)'!H194:BG194),52-COUNTBLANK(H106:BG106)))</f>
        <v/>
      </c>
      <c r="F106" s="310" t="str">
        <f>'Capacity calculation (hide)'!BI194</f>
        <v/>
      </c>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I106" s="342" t="s">
        <v>1237</v>
      </c>
    </row>
    <row r="107" spans="2:61" hidden="1" x14ac:dyDescent="0.2">
      <c r="B107" s="219" t="str">
        <f>IF(Capacity!N100="","",Capacity!N100)</f>
        <v/>
      </c>
      <c r="C107" s="220" t="str">
        <f>IF(B107="","",Capacity!Q100)</f>
        <v/>
      </c>
      <c r="D107" s="309" t="str">
        <f>IF(B107="","",Capacity!R100)</f>
        <v/>
      </c>
      <c r="E107" s="220" t="str">
        <f>IF(B107="","",IF(COUNTBLANK(H107:BG107)=52,SUM('Capacity calculation (hide)'!H195:BG195),52-COUNTBLANK(H107:BG107)))</f>
        <v/>
      </c>
      <c r="F107" s="310" t="str">
        <f>'Capacity calculation (hide)'!BI195</f>
        <v/>
      </c>
      <c r="H107" s="363"/>
      <c r="I107" s="363"/>
      <c r="J107" s="363"/>
      <c r="K107" s="363"/>
      <c r="L107" s="363"/>
      <c r="M107" s="363"/>
      <c r="N107" s="363"/>
      <c r="O107" s="363"/>
      <c r="P107" s="363"/>
      <c r="Q107" s="363"/>
      <c r="R107" s="363"/>
      <c r="S107" s="363"/>
      <c r="T107" s="363"/>
      <c r="U107" s="363"/>
      <c r="V107" s="363"/>
      <c r="W107" s="363"/>
      <c r="X107" s="363"/>
      <c r="Y107" s="363"/>
      <c r="Z107" s="363"/>
      <c r="AA107" s="363"/>
      <c r="AB107" s="363"/>
      <c r="AC107" s="363"/>
      <c r="AD107" s="363"/>
      <c r="AE107" s="363"/>
      <c r="AF107" s="363"/>
      <c r="AG107" s="363"/>
      <c r="AH107" s="363"/>
      <c r="AI107" s="363"/>
      <c r="AJ107" s="363"/>
      <c r="AK107" s="363"/>
      <c r="AL107" s="363"/>
      <c r="AM107" s="363"/>
      <c r="AN107" s="363"/>
      <c r="AO107" s="363"/>
      <c r="AP107" s="363"/>
      <c r="AQ107" s="363"/>
      <c r="AR107" s="363"/>
      <c r="AS107" s="363"/>
      <c r="AT107" s="363"/>
      <c r="AU107" s="363"/>
      <c r="AV107" s="363"/>
      <c r="AW107" s="363"/>
      <c r="AX107" s="363"/>
      <c r="AY107" s="363"/>
      <c r="AZ107" s="363"/>
      <c r="BA107" s="363"/>
      <c r="BB107" s="363"/>
      <c r="BC107" s="363"/>
      <c r="BD107" s="363"/>
      <c r="BE107" s="363"/>
      <c r="BF107" s="363"/>
      <c r="BG107" s="363"/>
      <c r="BI107" s="342" t="s">
        <v>1237</v>
      </c>
    </row>
    <row r="108" spans="2:61" hidden="1" x14ac:dyDescent="0.2">
      <c r="B108" s="219" t="str">
        <f>IF(Capacity!N101="","",Capacity!N101)</f>
        <v/>
      </c>
      <c r="C108" s="220" t="str">
        <f>IF(B108="","",Capacity!Q101)</f>
        <v/>
      </c>
      <c r="D108" s="309" t="str">
        <f>IF(B108="","",Capacity!R101)</f>
        <v/>
      </c>
      <c r="E108" s="220" t="str">
        <f>IF(B108="","",IF(COUNTBLANK(H108:BG108)=52,SUM('Capacity calculation (hide)'!H196:BG196),52-COUNTBLANK(H108:BG108)))</f>
        <v/>
      </c>
      <c r="F108" s="310" t="str">
        <f>'Capacity calculation (hide)'!BI196</f>
        <v/>
      </c>
      <c r="H108" s="363"/>
      <c r="I108" s="363"/>
      <c r="J108" s="363"/>
      <c r="K108" s="363"/>
      <c r="L108" s="363"/>
      <c r="M108" s="363"/>
      <c r="N108" s="363"/>
      <c r="O108" s="363"/>
      <c r="P108" s="363"/>
      <c r="Q108" s="363"/>
      <c r="R108" s="363"/>
      <c r="S108" s="363"/>
      <c r="T108" s="363"/>
      <c r="U108" s="363"/>
      <c r="V108" s="363"/>
      <c r="W108" s="363"/>
      <c r="X108" s="363"/>
      <c r="Y108" s="363"/>
      <c r="Z108" s="363"/>
      <c r="AA108" s="363"/>
      <c r="AB108" s="363"/>
      <c r="AC108" s="363"/>
      <c r="AD108" s="363"/>
      <c r="AE108" s="363"/>
      <c r="AF108" s="363"/>
      <c r="AG108" s="363"/>
      <c r="AH108" s="363"/>
      <c r="AI108" s="363"/>
      <c r="AJ108" s="363"/>
      <c r="AK108" s="363"/>
      <c r="AL108" s="363"/>
      <c r="AM108" s="363"/>
      <c r="AN108" s="363"/>
      <c r="AO108" s="363"/>
      <c r="AP108" s="363"/>
      <c r="AQ108" s="363"/>
      <c r="AR108" s="363"/>
      <c r="AS108" s="363"/>
      <c r="AT108" s="363"/>
      <c r="AU108" s="363"/>
      <c r="AV108" s="363"/>
      <c r="AW108" s="363"/>
      <c r="AX108" s="363"/>
      <c r="AY108" s="363"/>
      <c r="AZ108" s="363"/>
      <c r="BA108" s="363"/>
      <c r="BB108" s="363"/>
      <c r="BC108" s="363"/>
      <c r="BD108" s="363"/>
      <c r="BE108" s="363"/>
      <c r="BF108" s="363"/>
      <c r="BG108" s="363"/>
      <c r="BI108" s="342" t="s">
        <v>1237</v>
      </c>
    </row>
    <row r="109" spans="2:61" hidden="1" x14ac:dyDescent="0.2">
      <c r="B109" s="219" t="str">
        <f>IF(Capacity!N102="","",Capacity!N102)</f>
        <v/>
      </c>
      <c r="C109" s="220" t="str">
        <f>IF(B109="","",Capacity!Q102)</f>
        <v/>
      </c>
      <c r="D109" s="309" t="str">
        <f>IF(B109="","",Capacity!R102)</f>
        <v/>
      </c>
      <c r="E109" s="220" t="str">
        <f>IF(B109="","",IF(COUNTBLANK(H109:BG109)=52,SUM('Capacity calculation (hide)'!H197:BG197),52-COUNTBLANK(H109:BG109)))</f>
        <v/>
      </c>
      <c r="F109" s="310" t="str">
        <f>'Capacity calculation (hide)'!BI197</f>
        <v/>
      </c>
      <c r="H109" s="363"/>
      <c r="I109" s="363"/>
      <c r="J109" s="363"/>
      <c r="K109" s="363"/>
      <c r="L109" s="363"/>
      <c r="M109" s="363"/>
      <c r="N109" s="363"/>
      <c r="O109" s="363"/>
      <c r="P109" s="363"/>
      <c r="Q109" s="363"/>
      <c r="R109" s="363"/>
      <c r="S109" s="363"/>
      <c r="T109" s="363"/>
      <c r="U109" s="363"/>
      <c r="V109" s="363"/>
      <c r="W109" s="363"/>
      <c r="X109" s="363"/>
      <c r="Y109" s="363"/>
      <c r="Z109" s="363"/>
      <c r="AA109" s="363"/>
      <c r="AB109" s="363"/>
      <c r="AC109" s="363"/>
      <c r="AD109" s="363"/>
      <c r="AE109" s="363"/>
      <c r="AF109" s="363"/>
      <c r="AG109" s="363"/>
      <c r="AH109" s="363"/>
      <c r="AI109" s="363"/>
      <c r="AJ109" s="363"/>
      <c r="AK109" s="363"/>
      <c r="AL109" s="363"/>
      <c r="AM109" s="363"/>
      <c r="AN109" s="363"/>
      <c r="AO109" s="363"/>
      <c r="AP109" s="363"/>
      <c r="AQ109" s="363"/>
      <c r="AR109" s="363"/>
      <c r="AS109" s="363"/>
      <c r="AT109" s="363"/>
      <c r="AU109" s="363"/>
      <c r="AV109" s="363"/>
      <c r="AW109" s="363"/>
      <c r="AX109" s="363"/>
      <c r="AY109" s="363"/>
      <c r="AZ109" s="363"/>
      <c r="BA109" s="363"/>
      <c r="BB109" s="363"/>
      <c r="BC109" s="363"/>
      <c r="BD109" s="363"/>
      <c r="BE109" s="363"/>
      <c r="BF109" s="363"/>
      <c r="BG109" s="363"/>
      <c r="BI109" s="342" t="s">
        <v>1237</v>
      </c>
    </row>
    <row r="110" spans="2:61" hidden="1" x14ac:dyDescent="0.2">
      <c r="B110" s="219" t="str">
        <f>IF(Capacity!N103="","",Capacity!N103)</f>
        <v/>
      </c>
      <c r="C110" s="220" t="str">
        <f>IF(B110="","",Capacity!Q103)</f>
        <v/>
      </c>
      <c r="D110" s="309" t="str">
        <f>IF(B110="","",Capacity!R103)</f>
        <v/>
      </c>
      <c r="E110" s="220" t="str">
        <f>IF(B110="","",IF(COUNTBLANK(H110:BG110)=52,SUM('Capacity calculation (hide)'!H198:BG198),52-COUNTBLANK(H110:BG110)))</f>
        <v/>
      </c>
      <c r="F110" s="310" t="str">
        <f>'Capacity calculation (hide)'!BI198</f>
        <v/>
      </c>
      <c r="H110" s="363"/>
      <c r="I110" s="363"/>
      <c r="J110" s="363"/>
      <c r="K110" s="363"/>
      <c r="L110" s="363"/>
      <c r="M110" s="363"/>
      <c r="N110" s="363"/>
      <c r="O110" s="363"/>
      <c r="P110" s="363"/>
      <c r="Q110" s="363"/>
      <c r="R110" s="363"/>
      <c r="S110" s="363"/>
      <c r="T110" s="363"/>
      <c r="U110" s="363"/>
      <c r="V110" s="363"/>
      <c r="W110" s="363"/>
      <c r="X110" s="363"/>
      <c r="Y110" s="363"/>
      <c r="Z110" s="363"/>
      <c r="AA110" s="363"/>
      <c r="AB110" s="363"/>
      <c r="AC110" s="363"/>
      <c r="AD110" s="363"/>
      <c r="AE110" s="363"/>
      <c r="AF110" s="363"/>
      <c r="AG110" s="363"/>
      <c r="AH110" s="363"/>
      <c r="AI110" s="363"/>
      <c r="AJ110" s="363"/>
      <c r="AK110" s="363"/>
      <c r="AL110" s="363"/>
      <c r="AM110" s="363"/>
      <c r="AN110" s="363"/>
      <c r="AO110" s="363"/>
      <c r="AP110" s="363"/>
      <c r="AQ110" s="363"/>
      <c r="AR110" s="363"/>
      <c r="AS110" s="363"/>
      <c r="AT110" s="363"/>
      <c r="AU110" s="363"/>
      <c r="AV110" s="363"/>
      <c r="AW110" s="363"/>
      <c r="AX110" s="363"/>
      <c r="AY110" s="363"/>
      <c r="AZ110" s="363"/>
      <c r="BA110" s="363"/>
      <c r="BB110" s="363"/>
      <c r="BC110" s="363"/>
      <c r="BD110" s="363"/>
      <c r="BE110" s="363"/>
      <c r="BF110" s="363"/>
      <c r="BG110" s="363"/>
      <c r="BI110" s="342" t="s">
        <v>1237</v>
      </c>
    </row>
    <row r="111" spans="2:61" hidden="1" x14ac:dyDescent="0.2">
      <c r="B111" s="219" t="str">
        <f>IF(Capacity!N104="","",Capacity!N104)</f>
        <v/>
      </c>
      <c r="C111" s="220" t="str">
        <f>IF(B111="","",Capacity!Q104)</f>
        <v/>
      </c>
      <c r="D111" s="309" t="str">
        <f>IF(B111="","",Capacity!R104)</f>
        <v/>
      </c>
      <c r="E111" s="220" t="str">
        <f>IF(B111="","",IF(COUNTBLANK(H111:BG111)=52,SUM('Capacity calculation (hide)'!H199:BG199),52-COUNTBLANK(H111:BG111)))</f>
        <v/>
      </c>
      <c r="F111" s="310" t="str">
        <f>'Capacity calculation (hide)'!BI199</f>
        <v/>
      </c>
      <c r="H111" s="363"/>
      <c r="I111" s="363"/>
      <c r="J111" s="363"/>
      <c r="K111" s="363"/>
      <c r="L111" s="363"/>
      <c r="M111" s="363"/>
      <c r="N111" s="363"/>
      <c r="O111" s="363"/>
      <c r="P111" s="363"/>
      <c r="Q111" s="363"/>
      <c r="R111" s="363"/>
      <c r="S111" s="363"/>
      <c r="T111" s="363"/>
      <c r="U111" s="363"/>
      <c r="V111" s="363"/>
      <c r="W111" s="363"/>
      <c r="X111" s="363"/>
      <c r="Y111" s="363"/>
      <c r="Z111" s="363"/>
      <c r="AA111" s="363"/>
      <c r="AB111" s="363"/>
      <c r="AC111" s="363"/>
      <c r="AD111" s="363"/>
      <c r="AE111" s="363"/>
      <c r="AF111" s="363"/>
      <c r="AG111" s="363"/>
      <c r="AH111" s="363"/>
      <c r="AI111" s="363"/>
      <c r="AJ111" s="363"/>
      <c r="AK111" s="363"/>
      <c r="AL111" s="363"/>
      <c r="AM111" s="363"/>
      <c r="AN111" s="363"/>
      <c r="AO111" s="363"/>
      <c r="AP111" s="363"/>
      <c r="AQ111" s="363"/>
      <c r="AR111" s="363"/>
      <c r="AS111" s="363"/>
      <c r="AT111" s="363"/>
      <c r="AU111" s="363"/>
      <c r="AV111" s="363"/>
      <c r="AW111" s="363"/>
      <c r="AX111" s="363"/>
      <c r="AY111" s="363"/>
      <c r="AZ111" s="363"/>
      <c r="BA111" s="363"/>
      <c r="BB111" s="363"/>
      <c r="BC111" s="363"/>
      <c r="BD111" s="363"/>
      <c r="BE111" s="363"/>
      <c r="BF111" s="363"/>
      <c r="BG111" s="363"/>
      <c r="BI111" s="342" t="s">
        <v>1237</v>
      </c>
    </row>
    <row r="112" spans="2:61" hidden="1" x14ac:dyDescent="0.2">
      <c r="B112" s="219" t="str">
        <f>IF(Capacity!N105="","",Capacity!N105)</f>
        <v/>
      </c>
      <c r="C112" s="220" t="str">
        <f>IF(B112="","",Capacity!Q105)</f>
        <v/>
      </c>
      <c r="D112" s="309" t="str">
        <f>IF(B112="","",Capacity!R105)</f>
        <v/>
      </c>
      <c r="E112" s="220" t="str">
        <f>IF(B112="","",IF(COUNTBLANK(H112:BG112)=52,SUM('Capacity calculation (hide)'!H200:BG200),52-COUNTBLANK(H112:BG112)))</f>
        <v/>
      </c>
      <c r="F112" s="310" t="str">
        <f>'Capacity calculation (hide)'!BI200</f>
        <v/>
      </c>
      <c r="H112" s="363"/>
      <c r="I112" s="363"/>
      <c r="J112" s="363"/>
      <c r="K112" s="363"/>
      <c r="L112" s="363"/>
      <c r="M112" s="363"/>
      <c r="N112" s="363"/>
      <c r="O112" s="363"/>
      <c r="P112" s="363"/>
      <c r="Q112" s="363"/>
      <c r="R112" s="363"/>
      <c r="S112" s="363"/>
      <c r="T112" s="363"/>
      <c r="U112" s="363"/>
      <c r="V112" s="363"/>
      <c r="W112" s="363"/>
      <c r="X112" s="363"/>
      <c r="Y112" s="363"/>
      <c r="Z112" s="363"/>
      <c r="AA112" s="363"/>
      <c r="AB112" s="363"/>
      <c r="AC112" s="363"/>
      <c r="AD112" s="363"/>
      <c r="AE112" s="363"/>
      <c r="AF112" s="363"/>
      <c r="AG112" s="363"/>
      <c r="AH112" s="363"/>
      <c r="AI112" s="363"/>
      <c r="AJ112" s="363"/>
      <c r="AK112" s="363"/>
      <c r="AL112" s="363"/>
      <c r="AM112" s="363"/>
      <c r="AN112" s="363"/>
      <c r="AO112" s="363"/>
      <c r="AP112" s="363"/>
      <c r="AQ112" s="363"/>
      <c r="AR112" s="363"/>
      <c r="AS112" s="363"/>
      <c r="AT112" s="363"/>
      <c r="AU112" s="363"/>
      <c r="AV112" s="363"/>
      <c r="AW112" s="363"/>
      <c r="AX112" s="363"/>
      <c r="AY112" s="363"/>
      <c r="AZ112" s="363"/>
      <c r="BA112" s="363"/>
      <c r="BB112" s="363"/>
      <c r="BC112" s="363"/>
      <c r="BD112" s="363"/>
      <c r="BE112" s="363"/>
      <c r="BF112" s="363"/>
      <c r="BG112" s="363"/>
      <c r="BI112" s="342" t="s">
        <v>1237</v>
      </c>
    </row>
    <row r="113" spans="2:61" hidden="1" x14ac:dyDescent="0.2">
      <c r="B113" s="219" t="str">
        <f>IF(Capacity!N106="","",Capacity!N106)</f>
        <v/>
      </c>
      <c r="C113" s="220" t="str">
        <f>IF(B113="","",Capacity!Q106)</f>
        <v/>
      </c>
      <c r="D113" s="309" t="str">
        <f>IF(B113="","",Capacity!R106)</f>
        <v/>
      </c>
      <c r="E113" s="220" t="str">
        <f>IF(B113="","",IF(COUNTBLANK(H113:BG113)=52,SUM('Capacity calculation (hide)'!H201:BG201),52-COUNTBLANK(H113:BG113)))</f>
        <v/>
      </c>
      <c r="F113" s="310" t="str">
        <f>'Capacity calculation (hide)'!BI201</f>
        <v/>
      </c>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I113" s="342" t="s">
        <v>1237</v>
      </c>
    </row>
    <row r="114" spans="2:61" hidden="1" x14ac:dyDescent="0.2">
      <c r="B114" s="219" t="str">
        <f>IF(Capacity!N107="","",Capacity!N107)</f>
        <v/>
      </c>
      <c r="C114" s="220" t="str">
        <f>IF(B114="","",Capacity!Q107)</f>
        <v/>
      </c>
      <c r="D114" s="309" t="str">
        <f>IF(B114="","",Capacity!R107)</f>
        <v/>
      </c>
      <c r="E114" s="220" t="str">
        <f>IF(B114="","",IF(COUNTBLANK(H114:BG114)=52,SUM('Capacity calculation (hide)'!H202:BG202),52-COUNTBLANK(H114:BG114)))</f>
        <v/>
      </c>
      <c r="F114" s="310" t="str">
        <f>'Capacity calculation (hide)'!BI202</f>
        <v/>
      </c>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3"/>
      <c r="AT114" s="363"/>
      <c r="AU114" s="363"/>
      <c r="AV114" s="363"/>
      <c r="AW114" s="363"/>
      <c r="AX114" s="363"/>
      <c r="AY114" s="363"/>
      <c r="AZ114" s="363"/>
      <c r="BA114" s="363"/>
      <c r="BB114" s="363"/>
      <c r="BC114" s="363"/>
      <c r="BD114" s="363"/>
      <c r="BE114" s="363"/>
      <c r="BF114" s="363"/>
      <c r="BG114" s="363"/>
      <c r="BI114" s="342" t="s">
        <v>1237</v>
      </c>
    </row>
    <row r="115" spans="2:61" hidden="1" x14ac:dyDescent="0.2">
      <c r="B115" s="219" t="str">
        <f>IF(Capacity!N108="","",Capacity!N108)</f>
        <v/>
      </c>
      <c r="C115" s="220" t="str">
        <f>IF(B115="","",Capacity!Q108)</f>
        <v/>
      </c>
      <c r="D115" s="309" t="str">
        <f>IF(B115="","",Capacity!R108)</f>
        <v/>
      </c>
      <c r="E115" s="220" t="str">
        <f>IF(B115="","",IF(COUNTBLANK(H115:BG115)=52,SUM('Capacity calculation (hide)'!H203:BG203),52-COUNTBLANK(H115:BG115)))</f>
        <v/>
      </c>
      <c r="F115" s="310" t="str">
        <f>'Capacity calculation (hide)'!BI203</f>
        <v/>
      </c>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3"/>
      <c r="AT115" s="363"/>
      <c r="AU115" s="363"/>
      <c r="AV115" s="363"/>
      <c r="AW115" s="363"/>
      <c r="AX115" s="363"/>
      <c r="AY115" s="363"/>
      <c r="AZ115" s="363"/>
      <c r="BA115" s="363"/>
      <c r="BB115" s="363"/>
      <c r="BC115" s="363"/>
      <c r="BD115" s="363"/>
      <c r="BE115" s="363"/>
      <c r="BF115" s="363"/>
      <c r="BG115" s="363"/>
      <c r="BI115" s="342" t="s">
        <v>1237</v>
      </c>
    </row>
    <row r="116" spans="2:61" hidden="1" x14ac:dyDescent="0.2">
      <c r="B116" s="219" t="str">
        <f>IF(Capacity!N109="","",Capacity!N109)</f>
        <v/>
      </c>
      <c r="C116" s="220" t="str">
        <f>IF(B116="","",Capacity!Q109)</f>
        <v/>
      </c>
      <c r="D116" s="309" t="str">
        <f>IF(B116="","",Capacity!R109)</f>
        <v/>
      </c>
      <c r="E116" s="220" t="str">
        <f>IF(B116="","",IF(COUNTBLANK(H116:BG116)=52,SUM('Capacity calculation (hide)'!H204:BG204),52-COUNTBLANK(H116:BG116)))</f>
        <v/>
      </c>
      <c r="F116" s="310" t="str">
        <f>'Capacity calculation (hide)'!BI204</f>
        <v/>
      </c>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3"/>
      <c r="AT116" s="363"/>
      <c r="AU116" s="363"/>
      <c r="AV116" s="363"/>
      <c r="AW116" s="363"/>
      <c r="AX116" s="363"/>
      <c r="AY116" s="363"/>
      <c r="AZ116" s="363"/>
      <c r="BA116" s="363"/>
      <c r="BB116" s="363"/>
      <c r="BC116" s="363"/>
      <c r="BD116" s="363"/>
      <c r="BE116" s="363"/>
      <c r="BF116" s="363"/>
      <c r="BG116" s="363"/>
      <c r="BI116" s="342" t="s">
        <v>1237</v>
      </c>
    </row>
    <row r="117" spans="2:61" hidden="1" x14ac:dyDescent="0.2">
      <c r="B117" s="219" t="str">
        <f>IF(Capacity!N110="","",Capacity!N110)</f>
        <v/>
      </c>
      <c r="C117" s="220" t="str">
        <f>IF(B117="","",Capacity!Q110)</f>
        <v/>
      </c>
      <c r="D117" s="309" t="str">
        <f>IF(B117="","",Capacity!R110)</f>
        <v/>
      </c>
      <c r="E117" s="220" t="str">
        <f>IF(B117="","",IF(COUNTBLANK(H117:BG117)=52,SUM('Capacity calculation (hide)'!H205:BG205),52-COUNTBLANK(H117:BG117)))</f>
        <v/>
      </c>
      <c r="F117" s="310" t="str">
        <f>'Capacity calculation (hide)'!BI205</f>
        <v/>
      </c>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3"/>
      <c r="BC117" s="363"/>
      <c r="BD117" s="363"/>
      <c r="BE117" s="363"/>
      <c r="BF117" s="363"/>
      <c r="BG117" s="363"/>
      <c r="BI117" s="342" t="s">
        <v>1237</v>
      </c>
    </row>
    <row r="118" spans="2:61" hidden="1" x14ac:dyDescent="0.2">
      <c r="B118" s="219" t="str">
        <f>IF(Capacity!N111="","",Capacity!N111)</f>
        <v/>
      </c>
      <c r="C118" s="220" t="str">
        <f>IF(B118="","",Capacity!Q111)</f>
        <v/>
      </c>
      <c r="D118" s="309" t="str">
        <f>IF(B118="","",Capacity!R111)</f>
        <v/>
      </c>
      <c r="E118" s="220" t="str">
        <f>IF(B118="","",IF(COUNTBLANK(H118:BG118)=52,SUM('Capacity calculation (hide)'!H206:BG206),52-COUNTBLANK(H118:BG118)))</f>
        <v/>
      </c>
      <c r="F118" s="310" t="str">
        <f>'Capacity calculation (hide)'!BI206</f>
        <v/>
      </c>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3"/>
      <c r="BC118" s="363"/>
      <c r="BD118" s="363"/>
      <c r="BE118" s="363"/>
      <c r="BF118" s="363"/>
      <c r="BG118" s="363"/>
      <c r="BI118" s="342" t="s">
        <v>1237</v>
      </c>
    </row>
    <row r="119" spans="2:61" hidden="1" x14ac:dyDescent="0.2">
      <c r="B119" s="219" t="str">
        <f>IF(Capacity!N112="","",Capacity!N112)</f>
        <v/>
      </c>
      <c r="C119" s="220" t="str">
        <f>IF(B119="","",Capacity!Q112)</f>
        <v/>
      </c>
      <c r="D119" s="309" t="str">
        <f>IF(B119="","",Capacity!R112)</f>
        <v/>
      </c>
      <c r="E119" s="220" t="str">
        <f>IF(B119="","",IF(COUNTBLANK(H119:BG119)=52,SUM('Capacity calculation (hide)'!H207:BG207),52-COUNTBLANK(H119:BG119)))</f>
        <v/>
      </c>
      <c r="F119" s="310" t="str">
        <f>'Capacity calculation (hide)'!BI207</f>
        <v/>
      </c>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I119" s="342" t="s">
        <v>1237</v>
      </c>
    </row>
    <row r="120" spans="2:61" hidden="1" x14ac:dyDescent="0.2">
      <c r="B120" s="219" t="str">
        <f>IF(Capacity!N113="","",Capacity!N113)</f>
        <v/>
      </c>
      <c r="C120" s="220" t="str">
        <f>IF(B120="","",Capacity!Q113)</f>
        <v/>
      </c>
      <c r="D120" s="309" t="str">
        <f>IF(B120="","",Capacity!R113)</f>
        <v/>
      </c>
      <c r="E120" s="220" t="str">
        <f>IF(B120="","",IF(COUNTBLANK(H120:BG120)=52,SUM('Capacity calculation (hide)'!H208:BG208),52-COUNTBLANK(H120:BG120)))</f>
        <v/>
      </c>
      <c r="F120" s="310" t="str">
        <f>'Capacity calculation (hide)'!BI208</f>
        <v/>
      </c>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3"/>
      <c r="AT120" s="363"/>
      <c r="AU120" s="363"/>
      <c r="AV120" s="363"/>
      <c r="AW120" s="363"/>
      <c r="AX120" s="363"/>
      <c r="AY120" s="363"/>
      <c r="AZ120" s="363"/>
      <c r="BA120" s="363"/>
      <c r="BB120" s="363"/>
      <c r="BC120" s="363"/>
      <c r="BD120" s="363"/>
      <c r="BE120" s="363"/>
      <c r="BF120" s="363"/>
      <c r="BG120" s="363"/>
      <c r="BI120" s="342" t="s">
        <v>1237</v>
      </c>
    </row>
    <row r="121" spans="2:61" hidden="1" x14ac:dyDescent="0.2">
      <c r="B121" s="219" t="str">
        <f>IF(Capacity!N114="","",Capacity!N114)</f>
        <v/>
      </c>
      <c r="C121" s="220" t="str">
        <f>IF(B121="","",Capacity!Q114)</f>
        <v/>
      </c>
      <c r="D121" s="309" t="str">
        <f>IF(B121="","",Capacity!R114)</f>
        <v/>
      </c>
      <c r="E121" s="220" t="str">
        <f>IF(B121="","",IF(COUNTBLANK(H121:BG121)=52,SUM('Capacity calculation (hide)'!H209:BG209),52-COUNTBLANK(H121:BG121)))</f>
        <v/>
      </c>
      <c r="F121" s="310" t="str">
        <f>'Capacity calculation (hide)'!BI209</f>
        <v/>
      </c>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3"/>
      <c r="AT121" s="363"/>
      <c r="AU121" s="363"/>
      <c r="AV121" s="363"/>
      <c r="AW121" s="363"/>
      <c r="AX121" s="363"/>
      <c r="AY121" s="363"/>
      <c r="AZ121" s="363"/>
      <c r="BA121" s="363"/>
      <c r="BB121" s="363"/>
      <c r="BC121" s="363"/>
      <c r="BD121" s="363"/>
      <c r="BE121" s="363"/>
      <c r="BF121" s="363"/>
      <c r="BG121" s="363"/>
      <c r="BI121" s="342" t="s">
        <v>1237</v>
      </c>
    </row>
    <row r="122" spans="2:61" hidden="1" x14ac:dyDescent="0.2">
      <c r="B122" s="219" t="str">
        <f>IF(Capacity!N115="","",Capacity!N115)</f>
        <v/>
      </c>
      <c r="C122" s="220" t="str">
        <f>IF(B122="","",Capacity!Q115)</f>
        <v/>
      </c>
      <c r="D122" s="309" t="str">
        <f>IF(B122="","",Capacity!R115)</f>
        <v/>
      </c>
      <c r="E122" s="220" t="str">
        <f>IF(B122="","",IF(COUNTBLANK(H122:BG122)=52,SUM('Capacity calculation (hide)'!H210:BG210),52-COUNTBLANK(H122:BG122)))</f>
        <v/>
      </c>
      <c r="F122" s="310" t="str">
        <f>'Capacity calculation (hide)'!BI210</f>
        <v/>
      </c>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3"/>
      <c r="AT122" s="363"/>
      <c r="AU122" s="363"/>
      <c r="AV122" s="363"/>
      <c r="AW122" s="363"/>
      <c r="AX122" s="363"/>
      <c r="AY122" s="363"/>
      <c r="AZ122" s="363"/>
      <c r="BA122" s="363"/>
      <c r="BB122" s="363"/>
      <c r="BC122" s="363"/>
      <c r="BD122" s="363"/>
      <c r="BE122" s="363"/>
      <c r="BF122" s="363"/>
      <c r="BG122" s="363"/>
      <c r="BI122" s="342" t="s">
        <v>1237</v>
      </c>
    </row>
    <row r="123" spans="2:61" hidden="1" x14ac:dyDescent="0.2">
      <c r="B123" s="219" t="str">
        <f>IF(Capacity!N116="","",Capacity!N116)</f>
        <v/>
      </c>
      <c r="C123" s="220" t="str">
        <f>IF(B123="","",Capacity!Q116)</f>
        <v/>
      </c>
      <c r="D123" s="309" t="str">
        <f>IF(B123="","",Capacity!R116)</f>
        <v/>
      </c>
      <c r="E123" s="220" t="str">
        <f>IF(B123="","",IF(COUNTBLANK(H123:BG123)=52,SUM('Capacity calculation (hide)'!H211:BG211),52-COUNTBLANK(H123:BG123)))</f>
        <v/>
      </c>
      <c r="F123" s="310" t="str">
        <f>'Capacity calculation (hide)'!BI211</f>
        <v/>
      </c>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3"/>
      <c r="AT123" s="363"/>
      <c r="AU123" s="363"/>
      <c r="AV123" s="363"/>
      <c r="AW123" s="363"/>
      <c r="AX123" s="363"/>
      <c r="AY123" s="363"/>
      <c r="AZ123" s="363"/>
      <c r="BA123" s="363"/>
      <c r="BB123" s="363"/>
      <c r="BC123" s="363"/>
      <c r="BD123" s="363"/>
      <c r="BE123" s="363"/>
      <c r="BF123" s="363"/>
      <c r="BG123" s="363"/>
      <c r="BI123" s="342" t="s">
        <v>1237</v>
      </c>
    </row>
    <row r="124" spans="2:61" x14ac:dyDescent="0.2">
      <c r="B124" s="67" t="str">
        <f>IF(Capacity!B17="","",Capacity!B17)</f>
        <v/>
      </c>
      <c r="C124" s="220" t="str">
        <f>IF(B124="","",Capacity!E17)</f>
        <v/>
      </c>
      <c r="D124" s="309" t="str">
        <f>IF(B124="","",Capacity!F17)</f>
        <v/>
      </c>
      <c r="E124" s="220" t="str">
        <f>IF(B124="","",IF(COUNTBLANK(H124:BG124)=52,SUM('Capacity calculation (hide)'!H5:BG5),52-COUNTBLANK(H124:BG124)))</f>
        <v/>
      </c>
      <c r="F124" s="310" t="str">
        <f>'Capacity calculation (hide)'!BI5</f>
        <v/>
      </c>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3"/>
      <c r="AT124" s="363"/>
      <c r="AU124" s="363"/>
      <c r="AV124" s="363"/>
      <c r="AW124" s="363"/>
      <c r="AX124" s="363"/>
      <c r="AY124" s="363"/>
      <c r="AZ124" s="363"/>
      <c r="BA124" s="363"/>
      <c r="BB124" s="363"/>
      <c r="BC124" s="363"/>
      <c r="BD124" s="363"/>
      <c r="BE124" s="363"/>
      <c r="BF124" s="363"/>
      <c r="BG124" s="363"/>
      <c r="BI124" s="343" t="s">
        <v>1237</v>
      </c>
    </row>
    <row r="125" spans="2:61" x14ac:dyDescent="0.2">
      <c r="B125" s="67" t="str">
        <f>IF(Capacity!B18="","",Capacity!B18)</f>
        <v/>
      </c>
      <c r="C125" s="220" t="str">
        <f>IF(B125="","",Capacity!E18)</f>
        <v/>
      </c>
      <c r="D125" s="309" t="str">
        <f>IF(B125="","",Capacity!F18)</f>
        <v/>
      </c>
      <c r="E125" s="220" t="str">
        <f>IF(B125="","",IF(COUNTBLANK(H125:BG125)=52,SUM('Capacity calculation (hide)'!H6:BG6),52-COUNTBLANK(H125:BG125)))</f>
        <v/>
      </c>
      <c r="F125" s="310" t="str">
        <f>'Capacity calculation (hide)'!BI6</f>
        <v/>
      </c>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3"/>
      <c r="AT125" s="363"/>
      <c r="AU125" s="363"/>
      <c r="AV125" s="363"/>
      <c r="AW125" s="363"/>
      <c r="AX125" s="363"/>
      <c r="AY125" s="363"/>
      <c r="AZ125" s="363"/>
      <c r="BA125" s="363"/>
      <c r="BB125" s="363"/>
      <c r="BC125" s="363"/>
      <c r="BD125" s="363"/>
      <c r="BE125" s="363"/>
      <c r="BF125" s="363"/>
      <c r="BG125" s="363"/>
      <c r="BI125" s="343" t="s">
        <v>1237</v>
      </c>
    </row>
    <row r="126" spans="2:61" x14ac:dyDescent="0.2">
      <c r="B126" s="67" t="str">
        <f>IF(Capacity!B19="","",Capacity!B19)</f>
        <v/>
      </c>
      <c r="C126" s="220" t="str">
        <f>IF(B126="","",Capacity!E19)</f>
        <v/>
      </c>
      <c r="D126" s="309" t="str">
        <f>IF(B126="","",Capacity!F19)</f>
        <v/>
      </c>
      <c r="E126" s="220" t="str">
        <f>IF(B126="","",IF(COUNTBLANK(H126:BG126)=52,SUM('Capacity calculation (hide)'!H7:BG7),52-COUNTBLANK(H126:BG126)))</f>
        <v/>
      </c>
      <c r="F126" s="310" t="str">
        <f>'Capacity calculation (hide)'!BI7</f>
        <v/>
      </c>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3"/>
      <c r="AT126" s="363"/>
      <c r="AU126" s="363"/>
      <c r="AV126" s="363"/>
      <c r="AW126" s="363"/>
      <c r="AX126" s="363"/>
      <c r="AY126" s="363"/>
      <c r="AZ126" s="363"/>
      <c r="BA126" s="363"/>
      <c r="BB126" s="363"/>
      <c r="BC126" s="363"/>
      <c r="BD126" s="363"/>
      <c r="BE126" s="363"/>
      <c r="BF126" s="363"/>
      <c r="BG126" s="363"/>
      <c r="BI126" s="343" t="s">
        <v>1237</v>
      </c>
    </row>
    <row r="127" spans="2:61" x14ac:dyDescent="0.2">
      <c r="B127" s="67" t="str">
        <f>IF(Capacity!B20="","",Capacity!B20)</f>
        <v/>
      </c>
      <c r="C127" s="220" t="str">
        <f>IF(B127="","",Capacity!E20)</f>
        <v/>
      </c>
      <c r="D127" s="309" t="str">
        <f>IF(B127="","",Capacity!F20)</f>
        <v/>
      </c>
      <c r="E127" s="220" t="str">
        <f>IF(B127="","",IF(COUNTBLANK(H127:BG127)=52,SUM('Capacity calculation (hide)'!H8:BG8),52-COUNTBLANK(H127:BG127)))</f>
        <v/>
      </c>
      <c r="F127" s="310" t="str">
        <f>'Capacity calculation (hide)'!BI8</f>
        <v/>
      </c>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3"/>
      <c r="AT127" s="363"/>
      <c r="AU127" s="363"/>
      <c r="AV127" s="363"/>
      <c r="AW127" s="363"/>
      <c r="AX127" s="363"/>
      <c r="AY127" s="363"/>
      <c r="AZ127" s="363"/>
      <c r="BA127" s="363"/>
      <c r="BB127" s="363"/>
      <c r="BC127" s="363"/>
      <c r="BD127" s="363"/>
      <c r="BE127" s="363"/>
      <c r="BF127" s="363"/>
      <c r="BG127" s="363"/>
      <c r="BI127" s="343" t="s">
        <v>1237</v>
      </c>
    </row>
    <row r="128" spans="2:61" x14ac:dyDescent="0.2">
      <c r="B128" s="67" t="str">
        <f>IF(Capacity!B21="","",Capacity!B21)</f>
        <v/>
      </c>
      <c r="C128" s="220" t="str">
        <f>IF(B128="","",Capacity!E21)</f>
        <v/>
      </c>
      <c r="D128" s="309" t="str">
        <f>IF(B128="","",Capacity!F21)</f>
        <v/>
      </c>
      <c r="E128" s="220" t="str">
        <f>IF(B128="","",IF(COUNTBLANK(H128:BG128)=52,SUM('Capacity calculation (hide)'!H9:BG9),52-COUNTBLANK(H128:BG128)))</f>
        <v/>
      </c>
      <c r="F128" s="310" t="str">
        <f>'Capacity calculation (hide)'!BI9</f>
        <v/>
      </c>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3"/>
      <c r="AT128" s="363"/>
      <c r="AU128" s="363"/>
      <c r="AV128" s="363"/>
      <c r="AW128" s="363"/>
      <c r="AX128" s="363"/>
      <c r="AY128" s="363"/>
      <c r="AZ128" s="363"/>
      <c r="BA128" s="363"/>
      <c r="BB128" s="363"/>
      <c r="BC128" s="363"/>
      <c r="BD128" s="363"/>
      <c r="BE128" s="363"/>
      <c r="BF128" s="363"/>
      <c r="BG128" s="363"/>
      <c r="BI128" s="343" t="s">
        <v>1237</v>
      </c>
    </row>
    <row r="129" spans="2:61" x14ac:dyDescent="0.2">
      <c r="B129" s="67" t="str">
        <f>IF(Capacity!B22="","",Capacity!B22)</f>
        <v/>
      </c>
      <c r="C129" s="220" t="str">
        <f>IF(B129="","",Capacity!E22)</f>
        <v/>
      </c>
      <c r="D129" s="309" t="str">
        <f>IF(B129="","",Capacity!F22)</f>
        <v/>
      </c>
      <c r="E129" s="220" t="str">
        <f>IF(B129="","",IF(COUNTBLANK(H129:BG129)=52,SUM('Capacity calculation (hide)'!H10:BG10),52-COUNTBLANK(H129:BG129)))</f>
        <v/>
      </c>
      <c r="F129" s="310" t="str">
        <f>'Capacity calculation (hide)'!BI10</f>
        <v/>
      </c>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3"/>
      <c r="AT129" s="363"/>
      <c r="AU129" s="363"/>
      <c r="AV129" s="363"/>
      <c r="AW129" s="363"/>
      <c r="AX129" s="363"/>
      <c r="AY129" s="363"/>
      <c r="AZ129" s="363"/>
      <c r="BA129" s="363"/>
      <c r="BB129" s="363"/>
      <c r="BC129" s="363"/>
      <c r="BD129" s="363"/>
      <c r="BE129" s="363"/>
      <c r="BF129" s="363"/>
      <c r="BG129" s="363"/>
      <c r="BI129" s="343" t="s">
        <v>1237</v>
      </c>
    </row>
    <row r="130" spans="2:61" x14ac:dyDescent="0.2">
      <c r="B130" s="67" t="str">
        <f>IF(Capacity!B23="","",Capacity!B23)</f>
        <v/>
      </c>
      <c r="C130" s="220" t="str">
        <f>IF(B130="","",Capacity!E23)</f>
        <v/>
      </c>
      <c r="D130" s="309" t="str">
        <f>IF(B130="","",Capacity!F23)</f>
        <v/>
      </c>
      <c r="E130" s="220" t="str">
        <f>IF(B130="","",IF(COUNTBLANK(H130:BG130)=52,SUM('Capacity calculation (hide)'!H11:BG11),52-COUNTBLANK(H130:BG130)))</f>
        <v/>
      </c>
      <c r="F130" s="310" t="str">
        <f>'Capacity calculation (hide)'!BI11</f>
        <v/>
      </c>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3"/>
      <c r="AT130" s="363"/>
      <c r="AU130" s="363"/>
      <c r="AV130" s="363"/>
      <c r="AW130" s="363"/>
      <c r="AX130" s="363"/>
      <c r="AY130" s="363"/>
      <c r="AZ130" s="363"/>
      <c r="BA130" s="363"/>
      <c r="BB130" s="363"/>
      <c r="BC130" s="363"/>
      <c r="BD130" s="363"/>
      <c r="BE130" s="363"/>
      <c r="BF130" s="363"/>
      <c r="BG130" s="363"/>
      <c r="BI130" s="343" t="s">
        <v>1237</v>
      </c>
    </row>
    <row r="131" spans="2:61" x14ac:dyDescent="0.2">
      <c r="B131" s="67" t="str">
        <f>IF(Capacity!B24="","",Capacity!B24)</f>
        <v/>
      </c>
      <c r="C131" s="220" t="str">
        <f>IF(B131="","",Capacity!E24)</f>
        <v/>
      </c>
      <c r="D131" s="309" t="str">
        <f>IF(B131="","",Capacity!F24)</f>
        <v/>
      </c>
      <c r="E131" s="220" t="str">
        <f>IF(B131="","",IF(COUNTBLANK(H131:BG131)=52,SUM('Capacity calculation (hide)'!H12:BG12),52-COUNTBLANK(H131:BG131)))</f>
        <v/>
      </c>
      <c r="F131" s="310" t="str">
        <f>'Capacity calculation (hide)'!BI12</f>
        <v/>
      </c>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3"/>
      <c r="AT131" s="363"/>
      <c r="AU131" s="363"/>
      <c r="AV131" s="363"/>
      <c r="AW131" s="363"/>
      <c r="AX131" s="363"/>
      <c r="AY131" s="363"/>
      <c r="AZ131" s="363"/>
      <c r="BA131" s="363"/>
      <c r="BB131" s="363"/>
      <c r="BC131" s="363"/>
      <c r="BD131" s="363"/>
      <c r="BE131" s="363"/>
      <c r="BF131" s="363"/>
      <c r="BG131" s="363"/>
      <c r="BI131" s="343" t="s">
        <v>1237</v>
      </c>
    </row>
    <row r="132" spans="2:61" x14ac:dyDescent="0.2">
      <c r="B132" s="67" t="str">
        <f>IF(Capacity!B25="","",Capacity!B25)</f>
        <v/>
      </c>
      <c r="C132" s="220" t="str">
        <f>IF(B132="","",Capacity!E25)</f>
        <v/>
      </c>
      <c r="D132" s="309" t="str">
        <f>IF(B132="","",Capacity!F25)</f>
        <v/>
      </c>
      <c r="E132" s="220" t="str">
        <f>IF(B132="","",IF(COUNTBLANK(H132:BG132)=52,SUM('Capacity calculation (hide)'!H13:BG13),52-COUNTBLANK(H132:BG132)))</f>
        <v/>
      </c>
      <c r="F132" s="310" t="str">
        <f>'Capacity calculation (hide)'!BI13</f>
        <v/>
      </c>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3"/>
      <c r="AT132" s="363"/>
      <c r="AU132" s="363"/>
      <c r="AV132" s="363"/>
      <c r="AW132" s="363"/>
      <c r="AX132" s="363"/>
      <c r="AY132" s="363"/>
      <c r="AZ132" s="363"/>
      <c r="BA132" s="363"/>
      <c r="BB132" s="363"/>
      <c r="BC132" s="363"/>
      <c r="BD132" s="363"/>
      <c r="BE132" s="363"/>
      <c r="BF132" s="363"/>
      <c r="BG132" s="363"/>
      <c r="BI132" s="343" t="s">
        <v>1237</v>
      </c>
    </row>
    <row r="133" spans="2:61" x14ac:dyDescent="0.2">
      <c r="B133" s="67" t="str">
        <f>IF(Capacity!B26="","",Capacity!B26)</f>
        <v/>
      </c>
      <c r="C133" s="220" t="str">
        <f>IF(B133="","",Capacity!E26)</f>
        <v/>
      </c>
      <c r="D133" s="309" t="str">
        <f>IF(B133="","",Capacity!F26)</f>
        <v/>
      </c>
      <c r="E133" s="220" t="str">
        <f>IF(B133="","",IF(COUNTBLANK(H133:BG133)=52,SUM('Capacity calculation (hide)'!H14:BG14),52-COUNTBLANK(H133:BG133)))</f>
        <v/>
      </c>
      <c r="F133" s="310" t="str">
        <f>'Capacity calculation (hide)'!BI14</f>
        <v/>
      </c>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3"/>
      <c r="AT133" s="363"/>
      <c r="AU133" s="363"/>
      <c r="AV133" s="363"/>
      <c r="AW133" s="363"/>
      <c r="AX133" s="363"/>
      <c r="AY133" s="363"/>
      <c r="AZ133" s="363"/>
      <c r="BA133" s="363"/>
      <c r="BB133" s="363"/>
      <c r="BC133" s="363"/>
      <c r="BD133" s="363"/>
      <c r="BE133" s="363"/>
      <c r="BF133" s="363"/>
      <c r="BG133" s="363"/>
      <c r="BI133" s="343" t="s">
        <v>1237</v>
      </c>
    </row>
    <row r="134" spans="2:61" x14ac:dyDescent="0.2">
      <c r="B134" s="67" t="str">
        <f>IF(Capacity!B27="","",Capacity!B27)</f>
        <v/>
      </c>
      <c r="C134" s="220" t="str">
        <f>IF(B134="","",Capacity!E27)</f>
        <v/>
      </c>
      <c r="D134" s="309" t="str">
        <f>IF(B134="","",Capacity!F27)</f>
        <v/>
      </c>
      <c r="E134" s="220" t="str">
        <f>IF(B134="","",IF(COUNTBLANK(H134:BG134)=52,SUM('Capacity calculation (hide)'!H15:BG15),52-COUNTBLANK(H134:BG134)))</f>
        <v/>
      </c>
      <c r="F134" s="310" t="str">
        <f>'Capacity calculation (hide)'!BI15</f>
        <v/>
      </c>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3"/>
      <c r="AT134" s="363"/>
      <c r="AU134" s="363"/>
      <c r="AV134" s="363"/>
      <c r="AW134" s="363"/>
      <c r="AX134" s="363"/>
      <c r="AY134" s="363"/>
      <c r="AZ134" s="363"/>
      <c r="BA134" s="363"/>
      <c r="BB134" s="363"/>
      <c r="BC134" s="363"/>
      <c r="BD134" s="363"/>
      <c r="BE134" s="363"/>
      <c r="BF134" s="363"/>
      <c r="BG134" s="363"/>
      <c r="BI134" s="343" t="s">
        <v>1237</v>
      </c>
    </row>
    <row r="135" spans="2:61" x14ac:dyDescent="0.2">
      <c r="B135" s="67" t="str">
        <f>IF(Capacity!B28="","",Capacity!B28)</f>
        <v/>
      </c>
      <c r="C135" s="220" t="str">
        <f>IF(B135="","",Capacity!E28)</f>
        <v/>
      </c>
      <c r="D135" s="309" t="str">
        <f>IF(B135="","",Capacity!F28)</f>
        <v/>
      </c>
      <c r="E135" s="220" t="str">
        <f>IF(B135="","",IF(COUNTBLANK(H135:BG135)=52,SUM('Capacity calculation (hide)'!H16:BG16),52-COUNTBLANK(H135:BG135)))</f>
        <v/>
      </c>
      <c r="F135" s="310" t="str">
        <f>'Capacity calculation (hide)'!BI16</f>
        <v/>
      </c>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I135" s="343" t="s">
        <v>1237</v>
      </c>
    </row>
    <row r="136" spans="2:61" x14ac:dyDescent="0.2">
      <c r="B136" s="67" t="str">
        <f>IF(Capacity!B29="","",Capacity!B29)</f>
        <v/>
      </c>
      <c r="C136" s="220" t="str">
        <f>IF(B136="","",Capacity!E29)</f>
        <v/>
      </c>
      <c r="D136" s="309" t="str">
        <f>IF(B136="","",Capacity!F29)</f>
        <v/>
      </c>
      <c r="E136" s="220" t="str">
        <f>IF(B136="","",IF(COUNTBLANK(H136:BG136)=52,SUM('Capacity calculation (hide)'!H17:BG17),52-COUNTBLANK(H136:BG136)))</f>
        <v/>
      </c>
      <c r="F136" s="310" t="str">
        <f>'Capacity calculation (hide)'!BI17</f>
        <v/>
      </c>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3"/>
      <c r="AT136" s="363"/>
      <c r="AU136" s="363"/>
      <c r="AV136" s="363"/>
      <c r="AW136" s="363"/>
      <c r="AX136" s="363"/>
      <c r="AY136" s="363"/>
      <c r="AZ136" s="363"/>
      <c r="BA136" s="363"/>
      <c r="BB136" s="363"/>
      <c r="BC136" s="363"/>
      <c r="BD136" s="363"/>
      <c r="BE136" s="363"/>
      <c r="BF136" s="363"/>
      <c r="BG136" s="363"/>
      <c r="BI136" s="343" t="s">
        <v>1237</v>
      </c>
    </row>
    <row r="137" spans="2:61" x14ac:dyDescent="0.2">
      <c r="B137" s="67" t="str">
        <f>IF(Capacity!B30="","",Capacity!B30)</f>
        <v/>
      </c>
      <c r="C137" s="220" t="str">
        <f>IF(B137="","",Capacity!E30)</f>
        <v/>
      </c>
      <c r="D137" s="309" t="str">
        <f>IF(B137="","",Capacity!F30)</f>
        <v/>
      </c>
      <c r="E137" s="220" t="str">
        <f>IF(B137="","",IF(COUNTBLANK(H137:BG137)=52,SUM('Capacity calculation (hide)'!H18:BG18),52-COUNTBLANK(H137:BG137)))</f>
        <v/>
      </c>
      <c r="F137" s="310" t="str">
        <f>'Capacity calculation (hide)'!BI18</f>
        <v/>
      </c>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3"/>
      <c r="AT137" s="363"/>
      <c r="AU137" s="363"/>
      <c r="AV137" s="363"/>
      <c r="AW137" s="363"/>
      <c r="AX137" s="363"/>
      <c r="AY137" s="363"/>
      <c r="AZ137" s="363"/>
      <c r="BA137" s="363"/>
      <c r="BB137" s="363"/>
      <c r="BC137" s="363"/>
      <c r="BD137" s="363"/>
      <c r="BE137" s="363"/>
      <c r="BF137" s="363"/>
      <c r="BG137" s="363"/>
      <c r="BI137" s="343" t="s">
        <v>1237</v>
      </c>
    </row>
    <row r="138" spans="2:61" x14ac:dyDescent="0.2">
      <c r="B138" s="67" t="str">
        <f>IF(Capacity!B31="","",Capacity!B31)</f>
        <v/>
      </c>
      <c r="C138" s="220" t="str">
        <f>IF(B138="","",Capacity!E31)</f>
        <v/>
      </c>
      <c r="D138" s="309" t="str">
        <f>IF(B138="","",Capacity!F31)</f>
        <v/>
      </c>
      <c r="E138" s="220" t="str">
        <f>IF(B138="","",IF(COUNTBLANK(H138:BG138)=52,SUM('Capacity calculation (hide)'!H19:BG19),52-COUNTBLANK(H138:BG138)))</f>
        <v/>
      </c>
      <c r="F138" s="310" t="str">
        <f>'Capacity calculation (hide)'!BI19</f>
        <v/>
      </c>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3"/>
      <c r="AT138" s="363"/>
      <c r="AU138" s="363"/>
      <c r="AV138" s="363"/>
      <c r="AW138" s="363"/>
      <c r="AX138" s="363"/>
      <c r="AY138" s="363"/>
      <c r="AZ138" s="363"/>
      <c r="BA138" s="363"/>
      <c r="BB138" s="363"/>
      <c r="BC138" s="363"/>
      <c r="BD138" s="363"/>
      <c r="BE138" s="363"/>
      <c r="BF138" s="363"/>
      <c r="BG138" s="363"/>
      <c r="BI138" s="343" t="s">
        <v>1237</v>
      </c>
    </row>
    <row r="139" spans="2:61" x14ac:dyDescent="0.2">
      <c r="B139" s="67" t="str">
        <f>IF(Capacity!B32="","",Capacity!B32)</f>
        <v/>
      </c>
      <c r="C139" s="220" t="str">
        <f>IF(B139="","",Capacity!E32)</f>
        <v/>
      </c>
      <c r="D139" s="309" t="str">
        <f>IF(B139="","",Capacity!F32)</f>
        <v/>
      </c>
      <c r="E139" s="220" t="str">
        <f>IF(B139="","",IF(COUNTBLANK(H139:BG139)=52,SUM('Capacity calculation (hide)'!H20:BG20),52-COUNTBLANK(H139:BG139)))</f>
        <v/>
      </c>
      <c r="F139" s="310" t="str">
        <f>'Capacity calculation (hide)'!BI20</f>
        <v/>
      </c>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3"/>
      <c r="AT139" s="363"/>
      <c r="AU139" s="363"/>
      <c r="AV139" s="363"/>
      <c r="AW139" s="363"/>
      <c r="AX139" s="363"/>
      <c r="AY139" s="363"/>
      <c r="AZ139" s="363"/>
      <c r="BA139" s="363"/>
      <c r="BB139" s="363"/>
      <c r="BC139" s="363"/>
      <c r="BD139" s="363"/>
      <c r="BE139" s="363"/>
      <c r="BF139" s="363"/>
      <c r="BG139" s="363"/>
      <c r="BI139" s="343" t="s">
        <v>1237</v>
      </c>
    </row>
    <row r="140" spans="2:61" x14ac:dyDescent="0.2">
      <c r="B140" s="67" t="str">
        <f>IF(Capacity!B33="","",Capacity!B33)</f>
        <v/>
      </c>
      <c r="C140" s="220" t="str">
        <f>IF(B140="","",Capacity!E33)</f>
        <v/>
      </c>
      <c r="D140" s="309" t="str">
        <f>IF(B140="","",Capacity!F33)</f>
        <v/>
      </c>
      <c r="E140" s="220" t="str">
        <f>IF(B140="","",IF(COUNTBLANK(H140:BG140)=52,SUM('Capacity calculation (hide)'!H21:BG21),52-COUNTBLANK(H140:BG140)))</f>
        <v/>
      </c>
      <c r="F140" s="310" t="str">
        <f>'Capacity calculation (hide)'!BI21</f>
        <v/>
      </c>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3"/>
      <c r="AT140" s="363"/>
      <c r="AU140" s="363"/>
      <c r="AV140" s="363"/>
      <c r="AW140" s="363"/>
      <c r="AX140" s="363"/>
      <c r="AY140" s="363"/>
      <c r="AZ140" s="363"/>
      <c r="BA140" s="363"/>
      <c r="BB140" s="363"/>
      <c r="BC140" s="363"/>
      <c r="BD140" s="363"/>
      <c r="BE140" s="363"/>
      <c r="BF140" s="363"/>
      <c r="BG140" s="363"/>
      <c r="BI140" s="343" t="s">
        <v>1237</v>
      </c>
    </row>
    <row r="141" spans="2:61" x14ac:dyDescent="0.2">
      <c r="B141" s="67" t="str">
        <f>IF(Capacity!B34="","",Capacity!B34)</f>
        <v/>
      </c>
      <c r="C141" s="220" t="str">
        <f>IF(B141="","",Capacity!E34)</f>
        <v/>
      </c>
      <c r="D141" s="309" t="str">
        <f>IF(B141="","",Capacity!F34)</f>
        <v/>
      </c>
      <c r="E141" s="220" t="str">
        <f>IF(B141="","",IF(COUNTBLANK(H141:BG141)=52,SUM('Capacity calculation (hide)'!H22:BG22),52-COUNTBLANK(H141:BG141)))</f>
        <v/>
      </c>
      <c r="F141" s="310" t="str">
        <f>'Capacity calculation (hide)'!BI22</f>
        <v/>
      </c>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3"/>
      <c r="AT141" s="363"/>
      <c r="AU141" s="363"/>
      <c r="AV141" s="363"/>
      <c r="AW141" s="363"/>
      <c r="AX141" s="363"/>
      <c r="AY141" s="363"/>
      <c r="AZ141" s="363"/>
      <c r="BA141" s="363"/>
      <c r="BB141" s="363"/>
      <c r="BC141" s="363"/>
      <c r="BD141" s="363"/>
      <c r="BE141" s="363"/>
      <c r="BF141" s="363"/>
      <c r="BG141" s="363"/>
      <c r="BI141" s="343" t="s">
        <v>1237</v>
      </c>
    </row>
    <row r="142" spans="2:61" x14ac:dyDescent="0.2">
      <c r="B142" s="67" t="str">
        <f>IF(Capacity!B35="","",Capacity!B35)</f>
        <v/>
      </c>
      <c r="C142" s="220" t="str">
        <f>IF(B142="","",Capacity!E35)</f>
        <v/>
      </c>
      <c r="D142" s="309" t="str">
        <f>IF(B142="","",Capacity!F35)</f>
        <v/>
      </c>
      <c r="E142" s="220" t="str">
        <f>IF(B142="","",IF(COUNTBLANK(H142:BG142)=52,SUM('Capacity calculation (hide)'!H23:BG23),52-COUNTBLANK(H142:BG142)))</f>
        <v/>
      </c>
      <c r="F142" s="310" t="str">
        <f>'Capacity calculation (hide)'!BI23</f>
        <v/>
      </c>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3"/>
      <c r="AT142" s="363"/>
      <c r="AU142" s="363"/>
      <c r="AV142" s="363"/>
      <c r="AW142" s="363"/>
      <c r="AX142" s="363"/>
      <c r="AY142" s="363"/>
      <c r="AZ142" s="363"/>
      <c r="BA142" s="363"/>
      <c r="BB142" s="363"/>
      <c r="BC142" s="363"/>
      <c r="BD142" s="363"/>
      <c r="BE142" s="363"/>
      <c r="BF142" s="363"/>
      <c r="BG142" s="363"/>
      <c r="BI142" s="343" t="s">
        <v>1237</v>
      </c>
    </row>
    <row r="143" spans="2:61" x14ac:dyDescent="0.2">
      <c r="B143" s="67" t="str">
        <f>IF(Capacity!B36="","",Capacity!B36)</f>
        <v/>
      </c>
      <c r="C143" s="220" t="str">
        <f>IF(B143="","",Capacity!E36)</f>
        <v/>
      </c>
      <c r="D143" s="309" t="str">
        <f>IF(B143="","",Capacity!F36)</f>
        <v/>
      </c>
      <c r="E143" s="220" t="str">
        <f>IF(B143="","",IF(COUNTBLANK(H143:BG143)=52,SUM('Capacity calculation (hide)'!H24:BG24),52-COUNTBLANK(H143:BG143)))</f>
        <v/>
      </c>
      <c r="F143" s="310" t="str">
        <f>'Capacity calculation (hide)'!BI24</f>
        <v/>
      </c>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3"/>
      <c r="AT143" s="363"/>
      <c r="AU143" s="363"/>
      <c r="AV143" s="363"/>
      <c r="AW143" s="363"/>
      <c r="AX143" s="363"/>
      <c r="AY143" s="363"/>
      <c r="AZ143" s="363"/>
      <c r="BA143" s="363"/>
      <c r="BB143" s="363"/>
      <c r="BC143" s="363"/>
      <c r="BD143" s="363"/>
      <c r="BE143" s="363"/>
      <c r="BF143" s="363"/>
      <c r="BG143" s="363"/>
      <c r="BI143" s="343" t="s">
        <v>1237</v>
      </c>
    </row>
    <row r="144" spans="2:61" x14ac:dyDescent="0.2">
      <c r="B144" s="67" t="str">
        <f>IF(Capacity!B37="","",Capacity!B37)</f>
        <v/>
      </c>
      <c r="C144" s="220" t="str">
        <f>IF(B144="","",Capacity!E37)</f>
        <v/>
      </c>
      <c r="D144" s="309" t="str">
        <f>IF(B144="","",Capacity!F37)</f>
        <v/>
      </c>
      <c r="E144" s="220" t="str">
        <f>IF(B144="","",IF(COUNTBLANK(H144:BG144)=52,SUM('Capacity calculation (hide)'!H25:BG25),52-COUNTBLANK(H144:BG144)))</f>
        <v/>
      </c>
      <c r="F144" s="310" t="str">
        <f>'Capacity calculation (hide)'!BI25</f>
        <v/>
      </c>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3"/>
      <c r="AT144" s="363"/>
      <c r="AU144" s="363"/>
      <c r="AV144" s="363"/>
      <c r="AW144" s="363"/>
      <c r="AX144" s="363"/>
      <c r="AY144" s="363"/>
      <c r="AZ144" s="363"/>
      <c r="BA144" s="363"/>
      <c r="BB144" s="363"/>
      <c r="BC144" s="363"/>
      <c r="BD144" s="363"/>
      <c r="BE144" s="363"/>
      <c r="BF144" s="363"/>
      <c r="BG144" s="363"/>
      <c r="BI144" s="343" t="s">
        <v>1237</v>
      </c>
    </row>
    <row r="145" spans="2:61" x14ac:dyDescent="0.2">
      <c r="B145" s="67" t="str">
        <f>IF(Capacity!B38="","",Capacity!B38)</f>
        <v/>
      </c>
      <c r="C145" s="220" t="str">
        <f>IF(B145="","",Capacity!E38)</f>
        <v/>
      </c>
      <c r="D145" s="309" t="str">
        <f>IF(B145="","",Capacity!F38)</f>
        <v/>
      </c>
      <c r="E145" s="220" t="str">
        <f>IF(B145="","",IF(COUNTBLANK(H145:BG145)=52,SUM('Capacity calculation (hide)'!H26:BG26),52-COUNTBLANK(H145:BG145)))</f>
        <v/>
      </c>
      <c r="F145" s="310" t="str">
        <f>'Capacity calculation (hide)'!BI26</f>
        <v/>
      </c>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3"/>
      <c r="AT145" s="363"/>
      <c r="AU145" s="363"/>
      <c r="AV145" s="363"/>
      <c r="AW145" s="363"/>
      <c r="AX145" s="363"/>
      <c r="AY145" s="363"/>
      <c r="AZ145" s="363"/>
      <c r="BA145" s="363"/>
      <c r="BB145" s="363"/>
      <c r="BC145" s="363"/>
      <c r="BD145" s="363"/>
      <c r="BE145" s="363"/>
      <c r="BF145" s="363"/>
      <c r="BG145" s="363"/>
      <c r="BI145" s="343" t="s">
        <v>1237</v>
      </c>
    </row>
    <row r="146" spans="2:61" x14ac:dyDescent="0.2">
      <c r="B146" s="67" t="str">
        <f>IF(Capacity!B39="","",Capacity!B39)</f>
        <v/>
      </c>
      <c r="C146" s="220" t="str">
        <f>IF(B146="","",Capacity!E39)</f>
        <v/>
      </c>
      <c r="D146" s="309" t="str">
        <f>IF(B146="","",Capacity!F39)</f>
        <v/>
      </c>
      <c r="E146" s="220" t="str">
        <f>IF(B146="","",IF(COUNTBLANK(H146:BG146)=52,SUM('Capacity calculation (hide)'!H27:BG27),52-COUNTBLANK(H146:BG146)))</f>
        <v/>
      </c>
      <c r="F146" s="310" t="str">
        <f>'Capacity calculation (hide)'!BI27</f>
        <v/>
      </c>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3"/>
      <c r="AT146" s="363"/>
      <c r="AU146" s="363"/>
      <c r="AV146" s="363"/>
      <c r="AW146" s="363"/>
      <c r="AX146" s="363"/>
      <c r="AY146" s="363"/>
      <c r="AZ146" s="363"/>
      <c r="BA146" s="363"/>
      <c r="BB146" s="363"/>
      <c r="BC146" s="363"/>
      <c r="BD146" s="363"/>
      <c r="BE146" s="363"/>
      <c r="BF146" s="363"/>
      <c r="BG146" s="363"/>
      <c r="BI146" s="343" t="s">
        <v>1237</v>
      </c>
    </row>
    <row r="147" spans="2:61" x14ac:dyDescent="0.2">
      <c r="B147" s="67" t="str">
        <f>IF(Capacity!B40="","",Capacity!B40)</f>
        <v/>
      </c>
      <c r="C147" s="220" t="str">
        <f>IF(B147="","",Capacity!E40)</f>
        <v/>
      </c>
      <c r="D147" s="309" t="str">
        <f>IF(B147="","",Capacity!F40)</f>
        <v/>
      </c>
      <c r="E147" s="220" t="str">
        <f>IF(B147="","",IF(COUNTBLANK(H147:BG147)=52,SUM('Capacity calculation (hide)'!H28:BG28),52-COUNTBLANK(H147:BG147)))</f>
        <v/>
      </c>
      <c r="F147" s="310" t="str">
        <f>'Capacity calculation (hide)'!BI28</f>
        <v/>
      </c>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3"/>
      <c r="AT147" s="363"/>
      <c r="AU147" s="363"/>
      <c r="AV147" s="363"/>
      <c r="AW147" s="363"/>
      <c r="AX147" s="363"/>
      <c r="AY147" s="363"/>
      <c r="AZ147" s="363"/>
      <c r="BA147" s="363"/>
      <c r="BB147" s="363"/>
      <c r="BC147" s="363"/>
      <c r="BD147" s="363"/>
      <c r="BE147" s="363"/>
      <c r="BF147" s="363"/>
      <c r="BG147" s="363"/>
      <c r="BI147" s="343" t="s">
        <v>1237</v>
      </c>
    </row>
    <row r="148" spans="2:61" x14ac:dyDescent="0.2">
      <c r="B148" s="67" t="str">
        <f>IF(Capacity!B41="","",Capacity!B41)</f>
        <v/>
      </c>
      <c r="C148" s="220" t="str">
        <f>IF(B148="","",Capacity!E41)</f>
        <v/>
      </c>
      <c r="D148" s="309" t="str">
        <f>IF(B148="","",Capacity!F41)</f>
        <v/>
      </c>
      <c r="E148" s="220" t="str">
        <f>IF(B148="","",IF(COUNTBLANK(H148:BG148)=52,SUM('Capacity calculation (hide)'!H29:BG29),52-COUNTBLANK(H148:BG148)))</f>
        <v/>
      </c>
      <c r="F148" s="310" t="str">
        <f>'Capacity calculation (hide)'!BI29</f>
        <v/>
      </c>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3"/>
      <c r="AT148" s="363"/>
      <c r="AU148" s="363"/>
      <c r="AV148" s="363"/>
      <c r="AW148" s="363"/>
      <c r="AX148" s="363"/>
      <c r="AY148" s="363"/>
      <c r="AZ148" s="363"/>
      <c r="BA148" s="363"/>
      <c r="BB148" s="363"/>
      <c r="BC148" s="363"/>
      <c r="BD148" s="363"/>
      <c r="BE148" s="363"/>
      <c r="BF148" s="363"/>
      <c r="BG148" s="363"/>
      <c r="BI148" s="343" t="s">
        <v>1237</v>
      </c>
    </row>
    <row r="149" spans="2:61" x14ac:dyDescent="0.2">
      <c r="B149" s="67" t="str">
        <f>IF(Capacity!B42="","",Capacity!B42)</f>
        <v/>
      </c>
      <c r="C149" s="220" t="str">
        <f>IF(B149="","",Capacity!E42)</f>
        <v/>
      </c>
      <c r="D149" s="309" t="str">
        <f>IF(B149="","",Capacity!F42)</f>
        <v/>
      </c>
      <c r="E149" s="220" t="str">
        <f>IF(B149="","",IF(COUNTBLANK(H149:BG149)=52,SUM('Capacity calculation (hide)'!H30:BG30),52-COUNTBLANK(H149:BG149)))</f>
        <v/>
      </c>
      <c r="F149" s="310" t="str">
        <f>'Capacity calculation (hide)'!BI30</f>
        <v/>
      </c>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3"/>
      <c r="AT149" s="363"/>
      <c r="AU149" s="363"/>
      <c r="AV149" s="363"/>
      <c r="AW149" s="363"/>
      <c r="AX149" s="363"/>
      <c r="AY149" s="363"/>
      <c r="AZ149" s="363"/>
      <c r="BA149" s="363"/>
      <c r="BB149" s="363"/>
      <c r="BC149" s="363"/>
      <c r="BD149" s="363"/>
      <c r="BE149" s="363"/>
      <c r="BF149" s="363"/>
      <c r="BG149" s="363"/>
      <c r="BI149" s="343" t="s">
        <v>1237</v>
      </c>
    </row>
    <row r="150" spans="2:61" x14ac:dyDescent="0.2">
      <c r="B150" s="67" t="str">
        <f>IF(Capacity!B43="","",Capacity!B43)</f>
        <v/>
      </c>
      <c r="C150" s="220" t="str">
        <f>IF(B150="","",Capacity!E43)</f>
        <v/>
      </c>
      <c r="D150" s="309" t="str">
        <f>IF(B150="","",Capacity!F43)</f>
        <v/>
      </c>
      <c r="E150" s="220" t="str">
        <f>IF(B150="","",IF(COUNTBLANK(H150:BG150)=52,SUM('Capacity calculation (hide)'!H31:BG31),52-COUNTBLANK(H150:BG150)))</f>
        <v/>
      </c>
      <c r="F150" s="310" t="str">
        <f>'Capacity calculation (hide)'!BI31</f>
        <v/>
      </c>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3"/>
      <c r="AT150" s="363"/>
      <c r="AU150" s="363"/>
      <c r="AV150" s="363"/>
      <c r="AW150" s="363"/>
      <c r="AX150" s="363"/>
      <c r="AY150" s="363"/>
      <c r="AZ150" s="363"/>
      <c r="BA150" s="363"/>
      <c r="BB150" s="363"/>
      <c r="BC150" s="363"/>
      <c r="BD150" s="363"/>
      <c r="BE150" s="363"/>
      <c r="BF150" s="363"/>
      <c r="BG150" s="363"/>
      <c r="BI150" s="343" t="s">
        <v>1237</v>
      </c>
    </row>
    <row r="151" spans="2:61" x14ac:dyDescent="0.2">
      <c r="B151" s="67" t="str">
        <f>IF(Capacity!B44="","",Capacity!B44)</f>
        <v/>
      </c>
      <c r="C151" s="220" t="str">
        <f>IF(B151="","",Capacity!E44)</f>
        <v/>
      </c>
      <c r="D151" s="309" t="str">
        <f>IF(B151="","",Capacity!F44)</f>
        <v/>
      </c>
      <c r="E151" s="220" t="str">
        <f>IF(B151="","",IF(COUNTBLANK(H151:BG151)=52,SUM('Capacity calculation (hide)'!H32:BG32),52-COUNTBLANK(H151:BG151)))</f>
        <v/>
      </c>
      <c r="F151" s="310" t="str">
        <f>'Capacity calculation (hide)'!BI32</f>
        <v/>
      </c>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3"/>
      <c r="AT151" s="363"/>
      <c r="AU151" s="363"/>
      <c r="AV151" s="363"/>
      <c r="AW151" s="363"/>
      <c r="AX151" s="363"/>
      <c r="AY151" s="363"/>
      <c r="AZ151" s="363"/>
      <c r="BA151" s="363"/>
      <c r="BB151" s="363"/>
      <c r="BC151" s="363"/>
      <c r="BD151" s="363"/>
      <c r="BE151" s="363"/>
      <c r="BF151" s="363"/>
      <c r="BG151" s="363"/>
      <c r="BI151" s="343" t="s">
        <v>1237</v>
      </c>
    </row>
    <row r="152" spans="2:61" x14ac:dyDescent="0.2">
      <c r="B152" s="67" t="str">
        <f>IF(Capacity!B45="","",Capacity!B45)</f>
        <v/>
      </c>
      <c r="C152" s="220" t="str">
        <f>IF(B152="","",Capacity!E45)</f>
        <v/>
      </c>
      <c r="D152" s="309" t="str">
        <f>IF(B152="","",Capacity!F45)</f>
        <v/>
      </c>
      <c r="E152" s="220" t="str">
        <f>IF(B152="","",IF(COUNTBLANK(H152:BG152)=52,SUM('Capacity calculation (hide)'!H33:BG33),52-COUNTBLANK(H152:BG152)))</f>
        <v/>
      </c>
      <c r="F152" s="310" t="str">
        <f>'Capacity calculation (hide)'!BI33</f>
        <v/>
      </c>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3"/>
      <c r="AT152" s="363"/>
      <c r="AU152" s="363"/>
      <c r="AV152" s="363"/>
      <c r="AW152" s="363"/>
      <c r="AX152" s="363"/>
      <c r="AY152" s="363"/>
      <c r="AZ152" s="363"/>
      <c r="BA152" s="363"/>
      <c r="BB152" s="363"/>
      <c r="BC152" s="363"/>
      <c r="BD152" s="363"/>
      <c r="BE152" s="363"/>
      <c r="BF152" s="363"/>
      <c r="BG152" s="363"/>
      <c r="BI152" s="343" t="s">
        <v>1237</v>
      </c>
    </row>
    <row r="153" spans="2:61" x14ac:dyDescent="0.2">
      <c r="B153" s="67" t="str">
        <f>IF(Capacity!B46="","",Capacity!B46)</f>
        <v/>
      </c>
      <c r="C153" s="220" t="str">
        <f>IF(B153="","",Capacity!E46)</f>
        <v/>
      </c>
      <c r="D153" s="309" t="str">
        <f>IF(B153="","",Capacity!F46)</f>
        <v/>
      </c>
      <c r="E153" s="220" t="str">
        <f>IF(B153="","",IF(COUNTBLANK(H153:BG153)=52,SUM('Capacity calculation (hide)'!H34:BG34),52-COUNTBLANK(H153:BG153)))</f>
        <v/>
      </c>
      <c r="F153" s="310" t="str">
        <f>'Capacity calculation (hide)'!BI34</f>
        <v/>
      </c>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3"/>
      <c r="AT153" s="363"/>
      <c r="AU153" s="363"/>
      <c r="AV153" s="363"/>
      <c r="AW153" s="363"/>
      <c r="AX153" s="363"/>
      <c r="AY153" s="363"/>
      <c r="AZ153" s="363"/>
      <c r="BA153" s="363"/>
      <c r="BB153" s="363"/>
      <c r="BC153" s="363"/>
      <c r="BD153" s="363"/>
      <c r="BE153" s="363"/>
      <c r="BF153" s="363"/>
      <c r="BG153" s="363"/>
      <c r="BI153" s="343" t="s">
        <v>1237</v>
      </c>
    </row>
    <row r="154" spans="2:61" x14ac:dyDescent="0.2">
      <c r="B154" s="67" t="str">
        <f>IF(Capacity!B47="","",Capacity!B47)</f>
        <v/>
      </c>
      <c r="C154" s="220" t="str">
        <f>IF(B154="","",Capacity!E47)</f>
        <v/>
      </c>
      <c r="D154" s="309" t="str">
        <f>IF(B154="","",Capacity!F47)</f>
        <v/>
      </c>
      <c r="E154" s="220" t="str">
        <f>IF(B154="","",IF(COUNTBLANK(H154:BG154)=52,SUM('Capacity calculation (hide)'!H35:BG35),52-COUNTBLANK(H154:BG154)))</f>
        <v/>
      </c>
      <c r="F154" s="310" t="str">
        <f>'Capacity calculation (hide)'!BI35</f>
        <v/>
      </c>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3"/>
      <c r="AT154" s="363"/>
      <c r="AU154" s="363"/>
      <c r="AV154" s="363"/>
      <c r="AW154" s="363"/>
      <c r="AX154" s="363"/>
      <c r="AY154" s="363"/>
      <c r="AZ154" s="363"/>
      <c r="BA154" s="363"/>
      <c r="BB154" s="363"/>
      <c r="BC154" s="363"/>
      <c r="BD154" s="363"/>
      <c r="BE154" s="363"/>
      <c r="BF154" s="363"/>
      <c r="BG154" s="363"/>
      <c r="BI154" s="343" t="s">
        <v>1237</v>
      </c>
    </row>
    <row r="155" spans="2:61" x14ac:dyDescent="0.2">
      <c r="B155" s="67" t="str">
        <f>IF(Capacity!B48="","",Capacity!B48)</f>
        <v/>
      </c>
      <c r="C155" s="220" t="str">
        <f>IF(B155="","",Capacity!E48)</f>
        <v/>
      </c>
      <c r="D155" s="309" t="str">
        <f>IF(B155="","",Capacity!F48)</f>
        <v/>
      </c>
      <c r="E155" s="220" t="str">
        <f>IF(B155="","",IF(COUNTBLANK(H155:BG155)=52,SUM('Capacity calculation (hide)'!H36:BG36),52-COUNTBLANK(H155:BG155)))</f>
        <v/>
      </c>
      <c r="F155" s="310" t="str">
        <f>'Capacity calculation (hide)'!BI36</f>
        <v/>
      </c>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3"/>
      <c r="AT155" s="363"/>
      <c r="AU155" s="363"/>
      <c r="AV155" s="363"/>
      <c r="AW155" s="363"/>
      <c r="AX155" s="363"/>
      <c r="AY155" s="363"/>
      <c r="AZ155" s="363"/>
      <c r="BA155" s="363"/>
      <c r="BB155" s="363"/>
      <c r="BC155" s="363"/>
      <c r="BD155" s="363"/>
      <c r="BE155" s="363"/>
      <c r="BF155" s="363"/>
      <c r="BG155" s="363"/>
      <c r="BI155" s="343" t="s">
        <v>1237</v>
      </c>
    </row>
    <row r="156" spans="2:61" x14ac:dyDescent="0.2">
      <c r="B156" s="67" t="str">
        <f>IF(Capacity!B49="","",Capacity!B49)</f>
        <v/>
      </c>
      <c r="C156" s="220" t="str">
        <f>IF(B156="","",Capacity!E49)</f>
        <v/>
      </c>
      <c r="D156" s="309" t="str">
        <f>IF(B156="","",Capacity!F49)</f>
        <v/>
      </c>
      <c r="E156" s="220" t="str">
        <f>IF(B156="","",IF(COUNTBLANK(H156:BG156)=52,SUM('Capacity calculation (hide)'!H37:BG37),52-COUNTBLANK(H156:BG156)))</f>
        <v/>
      </c>
      <c r="F156" s="310" t="str">
        <f>'Capacity calculation (hide)'!BI37</f>
        <v/>
      </c>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3"/>
      <c r="AT156" s="363"/>
      <c r="AU156" s="363"/>
      <c r="AV156" s="363"/>
      <c r="AW156" s="363"/>
      <c r="AX156" s="363"/>
      <c r="AY156" s="363"/>
      <c r="AZ156" s="363"/>
      <c r="BA156" s="363"/>
      <c r="BB156" s="363"/>
      <c r="BC156" s="363"/>
      <c r="BD156" s="363"/>
      <c r="BE156" s="363"/>
      <c r="BF156" s="363"/>
      <c r="BG156" s="363"/>
      <c r="BI156" s="343" t="s">
        <v>1237</v>
      </c>
    </row>
    <row r="157" spans="2:61" x14ac:dyDescent="0.2">
      <c r="B157" s="67" t="str">
        <f>IF(Capacity!B50="","",Capacity!B50)</f>
        <v/>
      </c>
      <c r="C157" s="220" t="str">
        <f>IF(B157="","",Capacity!E50)</f>
        <v/>
      </c>
      <c r="D157" s="309" t="str">
        <f>IF(B157="","",Capacity!F50)</f>
        <v/>
      </c>
      <c r="E157" s="220" t="str">
        <f>IF(B157="","",IF(COUNTBLANK(H157:BG157)=52,SUM('Capacity calculation (hide)'!H38:BG38),52-COUNTBLANK(H157:BG157)))</f>
        <v/>
      </c>
      <c r="F157" s="310" t="str">
        <f>'Capacity calculation (hide)'!BI38</f>
        <v/>
      </c>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I157" s="343" t="s">
        <v>1237</v>
      </c>
    </row>
    <row r="158" spans="2:61" x14ac:dyDescent="0.2">
      <c r="B158" s="67" t="str">
        <f>IF(Capacity!B51="","",Capacity!B51)</f>
        <v/>
      </c>
      <c r="C158" s="220" t="str">
        <f>IF(B158="","",Capacity!E51)</f>
        <v/>
      </c>
      <c r="D158" s="309" t="str">
        <f>IF(B158="","",Capacity!F51)</f>
        <v/>
      </c>
      <c r="E158" s="220" t="str">
        <f>IF(B158="","",IF(COUNTBLANK(H158:BG158)=52,SUM('Capacity calculation (hide)'!H39:BG39),52-COUNTBLANK(H158:BG158)))</f>
        <v/>
      </c>
      <c r="F158" s="310" t="str">
        <f>'Capacity calculation (hide)'!BI39</f>
        <v/>
      </c>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3"/>
      <c r="AT158" s="363"/>
      <c r="AU158" s="363"/>
      <c r="AV158" s="363"/>
      <c r="AW158" s="363"/>
      <c r="AX158" s="363"/>
      <c r="AY158" s="363"/>
      <c r="AZ158" s="363"/>
      <c r="BA158" s="363"/>
      <c r="BB158" s="363"/>
      <c r="BC158" s="363"/>
      <c r="BD158" s="363"/>
      <c r="BE158" s="363"/>
      <c r="BF158" s="363"/>
      <c r="BG158" s="363"/>
      <c r="BI158" s="343" t="s">
        <v>1237</v>
      </c>
    </row>
    <row r="159" spans="2:61" x14ac:dyDescent="0.2">
      <c r="B159" s="67" t="str">
        <f>IF(Capacity!B52="","",Capacity!B52)</f>
        <v/>
      </c>
      <c r="C159" s="220" t="str">
        <f>IF(B159="","",Capacity!E52)</f>
        <v/>
      </c>
      <c r="D159" s="309" t="str">
        <f>IF(B159="","",Capacity!F52)</f>
        <v/>
      </c>
      <c r="E159" s="220" t="str">
        <f>IF(B159="","",IF(COUNTBLANK(H159:BG159)=52,SUM('Capacity calculation (hide)'!H40:BG40),52-COUNTBLANK(H159:BG159)))</f>
        <v/>
      </c>
      <c r="F159" s="310" t="str">
        <f>'Capacity calculation (hide)'!BI40</f>
        <v/>
      </c>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3"/>
      <c r="AT159" s="363"/>
      <c r="AU159" s="363"/>
      <c r="AV159" s="363"/>
      <c r="AW159" s="363"/>
      <c r="AX159" s="363"/>
      <c r="AY159" s="363"/>
      <c r="AZ159" s="363"/>
      <c r="BA159" s="363"/>
      <c r="BB159" s="363"/>
      <c r="BC159" s="363"/>
      <c r="BD159" s="363"/>
      <c r="BE159" s="363"/>
      <c r="BF159" s="363"/>
      <c r="BG159" s="363"/>
      <c r="BI159" s="343" t="s">
        <v>1237</v>
      </c>
    </row>
    <row r="160" spans="2:61" x14ac:dyDescent="0.2">
      <c r="B160" s="67" t="str">
        <f>IF(Capacity!B53="","",Capacity!B53)</f>
        <v/>
      </c>
      <c r="C160" s="220" t="str">
        <f>IF(B160="","",Capacity!E53)</f>
        <v/>
      </c>
      <c r="D160" s="309" t="str">
        <f>IF(B160="","",Capacity!F53)</f>
        <v/>
      </c>
      <c r="E160" s="220" t="str">
        <f>IF(B160="","",IF(COUNTBLANK(H160:BG160)=52,SUM('Capacity calculation (hide)'!H41:BG41),52-COUNTBLANK(H160:BG160)))</f>
        <v/>
      </c>
      <c r="F160" s="310" t="str">
        <f>'Capacity calculation (hide)'!BI41</f>
        <v/>
      </c>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3"/>
      <c r="AT160" s="363"/>
      <c r="AU160" s="363"/>
      <c r="AV160" s="363"/>
      <c r="AW160" s="363"/>
      <c r="AX160" s="363"/>
      <c r="AY160" s="363"/>
      <c r="AZ160" s="363"/>
      <c r="BA160" s="363"/>
      <c r="BB160" s="363"/>
      <c r="BC160" s="363"/>
      <c r="BD160" s="363"/>
      <c r="BE160" s="363"/>
      <c r="BF160" s="363"/>
      <c r="BG160" s="363"/>
      <c r="BI160" s="343" t="s">
        <v>1237</v>
      </c>
    </row>
    <row r="161" spans="2:61" x14ac:dyDescent="0.2">
      <c r="B161" s="67" t="str">
        <f>IF(Capacity!B54="","",Capacity!B54)</f>
        <v/>
      </c>
      <c r="C161" s="220" t="str">
        <f>IF(B161="","",Capacity!E54)</f>
        <v/>
      </c>
      <c r="D161" s="309" t="str">
        <f>IF(B161="","",Capacity!F54)</f>
        <v/>
      </c>
      <c r="E161" s="220" t="str">
        <f>IF(B161="","",IF(COUNTBLANK(H161:BG161)=52,SUM('Capacity calculation (hide)'!H42:BG42),52-COUNTBLANK(H161:BG161)))</f>
        <v/>
      </c>
      <c r="F161" s="310" t="str">
        <f>'Capacity calculation (hide)'!BI42</f>
        <v/>
      </c>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3"/>
      <c r="AT161" s="363"/>
      <c r="AU161" s="363"/>
      <c r="AV161" s="363"/>
      <c r="AW161" s="363"/>
      <c r="AX161" s="363"/>
      <c r="AY161" s="363"/>
      <c r="AZ161" s="363"/>
      <c r="BA161" s="363"/>
      <c r="BB161" s="363"/>
      <c r="BC161" s="363"/>
      <c r="BD161" s="363"/>
      <c r="BE161" s="363"/>
      <c r="BF161" s="363"/>
      <c r="BG161" s="363"/>
      <c r="BI161" s="343" t="s">
        <v>1237</v>
      </c>
    </row>
    <row r="162" spans="2:61" x14ac:dyDescent="0.2">
      <c r="B162" s="67" t="str">
        <f>IF(Capacity!B55="","",Capacity!B55)</f>
        <v/>
      </c>
      <c r="C162" s="220" t="str">
        <f>IF(B162="","",Capacity!E55)</f>
        <v/>
      </c>
      <c r="D162" s="309" t="str">
        <f>IF(B162="","",Capacity!F55)</f>
        <v/>
      </c>
      <c r="E162" s="220" t="str">
        <f>IF(B162="","",IF(COUNTBLANK(H162:BG162)=52,SUM('Capacity calculation (hide)'!H43:BG43),52-COUNTBLANK(H162:BG162)))</f>
        <v/>
      </c>
      <c r="F162" s="310" t="str">
        <f>'Capacity calculation (hide)'!BI43</f>
        <v/>
      </c>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3"/>
      <c r="AT162" s="363"/>
      <c r="AU162" s="363"/>
      <c r="AV162" s="363"/>
      <c r="AW162" s="363"/>
      <c r="AX162" s="363"/>
      <c r="AY162" s="363"/>
      <c r="AZ162" s="363"/>
      <c r="BA162" s="363"/>
      <c r="BB162" s="363"/>
      <c r="BC162" s="363"/>
      <c r="BD162" s="363"/>
      <c r="BE162" s="363"/>
      <c r="BF162" s="363"/>
      <c r="BG162" s="363"/>
      <c r="BI162" s="343" t="s">
        <v>1237</v>
      </c>
    </row>
    <row r="163" spans="2:61" x14ac:dyDescent="0.2">
      <c r="B163" s="67" t="str">
        <f>IF(Capacity!B56="","",Capacity!B56)</f>
        <v/>
      </c>
      <c r="C163" s="220" t="str">
        <f>IF(B163="","",Capacity!E56)</f>
        <v/>
      </c>
      <c r="D163" s="309" t="str">
        <f>IF(B163="","",Capacity!F56)</f>
        <v/>
      </c>
      <c r="E163" s="220" t="str">
        <f>IF(B163="","",IF(COUNTBLANK(H163:BG163)=52,SUM('Capacity calculation (hide)'!H44:BG44),52-COUNTBLANK(H163:BG163)))</f>
        <v/>
      </c>
      <c r="F163" s="310" t="str">
        <f>'Capacity calculation (hide)'!BI44</f>
        <v/>
      </c>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3"/>
      <c r="AT163" s="363"/>
      <c r="AU163" s="363"/>
      <c r="AV163" s="363"/>
      <c r="AW163" s="363"/>
      <c r="AX163" s="363"/>
      <c r="AY163" s="363"/>
      <c r="AZ163" s="363"/>
      <c r="BA163" s="363"/>
      <c r="BB163" s="363"/>
      <c r="BC163" s="363"/>
      <c r="BD163" s="363"/>
      <c r="BE163" s="363"/>
      <c r="BF163" s="363"/>
      <c r="BG163" s="363"/>
      <c r="BI163" s="343" t="s">
        <v>1237</v>
      </c>
    </row>
    <row r="164" spans="2:61" x14ac:dyDescent="0.2">
      <c r="B164" s="67" t="str">
        <f>IF(Capacity!B57="","",Capacity!B57)</f>
        <v/>
      </c>
      <c r="C164" s="220" t="str">
        <f>IF(B164="","",Capacity!E57)</f>
        <v/>
      </c>
      <c r="D164" s="309" t="str">
        <f>IF(B164="","",Capacity!F57)</f>
        <v/>
      </c>
      <c r="E164" s="220" t="str">
        <f>IF(B164="","",IF(COUNTBLANK(H164:BG164)=52,SUM('Capacity calculation (hide)'!H45:BG45),52-COUNTBLANK(H164:BG164)))</f>
        <v/>
      </c>
      <c r="F164" s="310" t="str">
        <f>'Capacity calculation (hide)'!BI45</f>
        <v/>
      </c>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3"/>
      <c r="AT164" s="363"/>
      <c r="AU164" s="363"/>
      <c r="AV164" s="363"/>
      <c r="AW164" s="363"/>
      <c r="AX164" s="363"/>
      <c r="AY164" s="363"/>
      <c r="AZ164" s="363"/>
      <c r="BA164" s="363"/>
      <c r="BB164" s="363"/>
      <c r="BC164" s="363"/>
      <c r="BD164" s="363"/>
      <c r="BE164" s="363"/>
      <c r="BF164" s="363"/>
      <c r="BG164" s="363"/>
      <c r="BI164" s="343" t="s">
        <v>1237</v>
      </c>
    </row>
    <row r="165" spans="2:61" x14ac:dyDescent="0.2">
      <c r="B165" s="67" t="str">
        <f>IF(Capacity!B58="","",Capacity!B58)</f>
        <v/>
      </c>
      <c r="C165" s="220" t="str">
        <f>IF(B165="","",Capacity!E58)</f>
        <v/>
      </c>
      <c r="D165" s="309" t="str">
        <f>IF(B165="","",Capacity!F58)</f>
        <v/>
      </c>
      <c r="E165" s="220" t="str">
        <f>IF(B165="","",IF(COUNTBLANK(H165:BG165)=52,SUM('Capacity calculation (hide)'!H46:BG46),52-COUNTBLANK(H165:BG165)))</f>
        <v/>
      </c>
      <c r="F165" s="310" t="str">
        <f>'Capacity calculation (hide)'!BI46</f>
        <v/>
      </c>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3"/>
      <c r="AT165" s="363"/>
      <c r="AU165" s="363"/>
      <c r="AV165" s="363"/>
      <c r="AW165" s="363"/>
      <c r="AX165" s="363"/>
      <c r="AY165" s="363"/>
      <c r="AZ165" s="363"/>
      <c r="BA165" s="363"/>
      <c r="BB165" s="363"/>
      <c r="BC165" s="363"/>
      <c r="BD165" s="363"/>
      <c r="BE165" s="363"/>
      <c r="BF165" s="363"/>
      <c r="BG165" s="363"/>
      <c r="BI165" s="343" t="s">
        <v>1237</v>
      </c>
    </row>
    <row r="166" spans="2:61" x14ac:dyDescent="0.2">
      <c r="B166" s="67" t="str">
        <f>IF(Capacity!B59="","",Capacity!B59)</f>
        <v/>
      </c>
      <c r="C166" s="220" t="str">
        <f>IF(B166="","",Capacity!E59)</f>
        <v/>
      </c>
      <c r="D166" s="309" t="str">
        <f>IF(B166="","",Capacity!F59)</f>
        <v/>
      </c>
      <c r="E166" s="220" t="str">
        <f>IF(B166="","",IF(COUNTBLANK(H166:BG166)=52,SUM('Capacity calculation (hide)'!H47:BG47),52-COUNTBLANK(H166:BG166)))</f>
        <v/>
      </c>
      <c r="F166" s="310" t="str">
        <f>'Capacity calculation (hide)'!BI47</f>
        <v/>
      </c>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3"/>
      <c r="AT166" s="363"/>
      <c r="AU166" s="363"/>
      <c r="AV166" s="363"/>
      <c r="AW166" s="363"/>
      <c r="AX166" s="363"/>
      <c r="AY166" s="363"/>
      <c r="AZ166" s="363"/>
      <c r="BA166" s="363"/>
      <c r="BB166" s="363"/>
      <c r="BC166" s="363"/>
      <c r="BD166" s="363"/>
      <c r="BE166" s="363"/>
      <c r="BF166" s="363"/>
      <c r="BG166" s="363"/>
      <c r="BI166" s="343" t="s">
        <v>1237</v>
      </c>
    </row>
    <row r="167" spans="2:61" x14ac:dyDescent="0.2">
      <c r="B167" s="67" t="str">
        <f>IF(Capacity!B60="","",Capacity!B60)</f>
        <v/>
      </c>
      <c r="C167" s="220" t="str">
        <f>IF(B167="","",Capacity!E60)</f>
        <v/>
      </c>
      <c r="D167" s="309" t="str">
        <f>IF(B167="","",Capacity!F60)</f>
        <v/>
      </c>
      <c r="E167" s="220" t="str">
        <f>IF(B167="","",IF(COUNTBLANK(H167:BG167)=52,SUM('Capacity calculation (hide)'!H48:BG48),52-COUNTBLANK(H167:BG167)))</f>
        <v/>
      </c>
      <c r="F167" s="310" t="str">
        <f>'Capacity calculation (hide)'!BI48</f>
        <v/>
      </c>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3"/>
      <c r="AT167" s="363"/>
      <c r="AU167" s="363"/>
      <c r="AV167" s="363"/>
      <c r="AW167" s="363"/>
      <c r="AX167" s="363"/>
      <c r="AY167" s="363"/>
      <c r="AZ167" s="363"/>
      <c r="BA167" s="363"/>
      <c r="BB167" s="363"/>
      <c r="BC167" s="363"/>
      <c r="BD167" s="363"/>
      <c r="BE167" s="363"/>
      <c r="BF167" s="363"/>
      <c r="BG167" s="363"/>
      <c r="BI167" s="343" t="s">
        <v>1237</v>
      </c>
    </row>
    <row r="168" spans="2:61" x14ac:dyDescent="0.2">
      <c r="B168" s="67" t="str">
        <f>IF(Capacity!B61="","",Capacity!B61)</f>
        <v/>
      </c>
      <c r="C168" s="220" t="str">
        <f>IF(B168="","",Capacity!E61)</f>
        <v/>
      </c>
      <c r="D168" s="309" t="str">
        <f>IF(B168="","",Capacity!F61)</f>
        <v/>
      </c>
      <c r="E168" s="220" t="str">
        <f>IF(B168="","",IF(COUNTBLANK(H168:BG168)=52,SUM('Capacity calculation (hide)'!H49:BG49),52-COUNTBLANK(H168:BG168)))</f>
        <v/>
      </c>
      <c r="F168" s="310" t="str">
        <f>'Capacity calculation (hide)'!BI49</f>
        <v/>
      </c>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3"/>
      <c r="AT168" s="363"/>
      <c r="AU168" s="363"/>
      <c r="AV168" s="363"/>
      <c r="AW168" s="363"/>
      <c r="AX168" s="363"/>
      <c r="AY168" s="363"/>
      <c r="AZ168" s="363"/>
      <c r="BA168" s="363"/>
      <c r="BB168" s="363"/>
      <c r="BC168" s="363"/>
      <c r="BD168" s="363"/>
      <c r="BE168" s="363"/>
      <c r="BF168" s="363"/>
      <c r="BG168" s="363"/>
      <c r="BI168" s="343" t="s">
        <v>1237</v>
      </c>
    </row>
    <row r="169" spans="2:61" x14ac:dyDescent="0.2">
      <c r="B169" s="67" t="str">
        <f>IF(Capacity!B62="","",Capacity!B62)</f>
        <v/>
      </c>
      <c r="C169" s="220" t="str">
        <f>IF(B169="","",Capacity!E62)</f>
        <v/>
      </c>
      <c r="D169" s="309" t="str">
        <f>IF(B169="","",Capacity!F62)</f>
        <v/>
      </c>
      <c r="E169" s="220" t="str">
        <f>IF(B169="","",IF(COUNTBLANK(H169:BG169)=52,SUM('Capacity calculation (hide)'!H50:BG50),52-COUNTBLANK(H169:BG169)))</f>
        <v/>
      </c>
      <c r="F169" s="310" t="str">
        <f>'Capacity calculation (hide)'!BI50</f>
        <v/>
      </c>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3"/>
      <c r="AT169" s="363"/>
      <c r="AU169" s="363"/>
      <c r="AV169" s="363"/>
      <c r="AW169" s="363"/>
      <c r="AX169" s="363"/>
      <c r="AY169" s="363"/>
      <c r="AZ169" s="363"/>
      <c r="BA169" s="363"/>
      <c r="BB169" s="363"/>
      <c r="BC169" s="363"/>
      <c r="BD169" s="363"/>
      <c r="BE169" s="363"/>
      <c r="BF169" s="363"/>
      <c r="BG169" s="363"/>
      <c r="BI169" s="343" t="s">
        <v>1237</v>
      </c>
    </row>
    <row r="170" spans="2:61" x14ac:dyDescent="0.2">
      <c r="B170" s="67" t="str">
        <f>IF(Capacity!B63="","",Capacity!B63)</f>
        <v/>
      </c>
      <c r="C170" s="220" t="str">
        <f>IF(B170="","",Capacity!E63)</f>
        <v/>
      </c>
      <c r="D170" s="309" t="str">
        <f>IF(B170="","",Capacity!F63)</f>
        <v/>
      </c>
      <c r="E170" s="220" t="str">
        <f>IF(B170="","",IF(COUNTBLANK(H170:BG170)=52,SUM('Capacity calculation (hide)'!H51:BG51),52-COUNTBLANK(H170:BG170)))</f>
        <v/>
      </c>
      <c r="F170" s="310" t="str">
        <f>'Capacity calculation (hide)'!BI51</f>
        <v/>
      </c>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3"/>
      <c r="AT170" s="363"/>
      <c r="AU170" s="363"/>
      <c r="AV170" s="363"/>
      <c r="AW170" s="363"/>
      <c r="AX170" s="363"/>
      <c r="AY170" s="363"/>
      <c r="AZ170" s="363"/>
      <c r="BA170" s="363"/>
      <c r="BB170" s="363"/>
      <c r="BC170" s="363"/>
      <c r="BD170" s="363"/>
      <c r="BE170" s="363"/>
      <c r="BF170" s="363"/>
      <c r="BG170" s="363"/>
      <c r="BI170" s="343" t="s">
        <v>1237</v>
      </c>
    </row>
    <row r="171" spans="2:61" x14ac:dyDescent="0.2">
      <c r="B171" s="67" t="str">
        <f>IF(Capacity!B64="","",Capacity!B64)</f>
        <v/>
      </c>
      <c r="C171" s="220" t="str">
        <f>IF(B171="","",Capacity!E64)</f>
        <v/>
      </c>
      <c r="D171" s="309" t="str">
        <f>IF(B171="","",Capacity!F64)</f>
        <v/>
      </c>
      <c r="E171" s="220" t="str">
        <f>IF(B171="","",IF(COUNTBLANK(H171:BG171)=52,SUM('Capacity calculation (hide)'!H52:BG52),52-COUNTBLANK(H171:BG171)))</f>
        <v/>
      </c>
      <c r="F171" s="310" t="str">
        <f>'Capacity calculation (hide)'!BI52</f>
        <v/>
      </c>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3"/>
      <c r="AT171" s="363"/>
      <c r="AU171" s="363"/>
      <c r="AV171" s="363"/>
      <c r="AW171" s="363"/>
      <c r="AX171" s="363"/>
      <c r="AY171" s="363"/>
      <c r="AZ171" s="363"/>
      <c r="BA171" s="363"/>
      <c r="BB171" s="363"/>
      <c r="BC171" s="363"/>
      <c r="BD171" s="363"/>
      <c r="BE171" s="363"/>
      <c r="BF171" s="363"/>
      <c r="BG171" s="363"/>
      <c r="BI171" s="343" t="s">
        <v>1237</v>
      </c>
    </row>
    <row r="172" spans="2:61" x14ac:dyDescent="0.2">
      <c r="B172" s="67" t="str">
        <f>IF(Capacity!B65="","",Capacity!B65)</f>
        <v/>
      </c>
      <c r="C172" s="220" t="str">
        <f>IF(B172="","",Capacity!E65)</f>
        <v/>
      </c>
      <c r="D172" s="309" t="str">
        <f>IF(B172="","",Capacity!F65)</f>
        <v/>
      </c>
      <c r="E172" s="220" t="str">
        <f>IF(B172="","",IF(COUNTBLANK(H172:BG172)=52,SUM('Capacity calculation (hide)'!H53:BG53),52-COUNTBLANK(H172:BG172)))</f>
        <v/>
      </c>
      <c r="F172" s="310" t="str">
        <f>'Capacity calculation (hide)'!BI53</f>
        <v/>
      </c>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3"/>
      <c r="AT172" s="363"/>
      <c r="AU172" s="363"/>
      <c r="AV172" s="363"/>
      <c r="AW172" s="363"/>
      <c r="AX172" s="363"/>
      <c r="AY172" s="363"/>
      <c r="AZ172" s="363"/>
      <c r="BA172" s="363"/>
      <c r="BB172" s="363"/>
      <c r="BC172" s="363"/>
      <c r="BD172" s="363"/>
      <c r="BE172" s="363"/>
      <c r="BF172" s="363"/>
      <c r="BG172" s="363"/>
      <c r="BI172" s="343" t="s">
        <v>1237</v>
      </c>
    </row>
    <row r="173" spans="2:61" x14ac:dyDescent="0.2">
      <c r="B173" s="67" t="str">
        <f>IF(Capacity!B66="","",Capacity!B66)</f>
        <v/>
      </c>
      <c r="C173" s="220" t="str">
        <f>IF(B173="","",Capacity!E66)</f>
        <v/>
      </c>
      <c r="D173" s="309" t="str">
        <f>IF(B173="","",Capacity!F66)</f>
        <v/>
      </c>
      <c r="E173" s="220" t="str">
        <f>IF(B173="","",IF(COUNTBLANK(H173:BG173)=52,SUM('Capacity calculation (hide)'!H54:BG54),52-COUNTBLANK(H173:BG173)))</f>
        <v/>
      </c>
      <c r="F173" s="310" t="str">
        <f>'Capacity calculation (hide)'!BI54</f>
        <v/>
      </c>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3"/>
      <c r="AT173" s="363"/>
      <c r="AU173" s="363"/>
      <c r="AV173" s="363"/>
      <c r="AW173" s="363"/>
      <c r="AX173" s="363"/>
      <c r="AY173" s="363"/>
      <c r="AZ173" s="363"/>
      <c r="BA173" s="363"/>
      <c r="BB173" s="363"/>
      <c r="BC173" s="363"/>
      <c r="BD173" s="363"/>
      <c r="BE173" s="363"/>
      <c r="BF173" s="363"/>
      <c r="BG173" s="363"/>
      <c r="BI173" s="343" t="s">
        <v>1237</v>
      </c>
    </row>
    <row r="174" spans="2:61" x14ac:dyDescent="0.2">
      <c r="B174" s="67" t="str">
        <f>IF(Capacity!B67="","",Capacity!B67)</f>
        <v/>
      </c>
      <c r="C174" s="220" t="str">
        <f>IF(B174="","",Capacity!E67)</f>
        <v/>
      </c>
      <c r="D174" s="309" t="str">
        <f>IF(B174="","",Capacity!F67)</f>
        <v/>
      </c>
      <c r="E174" s="220" t="str">
        <f>IF(B174="","",IF(COUNTBLANK(H174:BG174)=52,SUM('Capacity calculation (hide)'!H55:BG55),52-COUNTBLANK(H174:BG174)))</f>
        <v/>
      </c>
      <c r="F174" s="310" t="str">
        <f>'Capacity calculation (hide)'!BI55</f>
        <v/>
      </c>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3"/>
      <c r="AT174" s="363"/>
      <c r="AU174" s="363"/>
      <c r="AV174" s="363"/>
      <c r="AW174" s="363"/>
      <c r="AX174" s="363"/>
      <c r="AY174" s="363"/>
      <c r="AZ174" s="363"/>
      <c r="BA174" s="363"/>
      <c r="BB174" s="363"/>
      <c r="BC174" s="363"/>
      <c r="BD174" s="363"/>
      <c r="BE174" s="363"/>
      <c r="BF174" s="363"/>
      <c r="BG174" s="363"/>
      <c r="BI174" s="343" t="s">
        <v>1237</v>
      </c>
    </row>
    <row r="175" spans="2:61" x14ac:dyDescent="0.2">
      <c r="B175" s="67" t="str">
        <f>IF(Capacity!B68="","",Capacity!B68)</f>
        <v/>
      </c>
      <c r="C175" s="220" t="str">
        <f>IF(B175="","",Capacity!E68)</f>
        <v/>
      </c>
      <c r="D175" s="309" t="str">
        <f>IF(B175="","",Capacity!F68)</f>
        <v/>
      </c>
      <c r="E175" s="220" t="str">
        <f>IF(B175="","",IF(COUNTBLANK(H175:BG175)=52,SUM('Capacity calculation (hide)'!H56:BG56),52-COUNTBLANK(H175:BG175)))</f>
        <v/>
      </c>
      <c r="F175" s="310" t="str">
        <f>'Capacity calculation (hide)'!BI56</f>
        <v/>
      </c>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3"/>
      <c r="AT175" s="363"/>
      <c r="AU175" s="363"/>
      <c r="AV175" s="363"/>
      <c r="AW175" s="363"/>
      <c r="AX175" s="363"/>
      <c r="AY175" s="363"/>
      <c r="AZ175" s="363"/>
      <c r="BA175" s="363"/>
      <c r="BB175" s="363"/>
      <c r="BC175" s="363"/>
      <c r="BD175" s="363"/>
      <c r="BE175" s="363"/>
      <c r="BF175" s="363"/>
      <c r="BG175" s="363"/>
      <c r="BI175" s="343" t="s">
        <v>1237</v>
      </c>
    </row>
    <row r="176" spans="2:61" x14ac:dyDescent="0.2">
      <c r="B176" s="67" t="str">
        <f>IF(Capacity!B69="","",Capacity!B69)</f>
        <v/>
      </c>
      <c r="C176" s="220" t="str">
        <f>IF(B176="","",Capacity!E69)</f>
        <v/>
      </c>
      <c r="D176" s="309" t="str">
        <f>IF(B176="","",Capacity!F69)</f>
        <v/>
      </c>
      <c r="E176" s="220" t="str">
        <f>IF(B176="","",IF(COUNTBLANK(H176:BG176)=52,SUM('Capacity calculation (hide)'!H57:BG57),52-COUNTBLANK(H176:BG176)))</f>
        <v/>
      </c>
      <c r="F176" s="310" t="str">
        <f>'Capacity calculation (hide)'!BI57</f>
        <v/>
      </c>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3"/>
      <c r="AT176" s="363"/>
      <c r="AU176" s="363"/>
      <c r="AV176" s="363"/>
      <c r="AW176" s="363"/>
      <c r="AX176" s="363"/>
      <c r="AY176" s="363"/>
      <c r="AZ176" s="363"/>
      <c r="BA176" s="363"/>
      <c r="BB176" s="363"/>
      <c r="BC176" s="363"/>
      <c r="BD176" s="363"/>
      <c r="BE176" s="363"/>
      <c r="BF176" s="363"/>
      <c r="BG176" s="363"/>
      <c r="BI176" s="343" t="s">
        <v>1237</v>
      </c>
    </row>
    <row r="177" spans="2:61" x14ac:dyDescent="0.2">
      <c r="B177" s="67" t="str">
        <f>IF(Capacity!B70="","",Capacity!B70)</f>
        <v/>
      </c>
      <c r="C177" s="220" t="str">
        <f>IF(B177="","",Capacity!E70)</f>
        <v/>
      </c>
      <c r="D177" s="309" t="str">
        <f>IF(B177="","",Capacity!F70)</f>
        <v/>
      </c>
      <c r="E177" s="220" t="str">
        <f>IF(B177="","",IF(COUNTBLANK(H177:BG177)=52,SUM('Capacity calculation (hide)'!H58:BG58),52-COUNTBLANK(H177:BG177)))</f>
        <v/>
      </c>
      <c r="F177" s="310" t="str">
        <f>'Capacity calculation (hide)'!BI58</f>
        <v/>
      </c>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3"/>
      <c r="AT177" s="363"/>
      <c r="AU177" s="363"/>
      <c r="AV177" s="363"/>
      <c r="AW177" s="363"/>
      <c r="AX177" s="363"/>
      <c r="AY177" s="363"/>
      <c r="AZ177" s="363"/>
      <c r="BA177" s="363"/>
      <c r="BB177" s="363"/>
      <c r="BC177" s="363"/>
      <c r="BD177" s="363"/>
      <c r="BE177" s="363"/>
      <c r="BF177" s="363"/>
      <c r="BG177" s="363"/>
      <c r="BI177" s="343" t="s">
        <v>1237</v>
      </c>
    </row>
    <row r="178" spans="2:61" x14ac:dyDescent="0.2">
      <c r="B178" s="67" t="str">
        <f>IF(Capacity!B71="","",Capacity!B71)</f>
        <v/>
      </c>
      <c r="C178" s="220" t="str">
        <f>IF(B178="","",Capacity!E71)</f>
        <v/>
      </c>
      <c r="D178" s="309" t="str">
        <f>IF(B178="","",Capacity!F71)</f>
        <v/>
      </c>
      <c r="E178" s="220" t="str">
        <f>IF(B178="","",IF(COUNTBLANK(H178:BG178)=52,SUM('Capacity calculation (hide)'!H59:BG59),52-COUNTBLANK(H178:BG178)))</f>
        <v/>
      </c>
      <c r="F178" s="310" t="str">
        <f>'Capacity calculation (hide)'!BI59</f>
        <v/>
      </c>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3"/>
      <c r="AT178" s="363"/>
      <c r="AU178" s="363"/>
      <c r="AV178" s="363"/>
      <c r="AW178" s="363"/>
      <c r="AX178" s="363"/>
      <c r="AY178" s="363"/>
      <c r="AZ178" s="363"/>
      <c r="BA178" s="363"/>
      <c r="BB178" s="363"/>
      <c r="BC178" s="363"/>
      <c r="BD178" s="363"/>
      <c r="BE178" s="363"/>
      <c r="BF178" s="363"/>
      <c r="BG178" s="363"/>
      <c r="BI178" s="343" t="s">
        <v>1237</v>
      </c>
    </row>
    <row r="179" spans="2:61" x14ac:dyDescent="0.2">
      <c r="B179" s="67" t="str">
        <f>IF(Capacity!B72="","",Capacity!B72)</f>
        <v/>
      </c>
      <c r="C179" s="220" t="str">
        <f>IF(B179="","",Capacity!E72)</f>
        <v/>
      </c>
      <c r="D179" s="309" t="str">
        <f>IF(B179="","",Capacity!F72)</f>
        <v/>
      </c>
      <c r="E179" s="220" t="str">
        <f>IF(B179="","",IF(COUNTBLANK(H179:BG179)=52,SUM('Capacity calculation (hide)'!H60:BG60),52-COUNTBLANK(H179:BG179)))</f>
        <v/>
      </c>
      <c r="F179" s="310" t="str">
        <f>'Capacity calculation (hide)'!BI60</f>
        <v/>
      </c>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I179" s="343" t="s">
        <v>1237</v>
      </c>
    </row>
    <row r="180" spans="2:61" x14ac:dyDescent="0.2">
      <c r="B180" s="67" t="str">
        <f>IF(Capacity!B73="","",Capacity!B73)</f>
        <v/>
      </c>
      <c r="C180" s="220" t="str">
        <f>IF(B180="","",Capacity!E73)</f>
        <v/>
      </c>
      <c r="D180" s="309" t="str">
        <f>IF(B180="","",Capacity!F73)</f>
        <v/>
      </c>
      <c r="E180" s="220" t="str">
        <f>IF(B180="","",IF(COUNTBLANK(H180:BG180)=52,SUM('Capacity calculation (hide)'!H61:BG61),52-COUNTBLANK(H180:BG180)))</f>
        <v/>
      </c>
      <c r="F180" s="310" t="str">
        <f>'Capacity calculation (hide)'!BI61</f>
        <v/>
      </c>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3"/>
      <c r="AT180" s="363"/>
      <c r="AU180" s="363"/>
      <c r="AV180" s="363"/>
      <c r="AW180" s="363"/>
      <c r="AX180" s="363"/>
      <c r="AY180" s="363"/>
      <c r="AZ180" s="363"/>
      <c r="BA180" s="363"/>
      <c r="BB180" s="363"/>
      <c r="BC180" s="363"/>
      <c r="BD180" s="363"/>
      <c r="BE180" s="363"/>
      <c r="BF180" s="363"/>
      <c r="BG180" s="363"/>
      <c r="BI180" s="343" t="s">
        <v>1237</v>
      </c>
    </row>
    <row r="181" spans="2:61" x14ac:dyDescent="0.2">
      <c r="B181" s="67" t="str">
        <f>IF(Capacity!B74="","",Capacity!B74)</f>
        <v/>
      </c>
      <c r="C181" s="220" t="str">
        <f>IF(B181="","",Capacity!E74)</f>
        <v/>
      </c>
      <c r="D181" s="309" t="str">
        <f>IF(B181="","",Capacity!F74)</f>
        <v/>
      </c>
      <c r="E181" s="220" t="str">
        <f>IF(B181="","",IF(COUNTBLANK(H181:BG181)=52,SUM('Capacity calculation (hide)'!H62:BG62),52-COUNTBLANK(H181:BG181)))</f>
        <v/>
      </c>
      <c r="F181" s="310" t="str">
        <f>'Capacity calculation (hide)'!BI62</f>
        <v/>
      </c>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3"/>
      <c r="AT181" s="363"/>
      <c r="AU181" s="363"/>
      <c r="AV181" s="363"/>
      <c r="AW181" s="363"/>
      <c r="AX181" s="363"/>
      <c r="AY181" s="363"/>
      <c r="AZ181" s="363"/>
      <c r="BA181" s="363"/>
      <c r="BB181" s="363"/>
      <c r="BC181" s="363"/>
      <c r="BD181" s="363"/>
      <c r="BE181" s="363"/>
      <c r="BF181" s="363"/>
      <c r="BG181" s="363"/>
      <c r="BI181" s="343" t="s">
        <v>1237</v>
      </c>
    </row>
    <row r="182" spans="2:61" x14ac:dyDescent="0.2">
      <c r="B182" s="67" t="str">
        <f>IF(Capacity!B75="","",Capacity!B75)</f>
        <v/>
      </c>
      <c r="C182" s="220" t="str">
        <f>IF(B182="","",Capacity!E75)</f>
        <v/>
      </c>
      <c r="D182" s="309" t="str">
        <f>IF(B182="","",Capacity!F75)</f>
        <v/>
      </c>
      <c r="E182" s="220" t="str">
        <f>IF(B182="","",IF(COUNTBLANK(H182:BG182)=52,SUM('Capacity calculation (hide)'!H63:BG63),52-COUNTBLANK(H182:BG182)))</f>
        <v/>
      </c>
      <c r="F182" s="310" t="str">
        <f>'Capacity calculation (hide)'!BI63</f>
        <v/>
      </c>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3"/>
      <c r="AT182" s="363"/>
      <c r="AU182" s="363"/>
      <c r="AV182" s="363"/>
      <c r="AW182" s="363"/>
      <c r="AX182" s="363"/>
      <c r="AY182" s="363"/>
      <c r="AZ182" s="363"/>
      <c r="BA182" s="363"/>
      <c r="BB182" s="363"/>
      <c r="BC182" s="363"/>
      <c r="BD182" s="363"/>
      <c r="BE182" s="363"/>
      <c r="BF182" s="363"/>
      <c r="BG182" s="363"/>
      <c r="BI182" s="343" t="s">
        <v>1237</v>
      </c>
    </row>
    <row r="183" spans="2:61" x14ac:dyDescent="0.2">
      <c r="B183" s="67" t="str">
        <f>IF(Capacity!B76="","",Capacity!B76)</f>
        <v/>
      </c>
      <c r="C183" s="220" t="str">
        <f>IF(B183="","",Capacity!E76)</f>
        <v/>
      </c>
      <c r="D183" s="309" t="str">
        <f>IF(B183="","",Capacity!F76)</f>
        <v/>
      </c>
      <c r="E183" s="220" t="str">
        <f>IF(B183="","",IF(COUNTBLANK(H183:BG183)=52,SUM('Capacity calculation (hide)'!H64:BG64),52-COUNTBLANK(H183:BG183)))</f>
        <v/>
      </c>
      <c r="F183" s="310" t="str">
        <f>'Capacity calculation (hide)'!BI64</f>
        <v/>
      </c>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3"/>
      <c r="AT183" s="363"/>
      <c r="AU183" s="363"/>
      <c r="AV183" s="363"/>
      <c r="AW183" s="363"/>
      <c r="AX183" s="363"/>
      <c r="AY183" s="363"/>
      <c r="AZ183" s="363"/>
      <c r="BA183" s="363"/>
      <c r="BB183" s="363"/>
      <c r="BC183" s="363"/>
      <c r="BD183" s="363"/>
      <c r="BE183" s="363"/>
      <c r="BF183" s="363"/>
      <c r="BG183" s="363"/>
      <c r="BI183" s="343" t="s">
        <v>1237</v>
      </c>
    </row>
    <row r="184" spans="2:61" x14ac:dyDescent="0.2">
      <c r="B184" s="67" t="str">
        <f>IF(Capacity!B77="","",Capacity!B77)</f>
        <v/>
      </c>
      <c r="C184" s="220" t="str">
        <f>IF(B184="","",Capacity!E77)</f>
        <v/>
      </c>
      <c r="D184" s="309" t="str">
        <f>IF(B184="","",Capacity!F77)</f>
        <v/>
      </c>
      <c r="E184" s="220" t="str">
        <f>IF(B184="","",IF(COUNTBLANK(H184:BG184)=52,SUM('Capacity calculation (hide)'!H65:BG65),52-COUNTBLANK(H184:BG184)))</f>
        <v/>
      </c>
      <c r="F184" s="310" t="str">
        <f>'Capacity calculation (hide)'!BI65</f>
        <v/>
      </c>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3"/>
      <c r="AT184" s="363"/>
      <c r="AU184" s="363"/>
      <c r="AV184" s="363"/>
      <c r="AW184" s="363"/>
      <c r="AX184" s="363"/>
      <c r="AY184" s="363"/>
      <c r="AZ184" s="363"/>
      <c r="BA184" s="363"/>
      <c r="BB184" s="363"/>
      <c r="BC184" s="363"/>
      <c r="BD184" s="363"/>
      <c r="BE184" s="363"/>
      <c r="BF184" s="363"/>
      <c r="BG184" s="363"/>
      <c r="BI184" s="343" t="s">
        <v>1237</v>
      </c>
    </row>
    <row r="185" spans="2:61" x14ac:dyDescent="0.2">
      <c r="B185" s="67" t="str">
        <f>IF(Capacity!B78="","",Capacity!B78)</f>
        <v/>
      </c>
      <c r="C185" s="220" t="str">
        <f>IF(B185="","",Capacity!E78)</f>
        <v/>
      </c>
      <c r="D185" s="309" t="str">
        <f>IF(B185="","",Capacity!F78)</f>
        <v/>
      </c>
      <c r="E185" s="220" t="str">
        <f>IF(B185="","",IF(COUNTBLANK(H185:BG185)=52,SUM('Capacity calculation (hide)'!H66:BG66),52-COUNTBLANK(H185:BG185)))</f>
        <v/>
      </c>
      <c r="F185" s="310" t="str">
        <f>'Capacity calculation (hide)'!BI66</f>
        <v/>
      </c>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3"/>
      <c r="AT185" s="363"/>
      <c r="AU185" s="363"/>
      <c r="AV185" s="363"/>
      <c r="AW185" s="363"/>
      <c r="AX185" s="363"/>
      <c r="AY185" s="363"/>
      <c r="AZ185" s="363"/>
      <c r="BA185" s="363"/>
      <c r="BB185" s="363"/>
      <c r="BC185" s="363"/>
      <c r="BD185" s="363"/>
      <c r="BE185" s="363"/>
      <c r="BF185" s="363"/>
      <c r="BG185" s="363"/>
      <c r="BI185" s="343" t="s">
        <v>1237</v>
      </c>
    </row>
    <row r="186" spans="2:61" x14ac:dyDescent="0.2">
      <c r="B186" s="67" t="str">
        <f>IF(Capacity!B79="","",Capacity!B79)</f>
        <v/>
      </c>
      <c r="C186" s="220" t="str">
        <f>IF(B186="","",Capacity!E79)</f>
        <v/>
      </c>
      <c r="D186" s="309" t="str">
        <f>IF(B186="","",Capacity!F79)</f>
        <v/>
      </c>
      <c r="E186" s="220" t="str">
        <f>IF(B186="","",IF(COUNTBLANK(H186:BG186)=52,SUM('Capacity calculation (hide)'!H67:BG67),52-COUNTBLANK(H186:BG186)))</f>
        <v/>
      </c>
      <c r="F186" s="310" t="str">
        <f>'Capacity calculation (hide)'!BI67</f>
        <v/>
      </c>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3"/>
      <c r="AT186" s="363"/>
      <c r="AU186" s="363"/>
      <c r="AV186" s="363"/>
      <c r="AW186" s="363"/>
      <c r="AX186" s="363"/>
      <c r="AY186" s="363"/>
      <c r="AZ186" s="363"/>
      <c r="BA186" s="363"/>
      <c r="BB186" s="363"/>
      <c r="BC186" s="363"/>
      <c r="BD186" s="363"/>
      <c r="BE186" s="363"/>
      <c r="BF186" s="363"/>
      <c r="BG186" s="363"/>
      <c r="BI186" s="343" t="s">
        <v>1237</v>
      </c>
    </row>
    <row r="187" spans="2:61" x14ac:dyDescent="0.2">
      <c r="B187" s="67" t="str">
        <f>IF(Capacity!B80="","",Capacity!B80)</f>
        <v/>
      </c>
      <c r="C187" s="220" t="str">
        <f>IF(B187="","",Capacity!E80)</f>
        <v/>
      </c>
      <c r="D187" s="309" t="str">
        <f>IF(B187="","",Capacity!F80)</f>
        <v/>
      </c>
      <c r="E187" s="220" t="str">
        <f>IF(B187="","",IF(COUNTBLANK(H187:BG187)=52,SUM('Capacity calculation (hide)'!H68:BG68),52-COUNTBLANK(H187:BG187)))</f>
        <v/>
      </c>
      <c r="F187" s="310" t="str">
        <f>'Capacity calculation (hide)'!BI68</f>
        <v/>
      </c>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3"/>
      <c r="AT187" s="363"/>
      <c r="AU187" s="363"/>
      <c r="AV187" s="363"/>
      <c r="AW187" s="363"/>
      <c r="AX187" s="363"/>
      <c r="AY187" s="363"/>
      <c r="AZ187" s="363"/>
      <c r="BA187" s="363"/>
      <c r="BB187" s="363"/>
      <c r="BC187" s="363"/>
      <c r="BD187" s="363"/>
      <c r="BE187" s="363"/>
      <c r="BF187" s="363"/>
      <c r="BG187" s="363"/>
      <c r="BI187" s="343" t="s">
        <v>1237</v>
      </c>
    </row>
    <row r="188" spans="2:61" x14ac:dyDescent="0.2">
      <c r="B188" s="67" t="str">
        <f>IF(Capacity!B81="","",Capacity!B81)</f>
        <v/>
      </c>
      <c r="C188" s="220" t="str">
        <f>IF(B188="","",Capacity!E81)</f>
        <v/>
      </c>
      <c r="D188" s="309" t="str">
        <f>IF(B188="","",Capacity!F81)</f>
        <v/>
      </c>
      <c r="E188" s="220" t="str">
        <f>IF(B188="","",IF(COUNTBLANK(H188:BG188)=52,SUM('Capacity calculation (hide)'!H69:BG69),52-COUNTBLANK(H188:BG188)))</f>
        <v/>
      </c>
      <c r="F188" s="310" t="str">
        <f>'Capacity calculation (hide)'!BI69</f>
        <v/>
      </c>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3"/>
      <c r="AT188" s="363"/>
      <c r="AU188" s="363"/>
      <c r="AV188" s="363"/>
      <c r="AW188" s="363"/>
      <c r="AX188" s="363"/>
      <c r="AY188" s="363"/>
      <c r="AZ188" s="363"/>
      <c r="BA188" s="363"/>
      <c r="BB188" s="363"/>
      <c r="BC188" s="363"/>
      <c r="BD188" s="363"/>
      <c r="BE188" s="363"/>
      <c r="BF188" s="363"/>
      <c r="BG188" s="363"/>
      <c r="BI188" s="343" t="s">
        <v>1237</v>
      </c>
    </row>
    <row r="189" spans="2:61" x14ac:dyDescent="0.2">
      <c r="B189" s="67" t="str">
        <f>IF(Capacity!B82="","",Capacity!B82)</f>
        <v/>
      </c>
      <c r="C189" s="220" t="str">
        <f>IF(B189="","",Capacity!E82)</f>
        <v/>
      </c>
      <c r="D189" s="309" t="str">
        <f>IF(B189="","",Capacity!F82)</f>
        <v/>
      </c>
      <c r="E189" s="220" t="str">
        <f>IF(B189="","",IF(COUNTBLANK(H189:BG189)=52,SUM('Capacity calculation (hide)'!H70:BG70),52-COUNTBLANK(H189:BG189)))</f>
        <v/>
      </c>
      <c r="F189" s="310" t="str">
        <f>'Capacity calculation (hide)'!BI70</f>
        <v/>
      </c>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3"/>
      <c r="AT189" s="363"/>
      <c r="AU189" s="363"/>
      <c r="AV189" s="363"/>
      <c r="AW189" s="363"/>
      <c r="AX189" s="363"/>
      <c r="AY189" s="363"/>
      <c r="AZ189" s="363"/>
      <c r="BA189" s="363"/>
      <c r="BB189" s="363"/>
      <c r="BC189" s="363"/>
      <c r="BD189" s="363"/>
      <c r="BE189" s="363"/>
      <c r="BF189" s="363"/>
      <c r="BG189" s="363"/>
      <c r="BI189" s="343" t="s">
        <v>1237</v>
      </c>
    </row>
    <row r="190" spans="2:61" x14ac:dyDescent="0.2">
      <c r="B190" s="67" t="str">
        <f>IF(Capacity!B83="","",Capacity!B83)</f>
        <v/>
      </c>
      <c r="C190" s="220" t="str">
        <f>IF(B190="","",Capacity!E83)</f>
        <v/>
      </c>
      <c r="D190" s="309" t="str">
        <f>IF(B190="","",Capacity!F83)</f>
        <v/>
      </c>
      <c r="E190" s="220" t="str">
        <f>IF(B190="","",IF(COUNTBLANK(H190:BG190)=52,SUM('Capacity calculation (hide)'!H71:BG71),52-COUNTBLANK(H190:BG190)))</f>
        <v/>
      </c>
      <c r="F190" s="310" t="str">
        <f>'Capacity calculation (hide)'!BI71</f>
        <v/>
      </c>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3"/>
      <c r="AT190" s="363"/>
      <c r="AU190" s="363"/>
      <c r="AV190" s="363"/>
      <c r="AW190" s="363"/>
      <c r="AX190" s="363"/>
      <c r="AY190" s="363"/>
      <c r="AZ190" s="363"/>
      <c r="BA190" s="363"/>
      <c r="BB190" s="363"/>
      <c r="BC190" s="363"/>
      <c r="BD190" s="363"/>
      <c r="BE190" s="363"/>
      <c r="BF190" s="363"/>
      <c r="BG190" s="363"/>
      <c r="BI190" s="343" t="s">
        <v>1237</v>
      </c>
    </row>
    <row r="191" spans="2:61" x14ac:dyDescent="0.2">
      <c r="B191" s="67" t="str">
        <f>IF(Capacity!B84="","",Capacity!B84)</f>
        <v/>
      </c>
      <c r="C191" s="220" t="str">
        <f>IF(B191="","",Capacity!E84)</f>
        <v/>
      </c>
      <c r="D191" s="309" t="str">
        <f>IF(B191="","",Capacity!F84)</f>
        <v/>
      </c>
      <c r="E191" s="220" t="str">
        <f>IF(B191="","",IF(COUNTBLANK(H191:BG191)=52,SUM('Capacity calculation (hide)'!H72:BG72),52-COUNTBLANK(H191:BG191)))</f>
        <v/>
      </c>
      <c r="F191" s="310" t="str">
        <f>'Capacity calculation (hide)'!BI72</f>
        <v/>
      </c>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3"/>
      <c r="AT191" s="363"/>
      <c r="AU191" s="363"/>
      <c r="AV191" s="363"/>
      <c r="AW191" s="363"/>
      <c r="AX191" s="363"/>
      <c r="AY191" s="363"/>
      <c r="AZ191" s="363"/>
      <c r="BA191" s="363"/>
      <c r="BB191" s="363"/>
      <c r="BC191" s="363"/>
      <c r="BD191" s="363"/>
      <c r="BE191" s="363"/>
      <c r="BF191" s="363"/>
      <c r="BG191" s="363"/>
      <c r="BI191" s="343" t="s">
        <v>1237</v>
      </c>
    </row>
    <row r="192" spans="2:61" x14ac:dyDescent="0.2">
      <c r="B192" s="67" t="str">
        <f>IF(Capacity!B85="","",Capacity!B85)</f>
        <v/>
      </c>
      <c r="C192" s="220" t="str">
        <f>IF(B192="","",Capacity!E85)</f>
        <v/>
      </c>
      <c r="D192" s="309" t="str">
        <f>IF(B192="","",Capacity!F85)</f>
        <v/>
      </c>
      <c r="E192" s="220" t="str">
        <f>IF(B192="","",IF(COUNTBLANK(H192:BG192)=52,SUM('Capacity calculation (hide)'!H73:BG73),52-COUNTBLANK(H192:BG192)))</f>
        <v/>
      </c>
      <c r="F192" s="310" t="str">
        <f>'Capacity calculation (hide)'!BI73</f>
        <v/>
      </c>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3"/>
      <c r="AT192" s="363"/>
      <c r="AU192" s="363"/>
      <c r="AV192" s="363"/>
      <c r="AW192" s="363"/>
      <c r="AX192" s="363"/>
      <c r="AY192" s="363"/>
      <c r="AZ192" s="363"/>
      <c r="BA192" s="363"/>
      <c r="BB192" s="363"/>
      <c r="BC192" s="363"/>
      <c r="BD192" s="363"/>
      <c r="BE192" s="363"/>
      <c r="BF192" s="363"/>
      <c r="BG192" s="363"/>
      <c r="BI192" s="343" t="s">
        <v>1237</v>
      </c>
    </row>
    <row r="193" spans="2:61" x14ac:dyDescent="0.2">
      <c r="B193" s="67" t="str">
        <f>IF(Capacity!B86="","",Capacity!B86)</f>
        <v/>
      </c>
      <c r="C193" s="220" t="str">
        <f>IF(B193="","",Capacity!E86)</f>
        <v/>
      </c>
      <c r="D193" s="309" t="str">
        <f>IF(B193="","",Capacity!F86)</f>
        <v/>
      </c>
      <c r="E193" s="220" t="str">
        <f>IF(B193="","",IF(COUNTBLANK(H193:BG193)=52,SUM('Capacity calculation (hide)'!H74:BG74),52-COUNTBLANK(H193:BG193)))</f>
        <v/>
      </c>
      <c r="F193" s="310" t="str">
        <f>'Capacity calculation (hide)'!BI74</f>
        <v/>
      </c>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3"/>
      <c r="AT193" s="363"/>
      <c r="AU193" s="363"/>
      <c r="AV193" s="363"/>
      <c r="AW193" s="363"/>
      <c r="AX193" s="363"/>
      <c r="AY193" s="363"/>
      <c r="AZ193" s="363"/>
      <c r="BA193" s="363"/>
      <c r="BB193" s="363"/>
      <c r="BC193" s="363"/>
      <c r="BD193" s="363"/>
      <c r="BE193" s="363"/>
      <c r="BF193" s="363"/>
      <c r="BG193" s="363"/>
      <c r="BI193" s="343" t="s">
        <v>1237</v>
      </c>
    </row>
    <row r="194" spans="2:61" x14ac:dyDescent="0.2">
      <c r="B194" s="67" t="str">
        <f>IF(Capacity!B87="","",Capacity!B87)</f>
        <v/>
      </c>
      <c r="C194" s="220" t="str">
        <f>IF(B194="","",Capacity!E87)</f>
        <v/>
      </c>
      <c r="D194" s="309" t="str">
        <f>IF(B194="","",Capacity!F87)</f>
        <v/>
      </c>
      <c r="E194" s="220" t="str">
        <f>IF(B194="","",IF(COUNTBLANK(H194:BG194)=52,SUM('Capacity calculation (hide)'!H75:BG75),52-COUNTBLANK(H194:BG194)))</f>
        <v/>
      </c>
      <c r="F194" s="310" t="str">
        <f>'Capacity calculation (hide)'!BI75</f>
        <v/>
      </c>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3"/>
      <c r="AT194" s="363"/>
      <c r="AU194" s="363"/>
      <c r="AV194" s="363"/>
      <c r="AW194" s="363"/>
      <c r="AX194" s="363"/>
      <c r="AY194" s="363"/>
      <c r="AZ194" s="363"/>
      <c r="BA194" s="363"/>
      <c r="BB194" s="363"/>
      <c r="BC194" s="363"/>
      <c r="BD194" s="363"/>
      <c r="BE194" s="363"/>
      <c r="BF194" s="363"/>
      <c r="BG194" s="363"/>
      <c r="BI194" s="343" t="s">
        <v>1237</v>
      </c>
    </row>
    <row r="195" spans="2:61" x14ac:dyDescent="0.2">
      <c r="B195" s="67" t="str">
        <f>IF(Capacity!B88="","",Capacity!B88)</f>
        <v/>
      </c>
      <c r="C195" s="220" t="str">
        <f>IF(B195="","",Capacity!E88)</f>
        <v/>
      </c>
      <c r="D195" s="309" t="str">
        <f>IF(B195="","",Capacity!F88)</f>
        <v/>
      </c>
      <c r="E195" s="220" t="str">
        <f>IF(B195="","",IF(COUNTBLANK(H195:BG195)=52,SUM('Capacity calculation (hide)'!H76:BG76),52-COUNTBLANK(H195:BG195)))</f>
        <v/>
      </c>
      <c r="F195" s="310" t="str">
        <f>'Capacity calculation (hide)'!BI76</f>
        <v/>
      </c>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3"/>
      <c r="AT195" s="363"/>
      <c r="AU195" s="363"/>
      <c r="AV195" s="363"/>
      <c r="AW195" s="363"/>
      <c r="AX195" s="363"/>
      <c r="AY195" s="363"/>
      <c r="AZ195" s="363"/>
      <c r="BA195" s="363"/>
      <c r="BB195" s="363"/>
      <c r="BC195" s="363"/>
      <c r="BD195" s="363"/>
      <c r="BE195" s="363"/>
      <c r="BF195" s="363"/>
      <c r="BG195" s="363"/>
      <c r="BI195" s="343" t="s">
        <v>1237</v>
      </c>
    </row>
    <row r="196" spans="2:61" x14ac:dyDescent="0.2">
      <c r="B196" s="67" t="str">
        <f>IF(Capacity!B89="","",Capacity!B89)</f>
        <v/>
      </c>
      <c r="C196" s="220" t="str">
        <f>IF(B196="","",Capacity!E89)</f>
        <v/>
      </c>
      <c r="D196" s="309" t="str">
        <f>IF(B196="","",Capacity!F89)</f>
        <v/>
      </c>
      <c r="E196" s="220" t="str">
        <f>IF(B196="","",IF(COUNTBLANK(H196:BG196)=52,SUM('Capacity calculation (hide)'!H77:BG77),52-COUNTBLANK(H196:BG196)))</f>
        <v/>
      </c>
      <c r="F196" s="310" t="str">
        <f>'Capacity calculation (hide)'!BI77</f>
        <v/>
      </c>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3"/>
      <c r="AT196" s="363"/>
      <c r="AU196" s="363"/>
      <c r="AV196" s="363"/>
      <c r="AW196" s="363"/>
      <c r="AX196" s="363"/>
      <c r="AY196" s="363"/>
      <c r="AZ196" s="363"/>
      <c r="BA196" s="363"/>
      <c r="BB196" s="363"/>
      <c r="BC196" s="363"/>
      <c r="BD196" s="363"/>
      <c r="BE196" s="363"/>
      <c r="BF196" s="363"/>
      <c r="BG196" s="363"/>
      <c r="BI196" s="343" t="s">
        <v>1237</v>
      </c>
    </row>
    <row r="197" spans="2:61" x14ac:dyDescent="0.2">
      <c r="B197" s="67" t="str">
        <f>IF(Capacity!B90="","",Capacity!B90)</f>
        <v/>
      </c>
      <c r="C197" s="220" t="str">
        <f>IF(B197="","",Capacity!E90)</f>
        <v/>
      </c>
      <c r="D197" s="309" t="str">
        <f>IF(B197="","",Capacity!F90)</f>
        <v/>
      </c>
      <c r="E197" s="220" t="str">
        <f>IF(B197="","",IF(COUNTBLANK(H197:BG197)=52,SUM('Capacity calculation (hide)'!H78:BG78),52-COUNTBLANK(H197:BG197)))</f>
        <v/>
      </c>
      <c r="F197" s="310" t="str">
        <f>'Capacity calculation (hide)'!BI78</f>
        <v/>
      </c>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3"/>
      <c r="AT197" s="363"/>
      <c r="AU197" s="363"/>
      <c r="AV197" s="363"/>
      <c r="AW197" s="363"/>
      <c r="AX197" s="363"/>
      <c r="AY197" s="363"/>
      <c r="AZ197" s="363"/>
      <c r="BA197" s="363"/>
      <c r="BB197" s="363"/>
      <c r="BC197" s="363"/>
      <c r="BD197" s="363"/>
      <c r="BE197" s="363"/>
      <c r="BF197" s="363"/>
      <c r="BG197" s="363"/>
      <c r="BI197" s="343" t="s">
        <v>1237</v>
      </c>
    </row>
    <row r="198" spans="2:61" x14ac:dyDescent="0.2">
      <c r="B198" s="67" t="str">
        <f>IF(Capacity!B91="","",Capacity!B91)</f>
        <v/>
      </c>
      <c r="C198" s="220" t="str">
        <f>IF(B198="","",Capacity!E91)</f>
        <v/>
      </c>
      <c r="D198" s="309" t="str">
        <f>IF(B198="","",Capacity!F91)</f>
        <v/>
      </c>
      <c r="E198" s="220" t="str">
        <f>IF(B198="","",IF(COUNTBLANK(H198:BG198)=52,SUM('Capacity calculation (hide)'!H79:BG79),52-COUNTBLANK(H198:BG198)))</f>
        <v/>
      </c>
      <c r="F198" s="310" t="str">
        <f>'Capacity calculation (hide)'!BI79</f>
        <v/>
      </c>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3"/>
      <c r="AT198" s="363"/>
      <c r="AU198" s="363"/>
      <c r="AV198" s="363"/>
      <c r="AW198" s="363"/>
      <c r="AX198" s="363"/>
      <c r="AY198" s="363"/>
      <c r="AZ198" s="363"/>
      <c r="BA198" s="363"/>
      <c r="BB198" s="363"/>
      <c r="BC198" s="363"/>
      <c r="BD198" s="363"/>
      <c r="BE198" s="363"/>
      <c r="BF198" s="363"/>
      <c r="BG198" s="363"/>
      <c r="BI198" s="343" t="s">
        <v>1237</v>
      </c>
    </row>
    <row r="199" spans="2:61" x14ac:dyDescent="0.2">
      <c r="B199" s="67" t="str">
        <f>IF(Capacity!B92="","",Capacity!B92)</f>
        <v/>
      </c>
      <c r="C199" s="220" t="str">
        <f>IF(B199="","",Capacity!E92)</f>
        <v/>
      </c>
      <c r="D199" s="309" t="str">
        <f>IF(B199="","",Capacity!F92)</f>
        <v/>
      </c>
      <c r="E199" s="220" t="str">
        <f>IF(B199="","",IF(COUNTBLANK(H199:BG199)=52,SUM('Capacity calculation (hide)'!H80:BG80),52-COUNTBLANK(H199:BG199)))</f>
        <v/>
      </c>
      <c r="F199" s="310" t="str">
        <f>'Capacity calculation (hide)'!BI80</f>
        <v/>
      </c>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3"/>
      <c r="AT199" s="363"/>
      <c r="AU199" s="363"/>
      <c r="AV199" s="363"/>
      <c r="AW199" s="363"/>
      <c r="AX199" s="363"/>
      <c r="AY199" s="363"/>
      <c r="AZ199" s="363"/>
      <c r="BA199" s="363"/>
      <c r="BB199" s="363"/>
      <c r="BC199" s="363"/>
      <c r="BD199" s="363"/>
      <c r="BE199" s="363"/>
      <c r="BF199" s="363"/>
      <c r="BG199" s="363"/>
      <c r="BI199" s="343" t="s">
        <v>1237</v>
      </c>
    </row>
    <row r="200" spans="2:61" x14ac:dyDescent="0.2">
      <c r="B200" s="67" t="str">
        <f>IF(Capacity!B93="","",Capacity!B93)</f>
        <v/>
      </c>
      <c r="C200" s="220" t="str">
        <f>IF(B200="","",Capacity!E93)</f>
        <v/>
      </c>
      <c r="D200" s="309" t="str">
        <f>IF(B200="","",Capacity!F93)</f>
        <v/>
      </c>
      <c r="E200" s="220" t="str">
        <f>IF(B200="","",IF(COUNTBLANK(H200:BG200)=52,SUM('Capacity calculation (hide)'!H81:BG81),52-COUNTBLANK(H200:BG200)))</f>
        <v/>
      </c>
      <c r="F200" s="310" t="str">
        <f>'Capacity calculation (hide)'!BI81</f>
        <v/>
      </c>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3"/>
      <c r="AT200" s="363"/>
      <c r="AU200" s="363"/>
      <c r="AV200" s="363"/>
      <c r="AW200" s="363"/>
      <c r="AX200" s="363"/>
      <c r="AY200" s="363"/>
      <c r="AZ200" s="363"/>
      <c r="BA200" s="363"/>
      <c r="BB200" s="363"/>
      <c r="BC200" s="363"/>
      <c r="BD200" s="363"/>
      <c r="BE200" s="363"/>
      <c r="BF200" s="363"/>
      <c r="BG200" s="363"/>
      <c r="BI200" s="343" t="s">
        <v>1237</v>
      </c>
    </row>
    <row r="201" spans="2:61" x14ac:dyDescent="0.2">
      <c r="B201" s="67" t="str">
        <f>IF(Capacity!B94="","",Capacity!B94)</f>
        <v/>
      </c>
      <c r="C201" s="220" t="str">
        <f>IF(B201="","",Capacity!E94)</f>
        <v/>
      </c>
      <c r="D201" s="309" t="str">
        <f>IF(B201="","",Capacity!F94)</f>
        <v/>
      </c>
      <c r="E201" s="220" t="str">
        <f>IF(B201="","",IF(COUNTBLANK(H201:BG201)=52,SUM('Capacity calculation (hide)'!H82:BG82),52-COUNTBLANK(H201:BG201)))</f>
        <v/>
      </c>
      <c r="F201" s="310" t="str">
        <f>'Capacity calculation (hide)'!BI82</f>
        <v/>
      </c>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I201" s="343" t="s">
        <v>1237</v>
      </c>
    </row>
    <row r="202" spans="2:61" x14ac:dyDescent="0.2">
      <c r="B202" s="67" t="str">
        <f>IF(Capacity!B95="","",Capacity!B95)</f>
        <v/>
      </c>
      <c r="C202" s="220" t="str">
        <f>IF(B202="","",Capacity!E95)</f>
        <v/>
      </c>
      <c r="D202" s="309" t="str">
        <f>IF(B202="","",Capacity!F95)</f>
        <v/>
      </c>
      <c r="E202" s="220" t="str">
        <f>IF(B202="","",IF(COUNTBLANK(H202:BG202)=52,SUM('Capacity calculation (hide)'!H83:BG83),52-COUNTBLANK(H202:BG202)))</f>
        <v/>
      </c>
      <c r="F202" s="310" t="str">
        <f>'Capacity calculation (hide)'!BI83</f>
        <v/>
      </c>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3"/>
      <c r="AT202" s="363"/>
      <c r="AU202" s="363"/>
      <c r="AV202" s="363"/>
      <c r="AW202" s="363"/>
      <c r="AX202" s="363"/>
      <c r="AY202" s="363"/>
      <c r="AZ202" s="363"/>
      <c r="BA202" s="363"/>
      <c r="BB202" s="363"/>
      <c r="BC202" s="363"/>
      <c r="BD202" s="363"/>
      <c r="BE202" s="363"/>
      <c r="BF202" s="363"/>
      <c r="BG202" s="363"/>
      <c r="BI202" s="343" t="s">
        <v>1237</v>
      </c>
    </row>
    <row r="203" spans="2:61" x14ac:dyDescent="0.2">
      <c r="B203" s="67" t="str">
        <f>IF(Capacity!B96="","",Capacity!B96)</f>
        <v/>
      </c>
      <c r="C203" s="220" t="str">
        <f>IF(B203="","",Capacity!E96)</f>
        <v/>
      </c>
      <c r="D203" s="309" t="str">
        <f>IF(B203="","",Capacity!F96)</f>
        <v/>
      </c>
      <c r="E203" s="220" t="str">
        <f>IF(B203="","",IF(COUNTBLANK(H203:BG203)=52,SUM('Capacity calculation (hide)'!H84:BG84),52-COUNTBLANK(H203:BG203)))</f>
        <v/>
      </c>
      <c r="F203" s="310" t="str">
        <f>'Capacity calculation (hide)'!BI84</f>
        <v/>
      </c>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3"/>
      <c r="AT203" s="363"/>
      <c r="AU203" s="363"/>
      <c r="AV203" s="363"/>
      <c r="AW203" s="363"/>
      <c r="AX203" s="363"/>
      <c r="AY203" s="363"/>
      <c r="AZ203" s="363"/>
      <c r="BA203" s="363"/>
      <c r="BB203" s="363"/>
      <c r="BC203" s="363"/>
      <c r="BD203" s="363"/>
      <c r="BE203" s="363"/>
      <c r="BF203" s="363"/>
      <c r="BG203" s="363"/>
      <c r="BI203" s="343" t="s">
        <v>1237</v>
      </c>
    </row>
    <row r="204" spans="2:61" x14ac:dyDescent="0.2">
      <c r="B204" s="67" t="str">
        <f>IF(Capacity!B97="","",Capacity!B97)</f>
        <v/>
      </c>
      <c r="C204" s="220" t="str">
        <f>IF(B204="","",Capacity!E97)</f>
        <v/>
      </c>
      <c r="D204" s="309" t="str">
        <f>IF(B204="","",Capacity!F97)</f>
        <v/>
      </c>
      <c r="E204" s="220" t="str">
        <f>IF(B204="","",IF(COUNTBLANK(H204:BG204)=52,SUM('Capacity calculation (hide)'!H85:BG85),52-COUNTBLANK(H204:BG204)))</f>
        <v/>
      </c>
      <c r="F204" s="310" t="str">
        <f>'Capacity calculation (hide)'!BI85</f>
        <v/>
      </c>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3"/>
      <c r="AT204" s="363"/>
      <c r="AU204" s="363"/>
      <c r="AV204" s="363"/>
      <c r="AW204" s="363"/>
      <c r="AX204" s="363"/>
      <c r="AY204" s="363"/>
      <c r="AZ204" s="363"/>
      <c r="BA204" s="363"/>
      <c r="BB204" s="363"/>
      <c r="BC204" s="363"/>
      <c r="BD204" s="363"/>
      <c r="BE204" s="363"/>
      <c r="BF204" s="363"/>
      <c r="BG204" s="363"/>
      <c r="BI204" s="343" t="s">
        <v>1237</v>
      </c>
    </row>
    <row r="205" spans="2:61" x14ac:dyDescent="0.2">
      <c r="B205" s="67" t="str">
        <f>IF(Capacity!B98="","",Capacity!B98)</f>
        <v/>
      </c>
      <c r="C205" s="220" t="str">
        <f>IF(B205="","",Capacity!E98)</f>
        <v/>
      </c>
      <c r="D205" s="309" t="str">
        <f>IF(B205="","",Capacity!F98)</f>
        <v/>
      </c>
      <c r="E205" s="220" t="str">
        <f>IF(B205="","",IF(COUNTBLANK(H205:BG205)=52,SUM('Capacity calculation (hide)'!H86:BG86),52-COUNTBLANK(H205:BG205)))</f>
        <v/>
      </c>
      <c r="F205" s="310" t="str">
        <f>'Capacity calculation (hide)'!BI86</f>
        <v/>
      </c>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3"/>
      <c r="AT205" s="363"/>
      <c r="AU205" s="363"/>
      <c r="AV205" s="363"/>
      <c r="AW205" s="363"/>
      <c r="AX205" s="363"/>
      <c r="AY205" s="363"/>
      <c r="AZ205" s="363"/>
      <c r="BA205" s="363"/>
      <c r="BB205" s="363"/>
      <c r="BC205" s="363"/>
      <c r="BD205" s="363"/>
      <c r="BE205" s="363"/>
      <c r="BF205" s="363"/>
      <c r="BG205" s="363"/>
      <c r="BI205" s="343" t="s">
        <v>1237</v>
      </c>
    </row>
    <row r="206" spans="2:61" x14ac:dyDescent="0.2">
      <c r="B206" s="67" t="str">
        <f>IF(Capacity!B99="","",Capacity!B99)</f>
        <v/>
      </c>
      <c r="C206" s="220" t="str">
        <f>IF(B206="","",Capacity!E99)</f>
        <v/>
      </c>
      <c r="D206" s="309" t="str">
        <f>IF(B206="","",Capacity!F99)</f>
        <v/>
      </c>
      <c r="E206" s="220" t="str">
        <f>IF(B206="","",IF(COUNTBLANK(H206:BG206)=52,SUM('Capacity calculation (hide)'!H87:BG87),52-COUNTBLANK(H206:BG206)))</f>
        <v/>
      </c>
      <c r="F206" s="310" t="str">
        <f>'Capacity calculation (hide)'!BI87</f>
        <v/>
      </c>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3"/>
      <c r="AT206" s="363"/>
      <c r="AU206" s="363"/>
      <c r="AV206" s="363"/>
      <c r="AW206" s="363"/>
      <c r="AX206" s="363"/>
      <c r="AY206" s="363"/>
      <c r="AZ206" s="363"/>
      <c r="BA206" s="363"/>
      <c r="BB206" s="363"/>
      <c r="BC206" s="363"/>
      <c r="BD206" s="363"/>
      <c r="BE206" s="363"/>
      <c r="BF206" s="363"/>
      <c r="BG206" s="363"/>
      <c r="BI206" s="343" t="s">
        <v>1237</v>
      </c>
    </row>
    <row r="207" spans="2:61" x14ac:dyDescent="0.2">
      <c r="B207" s="67" t="str">
        <f>IF(Capacity!B100="","",Capacity!B100)</f>
        <v/>
      </c>
      <c r="C207" s="220" t="str">
        <f>IF(B207="","",Capacity!E100)</f>
        <v/>
      </c>
      <c r="D207" s="309" t="str">
        <f>IF(B207="","",Capacity!F100)</f>
        <v/>
      </c>
      <c r="E207" s="220" t="str">
        <f>IF(B207="","",IF(COUNTBLANK(H207:BG207)=52,SUM('Capacity calculation (hide)'!H88:BG88),52-COUNTBLANK(H207:BG207)))</f>
        <v/>
      </c>
      <c r="F207" s="310" t="str">
        <f>'Capacity calculation (hide)'!BI88</f>
        <v/>
      </c>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3"/>
      <c r="AT207" s="363"/>
      <c r="AU207" s="363"/>
      <c r="AV207" s="363"/>
      <c r="AW207" s="363"/>
      <c r="AX207" s="363"/>
      <c r="AY207" s="363"/>
      <c r="AZ207" s="363"/>
      <c r="BA207" s="363"/>
      <c r="BB207" s="363"/>
      <c r="BC207" s="363"/>
      <c r="BD207" s="363"/>
      <c r="BE207" s="363"/>
      <c r="BF207" s="363"/>
      <c r="BG207" s="363"/>
      <c r="BI207" s="343" t="s">
        <v>1237</v>
      </c>
    </row>
    <row r="208" spans="2:61" x14ac:dyDescent="0.2">
      <c r="B208" s="67" t="str">
        <f>IF(Capacity!B101="","",Capacity!B101)</f>
        <v/>
      </c>
      <c r="C208" s="220" t="str">
        <f>IF(B208="","",Capacity!E101)</f>
        <v/>
      </c>
      <c r="D208" s="309" t="str">
        <f>IF(B208="","",Capacity!F101)</f>
        <v/>
      </c>
      <c r="E208" s="220" t="str">
        <f>IF(B208="","",IF(COUNTBLANK(H208:BG208)=52,SUM('Capacity calculation (hide)'!H89:BG89),52-COUNTBLANK(H208:BG208)))</f>
        <v/>
      </c>
      <c r="F208" s="310" t="str">
        <f>'Capacity calculation (hide)'!BI89</f>
        <v/>
      </c>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3"/>
      <c r="AT208" s="363"/>
      <c r="AU208" s="363"/>
      <c r="AV208" s="363"/>
      <c r="AW208" s="363"/>
      <c r="AX208" s="363"/>
      <c r="AY208" s="363"/>
      <c r="AZ208" s="363"/>
      <c r="BA208" s="363"/>
      <c r="BB208" s="363"/>
      <c r="BC208" s="363"/>
      <c r="BD208" s="363"/>
      <c r="BE208" s="363"/>
      <c r="BF208" s="363"/>
      <c r="BG208" s="363"/>
      <c r="BI208" s="343" t="s">
        <v>1237</v>
      </c>
    </row>
    <row r="209" spans="2:61" x14ac:dyDescent="0.2">
      <c r="B209" s="67" t="str">
        <f>IF(Capacity!B102="","",Capacity!B102)</f>
        <v/>
      </c>
      <c r="C209" s="220" t="str">
        <f>IF(B209="","",Capacity!E102)</f>
        <v/>
      </c>
      <c r="D209" s="309" t="str">
        <f>IF(B209="","",Capacity!F102)</f>
        <v/>
      </c>
      <c r="E209" s="220" t="str">
        <f>IF(B209="","",IF(COUNTBLANK(H209:BG209)=52,SUM('Capacity calculation (hide)'!H90:BG90),52-COUNTBLANK(H209:BG209)))</f>
        <v/>
      </c>
      <c r="F209" s="310" t="str">
        <f>'Capacity calculation (hide)'!BI90</f>
        <v/>
      </c>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3"/>
      <c r="AT209" s="363"/>
      <c r="AU209" s="363"/>
      <c r="AV209" s="363"/>
      <c r="AW209" s="363"/>
      <c r="AX209" s="363"/>
      <c r="AY209" s="363"/>
      <c r="AZ209" s="363"/>
      <c r="BA209" s="363"/>
      <c r="BB209" s="363"/>
      <c r="BC209" s="363"/>
      <c r="BD209" s="363"/>
      <c r="BE209" s="363"/>
      <c r="BF209" s="363"/>
      <c r="BG209" s="363"/>
      <c r="BI209" s="343" t="s">
        <v>1237</v>
      </c>
    </row>
    <row r="210" spans="2:61" x14ac:dyDescent="0.2">
      <c r="B210" s="67" t="str">
        <f>IF(Capacity!B103="","",Capacity!B103)</f>
        <v/>
      </c>
      <c r="C210" s="220" t="str">
        <f>IF(B210="","",Capacity!E103)</f>
        <v/>
      </c>
      <c r="D210" s="309" t="str">
        <f>IF(B210="","",Capacity!F103)</f>
        <v/>
      </c>
      <c r="E210" s="220" t="str">
        <f>IF(B210="","",IF(COUNTBLANK(H210:BG210)=52,SUM('Capacity calculation (hide)'!H91:BG91),52-COUNTBLANK(H210:BG210)))</f>
        <v/>
      </c>
      <c r="F210" s="310" t="str">
        <f>'Capacity calculation (hide)'!BI91</f>
        <v/>
      </c>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3"/>
      <c r="AT210" s="363"/>
      <c r="AU210" s="363"/>
      <c r="AV210" s="363"/>
      <c r="AW210" s="363"/>
      <c r="AX210" s="363"/>
      <c r="AY210" s="363"/>
      <c r="AZ210" s="363"/>
      <c r="BA210" s="363"/>
      <c r="BB210" s="363"/>
      <c r="BC210" s="363"/>
      <c r="BD210" s="363"/>
      <c r="BE210" s="363"/>
      <c r="BF210" s="363"/>
      <c r="BG210" s="363"/>
      <c r="BI210" s="343" t="s">
        <v>1237</v>
      </c>
    </row>
    <row r="211" spans="2:61" x14ac:dyDescent="0.2">
      <c r="B211" s="67" t="str">
        <f>IF(Capacity!B104="","",Capacity!B104)</f>
        <v/>
      </c>
      <c r="C211" s="220" t="str">
        <f>IF(B211="","",Capacity!E104)</f>
        <v/>
      </c>
      <c r="D211" s="309" t="str">
        <f>IF(B211="","",Capacity!F104)</f>
        <v/>
      </c>
      <c r="E211" s="220" t="str">
        <f>IF(B211="","",IF(COUNTBLANK(H211:BG211)=52,SUM('Capacity calculation (hide)'!H92:BG92),52-COUNTBLANK(H211:BG211)))</f>
        <v/>
      </c>
      <c r="F211" s="310" t="str">
        <f>'Capacity calculation (hide)'!BI92</f>
        <v/>
      </c>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3"/>
      <c r="AT211" s="363"/>
      <c r="AU211" s="363"/>
      <c r="AV211" s="363"/>
      <c r="AW211" s="363"/>
      <c r="AX211" s="363"/>
      <c r="AY211" s="363"/>
      <c r="AZ211" s="363"/>
      <c r="BA211" s="363"/>
      <c r="BB211" s="363"/>
      <c r="BC211" s="363"/>
      <c r="BD211" s="363"/>
      <c r="BE211" s="363"/>
      <c r="BF211" s="363"/>
      <c r="BG211" s="363"/>
      <c r="BI211" s="343" t="s">
        <v>1237</v>
      </c>
    </row>
    <row r="212" spans="2:61" x14ac:dyDescent="0.2">
      <c r="B212" s="67" t="str">
        <f>IF(Capacity!B105="","",Capacity!B105)</f>
        <v/>
      </c>
      <c r="C212" s="220" t="str">
        <f>IF(B212="","",Capacity!E105)</f>
        <v/>
      </c>
      <c r="D212" s="309" t="str">
        <f>IF(B212="","",Capacity!F105)</f>
        <v/>
      </c>
      <c r="E212" s="220" t="str">
        <f>IF(B212="","",IF(COUNTBLANK(H212:BG212)=52,SUM('Capacity calculation (hide)'!H93:BG93),52-COUNTBLANK(H212:BG212)))</f>
        <v/>
      </c>
      <c r="F212" s="310" t="str">
        <f>'Capacity calculation (hide)'!BI93</f>
        <v/>
      </c>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3"/>
      <c r="AT212" s="363"/>
      <c r="AU212" s="363"/>
      <c r="AV212" s="363"/>
      <c r="AW212" s="363"/>
      <c r="AX212" s="363"/>
      <c r="AY212" s="363"/>
      <c r="AZ212" s="363"/>
      <c r="BA212" s="363"/>
      <c r="BB212" s="363"/>
      <c r="BC212" s="363"/>
      <c r="BD212" s="363"/>
      <c r="BE212" s="363"/>
      <c r="BF212" s="363"/>
      <c r="BG212" s="363"/>
      <c r="BI212" s="343" t="s">
        <v>1237</v>
      </c>
    </row>
    <row r="213" spans="2:61" x14ac:dyDescent="0.2">
      <c r="B213" s="67" t="str">
        <f>IF(Capacity!B106="","",Capacity!B106)</f>
        <v/>
      </c>
      <c r="C213" s="220" t="str">
        <f>IF(B213="","",Capacity!E106)</f>
        <v/>
      </c>
      <c r="D213" s="309" t="str">
        <f>IF(B213="","",Capacity!F106)</f>
        <v/>
      </c>
      <c r="E213" s="220" t="str">
        <f>IF(B213="","",IF(COUNTBLANK(H213:BG213)=52,SUM('Capacity calculation (hide)'!H94:BG94),52-COUNTBLANK(H213:BG213)))</f>
        <v/>
      </c>
      <c r="F213" s="310" t="str">
        <f>'Capacity calculation (hide)'!BI94</f>
        <v/>
      </c>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3"/>
      <c r="AT213" s="363"/>
      <c r="AU213" s="363"/>
      <c r="AV213" s="363"/>
      <c r="AW213" s="363"/>
      <c r="AX213" s="363"/>
      <c r="AY213" s="363"/>
      <c r="AZ213" s="363"/>
      <c r="BA213" s="363"/>
      <c r="BB213" s="363"/>
      <c r="BC213" s="363"/>
      <c r="BD213" s="363"/>
      <c r="BE213" s="363"/>
      <c r="BF213" s="363"/>
      <c r="BG213" s="363"/>
      <c r="BI213" s="343" t="s">
        <v>1237</v>
      </c>
    </row>
    <row r="214" spans="2:61" x14ac:dyDescent="0.2">
      <c r="B214" s="67" t="str">
        <f>IF(Capacity!B107="","",Capacity!B107)</f>
        <v/>
      </c>
      <c r="C214" s="220" t="str">
        <f>IF(B214="","",Capacity!E107)</f>
        <v/>
      </c>
      <c r="D214" s="309" t="str">
        <f>IF(B214="","",Capacity!F107)</f>
        <v/>
      </c>
      <c r="E214" s="220" t="str">
        <f>IF(B214="","",IF(COUNTBLANK(H214:BG214)=52,SUM('Capacity calculation (hide)'!H95:BG95),52-COUNTBLANK(H214:BG214)))</f>
        <v/>
      </c>
      <c r="F214" s="310" t="str">
        <f>'Capacity calculation (hide)'!BI95</f>
        <v/>
      </c>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3"/>
      <c r="AT214" s="363"/>
      <c r="AU214" s="363"/>
      <c r="AV214" s="363"/>
      <c r="AW214" s="363"/>
      <c r="AX214" s="363"/>
      <c r="AY214" s="363"/>
      <c r="AZ214" s="363"/>
      <c r="BA214" s="363"/>
      <c r="BB214" s="363"/>
      <c r="BC214" s="363"/>
      <c r="BD214" s="363"/>
      <c r="BE214" s="363"/>
      <c r="BF214" s="363"/>
      <c r="BG214" s="363"/>
      <c r="BI214" s="343" t="s">
        <v>1237</v>
      </c>
    </row>
    <row r="215" spans="2:61" x14ac:dyDescent="0.2">
      <c r="B215" s="67" t="str">
        <f>IF(Capacity!B108="","",Capacity!B108)</f>
        <v/>
      </c>
      <c r="C215" s="220" t="str">
        <f>IF(B215="","",Capacity!E108)</f>
        <v/>
      </c>
      <c r="D215" s="309" t="str">
        <f>IF(B215="","",Capacity!F108)</f>
        <v/>
      </c>
      <c r="E215" s="220" t="str">
        <f>IF(B215="","",IF(COUNTBLANK(H215:BG215)=52,SUM('Capacity calculation (hide)'!H96:BG96),52-COUNTBLANK(H215:BG215)))</f>
        <v/>
      </c>
      <c r="F215" s="310" t="str">
        <f>'Capacity calculation (hide)'!BI96</f>
        <v/>
      </c>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3"/>
      <c r="AT215" s="363"/>
      <c r="AU215" s="363"/>
      <c r="AV215" s="363"/>
      <c r="AW215" s="363"/>
      <c r="AX215" s="363"/>
      <c r="AY215" s="363"/>
      <c r="AZ215" s="363"/>
      <c r="BA215" s="363"/>
      <c r="BB215" s="363"/>
      <c r="BC215" s="363"/>
      <c r="BD215" s="363"/>
      <c r="BE215" s="363"/>
      <c r="BF215" s="363"/>
      <c r="BG215" s="363"/>
      <c r="BI215" s="343" t="s">
        <v>1237</v>
      </c>
    </row>
    <row r="216" spans="2:61" x14ac:dyDescent="0.2">
      <c r="B216" s="67" t="str">
        <f>IF(Capacity!B109="","",Capacity!B109)</f>
        <v/>
      </c>
      <c r="C216" s="220" t="str">
        <f>IF(B216="","",Capacity!E109)</f>
        <v/>
      </c>
      <c r="D216" s="309" t="str">
        <f>IF(B216="","",Capacity!F109)</f>
        <v/>
      </c>
      <c r="E216" s="220" t="str">
        <f>IF(B216="","",IF(COUNTBLANK(H216:BG216)=52,SUM('Capacity calculation (hide)'!H97:BG97),52-COUNTBLANK(H216:BG216)))</f>
        <v/>
      </c>
      <c r="F216" s="310" t="str">
        <f>'Capacity calculation (hide)'!BI97</f>
        <v/>
      </c>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3"/>
      <c r="AT216" s="363"/>
      <c r="AU216" s="363"/>
      <c r="AV216" s="363"/>
      <c r="AW216" s="363"/>
      <c r="AX216" s="363"/>
      <c r="AY216" s="363"/>
      <c r="AZ216" s="363"/>
      <c r="BA216" s="363"/>
      <c r="BB216" s="363"/>
      <c r="BC216" s="363"/>
      <c r="BD216" s="363"/>
      <c r="BE216" s="363"/>
      <c r="BF216" s="363"/>
      <c r="BG216" s="363"/>
      <c r="BI216" s="343" t="s">
        <v>1237</v>
      </c>
    </row>
    <row r="217" spans="2:61" x14ac:dyDescent="0.2">
      <c r="B217" s="67" t="str">
        <f>IF(Capacity!B110="","",Capacity!B110)</f>
        <v/>
      </c>
      <c r="C217" s="220" t="str">
        <f>IF(B217="","",Capacity!E110)</f>
        <v/>
      </c>
      <c r="D217" s="309" t="str">
        <f>IF(B217="","",Capacity!F110)</f>
        <v/>
      </c>
      <c r="E217" s="220" t="str">
        <f>IF(B217="","",IF(COUNTBLANK(H217:BG217)=52,SUM('Capacity calculation (hide)'!H98:BG98),52-COUNTBLANK(H217:BG217)))</f>
        <v/>
      </c>
      <c r="F217" s="310" t="str">
        <f>'Capacity calculation (hide)'!BI98</f>
        <v/>
      </c>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3"/>
      <c r="AT217" s="363"/>
      <c r="AU217" s="363"/>
      <c r="AV217" s="363"/>
      <c r="AW217" s="363"/>
      <c r="AX217" s="363"/>
      <c r="AY217" s="363"/>
      <c r="AZ217" s="363"/>
      <c r="BA217" s="363"/>
      <c r="BB217" s="363"/>
      <c r="BC217" s="363"/>
      <c r="BD217" s="363"/>
      <c r="BE217" s="363"/>
      <c r="BF217" s="363"/>
      <c r="BG217" s="363"/>
      <c r="BI217" s="343" t="s">
        <v>1237</v>
      </c>
    </row>
    <row r="218" spans="2:61" x14ac:dyDescent="0.2">
      <c r="B218" s="67" t="str">
        <f>IF(Capacity!B111="","",Capacity!B111)</f>
        <v/>
      </c>
      <c r="C218" s="220" t="str">
        <f>IF(B218="","",Capacity!E111)</f>
        <v/>
      </c>
      <c r="D218" s="309" t="str">
        <f>IF(B218="","",Capacity!F111)</f>
        <v/>
      </c>
      <c r="E218" s="220" t="str">
        <f>IF(B218="","",IF(COUNTBLANK(H218:BG218)=52,SUM('Capacity calculation (hide)'!H99:BG99),52-COUNTBLANK(H218:BG218)))</f>
        <v/>
      </c>
      <c r="F218" s="310" t="str">
        <f>'Capacity calculation (hide)'!BI99</f>
        <v/>
      </c>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3"/>
      <c r="AT218" s="363"/>
      <c r="AU218" s="363"/>
      <c r="AV218" s="363"/>
      <c r="AW218" s="363"/>
      <c r="AX218" s="363"/>
      <c r="AY218" s="363"/>
      <c r="AZ218" s="363"/>
      <c r="BA218" s="363"/>
      <c r="BB218" s="363"/>
      <c r="BC218" s="363"/>
      <c r="BD218" s="363"/>
      <c r="BE218" s="363"/>
      <c r="BF218" s="363"/>
      <c r="BG218" s="363"/>
      <c r="BI218" s="343" t="s">
        <v>1237</v>
      </c>
    </row>
    <row r="219" spans="2:61" x14ac:dyDescent="0.2">
      <c r="B219" s="67" t="str">
        <f>IF(Capacity!B112="","",Capacity!B112)</f>
        <v/>
      </c>
      <c r="C219" s="220" t="str">
        <f>IF(B219="","",Capacity!E112)</f>
        <v/>
      </c>
      <c r="D219" s="309" t="str">
        <f>IF(B219="","",Capacity!F112)</f>
        <v/>
      </c>
      <c r="E219" s="220" t="str">
        <f>IF(B219="","",IF(COUNTBLANK(H219:BG219)=52,SUM('Capacity calculation (hide)'!H100:BG100),52-COUNTBLANK(H219:BG219)))</f>
        <v/>
      </c>
      <c r="F219" s="310" t="str">
        <f>'Capacity calculation (hide)'!BI100</f>
        <v/>
      </c>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3"/>
      <c r="AT219" s="363"/>
      <c r="AU219" s="363"/>
      <c r="AV219" s="363"/>
      <c r="AW219" s="363"/>
      <c r="AX219" s="363"/>
      <c r="AY219" s="363"/>
      <c r="AZ219" s="363"/>
      <c r="BA219" s="363"/>
      <c r="BB219" s="363"/>
      <c r="BC219" s="363"/>
      <c r="BD219" s="363"/>
      <c r="BE219" s="363"/>
      <c r="BF219" s="363"/>
      <c r="BG219" s="363"/>
      <c r="BI219" s="343" t="s">
        <v>1237</v>
      </c>
    </row>
    <row r="220" spans="2:61" x14ac:dyDescent="0.2">
      <c r="B220" s="67" t="str">
        <f>IF(Capacity!B113="","",Capacity!B113)</f>
        <v/>
      </c>
      <c r="C220" s="220" t="str">
        <f>IF(B220="","",Capacity!E113)</f>
        <v/>
      </c>
      <c r="D220" s="309" t="str">
        <f>IF(B220="","",Capacity!F113)</f>
        <v/>
      </c>
      <c r="E220" s="220" t="str">
        <f>IF(B220="","",IF(COUNTBLANK(H220:BG220)=52,SUM('Capacity calculation (hide)'!H101:BG101),52-COUNTBLANK(H220:BG220)))</f>
        <v/>
      </c>
      <c r="F220" s="310" t="str">
        <f>'Capacity calculation (hide)'!BI101</f>
        <v/>
      </c>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3"/>
      <c r="AT220" s="363"/>
      <c r="AU220" s="363"/>
      <c r="AV220" s="363"/>
      <c r="AW220" s="363"/>
      <c r="AX220" s="363"/>
      <c r="AY220" s="363"/>
      <c r="AZ220" s="363"/>
      <c r="BA220" s="363"/>
      <c r="BB220" s="363"/>
      <c r="BC220" s="363"/>
      <c r="BD220" s="363"/>
      <c r="BE220" s="363"/>
      <c r="BF220" s="363"/>
      <c r="BG220" s="363"/>
      <c r="BI220" s="343" t="s">
        <v>1237</v>
      </c>
    </row>
    <row r="221" spans="2:61" x14ac:dyDescent="0.2">
      <c r="B221" s="67" t="str">
        <f>IF(Capacity!B114="","",Capacity!B114)</f>
        <v/>
      </c>
      <c r="C221" s="220" t="str">
        <f>IF(B221="","",Capacity!E114)</f>
        <v/>
      </c>
      <c r="D221" s="309" t="str">
        <f>IF(B221="","",Capacity!F114)</f>
        <v/>
      </c>
      <c r="E221" s="220" t="str">
        <f>IF(B221="","",IF(COUNTBLANK(H221:BG221)=52,SUM('Capacity calculation (hide)'!H102:BG102),52-COUNTBLANK(H221:BG221)))</f>
        <v/>
      </c>
      <c r="F221" s="310" t="str">
        <f>'Capacity calculation (hide)'!BI102</f>
        <v/>
      </c>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3"/>
      <c r="AT221" s="363"/>
      <c r="AU221" s="363"/>
      <c r="AV221" s="363"/>
      <c r="AW221" s="363"/>
      <c r="AX221" s="363"/>
      <c r="AY221" s="363"/>
      <c r="AZ221" s="363"/>
      <c r="BA221" s="363"/>
      <c r="BB221" s="363"/>
      <c r="BC221" s="363"/>
      <c r="BD221" s="363"/>
      <c r="BE221" s="363"/>
      <c r="BF221" s="363"/>
      <c r="BG221" s="363"/>
      <c r="BI221" s="343" t="s">
        <v>1237</v>
      </c>
    </row>
    <row r="222" spans="2:61" x14ac:dyDescent="0.2">
      <c r="B222" s="67" t="str">
        <f>IF(Capacity!B115="","",Capacity!B115)</f>
        <v/>
      </c>
      <c r="C222" s="220" t="str">
        <f>IF(B222="","",Capacity!E115)</f>
        <v/>
      </c>
      <c r="D222" s="309" t="str">
        <f>IF(B222="","",Capacity!F115)</f>
        <v/>
      </c>
      <c r="E222" s="220" t="str">
        <f>IF(B222="","",IF(COUNTBLANK(H222:BG222)=52,SUM('Capacity calculation (hide)'!H103:BG103),52-COUNTBLANK(H222:BG222)))</f>
        <v/>
      </c>
      <c r="F222" s="310" t="str">
        <f>'Capacity calculation (hide)'!BI103</f>
        <v/>
      </c>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3"/>
      <c r="AT222" s="363"/>
      <c r="AU222" s="363"/>
      <c r="AV222" s="363"/>
      <c r="AW222" s="363"/>
      <c r="AX222" s="363"/>
      <c r="AY222" s="363"/>
      <c r="AZ222" s="363"/>
      <c r="BA222" s="363"/>
      <c r="BB222" s="363"/>
      <c r="BC222" s="363"/>
      <c r="BD222" s="363"/>
      <c r="BE222" s="363"/>
      <c r="BF222" s="363"/>
      <c r="BG222" s="363"/>
      <c r="BI222" s="343" t="s">
        <v>1237</v>
      </c>
    </row>
    <row r="223" spans="2:61" x14ac:dyDescent="0.2">
      <c r="B223" s="67" t="str">
        <f>IF(Capacity!B116="","",Capacity!B116)</f>
        <v/>
      </c>
      <c r="C223" s="220" t="str">
        <f>IF(B223="","",Capacity!E116)</f>
        <v/>
      </c>
      <c r="D223" s="309" t="str">
        <f>IF(B223="","",Capacity!F116)</f>
        <v/>
      </c>
      <c r="E223" s="220" t="str">
        <f>IF(B223="","",IF(COUNTBLANK(H223:BG223)=52,SUM('Capacity calculation (hide)'!H104:BG104),52-COUNTBLANK(H223:BG223)))</f>
        <v/>
      </c>
      <c r="F223" s="310" t="str">
        <f>'Capacity calculation (hide)'!BI104</f>
        <v/>
      </c>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I223" s="343" t="s">
        <v>1237</v>
      </c>
    </row>
    <row r="224" spans="2:61" x14ac:dyDescent="0.2">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344"/>
      <c r="AJ224" s="344"/>
      <c r="AK224" s="344"/>
      <c r="AL224" s="344"/>
      <c r="AM224" s="344"/>
      <c r="AN224" s="344"/>
      <c r="AO224" s="344"/>
      <c r="AP224" s="344"/>
      <c r="AQ224" s="344"/>
      <c r="AR224" s="344"/>
      <c r="AS224" s="344"/>
      <c r="AT224" s="344"/>
      <c r="AU224" s="344"/>
      <c r="AV224" s="344"/>
      <c r="AW224" s="344"/>
      <c r="AX224" s="344"/>
      <c r="AY224" s="344"/>
      <c r="AZ224" s="344"/>
      <c r="BA224" s="344"/>
      <c r="BB224" s="344"/>
      <c r="BC224" s="344"/>
      <c r="BD224" s="344"/>
      <c r="BE224" s="344"/>
      <c r="BF224" s="344"/>
      <c r="BG224" s="344"/>
    </row>
    <row r="225" spans="8:59" x14ac:dyDescent="0.2">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344"/>
      <c r="AJ225" s="344"/>
      <c r="AK225" s="344"/>
      <c r="AL225" s="344"/>
      <c r="AM225" s="344"/>
      <c r="AN225" s="344"/>
      <c r="AO225" s="344"/>
      <c r="AP225" s="344"/>
      <c r="AQ225" s="344"/>
      <c r="AR225" s="344"/>
      <c r="AS225" s="344"/>
      <c r="AT225" s="344"/>
      <c r="AU225" s="344"/>
      <c r="AV225" s="344"/>
      <c r="AW225" s="344"/>
      <c r="AX225" s="344"/>
      <c r="AY225" s="344"/>
      <c r="AZ225" s="344"/>
      <c r="BA225" s="344"/>
      <c r="BB225" s="344"/>
      <c r="BC225" s="344"/>
      <c r="BD225" s="344"/>
      <c r="BE225" s="344"/>
      <c r="BF225" s="344"/>
      <c r="BG225" s="344"/>
    </row>
    <row r="226" spans="8:59" x14ac:dyDescent="0.2">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344"/>
      <c r="AJ226" s="344"/>
      <c r="AK226" s="344"/>
      <c r="AL226" s="344"/>
      <c r="AM226" s="344"/>
      <c r="AN226" s="344"/>
      <c r="AO226" s="344"/>
      <c r="AP226" s="344"/>
      <c r="AQ226" s="344"/>
      <c r="AR226" s="344"/>
      <c r="AS226" s="344"/>
      <c r="AT226" s="344"/>
      <c r="AU226" s="344"/>
      <c r="AV226" s="344"/>
      <c r="AW226" s="344"/>
      <c r="AX226" s="344"/>
      <c r="AY226" s="344"/>
      <c r="AZ226" s="344"/>
      <c r="BA226" s="344"/>
      <c r="BB226" s="344"/>
      <c r="BC226" s="344"/>
      <c r="BD226" s="344"/>
      <c r="BE226" s="344"/>
      <c r="BF226" s="344"/>
      <c r="BG226" s="344"/>
    </row>
    <row r="227" spans="8:59" x14ac:dyDescent="0.2">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344"/>
      <c r="AJ227" s="344"/>
      <c r="AK227" s="344"/>
      <c r="AL227" s="344"/>
      <c r="AM227" s="344"/>
      <c r="AN227" s="344"/>
      <c r="AO227" s="344"/>
      <c r="AP227" s="344"/>
      <c r="AQ227" s="344"/>
      <c r="AR227" s="344"/>
      <c r="AS227" s="344"/>
      <c r="AT227" s="344"/>
      <c r="AU227" s="344"/>
      <c r="AV227" s="344"/>
      <c r="AW227" s="344"/>
      <c r="AX227" s="344"/>
      <c r="AY227" s="344"/>
      <c r="AZ227" s="344"/>
      <c r="BA227" s="344"/>
      <c r="BB227" s="344"/>
      <c r="BC227" s="344"/>
      <c r="BD227" s="344"/>
      <c r="BE227" s="344"/>
      <c r="BF227" s="344"/>
      <c r="BG227" s="344"/>
    </row>
    <row r="228" spans="8:59" x14ac:dyDescent="0.2">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344"/>
      <c r="AJ228" s="344"/>
      <c r="AK228" s="344"/>
      <c r="AL228" s="344"/>
      <c r="AM228" s="344"/>
      <c r="AN228" s="344"/>
      <c r="AO228" s="344"/>
      <c r="AP228" s="344"/>
      <c r="AQ228" s="344"/>
      <c r="AR228" s="344"/>
      <c r="AS228" s="344"/>
      <c r="AT228" s="344"/>
      <c r="AU228" s="344"/>
      <c r="AV228" s="344"/>
      <c r="AW228" s="344"/>
      <c r="AX228" s="344"/>
      <c r="AY228" s="344"/>
      <c r="AZ228" s="344"/>
      <c r="BA228" s="344"/>
      <c r="BB228" s="344"/>
      <c r="BC228" s="344"/>
      <c r="BD228" s="344"/>
      <c r="BE228" s="344"/>
      <c r="BF228" s="344"/>
      <c r="BG228" s="344"/>
    </row>
    <row r="229" spans="8:59" x14ac:dyDescent="0.2">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344"/>
      <c r="AJ229" s="344"/>
      <c r="AK229" s="344"/>
      <c r="AL229" s="344"/>
      <c r="AM229" s="344"/>
      <c r="AN229" s="344"/>
      <c r="AO229" s="344"/>
      <c r="AP229" s="344"/>
      <c r="AQ229" s="344"/>
      <c r="AR229" s="344"/>
      <c r="AS229" s="344"/>
      <c r="AT229" s="344"/>
      <c r="AU229" s="344"/>
      <c r="AV229" s="344"/>
      <c r="AW229" s="344"/>
      <c r="AX229" s="344"/>
      <c r="AY229" s="344"/>
      <c r="AZ229" s="344"/>
      <c r="BA229" s="344"/>
      <c r="BB229" s="344"/>
      <c r="BC229" s="344"/>
      <c r="BD229" s="344"/>
      <c r="BE229" s="344"/>
      <c r="BF229" s="344"/>
      <c r="BG229" s="344"/>
    </row>
    <row r="230" spans="8:59" x14ac:dyDescent="0.2">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344"/>
      <c r="AJ230" s="344"/>
      <c r="AK230" s="344"/>
      <c r="AL230" s="344"/>
      <c r="AM230" s="344"/>
      <c r="AN230" s="344"/>
      <c r="AO230" s="344"/>
      <c r="AP230" s="344"/>
      <c r="AQ230" s="344"/>
      <c r="AR230" s="344"/>
      <c r="AS230" s="344"/>
      <c r="AT230" s="344"/>
      <c r="AU230" s="344"/>
      <c r="AV230" s="344"/>
      <c r="AW230" s="344"/>
      <c r="AX230" s="344"/>
      <c r="AY230" s="344"/>
      <c r="AZ230" s="344"/>
      <c r="BA230" s="344"/>
      <c r="BB230" s="344"/>
      <c r="BC230" s="344"/>
      <c r="BD230" s="344"/>
      <c r="BE230" s="344"/>
      <c r="BF230" s="344"/>
      <c r="BG230" s="344"/>
    </row>
    <row r="231" spans="8:59" x14ac:dyDescent="0.2">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344"/>
      <c r="AJ231" s="344"/>
      <c r="AK231" s="344"/>
      <c r="AL231" s="344"/>
      <c r="AM231" s="344"/>
      <c r="AN231" s="344"/>
      <c r="AO231" s="344"/>
      <c r="AP231" s="344"/>
      <c r="AQ231" s="344"/>
      <c r="AR231" s="344"/>
      <c r="AS231" s="344"/>
      <c r="AT231" s="344"/>
      <c r="AU231" s="344"/>
      <c r="AV231" s="344"/>
      <c r="AW231" s="344"/>
      <c r="AX231" s="344"/>
      <c r="AY231" s="344"/>
      <c r="AZ231" s="344"/>
      <c r="BA231" s="344"/>
      <c r="BB231" s="344"/>
      <c r="BC231" s="344"/>
      <c r="BD231" s="344"/>
      <c r="BE231" s="344"/>
      <c r="BF231" s="344"/>
      <c r="BG231" s="344"/>
    </row>
    <row r="232" spans="8:59" x14ac:dyDescent="0.2">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344"/>
      <c r="AJ232" s="344"/>
      <c r="AK232" s="344"/>
      <c r="AL232" s="344"/>
      <c r="AM232" s="344"/>
      <c r="AN232" s="344"/>
      <c r="AO232" s="344"/>
      <c r="AP232" s="344"/>
      <c r="AQ232" s="344"/>
      <c r="AR232" s="344"/>
      <c r="AS232" s="344"/>
      <c r="AT232" s="344"/>
      <c r="AU232" s="344"/>
      <c r="AV232" s="344"/>
      <c r="AW232" s="344"/>
      <c r="AX232" s="344"/>
      <c r="AY232" s="344"/>
      <c r="AZ232" s="344"/>
      <c r="BA232" s="344"/>
      <c r="BB232" s="344"/>
      <c r="BC232" s="344"/>
      <c r="BD232" s="344"/>
      <c r="BE232" s="344"/>
      <c r="BF232" s="344"/>
      <c r="BG232" s="344"/>
    </row>
    <row r="233" spans="8:59" x14ac:dyDescent="0.2">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344"/>
      <c r="AJ233" s="344"/>
      <c r="AK233" s="344"/>
      <c r="AL233" s="344"/>
      <c r="AM233" s="344"/>
      <c r="AN233" s="344"/>
      <c r="AO233" s="344"/>
      <c r="AP233" s="344"/>
      <c r="AQ233" s="344"/>
      <c r="AR233" s="344"/>
      <c r="AS233" s="344"/>
      <c r="AT233" s="344"/>
      <c r="AU233" s="344"/>
      <c r="AV233" s="344"/>
      <c r="AW233" s="344"/>
      <c r="AX233" s="344"/>
      <c r="AY233" s="344"/>
      <c r="AZ233" s="344"/>
      <c r="BA233" s="344"/>
      <c r="BB233" s="344"/>
      <c r="BC233" s="344"/>
      <c r="BD233" s="344"/>
      <c r="BE233" s="344"/>
      <c r="BF233" s="344"/>
      <c r="BG233" s="344"/>
    </row>
    <row r="234" spans="8:59" x14ac:dyDescent="0.2">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344"/>
      <c r="AJ234" s="344"/>
      <c r="AK234" s="344"/>
      <c r="AL234" s="344"/>
      <c r="AM234" s="344"/>
      <c r="AN234" s="344"/>
      <c r="AO234" s="344"/>
      <c r="AP234" s="344"/>
      <c r="AQ234" s="344"/>
      <c r="AR234" s="344"/>
      <c r="AS234" s="344"/>
      <c r="AT234" s="344"/>
      <c r="AU234" s="344"/>
      <c r="AV234" s="344"/>
      <c r="AW234" s="344"/>
      <c r="AX234" s="344"/>
      <c r="AY234" s="344"/>
      <c r="AZ234" s="344"/>
      <c r="BA234" s="344"/>
      <c r="BB234" s="344"/>
      <c r="BC234" s="344"/>
      <c r="BD234" s="344"/>
      <c r="BE234" s="344"/>
      <c r="BF234" s="344"/>
      <c r="BG234" s="344"/>
    </row>
    <row r="235" spans="8:59" x14ac:dyDescent="0.2">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344"/>
      <c r="AJ235" s="344"/>
      <c r="AK235" s="344"/>
      <c r="AL235" s="344"/>
      <c r="AM235" s="344"/>
      <c r="AN235" s="344"/>
      <c r="AO235" s="344"/>
      <c r="AP235" s="344"/>
      <c r="AQ235" s="344"/>
      <c r="AR235" s="344"/>
      <c r="AS235" s="344"/>
      <c r="AT235" s="344"/>
      <c r="AU235" s="344"/>
      <c r="AV235" s="344"/>
      <c r="AW235" s="344"/>
      <c r="AX235" s="344"/>
      <c r="AY235" s="344"/>
      <c r="AZ235" s="344"/>
      <c r="BA235" s="344"/>
      <c r="BB235" s="344"/>
      <c r="BC235" s="344"/>
      <c r="BD235" s="344"/>
      <c r="BE235" s="344"/>
      <c r="BF235" s="344"/>
      <c r="BG235" s="344"/>
    </row>
    <row r="236" spans="8:59" x14ac:dyDescent="0.2">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344"/>
      <c r="AJ236" s="344"/>
      <c r="AK236" s="344"/>
      <c r="AL236" s="344"/>
      <c r="AM236" s="344"/>
      <c r="AN236" s="344"/>
      <c r="AO236" s="344"/>
      <c r="AP236" s="344"/>
      <c r="AQ236" s="344"/>
      <c r="AR236" s="344"/>
      <c r="AS236" s="344"/>
      <c r="AT236" s="344"/>
      <c r="AU236" s="344"/>
      <c r="AV236" s="344"/>
      <c r="AW236" s="344"/>
      <c r="AX236" s="344"/>
      <c r="AY236" s="344"/>
      <c r="AZ236" s="344"/>
      <c r="BA236" s="344"/>
      <c r="BB236" s="344"/>
      <c r="BC236" s="344"/>
      <c r="BD236" s="344"/>
      <c r="BE236" s="344"/>
      <c r="BF236" s="344"/>
      <c r="BG236" s="344"/>
    </row>
    <row r="237" spans="8:59" x14ac:dyDescent="0.2">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344"/>
      <c r="AJ237" s="344"/>
      <c r="AK237" s="344"/>
      <c r="AL237" s="344"/>
      <c r="AM237" s="344"/>
      <c r="AN237" s="344"/>
      <c r="AO237" s="344"/>
      <c r="AP237" s="344"/>
      <c r="AQ237" s="344"/>
      <c r="AR237" s="344"/>
      <c r="AS237" s="344"/>
      <c r="AT237" s="344"/>
      <c r="AU237" s="344"/>
      <c r="AV237" s="344"/>
      <c r="AW237" s="344"/>
      <c r="AX237" s="344"/>
      <c r="AY237" s="344"/>
      <c r="AZ237" s="344"/>
      <c r="BA237" s="344"/>
      <c r="BB237" s="344"/>
      <c r="BC237" s="344"/>
      <c r="BD237" s="344"/>
      <c r="BE237" s="344"/>
      <c r="BF237" s="344"/>
      <c r="BG237" s="344"/>
    </row>
    <row r="238" spans="8:59" x14ac:dyDescent="0.2">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344"/>
      <c r="AJ238" s="344"/>
      <c r="AK238" s="344"/>
      <c r="AL238" s="344"/>
      <c r="AM238" s="344"/>
      <c r="AN238" s="344"/>
      <c r="AO238" s="344"/>
      <c r="AP238" s="344"/>
      <c r="AQ238" s="344"/>
      <c r="AR238" s="344"/>
      <c r="AS238" s="344"/>
      <c r="AT238" s="344"/>
      <c r="AU238" s="344"/>
      <c r="AV238" s="344"/>
      <c r="AW238" s="344"/>
      <c r="AX238" s="344"/>
      <c r="AY238" s="344"/>
      <c r="AZ238" s="344"/>
      <c r="BA238" s="344"/>
      <c r="BB238" s="344"/>
      <c r="BC238" s="344"/>
      <c r="BD238" s="344"/>
      <c r="BE238" s="344"/>
      <c r="BF238" s="344"/>
      <c r="BG238" s="344"/>
    </row>
    <row r="239" spans="8:59" x14ac:dyDescent="0.2">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344"/>
      <c r="AJ239" s="344"/>
      <c r="AK239" s="344"/>
      <c r="AL239" s="344"/>
      <c r="AM239" s="344"/>
      <c r="AN239" s="344"/>
      <c r="AO239" s="344"/>
      <c r="AP239" s="344"/>
      <c r="AQ239" s="344"/>
      <c r="AR239" s="344"/>
      <c r="AS239" s="344"/>
      <c r="AT239" s="344"/>
      <c r="AU239" s="344"/>
      <c r="AV239" s="344"/>
      <c r="AW239" s="344"/>
      <c r="AX239" s="344"/>
      <c r="AY239" s="344"/>
      <c r="AZ239" s="344"/>
      <c r="BA239" s="344"/>
      <c r="BB239" s="344"/>
      <c r="BC239" s="344"/>
      <c r="BD239" s="344"/>
      <c r="BE239" s="344"/>
      <c r="BF239" s="344"/>
      <c r="BG239" s="344"/>
    </row>
    <row r="240" spans="8:59" x14ac:dyDescent="0.2">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344"/>
      <c r="AJ240" s="344"/>
      <c r="AK240" s="344"/>
      <c r="AL240" s="344"/>
      <c r="AM240" s="344"/>
      <c r="AN240" s="344"/>
      <c r="AO240" s="344"/>
      <c r="AP240" s="344"/>
      <c r="AQ240" s="344"/>
      <c r="AR240" s="344"/>
      <c r="AS240" s="344"/>
      <c r="AT240" s="344"/>
      <c r="AU240" s="344"/>
      <c r="AV240" s="344"/>
      <c r="AW240" s="344"/>
      <c r="AX240" s="344"/>
      <c r="AY240" s="344"/>
      <c r="AZ240" s="344"/>
      <c r="BA240" s="344"/>
      <c r="BB240" s="344"/>
      <c r="BC240" s="344"/>
      <c r="BD240" s="344"/>
      <c r="BE240" s="344"/>
      <c r="BF240" s="344"/>
      <c r="BG240" s="344"/>
    </row>
    <row r="241" spans="8:59" x14ac:dyDescent="0.2">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344"/>
      <c r="AJ241" s="344"/>
      <c r="AK241" s="344"/>
      <c r="AL241" s="344"/>
      <c r="AM241" s="344"/>
      <c r="AN241" s="344"/>
      <c r="AO241" s="344"/>
      <c r="AP241" s="344"/>
      <c r="AQ241" s="344"/>
      <c r="AR241" s="344"/>
      <c r="AS241" s="344"/>
      <c r="AT241" s="344"/>
      <c r="AU241" s="344"/>
      <c r="AV241" s="344"/>
      <c r="AW241" s="344"/>
      <c r="AX241" s="344"/>
      <c r="AY241" s="344"/>
      <c r="AZ241" s="344"/>
      <c r="BA241" s="344"/>
      <c r="BB241" s="344"/>
      <c r="BC241" s="344"/>
      <c r="BD241" s="344"/>
      <c r="BE241" s="344"/>
      <c r="BF241" s="344"/>
      <c r="BG241" s="344"/>
    </row>
    <row r="242" spans="8:59" x14ac:dyDescent="0.2">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344"/>
      <c r="AJ242" s="344"/>
      <c r="AK242" s="344"/>
      <c r="AL242" s="344"/>
      <c r="AM242" s="344"/>
      <c r="AN242" s="344"/>
      <c r="AO242" s="344"/>
      <c r="AP242" s="344"/>
      <c r="AQ242" s="344"/>
      <c r="AR242" s="344"/>
      <c r="AS242" s="344"/>
      <c r="AT242" s="344"/>
      <c r="AU242" s="344"/>
      <c r="AV242" s="344"/>
      <c r="AW242" s="344"/>
      <c r="AX242" s="344"/>
      <c r="AY242" s="344"/>
      <c r="AZ242" s="344"/>
      <c r="BA242" s="344"/>
      <c r="BB242" s="344"/>
      <c r="BC242" s="344"/>
      <c r="BD242" s="344"/>
      <c r="BE242" s="344"/>
      <c r="BF242" s="344"/>
      <c r="BG242" s="344"/>
    </row>
    <row r="243" spans="8:59" x14ac:dyDescent="0.2">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344"/>
      <c r="AJ243" s="344"/>
      <c r="AK243" s="344"/>
      <c r="AL243" s="344"/>
      <c r="AM243" s="344"/>
      <c r="AN243" s="344"/>
      <c r="AO243" s="344"/>
      <c r="AP243" s="344"/>
      <c r="AQ243" s="344"/>
      <c r="AR243" s="344"/>
      <c r="AS243" s="344"/>
      <c r="AT243" s="344"/>
      <c r="AU243" s="344"/>
      <c r="AV243" s="344"/>
      <c r="AW243" s="344"/>
      <c r="AX243" s="344"/>
      <c r="AY243" s="344"/>
      <c r="AZ243" s="344"/>
      <c r="BA243" s="344"/>
      <c r="BB243" s="344"/>
      <c r="BC243" s="344"/>
      <c r="BD243" s="344"/>
      <c r="BE243" s="344"/>
      <c r="BF243" s="344"/>
      <c r="BG243" s="344"/>
    </row>
    <row r="244" spans="8:59" x14ac:dyDescent="0.2">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344"/>
      <c r="AJ244" s="344"/>
      <c r="AK244" s="344"/>
      <c r="AL244" s="344"/>
      <c r="AM244" s="344"/>
      <c r="AN244" s="344"/>
      <c r="AO244" s="344"/>
      <c r="AP244" s="344"/>
      <c r="AQ244" s="344"/>
      <c r="AR244" s="344"/>
      <c r="AS244" s="344"/>
      <c r="AT244" s="344"/>
      <c r="AU244" s="344"/>
      <c r="AV244" s="344"/>
      <c r="AW244" s="344"/>
      <c r="AX244" s="344"/>
      <c r="AY244" s="344"/>
      <c r="AZ244" s="344"/>
      <c r="BA244" s="344"/>
      <c r="BB244" s="344"/>
      <c r="BC244" s="344"/>
      <c r="BD244" s="344"/>
      <c r="BE244" s="344"/>
      <c r="BF244" s="344"/>
      <c r="BG244" s="344"/>
    </row>
    <row r="245" spans="8:59" x14ac:dyDescent="0.2">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344"/>
      <c r="AJ245" s="344"/>
      <c r="AK245" s="344"/>
      <c r="AL245" s="344"/>
      <c r="AM245" s="344"/>
      <c r="AN245" s="344"/>
      <c r="AO245" s="344"/>
      <c r="AP245" s="344"/>
      <c r="AQ245" s="344"/>
      <c r="AR245" s="344"/>
      <c r="AS245" s="344"/>
      <c r="AT245" s="344"/>
      <c r="AU245" s="344"/>
      <c r="AV245" s="344"/>
      <c r="AW245" s="344"/>
      <c r="AX245" s="344"/>
      <c r="AY245" s="344"/>
      <c r="AZ245" s="344"/>
      <c r="BA245" s="344"/>
      <c r="BB245" s="344"/>
      <c r="BC245" s="344"/>
      <c r="BD245" s="344"/>
      <c r="BE245" s="344"/>
      <c r="BF245" s="344"/>
      <c r="BG245" s="344"/>
    </row>
    <row r="246" spans="8:59" x14ac:dyDescent="0.2">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344"/>
      <c r="AJ246" s="344"/>
      <c r="AK246" s="344"/>
      <c r="AL246" s="344"/>
      <c r="AM246" s="344"/>
      <c r="AN246" s="344"/>
      <c r="AO246" s="344"/>
      <c r="AP246" s="344"/>
      <c r="AQ246" s="344"/>
      <c r="AR246" s="344"/>
      <c r="AS246" s="344"/>
      <c r="AT246" s="344"/>
      <c r="AU246" s="344"/>
      <c r="AV246" s="344"/>
      <c r="AW246" s="344"/>
      <c r="AX246" s="344"/>
      <c r="AY246" s="344"/>
      <c r="AZ246" s="344"/>
      <c r="BA246" s="344"/>
      <c r="BB246" s="344"/>
      <c r="BC246" s="344"/>
      <c r="BD246" s="344"/>
      <c r="BE246" s="344"/>
      <c r="BF246" s="344"/>
      <c r="BG246" s="344"/>
    </row>
  </sheetData>
  <mergeCells count="5">
    <mergeCell ref="B21:B23"/>
    <mergeCell ref="C21:D22"/>
    <mergeCell ref="E21:F22"/>
    <mergeCell ref="C10:E10"/>
    <mergeCell ref="C11:E11"/>
  </mergeCells>
  <conditionalFormatting sqref="B24:F123 H24:BG123">
    <cfRule type="expression" dxfId="28" priority="16">
      <formula>IF($B24="",FALSE,TRUE)</formula>
    </cfRule>
  </conditionalFormatting>
  <conditionalFormatting sqref="B24:F123">
    <cfRule type="expression" dxfId="27" priority="2">
      <formula>IF(AND($BI24="",$B24&lt;&gt;""),TRUE,FALSE)</formula>
    </cfRule>
    <cfRule type="expression" dxfId="26" priority="15">
      <formula>IF($B24&lt;&gt;"",TRUE,FALSE)</formula>
    </cfRule>
  </conditionalFormatting>
  <conditionalFormatting sqref="C23:F23 C21 E21">
    <cfRule type="expression" dxfId="25" priority="14">
      <formula>IF($B$21="Core session",TRUE,FALSE)</formula>
    </cfRule>
  </conditionalFormatting>
  <conditionalFormatting sqref="B124:D223 F124:F223">
    <cfRule type="expression" dxfId="24" priority="12">
      <formula>IF($B124&lt;&gt;"",TRUE,FALSE)</formula>
    </cfRule>
    <cfRule type="expression" dxfId="23" priority="13">
      <formula>IF($B124="",FALSE,TRUE)</formula>
    </cfRule>
  </conditionalFormatting>
  <conditionalFormatting sqref="H124:BG223">
    <cfRule type="expression" dxfId="22" priority="11">
      <formula>IF($B124="", FALSE, TRUE)</formula>
    </cfRule>
  </conditionalFormatting>
  <conditionalFormatting sqref="E124:E223">
    <cfRule type="expression" dxfId="21" priority="9">
      <formula>IF($B124="",FALSE,TRUE)</formula>
    </cfRule>
  </conditionalFormatting>
  <conditionalFormatting sqref="E124:E223">
    <cfRule type="expression" dxfId="20" priority="8">
      <formula>IF($B124&lt;&gt;"",TRUE,FALSE)</formula>
    </cfRule>
  </conditionalFormatting>
  <conditionalFormatting sqref="BI23">
    <cfRule type="expression" dxfId="19" priority="7">
      <formula>IF($B$21="Core session",TRUE,FALSE)</formula>
    </cfRule>
  </conditionalFormatting>
  <conditionalFormatting sqref="BI24:BI124">
    <cfRule type="expression" dxfId="18" priority="5">
      <formula>IF($B24="",FALSE,TRUE)</formula>
    </cfRule>
  </conditionalFormatting>
  <conditionalFormatting sqref="BI125:BI223">
    <cfRule type="expression" dxfId="17" priority="3">
      <formula>IF($B125="",FALSE,TRUE)</formula>
    </cfRule>
  </conditionalFormatting>
  <conditionalFormatting sqref="B124:F124">
    <cfRule type="expression" dxfId="16" priority="1">
      <formula>IF(AND($BI124="",$B124&lt;&gt;""),TRUE,FALSE)</formula>
    </cfRule>
  </conditionalFormatting>
  <dataValidations count="2">
    <dataValidation type="list" allowBlank="1" showInputMessage="1" showErrorMessage="1" sqref="B21" xr:uid="{00000000-0002-0000-0F00-000000000000}">
      <formula1>"Ad hoc session, Core session"</formula1>
    </dataValidation>
    <dataValidation type="list" allowBlank="1" showInputMessage="1" showErrorMessage="1" sqref="BI24:BI123 BI124:BI223" xr:uid="{C3B0143C-71F5-404C-BEA1-4F1A3C100C42}">
      <formula1>"x"</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638175</xdr:colOff>
                    <xdr:row>5</xdr:row>
                    <xdr:rowOff>171450</xdr:rowOff>
                  </from>
                  <to>
                    <xdr:col>1</xdr:col>
                    <xdr:colOff>942975</xdr:colOff>
                    <xdr:row>7</xdr:row>
                    <xdr:rowOff>28575</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247650</xdr:colOff>
                    <xdr:row>5</xdr:row>
                    <xdr:rowOff>171450</xdr:rowOff>
                  </from>
                  <to>
                    <xdr:col>2</xdr:col>
                    <xdr:colOff>552450</xdr:colOff>
                    <xdr:row>7</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7" id="{C604E358-9099-4C3C-8FED-C263D58C96AD}">
            <xm:f>IF('Capacity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0" id="{2D5FDE64-7C03-4AE0-9001-41E3F5212F90}">
            <xm:f>IF('Capacity calculation (hide)'!H5=1,FALSE, TRUE)</xm:f>
            <x14:dxf>
              <fill>
                <patternFill>
                  <bgColor theme="0" tint="-0.34998626667073579"/>
                </patternFill>
              </fill>
            </x14:dxf>
          </x14:cfRule>
          <xm:sqref>H124:BG223</xm:sqref>
        </x14:conditionalFormatting>
        <x14:conditionalFormatting xmlns:xm="http://schemas.microsoft.com/office/excel/2006/main">
          <x14:cfRule type="expression" priority="6" id="{ECFD5050-EB10-4698-B617-52C24E0B982F}">
            <xm:f>IF(AND('Capacity calculation (hide)'!$E$1=2,'Capacity calculation (hide)'!BI112=0),TRUE,FALSE)</xm:f>
            <x14:dxf>
              <fill>
                <patternFill>
                  <bgColor theme="0" tint="-0.34998626667073579"/>
                </patternFill>
              </fill>
            </x14:dxf>
          </x14:cfRule>
          <xm:sqref>BI24:BI223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custom" allowBlank="1" showInputMessage="1" showErrorMessage="1" xr:uid="{00000000-0002-0000-0F00-000006000000}">
          <x14:formula1>
            <xm:f>IF(OR(AND('Capacity calculation (hide)'!$E$1=2,'Capacity calculation (hide)'!H5=1),'Capacity calculation (hide)'!$E$1=1),IF(OR(ISERROR(VALUE(H124))=FALSE,OR(H124="",LOWER(H124="x"))),TRUE,FALSE),IF(H124="",TRUE,FALSE))</xm:f>
          </x14:formula1>
          <xm:sqref>H124:BG223</xm:sqref>
        </x14:dataValidation>
        <x14:dataValidation type="custom" allowBlank="1" showInputMessage="1" showErrorMessage="1" xr:uid="{44C48EFE-F730-4019-B79D-A980F3068D53}">
          <x14:formula1>
            <xm:f>IF(OR(AND('Capacity calculation (hide)'!$E$1=2,'Capacity calculation (hide)'!H112=1),'Capacity calculation (hide)'!$E$1=1),IF(OR(ISERROR(VALUE(H24))=FALSE,OR(H24="",LOWER(H24="x"))),TRUE,FALSE),IF(H24="",TRUE,FALSE))</xm:f>
          </x14:formula1>
          <xm:sqref>H24:BG123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F25" sqref="F25"/>
    </sheetView>
  </sheetViews>
  <sheetFormatPr defaultColWidth="9" defaultRowHeight="14.25" x14ac:dyDescent="0.2"/>
  <cols>
    <col min="1" max="1" width="9.75" style="67" bestFit="1" customWidth="1"/>
    <col min="2" max="2" width="17.75" style="67" bestFit="1" customWidth="1"/>
    <col min="3" max="6" width="10.25" style="67" customWidth="1"/>
    <col min="7" max="7" width="16.625" style="67" customWidth="1"/>
    <col min="8" max="9" width="10.25" style="67" customWidth="1"/>
    <col min="10" max="19" width="9" style="67" customWidth="1"/>
    <col min="20" max="20" width="14.75" style="67" customWidth="1"/>
    <col min="21" max="100" width="9" style="67" customWidth="1"/>
    <col min="101" max="101" width="9.75" style="67" bestFit="1" customWidth="1"/>
    <col min="102" max="103" width="9" style="67"/>
    <col min="104" max="104" width="10" style="67" bestFit="1" customWidth="1"/>
    <col min="105" max="208" width="9" style="67" customWidth="1"/>
    <col min="209" max="16384" width="9" style="67"/>
  </cols>
  <sheetData>
    <row r="1" spans="1:72" x14ac:dyDescent="0.2">
      <c r="B1" s="67" t="s">
        <v>292</v>
      </c>
      <c r="C1" s="67">
        <v>1</v>
      </c>
    </row>
    <row r="2" spans="1:72" x14ac:dyDescent="0.2">
      <c r="A2" s="67" t="s">
        <v>442</v>
      </c>
      <c r="H2" s="67" t="s">
        <v>1164</v>
      </c>
      <c r="I2" s="67">
        <f t="array" aca="1" ref="I2" ca="1">IF(OR(I6:I105-H6:H105&lt;0,K6:K105-J6:J105&lt;0,M6:M105-L6:L105&lt;0,O6:O105-N6:N105&lt;0,Q6:Q105-P6:P105&lt;0),1,0)</f>
        <v>0</v>
      </c>
    </row>
    <row r="3" spans="1:72" x14ac:dyDescent="0.2">
      <c r="T3" s="67" t="s">
        <v>449</v>
      </c>
    </row>
    <row r="4" spans="1:72" ht="15" x14ac:dyDescent="0.25">
      <c r="B4" s="2"/>
      <c r="C4" s="2"/>
      <c r="D4" s="2" t="s">
        <v>468</v>
      </c>
      <c r="E4" s="2"/>
      <c r="F4" s="2"/>
      <c r="G4" s="115"/>
      <c r="H4" s="2" t="s">
        <v>444</v>
      </c>
      <c r="I4" s="2"/>
      <c r="J4" s="2" t="s">
        <v>445</v>
      </c>
      <c r="K4" s="2"/>
      <c r="L4" s="2" t="s">
        <v>446</v>
      </c>
      <c r="M4" s="2"/>
      <c r="N4" s="2" t="s">
        <v>447</v>
      </c>
      <c r="O4" s="2"/>
      <c r="P4" s="2" t="s">
        <v>448</v>
      </c>
      <c r="Q4" s="2"/>
      <c r="U4" s="2" t="s">
        <v>248</v>
      </c>
    </row>
    <row r="5" spans="1:72" ht="15" x14ac:dyDescent="0.25">
      <c r="A5" s="67" t="s">
        <v>1163</v>
      </c>
      <c r="B5" s="2" t="s">
        <v>293</v>
      </c>
      <c r="C5" s="2" t="s">
        <v>248</v>
      </c>
      <c r="D5" s="2" t="s">
        <v>128</v>
      </c>
      <c r="E5" s="2" t="s">
        <v>427</v>
      </c>
      <c r="F5" s="2"/>
      <c r="G5" s="2" t="s">
        <v>443</v>
      </c>
      <c r="H5" s="2" t="s">
        <v>148</v>
      </c>
      <c r="I5" s="2" t="s">
        <v>149</v>
      </c>
      <c r="J5" s="2" t="s">
        <v>148</v>
      </c>
      <c r="K5" s="2" t="s">
        <v>149</v>
      </c>
      <c r="L5" s="2" t="s">
        <v>148</v>
      </c>
      <c r="M5" s="2" t="s">
        <v>149</v>
      </c>
      <c r="N5" s="2" t="s">
        <v>148</v>
      </c>
      <c r="O5" s="2" t="s">
        <v>149</v>
      </c>
      <c r="P5" s="2" t="s">
        <v>148</v>
      </c>
      <c r="Q5" s="2" t="s">
        <v>149</v>
      </c>
      <c r="T5" s="2" t="s">
        <v>450</v>
      </c>
      <c r="U5" s="67">
        <v>1</v>
      </c>
      <c r="V5" s="67">
        <v>2</v>
      </c>
      <c r="W5" s="67">
        <v>3</v>
      </c>
      <c r="X5" s="67">
        <v>4</v>
      </c>
      <c r="Y5" s="67">
        <v>5</v>
      </c>
      <c r="Z5" s="67">
        <v>6</v>
      </c>
      <c r="AA5" s="67">
        <v>7</v>
      </c>
      <c r="AB5" s="67">
        <v>8</v>
      </c>
      <c r="AC5" s="67">
        <v>9</v>
      </c>
      <c r="AD5" s="67">
        <v>10</v>
      </c>
      <c r="AE5" s="67">
        <v>11</v>
      </c>
      <c r="AF5" s="67">
        <v>12</v>
      </c>
      <c r="AG5" s="67">
        <v>13</v>
      </c>
      <c r="AH5" s="67">
        <v>14</v>
      </c>
      <c r="AI5" s="67">
        <v>15</v>
      </c>
      <c r="AJ5" s="67">
        <v>16</v>
      </c>
      <c r="AK5" s="67">
        <v>17</v>
      </c>
      <c r="AL5" s="67">
        <v>18</v>
      </c>
      <c r="AM5" s="67">
        <v>19</v>
      </c>
      <c r="AN5" s="67">
        <v>20</v>
      </c>
      <c r="AO5" s="67">
        <v>21</v>
      </c>
      <c r="AP5" s="67">
        <v>22</v>
      </c>
      <c r="AQ5" s="67">
        <v>23</v>
      </c>
      <c r="AR5" s="67">
        <v>24</v>
      </c>
      <c r="AS5" s="67">
        <v>25</v>
      </c>
      <c r="AT5" s="67">
        <v>26</v>
      </c>
      <c r="AU5" s="67">
        <v>27</v>
      </c>
      <c r="AV5" s="67">
        <v>28</v>
      </c>
      <c r="AW5" s="67">
        <v>29</v>
      </c>
      <c r="AX5" s="67">
        <v>30</v>
      </c>
      <c r="AY5" s="67">
        <v>31</v>
      </c>
      <c r="AZ5" s="67">
        <v>32</v>
      </c>
      <c r="BA5" s="67">
        <v>33</v>
      </c>
      <c r="BB5" s="67">
        <v>34</v>
      </c>
      <c r="BC5" s="67">
        <v>35</v>
      </c>
      <c r="BD5" s="67">
        <v>36</v>
      </c>
      <c r="BE5" s="67">
        <v>37</v>
      </c>
      <c r="BF5" s="67">
        <v>38</v>
      </c>
      <c r="BG5" s="67">
        <v>39</v>
      </c>
      <c r="BH5" s="67">
        <v>40</v>
      </c>
      <c r="BI5" s="67">
        <v>41</v>
      </c>
      <c r="BJ5" s="67">
        <v>42</v>
      </c>
      <c r="BK5" s="67">
        <v>43</v>
      </c>
      <c r="BL5" s="67">
        <v>44</v>
      </c>
      <c r="BM5" s="67">
        <v>45</v>
      </c>
      <c r="BN5" s="67">
        <v>46</v>
      </c>
      <c r="BO5" s="67">
        <v>47</v>
      </c>
      <c r="BP5" s="67">
        <v>48</v>
      </c>
      <c r="BQ5" s="67">
        <v>49</v>
      </c>
      <c r="BR5" s="67">
        <v>50</v>
      </c>
      <c r="BS5" s="67">
        <v>51</v>
      </c>
      <c r="BT5" s="67">
        <v>52</v>
      </c>
    </row>
    <row r="6" spans="1:72" x14ac:dyDescent="0.2">
      <c r="A6" s="317">
        <f ca="1">B6+6</f>
        <v>44423</v>
      </c>
      <c r="B6" s="87">
        <f ca="1">IF('Critical resources'!$D$3="",TODAY()-WEEKDAY(TODAY(),3)+7,'Critical resources'!D3-WEEKDAY('Critical resources'!D3,3))</f>
        <v>44417</v>
      </c>
      <c r="C6" s="67">
        <v>1</v>
      </c>
      <c r="D6" s="67">
        <f ca="1">YEAR(B6)</f>
        <v>2021</v>
      </c>
      <c r="E6" s="67" t="str">
        <f t="shared" ref="E6:E54" ca="1" si="0">IF(TEXT(B6,"MMM")=TEXT(B5,"MMM")," ",TEXT(B6,"MMM"))</f>
        <v>Aug</v>
      </c>
      <c r="F6" s="67">
        <f ca="1">WEEKNUM(B6,21)</f>
        <v>32</v>
      </c>
      <c r="G6" s="67" t="str">
        <f>ROW(A1)&amp;". "&amp;'Critical resources'!B12</f>
        <v>1. Consultant: Mr Smith</v>
      </c>
      <c r="H6" s="67">
        <f ca="1">IFERROR(VLOOKUP('Critical resources'!D12,$B$6:$C$57,2,0),0)</f>
        <v>0</v>
      </c>
      <c r="I6" s="67">
        <f ca="1">IFERROR(VLOOKUP('Critical resources'!E12,$A$6:$C$57,3,0),0)</f>
        <v>0</v>
      </c>
      <c r="J6" s="67">
        <f ca="1">IFERROR(VLOOKUP('Critical resources'!G12,$B$6:$C$57,2,0),0)</f>
        <v>0</v>
      </c>
      <c r="K6" s="67">
        <f ca="1">IFERROR(VLOOKUP('Critical resources'!H12,$A$6:$C$57,3,0),0)</f>
        <v>0</v>
      </c>
      <c r="L6" s="67">
        <f ca="1">IFERROR(VLOOKUP('Critical resources'!J12,$B$6:$C$57,2,0),0)</f>
        <v>0</v>
      </c>
      <c r="M6" s="67">
        <f ca="1">IFERROR(VLOOKUP('Critical resources'!K12,$A$6:$C$57,3,0),0)</f>
        <v>0</v>
      </c>
      <c r="N6" s="67">
        <f ca="1">IFERROR(VLOOKUP('Critical resources'!M12,$B$6:$C$57,2,0),0)</f>
        <v>0</v>
      </c>
      <c r="O6" s="67">
        <f ca="1">IFERROR(VLOOKUP('Critical resources'!N12,$A$6:$C$57,3,0),0)</f>
        <v>0</v>
      </c>
      <c r="P6" s="67">
        <f ca="1">IFERROR(VLOOKUP('Critical resources'!P12,$B$6:$C$57,2,0),0)</f>
        <v>0</v>
      </c>
      <c r="Q6" s="67">
        <f ca="1">IFERROR(VLOOKUP('Critical resources'!Q12,$A$6:$C$57,3,0),0)</f>
        <v>0</v>
      </c>
      <c r="T6" s="67" t="str">
        <f t="shared" ref="T6:T37" si="1">G6</f>
        <v>1. Consultant: Mr Smith</v>
      </c>
      <c r="U6" s="67">
        <f ca="1">SUM(IFERROR(IF(AND(U$5&gt;=$H6,U$5&lt;=$I6),1,0),0),IFERROR(IF(AND(U$5&gt;=$J6,U$5&lt;=$K6),1,0),0),IFERROR(IF(AND(U$5&gt;=$L6,U$5&lt;=$M6),1,0),0),IFERROR(IF(AND(U$5&gt;=$N6,U$5&lt;=$O6),1,0),0),IFERROR(IF(AND(U$5&gt;=$P6,U$5&lt;=$Q6),1,0),0))</f>
        <v>0</v>
      </c>
      <c r="V6" s="67">
        <f t="shared" ref="V6:AK21" ca="1" si="2">SUM(IFERROR(IF(AND(V$5&gt;=$H6,V$5&lt;=$I6),1,0),0),IFERROR(IF(AND(V$5&gt;=$J6,V$5&lt;=$K6),1,0),0),IFERROR(IF(AND(V$5&gt;=$L6,V$5&lt;=$M6),1,0),0),IFERROR(IF(AND(V$5&gt;=$N6,V$5&lt;=$O6),1,0),0),IFERROR(IF(AND(V$5&gt;=$P6,V$5&lt;=$Q6),1,0),0))</f>
        <v>0</v>
      </c>
      <c r="W6" s="67">
        <f t="shared" ca="1" si="2"/>
        <v>0</v>
      </c>
      <c r="X6" s="67">
        <f t="shared" ca="1" si="2"/>
        <v>0</v>
      </c>
      <c r="Y6" s="67">
        <f t="shared" ca="1" si="2"/>
        <v>0</v>
      </c>
      <c r="Z6" s="67">
        <f t="shared" ca="1" si="2"/>
        <v>0</v>
      </c>
      <c r="AA6" s="67">
        <f t="shared" ca="1" si="2"/>
        <v>0</v>
      </c>
      <c r="AB6" s="67">
        <f t="shared" ca="1" si="2"/>
        <v>0</v>
      </c>
      <c r="AC6" s="67">
        <f t="shared" ca="1" si="2"/>
        <v>0</v>
      </c>
      <c r="AD6" s="67">
        <f t="shared" ca="1" si="2"/>
        <v>0</v>
      </c>
      <c r="AE6" s="67">
        <f t="shared" ca="1" si="2"/>
        <v>0</v>
      </c>
      <c r="AF6" s="67">
        <f t="shared" ca="1" si="2"/>
        <v>0</v>
      </c>
      <c r="AG6" s="67">
        <f t="shared" ca="1" si="2"/>
        <v>0</v>
      </c>
      <c r="AH6" s="67">
        <f t="shared" ca="1" si="2"/>
        <v>0</v>
      </c>
      <c r="AI6" s="67">
        <f t="shared" ca="1" si="2"/>
        <v>0</v>
      </c>
      <c r="AJ6" s="67">
        <f t="shared" ca="1" si="2"/>
        <v>0</v>
      </c>
      <c r="AK6" s="67">
        <f t="shared" ca="1" si="2"/>
        <v>0</v>
      </c>
      <c r="AL6" s="67">
        <f t="shared" ref="AL6:BA21" ca="1" si="3">SUM(IFERROR(IF(AND(AL$5&gt;=$H6,AL$5&lt;=$I6),1,0),0),IFERROR(IF(AND(AL$5&gt;=$J6,AL$5&lt;=$K6),1,0),0),IFERROR(IF(AND(AL$5&gt;=$L6,AL$5&lt;=$M6),1,0),0),IFERROR(IF(AND(AL$5&gt;=$N6,AL$5&lt;=$O6),1,0),0),IFERROR(IF(AND(AL$5&gt;=$P6,AL$5&lt;=$Q6),1,0),0))</f>
        <v>0</v>
      </c>
      <c r="AM6" s="67">
        <f t="shared" ca="1" si="3"/>
        <v>0</v>
      </c>
      <c r="AN6" s="67">
        <f t="shared" ca="1" si="3"/>
        <v>0</v>
      </c>
      <c r="AO6" s="67">
        <f t="shared" ca="1" si="3"/>
        <v>0</v>
      </c>
      <c r="AP6" s="67">
        <f t="shared" ca="1" si="3"/>
        <v>0</v>
      </c>
      <c r="AQ6" s="67">
        <f t="shared" ca="1" si="3"/>
        <v>0</v>
      </c>
      <c r="AR6" s="67">
        <f t="shared" ca="1" si="3"/>
        <v>0</v>
      </c>
      <c r="AS6" s="67">
        <f t="shared" ca="1" si="3"/>
        <v>0</v>
      </c>
      <c r="AT6" s="67">
        <f t="shared" ca="1" si="3"/>
        <v>0</v>
      </c>
      <c r="AU6" s="67">
        <f t="shared" ca="1" si="3"/>
        <v>0</v>
      </c>
      <c r="AV6" s="67">
        <f t="shared" ca="1" si="3"/>
        <v>0</v>
      </c>
      <c r="AW6" s="67">
        <f t="shared" ca="1" si="3"/>
        <v>0</v>
      </c>
      <c r="AX6" s="67">
        <f t="shared" ca="1" si="3"/>
        <v>0</v>
      </c>
      <c r="AY6" s="67">
        <f t="shared" ca="1" si="3"/>
        <v>0</v>
      </c>
      <c r="AZ6" s="67">
        <f t="shared" ca="1" si="3"/>
        <v>0</v>
      </c>
      <c r="BA6" s="67">
        <f t="shared" ca="1" si="3"/>
        <v>0</v>
      </c>
      <c r="BB6" s="67">
        <f t="shared" ref="BB6:BQ21" ca="1" si="4">SUM(IFERROR(IF(AND(BB$5&gt;=$H6,BB$5&lt;=$I6),1,0),0),IFERROR(IF(AND(BB$5&gt;=$J6,BB$5&lt;=$K6),1,0),0),IFERROR(IF(AND(BB$5&gt;=$L6,BB$5&lt;=$M6),1,0),0),IFERROR(IF(AND(BB$5&gt;=$N6,BB$5&lt;=$O6),1,0),0),IFERROR(IF(AND(BB$5&gt;=$P6,BB$5&lt;=$Q6),1,0),0))</f>
        <v>0</v>
      </c>
      <c r="BC6" s="67">
        <f t="shared" ca="1" si="4"/>
        <v>0</v>
      </c>
      <c r="BD6" s="67">
        <f t="shared" ca="1" si="4"/>
        <v>0</v>
      </c>
      <c r="BE6" s="67">
        <f t="shared" ca="1" si="4"/>
        <v>0</v>
      </c>
      <c r="BF6" s="67">
        <f t="shared" ca="1" si="4"/>
        <v>0</v>
      </c>
      <c r="BG6" s="67">
        <f t="shared" ca="1" si="4"/>
        <v>0</v>
      </c>
      <c r="BH6" s="67">
        <f t="shared" ca="1" si="4"/>
        <v>0</v>
      </c>
      <c r="BI6" s="67">
        <f t="shared" ca="1" si="4"/>
        <v>0</v>
      </c>
      <c r="BJ6" s="67">
        <f t="shared" ca="1" si="4"/>
        <v>0</v>
      </c>
      <c r="BK6" s="67">
        <f t="shared" ca="1" si="4"/>
        <v>0</v>
      </c>
      <c r="BL6" s="67">
        <f t="shared" ca="1" si="4"/>
        <v>0</v>
      </c>
      <c r="BM6" s="67">
        <f t="shared" ca="1" si="4"/>
        <v>0</v>
      </c>
      <c r="BN6" s="67">
        <f t="shared" ca="1" si="4"/>
        <v>0</v>
      </c>
      <c r="BO6" s="67">
        <f t="shared" ca="1" si="4"/>
        <v>0</v>
      </c>
      <c r="BP6" s="67">
        <f t="shared" ca="1" si="4"/>
        <v>0</v>
      </c>
      <c r="BQ6" s="67">
        <f t="shared" ca="1" si="4"/>
        <v>0</v>
      </c>
      <c r="BR6" s="67">
        <f t="shared" ref="BR6:BT25" ca="1" si="5">SUM(IFERROR(IF(AND(BR$5&gt;=$H6,BR$5&lt;=$I6),1,0),0),IFERROR(IF(AND(BR$5&gt;=$J6,BR$5&lt;=$K6),1,0),0),IFERROR(IF(AND(BR$5&gt;=$L6,BR$5&lt;=$M6),1,0),0),IFERROR(IF(AND(BR$5&gt;=$N6,BR$5&lt;=$O6),1,0),0),IFERROR(IF(AND(BR$5&gt;=$P6,BR$5&lt;=$Q6),1,0),0))</f>
        <v>0</v>
      </c>
      <c r="BS6" s="67">
        <f t="shared" ca="1" si="5"/>
        <v>0</v>
      </c>
      <c r="BT6" s="67">
        <f t="shared" ca="1" si="5"/>
        <v>0</v>
      </c>
    </row>
    <row r="7" spans="1:72" x14ac:dyDescent="0.2">
      <c r="A7" s="317">
        <f t="shared" ref="A7:A58" ca="1" si="6">B7+6</f>
        <v>44430</v>
      </c>
      <c r="B7" s="87">
        <f ca="1">B6+7</f>
        <v>44424</v>
      </c>
      <c r="C7" s="67">
        <v>2</v>
      </c>
      <c r="D7" s="67" t="str">
        <f ca="1">IF(YEAR(B7)=YEAR(B6),"",YEAR(B7))</f>
        <v/>
      </c>
      <c r="E7" s="67" t="str">
        <f t="shared" ca="1" si="0"/>
        <v xml:space="preserve"> </v>
      </c>
      <c r="F7" s="67">
        <f t="shared" ref="F7:F58" ca="1" si="7">WEEKNUM(B7,21)</f>
        <v>33</v>
      </c>
      <c r="G7" s="67" t="str">
        <f>ROW(A2)&amp;". "&amp;'Critical resources'!B13</f>
        <v>2. Consultant: Ms Taylor</v>
      </c>
      <c r="H7" s="67">
        <f ca="1">IFERROR(VLOOKUP('Critical resources'!D13,$B$6:$C$57,2,0),0)</f>
        <v>0</v>
      </c>
      <c r="I7" s="67">
        <f ca="1">IFERROR(VLOOKUP('Critical resources'!E13,$A$6:$C$57,3,0),0)</f>
        <v>0</v>
      </c>
      <c r="J7" s="67">
        <f ca="1">IFERROR(VLOOKUP('Critical resources'!G13,$B$6:$C$57,2,0),0)</f>
        <v>0</v>
      </c>
      <c r="K7" s="67">
        <f ca="1">IFERROR(VLOOKUP('Critical resources'!H13,$B$6:$C$57,2,0),0)</f>
        <v>0</v>
      </c>
      <c r="L7" s="67">
        <f ca="1">IFERROR(VLOOKUP('Critical resources'!J13,$B$6:$C$57,2,0),0)</f>
        <v>0</v>
      </c>
      <c r="M7" s="67">
        <f ca="1">IFERROR(VLOOKUP('Critical resources'!K13,$A$6:$C$57,3,0),0)</f>
        <v>0</v>
      </c>
      <c r="N7" s="67">
        <f ca="1">IFERROR(VLOOKUP('Critical resources'!M13,$B$6:$C$57,2,0),0)</f>
        <v>0</v>
      </c>
      <c r="O7" s="67">
        <f ca="1">IFERROR(VLOOKUP('Critical resources'!N13,$A$6:$C$57,3,0),0)</f>
        <v>0</v>
      </c>
      <c r="P7" s="67">
        <f ca="1">IFERROR(VLOOKUP('Critical resources'!P13,$B$6:$C$57,2,0),0)</f>
        <v>0</v>
      </c>
      <c r="Q7" s="67">
        <f ca="1">IFERROR(VLOOKUP('Critical resources'!Q13,$A$6:$C$57,3,0),0)</f>
        <v>0</v>
      </c>
      <c r="T7" s="67" t="str">
        <f t="shared" si="1"/>
        <v>2. Consultant: Ms Taylor</v>
      </c>
      <c r="U7" s="67">
        <f t="shared" ref="U7:AJ22" ca="1" si="8">SUM(IFERROR(IF(AND(U$5&gt;=$H7,U$5&lt;=$I7),1,0),0),IFERROR(IF(AND(U$5&gt;=$J7,U$5&lt;=$K7),1,0),0),IFERROR(IF(AND(U$5&gt;=$L7,U$5&lt;=$M7),1,0),0),IFERROR(IF(AND(U$5&gt;=$N7,U$5&lt;=$O7),1,0),0),IFERROR(IF(AND(U$5&gt;=$P7,U$5&lt;=$Q7),1,0),0))</f>
        <v>0</v>
      </c>
      <c r="V7" s="67">
        <f t="shared" ca="1" si="2"/>
        <v>0</v>
      </c>
      <c r="W7" s="67">
        <f t="shared" ca="1" si="2"/>
        <v>0</v>
      </c>
      <c r="X7" s="67">
        <f t="shared" ca="1" si="2"/>
        <v>0</v>
      </c>
      <c r="Y7" s="67">
        <f t="shared" ca="1" si="2"/>
        <v>0</v>
      </c>
      <c r="Z7" s="67">
        <f t="shared" ca="1" si="2"/>
        <v>0</v>
      </c>
      <c r="AA7" s="67">
        <f t="shared" ca="1" si="2"/>
        <v>0</v>
      </c>
      <c r="AB7" s="67">
        <f t="shared" ca="1" si="2"/>
        <v>0</v>
      </c>
      <c r="AC7" s="67">
        <f t="shared" ca="1" si="2"/>
        <v>0</v>
      </c>
      <c r="AD7" s="67">
        <f t="shared" ca="1" si="2"/>
        <v>0</v>
      </c>
      <c r="AE7" s="67">
        <f t="shared" ca="1" si="2"/>
        <v>0</v>
      </c>
      <c r="AF7" s="67">
        <f t="shared" ca="1" si="2"/>
        <v>0</v>
      </c>
      <c r="AG7" s="67">
        <f t="shared" ca="1" si="2"/>
        <v>0</v>
      </c>
      <c r="AH7" s="67">
        <f t="shared" ca="1" si="2"/>
        <v>0</v>
      </c>
      <c r="AI7" s="67">
        <f t="shared" ca="1" si="2"/>
        <v>0</v>
      </c>
      <c r="AJ7" s="67">
        <f t="shared" ca="1" si="2"/>
        <v>0</v>
      </c>
      <c r="AK7" s="67">
        <f t="shared" ca="1" si="2"/>
        <v>0</v>
      </c>
      <c r="AL7" s="67">
        <f t="shared" ca="1" si="3"/>
        <v>0</v>
      </c>
      <c r="AM7" s="67">
        <f t="shared" ca="1" si="3"/>
        <v>0</v>
      </c>
      <c r="AN7" s="67">
        <f t="shared" ca="1" si="3"/>
        <v>0</v>
      </c>
      <c r="AO7" s="67">
        <f t="shared" ca="1" si="3"/>
        <v>0</v>
      </c>
      <c r="AP7" s="67">
        <f t="shared" ca="1" si="3"/>
        <v>0</v>
      </c>
      <c r="AQ7" s="67">
        <f t="shared" ca="1" si="3"/>
        <v>0</v>
      </c>
      <c r="AR7" s="67">
        <f t="shared" ca="1" si="3"/>
        <v>0</v>
      </c>
      <c r="AS7" s="67">
        <f t="shared" ca="1" si="3"/>
        <v>0</v>
      </c>
      <c r="AT7" s="67">
        <f t="shared" ca="1" si="3"/>
        <v>0</v>
      </c>
      <c r="AU7" s="67">
        <f t="shared" ca="1" si="3"/>
        <v>0</v>
      </c>
      <c r="AV7" s="67">
        <f t="shared" ca="1" si="3"/>
        <v>0</v>
      </c>
      <c r="AW7" s="67">
        <f t="shared" ca="1" si="3"/>
        <v>0</v>
      </c>
      <c r="AX7" s="67">
        <f t="shared" ca="1" si="3"/>
        <v>0</v>
      </c>
      <c r="AY7" s="67">
        <f t="shared" ca="1" si="3"/>
        <v>0</v>
      </c>
      <c r="AZ7" s="67">
        <f t="shared" ca="1" si="3"/>
        <v>0</v>
      </c>
      <c r="BA7" s="67">
        <f t="shared" ca="1" si="3"/>
        <v>0</v>
      </c>
      <c r="BB7" s="67">
        <f t="shared" ca="1" si="4"/>
        <v>0</v>
      </c>
      <c r="BC7" s="67">
        <f t="shared" ca="1" si="4"/>
        <v>0</v>
      </c>
      <c r="BD7" s="67">
        <f t="shared" ca="1" si="4"/>
        <v>0</v>
      </c>
      <c r="BE7" s="67">
        <f t="shared" ca="1" si="4"/>
        <v>0</v>
      </c>
      <c r="BF7" s="67">
        <f t="shared" ca="1" si="4"/>
        <v>0</v>
      </c>
      <c r="BG7" s="67">
        <f t="shared" ca="1" si="4"/>
        <v>0</v>
      </c>
      <c r="BH7" s="67">
        <f t="shared" ca="1" si="4"/>
        <v>0</v>
      </c>
      <c r="BI7" s="67">
        <f t="shared" ca="1" si="4"/>
        <v>0</v>
      </c>
      <c r="BJ7" s="67">
        <f t="shared" ca="1" si="4"/>
        <v>0</v>
      </c>
      <c r="BK7" s="67">
        <f t="shared" ca="1" si="4"/>
        <v>0</v>
      </c>
      <c r="BL7" s="67">
        <f t="shared" ca="1" si="4"/>
        <v>0</v>
      </c>
      <c r="BM7" s="67">
        <f t="shared" ca="1" si="4"/>
        <v>0</v>
      </c>
      <c r="BN7" s="67">
        <f t="shared" ca="1" si="4"/>
        <v>0</v>
      </c>
      <c r="BO7" s="67">
        <f t="shared" ca="1" si="4"/>
        <v>0</v>
      </c>
      <c r="BP7" s="67">
        <f t="shared" ca="1" si="4"/>
        <v>0</v>
      </c>
      <c r="BQ7" s="67">
        <f t="shared" ca="1" si="4"/>
        <v>0</v>
      </c>
      <c r="BR7" s="67">
        <f t="shared" ca="1" si="5"/>
        <v>0</v>
      </c>
      <c r="BS7" s="67">
        <f t="shared" ca="1" si="5"/>
        <v>0</v>
      </c>
      <c r="BT7" s="67">
        <f t="shared" ca="1" si="5"/>
        <v>0</v>
      </c>
    </row>
    <row r="8" spans="1:72" x14ac:dyDescent="0.2">
      <c r="A8" s="317">
        <f t="shared" ca="1" si="6"/>
        <v>44437</v>
      </c>
      <c r="B8" s="87">
        <f t="shared" ref="B8:B58" ca="1" si="9">B7+7</f>
        <v>44431</v>
      </c>
      <c r="C8" s="67">
        <v>3</v>
      </c>
      <c r="D8" s="67" t="str">
        <f t="shared" ref="D8:D57" ca="1" si="10">IF(YEAR(B8)=YEAR(B7),"",YEAR(B8))</f>
        <v/>
      </c>
      <c r="E8" s="67" t="str">
        <f t="shared" ca="1" si="0"/>
        <v xml:space="preserve"> </v>
      </c>
      <c r="F8" s="67">
        <f t="shared" ca="1" si="7"/>
        <v>34</v>
      </c>
      <c r="G8" s="67" t="str">
        <f>ROW(A3)&amp;". "&amp;'Critical resources'!B14</f>
        <v>3. CT Scanner 1</v>
      </c>
      <c r="H8" s="67">
        <f ca="1">IFERROR(VLOOKUP('Critical resources'!D14,$B$6:$C$57,2,0),0)</f>
        <v>0</v>
      </c>
      <c r="I8" s="67">
        <f ca="1">IFERROR(VLOOKUP('Critical resources'!E14,$A$6:$C$57,3,0),0)</f>
        <v>0</v>
      </c>
      <c r="J8" s="67">
        <f ca="1">IFERROR(VLOOKUP('Critical resources'!G14,$B$6:$C$57,2,0),0)</f>
        <v>0</v>
      </c>
      <c r="K8" s="67">
        <f ca="1">IFERROR(VLOOKUP('Critical resources'!H14,$B$6:$C$57,2,0),0)</f>
        <v>0</v>
      </c>
      <c r="L8" s="67">
        <f ca="1">IFERROR(VLOOKUP('Critical resources'!J14,$B$6:$C$57,2,0),0)</f>
        <v>0</v>
      </c>
      <c r="M8" s="67">
        <f ca="1">IFERROR(VLOOKUP('Critical resources'!K14,$A$6:$C$57,3,0),0)</f>
        <v>0</v>
      </c>
      <c r="N8" s="67">
        <f ca="1">IFERROR(VLOOKUP('Critical resources'!M14,$B$6:$C$57,2,0),0)</f>
        <v>0</v>
      </c>
      <c r="O8" s="67">
        <f ca="1">IFERROR(VLOOKUP('Critical resources'!N14,$A$6:$C$57,3,0),0)</f>
        <v>0</v>
      </c>
      <c r="P8" s="67">
        <f ca="1">IFERROR(VLOOKUP('Critical resources'!P14,$B$6:$C$57,2,0),0)</f>
        <v>0</v>
      </c>
      <c r="Q8" s="67">
        <f ca="1">IFERROR(VLOOKUP('Critical resources'!Q14,$A$6:$C$57,3,0),0)</f>
        <v>0</v>
      </c>
      <c r="T8" s="67" t="str">
        <f t="shared" si="1"/>
        <v>3. CT Scanner 1</v>
      </c>
      <c r="U8" s="67">
        <f t="shared" ca="1" si="8"/>
        <v>0</v>
      </c>
      <c r="V8" s="67">
        <f t="shared" ca="1" si="2"/>
        <v>0</v>
      </c>
      <c r="W8" s="67">
        <f t="shared" ca="1" si="2"/>
        <v>0</v>
      </c>
      <c r="X8" s="67">
        <f t="shared" ca="1" si="2"/>
        <v>0</v>
      </c>
      <c r="Y8" s="67">
        <f t="shared" ca="1" si="2"/>
        <v>0</v>
      </c>
      <c r="Z8" s="67">
        <f t="shared" ca="1" si="2"/>
        <v>0</v>
      </c>
      <c r="AA8" s="67">
        <f t="shared" ca="1" si="2"/>
        <v>0</v>
      </c>
      <c r="AB8" s="67">
        <f t="shared" ca="1" si="2"/>
        <v>0</v>
      </c>
      <c r="AC8" s="67">
        <f t="shared" ca="1" si="2"/>
        <v>0</v>
      </c>
      <c r="AD8" s="67">
        <f t="shared" ca="1" si="2"/>
        <v>0</v>
      </c>
      <c r="AE8" s="67">
        <f t="shared" ca="1" si="2"/>
        <v>0</v>
      </c>
      <c r="AF8" s="67">
        <f t="shared" ca="1" si="2"/>
        <v>0</v>
      </c>
      <c r="AG8" s="67">
        <f t="shared" ca="1" si="2"/>
        <v>0</v>
      </c>
      <c r="AH8" s="67">
        <f t="shared" ca="1" si="2"/>
        <v>0</v>
      </c>
      <c r="AI8" s="67">
        <f t="shared" ca="1" si="2"/>
        <v>0</v>
      </c>
      <c r="AJ8" s="67">
        <f t="shared" ca="1" si="2"/>
        <v>0</v>
      </c>
      <c r="AK8" s="67">
        <f t="shared" ca="1" si="2"/>
        <v>0</v>
      </c>
      <c r="AL8" s="67">
        <f t="shared" ca="1" si="3"/>
        <v>0</v>
      </c>
      <c r="AM8" s="67">
        <f t="shared" ca="1" si="3"/>
        <v>0</v>
      </c>
      <c r="AN8" s="67">
        <f t="shared" ca="1" si="3"/>
        <v>0</v>
      </c>
      <c r="AO8" s="67">
        <f t="shared" ca="1" si="3"/>
        <v>0</v>
      </c>
      <c r="AP8" s="67">
        <f t="shared" ca="1" si="3"/>
        <v>0</v>
      </c>
      <c r="AQ8" s="67">
        <f t="shared" ca="1" si="3"/>
        <v>0</v>
      </c>
      <c r="AR8" s="67">
        <f t="shared" ca="1" si="3"/>
        <v>0</v>
      </c>
      <c r="AS8" s="67">
        <f t="shared" ca="1" si="3"/>
        <v>0</v>
      </c>
      <c r="AT8" s="67">
        <f t="shared" ca="1" si="3"/>
        <v>0</v>
      </c>
      <c r="AU8" s="67">
        <f t="shared" ca="1" si="3"/>
        <v>0</v>
      </c>
      <c r="AV8" s="67">
        <f t="shared" ca="1" si="3"/>
        <v>0</v>
      </c>
      <c r="AW8" s="67">
        <f t="shared" ca="1" si="3"/>
        <v>0</v>
      </c>
      <c r="AX8" s="67">
        <f t="shared" ca="1" si="3"/>
        <v>0</v>
      </c>
      <c r="AY8" s="67">
        <f t="shared" ca="1" si="3"/>
        <v>0</v>
      </c>
      <c r="AZ8" s="67">
        <f t="shared" ca="1" si="3"/>
        <v>0</v>
      </c>
      <c r="BA8" s="67">
        <f t="shared" ca="1" si="3"/>
        <v>0</v>
      </c>
      <c r="BB8" s="67">
        <f t="shared" ca="1" si="4"/>
        <v>0</v>
      </c>
      <c r="BC8" s="67">
        <f t="shared" ca="1" si="4"/>
        <v>0</v>
      </c>
      <c r="BD8" s="67">
        <f t="shared" ca="1" si="4"/>
        <v>0</v>
      </c>
      <c r="BE8" s="67">
        <f t="shared" ca="1" si="4"/>
        <v>0</v>
      </c>
      <c r="BF8" s="67">
        <f t="shared" ca="1" si="4"/>
        <v>0</v>
      </c>
      <c r="BG8" s="67">
        <f t="shared" ca="1" si="4"/>
        <v>0</v>
      </c>
      <c r="BH8" s="67">
        <f t="shared" ca="1" si="4"/>
        <v>0</v>
      </c>
      <c r="BI8" s="67">
        <f t="shared" ca="1" si="4"/>
        <v>0</v>
      </c>
      <c r="BJ8" s="67">
        <f t="shared" ca="1" si="4"/>
        <v>0</v>
      </c>
      <c r="BK8" s="67">
        <f t="shared" ca="1" si="4"/>
        <v>0</v>
      </c>
      <c r="BL8" s="67">
        <f t="shared" ca="1" si="4"/>
        <v>0</v>
      </c>
      <c r="BM8" s="67">
        <f t="shared" ca="1" si="4"/>
        <v>0</v>
      </c>
      <c r="BN8" s="67">
        <f t="shared" ca="1" si="4"/>
        <v>0</v>
      </c>
      <c r="BO8" s="67">
        <f t="shared" ca="1" si="4"/>
        <v>0</v>
      </c>
      <c r="BP8" s="67">
        <f t="shared" ca="1" si="4"/>
        <v>0</v>
      </c>
      <c r="BQ8" s="67">
        <f t="shared" ca="1" si="4"/>
        <v>0</v>
      </c>
      <c r="BR8" s="67">
        <f t="shared" ca="1" si="5"/>
        <v>0</v>
      </c>
      <c r="BS8" s="67">
        <f t="shared" ca="1" si="5"/>
        <v>0</v>
      </c>
      <c r="BT8" s="67">
        <f t="shared" ca="1" si="5"/>
        <v>0</v>
      </c>
    </row>
    <row r="9" spans="1:72" x14ac:dyDescent="0.2">
      <c r="A9" s="317">
        <f t="shared" ca="1" si="6"/>
        <v>44444</v>
      </c>
      <c r="B9" s="87">
        <f t="shared" ca="1" si="9"/>
        <v>44438</v>
      </c>
      <c r="C9" s="67">
        <v>4</v>
      </c>
      <c r="D9" s="67" t="str">
        <f t="shared" ca="1" si="10"/>
        <v/>
      </c>
      <c r="E9" s="67" t="str">
        <f t="shared" ca="1" si="0"/>
        <v xml:space="preserve"> </v>
      </c>
      <c r="F9" s="67">
        <f t="shared" ca="1" si="7"/>
        <v>35</v>
      </c>
      <c r="G9" s="67" t="str">
        <f>ROW(A4)&amp;". "&amp;'Critical resources'!B15</f>
        <v>4. CT Scanner 2</v>
      </c>
      <c r="H9" s="67">
        <f ca="1">IFERROR(VLOOKUP('Critical resources'!D15,$B$6:$C$57,2,0),0)</f>
        <v>0</v>
      </c>
      <c r="I9" s="67">
        <f ca="1">IFERROR(VLOOKUP('Critical resources'!E15,$A$6:$C$57,3,0),0)</f>
        <v>0</v>
      </c>
      <c r="J9" s="67">
        <f ca="1">IFERROR(VLOOKUP('Critical resources'!G15,$B$6:$C$57,2,0),0)</f>
        <v>0</v>
      </c>
      <c r="K9" s="67">
        <f ca="1">IFERROR(VLOOKUP('Critical resources'!H15,$B$6:$C$57,2,0),0)</f>
        <v>0</v>
      </c>
      <c r="L9" s="67">
        <f ca="1">IFERROR(VLOOKUP('Critical resources'!J15,$B$6:$C$57,2,0),0)</f>
        <v>0</v>
      </c>
      <c r="M9" s="67">
        <f ca="1">IFERROR(VLOOKUP('Critical resources'!K15,$A$6:$C$57,3,0),0)</f>
        <v>0</v>
      </c>
      <c r="N9" s="67">
        <f ca="1">IFERROR(VLOOKUP('Critical resources'!M15,$B$6:$C$57,2,0),0)</f>
        <v>0</v>
      </c>
      <c r="O9" s="67">
        <f ca="1">IFERROR(VLOOKUP('Critical resources'!N15,$A$6:$C$57,3,0),0)</f>
        <v>0</v>
      </c>
      <c r="P9" s="67">
        <f ca="1">IFERROR(VLOOKUP('Critical resources'!P15,$B$6:$C$57,2,0),0)</f>
        <v>0</v>
      </c>
      <c r="Q9" s="67">
        <f ca="1">IFERROR(VLOOKUP('Critical resources'!Q15,$A$6:$C$57,3,0),0)</f>
        <v>0</v>
      </c>
      <c r="T9" s="67" t="str">
        <f t="shared" si="1"/>
        <v>4. CT Scanner 2</v>
      </c>
      <c r="U9" s="67">
        <f t="shared" ca="1" si="8"/>
        <v>0</v>
      </c>
      <c r="V9" s="67">
        <f t="shared" ca="1" si="2"/>
        <v>0</v>
      </c>
      <c r="W9" s="67">
        <f t="shared" ca="1" si="2"/>
        <v>0</v>
      </c>
      <c r="X9" s="67">
        <f t="shared" ca="1" si="2"/>
        <v>0</v>
      </c>
      <c r="Y9" s="67">
        <f t="shared" ca="1" si="2"/>
        <v>0</v>
      </c>
      <c r="Z9" s="67">
        <f t="shared" ca="1" si="2"/>
        <v>0</v>
      </c>
      <c r="AA9" s="67">
        <f t="shared" ca="1" si="2"/>
        <v>0</v>
      </c>
      <c r="AB9" s="67">
        <f t="shared" ca="1" si="2"/>
        <v>0</v>
      </c>
      <c r="AC9" s="67">
        <f t="shared" ca="1" si="2"/>
        <v>0</v>
      </c>
      <c r="AD9" s="67">
        <f t="shared" ca="1" si="2"/>
        <v>0</v>
      </c>
      <c r="AE9" s="67">
        <f t="shared" ca="1" si="2"/>
        <v>0</v>
      </c>
      <c r="AF9" s="67">
        <f t="shared" ca="1" si="2"/>
        <v>0</v>
      </c>
      <c r="AG9" s="67">
        <f t="shared" ca="1" si="2"/>
        <v>0</v>
      </c>
      <c r="AH9" s="67">
        <f t="shared" ca="1" si="2"/>
        <v>0</v>
      </c>
      <c r="AI9" s="67">
        <f t="shared" ca="1" si="2"/>
        <v>0</v>
      </c>
      <c r="AJ9" s="67">
        <f t="shared" ca="1" si="2"/>
        <v>0</v>
      </c>
      <c r="AK9" s="67">
        <f t="shared" ca="1" si="2"/>
        <v>0</v>
      </c>
      <c r="AL9" s="67">
        <f t="shared" ca="1" si="3"/>
        <v>0</v>
      </c>
      <c r="AM9" s="67">
        <f t="shared" ca="1" si="3"/>
        <v>0</v>
      </c>
      <c r="AN9" s="67">
        <f t="shared" ca="1" si="3"/>
        <v>0</v>
      </c>
      <c r="AO9" s="67">
        <f t="shared" ca="1" si="3"/>
        <v>0</v>
      </c>
      <c r="AP9" s="67">
        <f t="shared" ca="1" si="3"/>
        <v>0</v>
      </c>
      <c r="AQ9" s="67">
        <f t="shared" ca="1" si="3"/>
        <v>0</v>
      </c>
      <c r="AR9" s="67">
        <f t="shared" ca="1" si="3"/>
        <v>0</v>
      </c>
      <c r="AS9" s="67">
        <f t="shared" ca="1" si="3"/>
        <v>0</v>
      </c>
      <c r="AT9" s="67">
        <f t="shared" ca="1" si="3"/>
        <v>0</v>
      </c>
      <c r="AU9" s="67">
        <f t="shared" ca="1" si="3"/>
        <v>0</v>
      </c>
      <c r="AV9" s="67">
        <f t="shared" ca="1" si="3"/>
        <v>0</v>
      </c>
      <c r="AW9" s="67">
        <f t="shared" ca="1" si="3"/>
        <v>0</v>
      </c>
      <c r="AX9" s="67">
        <f t="shared" ca="1" si="3"/>
        <v>0</v>
      </c>
      <c r="AY9" s="67">
        <f t="shared" ca="1" si="3"/>
        <v>0</v>
      </c>
      <c r="AZ9" s="67">
        <f t="shared" ca="1" si="3"/>
        <v>0</v>
      </c>
      <c r="BA9" s="67">
        <f t="shared" ca="1" si="3"/>
        <v>0</v>
      </c>
      <c r="BB9" s="67">
        <f t="shared" ca="1" si="4"/>
        <v>0</v>
      </c>
      <c r="BC9" s="67">
        <f t="shared" ca="1" si="4"/>
        <v>0</v>
      </c>
      <c r="BD9" s="67">
        <f t="shared" ca="1" si="4"/>
        <v>0</v>
      </c>
      <c r="BE9" s="67">
        <f t="shared" ca="1" si="4"/>
        <v>0</v>
      </c>
      <c r="BF9" s="67">
        <f t="shared" ca="1" si="4"/>
        <v>0</v>
      </c>
      <c r="BG9" s="67">
        <f t="shared" ca="1" si="4"/>
        <v>0</v>
      </c>
      <c r="BH9" s="67">
        <f t="shared" ca="1" si="4"/>
        <v>0</v>
      </c>
      <c r="BI9" s="67">
        <f t="shared" ca="1" si="4"/>
        <v>0</v>
      </c>
      <c r="BJ9" s="67">
        <f t="shared" ca="1" si="4"/>
        <v>0</v>
      </c>
      <c r="BK9" s="67">
        <f t="shared" ca="1" si="4"/>
        <v>0</v>
      </c>
      <c r="BL9" s="67">
        <f t="shared" ca="1" si="4"/>
        <v>0</v>
      </c>
      <c r="BM9" s="67">
        <f t="shared" ca="1" si="4"/>
        <v>0</v>
      </c>
      <c r="BN9" s="67">
        <f t="shared" ca="1" si="4"/>
        <v>0</v>
      </c>
      <c r="BO9" s="67">
        <f t="shared" ca="1" si="4"/>
        <v>0</v>
      </c>
      <c r="BP9" s="67">
        <f t="shared" ca="1" si="4"/>
        <v>0</v>
      </c>
      <c r="BQ9" s="67">
        <f t="shared" ca="1" si="4"/>
        <v>0</v>
      </c>
      <c r="BR9" s="67">
        <f t="shared" ca="1" si="5"/>
        <v>0</v>
      </c>
      <c r="BS9" s="67">
        <f t="shared" ca="1" si="5"/>
        <v>0</v>
      </c>
      <c r="BT9" s="67">
        <f t="shared" ca="1" si="5"/>
        <v>0</v>
      </c>
    </row>
    <row r="10" spans="1:72" x14ac:dyDescent="0.2">
      <c r="A10" s="317">
        <f t="shared" ca="1" si="6"/>
        <v>44451</v>
      </c>
      <c r="B10" s="87">
        <f t="shared" ca="1" si="9"/>
        <v>44445</v>
      </c>
      <c r="C10" s="67">
        <v>5</v>
      </c>
      <c r="D10" s="67" t="str">
        <f t="shared" ca="1" si="10"/>
        <v/>
      </c>
      <c r="E10" s="67" t="str">
        <f t="shared" ca="1" si="0"/>
        <v>Sep</v>
      </c>
      <c r="F10" s="67">
        <f t="shared" ca="1" si="7"/>
        <v>36</v>
      </c>
      <c r="G10" s="67" t="str">
        <f>ROW(A5)&amp;". "&amp;'Critical resources'!B16</f>
        <v>5. CT Scanner 3</v>
      </c>
      <c r="H10" s="67">
        <f ca="1">IFERROR(VLOOKUP('Critical resources'!D16,$B$6:$C$57,2,0),0)</f>
        <v>0</v>
      </c>
      <c r="I10" s="67">
        <f ca="1">IFERROR(VLOOKUP('Critical resources'!E16,$A$6:$C$57,3,0),0)</f>
        <v>0</v>
      </c>
      <c r="J10" s="67">
        <f ca="1">IFERROR(VLOOKUP('Critical resources'!G16,$B$6:$C$57,2,0),0)</f>
        <v>0</v>
      </c>
      <c r="K10" s="67">
        <f ca="1">IFERROR(VLOOKUP('Critical resources'!H16,$B$6:$C$57,2,0),0)</f>
        <v>0</v>
      </c>
      <c r="L10" s="67">
        <f ca="1">IFERROR(VLOOKUP('Critical resources'!J16,$B$6:$C$57,2,0),0)</f>
        <v>0</v>
      </c>
      <c r="M10" s="67">
        <f ca="1">IFERROR(VLOOKUP('Critical resources'!K16,$A$6:$C$57,3,0),0)</f>
        <v>0</v>
      </c>
      <c r="N10" s="67">
        <f ca="1">IFERROR(VLOOKUP('Critical resources'!M16,$B$6:$C$57,2,0),0)</f>
        <v>0</v>
      </c>
      <c r="O10" s="67">
        <f ca="1">IFERROR(VLOOKUP('Critical resources'!N16,$A$6:$C$57,3,0),0)</f>
        <v>0</v>
      </c>
      <c r="P10" s="67">
        <f ca="1">IFERROR(VLOOKUP('Critical resources'!P16,$B$6:$C$57,2,0),0)</f>
        <v>0</v>
      </c>
      <c r="Q10" s="67">
        <f ca="1">IFERROR(VLOOKUP('Critical resources'!Q16,$A$6:$C$57,3,0),0)</f>
        <v>0</v>
      </c>
      <c r="T10" s="67" t="str">
        <f t="shared" si="1"/>
        <v>5. CT Scanner 3</v>
      </c>
      <c r="U10" s="67">
        <f t="shared" ca="1" si="8"/>
        <v>0</v>
      </c>
      <c r="V10" s="67">
        <f t="shared" ca="1" si="2"/>
        <v>0</v>
      </c>
      <c r="W10" s="67">
        <f t="shared" ca="1" si="2"/>
        <v>0</v>
      </c>
      <c r="X10" s="67">
        <f t="shared" ca="1" si="2"/>
        <v>0</v>
      </c>
      <c r="Y10" s="67">
        <f t="shared" ca="1" si="2"/>
        <v>0</v>
      </c>
      <c r="Z10" s="67">
        <f t="shared" ca="1" si="2"/>
        <v>0</v>
      </c>
      <c r="AA10" s="67">
        <f t="shared" ca="1" si="2"/>
        <v>0</v>
      </c>
      <c r="AB10" s="67">
        <f t="shared" ca="1" si="2"/>
        <v>0</v>
      </c>
      <c r="AC10" s="67">
        <f t="shared" ca="1" si="2"/>
        <v>0</v>
      </c>
      <c r="AD10" s="67">
        <f t="shared" ca="1" si="2"/>
        <v>0</v>
      </c>
      <c r="AE10" s="67">
        <f t="shared" ca="1" si="2"/>
        <v>0</v>
      </c>
      <c r="AF10" s="67">
        <f t="shared" ca="1" si="2"/>
        <v>0</v>
      </c>
      <c r="AG10" s="67">
        <f t="shared" ca="1" si="2"/>
        <v>0</v>
      </c>
      <c r="AH10" s="67">
        <f t="shared" ca="1" si="2"/>
        <v>0</v>
      </c>
      <c r="AI10" s="67">
        <f t="shared" ca="1" si="2"/>
        <v>0</v>
      </c>
      <c r="AJ10" s="67">
        <f t="shared" ca="1" si="2"/>
        <v>0</v>
      </c>
      <c r="AK10" s="67">
        <f t="shared" ca="1" si="2"/>
        <v>0</v>
      </c>
      <c r="AL10" s="67">
        <f t="shared" ca="1" si="3"/>
        <v>0</v>
      </c>
      <c r="AM10" s="67">
        <f t="shared" ca="1" si="3"/>
        <v>0</v>
      </c>
      <c r="AN10" s="67">
        <f t="shared" ca="1" si="3"/>
        <v>0</v>
      </c>
      <c r="AO10" s="67">
        <f t="shared" ca="1" si="3"/>
        <v>0</v>
      </c>
      <c r="AP10" s="67">
        <f t="shared" ca="1" si="3"/>
        <v>0</v>
      </c>
      <c r="AQ10" s="67">
        <f t="shared" ca="1" si="3"/>
        <v>0</v>
      </c>
      <c r="AR10" s="67">
        <f t="shared" ca="1" si="3"/>
        <v>0</v>
      </c>
      <c r="AS10" s="67">
        <f t="shared" ca="1" si="3"/>
        <v>0</v>
      </c>
      <c r="AT10" s="67">
        <f t="shared" ca="1" si="3"/>
        <v>0</v>
      </c>
      <c r="AU10" s="67">
        <f t="shared" ca="1" si="3"/>
        <v>0</v>
      </c>
      <c r="AV10" s="67">
        <f t="shared" ca="1" si="3"/>
        <v>0</v>
      </c>
      <c r="AW10" s="67">
        <f t="shared" ca="1" si="3"/>
        <v>0</v>
      </c>
      <c r="AX10" s="67">
        <f t="shared" ca="1" si="3"/>
        <v>0</v>
      </c>
      <c r="AY10" s="67">
        <f t="shared" ca="1" si="3"/>
        <v>0</v>
      </c>
      <c r="AZ10" s="67">
        <f t="shared" ca="1" si="3"/>
        <v>0</v>
      </c>
      <c r="BA10" s="67">
        <f t="shared" ca="1" si="3"/>
        <v>0</v>
      </c>
      <c r="BB10" s="67">
        <f t="shared" ca="1" si="4"/>
        <v>0</v>
      </c>
      <c r="BC10" s="67">
        <f t="shared" ca="1" si="4"/>
        <v>0</v>
      </c>
      <c r="BD10" s="67">
        <f t="shared" ca="1" si="4"/>
        <v>0</v>
      </c>
      <c r="BE10" s="67">
        <f t="shared" ca="1" si="4"/>
        <v>0</v>
      </c>
      <c r="BF10" s="67">
        <f t="shared" ca="1" si="4"/>
        <v>0</v>
      </c>
      <c r="BG10" s="67">
        <f t="shared" ca="1" si="4"/>
        <v>0</v>
      </c>
      <c r="BH10" s="67">
        <f t="shared" ca="1" si="4"/>
        <v>0</v>
      </c>
      <c r="BI10" s="67">
        <f t="shared" ca="1" si="4"/>
        <v>0</v>
      </c>
      <c r="BJ10" s="67">
        <f t="shared" ca="1" si="4"/>
        <v>0</v>
      </c>
      <c r="BK10" s="67">
        <f t="shared" ca="1" si="4"/>
        <v>0</v>
      </c>
      <c r="BL10" s="67">
        <f t="shared" ca="1" si="4"/>
        <v>0</v>
      </c>
      <c r="BM10" s="67">
        <f t="shared" ca="1" si="4"/>
        <v>0</v>
      </c>
      <c r="BN10" s="67">
        <f t="shared" ca="1" si="4"/>
        <v>0</v>
      </c>
      <c r="BO10" s="67">
        <f t="shared" ca="1" si="4"/>
        <v>0</v>
      </c>
      <c r="BP10" s="67">
        <f t="shared" ca="1" si="4"/>
        <v>0</v>
      </c>
      <c r="BQ10" s="67">
        <f t="shared" ca="1" si="4"/>
        <v>0</v>
      </c>
      <c r="BR10" s="67">
        <f t="shared" ca="1" si="5"/>
        <v>0</v>
      </c>
      <c r="BS10" s="67">
        <f t="shared" ca="1" si="5"/>
        <v>0</v>
      </c>
      <c r="BT10" s="67">
        <f t="shared" ca="1" si="5"/>
        <v>0</v>
      </c>
    </row>
    <row r="11" spans="1:72" x14ac:dyDescent="0.2">
      <c r="A11" s="317">
        <f t="shared" ca="1" si="6"/>
        <v>44458</v>
      </c>
      <c r="B11" s="87">
        <f t="shared" ca="1" si="9"/>
        <v>44452</v>
      </c>
      <c r="C11" s="67">
        <v>6</v>
      </c>
      <c r="D11" s="67" t="str">
        <f t="shared" ca="1" si="10"/>
        <v/>
      </c>
      <c r="E11" s="67" t="str">
        <f t="shared" ca="1" si="0"/>
        <v xml:space="preserve"> </v>
      </c>
      <c r="F11" s="67">
        <f t="shared" ca="1" si="7"/>
        <v>37</v>
      </c>
      <c r="G11" s="67" t="str">
        <f>ROW(A6)&amp;". "&amp;'Critical resources'!B17</f>
        <v xml:space="preserve">6. </v>
      </c>
      <c r="H11" s="67">
        <f ca="1">IFERROR(VLOOKUP('Critical resources'!D17,$B$6:$C$57,2,0),0)</f>
        <v>0</v>
      </c>
      <c r="I11" s="67">
        <f ca="1">IFERROR(VLOOKUP('Critical resources'!E17,$A$6:$C$57,3,0),0)</f>
        <v>0</v>
      </c>
      <c r="J11" s="67">
        <f ca="1">IFERROR(VLOOKUP('Critical resources'!G17,$B$6:$C$57,2,0),0)</f>
        <v>0</v>
      </c>
      <c r="K11" s="67">
        <f ca="1">IFERROR(VLOOKUP('Critical resources'!H17,$B$6:$C$57,2,0),0)</f>
        <v>0</v>
      </c>
      <c r="L11" s="67">
        <f ca="1">IFERROR(VLOOKUP('Critical resources'!J17,$B$6:$C$57,2,0),0)</f>
        <v>0</v>
      </c>
      <c r="M11" s="67">
        <f ca="1">IFERROR(VLOOKUP('Critical resources'!K17,$A$6:$C$57,3,0),0)</f>
        <v>0</v>
      </c>
      <c r="N11" s="67">
        <f ca="1">IFERROR(VLOOKUP('Critical resources'!M17,$B$6:$C$57,2,0),0)</f>
        <v>0</v>
      </c>
      <c r="O11" s="67">
        <f ca="1">IFERROR(VLOOKUP('Critical resources'!N17,$A$6:$C$57,3,0),0)</f>
        <v>0</v>
      </c>
      <c r="P11" s="67">
        <f ca="1">IFERROR(VLOOKUP('Critical resources'!P17,$B$6:$C$57,2,0),0)</f>
        <v>0</v>
      </c>
      <c r="Q11" s="67">
        <f ca="1">IFERROR(VLOOKUP('Critical resources'!Q17,$A$6:$C$57,3,0),0)</f>
        <v>0</v>
      </c>
      <c r="T11" s="67" t="str">
        <f t="shared" si="1"/>
        <v xml:space="preserve">6. </v>
      </c>
      <c r="U11" s="67">
        <f t="shared" ca="1" si="8"/>
        <v>0</v>
      </c>
      <c r="V11" s="67">
        <f t="shared" ca="1" si="2"/>
        <v>0</v>
      </c>
      <c r="W11" s="67">
        <f t="shared" ca="1" si="2"/>
        <v>0</v>
      </c>
      <c r="X11" s="67">
        <f t="shared" ca="1" si="2"/>
        <v>0</v>
      </c>
      <c r="Y11" s="67">
        <f t="shared" ca="1" si="2"/>
        <v>0</v>
      </c>
      <c r="Z11" s="67">
        <f t="shared" ca="1" si="2"/>
        <v>0</v>
      </c>
      <c r="AA11" s="67">
        <f t="shared" ca="1" si="2"/>
        <v>0</v>
      </c>
      <c r="AB11" s="67">
        <f t="shared" ca="1" si="2"/>
        <v>0</v>
      </c>
      <c r="AC11" s="67">
        <f t="shared" ca="1" si="2"/>
        <v>0</v>
      </c>
      <c r="AD11" s="67">
        <f t="shared" ca="1" si="2"/>
        <v>0</v>
      </c>
      <c r="AE11" s="67">
        <f t="shared" ca="1" si="2"/>
        <v>0</v>
      </c>
      <c r="AF11" s="67">
        <f t="shared" ca="1" si="2"/>
        <v>0</v>
      </c>
      <c r="AG11" s="67">
        <f t="shared" ca="1" si="2"/>
        <v>0</v>
      </c>
      <c r="AH11" s="67">
        <f t="shared" ca="1" si="2"/>
        <v>0</v>
      </c>
      <c r="AI11" s="67">
        <f t="shared" ca="1" si="2"/>
        <v>0</v>
      </c>
      <c r="AJ11" s="67">
        <f t="shared" ca="1" si="2"/>
        <v>0</v>
      </c>
      <c r="AK11" s="67">
        <f t="shared" ca="1" si="2"/>
        <v>0</v>
      </c>
      <c r="AL11" s="67">
        <f t="shared" ca="1" si="3"/>
        <v>0</v>
      </c>
      <c r="AM11" s="67">
        <f t="shared" ca="1" si="3"/>
        <v>0</v>
      </c>
      <c r="AN11" s="67">
        <f t="shared" ca="1" si="3"/>
        <v>0</v>
      </c>
      <c r="AO11" s="67">
        <f t="shared" ca="1" si="3"/>
        <v>0</v>
      </c>
      <c r="AP11" s="67">
        <f t="shared" ca="1" si="3"/>
        <v>0</v>
      </c>
      <c r="AQ11" s="67">
        <f t="shared" ca="1" si="3"/>
        <v>0</v>
      </c>
      <c r="AR11" s="67">
        <f t="shared" ca="1" si="3"/>
        <v>0</v>
      </c>
      <c r="AS11" s="67">
        <f t="shared" ca="1" si="3"/>
        <v>0</v>
      </c>
      <c r="AT11" s="67">
        <f t="shared" ca="1" si="3"/>
        <v>0</v>
      </c>
      <c r="AU11" s="67">
        <f t="shared" ca="1" si="3"/>
        <v>0</v>
      </c>
      <c r="AV11" s="67">
        <f t="shared" ca="1" si="3"/>
        <v>0</v>
      </c>
      <c r="AW11" s="67">
        <f t="shared" ca="1" si="3"/>
        <v>0</v>
      </c>
      <c r="AX11" s="67">
        <f t="shared" ca="1" si="3"/>
        <v>0</v>
      </c>
      <c r="AY11" s="67">
        <f t="shared" ca="1" si="3"/>
        <v>0</v>
      </c>
      <c r="AZ11" s="67">
        <f t="shared" ca="1" si="3"/>
        <v>0</v>
      </c>
      <c r="BA11" s="67">
        <f t="shared" ca="1" si="3"/>
        <v>0</v>
      </c>
      <c r="BB11" s="67">
        <f t="shared" ca="1" si="4"/>
        <v>0</v>
      </c>
      <c r="BC11" s="67">
        <f t="shared" ca="1" si="4"/>
        <v>0</v>
      </c>
      <c r="BD11" s="67">
        <f t="shared" ca="1" si="4"/>
        <v>0</v>
      </c>
      <c r="BE11" s="67">
        <f t="shared" ca="1" si="4"/>
        <v>0</v>
      </c>
      <c r="BF11" s="67">
        <f t="shared" ca="1" si="4"/>
        <v>0</v>
      </c>
      <c r="BG11" s="67">
        <f t="shared" ca="1" si="4"/>
        <v>0</v>
      </c>
      <c r="BH11" s="67">
        <f t="shared" ca="1" si="4"/>
        <v>0</v>
      </c>
      <c r="BI11" s="67">
        <f t="shared" ca="1" si="4"/>
        <v>0</v>
      </c>
      <c r="BJ11" s="67">
        <f t="shared" ca="1" si="4"/>
        <v>0</v>
      </c>
      <c r="BK11" s="67">
        <f t="shared" ca="1" si="4"/>
        <v>0</v>
      </c>
      <c r="BL11" s="67">
        <f t="shared" ca="1" si="4"/>
        <v>0</v>
      </c>
      <c r="BM11" s="67">
        <f t="shared" ca="1" si="4"/>
        <v>0</v>
      </c>
      <c r="BN11" s="67">
        <f t="shared" ca="1" si="4"/>
        <v>0</v>
      </c>
      <c r="BO11" s="67">
        <f t="shared" ca="1" si="4"/>
        <v>0</v>
      </c>
      <c r="BP11" s="67">
        <f t="shared" ca="1" si="4"/>
        <v>0</v>
      </c>
      <c r="BQ11" s="67">
        <f t="shared" ca="1" si="4"/>
        <v>0</v>
      </c>
      <c r="BR11" s="67">
        <f t="shared" ca="1" si="5"/>
        <v>0</v>
      </c>
      <c r="BS11" s="67">
        <f t="shared" ca="1" si="5"/>
        <v>0</v>
      </c>
      <c r="BT11" s="67">
        <f t="shared" ca="1" si="5"/>
        <v>0</v>
      </c>
    </row>
    <row r="12" spans="1:72" x14ac:dyDescent="0.2">
      <c r="A12" s="317">
        <f t="shared" ca="1" si="6"/>
        <v>44465</v>
      </c>
      <c r="B12" s="87">
        <f t="shared" ca="1" si="9"/>
        <v>44459</v>
      </c>
      <c r="C12" s="67">
        <v>7</v>
      </c>
      <c r="D12" s="67" t="str">
        <f t="shared" ca="1" si="10"/>
        <v/>
      </c>
      <c r="E12" s="67" t="str">
        <f t="shared" ca="1" si="0"/>
        <v xml:space="preserve"> </v>
      </c>
      <c r="F12" s="67">
        <f t="shared" ca="1" si="7"/>
        <v>38</v>
      </c>
      <c r="G12" s="67" t="str">
        <f>ROW(A7)&amp;". "&amp;'Critical resources'!B18</f>
        <v xml:space="preserve">7. </v>
      </c>
      <c r="H12" s="67">
        <f ca="1">IFERROR(VLOOKUP('Critical resources'!D18,$B$6:$C$57,2,0),0)</f>
        <v>0</v>
      </c>
      <c r="I12" s="67">
        <f ca="1">IFERROR(VLOOKUP('Critical resources'!E18,$A$6:$C$57,3,0),0)</f>
        <v>0</v>
      </c>
      <c r="J12" s="67">
        <f ca="1">IFERROR(VLOOKUP('Critical resources'!G18,$B$6:$C$57,2,0),0)</f>
        <v>0</v>
      </c>
      <c r="K12" s="67">
        <f ca="1">IFERROR(VLOOKUP('Critical resources'!H18,$B$6:$C$57,2,0),0)</f>
        <v>0</v>
      </c>
      <c r="L12" s="67">
        <f ca="1">IFERROR(VLOOKUP('Critical resources'!J18,$B$6:$C$57,2,0),0)</f>
        <v>0</v>
      </c>
      <c r="M12" s="67">
        <f ca="1">IFERROR(VLOOKUP('Critical resources'!K18,$A$6:$C$57,3,0),0)</f>
        <v>0</v>
      </c>
      <c r="N12" s="67">
        <f ca="1">IFERROR(VLOOKUP('Critical resources'!M18,$B$6:$C$57,2,0),0)</f>
        <v>0</v>
      </c>
      <c r="O12" s="67">
        <f ca="1">IFERROR(VLOOKUP('Critical resources'!N18,$A$6:$C$57,3,0),0)</f>
        <v>0</v>
      </c>
      <c r="P12" s="67">
        <f ca="1">IFERROR(VLOOKUP('Critical resources'!P18,$B$6:$C$57,2,0),0)</f>
        <v>0</v>
      </c>
      <c r="Q12" s="67">
        <f ca="1">IFERROR(VLOOKUP('Critical resources'!Q18,$A$6:$C$57,3,0),0)</f>
        <v>0</v>
      </c>
      <c r="T12" s="67" t="str">
        <f t="shared" si="1"/>
        <v xml:space="preserve">7. </v>
      </c>
      <c r="U12" s="67">
        <f t="shared" ca="1" si="8"/>
        <v>0</v>
      </c>
      <c r="V12" s="67">
        <f t="shared" ca="1" si="2"/>
        <v>0</v>
      </c>
      <c r="W12" s="67">
        <f t="shared" ca="1" si="2"/>
        <v>0</v>
      </c>
      <c r="X12" s="67">
        <f t="shared" ca="1" si="2"/>
        <v>0</v>
      </c>
      <c r="Y12" s="67">
        <f t="shared" ca="1" si="2"/>
        <v>0</v>
      </c>
      <c r="Z12" s="67">
        <f t="shared" ca="1" si="2"/>
        <v>0</v>
      </c>
      <c r="AA12" s="67">
        <f t="shared" ca="1" si="2"/>
        <v>0</v>
      </c>
      <c r="AB12" s="67">
        <f t="shared" ca="1" si="2"/>
        <v>0</v>
      </c>
      <c r="AC12" s="67">
        <f t="shared" ca="1" si="2"/>
        <v>0</v>
      </c>
      <c r="AD12" s="67">
        <f t="shared" ca="1" si="2"/>
        <v>0</v>
      </c>
      <c r="AE12" s="67">
        <f t="shared" ca="1" si="2"/>
        <v>0</v>
      </c>
      <c r="AF12" s="67">
        <f t="shared" ca="1" si="2"/>
        <v>0</v>
      </c>
      <c r="AG12" s="67">
        <f t="shared" ca="1" si="2"/>
        <v>0</v>
      </c>
      <c r="AH12" s="67">
        <f t="shared" ca="1" si="2"/>
        <v>0</v>
      </c>
      <c r="AI12" s="67">
        <f t="shared" ca="1" si="2"/>
        <v>0</v>
      </c>
      <c r="AJ12" s="67">
        <f t="shared" ca="1" si="2"/>
        <v>0</v>
      </c>
      <c r="AK12" s="67">
        <f t="shared" ca="1" si="2"/>
        <v>0</v>
      </c>
      <c r="AL12" s="67">
        <f t="shared" ca="1" si="3"/>
        <v>0</v>
      </c>
      <c r="AM12" s="67">
        <f t="shared" ca="1" si="3"/>
        <v>0</v>
      </c>
      <c r="AN12" s="67">
        <f t="shared" ca="1" si="3"/>
        <v>0</v>
      </c>
      <c r="AO12" s="67">
        <f t="shared" ca="1" si="3"/>
        <v>0</v>
      </c>
      <c r="AP12" s="67">
        <f t="shared" ca="1" si="3"/>
        <v>0</v>
      </c>
      <c r="AQ12" s="67">
        <f t="shared" ca="1" si="3"/>
        <v>0</v>
      </c>
      <c r="AR12" s="67">
        <f t="shared" ca="1" si="3"/>
        <v>0</v>
      </c>
      <c r="AS12" s="67">
        <f t="shared" ca="1" si="3"/>
        <v>0</v>
      </c>
      <c r="AT12" s="67">
        <f t="shared" ca="1" si="3"/>
        <v>0</v>
      </c>
      <c r="AU12" s="67">
        <f t="shared" ca="1" si="3"/>
        <v>0</v>
      </c>
      <c r="AV12" s="67">
        <f t="shared" ca="1" si="3"/>
        <v>0</v>
      </c>
      <c r="AW12" s="67">
        <f t="shared" ca="1" si="3"/>
        <v>0</v>
      </c>
      <c r="AX12" s="67">
        <f t="shared" ca="1" si="3"/>
        <v>0</v>
      </c>
      <c r="AY12" s="67">
        <f t="shared" ca="1" si="3"/>
        <v>0</v>
      </c>
      <c r="AZ12" s="67">
        <f t="shared" ca="1" si="3"/>
        <v>0</v>
      </c>
      <c r="BA12" s="67">
        <f t="shared" ca="1" si="3"/>
        <v>0</v>
      </c>
      <c r="BB12" s="67">
        <f t="shared" ca="1" si="4"/>
        <v>0</v>
      </c>
      <c r="BC12" s="67">
        <f t="shared" ca="1" si="4"/>
        <v>0</v>
      </c>
      <c r="BD12" s="67">
        <f t="shared" ca="1" si="4"/>
        <v>0</v>
      </c>
      <c r="BE12" s="67">
        <f t="shared" ca="1" si="4"/>
        <v>0</v>
      </c>
      <c r="BF12" s="67">
        <f t="shared" ca="1" si="4"/>
        <v>0</v>
      </c>
      <c r="BG12" s="67">
        <f t="shared" ca="1" si="4"/>
        <v>0</v>
      </c>
      <c r="BH12" s="67">
        <f t="shared" ca="1" si="4"/>
        <v>0</v>
      </c>
      <c r="BI12" s="67">
        <f t="shared" ca="1" si="4"/>
        <v>0</v>
      </c>
      <c r="BJ12" s="67">
        <f t="shared" ca="1" si="4"/>
        <v>0</v>
      </c>
      <c r="BK12" s="67">
        <f t="shared" ca="1" si="4"/>
        <v>0</v>
      </c>
      <c r="BL12" s="67">
        <f t="shared" ca="1" si="4"/>
        <v>0</v>
      </c>
      <c r="BM12" s="67">
        <f t="shared" ca="1" si="4"/>
        <v>0</v>
      </c>
      <c r="BN12" s="67">
        <f t="shared" ca="1" si="4"/>
        <v>0</v>
      </c>
      <c r="BO12" s="67">
        <f t="shared" ca="1" si="4"/>
        <v>0</v>
      </c>
      <c r="BP12" s="67">
        <f t="shared" ca="1" si="4"/>
        <v>0</v>
      </c>
      <c r="BQ12" s="67">
        <f t="shared" ca="1" si="4"/>
        <v>0</v>
      </c>
      <c r="BR12" s="67">
        <f t="shared" ca="1" si="5"/>
        <v>0</v>
      </c>
      <c r="BS12" s="67">
        <f t="shared" ca="1" si="5"/>
        <v>0</v>
      </c>
      <c r="BT12" s="67">
        <f t="shared" ca="1" si="5"/>
        <v>0</v>
      </c>
    </row>
    <row r="13" spans="1:72" x14ac:dyDescent="0.2">
      <c r="A13" s="317">
        <f t="shared" ca="1" si="6"/>
        <v>44472</v>
      </c>
      <c r="B13" s="87">
        <f t="shared" ca="1" si="9"/>
        <v>44466</v>
      </c>
      <c r="C13" s="67">
        <v>8</v>
      </c>
      <c r="D13" s="67" t="str">
        <f t="shared" ca="1" si="10"/>
        <v/>
      </c>
      <c r="E13" s="67" t="str">
        <f t="shared" ca="1" si="0"/>
        <v xml:space="preserve"> </v>
      </c>
      <c r="F13" s="67">
        <f t="shared" ca="1" si="7"/>
        <v>39</v>
      </c>
      <c r="G13" s="67" t="str">
        <f>ROW(A8)&amp;". "&amp;'Critical resources'!B19</f>
        <v xml:space="preserve">8. </v>
      </c>
      <c r="H13" s="67">
        <f ca="1">IFERROR(VLOOKUP('Critical resources'!D19,$B$6:$C$57,2,0),0)</f>
        <v>0</v>
      </c>
      <c r="I13" s="67">
        <f ca="1">IFERROR(VLOOKUP('Critical resources'!E19,$A$6:$C$57,3,0),0)</f>
        <v>0</v>
      </c>
      <c r="J13" s="67">
        <f ca="1">IFERROR(VLOOKUP('Critical resources'!G19,$B$6:$C$57,2,0),0)</f>
        <v>0</v>
      </c>
      <c r="K13" s="67">
        <f ca="1">IFERROR(VLOOKUP('Critical resources'!H19,$B$6:$C$57,2,0),0)</f>
        <v>0</v>
      </c>
      <c r="L13" s="67">
        <f ca="1">IFERROR(VLOOKUP('Critical resources'!J19,$B$6:$C$57,2,0),0)</f>
        <v>0</v>
      </c>
      <c r="M13" s="67">
        <f ca="1">IFERROR(VLOOKUP('Critical resources'!K19,$A$6:$C$57,3,0),0)</f>
        <v>0</v>
      </c>
      <c r="N13" s="67">
        <f ca="1">IFERROR(VLOOKUP('Critical resources'!M19,$B$6:$C$57,2,0),0)</f>
        <v>0</v>
      </c>
      <c r="O13" s="67">
        <f ca="1">IFERROR(VLOOKUP('Critical resources'!N19,$A$6:$C$57,3,0),0)</f>
        <v>0</v>
      </c>
      <c r="P13" s="67">
        <f ca="1">IFERROR(VLOOKUP('Critical resources'!P19,$B$6:$C$57,2,0),0)</f>
        <v>0</v>
      </c>
      <c r="Q13" s="67">
        <f ca="1">IFERROR(VLOOKUP('Critical resources'!Q19,$A$6:$C$57,3,0),0)</f>
        <v>0</v>
      </c>
      <c r="T13" s="67" t="str">
        <f t="shared" si="1"/>
        <v xml:space="preserve">8. </v>
      </c>
      <c r="U13" s="67">
        <f t="shared" ca="1" si="8"/>
        <v>0</v>
      </c>
      <c r="V13" s="67">
        <f t="shared" ca="1" si="2"/>
        <v>0</v>
      </c>
      <c r="W13" s="67">
        <f t="shared" ca="1" si="2"/>
        <v>0</v>
      </c>
      <c r="X13" s="67">
        <f t="shared" ca="1" si="2"/>
        <v>0</v>
      </c>
      <c r="Y13" s="67">
        <f t="shared" ca="1" si="2"/>
        <v>0</v>
      </c>
      <c r="Z13" s="67">
        <f t="shared" ca="1" si="2"/>
        <v>0</v>
      </c>
      <c r="AA13" s="67">
        <f t="shared" ca="1" si="2"/>
        <v>0</v>
      </c>
      <c r="AB13" s="67">
        <f t="shared" ca="1" si="2"/>
        <v>0</v>
      </c>
      <c r="AC13" s="67">
        <f t="shared" ca="1" si="2"/>
        <v>0</v>
      </c>
      <c r="AD13" s="67">
        <f t="shared" ca="1" si="2"/>
        <v>0</v>
      </c>
      <c r="AE13" s="67">
        <f t="shared" ca="1" si="2"/>
        <v>0</v>
      </c>
      <c r="AF13" s="67">
        <f t="shared" ca="1" si="2"/>
        <v>0</v>
      </c>
      <c r="AG13" s="67">
        <f t="shared" ca="1" si="2"/>
        <v>0</v>
      </c>
      <c r="AH13" s="67">
        <f t="shared" ca="1" si="2"/>
        <v>0</v>
      </c>
      <c r="AI13" s="67">
        <f t="shared" ca="1" si="2"/>
        <v>0</v>
      </c>
      <c r="AJ13" s="67">
        <f t="shared" ca="1" si="2"/>
        <v>0</v>
      </c>
      <c r="AK13" s="67">
        <f t="shared" ca="1" si="2"/>
        <v>0</v>
      </c>
      <c r="AL13" s="67">
        <f t="shared" ca="1" si="3"/>
        <v>0</v>
      </c>
      <c r="AM13" s="67">
        <f t="shared" ca="1" si="3"/>
        <v>0</v>
      </c>
      <c r="AN13" s="67">
        <f t="shared" ca="1" si="3"/>
        <v>0</v>
      </c>
      <c r="AO13" s="67">
        <f t="shared" ca="1" si="3"/>
        <v>0</v>
      </c>
      <c r="AP13" s="67">
        <f t="shared" ca="1" si="3"/>
        <v>0</v>
      </c>
      <c r="AQ13" s="67">
        <f t="shared" ca="1" si="3"/>
        <v>0</v>
      </c>
      <c r="AR13" s="67">
        <f t="shared" ca="1" si="3"/>
        <v>0</v>
      </c>
      <c r="AS13" s="67">
        <f t="shared" ca="1" si="3"/>
        <v>0</v>
      </c>
      <c r="AT13" s="67">
        <f t="shared" ca="1" si="3"/>
        <v>0</v>
      </c>
      <c r="AU13" s="67">
        <f t="shared" ca="1" si="3"/>
        <v>0</v>
      </c>
      <c r="AV13" s="67">
        <f t="shared" ca="1" si="3"/>
        <v>0</v>
      </c>
      <c r="AW13" s="67">
        <f t="shared" ca="1" si="3"/>
        <v>0</v>
      </c>
      <c r="AX13" s="67">
        <f t="shared" ca="1" si="3"/>
        <v>0</v>
      </c>
      <c r="AY13" s="67">
        <f t="shared" ca="1" si="3"/>
        <v>0</v>
      </c>
      <c r="AZ13" s="67">
        <f t="shared" ca="1" si="3"/>
        <v>0</v>
      </c>
      <c r="BA13" s="67">
        <f t="shared" ca="1" si="3"/>
        <v>0</v>
      </c>
      <c r="BB13" s="67">
        <f t="shared" ca="1" si="4"/>
        <v>0</v>
      </c>
      <c r="BC13" s="67">
        <f t="shared" ca="1" si="4"/>
        <v>0</v>
      </c>
      <c r="BD13" s="67">
        <f t="shared" ca="1" si="4"/>
        <v>0</v>
      </c>
      <c r="BE13" s="67">
        <f t="shared" ca="1" si="4"/>
        <v>0</v>
      </c>
      <c r="BF13" s="67">
        <f t="shared" ca="1" si="4"/>
        <v>0</v>
      </c>
      <c r="BG13" s="67">
        <f t="shared" ca="1" si="4"/>
        <v>0</v>
      </c>
      <c r="BH13" s="67">
        <f t="shared" ca="1" si="4"/>
        <v>0</v>
      </c>
      <c r="BI13" s="67">
        <f t="shared" ca="1" si="4"/>
        <v>0</v>
      </c>
      <c r="BJ13" s="67">
        <f t="shared" ca="1" si="4"/>
        <v>0</v>
      </c>
      <c r="BK13" s="67">
        <f t="shared" ca="1" si="4"/>
        <v>0</v>
      </c>
      <c r="BL13" s="67">
        <f t="shared" ca="1" si="4"/>
        <v>0</v>
      </c>
      <c r="BM13" s="67">
        <f t="shared" ca="1" si="4"/>
        <v>0</v>
      </c>
      <c r="BN13" s="67">
        <f t="shared" ca="1" si="4"/>
        <v>0</v>
      </c>
      <c r="BO13" s="67">
        <f t="shared" ca="1" si="4"/>
        <v>0</v>
      </c>
      <c r="BP13" s="67">
        <f t="shared" ca="1" si="4"/>
        <v>0</v>
      </c>
      <c r="BQ13" s="67">
        <f t="shared" ca="1" si="4"/>
        <v>0</v>
      </c>
      <c r="BR13" s="67">
        <f t="shared" ca="1" si="5"/>
        <v>0</v>
      </c>
      <c r="BS13" s="67">
        <f t="shared" ca="1" si="5"/>
        <v>0</v>
      </c>
      <c r="BT13" s="67">
        <f t="shared" ca="1" si="5"/>
        <v>0</v>
      </c>
    </row>
    <row r="14" spans="1:72" x14ac:dyDescent="0.2">
      <c r="A14" s="317">
        <f t="shared" ca="1" si="6"/>
        <v>44479</v>
      </c>
      <c r="B14" s="87">
        <f t="shared" ca="1" si="9"/>
        <v>44473</v>
      </c>
      <c r="C14" s="67">
        <v>9</v>
      </c>
      <c r="D14" s="67" t="str">
        <f t="shared" ca="1" si="10"/>
        <v/>
      </c>
      <c r="E14" s="67" t="str">
        <f t="shared" ca="1" si="0"/>
        <v>Oct</v>
      </c>
      <c r="F14" s="67">
        <f t="shared" ca="1" si="7"/>
        <v>40</v>
      </c>
      <c r="G14" s="67" t="str">
        <f>ROW(A9)&amp;". "&amp;'Critical resources'!B20</f>
        <v xml:space="preserve">9. </v>
      </c>
      <c r="H14" s="67">
        <f ca="1">IFERROR(VLOOKUP('Critical resources'!D20,$B$6:$C$57,2,0),0)</f>
        <v>0</v>
      </c>
      <c r="I14" s="67">
        <f ca="1">IFERROR(VLOOKUP('Critical resources'!E20,$A$6:$C$57,3,0),0)</f>
        <v>0</v>
      </c>
      <c r="J14" s="67">
        <f ca="1">IFERROR(VLOOKUP('Critical resources'!G20,$B$6:$C$57,2,0),0)</f>
        <v>0</v>
      </c>
      <c r="K14" s="67">
        <f ca="1">IFERROR(VLOOKUP('Critical resources'!H20,$B$6:$C$57,2,0),0)</f>
        <v>0</v>
      </c>
      <c r="L14" s="67">
        <f ca="1">IFERROR(VLOOKUP('Critical resources'!J20,$B$6:$C$57,2,0),0)</f>
        <v>0</v>
      </c>
      <c r="M14" s="67">
        <f ca="1">IFERROR(VLOOKUP('Critical resources'!K20,$A$6:$C$57,3,0),0)</f>
        <v>0</v>
      </c>
      <c r="N14" s="67">
        <f ca="1">IFERROR(VLOOKUP('Critical resources'!M20,$B$6:$C$57,2,0),0)</f>
        <v>0</v>
      </c>
      <c r="O14" s="67">
        <f ca="1">IFERROR(VLOOKUP('Critical resources'!N20,$A$6:$C$57,3,0),0)</f>
        <v>0</v>
      </c>
      <c r="P14" s="67">
        <f ca="1">IFERROR(VLOOKUP('Critical resources'!P20,$B$6:$C$57,2,0),0)</f>
        <v>0</v>
      </c>
      <c r="Q14" s="67">
        <f ca="1">IFERROR(VLOOKUP('Critical resources'!Q20,$A$6:$C$57,3,0),0)</f>
        <v>0</v>
      </c>
      <c r="T14" s="67" t="str">
        <f t="shared" si="1"/>
        <v xml:space="preserve">9. </v>
      </c>
      <c r="U14" s="67">
        <f t="shared" ca="1" si="8"/>
        <v>0</v>
      </c>
      <c r="V14" s="67">
        <f t="shared" ca="1" si="2"/>
        <v>0</v>
      </c>
      <c r="W14" s="67">
        <f t="shared" ca="1" si="2"/>
        <v>0</v>
      </c>
      <c r="X14" s="67">
        <f t="shared" ca="1" si="2"/>
        <v>0</v>
      </c>
      <c r="Y14" s="67">
        <f t="shared" ca="1" si="2"/>
        <v>0</v>
      </c>
      <c r="Z14" s="67">
        <f t="shared" ca="1" si="2"/>
        <v>0</v>
      </c>
      <c r="AA14" s="67">
        <f t="shared" ca="1" si="2"/>
        <v>0</v>
      </c>
      <c r="AB14" s="67">
        <f t="shared" ca="1" si="2"/>
        <v>0</v>
      </c>
      <c r="AC14" s="67">
        <f t="shared" ca="1" si="2"/>
        <v>0</v>
      </c>
      <c r="AD14" s="67">
        <f t="shared" ca="1" si="2"/>
        <v>0</v>
      </c>
      <c r="AE14" s="67">
        <f t="shared" ca="1" si="2"/>
        <v>0</v>
      </c>
      <c r="AF14" s="67">
        <f t="shared" ca="1" si="2"/>
        <v>0</v>
      </c>
      <c r="AG14" s="67">
        <f t="shared" ca="1" si="2"/>
        <v>0</v>
      </c>
      <c r="AH14" s="67">
        <f t="shared" ca="1" si="2"/>
        <v>0</v>
      </c>
      <c r="AI14" s="67">
        <f t="shared" ca="1" si="2"/>
        <v>0</v>
      </c>
      <c r="AJ14" s="67">
        <f t="shared" ca="1" si="2"/>
        <v>0</v>
      </c>
      <c r="AK14" s="67">
        <f t="shared" ca="1" si="2"/>
        <v>0</v>
      </c>
      <c r="AL14" s="67">
        <f t="shared" ca="1" si="3"/>
        <v>0</v>
      </c>
      <c r="AM14" s="67">
        <f t="shared" ca="1" si="3"/>
        <v>0</v>
      </c>
      <c r="AN14" s="67">
        <f t="shared" ca="1" si="3"/>
        <v>0</v>
      </c>
      <c r="AO14" s="67">
        <f t="shared" ca="1" si="3"/>
        <v>0</v>
      </c>
      <c r="AP14" s="67">
        <f t="shared" ca="1" si="3"/>
        <v>0</v>
      </c>
      <c r="AQ14" s="67">
        <f t="shared" ca="1" si="3"/>
        <v>0</v>
      </c>
      <c r="AR14" s="67">
        <f t="shared" ca="1" si="3"/>
        <v>0</v>
      </c>
      <c r="AS14" s="67">
        <f t="shared" ca="1" si="3"/>
        <v>0</v>
      </c>
      <c r="AT14" s="67">
        <f t="shared" ca="1" si="3"/>
        <v>0</v>
      </c>
      <c r="AU14" s="67">
        <f t="shared" ca="1" si="3"/>
        <v>0</v>
      </c>
      <c r="AV14" s="67">
        <f t="shared" ca="1" si="3"/>
        <v>0</v>
      </c>
      <c r="AW14" s="67">
        <f t="shared" ca="1" si="3"/>
        <v>0</v>
      </c>
      <c r="AX14" s="67">
        <f t="shared" ca="1" si="3"/>
        <v>0</v>
      </c>
      <c r="AY14" s="67">
        <f t="shared" ca="1" si="3"/>
        <v>0</v>
      </c>
      <c r="AZ14" s="67">
        <f t="shared" ca="1" si="3"/>
        <v>0</v>
      </c>
      <c r="BA14" s="67">
        <f t="shared" ca="1" si="3"/>
        <v>0</v>
      </c>
      <c r="BB14" s="67">
        <f t="shared" ca="1" si="4"/>
        <v>0</v>
      </c>
      <c r="BC14" s="67">
        <f t="shared" ca="1" si="4"/>
        <v>0</v>
      </c>
      <c r="BD14" s="67">
        <f t="shared" ca="1" si="4"/>
        <v>0</v>
      </c>
      <c r="BE14" s="67">
        <f t="shared" ca="1" si="4"/>
        <v>0</v>
      </c>
      <c r="BF14" s="67">
        <f t="shared" ca="1" si="4"/>
        <v>0</v>
      </c>
      <c r="BG14" s="67">
        <f t="shared" ca="1" si="4"/>
        <v>0</v>
      </c>
      <c r="BH14" s="67">
        <f t="shared" ca="1" si="4"/>
        <v>0</v>
      </c>
      <c r="BI14" s="67">
        <f t="shared" ca="1" si="4"/>
        <v>0</v>
      </c>
      <c r="BJ14" s="67">
        <f t="shared" ca="1" si="4"/>
        <v>0</v>
      </c>
      <c r="BK14" s="67">
        <f t="shared" ca="1" si="4"/>
        <v>0</v>
      </c>
      <c r="BL14" s="67">
        <f t="shared" ca="1" si="4"/>
        <v>0</v>
      </c>
      <c r="BM14" s="67">
        <f t="shared" ca="1" si="4"/>
        <v>0</v>
      </c>
      <c r="BN14" s="67">
        <f t="shared" ca="1" si="4"/>
        <v>0</v>
      </c>
      <c r="BO14" s="67">
        <f t="shared" ca="1" si="4"/>
        <v>0</v>
      </c>
      <c r="BP14" s="67">
        <f t="shared" ca="1" si="4"/>
        <v>0</v>
      </c>
      <c r="BQ14" s="67">
        <f t="shared" ca="1" si="4"/>
        <v>0</v>
      </c>
      <c r="BR14" s="67">
        <f t="shared" ca="1" si="5"/>
        <v>0</v>
      </c>
      <c r="BS14" s="67">
        <f t="shared" ca="1" si="5"/>
        <v>0</v>
      </c>
      <c r="BT14" s="67">
        <f t="shared" ca="1" si="5"/>
        <v>0</v>
      </c>
    </row>
    <row r="15" spans="1:72" x14ac:dyDescent="0.2">
      <c r="A15" s="317">
        <f t="shared" ca="1" si="6"/>
        <v>44486</v>
      </c>
      <c r="B15" s="87">
        <f t="shared" ca="1" si="9"/>
        <v>44480</v>
      </c>
      <c r="C15" s="67">
        <v>10</v>
      </c>
      <c r="D15" s="67" t="str">
        <f t="shared" ca="1" si="10"/>
        <v/>
      </c>
      <c r="E15" s="67" t="str">
        <f t="shared" ca="1" si="0"/>
        <v xml:space="preserve"> </v>
      </c>
      <c r="F15" s="67">
        <f t="shared" ca="1" si="7"/>
        <v>41</v>
      </c>
      <c r="G15" s="67" t="str">
        <f>ROW(A10)&amp;". "&amp;'Critical resources'!B21</f>
        <v xml:space="preserve">10. </v>
      </c>
      <c r="H15" s="67">
        <f ca="1">IFERROR(VLOOKUP('Critical resources'!D21,$B$6:$C$57,2,0),0)</f>
        <v>0</v>
      </c>
      <c r="I15" s="67">
        <f ca="1">IFERROR(VLOOKUP('Critical resources'!E21,$A$6:$C$57,3,0),0)</f>
        <v>0</v>
      </c>
      <c r="J15" s="67">
        <f ca="1">IFERROR(VLOOKUP('Critical resources'!G21,$B$6:$C$57,2,0),0)</f>
        <v>0</v>
      </c>
      <c r="K15" s="67">
        <f ca="1">IFERROR(VLOOKUP('Critical resources'!H21,$B$6:$C$57,2,0),0)</f>
        <v>0</v>
      </c>
      <c r="L15" s="67">
        <f ca="1">IFERROR(VLOOKUP('Critical resources'!J21,$B$6:$C$57,2,0),0)</f>
        <v>0</v>
      </c>
      <c r="M15" s="67">
        <f ca="1">IFERROR(VLOOKUP('Critical resources'!K21,$A$6:$C$57,3,0),0)</f>
        <v>0</v>
      </c>
      <c r="N15" s="67">
        <f ca="1">IFERROR(VLOOKUP('Critical resources'!M21,$B$6:$C$57,2,0),0)</f>
        <v>0</v>
      </c>
      <c r="O15" s="67">
        <f ca="1">IFERROR(VLOOKUP('Critical resources'!N21,$A$6:$C$57,3,0),0)</f>
        <v>0</v>
      </c>
      <c r="P15" s="67">
        <f ca="1">IFERROR(VLOOKUP('Critical resources'!P21,$B$6:$C$57,2,0),0)</f>
        <v>0</v>
      </c>
      <c r="Q15" s="67">
        <f ca="1">IFERROR(VLOOKUP('Critical resources'!Q21,$A$6:$C$57,3,0),0)</f>
        <v>0</v>
      </c>
      <c r="T15" s="67" t="str">
        <f t="shared" si="1"/>
        <v xml:space="preserve">10. </v>
      </c>
      <c r="U15" s="67">
        <f t="shared" ca="1" si="8"/>
        <v>0</v>
      </c>
      <c r="V15" s="67">
        <f t="shared" ca="1" si="2"/>
        <v>0</v>
      </c>
      <c r="W15" s="67">
        <f t="shared" ca="1" si="2"/>
        <v>0</v>
      </c>
      <c r="X15" s="67">
        <f t="shared" ca="1" si="2"/>
        <v>0</v>
      </c>
      <c r="Y15" s="67">
        <f t="shared" ca="1" si="2"/>
        <v>0</v>
      </c>
      <c r="Z15" s="67">
        <f t="shared" ca="1" si="2"/>
        <v>0</v>
      </c>
      <c r="AA15" s="67">
        <f t="shared" ca="1" si="2"/>
        <v>0</v>
      </c>
      <c r="AB15" s="67">
        <f t="shared" ca="1" si="2"/>
        <v>0</v>
      </c>
      <c r="AC15" s="67">
        <f t="shared" ca="1" si="2"/>
        <v>0</v>
      </c>
      <c r="AD15" s="67">
        <f t="shared" ca="1" si="2"/>
        <v>0</v>
      </c>
      <c r="AE15" s="67">
        <f t="shared" ca="1" si="2"/>
        <v>0</v>
      </c>
      <c r="AF15" s="67">
        <f t="shared" ca="1" si="2"/>
        <v>0</v>
      </c>
      <c r="AG15" s="67">
        <f t="shared" ca="1" si="2"/>
        <v>0</v>
      </c>
      <c r="AH15" s="67">
        <f t="shared" ca="1" si="2"/>
        <v>0</v>
      </c>
      <c r="AI15" s="67">
        <f t="shared" ca="1" si="2"/>
        <v>0</v>
      </c>
      <c r="AJ15" s="67">
        <f t="shared" ca="1" si="2"/>
        <v>0</v>
      </c>
      <c r="AK15" s="67">
        <f t="shared" ca="1" si="2"/>
        <v>0</v>
      </c>
      <c r="AL15" s="67">
        <f t="shared" ca="1" si="3"/>
        <v>0</v>
      </c>
      <c r="AM15" s="67">
        <f t="shared" ca="1" si="3"/>
        <v>0</v>
      </c>
      <c r="AN15" s="67">
        <f t="shared" ca="1" si="3"/>
        <v>0</v>
      </c>
      <c r="AO15" s="67">
        <f t="shared" ca="1" si="3"/>
        <v>0</v>
      </c>
      <c r="AP15" s="67">
        <f t="shared" ca="1" si="3"/>
        <v>0</v>
      </c>
      <c r="AQ15" s="67">
        <f t="shared" ca="1" si="3"/>
        <v>0</v>
      </c>
      <c r="AR15" s="67">
        <f t="shared" ca="1" si="3"/>
        <v>0</v>
      </c>
      <c r="AS15" s="67">
        <f t="shared" ca="1" si="3"/>
        <v>0</v>
      </c>
      <c r="AT15" s="67">
        <f t="shared" ca="1" si="3"/>
        <v>0</v>
      </c>
      <c r="AU15" s="67">
        <f t="shared" ca="1" si="3"/>
        <v>0</v>
      </c>
      <c r="AV15" s="67">
        <f t="shared" ca="1" si="3"/>
        <v>0</v>
      </c>
      <c r="AW15" s="67">
        <f t="shared" ca="1" si="3"/>
        <v>0</v>
      </c>
      <c r="AX15" s="67">
        <f t="shared" ca="1" si="3"/>
        <v>0</v>
      </c>
      <c r="AY15" s="67">
        <f t="shared" ca="1" si="3"/>
        <v>0</v>
      </c>
      <c r="AZ15" s="67">
        <f t="shared" ca="1" si="3"/>
        <v>0</v>
      </c>
      <c r="BA15" s="67">
        <f t="shared" ca="1" si="3"/>
        <v>0</v>
      </c>
      <c r="BB15" s="67">
        <f t="shared" ca="1" si="4"/>
        <v>0</v>
      </c>
      <c r="BC15" s="67">
        <f t="shared" ca="1" si="4"/>
        <v>0</v>
      </c>
      <c r="BD15" s="67">
        <f t="shared" ca="1" si="4"/>
        <v>0</v>
      </c>
      <c r="BE15" s="67">
        <f t="shared" ca="1" si="4"/>
        <v>0</v>
      </c>
      <c r="BF15" s="67">
        <f t="shared" ca="1" si="4"/>
        <v>0</v>
      </c>
      <c r="BG15" s="67">
        <f t="shared" ca="1" si="4"/>
        <v>0</v>
      </c>
      <c r="BH15" s="67">
        <f t="shared" ca="1" si="4"/>
        <v>0</v>
      </c>
      <c r="BI15" s="67">
        <f t="shared" ca="1" si="4"/>
        <v>0</v>
      </c>
      <c r="BJ15" s="67">
        <f t="shared" ca="1" si="4"/>
        <v>0</v>
      </c>
      <c r="BK15" s="67">
        <f t="shared" ca="1" si="4"/>
        <v>0</v>
      </c>
      <c r="BL15" s="67">
        <f t="shared" ca="1" si="4"/>
        <v>0</v>
      </c>
      <c r="BM15" s="67">
        <f t="shared" ca="1" si="4"/>
        <v>0</v>
      </c>
      <c r="BN15" s="67">
        <f t="shared" ca="1" si="4"/>
        <v>0</v>
      </c>
      <c r="BO15" s="67">
        <f t="shared" ca="1" si="4"/>
        <v>0</v>
      </c>
      <c r="BP15" s="67">
        <f t="shared" ca="1" si="4"/>
        <v>0</v>
      </c>
      <c r="BQ15" s="67">
        <f t="shared" ca="1" si="4"/>
        <v>0</v>
      </c>
      <c r="BR15" s="67">
        <f t="shared" ca="1" si="5"/>
        <v>0</v>
      </c>
      <c r="BS15" s="67">
        <f t="shared" ca="1" si="5"/>
        <v>0</v>
      </c>
      <c r="BT15" s="67">
        <f t="shared" ca="1" si="5"/>
        <v>0</v>
      </c>
    </row>
    <row r="16" spans="1:72" x14ac:dyDescent="0.2">
      <c r="A16" s="317">
        <f t="shared" ca="1" si="6"/>
        <v>44493</v>
      </c>
      <c r="B16" s="87">
        <f t="shared" ca="1" si="9"/>
        <v>44487</v>
      </c>
      <c r="C16" s="67">
        <v>11</v>
      </c>
      <c r="D16" s="67" t="str">
        <f t="shared" ca="1" si="10"/>
        <v/>
      </c>
      <c r="E16" s="67" t="str">
        <f t="shared" ca="1" si="0"/>
        <v xml:space="preserve"> </v>
      </c>
      <c r="F16" s="67">
        <f t="shared" ca="1" si="7"/>
        <v>42</v>
      </c>
      <c r="G16" s="67" t="str">
        <f>ROW(A11)&amp;". "&amp;'Critical resources'!B22</f>
        <v xml:space="preserve">11. </v>
      </c>
      <c r="H16" s="67">
        <f ca="1">IFERROR(VLOOKUP('Critical resources'!D22,$B$6:$C$57,2,0),0)</f>
        <v>0</v>
      </c>
      <c r="I16" s="67">
        <f ca="1">IFERROR(VLOOKUP('Critical resources'!E22,$A$6:$C$57,3,0),0)</f>
        <v>0</v>
      </c>
      <c r="J16" s="67">
        <f ca="1">IFERROR(VLOOKUP('Critical resources'!G22,$B$6:$C$57,2,0),0)</f>
        <v>0</v>
      </c>
      <c r="K16" s="67">
        <f ca="1">IFERROR(VLOOKUP('Critical resources'!H22,$B$6:$C$57,2,0),0)</f>
        <v>0</v>
      </c>
      <c r="L16" s="67">
        <f ca="1">IFERROR(VLOOKUP('Critical resources'!J22,$B$6:$C$57,2,0),0)</f>
        <v>0</v>
      </c>
      <c r="M16" s="67">
        <f ca="1">IFERROR(VLOOKUP('Critical resources'!K22,$A$6:$C$57,3,0),0)</f>
        <v>0</v>
      </c>
      <c r="N16" s="67">
        <f ca="1">IFERROR(VLOOKUP('Critical resources'!M22,$B$6:$C$57,2,0),0)</f>
        <v>0</v>
      </c>
      <c r="O16" s="67">
        <f ca="1">IFERROR(VLOOKUP('Critical resources'!N22,$A$6:$C$57,3,0),0)</f>
        <v>0</v>
      </c>
      <c r="P16" s="67">
        <f ca="1">IFERROR(VLOOKUP('Critical resources'!P22,$B$6:$C$57,2,0),0)</f>
        <v>0</v>
      </c>
      <c r="Q16" s="67">
        <f ca="1">IFERROR(VLOOKUP('Critical resources'!Q22,$A$6:$C$57,3,0),0)</f>
        <v>0</v>
      </c>
      <c r="T16" s="67" t="str">
        <f t="shared" si="1"/>
        <v xml:space="preserve">11. </v>
      </c>
      <c r="U16" s="67">
        <f t="shared" ca="1" si="8"/>
        <v>0</v>
      </c>
      <c r="V16" s="67">
        <f t="shared" ca="1" si="2"/>
        <v>0</v>
      </c>
      <c r="W16" s="67">
        <f t="shared" ca="1" si="2"/>
        <v>0</v>
      </c>
      <c r="X16" s="67">
        <f t="shared" ca="1" si="2"/>
        <v>0</v>
      </c>
      <c r="Y16" s="67">
        <f t="shared" ca="1" si="2"/>
        <v>0</v>
      </c>
      <c r="Z16" s="67">
        <f t="shared" ca="1" si="2"/>
        <v>0</v>
      </c>
      <c r="AA16" s="67">
        <f t="shared" ca="1" si="2"/>
        <v>0</v>
      </c>
      <c r="AB16" s="67">
        <f t="shared" ca="1" si="2"/>
        <v>0</v>
      </c>
      <c r="AC16" s="67">
        <f t="shared" ca="1" si="2"/>
        <v>0</v>
      </c>
      <c r="AD16" s="67">
        <f t="shared" ca="1" si="2"/>
        <v>0</v>
      </c>
      <c r="AE16" s="67">
        <f t="shared" ca="1" si="2"/>
        <v>0</v>
      </c>
      <c r="AF16" s="67">
        <f t="shared" ca="1" si="2"/>
        <v>0</v>
      </c>
      <c r="AG16" s="67">
        <f t="shared" ca="1" si="2"/>
        <v>0</v>
      </c>
      <c r="AH16" s="67">
        <f t="shared" ca="1" si="2"/>
        <v>0</v>
      </c>
      <c r="AI16" s="67">
        <f t="shared" ca="1" si="2"/>
        <v>0</v>
      </c>
      <c r="AJ16" s="67">
        <f t="shared" ca="1" si="2"/>
        <v>0</v>
      </c>
      <c r="AK16" s="67">
        <f t="shared" ca="1" si="2"/>
        <v>0</v>
      </c>
      <c r="AL16" s="67">
        <f t="shared" ca="1" si="3"/>
        <v>0</v>
      </c>
      <c r="AM16" s="67">
        <f t="shared" ca="1" si="3"/>
        <v>0</v>
      </c>
      <c r="AN16" s="67">
        <f t="shared" ca="1" si="3"/>
        <v>0</v>
      </c>
      <c r="AO16" s="67">
        <f t="shared" ca="1" si="3"/>
        <v>0</v>
      </c>
      <c r="AP16" s="67">
        <f t="shared" ca="1" si="3"/>
        <v>0</v>
      </c>
      <c r="AQ16" s="67">
        <f t="shared" ca="1" si="3"/>
        <v>0</v>
      </c>
      <c r="AR16" s="67">
        <f t="shared" ca="1" si="3"/>
        <v>0</v>
      </c>
      <c r="AS16" s="67">
        <f t="shared" ca="1" si="3"/>
        <v>0</v>
      </c>
      <c r="AT16" s="67">
        <f t="shared" ca="1" si="3"/>
        <v>0</v>
      </c>
      <c r="AU16" s="67">
        <f t="shared" ca="1" si="3"/>
        <v>0</v>
      </c>
      <c r="AV16" s="67">
        <f t="shared" ca="1" si="3"/>
        <v>0</v>
      </c>
      <c r="AW16" s="67">
        <f t="shared" ca="1" si="3"/>
        <v>0</v>
      </c>
      <c r="AX16" s="67">
        <f t="shared" ca="1" si="3"/>
        <v>0</v>
      </c>
      <c r="AY16" s="67">
        <f t="shared" ca="1" si="3"/>
        <v>0</v>
      </c>
      <c r="AZ16" s="67">
        <f t="shared" ca="1" si="3"/>
        <v>0</v>
      </c>
      <c r="BA16" s="67">
        <f t="shared" ca="1" si="3"/>
        <v>0</v>
      </c>
      <c r="BB16" s="67">
        <f t="shared" ca="1" si="4"/>
        <v>0</v>
      </c>
      <c r="BC16" s="67">
        <f t="shared" ca="1" si="4"/>
        <v>0</v>
      </c>
      <c r="BD16" s="67">
        <f t="shared" ca="1" si="4"/>
        <v>0</v>
      </c>
      <c r="BE16" s="67">
        <f t="shared" ca="1" si="4"/>
        <v>0</v>
      </c>
      <c r="BF16" s="67">
        <f t="shared" ca="1" si="4"/>
        <v>0</v>
      </c>
      <c r="BG16" s="67">
        <f t="shared" ca="1" si="4"/>
        <v>0</v>
      </c>
      <c r="BH16" s="67">
        <f t="shared" ca="1" si="4"/>
        <v>0</v>
      </c>
      <c r="BI16" s="67">
        <f t="shared" ca="1" si="4"/>
        <v>0</v>
      </c>
      <c r="BJ16" s="67">
        <f t="shared" ca="1" si="4"/>
        <v>0</v>
      </c>
      <c r="BK16" s="67">
        <f t="shared" ca="1" si="4"/>
        <v>0</v>
      </c>
      <c r="BL16" s="67">
        <f t="shared" ca="1" si="4"/>
        <v>0</v>
      </c>
      <c r="BM16" s="67">
        <f t="shared" ca="1" si="4"/>
        <v>0</v>
      </c>
      <c r="BN16" s="67">
        <f t="shared" ca="1" si="4"/>
        <v>0</v>
      </c>
      <c r="BO16" s="67">
        <f t="shared" ca="1" si="4"/>
        <v>0</v>
      </c>
      <c r="BP16" s="67">
        <f t="shared" ca="1" si="4"/>
        <v>0</v>
      </c>
      <c r="BQ16" s="67">
        <f t="shared" ca="1" si="4"/>
        <v>0</v>
      </c>
      <c r="BR16" s="67">
        <f t="shared" ca="1" si="5"/>
        <v>0</v>
      </c>
      <c r="BS16" s="67">
        <f t="shared" ca="1" si="5"/>
        <v>0</v>
      </c>
      <c r="BT16" s="67">
        <f t="shared" ca="1" si="5"/>
        <v>0</v>
      </c>
    </row>
    <row r="17" spans="1:72" x14ac:dyDescent="0.2">
      <c r="A17" s="317">
        <f t="shared" ca="1" si="6"/>
        <v>44500</v>
      </c>
      <c r="B17" s="87">
        <f t="shared" ca="1" si="9"/>
        <v>44494</v>
      </c>
      <c r="C17" s="67">
        <v>12</v>
      </c>
      <c r="D17" s="67" t="str">
        <f t="shared" ca="1" si="10"/>
        <v/>
      </c>
      <c r="E17" s="67" t="str">
        <f t="shared" ca="1" si="0"/>
        <v xml:space="preserve"> </v>
      </c>
      <c r="F17" s="67">
        <f t="shared" ca="1" si="7"/>
        <v>43</v>
      </c>
      <c r="G17" s="67" t="str">
        <f>ROW(A12)&amp;". "&amp;'Critical resources'!B23</f>
        <v xml:space="preserve">12. </v>
      </c>
      <c r="H17" s="67">
        <f ca="1">IFERROR(VLOOKUP('Critical resources'!D23,$B$6:$C$57,2,0),0)</f>
        <v>0</v>
      </c>
      <c r="I17" s="67">
        <f ca="1">IFERROR(VLOOKUP('Critical resources'!E23,$A$6:$C$57,3,0),0)</f>
        <v>0</v>
      </c>
      <c r="J17" s="67">
        <f ca="1">IFERROR(VLOOKUP('Critical resources'!G23,$B$6:$C$57,2,0),0)</f>
        <v>0</v>
      </c>
      <c r="K17" s="67">
        <f ca="1">IFERROR(VLOOKUP('Critical resources'!H23,$B$6:$C$57,2,0),0)</f>
        <v>0</v>
      </c>
      <c r="L17" s="67">
        <f ca="1">IFERROR(VLOOKUP('Critical resources'!J23,$B$6:$C$57,2,0),0)</f>
        <v>0</v>
      </c>
      <c r="M17" s="67">
        <f ca="1">IFERROR(VLOOKUP('Critical resources'!K23,$A$6:$C$57,3,0),0)</f>
        <v>0</v>
      </c>
      <c r="N17" s="67">
        <f ca="1">IFERROR(VLOOKUP('Critical resources'!M23,$B$6:$C$57,2,0),0)</f>
        <v>0</v>
      </c>
      <c r="O17" s="67">
        <f ca="1">IFERROR(VLOOKUP('Critical resources'!N23,$A$6:$C$57,3,0),0)</f>
        <v>0</v>
      </c>
      <c r="P17" s="67">
        <f ca="1">IFERROR(VLOOKUP('Critical resources'!P23,$B$6:$C$57,2,0),0)</f>
        <v>0</v>
      </c>
      <c r="Q17" s="67">
        <f ca="1">IFERROR(VLOOKUP('Critical resources'!Q23,$A$6:$C$57,3,0),0)</f>
        <v>0</v>
      </c>
      <c r="T17" s="67" t="str">
        <f t="shared" si="1"/>
        <v xml:space="preserve">12. </v>
      </c>
      <c r="U17" s="67">
        <f t="shared" ca="1" si="8"/>
        <v>0</v>
      </c>
      <c r="V17" s="67">
        <f t="shared" ca="1" si="2"/>
        <v>0</v>
      </c>
      <c r="W17" s="67">
        <f t="shared" ca="1" si="2"/>
        <v>0</v>
      </c>
      <c r="X17" s="67">
        <f t="shared" ca="1" si="2"/>
        <v>0</v>
      </c>
      <c r="Y17" s="67">
        <f t="shared" ca="1" si="2"/>
        <v>0</v>
      </c>
      <c r="Z17" s="67">
        <f t="shared" ca="1" si="2"/>
        <v>0</v>
      </c>
      <c r="AA17" s="67">
        <f t="shared" ca="1" si="2"/>
        <v>0</v>
      </c>
      <c r="AB17" s="67">
        <f t="shared" ca="1" si="2"/>
        <v>0</v>
      </c>
      <c r="AC17" s="67">
        <f t="shared" ca="1" si="2"/>
        <v>0</v>
      </c>
      <c r="AD17" s="67">
        <f t="shared" ca="1" si="2"/>
        <v>0</v>
      </c>
      <c r="AE17" s="67">
        <f t="shared" ca="1" si="2"/>
        <v>0</v>
      </c>
      <c r="AF17" s="67">
        <f t="shared" ca="1" si="2"/>
        <v>0</v>
      </c>
      <c r="AG17" s="67">
        <f t="shared" ca="1" si="2"/>
        <v>0</v>
      </c>
      <c r="AH17" s="67">
        <f t="shared" ca="1" si="2"/>
        <v>0</v>
      </c>
      <c r="AI17" s="67">
        <f t="shared" ca="1" si="2"/>
        <v>0</v>
      </c>
      <c r="AJ17" s="67">
        <f t="shared" ca="1" si="2"/>
        <v>0</v>
      </c>
      <c r="AK17" s="67">
        <f t="shared" ca="1" si="2"/>
        <v>0</v>
      </c>
      <c r="AL17" s="67">
        <f t="shared" ca="1" si="3"/>
        <v>0</v>
      </c>
      <c r="AM17" s="67">
        <f t="shared" ca="1" si="3"/>
        <v>0</v>
      </c>
      <c r="AN17" s="67">
        <f t="shared" ca="1" si="3"/>
        <v>0</v>
      </c>
      <c r="AO17" s="67">
        <f t="shared" ca="1" si="3"/>
        <v>0</v>
      </c>
      <c r="AP17" s="67">
        <f t="shared" ca="1" si="3"/>
        <v>0</v>
      </c>
      <c r="AQ17" s="67">
        <f t="shared" ca="1" si="3"/>
        <v>0</v>
      </c>
      <c r="AR17" s="67">
        <f t="shared" ca="1" si="3"/>
        <v>0</v>
      </c>
      <c r="AS17" s="67">
        <f t="shared" ca="1" si="3"/>
        <v>0</v>
      </c>
      <c r="AT17" s="67">
        <f t="shared" ca="1" si="3"/>
        <v>0</v>
      </c>
      <c r="AU17" s="67">
        <f t="shared" ca="1" si="3"/>
        <v>0</v>
      </c>
      <c r="AV17" s="67">
        <f t="shared" ca="1" si="3"/>
        <v>0</v>
      </c>
      <c r="AW17" s="67">
        <f t="shared" ca="1" si="3"/>
        <v>0</v>
      </c>
      <c r="AX17" s="67">
        <f t="shared" ca="1" si="3"/>
        <v>0</v>
      </c>
      <c r="AY17" s="67">
        <f t="shared" ca="1" si="3"/>
        <v>0</v>
      </c>
      <c r="AZ17" s="67">
        <f t="shared" ca="1" si="3"/>
        <v>0</v>
      </c>
      <c r="BA17" s="67">
        <f t="shared" ca="1" si="3"/>
        <v>0</v>
      </c>
      <c r="BB17" s="67">
        <f t="shared" ca="1" si="4"/>
        <v>0</v>
      </c>
      <c r="BC17" s="67">
        <f t="shared" ca="1" si="4"/>
        <v>0</v>
      </c>
      <c r="BD17" s="67">
        <f t="shared" ca="1" si="4"/>
        <v>0</v>
      </c>
      <c r="BE17" s="67">
        <f t="shared" ca="1" si="4"/>
        <v>0</v>
      </c>
      <c r="BF17" s="67">
        <f t="shared" ca="1" si="4"/>
        <v>0</v>
      </c>
      <c r="BG17" s="67">
        <f t="shared" ca="1" si="4"/>
        <v>0</v>
      </c>
      <c r="BH17" s="67">
        <f t="shared" ca="1" si="4"/>
        <v>0</v>
      </c>
      <c r="BI17" s="67">
        <f t="shared" ca="1" si="4"/>
        <v>0</v>
      </c>
      <c r="BJ17" s="67">
        <f t="shared" ca="1" si="4"/>
        <v>0</v>
      </c>
      <c r="BK17" s="67">
        <f t="shared" ca="1" si="4"/>
        <v>0</v>
      </c>
      <c r="BL17" s="67">
        <f t="shared" ca="1" si="4"/>
        <v>0</v>
      </c>
      <c r="BM17" s="67">
        <f t="shared" ca="1" si="4"/>
        <v>0</v>
      </c>
      <c r="BN17" s="67">
        <f t="shared" ca="1" si="4"/>
        <v>0</v>
      </c>
      <c r="BO17" s="67">
        <f t="shared" ca="1" si="4"/>
        <v>0</v>
      </c>
      <c r="BP17" s="67">
        <f t="shared" ca="1" si="4"/>
        <v>0</v>
      </c>
      <c r="BQ17" s="67">
        <f t="shared" ca="1" si="4"/>
        <v>0</v>
      </c>
      <c r="BR17" s="67">
        <f t="shared" ca="1" si="5"/>
        <v>0</v>
      </c>
      <c r="BS17" s="67">
        <f t="shared" ca="1" si="5"/>
        <v>0</v>
      </c>
      <c r="BT17" s="67">
        <f t="shared" ca="1" si="5"/>
        <v>0</v>
      </c>
    </row>
    <row r="18" spans="1:72" x14ac:dyDescent="0.2">
      <c r="A18" s="317">
        <f t="shared" ca="1" si="6"/>
        <v>44507</v>
      </c>
      <c r="B18" s="87">
        <f t="shared" ca="1" si="9"/>
        <v>44501</v>
      </c>
      <c r="C18" s="67">
        <v>13</v>
      </c>
      <c r="D18" s="67" t="str">
        <f t="shared" ca="1" si="10"/>
        <v/>
      </c>
      <c r="E18" s="67" t="str">
        <f t="shared" ca="1" si="0"/>
        <v>Nov</v>
      </c>
      <c r="F18" s="67">
        <f t="shared" ca="1" si="7"/>
        <v>44</v>
      </c>
      <c r="G18" s="67" t="str">
        <f>ROW(A13)&amp;". "&amp;'Critical resources'!B24</f>
        <v xml:space="preserve">13. </v>
      </c>
      <c r="H18" s="67">
        <f ca="1">IFERROR(VLOOKUP('Critical resources'!D24,$B$6:$C$57,2,0),0)</f>
        <v>0</v>
      </c>
      <c r="I18" s="67">
        <f ca="1">IFERROR(VLOOKUP('Critical resources'!E24,$A$6:$C$57,3,0),0)</f>
        <v>0</v>
      </c>
      <c r="J18" s="67">
        <f ca="1">IFERROR(VLOOKUP('Critical resources'!G24,$B$6:$C$57,2,0),0)</f>
        <v>0</v>
      </c>
      <c r="K18" s="67">
        <f ca="1">IFERROR(VLOOKUP('Critical resources'!H24,$B$6:$C$57,2,0),0)</f>
        <v>0</v>
      </c>
      <c r="L18" s="67">
        <f ca="1">IFERROR(VLOOKUP('Critical resources'!J24,$B$6:$C$57,2,0),0)</f>
        <v>0</v>
      </c>
      <c r="M18" s="67">
        <f ca="1">IFERROR(VLOOKUP('Critical resources'!K24,$A$6:$C$57,3,0),0)</f>
        <v>0</v>
      </c>
      <c r="N18" s="67">
        <f ca="1">IFERROR(VLOOKUP('Critical resources'!M24,$B$6:$C$57,2,0),0)</f>
        <v>0</v>
      </c>
      <c r="O18" s="67">
        <f ca="1">IFERROR(VLOOKUP('Critical resources'!N24,$A$6:$C$57,3,0),0)</f>
        <v>0</v>
      </c>
      <c r="P18" s="67">
        <f ca="1">IFERROR(VLOOKUP('Critical resources'!P24,$B$6:$C$57,2,0),0)</f>
        <v>0</v>
      </c>
      <c r="Q18" s="67">
        <f ca="1">IFERROR(VLOOKUP('Critical resources'!Q24,$A$6:$C$57,3,0),0)</f>
        <v>0</v>
      </c>
      <c r="T18" s="67" t="str">
        <f t="shared" si="1"/>
        <v xml:space="preserve">13. </v>
      </c>
      <c r="U18" s="67">
        <f t="shared" ca="1" si="8"/>
        <v>0</v>
      </c>
      <c r="V18" s="67">
        <f t="shared" ca="1" si="2"/>
        <v>0</v>
      </c>
      <c r="W18" s="67">
        <f t="shared" ca="1" si="2"/>
        <v>0</v>
      </c>
      <c r="X18" s="67">
        <f t="shared" ca="1" si="2"/>
        <v>0</v>
      </c>
      <c r="Y18" s="67">
        <f t="shared" ca="1" si="2"/>
        <v>0</v>
      </c>
      <c r="Z18" s="67">
        <f t="shared" ca="1" si="2"/>
        <v>0</v>
      </c>
      <c r="AA18" s="67">
        <f t="shared" ca="1" si="2"/>
        <v>0</v>
      </c>
      <c r="AB18" s="67">
        <f t="shared" ca="1" si="2"/>
        <v>0</v>
      </c>
      <c r="AC18" s="67">
        <f t="shared" ca="1" si="2"/>
        <v>0</v>
      </c>
      <c r="AD18" s="67">
        <f t="shared" ca="1" si="2"/>
        <v>0</v>
      </c>
      <c r="AE18" s="67">
        <f t="shared" ca="1" si="2"/>
        <v>0</v>
      </c>
      <c r="AF18" s="67">
        <f t="shared" ca="1" si="2"/>
        <v>0</v>
      </c>
      <c r="AG18" s="67">
        <f t="shared" ca="1" si="2"/>
        <v>0</v>
      </c>
      <c r="AH18" s="67">
        <f t="shared" ca="1" si="2"/>
        <v>0</v>
      </c>
      <c r="AI18" s="67">
        <f t="shared" ca="1" si="2"/>
        <v>0</v>
      </c>
      <c r="AJ18" s="67">
        <f t="shared" ca="1" si="2"/>
        <v>0</v>
      </c>
      <c r="AK18" s="67">
        <f t="shared" ca="1" si="2"/>
        <v>0</v>
      </c>
      <c r="AL18" s="67">
        <f t="shared" ca="1" si="3"/>
        <v>0</v>
      </c>
      <c r="AM18" s="67">
        <f t="shared" ca="1" si="3"/>
        <v>0</v>
      </c>
      <c r="AN18" s="67">
        <f t="shared" ca="1" si="3"/>
        <v>0</v>
      </c>
      <c r="AO18" s="67">
        <f t="shared" ca="1" si="3"/>
        <v>0</v>
      </c>
      <c r="AP18" s="67">
        <f t="shared" ca="1" si="3"/>
        <v>0</v>
      </c>
      <c r="AQ18" s="67">
        <f t="shared" ca="1" si="3"/>
        <v>0</v>
      </c>
      <c r="AR18" s="67">
        <f t="shared" ca="1" si="3"/>
        <v>0</v>
      </c>
      <c r="AS18" s="67">
        <f t="shared" ca="1" si="3"/>
        <v>0</v>
      </c>
      <c r="AT18" s="67">
        <f t="shared" ca="1" si="3"/>
        <v>0</v>
      </c>
      <c r="AU18" s="67">
        <f t="shared" ca="1" si="3"/>
        <v>0</v>
      </c>
      <c r="AV18" s="67">
        <f t="shared" ca="1" si="3"/>
        <v>0</v>
      </c>
      <c r="AW18" s="67">
        <f t="shared" ca="1" si="3"/>
        <v>0</v>
      </c>
      <c r="AX18" s="67">
        <f t="shared" ca="1" si="3"/>
        <v>0</v>
      </c>
      <c r="AY18" s="67">
        <f t="shared" ca="1" si="3"/>
        <v>0</v>
      </c>
      <c r="AZ18" s="67">
        <f t="shared" ca="1" si="3"/>
        <v>0</v>
      </c>
      <c r="BA18" s="67">
        <f t="shared" ca="1" si="3"/>
        <v>0</v>
      </c>
      <c r="BB18" s="67">
        <f t="shared" ca="1" si="4"/>
        <v>0</v>
      </c>
      <c r="BC18" s="67">
        <f t="shared" ca="1" si="4"/>
        <v>0</v>
      </c>
      <c r="BD18" s="67">
        <f t="shared" ca="1" si="4"/>
        <v>0</v>
      </c>
      <c r="BE18" s="67">
        <f t="shared" ca="1" si="4"/>
        <v>0</v>
      </c>
      <c r="BF18" s="67">
        <f t="shared" ca="1" si="4"/>
        <v>0</v>
      </c>
      <c r="BG18" s="67">
        <f t="shared" ca="1" si="4"/>
        <v>0</v>
      </c>
      <c r="BH18" s="67">
        <f t="shared" ca="1" si="4"/>
        <v>0</v>
      </c>
      <c r="BI18" s="67">
        <f t="shared" ca="1" si="4"/>
        <v>0</v>
      </c>
      <c r="BJ18" s="67">
        <f t="shared" ca="1" si="4"/>
        <v>0</v>
      </c>
      <c r="BK18" s="67">
        <f t="shared" ca="1" si="4"/>
        <v>0</v>
      </c>
      <c r="BL18" s="67">
        <f t="shared" ca="1" si="4"/>
        <v>0</v>
      </c>
      <c r="BM18" s="67">
        <f t="shared" ca="1" si="4"/>
        <v>0</v>
      </c>
      <c r="BN18" s="67">
        <f t="shared" ca="1" si="4"/>
        <v>0</v>
      </c>
      <c r="BO18" s="67">
        <f t="shared" ca="1" si="4"/>
        <v>0</v>
      </c>
      <c r="BP18" s="67">
        <f t="shared" ca="1" si="4"/>
        <v>0</v>
      </c>
      <c r="BQ18" s="67">
        <f t="shared" ca="1" si="4"/>
        <v>0</v>
      </c>
      <c r="BR18" s="67">
        <f t="shared" ca="1" si="5"/>
        <v>0</v>
      </c>
      <c r="BS18" s="67">
        <f t="shared" ca="1" si="5"/>
        <v>0</v>
      </c>
      <c r="BT18" s="67">
        <f t="shared" ca="1" si="5"/>
        <v>0</v>
      </c>
    </row>
    <row r="19" spans="1:72" x14ac:dyDescent="0.2">
      <c r="A19" s="317">
        <f t="shared" ca="1" si="6"/>
        <v>44514</v>
      </c>
      <c r="B19" s="87">
        <f t="shared" ca="1" si="9"/>
        <v>44508</v>
      </c>
      <c r="C19" s="67">
        <v>14</v>
      </c>
      <c r="D19" s="67" t="str">
        <f t="shared" ca="1" si="10"/>
        <v/>
      </c>
      <c r="E19" s="67" t="str">
        <f t="shared" ca="1" si="0"/>
        <v xml:space="preserve"> </v>
      </c>
      <c r="F19" s="67">
        <f t="shared" ca="1" si="7"/>
        <v>45</v>
      </c>
      <c r="G19" s="67" t="str">
        <f>ROW(A14)&amp;". "&amp;'Critical resources'!B25</f>
        <v xml:space="preserve">14. </v>
      </c>
      <c r="H19" s="67">
        <f ca="1">IFERROR(VLOOKUP('Critical resources'!D25,$B$6:$C$57,2,0),0)</f>
        <v>0</v>
      </c>
      <c r="I19" s="67">
        <f ca="1">IFERROR(VLOOKUP('Critical resources'!E25,$A$6:$C$57,3,0),0)</f>
        <v>0</v>
      </c>
      <c r="J19" s="67">
        <f ca="1">IFERROR(VLOOKUP('Critical resources'!G25,$B$6:$C$57,2,0),0)</f>
        <v>0</v>
      </c>
      <c r="K19" s="67">
        <f ca="1">IFERROR(VLOOKUP('Critical resources'!H25,$B$6:$C$57,2,0),0)</f>
        <v>0</v>
      </c>
      <c r="L19" s="67">
        <f ca="1">IFERROR(VLOOKUP('Critical resources'!J25,$B$6:$C$57,2,0),0)</f>
        <v>0</v>
      </c>
      <c r="M19" s="67">
        <f ca="1">IFERROR(VLOOKUP('Critical resources'!K25,$A$6:$C$57,3,0),0)</f>
        <v>0</v>
      </c>
      <c r="N19" s="67">
        <f ca="1">IFERROR(VLOOKUP('Critical resources'!M25,$B$6:$C$57,2,0),0)</f>
        <v>0</v>
      </c>
      <c r="O19" s="67">
        <f ca="1">IFERROR(VLOOKUP('Critical resources'!N25,$A$6:$C$57,3,0),0)</f>
        <v>0</v>
      </c>
      <c r="P19" s="67">
        <f ca="1">IFERROR(VLOOKUP('Critical resources'!P25,$B$6:$C$57,2,0),0)</f>
        <v>0</v>
      </c>
      <c r="Q19" s="67">
        <f ca="1">IFERROR(VLOOKUP('Critical resources'!Q25,$A$6:$C$57,3,0),0)</f>
        <v>0</v>
      </c>
      <c r="T19" s="67" t="str">
        <f t="shared" si="1"/>
        <v xml:space="preserve">14. </v>
      </c>
      <c r="U19" s="67">
        <f t="shared" ca="1" si="8"/>
        <v>0</v>
      </c>
      <c r="V19" s="67">
        <f t="shared" ca="1" si="2"/>
        <v>0</v>
      </c>
      <c r="W19" s="67">
        <f t="shared" ca="1" si="2"/>
        <v>0</v>
      </c>
      <c r="X19" s="67">
        <f t="shared" ca="1" si="2"/>
        <v>0</v>
      </c>
      <c r="Y19" s="67">
        <f t="shared" ca="1" si="2"/>
        <v>0</v>
      </c>
      <c r="Z19" s="67">
        <f t="shared" ca="1" si="2"/>
        <v>0</v>
      </c>
      <c r="AA19" s="67">
        <f t="shared" ca="1" si="2"/>
        <v>0</v>
      </c>
      <c r="AB19" s="67">
        <f t="shared" ca="1" si="2"/>
        <v>0</v>
      </c>
      <c r="AC19" s="67">
        <f t="shared" ca="1" si="2"/>
        <v>0</v>
      </c>
      <c r="AD19" s="67">
        <f t="shared" ca="1" si="2"/>
        <v>0</v>
      </c>
      <c r="AE19" s="67">
        <f t="shared" ca="1" si="2"/>
        <v>0</v>
      </c>
      <c r="AF19" s="67">
        <f t="shared" ca="1" si="2"/>
        <v>0</v>
      </c>
      <c r="AG19" s="67">
        <f t="shared" ca="1" si="2"/>
        <v>0</v>
      </c>
      <c r="AH19" s="67">
        <f t="shared" ca="1" si="2"/>
        <v>0</v>
      </c>
      <c r="AI19" s="67">
        <f t="shared" ca="1" si="2"/>
        <v>0</v>
      </c>
      <c r="AJ19" s="67">
        <f t="shared" ca="1" si="2"/>
        <v>0</v>
      </c>
      <c r="AK19" s="67">
        <f t="shared" ca="1" si="2"/>
        <v>0</v>
      </c>
      <c r="AL19" s="67">
        <f t="shared" ca="1" si="3"/>
        <v>0</v>
      </c>
      <c r="AM19" s="67">
        <f t="shared" ca="1" si="3"/>
        <v>0</v>
      </c>
      <c r="AN19" s="67">
        <f t="shared" ca="1" si="3"/>
        <v>0</v>
      </c>
      <c r="AO19" s="67">
        <f t="shared" ca="1" si="3"/>
        <v>0</v>
      </c>
      <c r="AP19" s="67">
        <f t="shared" ca="1" si="3"/>
        <v>0</v>
      </c>
      <c r="AQ19" s="67">
        <f t="shared" ca="1" si="3"/>
        <v>0</v>
      </c>
      <c r="AR19" s="67">
        <f t="shared" ca="1" si="3"/>
        <v>0</v>
      </c>
      <c r="AS19" s="67">
        <f t="shared" ca="1" si="3"/>
        <v>0</v>
      </c>
      <c r="AT19" s="67">
        <f t="shared" ca="1" si="3"/>
        <v>0</v>
      </c>
      <c r="AU19" s="67">
        <f t="shared" ca="1" si="3"/>
        <v>0</v>
      </c>
      <c r="AV19" s="67">
        <f t="shared" ca="1" si="3"/>
        <v>0</v>
      </c>
      <c r="AW19" s="67">
        <f t="shared" ca="1" si="3"/>
        <v>0</v>
      </c>
      <c r="AX19" s="67">
        <f t="shared" ca="1" si="3"/>
        <v>0</v>
      </c>
      <c r="AY19" s="67">
        <f t="shared" ca="1" si="3"/>
        <v>0</v>
      </c>
      <c r="AZ19" s="67">
        <f t="shared" ca="1" si="3"/>
        <v>0</v>
      </c>
      <c r="BA19" s="67">
        <f t="shared" ca="1" si="3"/>
        <v>0</v>
      </c>
      <c r="BB19" s="67">
        <f t="shared" ca="1" si="4"/>
        <v>0</v>
      </c>
      <c r="BC19" s="67">
        <f t="shared" ca="1" si="4"/>
        <v>0</v>
      </c>
      <c r="BD19" s="67">
        <f t="shared" ca="1" si="4"/>
        <v>0</v>
      </c>
      <c r="BE19" s="67">
        <f t="shared" ca="1" si="4"/>
        <v>0</v>
      </c>
      <c r="BF19" s="67">
        <f t="shared" ca="1" si="4"/>
        <v>0</v>
      </c>
      <c r="BG19" s="67">
        <f t="shared" ca="1" si="4"/>
        <v>0</v>
      </c>
      <c r="BH19" s="67">
        <f t="shared" ca="1" si="4"/>
        <v>0</v>
      </c>
      <c r="BI19" s="67">
        <f t="shared" ca="1" si="4"/>
        <v>0</v>
      </c>
      <c r="BJ19" s="67">
        <f t="shared" ca="1" si="4"/>
        <v>0</v>
      </c>
      <c r="BK19" s="67">
        <f t="shared" ca="1" si="4"/>
        <v>0</v>
      </c>
      <c r="BL19" s="67">
        <f t="shared" ca="1" si="4"/>
        <v>0</v>
      </c>
      <c r="BM19" s="67">
        <f t="shared" ca="1" si="4"/>
        <v>0</v>
      </c>
      <c r="BN19" s="67">
        <f t="shared" ca="1" si="4"/>
        <v>0</v>
      </c>
      <c r="BO19" s="67">
        <f t="shared" ca="1" si="4"/>
        <v>0</v>
      </c>
      <c r="BP19" s="67">
        <f t="shared" ca="1" si="4"/>
        <v>0</v>
      </c>
      <c r="BQ19" s="67">
        <f t="shared" ca="1" si="4"/>
        <v>0</v>
      </c>
      <c r="BR19" s="67">
        <f t="shared" ca="1" si="5"/>
        <v>0</v>
      </c>
      <c r="BS19" s="67">
        <f t="shared" ca="1" si="5"/>
        <v>0</v>
      </c>
      <c r="BT19" s="67">
        <f t="shared" ca="1" si="5"/>
        <v>0</v>
      </c>
    </row>
    <row r="20" spans="1:72" x14ac:dyDescent="0.2">
      <c r="A20" s="317">
        <f t="shared" ca="1" si="6"/>
        <v>44521</v>
      </c>
      <c r="B20" s="87">
        <f t="shared" ca="1" si="9"/>
        <v>44515</v>
      </c>
      <c r="C20" s="67">
        <v>15</v>
      </c>
      <c r="D20" s="67" t="str">
        <f t="shared" ca="1" si="10"/>
        <v/>
      </c>
      <c r="E20" s="67" t="str">
        <f t="shared" ca="1" si="0"/>
        <v xml:space="preserve"> </v>
      </c>
      <c r="F20" s="67">
        <f t="shared" ca="1" si="7"/>
        <v>46</v>
      </c>
      <c r="G20" s="67" t="str">
        <f>ROW(A15)&amp;". "&amp;'Critical resources'!B26</f>
        <v xml:space="preserve">15. </v>
      </c>
      <c r="H20" s="67">
        <f ca="1">IFERROR(VLOOKUP('Critical resources'!D26,$B$6:$C$57,2,0),0)</f>
        <v>0</v>
      </c>
      <c r="I20" s="67">
        <f ca="1">IFERROR(VLOOKUP('Critical resources'!E26,$A$6:$C$57,3,0),0)</f>
        <v>0</v>
      </c>
      <c r="J20" s="67">
        <f ca="1">IFERROR(VLOOKUP('Critical resources'!G26,$B$6:$C$57,2,0),0)</f>
        <v>0</v>
      </c>
      <c r="K20" s="67">
        <f ca="1">IFERROR(VLOOKUP('Critical resources'!H26,$B$6:$C$57,2,0),0)</f>
        <v>0</v>
      </c>
      <c r="L20" s="67">
        <f ca="1">IFERROR(VLOOKUP('Critical resources'!J26,$B$6:$C$57,2,0),0)</f>
        <v>0</v>
      </c>
      <c r="M20" s="67">
        <f ca="1">IFERROR(VLOOKUP('Critical resources'!K26,$A$6:$C$57,3,0),0)</f>
        <v>0</v>
      </c>
      <c r="N20" s="67">
        <f ca="1">IFERROR(VLOOKUP('Critical resources'!M26,$B$6:$C$57,2,0),0)</f>
        <v>0</v>
      </c>
      <c r="O20" s="67">
        <f ca="1">IFERROR(VLOOKUP('Critical resources'!N26,$A$6:$C$57,3,0),0)</f>
        <v>0</v>
      </c>
      <c r="P20" s="67">
        <f ca="1">IFERROR(VLOOKUP('Critical resources'!P26,$B$6:$C$57,2,0),0)</f>
        <v>0</v>
      </c>
      <c r="Q20" s="67">
        <f ca="1">IFERROR(VLOOKUP('Critical resources'!Q26,$A$6:$C$57,3,0),0)</f>
        <v>0</v>
      </c>
      <c r="T20" s="67" t="str">
        <f t="shared" si="1"/>
        <v xml:space="preserve">15. </v>
      </c>
      <c r="U20" s="67">
        <f t="shared" ca="1" si="8"/>
        <v>0</v>
      </c>
      <c r="V20" s="67">
        <f t="shared" ca="1" si="2"/>
        <v>0</v>
      </c>
      <c r="W20" s="67">
        <f t="shared" ca="1" si="2"/>
        <v>0</v>
      </c>
      <c r="X20" s="67">
        <f t="shared" ca="1" si="2"/>
        <v>0</v>
      </c>
      <c r="Y20" s="67">
        <f t="shared" ca="1" si="2"/>
        <v>0</v>
      </c>
      <c r="Z20" s="67">
        <f t="shared" ca="1" si="2"/>
        <v>0</v>
      </c>
      <c r="AA20" s="67">
        <f t="shared" ca="1" si="2"/>
        <v>0</v>
      </c>
      <c r="AB20" s="67">
        <f t="shared" ca="1" si="2"/>
        <v>0</v>
      </c>
      <c r="AC20" s="67">
        <f t="shared" ca="1" si="2"/>
        <v>0</v>
      </c>
      <c r="AD20" s="67">
        <f t="shared" ca="1" si="2"/>
        <v>0</v>
      </c>
      <c r="AE20" s="67">
        <f t="shared" ca="1" si="2"/>
        <v>0</v>
      </c>
      <c r="AF20" s="67">
        <f t="shared" ca="1" si="2"/>
        <v>0</v>
      </c>
      <c r="AG20" s="67">
        <f t="shared" ca="1" si="2"/>
        <v>0</v>
      </c>
      <c r="AH20" s="67">
        <f t="shared" ca="1" si="2"/>
        <v>0</v>
      </c>
      <c r="AI20" s="67">
        <f t="shared" ca="1" si="2"/>
        <v>0</v>
      </c>
      <c r="AJ20" s="67">
        <f t="shared" ca="1" si="2"/>
        <v>0</v>
      </c>
      <c r="AK20" s="67">
        <f t="shared" ca="1" si="2"/>
        <v>0</v>
      </c>
      <c r="AL20" s="67">
        <f t="shared" ca="1" si="3"/>
        <v>0</v>
      </c>
      <c r="AM20" s="67">
        <f t="shared" ca="1" si="3"/>
        <v>0</v>
      </c>
      <c r="AN20" s="67">
        <f t="shared" ca="1" si="3"/>
        <v>0</v>
      </c>
      <c r="AO20" s="67">
        <f t="shared" ca="1" si="3"/>
        <v>0</v>
      </c>
      <c r="AP20" s="67">
        <f t="shared" ca="1" si="3"/>
        <v>0</v>
      </c>
      <c r="AQ20" s="67">
        <f t="shared" ca="1" si="3"/>
        <v>0</v>
      </c>
      <c r="AR20" s="67">
        <f t="shared" ca="1" si="3"/>
        <v>0</v>
      </c>
      <c r="AS20" s="67">
        <f t="shared" ca="1" si="3"/>
        <v>0</v>
      </c>
      <c r="AT20" s="67">
        <f t="shared" ca="1" si="3"/>
        <v>0</v>
      </c>
      <c r="AU20" s="67">
        <f t="shared" ca="1" si="3"/>
        <v>0</v>
      </c>
      <c r="AV20" s="67">
        <f t="shared" ca="1" si="3"/>
        <v>0</v>
      </c>
      <c r="AW20" s="67">
        <f t="shared" ca="1" si="3"/>
        <v>0</v>
      </c>
      <c r="AX20" s="67">
        <f t="shared" ca="1" si="3"/>
        <v>0</v>
      </c>
      <c r="AY20" s="67">
        <f t="shared" ca="1" si="3"/>
        <v>0</v>
      </c>
      <c r="AZ20" s="67">
        <f t="shared" ca="1" si="3"/>
        <v>0</v>
      </c>
      <c r="BA20" s="67">
        <f t="shared" ca="1" si="3"/>
        <v>0</v>
      </c>
      <c r="BB20" s="67">
        <f t="shared" ca="1" si="4"/>
        <v>0</v>
      </c>
      <c r="BC20" s="67">
        <f t="shared" ca="1" si="4"/>
        <v>0</v>
      </c>
      <c r="BD20" s="67">
        <f t="shared" ca="1" si="4"/>
        <v>0</v>
      </c>
      <c r="BE20" s="67">
        <f t="shared" ca="1" si="4"/>
        <v>0</v>
      </c>
      <c r="BF20" s="67">
        <f t="shared" ca="1" si="4"/>
        <v>0</v>
      </c>
      <c r="BG20" s="67">
        <f t="shared" ca="1" si="4"/>
        <v>0</v>
      </c>
      <c r="BH20" s="67">
        <f t="shared" ca="1" si="4"/>
        <v>0</v>
      </c>
      <c r="BI20" s="67">
        <f t="shared" ca="1" si="4"/>
        <v>0</v>
      </c>
      <c r="BJ20" s="67">
        <f t="shared" ca="1" si="4"/>
        <v>0</v>
      </c>
      <c r="BK20" s="67">
        <f t="shared" ca="1" si="4"/>
        <v>0</v>
      </c>
      <c r="BL20" s="67">
        <f t="shared" ca="1" si="4"/>
        <v>0</v>
      </c>
      <c r="BM20" s="67">
        <f t="shared" ca="1" si="4"/>
        <v>0</v>
      </c>
      <c r="BN20" s="67">
        <f t="shared" ca="1" si="4"/>
        <v>0</v>
      </c>
      <c r="BO20" s="67">
        <f t="shared" ca="1" si="4"/>
        <v>0</v>
      </c>
      <c r="BP20" s="67">
        <f t="shared" ca="1" si="4"/>
        <v>0</v>
      </c>
      <c r="BQ20" s="67">
        <f t="shared" ca="1" si="4"/>
        <v>0</v>
      </c>
      <c r="BR20" s="67">
        <f t="shared" ca="1" si="5"/>
        <v>0</v>
      </c>
      <c r="BS20" s="67">
        <f t="shared" ca="1" si="5"/>
        <v>0</v>
      </c>
      <c r="BT20" s="67">
        <f t="shared" ca="1" si="5"/>
        <v>0</v>
      </c>
    </row>
    <row r="21" spans="1:72" x14ac:dyDescent="0.2">
      <c r="A21" s="317">
        <f t="shared" ca="1" si="6"/>
        <v>44528</v>
      </c>
      <c r="B21" s="87">
        <f t="shared" ca="1" si="9"/>
        <v>44522</v>
      </c>
      <c r="C21" s="67">
        <v>16</v>
      </c>
      <c r="D21" s="67" t="str">
        <f t="shared" ca="1" si="10"/>
        <v/>
      </c>
      <c r="E21" s="67" t="str">
        <f t="shared" ca="1" si="0"/>
        <v xml:space="preserve"> </v>
      </c>
      <c r="F21" s="67">
        <f t="shared" ca="1" si="7"/>
        <v>47</v>
      </c>
      <c r="G21" s="67" t="str">
        <f>ROW(A16)&amp;". "&amp;'Critical resources'!B27</f>
        <v xml:space="preserve">16. </v>
      </c>
      <c r="H21" s="67">
        <f ca="1">IFERROR(VLOOKUP('Critical resources'!D27,$B$6:$C$57,2,0),0)</f>
        <v>0</v>
      </c>
      <c r="I21" s="67">
        <f ca="1">IFERROR(VLOOKUP('Critical resources'!E27,$A$6:$C$57,3,0),0)</f>
        <v>0</v>
      </c>
      <c r="J21" s="67">
        <f ca="1">IFERROR(VLOOKUP('Critical resources'!G27,$B$6:$C$57,2,0),0)</f>
        <v>0</v>
      </c>
      <c r="K21" s="67">
        <f ca="1">IFERROR(VLOOKUP('Critical resources'!H27,$B$6:$C$57,2,0),0)</f>
        <v>0</v>
      </c>
      <c r="L21" s="67">
        <f ca="1">IFERROR(VLOOKUP('Critical resources'!J27,$B$6:$C$57,2,0),0)</f>
        <v>0</v>
      </c>
      <c r="M21" s="67">
        <f ca="1">IFERROR(VLOOKUP('Critical resources'!K27,$A$6:$C$57,3,0),0)</f>
        <v>0</v>
      </c>
      <c r="N21" s="67">
        <f ca="1">IFERROR(VLOOKUP('Critical resources'!M27,$B$6:$C$57,2,0),0)</f>
        <v>0</v>
      </c>
      <c r="O21" s="67">
        <f ca="1">IFERROR(VLOOKUP('Critical resources'!N27,$A$6:$C$57,3,0),0)</f>
        <v>0</v>
      </c>
      <c r="P21" s="67">
        <f ca="1">IFERROR(VLOOKUP('Critical resources'!P27,$B$6:$C$57,2,0),0)</f>
        <v>0</v>
      </c>
      <c r="Q21" s="67">
        <f ca="1">IFERROR(VLOOKUP('Critical resources'!Q27,$A$6:$C$57,3,0),0)</f>
        <v>0</v>
      </c>
      <c r="T21" s="67" t="str">
        <f t="shared" si="1"/>
        <v xml:space="preserve">16. </v>
      </c>
      <c r="U21" s="67">
        <f t="shared" ca="1" si="8"/>
        <v>0</v>
      </c>
      <c r="V21" s="67">
        <f t="shared" ca="1" si="2"/>
        <v>0</v>
      </c>
      <c r="W21" s="67">
        <f t="shared" ca="1" si="2"/>
        <v>0</v>
      </c>
      <c r="X21" s="67">
        <f t="shared" ca="1" si="2"/>
        <v>0</v>
      </c>
      <c r="Y21" s="67">
        <f t="shared" ca="1" si="2"/>
        <v>0</v>
      </c>
      <c r="Z21" s="67">
        <f t="shared" ca="1" si="2"/>
        <v>0</v>
      </c>
      <c r="AA21" s="67">
        <f t="shared" ca="1" si="2"/>
        <v>0</v>
      </c>
      <c r="AB21" s="67">
        <f t="shared" ca="1" si="2"/>
        <v>0</v>
      </c>
      <c r="AC21" s="67">
        <f t="shared" ca="1" si="2"/>
        <v>0</v>
      </c>
      <c r="AD21" s="67">
        <f t="shared" ca="1" si="2"/>
        <v>0</v>
      </c>
      <c r="AE21" s="67">
        <f t="shared" ca="1" si="2"/>
        <v>0</v>
      </c>
      <c r="AF21" s="67">
        <f t="shared" ca="1" si="2"/>
        <v>0</v>
      </c>
      <c r="AG21" s="67">
        <f t="shared" ca="1" si="2"/>
        <v>0</v>
      </c>
      <c r="AH21" s="67">
        <f t="shared" ca="1" si="2"/>
        <v>0</v>
      </c>
      <c r="AI21" s="67">
        <f t="shared" ca="1" si="2"/>
        <v>0</v>
      </c>
      <c r="AJ21" s="67">
        <f t="shared" ca="1" si="2"/>
        <v>0</v>
      </c>
      <c r="AK21" s="67">
        <f t="shared" ref="AK21:AZ36" ca="1" si="11">SUM(IFERROR(IF(AND(AK$5&gt;=$H21,AK$5&lt;=$I21),1,0),0),IFERROR(IF(AND(AK$5&gt;=$J21,AK$5&lt;=$K21),1,0),0),IFERROR(IF(AND(AK$5&gt;=$L21,AK$5&lt;=$M21),1,0),0),IFERROR(IF(AND(AK$5&gt;=$N21,AK$5&lt;=$O21),1,0),0),IFERROR(IF(AND(AK$5&gt;=$P21,AK$5&lt;=$Q21),1,0),0))</f>
        <v>0</v>
      </c>
      <c r="AL21" s="67">
        <f t="shared" ca="1" si="3"/>
        <v>0</v>
      </c>
      <c r="AM21" s="67">
        <f t="shared" ca="1" si="3"/>
        <v>0</v>
      </c>
      <c r="AN21" s="67">
        <f t="shared" ca="1" si="3"/>
        <v>0</v>
      </c>
      <c r="AO21" s="67">
        <f t="shared" ca="1" si="3"/>
        <v>0</v>
      </c>
      <c r="AP21" s="67">
        <f t="shared" ca="1" si="3"/>
        <v>0</v>
      </c>
      <c r="AQ21" s="67">
        <f t="shared" ca="1" si="3"/>
        <v>0</v>
      </c>
      <c r="AR21" s="67">
        <f t="shared" ca="1" si="3"/>
        <v>0</v>
      </c>
      <c r="AS21" s="67">
        <f t="shared" ca="1" si="3"/>
        <v>0</v>
      </c>
      <c r="AT21" s="67">
        <f t="shared" ca="1" si="3"/>
        <v>0</v>
      </c>
      <c r="AU21" s="67">
        <f t="shared" ca="1" si="3"/>
        <v>0</v>
      </c>
      <c r="AV21" s="67">
        <f t="shared" ca="1" si="3"/>
        <v>0</v>
      </c>
      <c r="AW21" s="67">
        <f t="shared" ca="1" si="3"/>
        <v>0</v>
      </c>
      <c r="AX21" s="67">
        <f t="shared" ca="1" si="3"/>
        <v>0</v>
      </c>
      <c r="AY21" s="67">
        <f t="shared" ca="1" si="3"/>
        <v>0</v>
      </c>
      <c r="AZ21" s="67">
        <f t="shared" ca="1" si="3"/>
        <v>0</v>
      </c>
      <c r="BA21" s="67">
        <f t="shared" ref="BA21:BP36" ca="1" si="12">SUM(IFERROR(IF(AND(BA$5&gt;=$H21,BA$5&lt;=$I21),1,0),0),IFERROR(IF(AND(BA$5&gt;=$J21,BA$5&lt;=$K21),1,0),0),IFERROR(IF(AND(BA$5&gt;=$L21,BA$5&lt;=$M21),1,0),0),IFERROR(IF(AND(BA$5&gt;=$N21,BA$5&lt;=$O21),1,0),0),IFERROR(IF(AND(BA$5&gt;=$P21,BA$5&lt;=$Q21),1,0),0))</f>
        <v>0</v>
      </c>
      <c r="BB21" s="67">
        <f t="shared" ca="1" si="4"/>
        <v>0</v>
      </c>
      <c r="BC21" s="67">
        <f t="shared" ca="1" si="4"/>
        <v>0</v>
      </c>
      <c r="BD21" s="67">
        <f t="shared" ca="1" si="4"/>
        <v>0</v>
      </c>
      <c r="BE21" s="67">
        <f t="shared" ca="1" si="4"/>
        <v>0</v>
      </c>
      <c r="BF21" s="67">
        <f t="shared" ca="1" si="4"/>
        <v>0</v>
      </c>
      <c r="BG21" s="67">
        <f t="shared" ca="1" si="4"/>
        <v>0</v>
      </c>
      <c r="BH21" s="67">
        <f t="shared" ca="1" si="4"/>
        <v>0</v>
      </c>
      <c r="BI21" s="67">
        <f t="shared" ca="1" si="4"/>
        <v>0</v>
      </c>
      <c r="BJ21" s="67">
        <f t="shared" ca="1" si="4"/>
        <v>0</v>
      </c>
      <c r="BK21" s="67">
        <f t="shared" ca="1" si="4"/>
        <v>0</v>
      </c>
      <c r="BL21" s="67">
        <f t="shared" ca="1" si="4"/>
        <v>0</v>
      </c>
      <c r="BM21" s="67">
        <f t="shared" ca="1" si="4"/>
        <v>0</v>
      </c>
      <c r="BN21" s="67">
        <f t="shared" ca="1" si="4"/>
        <v>0</v>
      </c>
      <c r="BO21" s="67">
        <f t="shared" ca="1" si="4"/>
        <v>0</v>
      </c>
      <c r="BP21" s="67">
        <f t="shared" ca="1" si="4"/>
        <v>0</v>
      </c>
      <c r="BQ21" s="67">
        <f t="shared" ref="BQ21:BT40" ca="1" si="13">SUM(IFERROR(IF(AND(BQ$5&gt;=$H21,BQ$5&lt;=$I21),1,0),0),IFERROR(IF(AND(BQ$5&gt;=$J21,BQ$5&lt;=$K21),1,0),0),IFERROR(IF(AND(BQ$5&gt;=$L21,BQ$5&lt;=$M21),1,0),0),IFERROR(IF(AND(BQ$5&gt;=$N21,BQ$5&lt;=$O21),1,0),0),IFERROR(IF(AND(BQ$5&gt;=$P21,BQ$5&lt;=$Q21),1,0),0))</f>
        <v>0</v>
      </c>
      <c r="BR21" s="67">
        <f t="shared" ca="1" si="5"/>
        <v>0</v>
      </c>
      <c r="BS21" s="67">
        <f t="shared" ca="1" si="5"/>
        <v>0</v>
      </c>
      <c r="BT21" s="67">
        <f t="shared" ca="1" si="5"/>
        <v>0</v>
      </c>
    </row>
    <row r="22" spans="1:72" x14ac:dyDescent="0.2">
      <c r="A22" s="317">
        <f t="shared" ca="1" si="6"/>
        <v>44535</v>
      </c>
      <c r="B22" s="87">
        <f t="shared" ca="1" si="9"/>
        <v>44529</v>
      </c>
      <c r="C22" s="67">
        <v>17</v>
      </c>
      <c r="D22" s="67" t="str">
        <f t="shared" ca="1" si="10"/>
        <v/>
      </c>
      <c r="E22" s="67" t="str">
        <f t="shared" ca="1" si="0"/>
        <v xml:space="preserve"> </v>
      </c>
      <c r="F22" s="67">
        <f t="shared" ca="1" si="7"/>
        <v>48</v>
      </c>
      <c r="G22" s="67" t="str">
        <f>ROW(A17)&amp;". "&amp;'Critical resources'!B28</f>
        <v xml:space="preserve">17. </v>
      </c>
      <c r="H22" s="67">
        <f ca="1">IFERROR(VLOOKUP('Critical resources'!D28,$B$6:$C$57,2,0),0)</f>
        <v>0</v>
      </c>
      <c r="I22" s="67">
        <f ca="1">IFERROR(VLOOKUP('Critical resources'!E28,$A$6:$C$57,3,0),0)</f>
        <v>0</v>
      </c>
      <c r="J22" s="67">
        <f ca="1">IFERROR(VLOOKUP('Critical resources'!G28,$B$6:$C$57,2,0),0)</f>
        <v>0</v>
      </c>
      <c r="K22" s="67">
        <f ca="1">IFERROR(VLOOKUP('Critical resources'!H28,$B$6:$C$57,2,0),0)</f>
        <v>0</v>
      </c>
      <c r="L22" s="67">
        <f ca="1">IFERROR(VLOOKUP('Critical resources'!J28,$B$6:$C$57,2,0),0)</f>
        <v>0</v>
      </c>
      <c r="M22" s="67">
        <f ca="1">IFERROR(VLOOKUP('Critical resources'!K28,$A$6:$C$57,3,0),0)</f>
        <v>0</v>
      </c>
      <c r="N22" s="67">
        <f ca="1">IFERROR(VLOOKUP('Critical resources'!M28,$B$6:$C$57,2,0),0)</f>
        <v>0</v>
      </c>
      <c r="O22" s="67">
        <f ca="1">IFERROR(VLOOKUP('Critical resources'!N28,$A$6:$C$57,3,0),0)</f>
        <v>0</v>
      </c>
      <c r="P22" s="67">
        <f ca="1">IFERROR(VLOOKUP('Critical resources'!P28,$B$6:$C$57,2,0),0)</f>
        <v>0</v>
      </c>
      <c r="Q22" s="67">
        <f ca="1">IFERROR(VLOOKUP('Critical resources'!Q28,$A$6:$C$57,3,0),0)</f>
        <v>0</v>
      </c>
      <c r="T22" s="67" t="str">
        <f t="shared" si="1"/>
        <v xml:space="preserve">17. </v>
      </c>
      <c r="U22" s="67">
        <f t="shared" ca="1" si="8"/>
        <v>0</v>
      </c>
      <c r="V22" s="67">
        <f t="shared" ca="1" si="8"/>
        <v>0</v>
      </c>
      <c r="W22" s="67">
        <f t="shared" ca="1" si="8"/>
        <v>0</v>
      </c>
      <c r="X22" s="67">
        <f t="shared" ca="1" si="8"/>
        <v>0</v>
      </c>
      <c r="Y22" s="67">
        <f t="shared" ca="1" si="8"/>
        <v>0</v>
      </c>
      <c r="Z22" s="67">
        <f t="shared" ca="1" si="8"/>
        <v>0</v>
      </c>
      <c r="AA22" s="67">
        <f t="shared" ca="1" si="8"/>
        <v>0</v>
      </c>
      <c r="AB22" s="67">
        <f t="shared" ca="1" si="8"/>
        <v>0</v>
      </c>
      <c r="AC22" s="67">
        <f t="shared" ca="1" si="8"/>
        <v>0</v>
      </c>
      <c r="AD22" s="67">
        <f t="shared" ca="1" si="8"/>
        <v>0</v>
      </c>
      <c r="AE22" s="67">
        <f t="shared" ca="1" si="8"/>
        <v>0</v>
      </c>
      <c r="AF22" s="67">
        <f t="shared" ca="1" si="8"/>
        <v>0</v>
      </c>
      <c r="AG22" s="67">
        <f t="shared" ca="1" si="8"/>
        <v>0</v>
      </c>
      <c r="AH22" s="67">
        <f t="shared" ca="1" si="8"/>
        <v>0</v>
      </c>
      <c r="AI22" s="67">
        <f t="shared" ca="1" si="8"/>
        <v>0</v>
      </c>
      <c r="AJ22" s="67">
        <f t="shared" ca="1" si="8"/>
        <v>0</v>
      </c>
      <c r="AK22" s="67">
        <f t="shared" ca="1" si="11"/>
        <v>0</v>
      </c>
      <c r="AL22" s="67">
        <f t="shared" ca="1" si="11"/>
        <v>0</v>
      </c>
      <c r="AM22" s="67">
        <f t="shared" ca="1" si="11"/>
        <v>0</v>
      </c>
      <c r="AN22" s="67">
        <f t="shared" ca="1" si="11"/>
        <v>0</v>
      </c>
      <c r="AO22" s="67">
        <f t="shared" ca="1" si="11"/>
        <v>0</v>
      </c>
      <c r="AP22" s="67">
        <f t="shared" ca="1" si="11"/>
        <v>0</v>
      </c>
      <c r="AQ22" s="67">
        <f t="shared" ca="1" si="11"/>
        <v>0</v>
      </c>
      <c r="AR22" s="67">
        <f t="shared" ca="1" si="11"/>
        <v>0</v>
      </c>
      <c r="AS22" s="67">
        <f t="shared" ca="1" si="11"/>
        <v>0</v>
      </c>
      <c r="AT22" s="67">
        <f t="shared" ca="1" si="11"/>
        <v>0</v>
      </c>
      <c r="AU22" s="67">
        <f t="shared" ca="1" si="11"/>
        <v>0</v>
      </c>
      <c r="AV22" s="67">
        <f t="shared" ca="1" si="11"/>
        <v>0</v>
      </c>
      <c r="AW22" s="67">
        <f t="shared" ca="1" si="11"/>
        <v>0</v>
      </c>
      <c r="AX22" s="67">
        <f t="shared" ca="1" si="11"/>
        <v>0</v>
      </c>
      <c r="AY22" s="67">
        <f t="shared" ca="1" si="11"/>
        <v>0</v>
      </c>
      <c r="AZ22" s="67">
        <f t="shared" ca="1" si="11"/>
        <v>0</v>
      </c>
      <c r="BA22" s="67">
        <f t="shared" ca="1" si="12"/>
        <v>0</v>
      </c>
      <c r="BB22" s="67">
        <f t="shared" ca="1" si="12"/>
        <v>0</v>
      </c>
      <c r="BC22" s="67">
        <f t="shared" ca="1" si="12"/>
        <v>0</v>
      </c>
      <c r="BD22" s="67">
        <f t="shared" ca="1" si="12"/>
        <v>0</v>
      </c>
      <c r="BE22" s="67">
        <f t="shared" ca="1" si="12"/>
        <v>0</v>
      </c>
      <c r="BF22" s="67">
        <f t="shared" ca="1" si="12"/>
        <v>0</v>
      </c>
      <c r="BG22" s="67">
        <f t="shared" ca="1" si="12"/>
        <v>0</v>
      </c>
      <c r="BH22" s="67">
        <f t="shared" ca="1" si="12"/>
        <v>0</v>
      </c>
      <c r="BI22" s="67">
        <f t="shared" ca="1" si="12"/>
        <v>0</v>
      </c>
      <c r="BJ22" s="67">
        <f t="shared" ca="1" si="12"/>
        <v>0</v>
      </c>
      <c r="BK22" s="67">
        <f t="shared" ca="1" si="12"/>
        <v>0</v>
      </c>
      <c r="BL22" s="67">
        <f t="shared" ca="1" si="12"/>
        <v>0</v>
      </c>
      <c r="BM22" s="67">
        <f t="shared" ca="1" si="12"/>
        <v>0</v>
      </c>
      <c r="BN22" s="67">
        <f t="shared" ca="1" si="12"/>
        <v>0</v>
      </c>
      <c r="BO22" s="67">
        <f t="shared" ca="1" si="12"/>
        <v>0</v>
      </c>
      <c r="BP22" s="67">
        <f t="shared" ca="1" si="12"/>
        <v>0</v>
      </c>
      <c r="BQ22" s="67">
        <f t="shared" ca="1" si="13"/>
        <v>0</v>
      </c>
      <c r="BR22" s="67">
        <f t="shared" ca="1" si="5"/>
        <v>0</v>
      </c>
      <c r="BS22" s="67">
        <f t="shared" ca="1" si="5"/>
        <v>0</v>
      </c>
      <c r="BT22" s="67">
        <f t="shared" ca="1" si="5"/>
        <v>0</v>
      </c>
    </row>
    <row r="23" spans="1:72" x14ac:dyDescent="0.2">
      <c r="A23" s="317">
        <f t="shared" ca="1" si="6"/>
        <v>44542</v>
      </c>
      <c r="B23" s="87">
        <f t="shared" ca="1" si="9"/>
        <v>44536</v>
      </c>
      <c r="C23" s="67">
        <v>18</v>
      </c>
      <c r="D23" s="67" t="str">
        <f t="shared" ca="1" si="10"/>
        <v/>
      </c>
      <c r="E23" s="67" t="str">
        <f t="shared" ca="1" si="0"/>
        <v>Dec</v>
      </c>
      <c r="F23" s="67">
        <f t="shared" ca="1" si="7"/>
        <v>49</v>
      </c>
      <c r="G23" s="67" t="str">
        <f>ROW(A18)&amp;". "&amp;'Critical resources'!B29</f>
        <v xml:space="preserve">18. </v>
      </c>
      <c r="H23" s="67">
        <f ca="1">IFERROR(VLOOKUP('Critical resources'!D29,$B$6:$C$57,2,0),0)</f>
        <v>0</v>
      </c>
      <c r="I23" s="67">
        <f ca="1">IFERROR(VLOOKUP('Critical resources'!E29,$A$6:$C$57,3,0),0)</f>
        <v>0</v>
      </c>
      <c r="J23" s="67">
        <f ca="1">IFERROR(VLOOKUP('Critical resources'!G29,$B$6:$C$57,2,0),0)</f>
        <v>0</v>
      </c>
      <c r="K23" s="67">
        <f ca="1">IFERROR(VLOOKUP('Critical resources'!H29,$B$6:$C$57,2,0),0)</f>
        <v>0</v>
      </c>
      <c r="L23" s="67">
        <f ca="1">IFERROR(VLOOKUP('Critical resources'!J29,$B$6:$C$57,2,0),0)</f>
        <v>0</v>
      </c>
      <c r="M23" s="67">
        <f ca="1">IFERROR(VLOOKUP('Critical resources'!K29,$A$6:$C$57,3,0),0)</f>
        <v>0</v>
      </c>
      <c r="N23" s="67">
        <f ca="1">IFERROR(VLOOKUP('Critical resources'!M29,$B$6:$C$57,2,0),0)</f>
        <v>0</v>
      </c>
      <c r="O23" s="67">
        <f ca="1">IFERROR(VLOOKUP('Critical resources'!N29,$A$6:$C$57,3,0),0)</f>
        <v>0</v>
      </c>
      <c r="P23" s="67">
        <f ca="1">IFERROR(VLOOKUP('Critical resources'!P29,$B$6:$C$57,2,0),0)</f>
        <v>0</v>
      </c>
      <c r="Q23" s="67">
        <f ca="1">IFERROR(VLOOKUP('Critical resources'!Q29,$A$6:$C$57,3,0),0)</f>
        <v>0</v>
      </c>
      <c r="T23" s="67" t="str">
        <f t="shared" si="1"/>
        <v xml:space="preserve">18. </v>
      </c>
      <c r="U23" s="67">
        <f t="shared" ref="U23:AJ38" ca="1" si="14">SUM(IFERROR(IF(AND(U$5&gt;=$H23,U$5&lt;=$I23),1,0),0),IFERROR(IF(AND(U$5&gt;=$J23,U$5&lt;=$K23),1,0),0),IFERROR(IF(AND(U$5&gt;=$L23,U$5&lt;=$M23),1,0),0),IFERROR(IF(AND(U$5&gt;=$N23,U$5&lt;=$O23),1,0),0),IFERROR(IF(AND(U$5&gt;=$P23,U$5&lt;=$Q23),1,0),0))</f>
        <v>0</v>
      </c>
      <c r="V23" s="67">
        <f t="shared" ca="1" si="14"/>
        <v>0</v>
      </c>
      <c r="W23" s="67">
        <f t="shared" ca="1" si="14"/>
        <v>0</v>
      </c>
      <c r="X23" s="67">
        <f t="shared" ca="1" si="14"/>
        <v>0</v>
      </c>
      <c r="Y23" s="67">
        <f t="shared" ca="1" si="14"/>
        <v>0</v>
      </c>
      <c r="Z23" s="67">
        <f t="shared" ca="1" si="14"/>
        <v>0</v>
      </c>
      <c r="AA23" s="67">
        <f t="shared" ca="1" si="14"/>
        <v>0</v>
      </c>
      <c r="AB23" s="67">
        <f t="shared" ca="1" si="14"/>
        <v>0</v>
      </c>
      <c r="AC23" s="67">
        <f t="shared" ca="1" si="14"/>
        <v>0</v>
      </c>
      <c r="AD23" s="67">
        <f t="shared" ca="1" si="14"/>
        <v>0</v>
      </c>
      <c r="AE23" s="67">
        <f t="shared" ca="1" si="14"/>
        <v>0</v>
      </c>
      <c r="AF23" s="67">
        <f t="shared" ca="1" si="14"/>
        <v>0</v>
      </c>
      <c r="AG23" s="67">
        <f t="shared" ca="1" si="14"/>
        <v>0</v>
      </c>
      <c r="AH23" s="67">
        <f t="shared" ca="1" si="14"/>
        <v>0</v>
      </c>
      <c r="AI23" s="67">
        <f t="shared" ca="1" si="14"/>
        <v>0</v>
      </c>
      <c r="AJ23" s="67">
        <f t="shared" ca="1" si="14"/>
        <v>0</v>
      </c>
      <c r="AK23" s="67">
        <f t="shared" ca="1" si="11"/>
        <v>0</v>
      </c>
      <c r="AL23" s="67">
        <f t="shared" ca="1" si="11"/>
        <v>0</v>
      </c>
      <c r="AM23" s="67">
        <f t="shared" ca="1" si="11"/>
        <v>0</v>
      </c>
      <c r="AN23" s="67">
        <f t="shared" ca="1" si="11"/>
        <v>0</v>
      </c>
      <c r="AO23" s="67">
        <f t="shared" ca="1" si="11"/>
        <v>0</v>
      </c>
      <c r="AP23" s="67">
        <f t="shared" ca="1" si="11"/>
        <v>0</v>
      </c>
      <c r="AQ23" s="67">
        <f t="shared" ca="1" si="11"/>
        <v>0</v>
      </c>
      <c r="AR23" s="67">
        <f t="shared" ca="1" si="11"/>
        <v>0</v>
      </c>
      <c r="AS23" s="67">
        <f t="shared" ca="1" si="11"/>
        <v>0</v>
      </c>
      <c r="AT23" s="67">
        <f t="shared" ca="1" si="11"/>
        <v>0</v>
      </c>
      <c r="AU23" s="67">
        <f t="shared" ca="1" si="11"/>
        <v>0</v>
      </c>
      <c r="AV23" s="67">
        <f t="shared" ca="1" si="11"/>
        <v>0</v>
      </c>
      <c r="AW23" s="67">
        <f t="shared" ca="1" si="11"/>
        <v>0</v>
      </c>
      <c r="AX23" s="67">
        <f t="shared" ca="1" si="11"/>
        <v>0</v>
      </c>
      <c r="AY23" s="67">
        <f t="shared" ca="1" si="11"/>
        <v>0</v>
      </c>
      <c r="AZ23" s="67">
        <f t="shared" ca="1" si="11"/>
        <v>0</v>
      </c>
      <c r="BA23" s="67">
        <f t="shared" ca="1" si="12"/>
        <v>0</v>
      </c>
      <c r="BB23" s="67">
        <f t="shared" ca="1" si="12"/>
        <v>0</v>
      </c>
      <c r="BC23" s="67">
        <f t="shared" ca="1" si="12"/>
        <v>0</v>
      </c>
      <c r="BD23" s="67">
        <f t="shared" ca="1" si="12"/>
        <v>0</v>
      </c>
      <c r="BE23" s="67">
        <f t="shared" ca="1" si="12"/>
        <v>0</v>
      </c>
      <c r="BF23" s="67">
        <f t="shared" ca="1" si="12"/>
        <v>0</v>
      </c>
      <c r="BG23" s="67">
        <f t="shared" ca="1" si="12"/>
        <v>0</v>
      </c>
      <c r="BH23" s="67">
        <f t="shared" ca="1" si="12"/>
        <v>0</v>
      </c>
      <c r="BI23" s="67">
        <f t="shared" ca="1" si="12"/>
        <v>0</v>
      </c>
      <c r="BJ23" s="67">
        <f t="shared" ca="1" si="12"/>
        <v>0</v>
      </c>
      <c r="BK23" s="67">
        <f t="shared" ca="1" si="12"/>
        <v>0</v>
      </c>
      <c r="BL23" s="67">
        <f t="shared" ca="1" si="12"/>
        <v>0</v>
      </c>
      <c r="BM23" s="67">
        <f t="shared" ca="1" si="12"/>
        <v>0</v>
      </c>
      <c r="BN23" s="67">
        <f t="shared" ca="1" si="12"/>
        <v>0</v>
      </c>
      <c r="BO23" s="67">
        <f t="shared" ca="1" si="12"/>
        <v>0</v>
      </c>
      <c r="BP23" s="67">
        <f t="shared" ca="1" si="12"/>
        <v>0</v>
      </c>
      <c r="BQ23" s="67">
        <f t="shared" ca="1" si="13"/>
        <v>0</v>
      </c>
      <c r="BR23" s="67">
        <f t="shared" ca="1" si="5"/>
        <v>0</v>
      </c>
      <c r="BS23" s="67">
        <f t="shared" ca="1" si="5"/>
        <v>0</v>
      </c>
      <c r="BT23" s="67">
        <f t="shared" ca="1" si="5"/>
        <v>0</v>
      </c>
    </row>
    <row r="24" spans="1:72" x14ac:dyDescent="0.2">
      <c r="A24" s="317">
        <f t="shared" ca="1" si="6"/>
        <v>44549</v>
      </c>
      <c r="B24" s="87">
        <f t="shared" ca="1" si="9"/>
        <v>44543</v>
      </c>
      <c r="C24" s="67">
        <v>19</v>
      </c>
      <c r="D24" s="67" t="str">
        <f t="shared" ca="1" si="10"/>
        <v/>
      </c>
      <c r="E24" s="67" t="str">
        <f t="shared" ca="1" si="0"/>
        <v xml:space="preserve"> </v>
      </c>
      <c r="F24" s="67">
        <f t="shared" ca="1" si="7"/>
        <v>50</v>
      </c>
      <c r="G24" s="67" t="str">
        <f>ROW(A19)&amp;". "&amp;'Critical resources'!B30</f>
        <v xml:space="preserve">19. </v>
      </c>
      <c r="H24" s="67">
        <f ca="1">IFERROR(VLOOKUP('Critical resources'!D30,$B$6:$C$57,2,0),0)</f>
        <v>0</v>
      </c>
      <c r="I24" s="67">
        <f ca="1">IFERROR(VLOOKUP('Critical resources'!E30,$A$6:$C$57,3,0),0)</f>
        <v>0</v>
      </c>
      <c r="J24" s="67">
        <f ca="1">IFERROR(VLOOKUP('Critical resources'!G30,$B$6:$C$57,2,0),0)</f>
        <v>0</v>
      </c>
      <c r="K24" s="67">
        <f ca="1">IFERROR(VLOOKUP('Critical resources'!H30,$B$6:$C$57,2,0),0)</f>
        <v>0</v>
      </c>
      <c r="L24" s="67">
        <f ca="1">IFERROR(VLOOKUP('Critical resources'!J30,$B$6:$C$57,2,0),0)</f>
        <v>0</v>
      </c>
      <c r="M24" s="67">
        <f ca="1">IFERROR(VLOOKUP('Critical resources'!K30,$A$6:$C$57,3,0),0)</f>
        <v>0</v>
      </c>
      <c r="N24" s="67">
        <f ca="1">IFERROR(VLOOKUP('Critical resources'!M30,$B$6:$C$57,2,0),0)</f>
        <v>0</v>
      </c>
      <c r="O24" s="67">
        <f ca="1">IFERROR(VLOOKUP('Critical resources'!N30,$A$6:$C$57,3,0),0)</f>
        <v>0</v>
      </c>
      <c r="P24" s="67">
        <f ca="1">IFERROR(VLOOKUP('Critical resources'!P30,$B$6:$C$57,2,0),0)</f>
        <v>0</v>
      </c>
      <c r="Q24" s="67">
        <f ca="1">IFERROR(VLOOKUP('Critical resources'!Q30,$A$6:$C$57,3,0),0)</f>
        <v>0</v>
      </c>
      <c r="T24" s="67" t="str">
        <f t="shared" si="1"/>
        <v xml:space="preserve">19. </v>
      </c>
      <c r="U24" s="67">
        <f t="shared" ca="1" si="14"/>
        <v>0</v>
      </c>
      <c r="V24" s="67">
        <f t="shared" ca="1" si="14"/>
        <v>0</v>
      </c>
      <c r="W24" s="67">
        <f t="shared" ca="1" si="14"/>
        <v>0</v>
      </c>
      <c r="X24" s="67">
        <f t="shared" ca="1" si="14"/>
        <v>0</v>
      </c>
      <c r="Y24" s="67">
        <f t="shared" ca="1" si="14"/>
        <v>0</v>
      </c>
      <c r="Z24" s="67">
        <f t="shared" ca="1" si="14"/>
        <v>0</v>
      </c>
      <c r="AA24" s="67">
        <f t="shared" ca="1" si="14"/>
        <v>0</v>
      </c>
      <c r="AB24" s="67">
        <f t="shared" ca="1" si="14"/>
        <v>0</v>
      </c>
      <c r="AC24" s="67">
        <f t="shared" ca="1" si="14"/>
        <v>0</v>
      </c>
      <c r="AD24" s="67">
        <f t="shared" ca="1" si="14"/>
        <v>0</v>
      </c>
      <c r="AE24" s="67">
        <f t="shared" ca="1" si="14"/>
        <v>0</v>
      </c>
      <c r="AF24" s="67">
        <f t="shared" ca="1" si="14"/>
        <v>0</v>
      </c>
      <c r="AG24" s="67">
        <f t="shared" ca="1" si="14"/>
        <v>0</v>
      </c>
      <c r="AH24" s="67">
        <f t="shared" ca="1" si="14"/>
        <v>0</v>
      </c>
      <c r="AI24" s="67">
        <f t="shared" ca="1" si="14"/>
        <v>0</v>
      </c>
      <c r="AJ24" s="67">
        <f t="shared" ca="1" si="14"/>
        <v>0</v>
      </c>
      <c r="AK24" s="67">
        <f t="shared" ca="1" si="11"/>
        <v>0</v>
      </c>
      <c r="AL24" s="67">
        <f t="shared" ca="1" si="11"/>
        <v>0</v>
      </c>
      <c r="AM24" s="67">
        <f t="shared" ca="1" si="11"/>
        <v>0</v>
      </c>
      <c r="AN24" s="67">
        <f t="shared" ca="1" si="11"/>
        <v>0</v>
      </c>
      <c r="AO24" s="67">
        <f t="shared" ca="1" si="11"/>
        <v>0</v>
      </c>
      <c r="AP24" s="67">
        <f t="shared" ca="1" si="11"/>
        <v>0</v>
      </c>
      <c r="AQ24" s="67">
        <f t="shared" ca="1" si="11"/>
        <v>0</v>
      </c>
      <c r="AR24" s="67">
        <f t="shared" ca="1" si="11"/>
        <v>0</v>
      </c>
      <c r="AS24" s="67">
        <f t="shared" ca="1" si="11"/>
        <v>0</v>
      </c>
      <c r="AT24" s="67">
        <f t="shared" ca="1" si="11"/>
        <v>0</v>
      </c>
      <c r="AU24" s="67">
        <f t="shared" ca="1" si="11"/>
        <v>0</v>
      </c>
      <c r="AV24" s="67">
        <f t="shared" ca="1" si="11"/>
        <v>0</v>
      </c>
      <c r="AW24" s="67">
        <f t="shared" ca="1" si="11"/>
        <v>0</v>
      </c>
      <c r="AX24" s="67">
        <f t="shared" ca="1" si="11"/>
        <v>0</v>
      </c>
      <c r="AY24" s="67">
        <f t="shared" ca="1" si="11"/>
        <v>0</v>
      </c>
      <c r="AZ24" s="67">
        <f t="shared" ca="1" si="11"/>
        <v>0</v>
      </c>
      <c r="BA24" s="67">
        <f t="shared" ca="1" si="12"/>
        <v>0</v>
      </c>
      <c r="BB24" s="67">
        <f t="shared" ca="1" si="12"/>
        <v>0</v>
      </c>
      <c r="BC24" s="67">
        <f t="shared" ca="1" si="12"/>
        <v>0</v>
      </c>
      <c r="BD24" s="67">
        <f t="shared" ca="1" si="12"/>
        <v>0</v>
      </c>
      <c r="BE24" s="67">
        <f t="shared" ca="1" si="12"/>
        <v>0</v>
      </c>
      <c r="BF24" s="67">
        <f t="shared" ca="1" si="12"/>
        <v>0</v>
      </c>
      <c r="BG24" s="67">
        <f t="shared" ca="1" si="12"/>
        <v>0</v>
      </c>
      <c r="BH24" s="67">
        <f t="shared" ca="1" si="12"/>
        <v>0</v>
      </c>
      <c r="BI24" s="67">
        <f t="shared" ca="1" si="12"/>
        <v>0</v>
      </c>
      <c r="BJ24" s="67">
        <f t="shared" ca="1" si="12"/>
        <v>0</v>
      </c>
      <c r="BK24" s="67">
        <f t="shared" ca="1" si="12"/>
        <v>0</v>
      </c>
      <c r="BL24" s="67">
        <f t="shared" ca="1" si="12"/>
        <v>0</v>
      </c>
      <c r="BM24" s="67">
        <f t="shared" ca="1" si="12"/>
        <v>0</v>
      </c>
      <c r="BN24" s="67">
        <f t="shared" ca="1" si="12"/>
        <v>0</v>
      </c>
      <c r="BO24" s="67">
        <f t="shared" ca="1" si="12"/>
        <v>0</v>
      </c>
      <c r="BP24" s="67">
        <f t="shared" ca="1" si="12"/>
        <v>0</v>
      </c>
      <c r="BQ24" s="67">
        <f t="shared" ca="1" si="13"/>
        <v>0</v>
      </c>
      <c r="BR24" s="67">
        <f t="shared" ca="1" si="5"/>
        <v>0</v>
      </c>
      <c r="BS24" s="67">
        <f t="shared" ca="1" si="5"/>
        <v>0</v>
      </c>
      <c r="BT24" s="67">
        <f t="shared" ca="1" si="5"/>
        <v>0</v>
      </c>
    </row>
    <row r="25" spans="1:72" x14ac:dyDescent="0.2">
      <c r="A25" s="317">
        <f t="shared" ca="1" si="6"/>
        <v>44556</v>
      </c>
      <c r="B25" s="87">
        <f t="shared" ca="1" si="9"/>
        <v>44550</v>
      </c>
      <c r="C25" s="67">
        <v>20</v>
      </c>
      <c r="D25" s="67" t="str">
        <f t="shared" ca="1" si="10"/>
        <v/>
      </c>
      <c r="E25" s="67" t="str">
        <f t="shared" ca="1" si="0"/>
        <v xml:space="preserve"> </v>
      </c>
      <c r="F25" s="67">
        <f t="shared" ca="1" si="7"/>
        <v>51</v>
      </c>
      <c r="G25" s="67" t="str">
        <f>ROW(A20)&amp;". "&amp;'Critical resources'!B31</f>
        <v xml:space="preserve">20. </v>
      </c>
      <c r="H25" s="67">
        <f ca="1">IFERROR(VLOOKUP('Critical resources'!D31,$B$6:$C$57,2,0),0)</f>
        <v>0</v>
      </c>
      <c r="I25" s="67">
        <f ca="1">IFERROR(VLOOKUP('Critical resources'!E31,$A$6:$C$57,3,0),0)</f>
        <v>0</v>
      </c>
      <c r="J25" s="67">
        <f ca="1">IFERROR(VLOOKUP('Critical resources'!G31,$B$6:$C$57,2,0),0)</f>
        <v>0</v>
      </c>
      <c r="K25" s="67">
        <f ca="1">IFERROR(VLOOKUP('Critical resources'!H31,$B$6:$C$57,2,0),0)</f>
        <v>0</v>
      </c>
      <c r="L25" s="67">
        <f ca="1">IFERROR(VLOOKUP('Critical resources'!J31,$B$6:$C$57,2,0),0)</f>
        <v>0</v>
      </c>
      <c r="M25" s="67">
        <f ca="1">IFERROR(VLOOKUP('Critical resources'!K31,$A$6:$C$57,3,0),0)</f>
        <v>0</v>
      </c>
      <c r="N25" s="67">
        <f ca="1">IFERROR(VLOOKUP('Critical resources'!M31,$B$6:$C$57,2,0),0)</f>
        <v>0</v>
      </c>
      <c r="O25" s="67">
        <f ca="1">IFERROR(VLOOKUP('Critical resources'!N31,$A$6:$C$57,3,0),0)</f>
        <v>0</v>
      </c>
      <c r="P25" s="67">
        <f ca="1">IFERROR(VLOOKUP('Critical resources'!P31,$B$6:$C$57,2,0),0)</f>
        <v>0</v>
      </c>
      <c r="Q25" s="67">
        <f ca="1">IFERROR(VLOOKUP('Critical resources'!Q31,$A$6:$C$57,3,0),0)</f>
        <v>0</v>
      </c>
      <c r="T25" s="67" t="str">
        <f t="shared" si="1"/>
        <v xml:space="preserve">20. </v>
      </c>
      <c r="U25" s="67">
        <f t="shared" ca="1" si="14"/>
        <v>0</v>
      </c>
      <c r="V25" s="67">
        <f t="shared" ca="1" si="14"/>
        <v>0</v>
      </c>
      <c r="W25" s="67">
        <f t="shared" ca="1" si="14"/>
        <v>0</v>
      </c>
      <c r="X25" s="67">
        <f t="shared" ca="1" si="14"/>
        <v>0</v>
      </c>
      <c r="Y25" s="67">
        <f t="shared" ca="1" si="14"/>
        <v>0</v>
      </c>
      <c r="Z25" s="67">
        <f t="shared" ca="1" si="14"/>
        <v>0</v>
      </c>
      <c r="AA25" s="67">
        <f t="shared" ca="1" si="14"/>
        <v>0</v>
      </c>
      <c r="AB25" s="67">
        <f t="shared" ca="1" si="14"/>
        <v>0</v>
      </c>
      <c r="AC25" s="67">
        <f t="shared" ca="1" si="14"/>
        <v>0</v>
      </c>
      <c r="AD25" s="67">
        <f t="shared" ca="1" si="14"/>
        <v>0</v>
      </c>
      <c r="AE25" s="67">
        <f t="shared" ca="1" si="14"/>
        <v>0</v>
      </c>
      <c r="AF25" s="67">
        <f t="shared" ca="1" si="14"/>
        <v>0</v>
      </c>
      <c r="AG25" s="67">
        <f t="shared" ca="1" si="14"/>
        <v>0</v>
      </c>
      <c r="AH25" s="67">
        <f t="shared" ca="1" si="14"/>
        <v>0</v>
      </c>
      <c r="AI25" s="67">
        <f t="shared" ca="1" si="14"/>
        <v>0</v>
      </c>
      <c r="AJ25" s="67">
        <f t="shared" ca="1" si="14"/>
        <v>0</v>
      </c>
      <c r="AK25" s="67">
        <f t="shared" ca="1" si="11"/>
        <v>0</v>
      </c>
      <c r="AL25" s="67">
        <f t="shared" ca="1" si="11"/>
        <v>0</v>
      </c>
      <c r="AM25" s="67">
        <f t="shared" ca="1" si="11"/>
        <v>0</v>
      </c>
      <c r="AN25" s="67">
        <f t="shared" ca="1" si="11"/>
        <v>0</v>
      </c>
      <c r="AO25" s="67">
        <f t="shared" ca="1" si="11"/>
        <v>0</v>
      </c>
      <c r="AP25" s="67">
        <f t="shared" ca="1" si="11"/>
        <v>0</v>
      </c>
      <c r="AQ25" s="67">
        <f t="shared" ca="1" si="11"/>
        <v>0</v>
      </c>
      <c r="AR25" s="67">
        <f t="shared" ca="1" si="11"/>
        <v>0</v>
      </c>
      <c r="AS25" s="67">
        <f t="shared" ca="1" si="11"/>
        <v>0</v>
      </c>
      <c r="AT25" s="67">
        <f t="shared" ca="1" si="11"/>
        <v>0</v>
      </c>
      <c r="AU25" s="67">
        <f t="shared" ca="1" si="11"/>
        <v>0</v>
      </c>
      <c r="AV25" s="67">
        <f t="shared" ca="1" si="11"/>
        <v>0</v>
      </c>
      <c r="AW25" s="67">
        <f t="shared" ca="1" si="11"/>
        <v>0</v>
      </c>
      <c r="AX25" s="67">
        <f t="shared" ca="1" si="11"/>
        <v>0</v>
      </c>
      <c r="AY25" s="67">
        <f t="shared" ca="1" si="11"/>
        <v>0</v>
      </c>
      <c r="AZ25" s="67">
        <f t="shared" ca="1" si="11"/>
        <v>0</v>
      </c>
      <c r="BA25" s="67">
        <f t="shared" ca="1" si="12"/>
        <v>0</v>
      </c>
      <c r="BB25" s="67">
        <f t="shared" ca="1" si="12"/>
        <v>0</v>
      </c>
      <c r="BC25" s="67">
        <f t="shared" ca="1" si="12"/>
        <v>0</v>
      </c>
      <c r="BD25" s="67">
        <f t="shared" ca="1" si="12"/>
        <v>0</v>
      </c>
      <c r="BE25" s="67">
        <f t="shared" ca="1" si="12"/>
        <v>0</v>
      </c>
      <c r="BF25" s="67">
        <f t="shared" ca="1" si="12"/>
        <v>0</v>
      </c>
      <c r="BG25" s="67">
        <f t="shared" ca="1" si="12"/>
        <v>0</v>
      </c>
      <c r="BH25" s="67">
        <f t="shared" ca="1" si="12"/>
        <v>0</v>
      </c>
      <c r="BI25" s="67">
        <f t="shared" ca="1" si="12"/>
        <v>0</v>
      </c>
      <c r="BJ25" s="67">
        <f t="shared" ca="1" si="12"/>
        <v>0</v>
      </c>
      <c r="BK25" s="67">
        <f t="shared" ca="1" si="12"/>
        <v>0</v>
      </c>
      <c r="BL25" s="67">
        <f t="shared" ca="1" si="12"/>
        <v>0</v>
      </c>
      <c r="BM25" s="67">
        <f t="shared" ca="1" si="12"/>
        <v>0</v>
      </c>
      <c r="BN25" s="67">
        <f t="shared" ca="1" si="12"/>
        <v>0</v>
      </c>
      <c r="BO25" s="67">
        <f t="shared" ca="1" si="12"/>
        <v>0</v>
      </c>
      <c r="BP25" s="67">
        <f t="shared" ca="1" si="12"/>
        <v>0</v>
      </c>
      <c r="BQ25" s="67">
        <f t="shared" ca="1" si="13"/>
        <v>0</v>
      </c>
      <c r="BR25" s="67">
        <f t="shared" ca="1" si="5"/>
        <v>0</v>
      </c>
      <c r="BS25" s="67">
        <f t="shared" ca="1" si="5"/>
        <v>0</v>
      </c>
      <c r="BT25" s="67">
        <f t="shared" ca="1" si="5"/>
        <v>0</v>
      </c>
    </row>
    <row r="26" spans="1:72" x14ac:dyDescent="0.2">
      <c r="A26" s="317">
        <f t="shared" ca="1" si="6"/>
        <v>44563</v>
      </c>
      <c r="B26" s="87">
        <f t="shared" ca="1" si="9"/>
        <v>44557</v>
      </c>
      <c r="C26" s="67">
        <v>21</v>
      </c>
      <c r="D26" s="67" t="str">
        <f t="shared" ca="1" si="10"/>
        <v/>
      </c>
      <c r="E26" s="67" t="str">
        <f t="shared" ca="1" si="0"/>
        <v xml:space="preserve"> </v>
      </c>
      <c r="F26" s="67">
        <f t="shared" ca="1" si="7"/>
        <v>52</v>
      </c>
      <c r="G26" s="67" t="str">
        <f>ROW(A21)&amp;". "&amp;'Critical resources'!B32</f>
        <v xml:space="preserve">21. </v>
      </c>
      <c r="H26" s="67">
        <f ca="1">IFERROR(VLOOKUP('Critical resources'!D32,$B$6:$C$57,2,0),0)</f>
        <v>0</v>
      </c>
      <c r="I26" s="67">
        <f ca="1">IFERROR(VLOOKUP('Critical resources'!E32,$A$6:$C$57,3,0),0)</f>
        <v>0</v>
      </c>
      <c r="J26" s="67">
        <f ca="1">IFERROR(VLOOKUP('Critical resources'!G32,$B$6:$C$57,2,0),0)</f>
        <v>0</v>
      </c>
      <c r="K26" s="67">
        <f ca="1">IFERROR(VLOOKUP('Critical resources'!H32,$B$6:$C$57,2,0),0)</f>
        <v>0</v>
      </c>
      <c r="L26" s="67">
        <f ca="1">IFERROR(VLOOKUP('Critical resources'!J32,$B$6:$C$57,2,0),0)</f>
        <v>0</v>
      </c>
      <c r="M26" s="67">
        <f ca="1">IFERROR(VLOOKUP('Critical resources'!K32,$A$6:$C$57,3,0),0)</f>
        <v>0</v>
      </c>
      <c r="N26" s="67">
        <f ca="1">IFERROR(VLOOKUP('Critical resources'!M32,$B$6:$C$57,2,0),0)</f>
        <v>0</v>
      </c>
      <c r="O26" s="67">
        <f ca="1">IFERROR(VLOOKUP('Critical resources'!N32,$A$6:$C$57,3,0),0)</f>
        <v>0</v>
      </c>
      <c r="P26" s="67">
        <f ca="1">IFERROR(VLOOKUP('Critical resources'!P32,$B$6:$C$57,2,0),0)</f>
        <v>0</v>
      </c>
      <c r="Q26" s="67">
        <f ca="1">IFERROR(VLOOKUP('Critical resources'!Q32,$A$6:$C$57,3,0),0)</f>
        <v>0</v>
      </c>
      <c r="T26" s="67" t="str">
        <f t="shared" si="1"/>
        <v xml:space="preserve">21. </v>
      </c>
      <c r="U26" s="67">
        <f t="shared" ca="1" si="14"/>
        <v>0</v>
      </c>
      <c r="V26" s="67">
        <f t="shared" ca="1" si="14"/>
        <v>0</v>
      </c>
      <c r="W26" s="67">
        <f t="shared" ca="1" si="14"/>
        <v>0</v>
      </c>
      <c r="X26" s="67">
        <f t="shared" ca="1" si="14"/>
        <v>0</v>
      </c>
      <c r="Y26" s="67">
        <f t="shared" ca="1" si="14"/>
        <v>0</v>
      </c>
      <c r="Z26" s="67">
        <f t="shared" ca="1" si="14"/>
        <v>0</v>
      </c>
      <c r="AA26" s="67">
        <f t="shared" ca="1" si="14"/>
        <v>0</v>
      </c>
      <c r="AB26" s="67">
        <f t="shared" ca="1" si="14"/>
        <v>0</v>
      </c>
      <c r="AC26" s="67">
        <f t="shared" ca="1" si="14"/>
        <v>0</v>
      </c>
      <c r="AD26" s="67">
        <f t="shared" ca="1" si="14"/>
        <v>0</v>
      </c>
      <c r="AE26" s="67">
        <f t="shared" ca="1" si="14"/>
        <v>0</v>
      </c>
      <c r="AF26" s="67">
        <f t="shared" ca="1" si="14"/>
        <v>0</v>
      </c>
      <c r="AG26" s="67">
        <f t="shared" ca="1" si="14"/>
        <v>0</v>
      </c>
      <c r="AH26" s="67">
        <f t="shared" ca="1" si="14"/>
        <v>0</v>
      </c>
      <c r="AI26" s="67">
        <f t="shared" ca="1" si="14"/>
        <v>0</v>
      </c>
      <c r="AJ26" s="67">
        <f t="shared" ca="1" si="14"/>
        <v>0</v>
      </c>
      <c r="AK26" s="67">
        <f t="shared" ca="1" si="11"/>
        <v>0</v>
      </c>
      <c r="AL26" s="67">
        <f t="shared" ca="1" si="11"/>
        <v>0</v>
      </c>
      <c r="AM26" s="67">
        <f t="shared" ca="1" si="11"/>
        <v>0</v>
      </c>
      <c r="AN26" s="67">
        <f t="shared" ca="1" si="11"/>
        <v>0</v>
      </c>
      <c r="AO26" s="67">
        <f t="shared" ca="1" si="11"/>
        <v>0</v>
      </c>
      <c r="AP26" s="67">
        <f t="shared" ca="1" si="11"/>
        <v>0</v>
      </c>
      <c r="AQ26" s="67">
        <f t="shared" ca="1" si="11"/>
        <v>0</v>
      </c>
      <c r="AR26" s="67">
        <f t="shared" ca="1" si="11"/>
        <v>0</v>
      </c>
      <c r="AS26" s="67">
        <f t="shared" ca="1" si="11"/>
        <v>0</v>
      </c>
      <c r="AT26" s="67">
        <f t="shared" ca="1" si="11"/>
        <v>0</v>
      </c>
      <c r="AU26" s="67">
        <f t="shared" ca="1" si="11"/>
        <v>0</v>
      </c>
      <c r="AV26" s="67">
        <f t="shared" ca="1" si="11"/>
        <v>0</v>
      </c>
      <c r="AW26" s="67">
        <f t="shared" ca="1" si="11"/>
        <v>0</v>
      </c>
      <c r="AX26" s="67">
        <f t="shared" ca="1" si="11"/>
        <v>0</v>
      </c>
      <c r="AY26" s="67">
        <f t="shared" ca="1" si="11"/>
        <v>0</v>
      </c>
      <c r="AZ26" s="67">
        <f t="shared" ca="1" si="11"/>
        <v>0</v>
      </c>
      <c r="BA26" s="67">
        <f t="shared" ca="1" si="12"/>
        <v>0</v>
      </c>
      <c r="BB26" s="67">
        <f t="shared" ca="1" si="12"/>
        <v>0</v>
      </c>
      <c r="BC26" s="67">
        <f t="shared" ca="1" si="12"/>
        <v>0</v>
      </c>
      <c r="BD26" s="67">
        <f t="shared" ca="1" si="12"/>
        <v>0</v>
      </c>
      <c r="BE26" s="67">
        <f t="shared" ca="1" si="12"/>
        <v>0</v>
      </c>
      <c r="BF26" s="67">
        <f t="shared" ca="1" si="12"/>
        <v>0</v>
      </c>
      <c r="BG26" s="67">
        <f t="shared" ca="1" si="12"/>
        <v>0</v>
      </c>
      <c r="BH26" s="67">
        <f t="shared" ca="1" si="12"/>
        <v>0</v>
      </c>
      <c r="BI26" s="67">
        <f t="shared" ca="1" si="12"/>
        <v>0</v>
      </c>
      <c r="BJ26" s="67">
        <f t="shared" ca="1" si="12"/>
        <v>0</v>
      </c>
      <c r="BK26" s="67">
        <f t="shared" ca="1" si="12"/>
        <v>0</v>
      </c>
      <c r="BL26" s="67">
        <f t="shared" ca="1" si="12"/>
        <v>0</v>
      </c>
      <c r="BM26" s="67">
        <f t="shared" ca="1" si="12"/>
        <v>0</v>
      </c>
      <c r="BN26" s="67">
        <f t="shared" ca="1" si="12"/>
        <v>0</v>
      </c>
      <c r="BO26" s="67">
        <f t="shared" ca="1" si="12"/>
        <v>0</v>
      </c>
      <c r="BP26" s="67">
        <f t="shared" ca="1" si="12"/>
        <v>0</v>
      </c>
      <c r="BQ26" s="67">
        <f t="shared" ca="1" si="13"/>
        <v>0</v>
      </c>
      <c r="BR26" s="67">
        <f t="shared" ca="1" si="13"/>
        <v>0</v>
      </c>
      <c r="BS26" s="67">
        <f t="shared" ca="1" si="13"/>
        <v>0</v>
      </c>
      <c r="BT26" s="67">
        <f t="shared" ca="1" si="13"/>
        <v>0</v>
      </c>
    </row>
    <row r="27" spans="1:72" x14ac:dyDescent="0.2">
      <c r="A27" s="317">
        <f t="shared" ca="1" si="6"/>
        <v>44570</v>
      </c>
      <c r="B27" s="87">
        <f t="shared" ca="1" si="9"/>
        <v>44564</v>
      </c>
      <c r="C27" s="67">
        <v>22</v>
      </c>
      <c r="D27" s="67">
        <f t="shared" ca="1" si="10"/>
        <v>2022</v>
      </c>
      <c r="E27" s="67" t="str">
        <f t="shared" ca="1" si="0"/>
        <v>Jan</v>
      </c>
      <c r="F27" s="67">
        <f t="shared" ca="1" si="7"/>
        <v>1</v>
      </c>
      <c r="G27" s="67" t="str">
        <f>ROW(A22)&amp;". "&amp;'Critical resources'!B33</f>
        <v xml:space="preserve">22. </v>
      </c>
      <c r="H27" s="67">
        <f ca="1">IFERROR(VLOOKUP('Critical resources'!D33,$B$6:$C$57,2,0),0)</f>
        <v>0</v>
      </c>
      <c r="I27" s="67">
        <f ca="1">IFERROR(VLOOKUP('Critical resources'!E33,$A$6:$C$57,3,0),0)</f>
        <v>0</v>
      </c>
      <c r="J27" s="67">
        <f ca="1">IFERROR(VLOOKUP('Critical resources'!G33,$B$6:$C$57,2,0),0)</f>
        <v>0</v>
      </c>
      <c r="K27" s="67">
        <f ca="1">IFERROR(VLOOKUP('Critical resources'!H33,$B$6:$C$57,2,0),0)</f>
        <v>0</v>
      </c>
      <c r="L27" s="67">
        <f ca="1">IFERROR(VLOOKUP('Critical resources'!J33,$B$6:$C$57,2,0),0)</f>
        <v>0</v>
      </c>
      <c r="M27" s="67">
        <f ca="1">IFERROR(VLOOKUP('Critical resources'!K33,$A$6:$C$57,3,0),0)</f>
        <v>0</v>
      </c>
      <c r="N27" s="67">
        <f ca="1">IFERROR(VLOOKUP('Critical resources'!M33,$B$6:$C$57,2,0),0)</f>
        <v>0</v>
      </c>
      <c r="O27" s="67">
        <f ca="1">IFERROR(VLOOKUP('Critical resources'!N33,$A$6:$C$57,3,0),0)</f>
        <v>0</v>
      </c>
      <c r="P27" s="67">
        <f ca="1">IFERROR(VLOOKUP('Critical resources'!P33,$B$6:$C$57,2,0),0)</f>
        <v>0</v>
      </c>
      <c r="Q27" s="67">
        <f ca="1">IFERROR(VLOOKUP('Critical resources'!Q33,$A$6:$C$57,3,0),0)</f>
        <v>0</v>
      </c>
      <c r="T27" s="67" t="str">
        <f t="shared" si="1"/>
        <v xml:space="preserve">22. </v>
      </c>
      <c r="U27" s="67">
        <f t="shared" ca="1" si="14"/>
        <v>0</v>
      </c>
      <c r="V27" s="67">
        <f t="shared" ca="1" si="14"/>
        <v>0</v>
      </c>
      <c r="W27" s="67">
        <f t="shared" ca="1" si="14"/>
        <v>0</v>
      </c>
      <c r="X27" s="67">
        <f t="shared" ca="1" si="14"/>
        <v>0</v>
      </c>
      <c r="Y27" s="67">
        <f t="shared" ca="1" si="14"/>
        <v>0</v>
      </c>
      <c r="Z27" s="67">
        <f t="shared" ca="1" si="14"/>
        <v>0</v>
      </c>
      <c r="AA27" s="67">
        <f t="shared" ca="1" si="14"/>
        <v>0</v>
      </c>
      <c r="AB27" s="67">
        <f t="shared" ca="1" si="14"/>
        <v>0</v>
      </c>
      <c r="AC27" s="67">
        <f t="shared" ca="1" si="14"/>
        <v>0</v>
      </c>
      <c r="AD27" s="67">
        <f t="shared" ca="1" si="14"/>
        <v>0</v>
      </c>
      <c r="AE27" s="67">
        <f t="shared" ca="1" si="14"/>
        <v>0</v>
      </c>
      <c r="AF27" s="67">
        <f t="shared" ca="1" si="14"/>
        <v>0</v>
      </c>
      <c r="AG27" s="67">
        <f t="shared" ca="1" si="14"/>
        <v>0</v>
      </c>
      <c r="AH27" s="67">
        <f t="shared" ca="1" si="14"/>
        <v>0</v>
      </c>
      <c r="AI27" s="67">
        <f t="shared" ca="1" si="14"/>
        <v>0</v>
      </c>
      <c r="AJ27" s="67">
        <f t="shared" ca="1" si="14"/>
        <v>0</v>
      </c>
      <c r="AK27" s="67">
        <f t="shared" ca="1" si="11"/>
        <v>0</v>
      </c>
      <c r="AL27" s="67">
        <f t="shared" ca="1" si="11"/>
        <v>0</v>
      </c>
      <c r="AM27" s="67">
        <f t="shared" ca="1" si="11"/>
        <v>0</v>
      </c>
      <c r="AN27" s="67">
        <f t="shared" ca="1" si="11"/>
        <v>0</v>
      </c>
      <c r="AO27" s="67">
        <f t="shared" ca="1" si="11"/>
        <v>0</v>
      </c>
      <c r="AP27" s="67">
        <f t="shared" ca="1" si="11"/>
        <v>0</v>
      </c>
      <c r="AQ27" s="67">
        <f t="shared" ca="1" si="11"/>
        <v>0</v>
      </c>
      <c r="AR27" s="67">
        <f t="shared" ca="1" si="11"/>
        <v>0</v>
      </c>
      <c r="AS27" s="67">
        <f t="shared" ca="1" si="11"/>
        <v>0</v>
      </c>
      <c r="AT27" s="67">
        <f t="shared" ca="1" si="11"/>
        <v>0</v>
      </c>
      <c r="AU27" s="67">
        <f t="shared" ca="1" si="11"/>
        <v>0</v>
      </c>
      <c r="AV27" s="67">
        <f t="shared" ca="1" si="11"/>
        <v>0</v>
      </c>
      <c r="AW27" s="67">
        <f t="shared" ca="1" si="11"/>
        <v>0</v>
      </c>
      <c r="AX27" s="67">
        <f t="shared" ca="1" si="11"/>
        <v>0</v>
      </c>
      <c r="AY27" s="67">
        <f t="shared" ca="1" si="11"/>
        <v>0</v>
      </c>
      <c r="AZ27" s="67">
        <f t="shared" ca="1" si="11"/>
        <v>0</v>
      </c>
      <c r="BA27" s="67">
        <f t="shared" ca="1" si="12"/>
        <v>0</v>
      </c>
      <c r="BB27" s="67">
        <f t="shared" ca="1" si="12"/>
        <v>0</v>
      </c>
      <c r="BC27" s="67">
        <f t="shared" ca="1" si="12"/>
        <v>0</v>
      </c>
      <c r="BD27" s="67">
        <f t="shared" ca="1" si="12"/>
        <v>0</v>
      </c>
      <c r="BE27" s="67">
        <f t="shared" ca="1" si="12"/>
        <v>0</v>
      </c>
      <c r="BF27" s="67">
        <f t="shared" ca="1" si="12"/>
        <v>0</v>
      </c>
      <c r="BG27" s="67">
        <f t="shared" ca="1" si="12"/>
        <v>0</v>
      </c>
      <c r="BH27" s="67">
        <f t="shared" ca="1" si="12"/>
        <v>0</v>
      </c>
      <c r="BI27" s="67">
        <f t="shared" ca="1" si="12"/>
        <v>0</v>
      </c>
      <c r="BJ27" s="67">
        <f t="shared" ca="1" si="12"/>
        <v>0</v>
      </c>
      <c r="BK27" s="67">
        <f t="shared" ca="1" si="12"/>
        <v>0</v>
      </c>
      <c r="BL27" s="67">
        <f t="shared" ca="1" si="12"/>
        <v>0</v>
      </c>
      <c r="BM27" s="67">
        <f t="shared" ca="1" si="12"/>
        <v>0</v>
      </c>
      <c r="BN27" s="67">
        <f t="shared" ca="1" si="12"/>
        <v>0</v>
      </c>
      <c r="BO27" s="67">
        <f t="shared" ca="1" si="12"/>
        <v>0</v>
      </c>
      <c r="BP27" s="67">
        <f t="shared" ca="1" si="12"/>
        <v>0</v>
      </c>
      <c r="BQ27" s="67">
        <f t="shared" ca="1" si="13"/>
        <v>0</v>
      </c>
      <c r="BR27" s="67">
        <f t="shared" ca="1" si="13"/>
        <v>0</v>
      </c>
      <c r="BS27" s="67">
        <f t="shared" ca="1" si="13"/>
        <v>0</v>
      </c>
      <c r="BT27" s="67">
        <f t="shared" ca="1" si="13"/>
        <v>0</v>
      </c>
    </row>
    <row r="28" spans="1:72" x14ac:dyDescent="0.2">
      <c r="A28" s="317">
        <f t="shared" ca="1" si="6"/>
        <v>44577</v>
      </c>
      <c r="B28" s="87">
        <f t="shared" ca="1" si="9"/>
        <v>44571</v>
      </c>
      <c r="C28" s="67">
        <v>23</v>
      </c>
      <c r="D28" s="67" t="str">
        <f t="shared" ca="1" si="10"/>
        <v/>
      </c>
      <c r="E28" s="67" t="str">
        <f t="shared" ca="1" si="0"/>
        <v xml:space="preserve"> </v>
      </c>
      <c r="F28" s="67">
        <f t="shared" ca="1" si="7"/>
        <v>2</v>
      </c>
      <c r="G28" s="67" t="str">
        <f>ROW(A23)&amp;". "&amp;'Critical resources'!B34</f>
        <v xml:space="preserve">23. </v>
      </c>
      <c r="H28" s="67">
        <f ca="1">IFERROR(VLOOKUP('Critical resources'!D34,$B$6:$C$57,2,0),0)</f>
        <v>0</v>
      </c>
      <c r="I28" s="67">
        <f ca="1">IFERROR(VLOOKUP('Critical resources'!E34,$A$6:$C$57,3,0),0)</f>
        <v>0</v>
      </c>
      <c r="J28" s="67">
        <f ca="1">IFERROR(VLOOKUP('Critical resources'!G34,$B$6:$C$57,2,0),0)</f>
        <v>0</v>
      </c>
      <c r="K28" s="67">
        <f ca="1">IFERROR(VLOOKUP('Critical resources'!H34,$B$6:$C$57,2,0),0)</f>
        <v>0</v>
      </c>
      <c r="L28" s="67">
        <f ca="1">IFERROR(VLOOKUP('Critical resources'!J34,$B$6:$C$57,2,0),0)</f>
        <v>0</v>
      </c>
      <c r="M28" s="67">
        <f ca="1">IFERROR(VLOOKUP('Critical resources'!K34,$A$6:$C$57,3,0),0)</f>
        <v>0</v>
      </c>
      <c r="N28" s="67">
        <f ca="1">IFERROR(VLOOKUP('Critical resources'!M34,$B$6:$C$57,2,0),0)</f>
        <v>0</v>
      </c>
      <c r="O28" s="67">
        <f ca="1">IFERROR(VLOOKUP('Critical resources'!N34,$A$6:$C$57,3,0),0)</f>
        <v>0</v>
      </c>
      <c r="P28" s="67">
        <f ca="1">IFERROR(VLOOKUP('Critical resources'!P34,$B$6:$C$57,2,0),0)</f>
        <v>0</v>
      </c>
      <c r="Q28" s="67">
        <f ca="1">IFERROR(VLOOKUP('Critical resources'!Q34,$A$6:$C$57,3,0),0)</f>
        <v>0</v>
      </c>
      <c r="T28" s="67" t="str">
        <f t="shared" si="1"/>
        <v xml:space="preserve">23. </v>
      </c>
      <c r="U28" s="67">
        <f t="shared" ca="1" si="14"/>
        <v>0</v>
      </c>
      <c r="V28" s="67">
        <f t="shared" ca="1" si="14"/>
        <v>0</v>
      </c>
      <c r="W28" s="67">
        <f t="shared" ca="1" si="14"/>
        <v>0</v>
      </c>
      <c r="X28" s="67">
        <f t="shared" ca="1" si="14"/>
        <v>0</v>
      </c>
      <c r="Y28" s="67">
        <f t="shared" ca="1" si="14"/>
        <v>0</v>
      </c>
      <c r="Z28" s="67">
        <f t="shared" ca="1" si="14"/>
        <v>0</v>
      </c>
      <c r="AA28" s="67">
        <f t="shared" ca="1" si="14"/>
        <v>0</v>
      </c>
      <c r="AB28" s="67">
        <f t="shared" ca="1" si="14"/>
        <v>0</v>
      </c>
      <c r="AC28" s="67">
        <f t="shared" ca="1" si="14"/>
        <v>0</v>
      </c>
      <c r="AD28" s="67">
        <f t="shared" ca="1" si="14"/>
        <v>0</v>
      </c>
      <c r="AE28" s="67">
        <f t="shared" ca="1" si="14"/>
        <v>0</v>
      </c>
      <c r="AF28" s="67">
        <f t="shared" ca="1" si="14"/>
        <v>0</v>
      </c>
      <c r="AG28" s="67">
        <f t="shared" ca="1" si="14"/>
        <v>0</v>
      </c>
      <c r="AH28" s="67">
        <f t="shared" ca="1" si="14"/>
        <v>0</v>
      </c>
      <c r="AI28" s="67">
        <f t="shared" ca="1" si="14"/>
        <v>0</v>
      </c>
      <c r="AJ28" s="67">
        <f t="shared" ca="1" si="14"/>
        <v>0</v>
      </c>
      <c r="AK28" s="67">
        <f t="shared" ca="1" si="11"/>
        <v>0</v>
      </c>
      <c r="AL28" s="67">
        <f t="shared" ca="1" si="11"/>
        <v>0</v>
      </c>
      <c r="AM28" s="67">
        <f t="shared" ca="1" si="11"/>
        <v>0</v>
      </c>
      <c r="AN28" s="67">
        <f t="shared" ca="1" si="11"/>
        <v>0</v>
      </c>
      <c r="AO28" s="67">
        <f t="shared" ca="1" si="11"/>
        <v>0</v>
      </c>
      <c r="AP28" s="67">
        <f t="shared" ca="1" si="11"/>
        <v>0</v>
      </c>
      <c r="AQ28" s="67">
        <f t="shared" ca="1" si="11"/>
        <v>0</v>
      </c>
      <c r="AR28" s="67">
        <f t="shared" ca="1" si="11"/>
        <v>0</v>
      </c>
      <c r="AS28" s="67">
        <f t="shared" ca="1" si="11"/>
        <v>0</v>
      </c>
      <c r="AT28" s="67">
        <f t="shared" ca="1" si="11"/>
        <v>0</v>
      </c>
      <c r="AU28" s="67">
        <f t="shared" ca="1" si="11"/>
        <v>0</v>
      </c>
      <c r="AV28" s="67">
        <f t="shared" ca="1" si="11"/>
        <v>0</v>
      </c>
      <c r="AW28" s="67">
        <f t="shared" ca="1" si="11"/>
        <v>0</v>
      </c>
      <c r="AX28" s="67">
        <f t="shared" ca="1" si="11"/>
        <v>0</v>
      </c>
      <c r="AY28" s="67">
        <f t="shared" ca="1" si="11"/>
        <v>0</v>
      </c>
      <c r="AZ28" s="67">
        <f t="shared" ca="1" si="11"/>
        <v>0</v>
      </c>
      <c r="BA28" s="67">
        <f t="shared" ca="1" si="12"/>
        <v>0</v>
      </c>
      <c r="BB28" s="67">
        <f t="shared" ca="1" si="12"/>
        <v>0</v>
      </c>
      <c r="BC28" s="67">
        <f t="shared" ca="1" si="12"/>
        <v>0</v>
      </c>
      <c r="BD28" s="67">
        <f t="shared" ca="1" si="12"/>
        <v>0</v>
      </c>
      <c r="BE28" s="67">
        <f t="shared" ca="1" si="12"/>
        <v>0</v>
      </c>
      <c r="BF28" s="67">
        <f t="shared" ca="1" si="12"/>
        <v>0</v>
      </c>
      <c r="BG28" s="67">
        <f t="shared" ca="1" si="12"/>
        <v>0</v>
      </c>
      <c r="BH28" s="67">
        <f t="shared" ca="1" si="12"/>
        <v>0</v>
      </c>
      <c r="BI28" s="67">
        <f t="shared" ca="1" si="12"/>
        <v>0</v>
      </c>
      <c r="BJ28" s="67">
        <f t="shared" ca="1" si="12"/>
        <v>0</v>
      </c>
      <c r="BK28" s="67">
        <f t="shared" ca="1" si="12"/>
        <v>0</v>
      </c>
      <c r="BL28" s="67">
        <f t="shared" ca="1" si="12"/>
        <v>0</v>
      </c>
      <c r="BM28" s="67">
        <f t="shared" ca="1" si="12"/>
        <v>0</v>
      </c>
      <c r="BN28" s="67">
        <f t="shared" ca="1" si="12"/>
        <v>0</v>
      </c>
      <c r="BO28" s="67">
        <f t="shared" ca="1" si="12"/>
        <v>0</v>
      </c>
      <c r="BP28" s="67">
        <f t="shared" ca="1" si="12"/>
        <v>0</v>
      </c>
      <c r="BQ28" s="67">
        <f t="shared" ca="1" si="13"/>
        <v>0</v>
      </c>
      <c r="BR28" s="67">
        <f t="shared" ca="1" si="13"/>
        <v>0</v>
      </c>
      <c r="BS28" s="67">
        <f t="shared" ca="1" si="13"/>
        <v>0</v>
      </c>
      <c r="BT28" s="67">
        <f t="shared" ca="1" si="13"/>
        <v>0</v>
      </c>
    </row>
    <row r="29" spans="1:72" x14ac:dyDescent="0.2">
      <c r="A29" s="317">
        <f t="shared" ca="1" si="6"/>
        <v>44584</v>
      </c>
      <c r="B29" s="87">
        <f t="shared" ca="1" si="9"/>
        <v>44578</v>
      </c>
      <c r="C29" s="67">
        <v>24</v>
      </c>
      <c r="D29" s="67" t="str">
        <f t="shared" ca="1" si="10"/>
        <v/>
      </c>
      <c r="E29" s="67" t="str">
        <f t="shared" ca="1" si="0"/>
        <v xml:space="preserve"> </v>
      </c>
      <c r="F29" s="67">
        <f t="shared" ca="1" si="7"/>
        <v>3</v>
      </c>
      <c r="G29" s="67" t="str">
        <f>ROW(A24)&amp;". "&amp;'Critical resources'!B35</f>
        <v xml:space="preserve">24. </v>
      </c>
      <c r="H29" s="67">
        <f ca="1">IFERROR(VLOOKUP('Critical resources'!D35,$B$6:$C$57,2,0),0)</f>
        <v>0</v>
      </c>
      <c r="I29" s="67">
        <f ca="1">IFERROR(VLOOKUP('Critical resources'!E35,$A$6:$C$57,3,0),0)</f>
        <v>0</v>
      </c>
      <c r="J29" s="67">
        <f ca="1">IFERROR(VLOOKUP('Critical resources'!G35,$B$6:$C$57,2,0),0)</f>
        <v>0</v>
      </c>
      <c r="K29" s="67">
        <f ca="1">IFERROR(VLOOKUP('Critical resources'!H35,$B$6:$C$57,2,0),0)</f>
        <v>0</v>
      </c>
      <c r="L29" s="67">
        <f ca="1">IFERROR(VLOOKUP('Critical resources'!J35,$B$6:$C$57,2,0),0)</f>
        <v>0</v>
      </c>
      <c r="M29" s="67">
        <f ca="1">IFERROR(VLOOKUP('Critical resources'!K35,$A$6:$C$57,3,0),0)</f>
        <v>0</v>
      </c>
      <c r="N29" s="67">
        <f ca="1">IFERROR(VLOOKUP('Critical resources'!M35,$B$6:$C$57,2,0),0)</f>
        <v>0</v>
      </c>
      <c r="O29" s="67">
        <f ca="1">IFERROR(VLOOKUP('Critical resources'!N35,$A$6:$C$57,3,0),0)</f>
        <v>0</v>
      </c>
      <c r="P29" s="67">
        <f ca="1">IFERROR(VLOOKUP('Critical resources'!P35,$B$6:$C$57,2,0),0)</f>
        <v>0</v>
      </c>
      <c r="Q29" s="67">
        <f ca="1">IFERROR(VLOOKUP('Critical resources'!Q35,$A$6:$C$57,3,0),0)</f>
        <v>0</v>
      </c>
      <c r="T29" s="67" t="str">
        <f t="shared" si="1"/>
        <v xml:space="preserve">24. </v>
      </c>
      <c r="U29" s="67">
        <f t="shared" ca="1" si="14"/>
        <v>0</v>
      </c>
      <c r="V29" s="67">
        <f t="shared" ca="1" si="14"/>
        <v>0</v>
      </c>
      <c r="W29" s="67">
        <f t="shared" ca="1" si="14"/>
        <v>0</v>
      </c>
      <c r="X29" s="67">
        <f t="shared" ca="1" si="14"/>
        <v>0</v>
      </c>
      <c r="Y29" s="67">
        <f t="shared" ca="1" si="14"/>
        <v>0</v>
      </c>
      <c r="Z29" s="67">
        <f t="shared" ca="1" si="14"/>
        <v>0</v>
      </c>
      <c r="AA29" s="67">
        <f t="shared" ca="1" si="14"/>
        <v>0</v>
      </c>
      <c r="AB29" s="67">
        <f t="shared" ca="1" si="14"/>
        <v>0</v>
      </c>
      <c r="AC29" s="67">
        <f t="shared" ca="1" si="14"/>
        <v>0</v>
      </c>
      <c r="AD29" s="67">
        <f t="shared" ca="1" si="14"/>
        <v>0</v>
      </c>
      <c r="AE29" s="67">
        <f t="shared" ca="1" si="14"/>
        <v>0</v>
      </c>
      <c r="AF29" s="67">
        <f t="shared" ca="1" si="14"/>
        <v>0</v>
      </c>
      <c r="AG29" s="67">
        <f t="shared" ca="1" si="14"/>
        <v>0</v>
      </c>
      <c r="AH29" s="67">
        <f t="shared" ca="1" si="14"/>
        <v>0</v>
      </c>
      <c r="AI29" s="67">
        <f t="shared" ca="1" si="14"/>
        <v>0</v>
      </c>
      <c r="AJ29" s="67">
        <f t="shared" ca="1" si="14"/>
        <v>0</v>
      </c>
      <c r="AK29" s="67">
        <f t="shared" ca="1" si="11"/>
        <v>0</v>
      </c>
      <c r="AL29" s="67">
        <f t="shared" ca="1" si="11"/>
        <v>0</v>
      </c>
      <c r="AM29" s="67">
        <f t="shared" ca="1" si="11"/>
        <v>0</v>
      </c>
      <c r="AN29" s="67">
        <f t="shared" ca="1" si="11"/>
        <v>0</v>
      </c>
      <c r="AO29" s="67">
        <f t="shared" ca="1" si="11"/>
        <v>0</v>
      </c>
      <c r="AP29" s="67">
        <f t="shared" ca="1" si="11"/>
        <v>0</v>
      </c>
      <c r="AQ29" s="67">
        <f t="shared" ca="1" si="11"/>
        <v>0</v>
      </c>
      <c r="AR29" s="67">
        <f t="shared" ca="1" si="11"/>
        <v>0</v>
      </c>
      <c r="AS29" s="67">
        <f t="shared" ca="1" si="11"/>
        <v>0</v>
      </c>
      <c r="AT29" s="67">
        <f t="shared" ca="1" si="11"/>
        <v>0</v>
      </c>
      <c r="AU29" s="67">
        <f t="shared" ca="1" si="11"/>
        <v>0</v>
      </c>
      <c r="AV29" s="67">
        <f t="shared" ca="1" si="11"/>
        <v>0</v>
      </c>
      <c r="AW29" s="67">
        <f t="shared" ca="1" si="11"/>
        <v>0</v>
      </c>
      <c r="AX29" s="67">
        <f t="shared" ca="1" si="11"/>
        <v>0</v>
      </c>
      <c r="AY29" s="67">
        <f t="shared" ca="1" si="11"/>
        <v>0</v>
      </c>
      <c r="AZ29" s="67">
        <f t="shared" ca="1" si="11"/>
        <v>0</v>
      </c>
      <c r="BA29" s="67">
        <f t="shared" ca="1" si="12"/>
        <v>0</v>
      </c>
      <c r="BB29" s="67">
        <f t="shared" ca="1" si="12"/>
        <v>0</v>
      </c>
      <c r="BC29" s="67">
        <f t="shared" ca="1" si="12"/>
        <v>0</v>
      </c>
      <c r="BD29" s="67">
        <f t="shared" ca="1" si="12"/>
        <v>0</v>
      </c>
      <c r="BE29" s="67">
        <f t="shared" ca="1" si="12"/>
        <v>0</v>
      </c>
      <c r="BF29" s="67">
        <f t="shared" ca="1" si="12"/>
        <v>0</v>
      </c>
      <c r="BG29" s="67">
        <f t="shared" ca="1" si="12"/>
        <v>0</v>
      </c>
      <c r="BH29" s="67">
        <f t="shared" ca="1" si="12"/>
        <v>0</v>
      </c>
      <c r="BI29" s="67">
        <f t="shared" ca="1" si="12"/>
        <v>0</v>
      </c>
      <c r="BJ29" s="67">
        <f t="shared" ca="1" si="12"/>
        <v>0</v>
      </c>
      <c r="BK29" s="67">
        <f t="shared" ca="1" si="12"/>
        <v>0</v>
      </c>
      <c r="BL29" s="67">
        <f t="shared" ca="1" si="12"/>
        <v>0</v>
      </c>
      <c r="BM29" s="67">
        <f t="shared" ca="1" si="12"/>
        <v>0</v>
      </c>
      <c r="BN29" s="67">
        <f t="shared" ca="1" si="12"/>
        <v>0</v>
      </c>
      <c r="BO29" s="67">
        <f t="shared" ca="1" si="12"/>
        <v>0</v>
      </c>
      <c r="BP29" s="67">
        <f t="shared" ca="1" si="12"/>
        <v>0</v>
      </c>
      <c r="BQ29" s="67">
        <f t="shared" ca="1" si="13"/>
        <v>0</v>
      </c>
      <c r="BR29" s="67">
        <f t="shared" ca="1" si="13"/>
        <v>0</v>
      </c>
      <c r="BS29" s="67">
        <f t="shared" ca="1" si="13"/>
        <v>0</v>
      </c>
      <c r="BT29" s="67">
        <f t="shared" ca="1" si="13"/>
        <v>0</v>
      </c>
    </row>
    <row r="30" spans="1:72" x14ac:dyDescent="0.2">
      <c r="A30" s="317">
        <f t="shared" ca="1" si="6"/>
        <v>44591</v>
      </c>
      <c r="B30" s="87">
        <f t="shared" ca="1" si="9"/>
        <v>44585</v>
      </c>
      <c r="C30" s="67">
        <v>25</v>
      </c>
      <c r="D30" s="67" t="str">
        <f t="shared" ca="1" si="10"/>
        <v/>
      </c>
      <c r="E30" s="67" t="str">
        <f t="shared" ca="1" si="0"/>
        <v xml:space="preserve"> </v>
      </c>
      <c r="F30" s="67">
        <f t="shared" ca="1" si="7"/>
        <v>4</v>
      </c>
      <c r="G30" s="67" t="str">
        <f>ROW(A25)&amp;". "&amp;'Critical resources'!B36</f>
        <v xml:space="preserve">25. </v>
      </c>
      <c r="H30" s="67">
        <f ca="1">IFERROR(VLOOKUP('Critical resources'!D36,$B$6:$C$57,2,0),0)</f>
        <v>0</v>
      </c>
      <c r="I30" s="67">
        <f ca="1">IFERROR(VLOOKUP('Critical resources'!E36,$A$6:$C$57,3,0),0)</f>
        <v>0</v>
      </c>
      <c r="J30" s="67">
        <f ca="1">IFERROR(VLOOKUP('Critical resources'!G36,$B$6:$C$57,2,0),0)</f>
        <v>0</v>
      </c>
      <c r="K30" s="67">
        <f ca="1">IFERROR(VLOOKUP('Critical resources'!H36,$B$6:$C$57,2,0),0)</f>
        <v>0</v>
      </c>
      <c r="L30" s="67">
        <f ca="1">IFERROR(VLOOKUP('Critical resources'!J36,$B$6:$C$57,2,0),0)</f>
        <v>0</v>
      </c>
      <c r="M30" s="67">
        <f ca="1">IFERROR(VLOOKUP('Critical resources'!K36,$A$6:$C$57,3,0),0)</f>
        <v>0</v>
      </c>
      <c r="N30" s="67">
        <f ca="1">IFERROR(VLOOKUP('Critical resources'!M36,$B$6:$C$57,2,0),0)</f>
        <v>0</v>
      </c>
      <c r="O30" s="67">
        <f ca="1">IFERROR(VLOOKUP('Critical resources'!N36,$A$6:$C$57,3,0),0)</f>
        <v>0</v>
      </c>
      <c r="P30" s="67">
        <f ca="1">IFERROR(VLOOKUP('Critical resources'!P36,$B$6:$C$57,2,0),0)</f>
        <v>0</v>
      </c>
      <c r="Q30" s="67">
        <f ca="1">IFERROR(VLOOKUP('Critical resources'!Q36,$A$6:$C$57,3,0),0)</f>
        <v>0</v>
      </c>
      <c r="T30" s="67" t="str">
        <f t="shared" si="1"/>
        <v xml:space="preserve">25. </v>
      </c>
      <c r="U30" s="67">
        <f t="shared" ca="1" si="14"/>
        <v>0</v>
      </c>
      <c r="V30" s="67">
        <f t="shared" ca="1" si="14"/>
        <v>0</v>
      </c>
      <c r="W30" s="67">
        <f t="shared" ca="1" si="14"/>
        <v>0</v>
      </c>
      <c r="X30" s="67">
        <f t="shared" ca="1" si="14"/>
        <v>0</v>
      </c>
      <c r="Y30" s="67">
        <f t="shared" ca="1" si="14"/>
        <v>0</v>
      </c>
      <c r="Z30" s="67">
        <f t="shared" ca="1" si="14"/>
        <v>0</v>
      </c>
      <c r="AA30" s="67">
        <f t="shared" ca="1" si="14"/>
        <v>0</v>
      </c>
      <c r="AB30" s="67">
        <f t="shared" ca="1" si="14"/>
        <v>0</v>
      </c>
      <c r="AC30" s="67">
        <f t="shared" ca="1" si="14"/>
        <v>0</v>
      </c>
      <c r="AD30" s="67">
        <f t="shared" ca="1" si="14"/>
        <v>0</v>
      </c>
      <c r="AE30" s="67">
        <f t="shared" ca="1" si="14"/>
        <v>0</v>
      </c>
      <c r="AF30" s="67">
        <f t="shared" ca="1" si="14"/>
        <v>0</v>
      </c>
      <c r="AG30" s="67">
        <f t="shared" ca="1" si="14"/>
        <v>0</v>
      </c>
      <c r="AH30" s="67">
        <f t="shared" ca="1" si="14"/>
        <v>0</v>
      </c>
      <c r="AI30" s="67">
        <f t="shared" ca="1" si="14"/>
        <v>0</v>
      </c>
      <c r="AJ30" s="67">
        <f t="shared" ca="1" si="14"/>
        <v>0</v>
      </c>
      <c r="AK30" s="67">
        <f t="shared" ca="1" si="11"/>
        <v>0</v>
      </c>
      <c r="AL30" s="67">
        <f t="shared" ca="1" si="11"/>
        <v>0</v>
      </c>
      <c r="AM30" s="67">
        <f t="shared" ca="1" si="11"/>
        <v>0</v>
      </c>
      <c r="AN30" s="67">
        <f t="shared" ca="1" si="11"/>
        <v>0</v>
      </c>
      <c r="AO30" s="67">
        <f t="shared" ca="1" si="11"/>
        <v>0</v>
      </c>
      <c r="AP30" s="67">
        <f t="shared" ca="1" si="11"/>
        <v>0</v>
      </c>
      <c r="AQ30" s="67">
        <f t="shared" ca="1" si="11"/>
        <v>0</v>
      </c>
      <c r="AR30" s="67">
        <f t="shared" ca="1" si="11"/>
        <v>0</v>
      </c>
      <c r="AS30" s="67">
        <f t="shared" ca="1" si="11"/>
        <v>0</v>
      </c>
      <c r="AT30" s="67">
        <f t="shared" ca="1" si="11"/>
        <v>0</v>
      </c>
      <c r="AU30" s="67">
        <f t="shared" ca="1" si="11"/>
        <v>0</v>
      </c>
      <c r="AV30" s="67">
        <f t="shared" ca="1" si="11"/>
        <v>0</v>
      </c>
      <c r="AW30" s="67">
        <f t="shared" ca="1" si="11"/>
        <v>0</v>
      </c>
      <c r="AX30" s="67">
        <f t="shared" ca="1" si="11"/>
        <v>0</v>
      </c>
      <c r="AY30" s="67">
        <f t="shared" ca="1" si="11"/>
        <v>0</v>
      </c>
      <c r="AZ30" s="67">
        <f t="shared" ca="1" si="11"/>
        <v>0</v>
      </c>
      <c r="BA30" s="67">
        <f t="shared" ca="1" si="12"/>
        <v>0</v>
      </c>
      <c r="BB30" s="67">
        <f t="shared" ca="1" si="12"/>
        <v>0</v>
      </c>
      <c r="BC30" s="67">
        <f t="shared" ca="1" si="12"/>
        <v>0</v>
      </c>
      <c r="BD30" s="67">
        <f t="shared" ca="1" si="12"/>
        <v>0</v>
      </c>
      <c r="BE30" s="67">
        <f t="shared" ca="1" si="12"/>
        <v>0</v>
      </c>
      <c r="BF30" s="67">
        <f t="shared" ca="1" si="12"/>
        <v>0</v>
      </c>
      <c r="BG30" s="67">
        <f t="shared" ca="1" si="12"/>
        <v>0</v>
      </c>
      <c r="BH30" s="67">
        <f t="shared" ca="1" si="12"/>
        <v>0</v>
      </c>
      <c r="BI30" s="67">
        <f t="shared" ca="1" si="12"/>
        <v>0</v>
      </c>
      <c r="BJ30" s="67">
        <f t="shared" ca="1" si="12"/>
        <v>0</v>
      </c>
      <c r="BK30" s="67">
        <f t="shared" ca="1" si="12"/>
        <v>0</v>
      </c>
      <c r="BL30" s="67">
        <f t="shared" ca="1" si="12"/>
        <v>0</v>
      </c>
      <c r="BM30" s="67">
        <f t="shared" ca="1" si="12"/>
        <v>0</v>
      </c>
      <c r="BN30" s="67">
        <f t="shared" ca="1" si="12"/>
        <v>0</v>
      </c>
      <c r="BO30" s="67">
        <f t="shared" ca="1" si="12"/>
        <v>0</v>
      </c>
      <c r="BP30" s="67">
        <f t="shared" ca="1" si="12"/>
        <v>0</v>
      </c>
      <c r="BQ30" s="67">
        <f t="shared" ca="1" si="13"/>
        <v>0</v>
      </c>
      <c r="BR30" s="67">
        <f t="shared" ca="1" si="13"/>
        <v>0</v>
      </c>
      <c r="BS30" s="67">
        <f t="shared" ca="1" si="13"/>
        <v>0</v>
      </c>
      <c r="BT30" s="67">
        <f t="shared" ca="1" si="13"/>
        <v>0</v>
      </c>
    </row>
    <row r="31" spans="1:72" x14ac:dyDescent="0.2">
      <c r="A31" s="317">
        <f t="shared" ca="1" si="6"/>
        <v>44598</v>
      </c>
      <c r="B31" s="87">
        <f t="shared" ca="1" si="9"/>
        <v>44592</v>
      </c>
      <c r="C31" s="67">
        <v>26</v>
      </c>
      <c r="D31" s="67" t="str">
        <f t="shared" ca="1" si="10"/>
        <v/>
      </c>
      <c r="E31" s="67" t="str">
        <f t="shared" ca="1" si="0"/>
        <v xml:space="preserve"> </v>
      </c>
      <c r="F31" s="67">
        <f t="shared" ca="1" si="7"/>
        <v>5</v>
      </c>
      <c r="G31" s="67" t="str">
        <f>ROW(A26)&amp;". "&amp;'Critical resources'!B37</f>
        <v xml:space="preserve">26. </v>
      </c>
      <c r="H31" s="67">
        <f ca="1">IFERROR(VLOOKUP('Critical resources'!D37,$B$6:$C$57,2,0),0)</f>
        <v>0</v>
      </c>
      <c r="I31" s="67">
        <f ca="1">IFERROR(VLOOKUP('Critical resources'!E37,$A$6:$C$57,3,0),0)</f>
        <v>0</v>
      </c>
      <c r="J31" s="67">
        <f ca="1">IFERROR(VLOOKUP('Critical resources'!G37,$B$6:$C$57,2,0),0)</f>
        <v>0</v>
      </c>
      <c r="K31" s="67">
        <f ca="1">IFERROR(VLOOKUP('Critical resources'!H37,$B$6:$C$57,2,0),0)</f>
        <v>0</v>
      </c>
      <c r="L31" s="67">
        <f ca="1">IFERROR(VLOOKUP('Critical resources'!J37,$B$6:$C$57,2,0),0)</f>
        <v>0</v>
      </c>
      <c r="M31" s="67">
        <f ca="1">IFERROR(VLOOKUP('Critical resources'!K37,$A$6:$C$57,3,0),0)</f>
        <v>0</v>
      </c>
      <c r="N31" s="67">
        <f ca="1">IFERROR(VLOOKUP('Critical resources'!M37,$B$6:$C$57,2,0),0)</f>
        <v>0</v>
      </c>
      <c r="O31" s="67">
        <f ca="1">IFERROR(VLOOKUP('Critical resources'!N37,$A$6:$C$57,3,0),0)</f>
        <v>0</v>
      </c>
      <c r="P31" s="67">
        <f ca="1">IFERROR(VLOOKUP('Critical resources'!P37,$B$6:$C$57,2,0),0)</f>
        <v>0</v>
      </c>
      <c r="Q31" s="67">
        <f ca="1">IFERROR(VLOOKUP('Critical resources'!Q37,$A$6:$C$57,3,0),0)</f>
        <v>0</v>
      </c>
      <c r="T31" s="67" t="str">
        <f t="shared" si="1"/>
        <v xml:space="preserve">26. </v>
      </c>
      <c r="U31" s="67">
        <f t="shared" ca="1" si="14"/>
        <v>0</v>
      </c>
      <c r="V31" s="67">
        <f t="shared" ca="1" si="14"/>
        <v>0</v>
      </c>
      <c r="W31" s="67">
        <f t="shared" ca="1" si="14"/>
        <v>0</v>
      </c>
      <c r="X31" s="67">
        <f t="shared" ca="1" si="14"/>
        <v>0</v>
      </c>
      <c r="Y31" s="67">
        <f t="shared" ca="1" si="14"/>
        <v>0</v>
      </c>
      <c r="Z31" s="67">
        <f t="shared" ca="1" si="14"/>
        <v>0</v>
      </c>
      <c r="AA31" s="67">
        <f t="shared" ca="1" si="14"/>
        <v>0</v>
      </c>
      <c r="AB31" s="67">
        <f t="shared" ca="1" si="14"/>
        <v>0</v>
      </c>
      <c r="AC31" s="67">
        <f t="shared" ca="1" si="14"/>
        <v>0</v>
      </c>
      <c r="AD31" s="67">
        <f t="shared" ca="1" si="14"/>
        <v>0</v>
      </c>
      <c r="AE31" s="67">
        <f t="shared" ca="1" si="14"/>
        <v>0</v>
      </c>
      <c r="AF31" s="67">
        <f t="shared" ca="1" si="14"/>
        <v>0</v>
      </c>
      <c r="AG31" s="67">
        <f t="shared" ca="1" si="14"/>
        <v>0</v>
      </c>
      <c r="AH31" s="67">
        <f t="shared" ca="1" si="14"/>
        <v>0</v>
      </c>
      <c r="AI31" s="67">
        <f t="shared" ca="1" si="14"/>
        <v>0</v>
      </c>
      <c r="AJ31" s="67">
        <f t="shared" ca="1" si="14"/>
        <v>0</v>
      </c>
      <c r="AK31" s="67">
        <f t="shared" ca="1" si="11"/>
        <v>0</v>
      </c>
      <c r="AL31" s="67">
        <f t="shared" ca="1" si="11"/>
        <v>0</v>
      </c>
      <c r="AM31" s="67">
        <f t="shared" ca="1" si="11"/>
        <v>0</v>
      </c>
      <c r="AN31" s="67">
        <f t="shared" ca="1" si="11"/>
        <v>0</v>
      </c>
      <c r="AO31" s="67">
        <f t="shared" ca="1" si="11"/>
        <v>0</v>
      </c>
      <c r="AP31" s="67">
        <f t="shared" ca="1" si="11"/>
        <v>0</v>
      </c>
      <c r="AQ31" s="67">
        <f t="shared" ca="1" si="11"/>
        <v>0</v>
      </c>
      <c r="AR31" s="67">
        <f t="shared" ca="1" si="11"/>
        <v>0</v>
      </c>
      <c r="AS31" s="67">
        <f t="shared" ca="1" si="11"/>
        <v>0</v>
      </c>
      <c r="AT31" s="67">
        <f t="shared" ca="1" si="11"/>
        <v>0</v>
      </c>
      <c r="AU31" s="67">
        <f t="shared" ca="1" si="11"/>
        <v>0</v>
      </c>
      <c r="AV31" s="67">
        <f t="shared" ca="1" si="11"/>
        <v>0</v>
      </c>
      <c r="AW31" s="67">
        <f t="shared" ca="1" si="11"/>
        <v>0</v>
      </c>
      <c r="AX31" s="67">
        <f t="shared" ca="1" si="11"/>
        <v>0</v>
      </c>
      <c r="AY31" s="67">
        <f t="shared" ca="1" si="11"/>
        <v>0</v>
      </c>
      <c r="AZ31" s="67">
        <f t="shared" ca="1" si="11"/>
        <v>0</v>
      </c>
      <c r="BA31" s="67">
        <f t="shared" ca="1" si="12"/>
        <v>0</v>
      </c>
      <c r="BB31" s="67">
        <f t="shared" ca="1" si="12"/>
        <v>0</v>
      </c>
      <c r="BC31" s="67">
        <f t="shared" ca="1" si="12"/>
        <v>0</v>
      </c>
      <c r="BD31" s="67">
        <f t="shared" ca="1" si="12"/>
        <v>0</v>
      </c>
      <c r="BE31" s="67">
        <f t="shared" ca="1" si="12"/>
        <v>0</v>
      </c>
      <c r="BF31" s="67">
        <f t="shared" ca="1" si="12"/>
        <v>0</v>
      </c>
      <c r="BG31" s="67">
        <f t="shared" ca="1" si="12"/>
        <v>0</v>
      </c>
      <c r="BH31" s="67">
        <f t="shared" ca="1" si="12"/>
        <v>0</v>
      </c>
      <c r="BI31" s="67">
        <f t="shared" ca="1" si="12"/>
        <v>0</v>
      </c>
      <c r="BJ31" s="67">
        <f t="shared" ca="1" si="12"/>
        <v>0</v>
      </c>
      <c r="BK31" s="67">
        <f t="shared" ca="1" si="12"/>
        <v>0</v>
      </c>
      <c r="BL31" s="67">
        <f t="shared" ca="1" si="12"/>
        <v>0</v>
      </c>
      <c r="BM31" s="67">
        <f t="shared" ca="1" si="12"/>
        <v>0</v>
      </c>
      <c r="BN31" s="67">
        <f t="shared" ca="1" si="12"/>
        <v>0</v>
      </c>
      <c r="BO31" s="67">
        <f t="shared" ca="1" si="12"/>
        <v>0</v>
      </c>
      <c r="BP31" s="67">
        <f t="shared" ca="1" si="12"/>
        <v>0</v>
      </c>
      <c r="BQ31" s="67">
        <f t="shared" ca="1" si="13"/>
        <v>0</v>
      </c>
      <c r="BR31" s="67">
        <f t="shared" ca="1" si="13"/>
        <v>0</v>
      </c>
      <c r="BS31" s="67">
        <f t="shared" ca="1" si="13"/>
        <v>0</v>
      </c>
      <c r="BT31" s="67">
        <f t="shared" ca="1" si="13"/>
        <v>0</v>
      </c>
    </row>
    <row r="32" spans="1:72" x14ac:dyDescent="0.2">
      <c r="A32" s="317">
        <f t="shared" ca="1" si="6"/>
        <v>44605</v>
      </c>
      <c r="B32" s="87">
        <f t="shared" ca="1" si="9"/>
        <v>44599</v>
      </c>
      <c r="C32" s="67">
        <v>27</v>
      </c>
      <c r="D32" s="67" t="str">
        <f t="shared" ca="1" si="10"/>
        <v/>
      </c>
      <c r="E32" s="67" t="str">
        <f t="shared" ca="1" si="0"/>
        <v>Feb</v>
      </c>
      <c r="F32" s="67">
        <f t="shared" ca="1" si="7"/>
        <v>6</v>
      </c>
      <c r="G32" s="67" t="str">
        <f>ROW(A27)&amp;". "&amp;'Critical resources'!B38</f>
        <v xml:space="preserve">27. </v>
      </c>
      <c r="H32" s="67">
        <f ca="1">IFERROR(VLOOKUP('Critical resources'!D38,$B$6:$C$57,2,0),0)</f>
        <v>0</v>
      </c>
      <c r="I32" s="67">
        <f ca="1">IFERROR(VLOOKUP('Critical resources'!E38,$A$6:$C$57,3,0),0)</f>
        <v>0</v>
      </c>
      <c r="J32" s="67">
        <f ca="1">IFERROR(VLOOKUP('Critical resources'!G38,$B$6:$C$57,2,0),0)</f>
        <v>0</v>
      </c>
      <c r="K32" s="67">
        <f ca="1">IFERROR(VLOOKUP('Critical resources'!H38,$B$6:$C$57,2,0),0)</f>
        <v>0</v>
      </c>
      <c r="L32" s="67">
        <f ca="1">IFERROR(VLOOKUP('Critical resources'!J38,$B$6:$C$57,2,0),0)</f>
        <v>0</v>
      </c>
      <c r="M32" s="67">
        <f ca="1">IFERROR(VLOOKUP('Critical resources'!K38,$A$6:$C$57,3,0),0)</f>
        <v>0</v>
      </c>
      <c r="N32" s="67">
        <f ca="1">IFERROR(VLOOKUP('Critical resources'!M38,$B$6:$C$57,2,0),0)</f>
        <v>0</v>
      </c>
      <c r="O32" s="67">
        <f ca="1">IFERROR(VLOOKUP('Critical resources'!N38,$A$6:$C$57,3,0),0)</f>
        <v>0</v>
      </c>
      <c r="P32" s="67">
        <f ca="1">IFERROR(VLOOKUP('Critical resources'!P38,$B$6:$C$57,2,0),0)</f>
        <v>0</v>
      </c>
      <c r="Q32" s="67">
        <f ca="1">IFERROR(VLOOKUP('Critical resources'!Q38,$A$6:$C$57,3,0),0)</f>
        <v>0</v>
      </c>
      <c r="T32" s="67" t="str">
        <f t="shared" si="1"/>
        <v xml:space="preserve">27. </v>
      </c>
      <c r="U32" s="67">
        <f t="shared" ca="1" si="14"/>
        <v>0</v>
      </c>
      <c r="V32" s="67">
        <f t="shared" ca="1" si="14"/>
        <v>0</v>
      </c>
      <c r="W32" s="67">
        <f t="shared" ca="1" si="14"/>
        <v>0</v>
      </c>
      <c r="X32" s="67">
        <f t="shared" ca="1" si="14"/>
        <v>0</v>
      </c>
      <c r="Y32" s="67">
        <f t="shared" ca="1" si="14"/>
        <v>0</v>
      </c>
      <c r="Z32" s="67">
        <f t="shared" ca="1" si="14"/>
        <v>0</v>
      </c>
      <c r="AA32" s="67">
        <f t="shared" ca="1" si="14"/>
        <v>0</v>
      </c>
      <c r="AB32" s="67">
        <f t="shared" ca="1" si="14"/>
        <v>0</v>
      </c>
      <c r="AC32" s="67">
        <f t="shared" ca="1" si="14"/>
        <v>0</v>
      </c>
      <c r="AD32" s="67">
        <f t="shared" ca="1" si="14"/>
        <v>0</v>
      </c>
      <c r="AE32" s="67">
        <f t="shared" ca="1" si="14"/>
        <v>0</v>
      </c>
      <c r="AF32" s="67">
        <f t="shared" ca="1" si="14"/>
        <v>0</v>
      </c>
      <c r="AG32" s="67">
        <f t="shared" ca="1" si="14"/>
        <v>0</v>
      </c>
      <c r="AH32" s="67">
        <f t="shared" ca="1" si="14"/>
        <v>0</v>
      </c>
      <c r="AI32" s="67">
        <f t="shared" ca="1" si="14"/>
        <v>0</v>
      </c>
      <c r="AJ32" s="67">
        <f t="shared" ca="1" si="14"/>
        <v>0</v>
      </c>
      <c r="AK32" s="67">
        <f t="shared" ca="1" si="11"/>
        <v>0</v>
      </c>
      <c r="AL32" s="67">
        <f t="shared" ca="1" si="11"/>
        <v>0</v>
      </c>
      <c r="AM32" s="67">
        <f t="shared" ca="1" si="11"/>
        <v>0</v>
      </c>
      <c r="AN32" s="67">
        <f t="shared" ca="1" si="11"/>
        <v>0</v>
      </c>
      <c r="AO32" s="67">
        <f t="shared" ca="1" si="11"/>
        <v>0</v>
      </c>
      <c r="AP32" s="67">
        <f t="shared" ca="1" si="11"/>
        <v>0</v>
      </c>
      <c r="AQ32" s="67">
        <f t="shared" ca="1" si="11"/>
        <v>0</v>
      </c>
      <c r="AR32" s="67">
        <f t="shared" ca="1" si="11"/>
        <v>0</v>
      </c>
      <c r="AS32" s="67">
        <f t="shared" ca="1" si="11"/>
        <v>0</v>
      </c>
      <c r="AT32" s="67">
        <f t="shared" ca="1" si="11"/>
        <v>0</v>
      </c>
      <c r="AU32" s="67">
        <f t="shared" ca="1" si="11"/>
        <v>0</v>
      </c>
      <c r="AV32" s="67">
        <f t="shared" ca="1" si="11"/>
        <v>0</v>
      </c>
      <c r="AW32" s="67">
        <f t="shared" ca="1" si="11"/>
        <v>0</v>
      </c>
      <c r="AX32" s="67">
        <f t="shared" ca="1" si="11"/>
        <v>0</v>
      </c>
      <c r="AY32" s="67">
        <f t="shared" ca="1" si="11"/>
        <v>0</v>
      </c>
      <c r="AZ32" s="67">
        <f t="shared" ca="1" si="11"/>
        <v>0</v>
      </c>
      <c r="BA32" s="67">
        <f t="shared" ca="1" si="12"/>
        <v>0</v>
      </c>
      <c r="BB32" s="67">
        <f t="shared" ca="1" si="12"/>
        <v>0</v>
      </c>
      <c r="BC32" s="67">
        <f t="shared" ca="1" si="12"/>
        <v>0</v>
      </c>
      <c r="BD32" s="67">
        <f t="shared" ca="1" si="12"/>
        <v>0</v>
      </c>
      <c r="BE32" s="67">
        <f t="shared" ca="1" si="12"/>
        <v>0</v>
      </c>
      <c r="BF32" s="67">
        <f t="shared" ca="1" si="12"/>
        <v>0</v>
      </c>
      <c r="BG32" s="67">
        <f t="shared" ca="1" si="12"/>
        <v>0</v>
      </c>
      <c r="BH32" s="67">
        <f t="shared" ca="1" si="12"/>
        <v>0</v>
      </c>
      <c r="BI32" s="67">
        <f t="shared" ca="1" si="12"/>
        <v>0</v>
      </c>
      <c r="BJ32" s="67">
        <f t="shared" ca="1" si="12"/>
        <v>0</v>
      </c>
      <c r="BK32" s="67">
        <f t="shared" ca="1" si="12"/>
        <v>0</v>
      </c>
      <c r="BL32" s="67">
        <f t="shared" ca="1" si="12"/>
        <v>0</v>
      </c>
      <c r="BM32" s="67">
        <f t="shared" ca="1" si="12"/>
        <v>0</v>
      </c>
      <c r="BN32" s="67">
        <f t="shared" ca="1" si="12"/>
        <v>0</v>
      </c>
      <c r="BO32" s="67">
        <f t="shared" ca="1" si="12"/>
        <v>0</v>
      </c>
      <c r="BP32" s="67">
        <f t="shared" ca="1" si="12"/>
        <v>0</v>
      </c>
      <c r="BQ32" s="67">
        <f t="shared" ca="1" si="13"/>
        <v>0</v>
      </c>
      <c r="BR32" s="67">
        <f t="shared" ca="1" si="13"/>
        <v>0</v>
      </c>
      <c r="BS32" s="67">
        <f t="shared" ca="1" si="13"/>
        <v>0</v>
      </c>
      <c r="BT32" s="67">
        <f t="shared" ca="1" si="13"/>
        <v>0</v>
      </c>
    </row>
    <row r="33" spans="1:72" x14ac:dyDescent="0.2">
      <c r="A33" s="317">
        <f t="shared" ca="1" si="6"/>
        <v>44612</v>
      </c>
      <c r="B33" s="87">
        <f t="shared" ca="1" si="9"/>
        <v>44606</v>
      </c>
      <c r="C33" s="67">
        <v>28</v>
      </c>
      <c r="D33" s="67" t="str">
        <f t="shared" ca="1" si="10"/>
        <v/>
      </c>
      <c r="E33" s="67" t="str">
        <f t="shared" ca="1" si="0"/>
        <v xml:space="preserve"> </v>
      </c>
      <c r="F33" s="67">
        <f t="shared" ca="1" si="7"/>
        <v>7</v>
      </c>
      <c r="G33" s="67" t="str">
        <f>ROW(A28)&amp;". "&amp;'Critical resources'!B39</f>
        <v xml:space="preserve">28. </v>
      </c>
      <c r="H33" s="67">
        <f ca="1">IFERROR(VLOOKUP('Critical resources'!D39,$B$6:$C$57,2,0),0)</f>
        <v>0</v>
      </c>
      <c r="I33" s="67">
        <f ca="1">IFERROR(VLOOKUP('Critical resources'!E39,$A$6:$C$57,3,0),0)</f>
        <v>0</v>
      </c>
      <c r="J33" s="67">
        <f ca="1">IFERROR(VLOOKUP('Critical resources'!G39,$B$6:$C$57,2,0),0)</f>
        <v>0</v>
      </c>
      <c r="K33" s="67">
        <f ca="1">IFERROR(VLOOKUP('Critical resources'!H39,$B$6:$C$57,2,0),0)</f>
        <v>0</v>
      </c>
      <c r="L33" s="67">
        <f ca="1">IFERROR(VLOOKUP('Critical resources'!J39,$B$6:$C$57,2,0),0)</f>
        <v>0</v>
      </c>
      <c r="M33" s="67">
        <f ca="1">IFERROR(VLOOKUP('Critical resources'!K39,$A$6:$C$57,3,0),0)</f>
        <v>0</v>
      </c>
      <c r="N33" s="67">
        <f ca="1">IFERROR(VLOOKUP('Critical resources'!M39,$B$6:$C$57,2,0),0)</f>
        <v>0</v>
      </c>
      <c r="O33" s="67">
        <f ca="1">IFERROR(VLOOKUP('Critical resources'!N39,$A$6:$C$57,3,0),0)</f>
        <v>0</v>
      </c>
      <c r="P33" s="67">
        <f ca="1">IFERROR(VLOOKUP('Critical resources'!P39,$B$6:$C$57,2,0),0)</f>
        <v>0</v>
      </c>
      <c r="Q33" s="67">
        <f ca="1">IFERROR(VLOOKUP('Critical resources'!Q39,$A$6:$C$57,3,0),0)</f>
        <v>0</v>
      </c>
      <c r="T33" s="67" t="str">
        <f t="shared" si="1"/>
        <v xml:space="preserve">28. </v>
      </c>
      <c r="U33" s="67">
        <f t="shared" ca="1" si="14"/>
        <v>0</v>
      </c>
      <c r="V33" s="67">
        <f t="shared" ca="1" si="14"/>
        <v>0</v>
      </c>
      <c r="W33" s="67">
        <f t="shared" ca="1" si="14"/>
        <v>0</v>
      </c>
      <c r="X33" s="67">
        <f t="shared" ca="1" si="14"/>
        <v>0</v>
      </c>
      <c r="Y33" s="67">
        <f t="shared" ca="1" si="14"/>
        <v>0</v>
      </c>
      <c r="Z33" s="67">
        <f t="shared" ca="1" si="14"/>
        <v>0</v>
      </c>
      <c r="AA33" s="67">
        <f t="shared" ca="1" si="14"/>
        <v>0</v>
      </c>
      <c r="AB33" s="67">
        <f t="shared" ca="1" si="14"/>
        <v>0</v>
      </c>
      <c r="AC33" s="67">
        <f t="shared" ca="1" si="14"/>
        <v>0</v>
      </c>
      <c r="AD33" s="67">
        <f t="shared" ca="1" si="14"/>
        <v>0</v>
      </c>
      <c r="AE33" s="67">
        <f t="shared" ca="1" si="14"/>
        <v>0</v>
      </c>
      <c r="AF33" s="67">
        <f t="shared" ca="1" si="14"/>
        <v>0</v>
      </c>
      <c r="AG33" s="67">
        <f t="shared" ca="1" si="14"/>
        <v>0</v>
      </c>
      <c r="AH33" s="67">
        <f t="shared" ca="1" si="14"/>
        <v>0</v>
      </c>
      <c r="AI33" s="67">
        <f t="shared" ca="1" si="14"/>
        <v>0</v>
      </c>
      <c r="AJ33" s="67">
        <f t="shared" ca="1" si="14"/>
        <v>0</v>
      </c>
      <c r="AK33" s="67">
        <f t="shared" ca="1" si="11"/>
        <v>0</v>
      </c>
      <c r="AL33" s="67">
        <f t="shared" ca="1" si="11"/>
        <v>0</v>
      </c>
      <c r="AM33" s="67">
        <f t="shared" ca="1" si="11"/>
        <v>0</v>
      </c>
      <c r="AN33" s="67">
        <f t="shared" ca="1" si="11"/>
        <v>0</v>
      </c>
      <c r="AO33" s="67">
        <f t="shared" ca="1" si="11"/>
        <v>0</v>
      </c>
      <c r="AP33" s="67">
        <f t="shared" ca="1" si="11"/>
        <v>0</v>
      </c>
      <c r="AQ33" s="67">
        <f t="shared" ca="1" si="11"/>
        <v>0</v>
      </c>
      <c r="AR33" s="67">
        <f t="shared" ca="1" si="11"/>
        <v>0</v>
      </c>
      <c r="AS33" s="67">
        <f t="shared" ca="1" si="11"/>
        <v>0</v>
      </c>
      <c r="AT33" s="67">
        <f t="shared" ca="1" si="11"/>
        <v>0</v>
      </c>
      <c r="AU33" s="67">
        <f t="shared" ca="1" si="11"/>
        <v>0</v>
      </c>
      <c r="AV33" s="67">
        <f t="shared" ca="1" si="11"/>
        <v>0</v>
      </c>
      <c r="AW33" s="67">
        <f t="shared" ca="1" si="11"/>
        <v>0</v>
      </c>
      <c r="AX33" s="67">
        <f t="shared" ca="1" si="11"/>
        <v>0</v>
      </c>
      <c r="AY33" s="67">
        <f t="shared" ca="1" si="11"/>
        <v>0</v>
      </c>
      <c r="AZ33" s="67">
        <f t="shared" ca="1" si="11"/>
        <v>0</v>
      </c>
      <c r="BA33" s="67">
        <f t="shared" ca="1" si="12"/>
        <v>0</v>
      </c>
      <c r="BB33" s="67">
        <f t="shared" ca="1" si="12"/>
        <v>0</v>
      </c>
      <c r="BC33" s="67">
        <f t="shared" ca="1" si="12"/>
        <v>0</v>
      </c>
      <c r="BD33" s="67">
        <f t="shared" ca="1" si="12"/>
        <v>0</v>
      </c>
      <c r="BE33" s="67">
        <f t="shared" ca="1" si="12"/>
        <v>0</v>
      </c>
      <c r="BF33" s="67">
        <f t="shared" ca="1" si="12"/>
        <v>0</v>
      </c>
      <c r="BG33" s="67">
        <f t="shared" ca="1" si="12"/>
        <v>0</v>
      </c>
      <c r="BH33" s="67">
        <f t="shared" ca="1" si="12"/>
        <v>0</v>
      </c>
      <c r="BI33" s="67">
        <f t="shared" ca="1" si="12"/>
        <v>0</v>
      </c>
      <c r="BJ33" s="67">
        <f t="shared" ca="1" si="12"/>
        <v>0</v>
      </c>
      <c r="BK33" s="67">
        <f t="shared" ca="1" si="12"/>
        <v>0</v>
      </c>
      <c r="BL33" s="67">
        <f t="shared" ca="1" si="12"/>
        <v>0</v>
      </c>
      <c r="BM33" s="67">
        <f t="shared" ca="1" si="12"/>
        <v>0</v>
      </c>
      <c r="BN33" s="67">
        <f t="shared" ca="1" si="12"/>
        <v>0</v>
      </c>
      <c r="BO33" s="67">
        <f t="shared" ca="1" si="12"/>
        <v>0</v>
      </c>
      <c r="BP33" s="67">
        <f t="shared" ca="1" si="12"/>
        <v>0</v>
      </c>
      <c r="BQ33" s="67">
        <f t="shared" ca="1" si="13"/>
        <v>0</v>
      </c>
      <c r="BR33" s="67">
        <f t="shared" ca="1" si="13"/>
        <v>0</v>
      </c>
      <c r="BS33" s="67">
        <f t="shared" ca="1" si="13"/>
        <v>0</v>
      </c>
      <c r="BT33" s="67">
        <f t="shared" ca="1" si="13"/>
        <v>0</v>
      </c>
    </row>
    <row r="34" spans="1:72" x14ac:dyDescent="0.2">
      <c r="A34" s="317">
        <f t="shared" ca="1" si="6"/>
        <v>44619</v>
      </c>
      <c r="B34" s="87">
        <f t="shared" ca="1" si="9"/>
        <v>44613</v>
      </c>
      <c r="C34" s="67">
        <v>29</v>
      </c>
      <c r="D34" s="67" t="str">
        <f t="shared" ca="1" si="10"/>
        <v/>
      </c>
      <c r="E34" s="67" t="str">
        <f t="shared" ca="1" si="0"/>
        <v xml:space="preserve"> </v>
      </c>
      <c r="F34" s="67">
        <f t="shared" ca="1" si="7"/>
        <v>8</v>
      </c>
      <c r="G34" s="67" t="str">
        <f>ROW(A29)&amp;". "&amp;'Critical resources'!B40</f>
        <v xml:space="preserve">29. </v>
      </c>
      <c r="H34" s="67">
        <f ca="1">IFERROR(VLOOKUP('Critical resources'!D40,$B$6:$C$57,2,0),0)</f>
        <v>0</v>
      </c>
      <c r="I34" s="67">
        <f ca="1">IFERROR(VLOOKUP('Critical resources'!E40,$A$6:$C$57,3,0),0)</f>
        <v>0</v>
      </c>
      <c r="J34" s="67">
        <f ca="1">IFERROR(VLOOKUP('Critical resources'!G40,$B$6:$C$57,2,0),0)</f>
        <v>0</v>
      </c>
      <c r="K34" s="67">
        <f ca="1">IFERROR(VLOOKUP('Critical resources'!H40,$B$6:$C$57,2,0),0)</f>
        <v>0</v>
      </c>
      <c r="L34" s="67">
        <f ca="1">IFERROR(VLOOKUP('Critical resources'!J40,$B$6:$C$57,2,0),0)</f>
        <v>0</v>
      </c>
      <c r="M34" s="67">
        <f ca="1">IFERROR(VLOOKUP('Critical resources'!K40,$A$6:$C$57,3,0),0)</f>
        <v>0</v>
      </c>
      <c r="N34" s="67">
        <f ca="1">IFERROR(VLOOKUP('Critical resources'!M40,$B$6:$C$57,2,0),0)</f>
        <v>0</v>
      </c>
      <c r="O34" s="67">
        <f ca="1">IFERROR(VLOOKUP('Critical resources'!N40,$A$6:$C$57,3,0),0)</f>
        <v>0</v>
      </c>
      <c r="P34" s="67">
        <f ca="1">IFERROR(VLOOKUP('Critical resources'!P40,$B$6:$C$57,2,0),0)</f>
        <v>0</v>
      </c>
      <c r="Q34" s="67">
        <f ca="1">IFERROR(VLOOKUP('Critical resources'!Q40,$A$6:$C$57,3,0),0)</f>
        <v>0</v>
      </c>
      <c r="T34" s="67" t="str">
        <f t="shared" si="1"/>
        <v xml:space="preserve">29. </v>
      </c>
      <c r="U34" s="67">
        <f t="shared" ca="1" si="14"/>
        <v>0</v>
      </c>
      <c r="V34" s="67">
        <f t="shared" ca="1" si="14"/>
        <v>0</v>
      </c>
      <c r="W34" s="67">
        <f t="shared" ca="1" si="14"/>
        <v>0</v>
      </c>
      <c r="X34" s="67">
        <f t="shared" ca="1" si="14"/>
        <v>0</v>
      </c>
      <c r="Y34" s="67">
        <f t="shared" ca="1" si="14"/>
        <v>0</v>
      </c>
      <c r="Z34" s="67">
        <f t="shared" ca="1" si="14"/>
        <v>0</v>
      </c>
      <c r="AA34" s="67">
        <f t="shared" ca="1" si="14"/>
        <v>0</v>
      </c>
      <c r="AB34" s="67">
        <f t="shared" ca="1" si="14"/>
        <v>0</v>
      </c>
      <c r="AC34" s="67">
        <f t="shared" ca="1" si="14"/>
        <v>0</v>
      </c>
      <c r="AD34" s="67">
        <f t="shared" ca="1" si="14"/>
        <v>0</v>
      </c>
      <c r="AE34" s="67">
        <f t="shared" ca="1" si="14"/>
        <v>0</v>
      </c>
      <c r="AF34" s="67">
        <f t="shared" ca="1" si="14"/>
        <v>0</v>
      </c>
      <c r="AG34" s="67">
        <f t="shared" ca="1" si="14"/>
        <v>0</v>
      </c>
      <c r="AH34" s="67">
        <f t="shared" ca="1" si="14"/>
        <v>0</v>
      </c>
      <c r="AI34" s="67">
        <f t="shared" ca="1" si="14"/>
        <v>0</v>
      </c>
      <c r="AJ34" s="67">
        <f t="shared" ca="1" si="14"/>
        <v>0</v>
      </c>
      <c r="AK34" s="67">
        <f t="shared" ca="1" si="11"/>
        <v>0</v>
      </c>
      <c r="AL34" s="67">
        <f t="shared" ca="1" si="11"/>
        <v>0</v>
      </c>
      <c r="AM34" s="67">
        <f t="shared" ca="1" si="11"/>
        <v>0</v>
      </c>
      <c r="AN34" s="67">
        <f t="shared" ca="1" si="11"/>
        <v>0</v>
      </c>
      <c r="AO34" s="67">
        <f t="shared" ca="1" si="11"/>
        <v>0</v>
      </c>
      <c r="AP34" s="67">
        <f t="shared" ca="1" si="11"/>
        <v>0</v>
      </c>
      <c r="AQ34" s="67">
        <f t="shared" ca="1" si="11"/>
        <v>0</v>
      </c>
      <c r="AR34" s="67">
        <f t="shared" ca="1" si="11"/>
        <v>0</v>
      </c>
      <c r="AS34" s="67">
        <f t="shared" ca="1" si="11"/>
        <v>0</v>
      </c>
      <c r="AT34" s="67">
        <f t="shared" ca="1" si="11"/>
        <v>0</v>
      </c>
      <c r="AU34" s="67">
        <f t="shared" ca="1" si="11"/>
        <v>0</v>
      </c>
      <c r="AV34" s="67">
        <f t="shared" ca="1" si="11"/>
        <v>0</v>
      </c>
      <c r="AW34" s="67">
        <f t="shared" ca="1" si="11"/>
        <v>0</v>
      </c>
      <c r="AX34" s="67">
        <f t="shared" ca="1" si="11"/>
        <v>0</v>
      </c>
      <c r="AY34" s="67">
        <f t="shared" ca="1" si="11"/>
        <v>0</v>
      </c>
      <c r="AZ34" s="67">
        <f t="shared" ca="1" si="11"/>
        <v>0</v>
      </c>
      <c r="BA34" s="67">
        <f t="shared" ca="1" si="12"/>
        <v>0</v>
      </c>
      <c r="BB34" s="67">
        <f t="shared" ca="1" si="12"/>
        <v>0</v>
      </c>
      <c r="BC34" s="67">
        <f t="shared" ca="1" si="12"/>
        <v>0</v>
      </c>
      <c r="BD34" s="67">
        <f t="shared" ca="1" si="12"/>
        <v>0</v>
      </c>
      <c r="BE34" s="67">
        <f t="shared" ca="1" si="12"/>
        <v>0</v>
      </c>
      <c r="BF34" s="67">
        <f t="shared" ca="1" si="12"/>
        <v>0</v>
      </c>
      <c r="BG34" s="67">
        <f t="shared" ca="1" si="12"/>
        <v>0</v>
      </c>
      <c r="BH34" s="67">
        <f t="shared" ca="1" si="12"/>
        <v>0</v>
      </c>
      <c r="BI34" s="67">
        <f t="shared" ca="1" si="12"/>
        <v>0</v>
      </c>
      <c r="BJ34" s="67">
        <f t="shared" ca="1" si="12"/>
        <v>0</v>
      </c>
      <c r="BK34" s="67">
        <f t="shared" ca="1" si="12"/>
        <v>0</v>
      </c>
      <c r="BL34" s="67">
        <f t="shared" ca="1" si="12"/>
        <v>0</v>
      </c>
      <c r="BM34" s="67">
        <f t="shared" ca="1" si="12"/>
        <v>0</v>
      </c>
      <c r="BN34" s="67">
        <f t="shared" ca="1" si="12"/>
        <v>0</v>
      </c>
      <c r="BO34" s="67">
        <f t="shared" ca="1" si="12"/>
        <v>0</v>
      </c>
      <c r="BP34" s="67">
        <f t="shared" ca="1" si="12"/>
        <v>0</v>
      </c>
      <c r="BQ34" s="67">
        <f t="shared" ca="1" si="13"/>
        <v>0</v>
      </c>
      <c r="BR34" s="67">
        <f t="shared" ca="1" si="13"/>
        <v>0</v>
      </c>
      <c r="BS34" s="67">
        <f t="shared" ca="1" si="13"/>
        <v>0</v>
      </c>
      <c r="BT34" s="67">
        <f t="shared" ca="1" si="13"/>
        <v>0</v>
      </c>
    </row>
    <row r="35" spans="1:72" x14ac:dyDescent="0.2">
      <c r="A35" s="317">
        <f t="shared" ca="1" si="6"/>
        <v>44626</v>
      </c>
      <c r="B35" s="87">
        <f t="shared" ca="1" si="9"/>
        <v>44620</v>
      </c>
      <c r="C35" s="67">
        <v>30</v>
      </c>
      <c r="D35" s="67" t="str">
        <f t="shared" ca="1" si="10"/>
        <v/>
      </c>
      <c r="E35" s="67" t="str">
        <f t="shared" ca="1" si="0"/>
        <v xml:space="preserve"> </v>
      </c>
      <c r="F35" s="67">
        <f t="shared" ca="1" si="7"/>
        <v>9</v>
      </c>
      <c r="G35" s="67" t="str">
        <f>ROW(A30)&amp;". "&amp;'Critical resources'!B41</f>
        <v xml:space="preserve">30. </v>
      </c>
      <c r="H35" s="67">
        <f ca="1">IFERROR(VLOOKUP('Critical resources'!D41,$B$6:$C$57,2,0),0)</f>
        <v>0</v>
      </c>
      <c r="I35" s="67">
        <f ca="1">IFERROR(VLOOKUP('Critical resources'!E41,$A$6:$C$57,3,0),0)</f>
        <v>0</v>
      </c>
      <c r="J35" s="67">
        <f ca="1">IFERROR(VLOOKUP('Critical resources'!G41,$B$6:$C$57,2,0),0)</f>
        <v>0</v>
      </c>
      <c r="K35" s="67">
        <f ca="1">IFERROR(VLOOKUP('Critical resources'!H41,$B$6:$C$57,2,0),0)</f>
        <v>0</v>
      </c>
      <c r="L35" s="67">
        <f ca="1">IFERROR(VLOOKUP('Critical resources'!J41,$B$6:$C$57,2,0),0)</f>
        <v>0</v>
      </c>
      <c r="M35" s="67">
        <f ca="1">IFERROR(VLOOKUP('Critical resources'!K41,$A$6:$C$57,3,0),0)</f>
        <v>0</v>
      </c>
      <c r="N35" s="67">
        <f ca="1">IFERROR(VLOOKUP('Critical resources'!M41,$B$6:$C$57,2,0),0)</f>
        <v>0</v>
      </c>
      <c r="O35" s="67">
        <f ca="1">IFERROR(VLOOKUP('Critical resources'!N41,$A$6:$C$57,3,0),0)</f>
        <v>0</v>
      </c>
      <c r="P35" s="67">
        <f ca="1">IFERROR(VLOOKUP('Critical resources'!P41,$B$6:$C$57,2,0),0)</f>
        <v>0</v>
      </c>
      <c r="Q35" s="67">
        <f ca="1">IFERROR(VLOOKUP('Critical resources'!Q41,$A$6:$C$57,3,0),0)</f>
        <v>0</v>
      </c>
      <c r="T35" s="67" t="str">
        <f t="shared" si="1"/>
        <v xml:space="preserve">30. </v>
      </c>
      <c r="U35" s="67">
        <f t="shared" ca="1" si="14"/>
        <v>0</v>
      </c>
      <c r="V35" s="67">
        <f t="shared" ca="1" si="14"/>
        <v>0</v>
      </c>
      <c r="W35" s="67">
        <f t="shared" ca="1" si="14"/>
        <v>0</v>
      </c>
      <c r="X35" s="67">
        <f t="shared" ca="1" si="14"/>
        <v>0</v>
      </c>
      <c r="Y35" s="67">
        <f t="shared" ca="1" si="14"/>
        <v>0</v>
      </c>
      <c r="Z35" s="67">
        <f t="shared" ca="1" si="14"/>
        <v>0</v>
      </c>
      <c r="AA35" s="67">
        <f t="shared" ca="1" si="14"/>
        <v>0</v>
      </c>
      <c r="AB35" s="67">
        <f t="shared" ca="1" si="14"/>
        <v>0</v>
      </c>
      <c r="AC35" s="67">
        <f t="shared" ca="1" si="14"/>
        <v>0</v>
      </c>
      <c r="AD35" s="67">
        <f t="shared" ca="1" si="14"/>
        <v>0</v>
      </c>
      <c r="AE35" s="67">
        <f t="shared" ca="1" si="14"/>
        <v>0</v>
      </c>
      <c r="AF35" s="67">
        <f t="shared" ca="1" si="14"/>
        <v>0</v>
      </c>
      <c r="AG35" s="67">
        <f t="shared" ca="1" si="14"/>
        <v>0</v>
      </c>
      <c r="AH35" s="67">
        <f t="shared" ca="1" si="14"/>
        <v>0</v>
      </c>
      <c r="AI35" s="67">
        <f t="shared" ca="1" si="14"/>
        <v>0</v>
      </c>
      <c r="AJ35" s="67">
        <f t="shared" ca="1" si="14"/>
        <v>0</v>
      </c>
      <c r="AK35" s="67">
        <f t="shared" ca="1" si="11"/>
        <v>0</v>
      </c>
      <c r="AL35" s="67">
        <f t="shared" ca="1" si="11"/>
        <v>0</v>
      </c>
      <c r="AM35" s="67">
        <f t="shared" ca="1" si="11"/>
        <v>0</v>
      </c>
      <c r="AN35" s="67">
        <f t="shared" ca="1" si="11"/>
        <v>0</v>
      </c>
      <c r="AO35" s="67">
        <f t="shared" ca="1" si="11"/>
        <v>0</v>
      </c>
      <c r="AP35" s="67">
        <f t="shared" ca="1" si="11"/>
        <v>0</v>
      </c>
      <c r="AQ35" s="67">
        <f t="shared" ca="1" si="11"/>
        <v>0</v>
      </c>
      <c r="AR35" s="67">
        <f t="shared" ca="1" si="11"/>
        <v>0</v>
      </c>
      <c r="AS35" s="67">
        <f t="shared" ca="1" si="11"/>
        <v>0</v>
      </c>
      <c r="AT35" s="67">
        <f t="shared" ca="1" si="11"/>
        <v>0</v>
      </c>
      <c r="AU35" s="67">
        <f t="shared" ca="1" si="11"/>
        <v>0</v>
      </c>
      <c r="AV35" s="67">
        <f t="shared" ca="1" si="11"/>
        <v>0</v>
      </c>
      <c r="AW35" s="67">
        <f t="shared" ca="1" si="11"/>
        <v>0</v>
      </c>
      <c r="AX35" s="67">
        <f t="shared" ca="1" si="11"/>
        <v>0</v>
      </c>
      <c r="AY35" s="67">
        <f t="shared" ca="1" si="11"/>
        <v>0</v>
      </c>
      <c r="AZ35" s="67">
        <f t="shared" ca="1" si="11"/>
        <v>0</v>
      </c>
      <c r="BA35" s="67">
        <f t="shared" ca="1" si="12"/>
        <v>0</v>
      </c>
      <c r="BB35" s="67">
        <f t="shared" ca="1" si="12"/>
        <v>0</v>
      </c>
      <c r="BC35" s="67">
        <f t="shared" ca="1" si="12"/>
        <v>0</v>
      </c>
      <c r="BD35" s="67">
        <f t="shared" ca="1" si="12"/>
        <v>0</v>
      </c>
      <c r="BE35" s="67">
        <f t="shared" ca="1" si="12"/>
        <v>0</v>
      </c>
      <c r="BF35" s="67">
        <f t="shared" ca="1" si="12"/>
        <v>0</v>
      </c>
      <c r="BG35" s="67">
        <f t="shared" ca="1" si="12"/>
        <v>0</v>
      </c>
      <c r="BH35" s="67">
        <f t="shared" ca="1" si="12"/>
        <v>0</v>
      </c>
      <c r="BI35" s="67">
        <f t="shared" ca="1" si="12"/>
        <v>0</v>
      </c>
      <c r="BJ35" s="67">
        <f t="shared" ca="1" si="12"/>
        <v>0</v>
      </c>
      <c r="BK35" s="67">
        <f t="shared" ca="1" si="12"/>
        <v>0</v>
      </c>
      <c r="BL35" s="67">
        <f t="shared" ca="1" si="12"/>
        <v>0</v>
      </c>
      <c r="BM35" s="67">
        <f t="shared" ca="1" si="12"/>
        <v>0</v>
      </c>
      <c r="BN35" s="67">
        <f t="shared" ca="1" si="12"/>
        <v>0</v>
      </c>
      <c r="BO35" s="67">
        <f t="shared" ca="1" si="12"/>
        <v>0</v>
      </c>
      <c r="BP35" s="67">
        <f t="shared" ca="1" si="12"/>
        <v>0</v>
      </c>
      <c r="BQ35" s="67">
        <f t="shared" ca="1" si="13"/>
        <v>0</v>
      </c>
      <c r="BR35" s="67">
        <f t="shared" ca="1" si="13"/>
        <v>0</v>
      </c>
      <c r="BS35" s="67">
        <f t="shared" ca="1" si="13"/>
        <v>0</v>
      </c>
      <c r="BT35" s="67">
        <f t="shared" ca="1" si="13"/>
        <v>0</v>
      </c>
    </row>
    <row r="36" spans="1:72" x14ac:dyDescent="0.2">
      <c r="A36" s="317">
        <f t="shared" ca="1" si="6"/>
        <v>44633</v>
      </c>
      <c r="B36" s="87">
        <f t="shared" ca="1" si="9"/>
        <v>44627</v>
      </c>
      <c r="C36" s="67">
        <v>31</v>
      </c>
      <c r="D36" s="67" t="str">
        <f t="shared" ca="1" si="10"/>
        <v/>
      </c>
      <c r="E36" s="67" t="str">
        <f t="shared" ca="1" si="0"/>
        <v>Mar</v>
      </c>
      <c r="F36" s="67">
        <f t="shared" ca="1" si="7"/>
        <v>10</v>
      </c>
      <c r="G36" s="67" t="str">
        <f>ROW(A31)&amp;". "&amp;'Critical resources'!B42</f>
        <v xml:space="preserve">31. </v>
      </c>
      <c r="H36" s="67">
        <f ca="1">IFERROR(VLOOKUP('Critical resources'!D42,$B$6:$C$57,2,0),0)</f>
        <v>0</v>
      </c>
      <c r="I36" s="67">
        <f ca="1">IFERROR(VLOOKUP('Critical resources'!E42,$A$6:$C$57,3,0),0)</f>
        <v>0</v>
      </c>
      <c r="J36" s="67">
        <f ca="1">IFERROR(VLOOKUP('Critical resources'!G42,$B$6:$C$57,2,0),0)</f>
        <v>0</v>
      </c>
      <c r="K36" s="67">
        <f ca="1">IFERROR(VLOOKUP('Critical resources'!H42,$B$6:$C$57,2,0),0)</f>
        <v>0</v>
      </c>
      <c r="L36" s="67">
        <f ca="1">IFERROR(VLOOKUP('Critical resources'!J42,$B$6:$C$57,2,0),0)</f>
        <v>0</v>
      </c>
      <c r="M36" s="67">
        <f ca="1">IFERROR(VLOOKUP('Critical resources'!K42,$A$6:$C$57,3,0),0)</f>
        <v>0</v>
      </c>
      <c r="N36" s="67">
        <f ca="1">IFERROR(VLOOKUP('Critical resources'!M42,$B$6:$C$57,2,0),0)</f>
        <v>0</v>
      </c>
      <c r="O36" s="67">
        <f ca="1">IFERROR(VLOOKUP('Critical resources'!N42,$A$6:$C$57,3,0),0)</f>
        <v>0</v>
      </c>
      <c r="P36" s="67">
        <f ca="1">IFERROR(VLOOKUP('Critical resources'!P42,$B$6:$C$57,2,0),0)</f>
        <v>0</v>
      </c>
      <c r="Q36" s="67">
        <f ca="1">IFERROR(VLOOKUP('Critical resources'!Q42,$A$6:$C$57,3,0),0)</f>
        <v>0</v>
      </c>
      <c r="T36" s="67" t="str">
        <f t="shared" si="1"/>
        <v xml:space="preserve">31. </v>
      </c>
      <c r="U36" s="67">
        <f t="shared" ca="1" si="14"/>
        <v>0</v>
      </c>
      <c r="V36" s="67">
        <f t="shared" ca="1" si="14"/>
        <v>0</v>
      </c>
      <c r="W36" s="67">
        <f t="shared" ca="1" si="14"/>
        <v>0</v>
      </c>
      <c r="X36" s="67">
        <f t="shared" ca="1" si="14"/>
        <v>0</v>
      </c>
      <c r="Y36" s="67">
        <f t="shared" ca="1" si="14"/>
        <v>0</v>
      </c>
      <c r="Z36" s="67">
        <f t="shared" ca="1" si="14"/>
        <v>0</v>
      </c>
      <c r="AA36" s="67">
        <f t="shared" ca="1" si="14"/>
        <v>0</v>
      </c>
      <c r="AB36" s="67">
        <f t="shared" ca="1" si="14"/>
        <v>0</v>
      </c>
      <c r="AC36" s="67">
        <f t="shared" ca="1" si="14"/>
        <v>0</v>
      </c>
      <c r="AD36" s="67">
        <f t="shared" ca="1" si="14"/>
        <v>0</v>
      </c>
      <c r="AE36" s="67">
        <f t="shared" ca="1" si="14"/>
        <v>0</v>
      </c>
      <c r="AF36" s="67">
        <f t="shared" ca="1" si="14"/>
        <v>0</v>
      </c>
      <c r="AG36" s="67">
        <f t="shared" ca="1" si="14"/>
        <v>0</v>
      </c>
      <c r="AH36" s="67">
        <f t="shared" ca="1" si="14"/>
        <v>0</v>
      </c>
      <c r="AI36" s="67">
        <f t="shared" ca="1" si="14"/>
        <v>0</v>
      </c>
      <c r="AJ36" s="67">
        <f t="shared" ca="1" si="14"/>
        <v>0</v>
      </c>
      <c r="AK36" s="67">
        <f t="shared" ca="1" si="11"/>
        <v>0</v>
      </c>
      <c r="AL36" s="67">
        <f t="shared" ca="1" si="11"/>
        <v>0</v>
      </c>
      <c r="AM36" s="67">
        <f t="shared" ca="1" si="11"/>
        <v>0</v>
      </c>
      <c r="AN36" s="67">
        <f t="shared" ca="1" si="11"/>
        <v>0</v>
      </c>
      <c r="AO36" s="67">
        <f t="shared" ca="1" si="11"/>
        <v>0</v>
      </c>
      <c r="AP36" s="67">
        <f t="shared" ca="1" si="11"/>
        <v>0</v>
      </c>
      <c r="AQ36" s="67">
        <f t="shared" ca="1" si="11"/>
        <v>0</v>
      </c>
      <c r="AR36" s="67">
        <f t="shared" ca="1" si="11"/>
        <v>0</v>
      </c>
      <c r="AS36" s="67">
        <f t="shared" ca="1" si="11"/>
        <v>0</v>
      </c>
      <c r="AT36" s="67">
        <f t="shared" ca="1" si="11"/>
        <v>0</v>
      </c>
      <c r="AU36" s="67">
        <f t="shared" ca="1" si="11"/>
        <v>0</v>
      </c>
      <c r="AV36" s="67">
        <f t="shared" ca="1" si="11"/>
        <v>0</v>
      </c>
      <c r="AW36" s="67">
        <f t="shared" ca="1" si="11"/>
        <v>0</v>
      </c>
      <c r="AX36" s="67">
        <f t="shared" ca="1" si="11"/>
        <v>0</v>
      </c>
      <c r="AY36" s="67">
        <f t="shared" ca="1" si="11"/>
        <v>0</v>
      </c>
      <c r="AZ36" s="67">
        <f t="shared" ca="1" si="11"/>
        <v>0</v>
      </c>
      <c r="BA36" s="67">
        <f t="shared" ca="1" si="12"/>
        <v>0</v>
      </c>
      <c r="BB36" s="67">
        <f t="shared" ca="1" si="12"/>
        <v>0</v>
      </c>
      <c r="BC36" s="67">
        <f t="shared" ca="1" si="12"/>
        <v>0</v>
      </c>
      <c r="BD36" s="67">
        <f t="shared" ca="1" si="12"/>
        <v>0</v>
      </c>
      <c r="BE36" s="67">
        <f t="shared" ca="1" si="12"/>
        <v>0</v>
      </c>
      <c r="BF36" s="67">
        <f t="shared" ca="1" si="12"/>
        <v>0</v>
      </c>
      <c r="BG36" s="67">
        <f t="shared" ca="1" si="12"/>
        <v>0</v>
      </c>
      <c r="BH36" s="67">
        <f t="shared" ca="1" si="12"/>
        <v>0</v>
      </c>
      <c r="BI36" s="67">
        <f t="shared" ca="1" si="12"/>
        <v>0</v>
      </c>
      <c r="BJ36" s="67">
        <f t="shared" ca="1" si="12"/>
        <v>0</v>
      </c>
      <c r="BK36" s="67">
        <f t="shared" ca="1" si="12"/>
        <v>0</v>
      </c>
      <c r="BL36" s="67">
        <f t="shared" ca="1" si="12"/>
        <v>0</v>
      </c>
      <c r="BM36" s="67">
        <f t="shared" ca="1" si="12"/>
        <v>0</v>
      </c>
      <c r="BN36" s="67">
        <f t="shared" ca="1" si="12"/>
        <v>0</v>
      </c>
      <c r="BO36" s="67">
        <f t="shared" ca="1" si="12"/>
        <v>0</v>
      </c>
      <c r="BP36" s="67">
        <f t="shared" ca="1" si="12"/>
        <v>0</v>
      </c>
      <c r="BQ36" s="67">
        <f t="shared" ca="1" si="13"/>
        <v>0</v>
      </c>
      <c r="BR36" s="67">
        <f t="shared" ca="1" si="13"/>
        <v>0</v>
      </c>
      <c r="BS36" s="67">
        <f t="shared" ca="1" si="13"/>
        <v>0</v>
      </c>
      <c r="BT36" s="67">
        <f t="shared" ca="1" si="13"/>
        <v>0</v>
      </c>
    </row>
    <row r="37" spans="1:72" x14ac:dyDescent="0.2">
      <c r="A37" s="317">
        <f t="shared" ca="1" si="6"/>
        <v>44640</v>
      </c>
      <c r="B37" s="87">
        <f t="shared" ca="1" si="9"/>
        <v>44634</v>
      </c>
      <c r="C37" s="67">
        <v>32</v>
      </c>
      <c r="D37" s="67" t="str">
        <f t="shared" ca="1" si="10"/>
        <v/>
      </c>
      <c r="E37" s="67" t="str">
        <f t="shared" ca="1" si="0"/>
        <v xml:space="preserve"> </v>
      </c>
      <c r="F37" s="67">
        <f t="shared" ca="1" si="7"/>
        <v>11</v>
      </c>
      <c r="G37" s="67" t="str">
        <f>ROW(A32)&amp;". "&amp;'Critical resources'!B43</f>
        <v xml:space="preserve">32. </v>
      </c>
      <c r="H37" s="67">
        <f ca="1">IFERROR(VLOOKUP('Critical resources'!D43,$B$6:$C$57,2,0),0)</f>
        <v>0</v>
      </c>
      <c r="I37" s="67">
        <f ca="1">IFERROR(VLOOKUP('Critical resources'!E43,$A$6:$C$57,3,0),0)</f>
        <v>0</v>
      </c>
      <c r="J37" s="67">
        <f ca="1">IFERROR(VLOOKUP('Critical resources'!G43,$B$6:$C$57,2,0),0)</f>
        <v>0</v>
      </c>
      <c r="K37" s="67">
        <f ca="1">IFERROR(VLOOKUP('Critical resources'!H43,$B$6:$C$57,2,0),0)</f>
        <v>0</v>
      </c>
      <c r="L37" s="67">
        <f ca="1">IFERROR(VLOOKUP('Critical resources'!J43,$B$6:$C$57,2,0),0)</f>
        <v>0</v>
      </c>
      <c r="M37" s="67">
        <f ca="1">IFERROR(VLOOKUP('Critical resources'!K43,$A$6:$C$57,3,0),0)</f>
        <v>0</v>
      </c>
      <c r="N37" s="67">
        <f ca="1">IFERROR(VLOOKUP('Critical resources'!M43,$B$6:$C$57,2,0),0)</f>
        <v>0</v>
      </c>
      <c r="O37" s="67">
        <f ca="1">IFERROR(VLOOKUP('Critical resources'!N43,$A$6:$C$57,3,0),0)</f>
        <v>0</v>
      </c>
      <c r="P37" s="67">
        <f ca="1">IFERROR(VLOOKUP('Critical resources'!P43,$B$6:$C$57,2,0),0)</f>
        <v>0</v>
      </c>
      <c r="Q37" s="67">
        <f ca="1">IFERROR(VLOOKUP('Critical resources'!Q43,$A$6:$C$57,3,0),0)</f>
        <v>0</v>
      </c>
      <c r="T37" s="67" t="str">
        <f t="shared" si="1"/>
        <v xml:space="preserve">32. </v>
      </c>
      <c r="U37" s="67">
        <f t="shared" ca="1" si="14"/>
        <v>0</v>
      </c>
      <c r="V37" s="67">
        <f t="shared" ca="1" si="14"/>
        <v>0</v>
      </c>
      <c r="W37" s="67">
        <f t="shared" ca="1" si="14"/>
        <v>0</v>
      </c>
      <c r="X37" s="67">
        <f t="shared" ca="1" si="14"/>
        <v>0</v>
      </c>
      <c r="Y37" s="67">
        <f t="shared" ca="1" si="14"/>
        <v>0</v>
      </c>
      <c r="Z37" s="67">
        <f t="shared" ca="1" si="14"/>
        <v>0</v>
      </c>
      <c r="AA37" s="67">
        <f t="shared" ca="1" si="14"/>
        <v>0</v>
      </c>
      <c r="AB37" s="67">
        <f t="shared" ca="1" si="14"/>
        <v>0</v>
      </c>
      <c r="AC37" s="67">
        <f t="shared" ca="1" si="14"/>
        <v>0</v>
      </c>
      <c r="AD37" s="67">
        <f t="shared" ca="1" si="14"/>
        <v>0</v>
      </c>
      <c r="AE37" s="67">
        <f t="shared" ca="1" si="14"/>
        <v>0</v>
      </c>
      <c r="AF37" s="67">
        <f t="shared" ca="1" si="14"/>
        <v>0</v>
      </c>
      <c r="AG37" s="67">
        <f t="shared" ca="1" si="14"/>
        <v>0</v>
      </c>
      <c r="AH37" s="67">
        <f t="shared" ca="1" si="14"/>
        <v>0</v>
      </c>
      <c r="AI37" s="67">
        <f t="shared" ca="1" si="14"/>
        <v>0</v>
      </c>
      <c r="AJ37" s="67">
        <f t="shared" ca="1" si="14"/>
        <v>0</v>
      </c>
      <c r="AK37" s="67">
        <f t="shared" ref="AK37:AZ52" ca="1" si="15">SUM(IFERROR(IF(AND(AK$5&gt;=$H37,AK$5&lt;=$I37),1,0),0),IFERROR(IF(AND(AK$5&gt;=$J37,AK$5&lt;=$K37),1,0),0),IFERROR(IF(AND(AK$5&gt;=$L37,AK$5&lt;=$M37),1,0),0),IFERROR(IF(AND(AK$5&gt;=$N37,AK$5&lt;=$O37),1,0),0),IFERROR(IF(AND(AK$5&gt;=$P37,AK$5&lt;=$Q37),1,0),0))</f>
        <v>0</v>
      </c>
      <c r="AL37" s="67">
        <f t="shared" ca="1" si="15"/>
        <v>0</v>
      </c>
      <c r="AM37" s="67">
        <f t="shared" ca="1" si="15"/>
        <v>0</v>
      </c>
      <c r="AN37" s="67">
        <f t="shared" ca="1" si="15"/>
        <v>0</v>
      </c>
      <c r="AO37" s="67">
        <f t="shared" ca="1" si="15"/>
        <v>0</v>
      </c>
      <c r="AP37" s="67">
        <f t="shared" ca="1" si="15"/>
        <v>0</v>
      </c>
      <c r="AQ37" s="67">
        <f t="shared" ca="1" si="15"/>
        <v>0</v>
      </c>
      <c r="AR37" s="67">
        <f t="shared" ca="1" si="15"/>
        <v>0</v>
      </c>
      <c r="AS37" s="67">
        <f t="shared" ca="1" si="15"/>
        <v>0</v>
      </c>
      <c r="AT37" s="67">
        <f t="shared" ca="1" si="15"/>
        <v>0</v>
      </c>
      <c r="AU37" s="67">
        <f t="shared" ca="1" si="15"/>
        <v>0</v>
      </c>
      <c r="AV37" s="67">
        <f t="shared" ca="1" si="15"/>
        <v>0</v>
      </c>
      <c r="AW37" s="67">
        <f t="shared" ca="1" si="15"/>
        <v>0</v>
      </c>
      <c r="AX37" s="67">
        <f t="shared" ca="1" si="15"/>
        <v>0</v>
      </c>
      <c r="AY37" s="67">
        <f t="shared" ca="1" si="15"/>
        <v>0</v>
      </c>
      <c r="AZ37" s="67">
        <f t="shared" ca="1" si="15"/>
        <v>0</v>
      </c>
      <c r="BA37" s="67">
        <f t="shared" ref="BA37:BP52" ca="1" si="16">SUM(IFERROR(IF(AND(BA$5&gt;=$H37,BA$5&lt;=$I37),1,0),0),IFERROR(IF(AND(BA$5&gt;=$J37,BA$5&lt;=$K37),1,0),0),IFERROR(IF(AND(BA$5&gt;=$L37,BA$5&lt;=$M37),1,0),0),IFERROR(IF(AND(BA$5&gt;=$N37,BA$5&lt;=$O37),1,0),0),IFERROR(IF(AND(BA$5&gt;=$P37,BA$5&lt;=$Q37),1,0),0))</f>
        <v>0</v>
      </c>
      <c r="BB37" s="67">
        <f t="shared" ca="1" si="16"/>
        <v>0</v>
      </c>
      <c r="BC37" s="67">
        <f t="shared" ca="1" si="16"/>
        <v>0</v>
      </c>
      <c r="BD37" s="67">
        <f t="shared" ca="1" si="16"/>
        <v>0</v>
      </c>
      <c r="BE37" s="67">
        <f t="shared" ca="1" si="16"/>
        <v>0</v>
      </c>
      <c r="BF37" s="67">
        <f t="shared" ca="1" si="16"/>
        <v>0</v>
      </c>
      <c r="BG37" s="67">
        <f t="shared" ca="1" si="16"/>
        <v>0</v>
      </c>
      <c r="BH37" s="67">
        <f t="shared" ca="1" si="16"/>
        <v>0</v>
      </c>
      <c r="BI37" s="67">
        <f t="shared" ca="1" si="16"/>
        <v>0</v>
      </c>
      <c r="BJ37" s="67">
        <f t="shared" ca="1" si="16"/>
        <v>0</v>
      </c>
      <c r="BK37" s="67">
        <f t="shared" ca="1" si="16"/>
        <v>0</v>
      </c>
      <c r="BL37" s="67">
        <f t="shared" ca="1" si="16"/>
        <v>0</v>
      </c>
      <c r="BM37" s="67">
        <f t="shared" ca="1" si="16"/>
        <v>0</v>
      </c>
      <c r="BN37" s="67">
        <f t="shared" ca="1" si="16"/>
        <v>0</v>
      </c>
      <c r="BO37" s="67">
        <f t="shared" ca="1" si="16"/>
        <v>0</v>
      </c>
      <c r="BP37" s="67">
        <f t="shared" ca="1" si="16"/>
        <v>0</v>
      </c>
      <c r="BQ37" s="67">
        <f t="shared" ca="1" si="13"/>
        <v>0</v>
      </c>
      <c r="BR37" s="67">
        <f t="shared" ca="1" si="13"/>
        <v>0</v>
      </c>
      <c r="BS37" s="67">
        <f t="shared" ca="1" si="13"/>
        <v>0</v>
      </c>
      <c r="BT37" s="67">
        <f t="shared" ca="1" si="13"/>
        <v>0</v>
      </c>
    </row>
    <row r="38" spans="1:72" x14ac:dyDescent="0.2">
      <c r="A38" s="317">
        <f t="shared" ca="1" si="6"/>
        <v>44647</v>
      </c>
      <c r="B38" s="87">
        <f t="shared" ca="1" si="9"/>
        <v>44641</v>
      </c>
      <c r="C38" s="67">
        <v>33</v>
      </c>
      <c r="D38" s="67" t="str">
        <f t="shared" ca="1" si="10"/>
        <v/>
      </c>
      <c r="E38" s="67" t="str">
        <f t="shared" ca="1" si="0"/>
        <v xml:space="preserve"> </v>
      </c>
      <c r="F38" s="67">
        <f t="shared" ca="1" si="7"/>
        <v>12</v>
      </c>
      <c r="G38" s="67" t="str">
        <f>ROW(A33)&amp;". "&amp;'Critical resources'!B44</f>
        <v xml:space="preserve">33. </v>
      </c>
      <c r="H38" s="67">
        <f ca="1">IFERROR(VLOOKUP('Critical resources'!D44,$B$6:$C$57,2,0),0)</f>
        <v>0</v>
      </c>
      <c r="I38" s="67">
        <f ca="1">IFERROR(VLOOKUP('Critical resources'!E44,$A$6:$C$57,3,0),0)</f>
        <v>0</v>
      </c>
      <c r="J38" s="67">
        <f ca="1">IFERROR(VLOOKUP('Critical resources'!G44,$B$6:$C$57,2,0),0)</f>
        <v>0</v>
      </c>
      <c r="K38" s="67">
        <f ca="1">IFERROR(VLOOKUP('Critical resources'!H44,$B$6:$C$57,2,0),0)</f>
        <v>0</v>
      </c>
      <c r="L38" s="67">
        <f ca="1">IFERROR(VLOOKUP('Critical resources'!J44,$B$6:$C$57,2,0),0)</f>
        <v>0</v>
      </c>
      <c r="M38" s="67">
        <f ca="1">IFERROR(VLOOKUP('Critical resources'!K44,$A$6:$C$57,3,0),0)</f>
        <v>0</v>
      </c>
      <c r="N38" s="67">
        <f ca="1">IFERROR(VLOOKUP('Critical resources'!M44,$B$6:$C$57,2,0),0)</f>
        <v>0</v>
      </c>
      <c r="O38" s="67">
        <f ca="1">IFERROR(VLOOKUP('Critical resources'!N44,$A$6:$C$57,3,0),0)</f>
        <v>0</v>
      </c>
      <c r="P38" s="67">
        <f ca="1">IFERROR(VLOOKUP('Critical resources'!P44,$B$6:$C$57,2,0),0)</f>
        <v>0</v>
      </c>
      <c r="Q38" s="67">
        <f ca="1">IFERROR(VLOOKUP('Critical resources'!Q44,$A$6:$C$57,3,0),0)</f>
        <v>0</v>
      </c>
      <c r="T38" s="67" t="str">
        <f t="shared" ref="T38:T69" si="17">G38</f>
        <v xml:space="preserve">33. </v>
      </c>
      <c r="U38" s="67">
        <f t="shared" ca="1" si="14"/>
        <v>0</v>
      </c>
      <c r="V38" s="67">
        <f t="shared" ca="1" si="14"/>
        <v>0</v>
      </c>
      <c r="W38" s="67">
        <f t="shared" ca="1" si="14"/>
        <v>0</v>
      </c>
      <c r="X38" s="67">
        <f t="shared" ca="1" si="14"/>
        <v>0</v>
      </c>
      <c r="Y38" s="67">
        <f t="shared" ca="1" si="14"/>
        <v>0</v>
      </c>
      <c r="Z38" s="67">
        <f t="shared" ca="1" si="14"/>
        <v>0</v>
      </c>
      <c r="AA38" s="67">
        <f t="shared" ca="1" si="14"/>
        <v>0</v>
      </c>
      <c r="AB38" s="67">
        <f t="shared" ca="1" si="14"/>
        <v>0</v>
      </c>
      <c r="AC38" s="67">
        <f t="shared" ca="1" si="14"/>
        <v>0</v>
      </c>
      <c r="AD38" s="67">
        <f t="shared" ca="1" si="14"/>
        <v>0</v>
      </c>
      <c r="AE38" s="67">
        <f t="shared" ca="1" si="14"/>
        <v>0</v>
      </c>
      <c r="AF38" s="67">
        <f t="shared" ca="1" si="14"/>
        <v>0</v>
      </c>
      <c r="AG38" s="67">
        <f t="shared" ca="1" si="14"/>
        <v>0</v>
      </c>
      <c r="AH38" s="67">
        <f t="shared" ca="1" si="14"/>
        <v>0</v>
      </c>
      <c r="AI38" s="67">
        <f t="shared" ca="1" si="14"/>
        <v>0</v>
      </c>
      <c r="AJ38" s="67">
        <f t="shared" ref="AJ38:AY53" ca="1" si="18">SUM(IFERROR(IF(AND(AJ$5&gt;=$H38,AJ$5&lt;=$I38),1,0),0),IFERROR(IF(AND(AJ$5&gt;=$J38,AJ$5&lt;=$K38),1,0),0),IFERROR(IF(AND(AJ$5&gt;=$L38,AJ$5&lt;=$M38),1,0),0),IFERROR(IF(AND(AJ$5&gt;=$N38,AJ$5&lt;=$O38),1,0),0),IFERROR(IF(AND(AJ$5&gt;=$P38,AJ$5&lt;=$Q38),1,0),0))</f>
        <v>0</v>
      </c>
      <c r="AK38" s="67">
        <f t="shared" ca="1" si="15"/>
        <v>0</v>
      </c>
      <c r="AL38" s="67">
        <f t="shared" ca="1" si="15"/>
        <v>0</v>
      </c>
      <c r="AM38" s="67">
        <f t="shared" ca="1" si="15"/>
        <v>0</v>
      </c>
      <c r="AN38" s="67">
        <f t="shared" ca="1" si="15"/>
        <v>0</v>
      </c>
      <c r="AO38" s="67">
        <f t="shared" ca="1" si="15"/>
        <v>0</v>
      </c>
      <c r="AP38" s="67">
        <f t="shared" ca="1" si="15"/>
        <v>0</v>
      </c>
      <c r="AQ38" s="67">
        <f t="shared" ca="1" si="15"/>
        <v>0</v>
      </c>
      <c r="AR38" s="67">
        <f t="shared" ca="1" si="15"/>
        <v>0</v>
      </c>
      <c r="AS38" s="67">
        <f t="shared" ca="1" si="15"/>
        <v>0</v>
      </c>
      <c r="AT38" s="67">
        <f t="shared" ca="1" si="15"/>
        <v>0</v>
      </c>
      <c r="AU38" s="67">
        <f t="shared" ca="1" si="15"/>
        <v>0</v>
      </c>
      <c r="AV38" s="67">
        <f t="shared" ca="1" si="15"/>
        <v>0</v>
      </c>
      <c r="AW38" s="67">
        <f t="shared" ca="1" si="15"/>
        <v>0</v>
      </c>
      <c r="AX38" s="67">
        <f t="shared" ca="1" si="15"/>
        <v>0</v>
      </c>
      <c r="AY38" s="67">
        <f t="shared" ca="1" si="15"/>
        <v>0</v>
      </c>
      <c r="AZ38" s="67">
        <f t="shared" ca="1" si="15"/>
        <v>0</v>
      </c>
      <c r="BA38" s="67">
        <f t="shared" ca="1" si="16"/>
        <v>0</v>
      </c>
      <c r="BB38" s="67">
        <f t="shared" ca="1" si="16"/>
        <v>0</v>
      </c>
      <c r="BC38" s="67">
        <f t="shared" ca="1" si="16"/>
        <v>0</v>
      </c>
      <c r="BD38" s="67">
        <f t="shared" ca="1" si="16"/>
        <v>0</v>
      </c>
      <c r="BE38" s="67">
        <f t="shared" ca="1" si="16"/>
        <v>0</v>
      </c>
      <c r="BF38" s="67">
        <f t="shared" ca="1" si="16"/>
        <v>0</v>
      </c>
      <c r="BG38" s="67">
        <f t="shared" ca="1" si="16"/>
        <v>0</v>
      </c>
      <c r="BH38" s="67">
        <f t="shared" ca="1" si="16"/>
        <v>0</v>
      </c>
      <c r="BI38" s="67">
        <f t="shared" ca="1" si="16"/>
        <v>0</v>
      </c>
      <c r="BJ38" s="67">
        <f t="shared" ca="1" si="16"/>
        <v>0</v>
      </c>
      <c r="BK38" s="67">
        <f t="shared" ca="1" si="16"/>
        <v>0</v>
      </c>
      <c r="BL38" s="67">
        <f t="shared" ca="1" si="16"/>
        <v>0</v>
      </c>
      <c r="BM38" s="67">
        <f t="shared" ca="1" si="16"/>
        <v>0</v>
      </c>
      <c r="BN38" s="67">
        <f t="shared" ca="1" si="16"/>
        <v>0</v>
      </c>
      <c r="BO38" s="67">
        <f t="shared" ca="1" si="16"/>
        <v>0</v>
      </c>
      <c r="BP38" s="67">
        <f t="shared" ca="1" si="16"/>
        <v>0</v>
      </c>
      <c r="BQ38" s="67">
        <f t="shared" ca="1" si="13"/>
        <v>0</v>
      </c>
      <c r="BR38" s="67">
        <f t="shared" ca="1" si="13"/>
        <v>0</v>
      </c>
      <c r="BS38" s="67">
        <f t="shared" ca="1" si="13"/>
        <v>0</v>
      </c>
      <c r="BT38" s="67">
        <f t="shared" ca="1" si="13"/>
        <v>0</v>
      </c>
    </row>
    <row r="39" spans="1:72" x14ac:dyDescent="0.2">
      <c r="A39" s="317">
        <f t="shared" ca="1" si="6"/>
        <v>44654</v>
      </c>
      <c r="B39" s="87">
        <f t="shared" ca="1" si="9"/>
        <v>44648</v>
      </c>
      <c r="C39" s="67">
        <v>34</v>
      </c>
      <c r="D39" s="67" t="str">
        <f t="shared" ca="1" si="10"/>
        <v/>
      </c>
      <c r="E39" s="67" t="str">
        <f t="shared" ca="1" si="0"/>
        <v xml:space="preserve"> </v>
      </c>
      <c r="F39" s="67">
        <f t="shared" ca="1" si="7"/>
        <v>13</v>
      </c>
      <c r="G39" s="67" t="str">
        <f>ROW(A34)&amp;". "&amp;'Critical resources'!B45</f>
        <v xml:space="preserve">34. </v>
      </c>
      <c r="H39" s="67">
        <f ca="1">IFERROR(VLOOKUP('Critical resources'!D45,$B$6:$C$57,2,0),0)</f>
        <v>0</v>
      </c>
      <c r="I39" s="67">
        <f ca="1">IFERROR(VLOOKUP('Critical resources'!E45,$A$6:$C$57,3,0),0)</f>
        <v>0</v>
      </c>
      <c r="J39" s="67">
        <f ca="1">IFERROR(VLOOKUP('Critical resources'!G45,$B$6:$C$57,2,0),0)</f>
        <v>0</v>
      </c>
      <c r="K39" s="67">
        <f ca="1">IFERROR(VLOOKUP('Critical resources'!H45,$B$6:$C$57,2,0),0)</f>
        <v>0</v>
      </c>
      <c r="L39" s="67">
        <f ca="1">IFERROR(VLOOKUP('Critical resources'!J45,$B$6:$C$57,2,0),0)</f>
        <v>0</v>
      </c>
      <c r="M39" s="67">
        <f ca="1">IFERROR(VLOOKUP('Critical resources'!K45,$A$6:$C$57,3,0),0)</f>
        <v>0</v>
      </c>
      <c r="N39" s="67">
        <f ca="1">IFERROR(VLOOKUP('Critical resources'!M45,$B$6:$C$57,2,0),0)</f>
        <v>0</v>
      </c>
      <c r="O39" s="67">
        <f ca="1">IFERROR(VLOOKUP('Critical resources'!N45,$A$6:$C$57,3,0),0)</f>
        <v>0</v>
      </c>
      <c r="P39" s="67">
        <f ca="1">IFERROR(VLOOKUP('Critical resources'!P45,$B$6:$C$57,2,0),0)</f>
        <v>0</v>
      </c>
      <c r="Q39" s="67">
        <f ca="1">IFERROR(VLOOKUP('Critical resources'!Q45,$A$6:$C$57,3,0),0)</f>
        <v>0</v>
      </c>
      <c r="T39" s="67" t="str">
        <f t="shared" si="17"/>
        <v xml:space="preserve">34. </v>
      </c>
      <c r="U39" s="67">
        <f t="shared" ref="U39:AJ54" ca="1" si="19">SUM(IFERROR(IF(AND(U$5&gt;=$H39,U$5&lt;=$I39),1,0),0),IFERROR(IF(AND(U$5&gt;=$J39,U$5&lt;=$K39),1,0),0),IFERROR(IF(AND(U$5&gt;=$L39,U$5&lt;=$M39),1,0),0),IFERROR(IF(AND(U$5&gt;=$N39,U$5&lt;=$O39),1,0),0),IFERROR(IF(AND(U$5&gt;=$P39,U$5&lt;=$Q39),1,0),0))</f>
        <v>0</v>
      </c>
      <c r="V39" s="67">
        <f t="shared" ca="1" si="19"/>
        <v>0</v>
      </c>
      <c r="W39" s="67">
        <f t="shared" ca="1" si="19"/>
        <v>0</v>
      </c>
      <c r="X39" s="67">
        <f t="shared" ca="1" si="19"/>
        <v>0</v>
      </c>
      <c r="Y39" s="67">
        <f t="shared" ca="1" si="19"/>
        <v>0</v>
      </c>
      <c r="Z39" s="67">
        <f t="shared" ca="1" si="19"/>
        <v>0</v>
      </c>
      <c r="AA39" s="67">
        <f t="shared" ca="1" si="19"/>
        <v>0</v>
      </c>
      <c r="AB39" s="67">
        <f t="shared" ca="1" si="19"/>
        <v>0</v>
      </c>
      <c r="AC39" s="67">
        <f t="shared" ca="1" si="19"/>
        <v>0</v>
      </c>
      <c r="AD39" s="67">
        <f t="shared" ca="1" si="19"/>
        <v>0</v>
      </c>
      <c r="AE39" s="67">
        <f t="shared" ca="1" si="19"/>
        <v>0</v>
      </c>
      <c r="AF39" s="67">
        <f t="shared" ca="1" si="19"/>
        <v>0</v>
      </c>
      <c r="AG39" s="67">
        <f t="shared" ca="1" si="19"/>
        <v>0</v>
      </c>
      <c r="AH39" s="67">
        <f t="shared" ca="1" si="19"/>
        <v>0</v>
      </c>
      <c r="AI39" s="67">
        <f t="shared" ca="1" si="19"/>
        <v>0</v>
      </c>
      <c r="AJ39" s="67">
        <f t="shared" ca="1" si="18"/>
        <v>0</v>
      </c>
      <c r="AK39" s="67">
        <f t="shared" ca="1" si="15"/>
        <v>0</v>
      </c>
      <c r="AL39" s="67">
        <f t="shared" ca="1" si="15"/>
        <v>0</v>
      </c>
      <c r="AM39" s="67">
        <f t="shared" ca="1" si="15"/>
        <v>0</v>
      </c>
      <c r="AN39" s="67">
        <f t="shared" ca="1" si="15"/>
        <v>0</v>
      </c>
      <c r="AO39" s="67">
        <f t="shared" ca="1" si="15"/>
        <v>0</v>
      </c>
      <c r="AP39" s="67">
        <f t="shared" ca="1" si="15"/>
        <v>0</v>
      </c>
      <c r="AQ39" s="67">
        <f t="shared" ca="1" si="15"/>
        <v>0</v>
      </c>
      <c r="AR39" s="67">
        <f t="shared" ca="1" si="15"/>
        <v>0</v>
      </c>
      <c r="AS39" s="67">
        <f t="shared" ca="1" si="15"/>
        <v>0</v>
      </c>
      <c r="AT39" s="67">
        <f t="shared" ca="1" si="15"/>
        <v>0</v>
      </c>
      <c r="AU39" s="67">
        <f t="shared" ca="1" si="15"/>
        <v>0</v>
      </c>
      <c r="AV39" s="67">
        <f t="shared" ca="1" si="15"/>
        <v>0</v>
      </c>
      <c r="AW39" s="67">
        <f t="shared" ca="1" si="15"/>
        <v>0</v>
      </c>
      <c r="AX39" s="67">
        <f t="shared" ca="1" si="15"/>
        <v>0</v>
      </c>
      <c r="AY39" s="67">
        <f t="shared" ca="1" si="15"/>
        <v>0</v>
      </c>
      <c r="AZ39" s="67">
        <f t="shared" ca="1" si="15"/>
        <v>0</v>
      </c>
      <c r="BA39" s="67">
        <f t="shared" ca="1" si="16"/>
        <v>0</v>
      </c>
      <c r="BB39" s="67">
        <f t="shared" ca="1" si="16"/>
        <v>0</v>
      </c>
      <c r="BC39" s="67">
        <f t="shared" ca="1" si="16"/>
        <v>0</v>
      </c>
      <c r="BD39" s="67">
        <f t="shared" ca="1" si="16"/>
        <v>0</v>
      </c>
      <c r="BE39" s="67">
        <f t="shared" ca="1" si="16"/>
        <v>0</v>
      </c>
      <c r="BF39" s="67">
        <f t="shared" ca="1" si="16"/>
        <v>0</v>
      </c>
      <c r="BG39" s="67">
        <f t="shared" ca="1" si="16"/>
        <v>0</v>
      </c>
      <c r="BH39" s="67">
        <f t="shared" ca="1" si="16"/>
        <v>0</v>
      </c>
      <c r="BI39" s="67">
        <f t="shared" ca="1" si="16"/>
        <v>0</v>
      </c>
      <c r="BJ39" s="67">
        <f t="shared" ca="1" si="16"/>
        <v>0</v>
      </c>
      <c r="BK39" s="67">
        <f t="shared" ca="1" si="16"/>
        <v>0</v>
      </c>
      <c r="BL39" s="67">
        <f t="shared" ca="1" si="16"/>
        <v>0</v>
      </c>
      <c r="BM39" s="67">
        <f t="shared" ca="1" si="16"/>
        <v>0</v>
      </c>
      <c r="BN39" s="67">
        <f t="shared" ca="1" si="16"/>
        <v>0</v>
      </c>
      <c r="BO39" s="67">
        <f t="shared" ca="1" si="16"/>
        <v>0</v>
      </c>
      <c r="BP39" s="67">
        <f t="shared" ca="1" si="16"/>
        <v>0</v>
      </c>
      <c r="BQ39" s="67">
        <f t="shared" ca="1" si="13"/>
        <v>0</v>
      </c>
      <c r="BR39" s="67">
        <f t="shared" ca="1" si="13"/>
        <v>0</v>
      </c>
      <c r="BS39" s="67">
        <f t="shared" ca="1" si="13"/>
        <v>0</v>
      </c>
      <c r="BT39" s="67">
        <f t="shared" ca="1" si="13"/>
        <v>0</v>
      </c>
    </row>
    <row r="40" spans="1:72" x14ac:dyDescent="0.2">
      <c r="A40" s="317">
        <f t="shared" ca="1" si="6"/>
        <v>44661</v>
      </c>
      <c r="B40" s="87">
        <f t="shared" ca="1" si="9"/>
        <v>44655</v>
      </c>
      <c r="C40" s="67">
        <v>35</v>
      </c>
      <c r="D40" s="67" t="str">
        <f t="shared" ca="1" si="10"/>
        <v/>
      </c>
      <c r="E40" s="67" t="str">
        <f t="shared" ca="1" si="0"/>
        <v>Apr</v>
      </c>
      <c r="F40" s="67">
        <f t="shared" ca="1" si="7"/>
        <v>14</v>
      </c>
      <c r="G40" s="67" t="str">
        <f>ROW(A35)&amp;". "&amp;'Critical resources'!B46</f>
        <v xml:space="preserve">35. </v>
      </c>
      <c r="H40" s="67">
        <f ca="1">IFERROR(VLOOKUP('Critical resources'!D46,$B$6:$C$57,2,0),0)</f>
        <v>0</v>
      </c>
      <c r="I40" s="67">
        <f ca="1">IFERROR(VLOOKUP('Critical resources'!E46,$A$6:$C$57,3,0),0)</f>
        <v>0</v>
      </c>
      <c r="J40" s="67">
        <f ca="1">IFERROR(VLOOKUP('Critical resources'!G46,$B$6:$C$57,2,0),0)</f>
        <v>0</v>
      </c>
      <c r="K40" s="67">
        <f ca="1">IFERROR(VLOOKUP('Critical resources'!H46,$B$6:$C$57,2,0),0)</f>
        <v>0</v>
      </c>
      <c r="L40" s="67">
        <f ca="1">IFERROR(VLOOKUP('Critical resources'!J46,$B$6:$C$57,2,0),0)</f>
        <v>0</v>
      </c>
      <c r="M40" s="67">
        <f ca="1">IFERROR(VLOOKUP('Critical resources'!K46,$A$6:$C$57,3,0),0)</f>
        <v>0</v>
      </c>
      <c r="N40" s="67">
        <f ca="1">IFERROR(VLOOKUP('Critical resources'!M46,$B$6:$C$57,2,0),0)</f>
        <v>0</v>
      </c>
      <c r="O40" s="67">
        <f ca="1">IFERROR(VLOOKUP('Critical resources'!N46,$A$6:$C$57,3,0),0)</f>
        <v>0</v>
      </c>
      <c r="P40" s="67">
        <f ca="1">IFERROR(VLOOKUP('Critical resources'!P46,$B$6:$C$57,2,0),0)</f>
        <v>0</v>
      </c>
      <c r="Q40" s="67">
        <f ca="1">IFERROR(VLOOKUP('Critical resources'!Q46,$A$6:$C$57,3,0),0)</f>
        <v>0</v>
      </c>
      <c r="T40" s="67" t="str">
        <f t="shared" si="17"/>
        <v xml:space="preserve">35. </v>
      </c>
      <c r="U40" s="67">
        <f t="shared" ca="1" si="19"/>
        <v>0</v>
      </c>
      <c r="V40" s="67">
        <f t="shared" ca="1" si="19"/>
        <v>0</v>
      </c>
      <c r="W40" s="67">
        <f t="shared" ca="1" si="19"/>
        <v>0</v>
      </c>
      <c r="X40" s="67">
        <f t="shared" ca="1" si="19"/>
        <v>0</v>
      </c>
      <c r="Y40" s="67">
        <f t="shared" ca="1" si="19"/>
        <v>0</v>
      </c>
      <c r="Z40" s="67">
        <f t="shared" ca="1" si="19"/>
        <v>0</v>
      </c>
      <c r="AA40" s="67">
        <f t="shared" ca="1" si="19"/>
        <v>0</v>
      </c>
      <c r="AB40" s="67">
        <f t="shared" ca="1" si="19"/>
        <v>0</v>
      </c>
      <c r="AC40" s="67">
        <f t="shared" ca="1" si="19"/>
        <v>0</v>
      </c>
      <c r="AD40" s="67">
        <f t="shared" ca="1" si="19"/>
        <v>0</v>
      </c>
      <c r="AE40" s="67">
        <f t="shared" ca="1" si="19"/>
        <v>0</v>
      </c>
      <c r="AF40" s="67">
        <f t="shared" ca="1" si="19"/>
        <v>0</v>
      </c>
      <c r="AG40" s="67">
        <f t="shared" ca="1" si="19"/>
        <v>0</v>
      </c>
      <c r="AH40" s="67">
        <f t="shared" ca="1" si="19"/>
        <v>0</v>
      </c>
      <c r="AI40" s="67">
        <f t="shared" ca="1" si="19"/>
        <v>0</v>
      </c>
      <c r="AJ40" s="67">
        <f t="shared" ca="1" si="18"/>
        <v>0</v>
      </c>
      <c r="AK40" s="67">
        <f t="shared" ca="1" si="15"/>
        <v>0</v>
      </c>
      <c r="AL40" s="67">
        <f t="shared" ca="1" si="15"/>
        <v>0</v>
      </c>
      <c r="AM40" s="67">
        <f t="shared" ca="1" si="15"/>
        <v>0</v>
      </c>
      <c r="AN40" s="67">
        <f t="shared" ca="1" si="15"/>
        <v>0</v>
      </c>
      <c r="AO40" s="67">
        <f t="shared" ca="1" si="15"/>
        <v>0</v>
      </c>
      <c r="AP40" s="67">
        <f t="shared" ca="1" si="15"/>
        <v>0</v>
      </c>
      <c r="AQ40" s="67">
        <f t="shared" ca="1" si="15"/>
        <v>0</v>
      </c>
      <c r="AR40" s="67">
        <f t="shared" ca="1" si="15"/>
        <v>0</v>
      </c>
      <c r="AS40" s="67">
        <f t="shared" ca="1" si="15"/>
        <v>0</v>
      </c>
      <c r="AT40" s="67">
        <f t="shared" ca="1" si="15"/>
        <v>0</v>
      </c>
      <c r="AU40" s="67">
        <f t="shared" ca="1" si="15"/>
        <v>0</v>
      </c>
      <c r="AV40" s="67">
        <f t="shared" ca="1" si="15"/>
        <v>0</v>
      </c>
      <c r="AW40" s="67">
        <f t="shared" ca="1" si="15"/>
        <v>0</v>
      </c>
      <c r="AX40" s="67">
        <f t="shared" ca="1" si="15"/>
        <v>0</v>
      </c>
      <c r="AY40" s="67">
        <f t="shared" ca="1" si="15"/>
        <v>0</v>
      </c>
      <c r="AZ40" s="67">
        <f t="shared" ca="1" si="15"/>
        <v>0</v>
      </c>
      <c r="BA40" s="67">
        <f t="shared" ca="1" si="16"/>
        <v>0</v>
      </c>
      <c r="BB40" s="67">
        <f t="shared" ca="1" si="16"/>
        <v>0</v>
      </c>
      <c r="BC40" s="67">
        <f t="shared" ca="1" si="16"/>
        <v>0</v>
      </c>
      <c r="BD40" s="67">
        <f t="shared" ca="1" si="16"/>
        <v>0</v>
      </c>
      <c r="BE40" s="67">
        <f t="shared" ca="1" si="16"/>
        <v>0</v>
      </c>
      <c r="BF40" s="67">
        <f t="shared" ca="1" si="16"/>
        <v>0</v>
      </c>
      <c r="BG40" s="67">
        <f t="shared" ca="1" si="16"/>
        <v>0</v>
      </c>
      <c r="BH40" s="67">
        <f t="shared" ca="1" si="16"/>
        <v>0</v>
      </c>
      <c r="BI40" s="67">
        <f t="shared" ca="1" si="16"/>
        <v>0</v>
      </c>
      <c r="BJ40" s="67">
        <f t="shared" ca="1" si="16"/>
        <v>0</v>
      </c>
      <c r="BK40" s="67">
        <f t="shared" ca="1" si="16"/>
        <v>0</v>
      </c>
      <c r="BL40" s="67">
        <f t="shared" ca="1" si="16"/>
        <v>0</v>
      </c>
      <c r="BM40" s="67">
        <f t="shared" ca="1" si="16"/>
        <v>0</v>
      </c>
      <c r="BN40" s="67">
        <f t="shared" ca="1" si="16"/>
        <v>0</v>
      </c>
      <c r="BO40" s="67">
        <f t="shared" ca="1" si="16"/>
        <v>0</v>
      </c>
      <c r="BP40" s="67">
        <f t="shared" ca="1" si="16"/>
        <v>0</v>
      </c>
      <c r="BQ40" s="67">
        <f t="shared" ca="1" si="13"/>
        <v>0</v>
      </c>
      <c r="BR40" s="67">
        <f t="shared" ca="1" si="13"/>
        <v>0</v>
      </c>
      <c r="BS40" s="67">
        <f t="shared" ca="1" si="13"/>
        <v>0</v>
      </c>
      <c r="BT40" s="67">
        <f t="shared" ca="1" si="13"/>
        <v>0</v>
      </c>
    </row>
    <row r="41" spans="1:72" x14ac:dyDescent="0.2">
      <c r="A41" s="317">
        <f t="shared" ca="1" si="6"/>
        <v>44668</v>
      </c>
      <c r="B41" s="87">
        <f t="shared" ca="1" si="9"/>
        <v>44662</v>
      </c>
      <c r="C41" s="67">
        <v>36</v>
      </c>
      <c r="D41" s="67" t="str">
        <f t="shared" ca="1" si="10"/>
        <v/>
      </c>
      <c r="E41" s="67" t="str">
        <f t="shared" ca="1" si="0"/>
        <v xml:space="preserve"> </v>
      </c>
      <c r="F41" s="67">
        <f t="shared" ca="1" si="7"/>
        <v>15</v>
      </c>
      <c r="G41" s="67" t="str">
        <f>ROW(A36)&amp;". "&amp;'Critical resources'!B47</f>
        <v xml:space="preserve">36. </v>
      </c>
      <c r="H41" s="67">
        <f ca="1">IFERROR(VLOOKUP('Critical resources'!D47,$B$6:$C$57,2,0),0)</f>
        <v>0</v>
      </c>
      <c r="I41" s="67">
        <f ca="1">IFERROR(VLOOKUP('Critical resources'!E47,$A$6:$C$57,3,0),0)</f>
        <v>0</v>
      </c>
      <c r="J41" s="67">
        <f ca="1">IFERROR(VLOOKUP('Critical resources'!G47,$B$6:$C$57,2,0),0)</f>
        <v>0</v>
      </c>
      <c r="K41" s="67">
        <f ca="1">IFERROR(VLOOKUP('Critical resources'!H47,$B$6:$C$57,2,0),0)</f>
        <v>0</v>
      </c>
      <c r="L41" s="67">
        <f ca="1">IFERROR(VLOOKUP('Critical resources'!J47,$B$6:$C$57,2,0),0)</f>
        <v>0</v>
      </c>
      <c r="M41" s="67">
        <f ca="1">IFERROR(VLOOKUP('Critical resources'!K47,$A$6:$C$57,3,0),0)</f>
        <v>0</v>
      </c>
      <c r="N41" s="67">
        <f ca="1">IFERROR(VLOOKUP('Critical resources'!M47,$B$6:$C$57,2,0),0)</f>
        <v>0</v>
      </c>
      <c r="O41" s="67">
        <f ca="1">IFERROR(VLOOKUP('Critical resources'!N47,$A$6:$C$57,3,0),0)</f>
        <v>0</v>
      </c>
      <c r="P41" s="67">
        <f ca="1">IFERROR(VLOOKUP('Critical resources'!P47,$B$6:$C$57,2,0),0)</f>
        <v>0</v>
      </c>
      <c r="Q41" s="67">
        <f ca="1">IFERROR(VLOOKUP('Critical resources'!Q47,$A$6:$C$57,3,0),0)</f>
        <v>0</v>
      </c>
      <c r="T41" s="67" t="str">
        <f t="shared" si="17"/>
        <v xml:space="preserve">36. </v>
      </c>
      <c r="U41" s="67">
        <f t="shared" ca="1" si="19"/>
        <v>0</v>
      </c>
      <c r="V41" s="67">
        <f t="shared" ca="1" si="19"/>
        <v>0</v>
      </c>
      <c r="W41" s="67">
        <f t="shared" ca="1" si="19"/>
        <v>0</v>
      </c>
      <c r="X41" s="67">
        <f t="shared" ca="1" si="19"/>
        <v>0</v>
      </c>
      <c r="Y41" s="67">
        <f t="shared" ca="1" si="19"/>
        <v>0</v>
      </c>
      <c r="Z41" s="67">
        <f t="shared" ca="1" si="19"/>
        <v>0</v>
      </c>
      <c r="AA41" s="67">
        <f t="shared" ca="1" si="19"/>
        <v>0</v>
      </c>
      <c r="AB41" s="67">
        <f t="shared" ca="1" si="19"/>
        <v>0</v>
      </c>
      <c r="AC41" s="67">
        <f t="shared" ca="1" si="19"/>
        <v>0</v>
      </c>
      <c r="AD41" s="67">
        <f t="shared" ca="1" si="19"/>
        <v>0</v>
      </c>
      <c r="AE41" s="67">
        <f t="shared" ca="1" si="19"/>
        <v>0</v>
      </c>
      <c r="AF41" s="67">
        <f t="shared" ca="1" si="19"/>
        <v>0</v>
      </c>
      <c r="AG41" s="67">
        <f t="shared" ca="1" si="19"/>
        <v>0</v>
      </c>
      <c r="AH41" s="67">
        <f t="shared" ca="1" si="19"/>
        <v>0</v>
      </c>
      <c r="AI41" s="67">
        <f t="shared" ca="1" si="19"/>
        <v>0</v>
      </c>
      <c r="AJ41" s="67">
        <f t="shared" ca="1" si="18"/>
        <v>0</v>
      </c>
      <c r="AK41" s="67">
        <f t="shared" ca="1" si="15"/>
        <v>0</v>
      </c>
      <c r="AL41" s="67">
        <f t="shared" ca="1" si="15"/>
        <v>0</v>
      </c>
      <c r="AM41" s="67">
        <f t="shared" ca="1" si="15"/>
        <v>0</v>
      </c>
      <c r="AN41" s="67">
        <f t="shared" ca="1" si="15"/>
        <v>0</v>
      </c>
      <c r="AO41" s="67">
        <f t="shared" ca="1" si="15"/>
        <v>0</v>
      </c>
      <c r="AP41" s="67">
        <f t="shared" ca="1" si="15"/>
        <v>0</v>
      </c>
      <c r="AQ41" s="67">
        <f t="shared" ca="1" si="15"/>
        <v>0</v>
      </c>
      <c r="AR41" s="67">
        <f t="shared" ca="1" si="15"/>
        <v>0</v>
      </c>
      <c r="AS41" s="67">
        <f t="shared" ca="1" si="15"/>
        <v>0</v>
      </c>
      <c r="AT41" s="67">
        <f t="shared" ca="1" si="15"/>
        <v>0</v>
      </c>
      <c r="AU41" s="67">
        <f t="shared" ca="1" si="15"/>
        <v>0</v>
      </c>
      <c r="AV41" s="67">
        <f t="shared" ca="1" si="15"/>
        <v>0</v>
      </c>
      <c r="AW41" s="67">
        <f t="shared" ca="1" si="15"/>
        <v>0</v>
      </c>
      <c r="AX41" s="67">
        <f t="shared" ca="1" si="15"/>
        <v>0</v>
      </c>
      <c r="AY41" s="67">
        <f t="shared" ca="1" si="15"/>
        <v>0</v>
      </c>
      <c r="AZ41" s="67">
        <f t="shared" ca="1" si="15"/>
        <v>0</v>
      </c>
      <c r="BA41" s="67">
        <f t="shared" ca="1" si="16"/>
        <v>0</v>
      </c>
      <c r="BB41" s="67">
        <f t="shared" ca="1" si="16"/>
        <v>0</v>
      </c>
      <c r="BC41" s="67">
        <f t="shared" ca="1" si="16"/>
        <v>0</v>
      </c>
      <c r="BD41" s="67">
        <f t="shared" ca="1" si="16"/>
        <v>0</v>
      </c>
      <c r="BE41" s="67">
        <f t="shared" ca="1" si="16"/>
        <v>0</v>
      </c>
      <c r="BF41" s="67">
        <f t="shared" ca="1" si="16"/>
        <v>0</v>
      </c>
      <c r="BG41" s="67">
        <f t="shared" ca="1" si="16"/>
        <v>0</v>
      </c>
      <c r="BH41" s="67">
        <f t="shared" ca="1" si="16"/>
        <v>0</v>
      </c>
      <c r="BI41" s="67">
        <f t="shared" ca="1" si="16"/>
        <v>0</v>
      </c>
      <c r="BJ41" s="67">
        <f t="shared" ca="1" si="16"/>
        <v>0</v>
      </c>
      <c r="BK41" s="67">
        <f t="shared" ca="1" si="16"/>
        <v>0</v>
      </c>
      <c r="BL41" s="67">
        <f t="shared" ca="1" si="16"/>
        <v>0</v>
      </c>
      <c r="BM41" s="67">
        <f t="shared" ca="1" si="16"/>
        <v>0</v>
      </c>
      <c r="BN41" s="67">
        <f t="shared" ca="1" si="16"/>
        <v>0</v>
      </c>
      <c r="BO41" s="67">
        <f t="shared" ca="1" si="16"/>
        <v>0</v>
      </c>
      <c r="BP41" s="67">
        <f t="shared" ca="1" si="16"/>
        <v>0</v>
      </c>
      <c r="BQ41" s="67">
        <f t="shared" ref="BQ41:BT60" ca="1" si="20">SUM(IFERROR(IF(AND(BQ$5&gt;=$H41,BQ$5&lt;=$I41),1,0),0),IFERROR(IF(AND(BQ$5&gt;=$J41,BQ$5&lt;=$K41),1,0),0),IFERROR(IF(AND(BQ$5&gt;=$L41,BQ$5&lt;=$M41),1,0),0),IFERROR(IF(AND(BQ$5&gt;=$N41,BQ$5&lt;=$O41),1,0),0),IFERROR(IF(AND(BQ$5&gt;=$P41,BQ$5&lt;=$Q41),1,0),0))</f>
        <v>0</v>
      </c>
      <c r="BR41" s="67">
        <f t="shared" ca="1" si="20"/>
        <v>0</v>
      </c>
      <c r="BS41" s="67">
        <f t="shared" ca="1" si="20"/>
        <v>0</v>
      </c>
      <c r="BT41" s="67">
        <f t="shared" ca="1" si="20"/>
        <v>0</v>
      </c>
    </row>
    <row r="42" spans="1:72" x14ac:dyDescent="0.2">
      <c r="A42" s="317">
        <f t="shared" ca="1" si="6"/>
        <v>44675</v>
      </c>
      <c r="B42" s="87">
        <f t="shared" ca="1" si="9"/>
        <v>44669</v>
      </c>
      <c r="C42" s="67">
        <v>37</v>
      </c>
      <c r="D42" s="67" t="str">
        <f t="shared" ca="1" si="10"/>
        <v/>
      </c>
      <c r="E42" s="67" t="str">
        <f t="shared" ca="1" si="0"/>
        <v xml:space="preserve"> </v>
      </c>
      <c r="F42" s="67">
        <f t="shared" ca="1" si="7"/>
        <v>16</v>
      </c>
      <c r="G42" s="67" t="str">
        <f>ROW(A37)&amp;". "&amp;'Critical resources'!B48</f>
        <v xml:space="preserve">37. </v>
      </c>
      <c r="H42" s="67">
        <f ca="1">IFERROR(VLOOKUP('Critical resources'!D48,$B$6:$C$57,2,0),0)</f>
        <v>0</v>
      </c>
      <c r="I42" s="67">
        <f ca="1">IFERROR(VLOOKUP('Critical resources'!E48,$A$6:$C$57,3,0),0)</f>
        <v>0</v>
      </c>
      <c r="J42" s="67">
        <f ca="1">IFERROR(VLOOKUP('Critical resources'!G48,$B$6:$C$57,2,0),0)</f>
        <v>0</v>
      </c>
      <c r="K42" s="67">
        <f ca="1">IFERROR(VLOOKUP('Critical resources'!H48,$B$6:$C$57,2,0),0)</f>
        <v>0</v>
      </c>
      <c r="L42" s="67">
        <f ca="1">IFERROR(VLOOKUP('Critical resources'!J48,$B$6:$C$57,2,0),0)</f>
        <v>0</v>
      </c>
      <c r="M42" s="67">
        <f ca="1">IFERROR(VLOOKUP('Critical resources'!K48,$A$6:$C$57,3,0),0)</f>
        <v>0</v>
      </c>
      <c r="N42" s="67">
        <f ca="1">IFERROR(VLOOKUP('Critical resources'!M48,$B$6:$C$57,2,0),0)</f>
        <v>0</v>
      </c>
      <c r="O42" s="67">
        <f ca="1">IFERROR(VLOOKUP('Critical resources'!N48,$A$6:$C$57,3,0),0)</f>
        <v>0</v>
      </c>
      <c r="P42" s="67">
        <f ca="1">IFERROR(VLOOKUP('Critical resources'!P48,$B$6:$C$57,2,0),0)</f>
        <v>0</v>
      </c>
      <c r="Q42" s="67">
        <f ca="1">IFERROR(VLOOKUP('Critical resources'!Q48,$A$6:$C$57,3,0),0)</f>
        <v>0</v>
      </c>
      <c r="T42" s="67" t="str">
        <f t="shared" si="17"/>
        <v xml:space="preserve">37. </v>
      </c>
      <c r="U42" s="67">
        <f t="shared" ca="1" si="19"/>
        <v>0</v>
      </c>
      <c r="V42" s="67">
        <f t="shared" ca="1" si="19"/>
        <v>0</v>
      </c>
      <c r="W42" s="67">
        <f t="shared" ca="1" si="19"/>
        <v>0</v>
      </c>
      <c r="X42" s="67">
        <f t="shared" ca="1" si="19"/>
        <v>0</v>
      </c>
      <c r="Y42" s="67">
        <f t="shared" ca="1" si="19"/>
        <v>0</v>
      </c>
      <c r="Z42" s="67">
        <f t="shared" ca="1" si="19"/>
        <v>0</v>
      </c>
      <c r="AA42" s="67">
        <f t="shared" ca="1" si="19"/>
        <v>0</v>
      </c>
      <c r="AB42" s="67">
        <f t="shared" ca="1" si="19"/>
        <v>0</v>
      </c>
      <c r="AC42" s="67">
        <f t="shared" ca="1" si="19"/>
        <v>0</v>
      </c>
      <c r="AD42" s="67">
        <f t="shared" ca="1" si="19"/>
        <v>0</v>
      </c>
      <c r="AE42" s="67">
        <f t="shared" ca="1" si="19"/>
        <v>0</v>
      </c>
      <c r="AF42" s="67">
        <f t="shared" ca="1" si="19"/>
        <v>0</v>
      </c>
      <c r="AG42" s="67">
        <f t="shared" ca="1" si="19"/>
        <v>0</v>
      </c>
      <c r="AH42" s="67">
        <f t="shared" ca="1" si="19"/>
        <v>0</v>
      </c>
      <c r="AI42" s="67">
        <f t="shared" ca="1" si="19"/>
        <v>0</v>
      </c>
      <c r="AJ42" s="67">
        <f t="shared" ca="1" si="18"/>
        <v>0</v>
      </c>
      <c r="AK42" s="67">
        <f t="shared" ca="1" si="15"/>
        <v>0</v>
      </c>
      <c r="AL42" s="67">
        <f t="shared" ca="1" si="15"/>
        <v>0</v>
      </c>
      <c r="AM42" s="67">
        <f t="shared" ca="1" si="15"/>
        <v>0</v>
      </c>
      <c r="AN42" s="67">
        <f t="shared" ca="1" si="15"/>
        <v>0</v>
      </c>
      <c r="AO42" s="67">
        <f t="shared" ca="1" si="15"/>
        <v>0</v>
      </c>
      <c r="AP42" s="67">
        <f t="shared" ca="1" si="15"/>
        <v>0</v>
      </c>
      <c r="AQ42" s="67">
        <f t="shared" ca="1" si="15"/>
        <v>0</v>
      </c>
      <c r="AR42" s="67">
        <f t="shared" ca="1" si="15"/>
        <v>0</v>
      </c>
      <c r="AS42" s="67">
        <f t="shared" ca="1" si="15"/>
        <v>0</v>
      </c>
      <c r="AT42" s="67">
        <f t="shared" ca="1" si="15"/>
        <v>0</v>
      </c>
      <c r="AU42" s="67">
        <f t="shared" ca="1" si="15"/>
        <v>0</v>
      </c>
      <c r="AV42" s="67">
        <f t="shared" ca="1" si="15"/>
        <v>0</v>
      </c>
      <c r="AW42" s="67">
        <f t="shared" ca="1" si="15"/>
        <v>0</v>
      </c>
      <c r="AX42" s="67">
        <f t="shared" ca="1" si="15"/>
        <v>0</v>
      </c>
      <c r="AY42" s="67">
        <f t="shared" ca="1" si="15"/>
        <v>0</v>
      </c>
      <c r="AZ42" s="67">
        <f t="shared" ca="1" si="15"/>
        <v>0</v>
      </c>
      <c r="BA42" s="67">
        <f t="shared" ca="1" si="16"/>
        <v>0</v>
      </c>
      <c r="BB42" s="67">
        <f t="shared" ca="1" si="16"/>
        <v>0</v>
      </c>
      <c r="BC42" s="67">
        <f t="shared" ca="1" si="16"/>
        <v>0</v>
      </c>
      <c r="BD42" s="67">
        <f t="shared" ca="1" si="16"/>
        <v>0</v>
      </c>
      <c r="BE42" s="67">
        <f t="shared" ca="1" si="16"/>
        <v>0</v>
      </c>
      <c r="BF42" s="67">
        <f t="shared" ca="1" si="16"/>
        <v>0</v>
      </c>
      <c r="BG42" s="67">
        <f t="shared" ca="1" si="16"/>
        <v>0</v>
      </c>
      <c r="BH42" s="67">
        <f t="shared" ca="1" si="16"/>
        <v>0</v>
      </c>
      <c r="BI42" s="67">
        <f t="shared" ca="1" si="16"/>
        <v>0</v>
      </c>
      <c r="BJ42" s="67">
        <f t="shared" ca="1" si="16"/>
        <v>0</v>
      </c>
      <c r="BK42" s="67">
        <f t="shared" ca="1" si="16"/>
        <v>0</v>
      </c>
      <c r="BL42" s="67">
        <f t="shared" ca="1" si="16"/>
        <v>0</v>
      </c>
      <c r="BM42" s="67">
        <f t="shared" ca="1" si="16"/>
        <v>0</v>
      </c>
      <c r="BN42" s="67">
        <f t="shared" ca="1" si="16"/>
        <v>0</v>
      </c>
      <c r="BO42" s="67">
        <f t="shared" ca="1" si="16"/>
        <v>0</v>
      </c>
      <c r="BP42" s="67">
        <f t="shared" ca="1" si="16"/>
        <v>0</v>
      </c>
      <c r="BQ42" s="67">
        <f t="shared" ca="1" si="20"/>
        <v>0</v>
      </c>
      <c r="BR42" s="67">
        <f t="shared" ca="1" si="20"/>
        <v>0</v>
      </c>
      <c r="BS42" s="67">
        <f t="shared" ca="1" si="20"/>
        <v>0</v>
      </c>
      <c r="BT42" s="67">
        <f t="shared" ca="1" si="20"/>
        <v>0</v>
      </c>
    </row>
    <row r="43" spans="1:72" x14ac:dyDescent="0.2">
      <c r="A43" s="317">
        <f t="shared" ca="1" si="6"/>
        <v>44682</v>
      </c>
      <c r="B43" s="87">
        <f t="shared" ca="1" si="9"/>
        <v>44676</v>
      </c>
      <c r="C43" s="67">
        <v>38</v>
      </c>
      <c r="D43" s="67" t="str">
        <f t="shared" ca="1" si="10"/>
        <v/>
      </c>
      <c r="E43" s="67" t="str">
        <f t="shared" ca="1" si="0"/>
        <v xml:space="preserve"> </v>
      </c>
      <c r="F43" s="67">
        <f t="shared" ca="1" si="7"/>
        <v>17</v>
      </c>
      <c r="G43" s="67" t="str">
        <f>ROW(A38)&amp;". "&amp;'Critical resources'!B49</f>
        <v xml:space="preserve">38. </v>
      </c>
      <c r="H43" s="67">
        <f ca="1">IFERROR(VLOOKUP('Critical resources'!D49,$B$6:$C$57,2,0),0)</f>
        <v>0</v>
      </c>
      <c r="I43" s="67">
        <f ca="1">IFERROR(VLOOKUP('Critical resources'!E49,$A$6:$C$57,3,0),0)</f>
        <v>0</v>
      </c>
      <c r="J43" s="67">
        <f ca="1">IFERROR(VLOOKUP('Critical resources'!G49,$B$6:$C$57,2,0),0)</f>
        <v>0</v>
      </c>
      <c r="K43" s="67">
        <f ca="1">IFERROR(VLOOKUP('Critical resources'!H49,$B$6:$C$57,2,0),0)</f>
        <v>0</v>
      </c>
      <c r="L43" s="67">
        <f ca="1">IFERROR(VLOOKUP('Critical resources'!J49,$B$6:$C$57,2,0),0)</f>
        <v>0</v>
      </c>
      <c r="M43" s="67">
        <f ca="1">IFERROR(VLOOKUP('Critical resources'!K49,$A$6:$C$57,3,0),0)</f>
        <v>0</v>
      </c>
      <c r="N43" s="67">
        <f ca="1">IFERROR(VLOOKUP('Critical resources'!M49,$B$6:$C$57,2,0),0)</f>
        <v>0</v>
      </c>
      <c r="O43" s="67">
        <f ca="1">IFERROR(VLOOKUP('Critical resources'!N49,$A$6:$C$57,3,0),0)</f>
        <v>0</v>
      </c>
      <c r="P43" s="67">
        <f ca="1">IFERROR(VLOOKUP('Critical resources'!P49,$B$6:$C$57,2,0),0)</f>
        <v>0</v>
      </c>
      <c r="Q43" s="67">
        <f ca="1">IFERROR(VLOOKUP('Critical resources'!Q49,$A$6:$C$57,3,0),0)</f>
        <v>0</v>
      </c>
      <c r="T43" s="67" t="str">
        <f t="shared" si="17"/>
        <v xml:space="preserve">38. </v>
      </c>
      <c r="U43" s="67">
        <f t="shared" ca="1" si="19"/>
        <v>0</v>
      </c>
      <c r="V43" s="67">
        <f t="shared" ca="1" si="19"/>
        <v>0</v>
      </c>
      <c r="W43" s="67">
        <f t="shared" ca="1" si="19"/>
        <v>0</v>
      </c>
      <c r="X43" s="67">
        <f t="shared" ca="1" si="19"/>
        <v>0</v>
      </c>
      <c r="Y43" s="67">
        <f t="shared" ca="1" si="19"/>
        <v>0</v>
      </c>
      <c r="Z43" s="67">
        <f t="shared" ca="1" si="19"/>
        <v>0</v>
      </c>
      <c r="AA43" s="67">
        <f t="shared" ca="1" si="19"/>
        <v>0</v>
      </c>
      <c r="AB43" s="67">
        <f t="shared" ca="1" si="19"/>
        <v>0</v>
      </c>
      <c r="AC43" s="67">
        <f t="shared" ca="1" si="19"/>
        <v>0</v>
      </c>
      <c r="AD43" s="67">
        <f t="shared" ca="1" si="19"/>
        <v>0</v>
      </c>
      <c r="AE43" s="67">
        <f t="shared" ca="1" si="19"/>
        <v>0</v>
      </c>
      <c r="AF43" s="67">
        <f t="shared" ca="1" si="19"/>
        <v>0</v>
      </c>
      <c r="AG43" s="67">
        <f t="shared" ca="1" si="19"/>
        <v>0</v>
      </c>
      <c r="AH43" s="67">
        <f t="shared" ca="1" si="19"/>
        <v>0</v>
      </c>
      <c r="AI43" s="67">
        <f t="shared" ca="1" si="19"/>
        <v>0</v>
      </c>
      <c r="AJ43" s="67">
        <f t="shared" ca="1" si="18"/>
        <v>0</v>
      </c>
      <c r="AK43" s="67">
        <f t="shared" ca="1" si="15"/>
        <v>0</v>
      </c>
      <c r="AL43" s="67">
        <f t="shared" ca="1" si="15"/>
        <v>0</v>
      </c>
      <c r="AM43" s="67">
        <f t="shared" ca="1" si="15"/>
        <v>0</v>
      </c>
      <c r="AN43" s="67">
        <f t="shared" ca="1" si="15"/>
        <v>0</v>
      </c>
      <c r="AO43" s="67">
        <f t="shared" ca="1" si="15"/>
        <v>0</v>
      </c>
      <c r="AP43" s="67">
        <f t="shared" ca="1" si="15"/>
        <v>0</v>
      </c>
      <c r="AQ43" s="67">
        <f t="shared" ca="1" si="15"/>
        <v>0</v>
      </c>
      <c r="AR43" s="67">
        <f t="shared" ca="1" si="15"/>
        <v>0</v>
      </c>
      <c r="AS43" s="67">
        <f t="shared" ca="1" si="15"/>
        <v>0</v>
      </c>
      <c r="AT43" s="67">
        <f t="shared" ca="1" si="15"/>
        <v>0</v>
      </c>
      <c r="AU43" s="67">
        <f t="shared" ca="1" si="15"/>
        <v>0</v>
      </c>
      <c r="AV43" s="67">
        <f t="shared" ca="1" si="15"/>
        <v>0</v>
      </c>
      <c r="AW43" s="67">
        <f t="shared" ca="1" si="15"/>
        <v>0</v>
      </c>
      <c r="AX43" s="67">
        <f t="shared" ca="1" si="15"/>
        <v>0</v>
      </c>
      <c r="AY43" s="67">
        <f t="shared" ca="1" si="15"/>
        <v>0</v>
      </c>
      <c r="AZ43" s="67">
        <f t="shared" ca="1" si="15"/>
        <v>0</v>
      </c>
      <c r="BA43" s="67">
        <f t="shared" ca="1" si="16"/>
        <v>0</v>
      </c>
      <c r="BB43" s="67">
        <f t="shared" ca="1" si="16"/>
        <v>0</v>
      </c>
      <c r="BC43" s="67">
        <f t="shared" ca="1" si="16"/>
        <v>0</v>
      </c>
      <c r="BD43" s="67">
        <f t="shared" ca="1" si="16"/>
        <v>0</v>
      </c>
      <c r="BE43" s="67">
        <f t="shared" ca="1" si="16"/>
        <v>0</v>
      </c>
      <c r="BF43" s="67">
        <f t="shared" ca="1" si="16"/>
        <v>0</v>
      </c>
      <c r="BG43" s="67">
        <f t="shared" ca="1" si="16"/>
        <v>0</v>
      </c>
      <c r="BH43" s="67">
        <f t="shared" ca="1" si="16"/>
        <v>0</v>
      </c>
      <c r="BI43" s="67">
        <f t="shared" ca="1" si="16"/>
        <v>0</v>
      </c>
      <c r="BJ43" s="67">
        <f t="shared" ca="1" si="16"/>
        <v>0</v>
      </c>
      <c r="BK43" s="67">
        <f t="shared" ca="1" si="16"/>
        <v>0</v>
      </c>
      <c r="BL43" s="67">
        <f t="shared" ca="1" si="16"/>
        <v>0</v>
      </c>
      <c r="BM43" s="67">
        <f t="shared" ca="1" si="16"/>
        <v>0</v>
      </c>
      <c r="BN43" s="67">
        <f t="shared" ca="1" si="16"/>
        <v>0</v>
      </c>
      <c r="BO43" s="67">
        <f t="shared" ca="1" si="16"/>
        <v>0</v>
      </c>
      <c r="BP43" s="67">
        <f t="shared" ca="1" si="16"/>
        <v>0</v>
      </c>
      <c r="BQ43" s="67">
        <f t="shared" ca="1" si="20"/>
        <v>0</v>
      </c>
      <c r="BR43" s="67">
        <f t="shared" ca="1" si="20"/>
        <v>0</v>
      </c>
      <c r="BS43" s="67">
        <f t="shared" ca="1" si="20"/>
        <v>0</v>
      </c>
      <c r="BT43" s="67">
        <f t="shared" ca="1" si="20"/>
        <v>0</v>
      </c>
    </row>
    <row r="44" spans="1:72" x14ac:dyDescent="0.2">
      <c r="A44" s="317">
        <f t="shared" ca="1" si="6"/>
        <v>44689</v>
      </c>
      <c r="B44" s="87">
        <f t="shared" ca="1" si="9"/>
        <v>44683</v>
      </c>
      <c r="C44" s="67">
        <v>39</v>
      </c>
      <c r="D44" s="67" t="str">
        <f t="shared" ca="1" si="10"/>
        <v/>
      </c>
      <c r="E44" s="67" t="str">
        <f t="shared" ca="1" si="0"/>
        <v>May</v>
      </c>
      <c r="F44" s="67">
        <f t="shared" ca="1" si="7"/>
        <v>18</v>
      </c>
      <c r="G44" s="67" t="str">
        <f>ROW(A39)&amp;". "&amp;'Critical resources'!B50</f>
        <v xml:space="preserve">39. </v>
      </c>
      <c r="H44" s="67">
        <f ca="1">IFERROR(VLOOKUP('Critical resources'!D50,$B$6:$C$57,2,0),0)</f>
        <v>0</v>
      </c>
      <c r="I44" s="67">
        <f ca="1">IFERROR(VLOOKUP('Critical resources'!E50,$A$6:$C$57,3,0),0)</f>
        <v>0</v>
      </c>
      <c r="J44" s="67">
        <f ca="1">IFERROR(VLOOKUP('Critical resources'!G50,$B$6:$C$57,2,0),0)</f>
        <v>0</v>
      </c>
      <c r="K44" s="67">
        <f ca="1">IFERROR(VLOOKUP('Critical resources'!H50,$B$6:$C$57,2,0),0)</f>
        <v>0</v>
      </c>
      <c r="L44" s="67">
        <f ca="1">IFERROR(VLOOKUP('Critical resources'!J50,$B$6:$C$57,2,0),0)</f>
        <v>0</v>
      </c>
      <c r="M44" s="67">
        <f ca="1">IFERROR(VLOOKUP('Critical resources'!K50,$A$6:$C$57,3,0),0)</f>
        <v>0</v>
      </c>
      <c r="N44" s="67">
        <f ca="1">IFERROR(VLOOKUP('Critical resources'!M50,$B$6:$C$57,2,0),0)</f>
        <v>0</v>
      </c>
      <c r="O44" s="67">
        <f ca="1">IFERROR(VLOOKUP('Critical resources'!N50,$A$6:$C$57,3,0),0)</f>
        <v>0</v>
      </c>
      <c r="P44" s="67">
        <f ca="1">IFERROR(VLOOKUP('Critical resources'!P50,$B$6:$C$57,2,0),0)</f>
        <v>0</v>
      </c>
      <c r="Q44" s="67">
        <f ca="1">IFERROR(VLOOKUP('Critical resources'!Q50,$A$6:$C$57,3,0),0)</f>
        <v>0</v>
      </c>
      <c r="T44" s="67" t="str">
        <f t="shared" si="17"/>
        <v xml:space="preserve">39. </v>
      </c>
      <c r="U44" s="67">
        <f t="shared" ca="1" si="19"/>
        <v>0</v>
      </c>
      <c r="V44" s="67">
        <f t="shared" ca="1" si="19"/>
        <v>0</v>
      </c>
      <c r="W44" s="67">
        <f t="shared" ca="1" si="19"/>
        <v>0</v>
      </c>
      <c r="X44" s="67">
        <f t="shared" ca="1" si="19"/>
        <v>0</v>
      </c>
      <c r="Y44" s="67">
        <f t="shared" ca="1" si="19"/>
        <v>0</v>
      </c>
      <c r="Z44" s="67">
        <f t="shared" ca="1" si="19"/>
        <v>0</v>
      </c>
      <c r="AA44" s="67">
        <f t="shared" ca="1" si="19"/>
        <v>0</v>
      </c>
      <c r="AB44" s="67">
        <f t="shared" ca="1" si="19"/>
        <v>0</v>
      </c>
      <c r="AC44" s="67">
        <f t="shared" ca="1" si="19"/>
        <v>0</v>
      </c>
      <c r="AD44" s="67">
        <f t="shared" ca="1" si="19"/>
        <v>0</v>
      </c>
      <c r="AE44" s="67">
        <f t="shared" ca="1" si="19"/>
        <v>0</v>
      </c>
      <c r="AF44" s="67">
        <f t="shared" ca="1" si="19"/>
        <v>0</v>
      </c>
      <c r="AG44" s="67">
        <f t="shared" ca="1" si="19"/>
        <v>0</v>
      </c>
      <c r="AH44" s="67">
        <f t="shared" ca="1" si="19"/>
        <v>0</v>
      </c>
      <c r="AI44" s="67">
        <f t="shared" ca="1" si="19"/>
        <v>0</v>
      </c>
      <c r="AJ44" s="67">
        <f t="shared" ca="1" si="18"/>
        <v>0</v>
      </c>
      <c r="AK44" s="67">
        <f t="shared" ca="1" si="15"/>
        <v>0</v>
      </c>
      <c r="AL44" s="67">
        <f t="shared" ca="1" si="15"/>
        <v>0</v>
      </c>
      <c r="AM44" s="67">
        <f t="shared" ca="1" si="15"/>
        <v>0</v>
      </c>
      <c r="AN44" s="67">
        <f t="shared" ca="1" si="15"/>
        <v>0</v>
      </c>
      <c r="AO44" s="67">
        <f t="shared" ca="1" si="15"/>
        <v>0</v>
      </c>
      <c r="AP44" s="67">
        <f t="shared" ca="1" si="15"/>
        <v>0</v>
      </c>
      <c r="AQ44" s="67">
        <f t="shared" ca="1" si="15"/>
        <v>0</v>
      </c>
      <c r="AR44" s="67">
        <f t="shared" ca="1" si="15"/>
        <v>0</v>
      </c>
      <c r="AS44" s="67">
        <f t="shared" ca="1" si="15"/>
        <v>0</v>
      </c>
      <c r="AT44" s="67">
        <f t="shared" ca="1" si="15"/>
        <v>0</v>
      </c>
      <c r="AU44" s="67">
        <f t="shared" ca="1" si="15"/>
        <v>0</v>
      </c>
      <c r="AV44" s="67">
        <f t="shared" ca="1" si="15"/>
        <v>0</v>
      </c>
      <c r="AW44" s="67">
        <f t="shared" ca="1" si="15"/>
        <v>0</v>
      </c>
      <c r="AX44" s="67">
        <f t="shared" ca="1" si="15"/>
        <v>0</v>
      </c>
      <c r="AY44" s="67">
        <f t="shared" ca="1" si="15"/>
        <v>0</v>
      </c>
      <c r="AZ44" s="67">
        <f t="shared" ca="1" si="15"/>
        <v>0</v>
      </c>
      <c r="BA44" s="67">
        <f t="shared" ca="1" si="16"/>
        <v>0</v>
      </c>
      <c r="BB44" s="67">
        <f t="shared" ca="1" si="16"/>
        <v>0</v>
      </c>
      <c r="BC44" s="67">
        <f t="shared" ca="1" si="16"/>
        <v>0</v>
      </c>
      <c r="BD44" s="67">
        <f t="shared" ca="1" si="16"/>
        <v>0</v>
      </c>
      <c r="BE44" s="67">
        <f t="shared" ca="1" si="16"/>
        <v>0</v>
      </c>
      <c r="BF44" s="67">
        <f t="shared" ca="1" si="16"/>
        <v>0</v>
      </c>
      <c r="BG44" s="67">
        <f t="shared" ca="1" si="16"/>
        <v>0</v>
      </c>
      <c r="BH44" s="67">
        <f t="shared" ca="1" si="16"/>
        <v>0</v>
      </c>
      <c r="BI44" s="67">
        <f t="shared" ca="1" si="16"/>
        <v>0</v>
      </c>
      <c r="BJ44" s="67">
        <f t="shared" ca="1" si="16"/>
        <v>0</v>
      </c>
      <c r="BK44" s="67">
        <f t="shared" ca="1" si="16"/>
        <v>0</v>
      </c>
      <c r="BL44" s="67">
        <f t="shared" ca="1" si="16"/>
        <v>0</v>
      </c>
      <c r="BM44" s="67">
        <f t="shared" ca="1" si="16"/>
        <v>0</v>
      </c>
      <c r="BN44" s="67">
        <f t="shared" ca="1" si="16"/>
        <v>0</v>
      </c>
      <c r="BO44" s="67">
        <f t="shared" ca="1" si="16"/>
        <v>0</v>
      </c>
      <c r="BP44" s="67">
        <f t="shared" ca="1" si="16"/>
        <v>0</v>
      </c>
      <c r="BQ44" s="67">
        <f t="shared" ca="1" si="20"/>
        <v>0</v>
      </c>
      <c r="BR44" s="67">
        <f t="shared" ca="1" si="20"/>
        <v>0</v>
      </c>
      <c r="BS44" s="67">
        <f t="shared" ca="1" si="20"/>
        <v>0</v>
      </c>
      <c r="BT44" s="67">
        <f t="shared" ca="1" si="20"/>
        <v>0</v>
      </c>
    </row>
    <row r="45" spans="1:72" x14ac:dyDescent="0.2">
      <c r="A45" s="317">
        <f t="shared" ca="1" si="6"/>
        <v>44696</v>
      </c>
      <c r="B45" s="87">
        <f t="shared" ca="1" si="9"/>
        <v>44690</v>
      </c>
      <c r="C45" s="67">
        <v>40</v>
      </c>
      <c r="D45" s="67" t="str">
        <f t="shared" ca="1" si="10"/>
        <v/>
      </c>
      <c r="E45" s="67" t="str">
        <f t="shared" ca="1" si="0"/>
        <v xml:space="preserve"> </v>
      </c>
      <c r="F45" s="67">
        <f t="shared" ca="1" si="7"/>
        <v>19</v>
      </c>
      <c r="G45" s="67" t="str">
        <f>ROW(A40)&amp;". "&amp;'Critical resources'!B51</f>
        <v xml:space="preserve">40. </v>
      </c>
      <c r="H45" s="67">
        <f ca="1">IFERROR(VLOOKUP('Critical resources'!D51,$B$6:$C$57,2,0),0)</f>
        <v>0</v>
      </c>
      <c r="I45" s="67">
        <f ca="1">IFERROR(VLOOKUP('Critical resources'!E51,$A$6:$C$57,3,0),0)</f>
        <v>0</v>
      </c>
      <c r="J45" s="67">
        <f ca="1">IFERROR(VLOOKUP('Critical resources'!G51,$B$6:$C$57,2,0),0)</f>
        <v>0</v>
      </c>
      <c r="K45" s="67">
        <f ca="1">IFERROR(VLOOKUP('Critical resources'!H51,$B$6:$C$57,2,0),0)</f>
        <v>0</v>
      </c>
      <c r="L45" s="67">
        <f ca="1">IFERROR(VLOOKUP('Critical resources'!J51,$B$6:$C$57,2,0),0)</f>
        <v>0</v>
      </c>
      <c r="M45" s="67">
        <f ca="1">IFERROR(VLOOKUP('Critical resources'!K51,$A$6:$C$57,3,0),0)</f>
        <v>0</v>
      </c>
      <c r="N45" s="67">
        <f ca="1">IFERROR(VLOOKUP('Critical resources'!M51,$B$6:$C$57,2,0),0)</f>
        <v>0</v>
      </c>
      <c r="O45" s="67">
        <f ca="1">IFERROR(VLOOKUP('Critical resources'!N51,$A$6:$C$57,3,0),0)</f>
        <v>0</v>
      </c>
      <c r="P45" s="67">
        <f ca="1">IFERROR(VLOOKUP('Critical resources'!P51,$B$6:$C$57,2,0),0)</f>
        <v>0</v>
      </c>
      <c r="Q45" s="67">
        <f ca="1">IFERROR(VLOOKUP('Critical resources'!Q51,$A$6:$C$57,3,0),0)</f>
        <v>0</v>
      </c>
      <c r="T45" s="67" t="str">
        <f t="shared" si="17"/>
        <v xml:space="preserve">40. </v>
      </c>
      <c r="U45" s="67">
        <f t="shared" ca="1" si="19"/>
        <v>0</v>
      </c>
      <c r="V45" s="67">
        <f t="shared" ca="1" si="19"/>
        <v>0</v>
      </c>
      <c r="W45" s="67">
        <f t="shared" ca="1" si="19"/>
        <v>0</v>
      </c>
      <c r="X45" s="67">
        <f t="shared" ca="1" si="19"/>
        <v>0</v>
      </c>
      <c r="Y45" s="67">
        <f t="shared" ca="1" si="19"/>
        <v>0</v>
      </c>
      <c r="Z45" s="67">
        <f t="shared" ca="1" si="19"/>
        <v>0</v>
      </c>
      <c r="AA45" s="67">
        <f t="shared" ca="1" si="19"/>
        <v>0</v>
      </c>
      <c r="AB45" s="67">
        <f t="shared" ca="1" si="19"/>
        <v>0</v>
      </c>
      <c r="AC45" s="67">
        <f t="shared" ca="1" si="19"/>
        <v>0</v>
      </c>
      <c r="AD45" s="67">
        <f t="shared" ca="1" si="19"/>
        <v>0</v>
      </c>
      <c r="AE45" s="67">
        <f t="shared" ca="1" si="19"/>
        <v>0</v>
      </c>
      <c r="AF45" s="67">
        <f t="shared" ca="1" si="19"/>
        <v>0</v>
      </c>
      <c r="AG45" s="67">
        <f t="shared" ca="1" si="19"/>
        <v>0</v>
      </c>
      <c r="AH45" s="67">
        <f t="shared" ca="1" si="19"/>
        <v>0</v>
      </c>
      <c r="AI45" s="67">
        <f t="shared" ca="1" si="19"/>
        <v>0</v>
      </c>
      <c r="AJ45" s="67">
        <f t="shared" ca="1" si="18"/>
        <v>0</v>
      </c>
      <c r="AK45" s="67">
        <f t="shared" ca="1" si="15"/>
        <v>0</v>
      </c>
      <c r="AL45" s="67">
        <f t="shared" ca="1" si="15"/>
        <v>0</v>
      </c>
      <c r="AM45" s="67">
        <f t="shared" ca="1" si="15"/>
        <v>0</v>
      </c>
      <c r="AN45" s="67">
        <f t="shared" ca="1" si="15"/>
        <v>0</v>
      </c>
      <c r="AO45" s="67">
        <f t="shared" ca="1" si="15"/>
        <v>0</v>
      </c>
      <c r="AP45" s="67">
        <f t="shared" ca="1" si="15"/>
        <v>0</v>
      </c>
      <c r="AQ45" s="67">
        <f t="shared" ca="1" si="15"/>
        <v>0</v>
      </c>
      <c r="AR45" s="67">
        <f t="shared" ca="1" si="15"/>
        <v>0</v>
      </c>
      <c r="AS45" s="67">
        <f t="shared" ca="1" si="15"/>
        <v>0</v>
      </c>
      <c r="AT45" s="67">
        <f t="shared" ca="1" si="15"/>
        <v>0</v>
      </c>
      <c r="AU45" s="67">
        <f t="shared" ca="1" si="15"/>
        <v>0</v>
      </c>
      <c r="AV45" s="67">
        <f t="shared" ca="1" si="15"/>
        <v>0</v>
      </c>
      <c r="AW45" s="67">
        <f t="shared" ca="1" si="15"/>
        <v>0</v>
      </c>
      <c r="AX45" s="67">
        <f t="shared" ca="1" si="15"/>
        <v>0</v>
      </c>
      <c r="AY45" s="67">
        <f t="shared" ca="1" si="15"/>
        <v>0</v>
      </c>
      <c r="AZ45" s="67">
        <f t="shared" ca="1" si="15"/>
        <v>0</v>
      </c>
      <c r="BA45" s="67">
        <f t="shared" ca="1" si="16"/>
        <v>0</v>
      </c>
      <c r="BB45" s="67">
        <f t="shared" ca="1" si="16"/>
        <v>0</v>
      </c>
      <c r="BC45" s="67">
        <f t="shared" ca="1" si="16"/>
        <v>0</v>
      </c>
      <c r="BD45" s="67">
        <f t="shared" ca="1" si="16"/>
        <v>0</v>
      </c>
      <c r="BE45" s="67">
        <f t="shared" ca="1" si="16"/>
        <v>0</v>
      </c>
      <c r="BF45" s="67">
        <f t="shared" ca="1" si="16"/>
        <v>0</v>
      </c>
      <c r="BG45" s="67">
        <f t="shared" ca="1" si="16"/>
        <v>0</v>
      </c>
      <c r="BH45" s="67">
        <f t="shared" ca="1" si="16"/>
        <v>0</v>
      </c>
      <c r="BI45" s="67">
        <f t="shared" ca="1" si="16"/>
        <v>0</v>
      </c>
      <c r="BJ45" s="67">
        <f t="shared" ca="1" si="16"/>
        <v>0</v>
      </c>
      <c r="BK45" s="67">
        <f t="shared" ca="1" si="16"/>
        <v>0</v>
      </c>
      <c r="BL45" s="67">
        <f t="shared" ca="1" si="16"/>
        <v>0</v>
      </c>
      <c r="BM45" s="67">
        <f t="shared" ca="1" si="16"/>
        <v>0</v>
      </c>
      <c r="BN45" s="67">
        <f t="shared" ca="1" si="16"/>
        <v>0</v>
      </c>
      <c r="BO45" s="67">
        <f t="shared" ca="1" si="16"/>
        <v>0</v>
      </c>
      <c r="BP45" s="67">
        <f t="shared" ca="1" si="16"/>
        <v>0</v>
      </c>
      <c r="BQ45" s="67">
        <f t="shared" ca="1" si="20"/>
        <v>0</v>
      </c>
      <c r="BR45" s="67">
        <f t="shared" ca="1" si="20"/>
        <v>0</v>
      </c>
      <c r="BS45" s="67">
        <f t="shared" ca="1" si="20"/>
        <v>0</v>
      </c>
      <c r="BT45" s="67">
        <f t="shared" ca="1" si="20"/>
        <v>0</v>
      </c>
    </row>
    <row r="46" spans="1:72" x14ac:dyDescent="0.2">
      <c r="A46" s="317">
        <f t="shared" ca="1" si="6"/>
        <v>44703</v>
      </c>
      <c r="B46" s="87">
        <f t="shared" ca="1" si="9"/>
        <v>44697</v>
      </c>
      <c r="C46" s="67">
        <v>41</v>
      </c>
      <c r="D46" s="67" t="str">
        <f t="shared" ca="1" si="10"/>
        <v/>
      </c>
      <c r="E46" s="67" t="str">
        <f t="shared" ca="1" si="0"/>
        <v xml:space="preserve"> </v>
      </c>
      <c r="F46" s="67">
        <f t="shared" ca="1" si="7"/>
        <v>20</v>
      </c>
      <c r="G46" s="67" t="str">
        <f>ROW(A41)&amp;". "&amp;'Critical resources'!B52</f>
        <v xml:space="preserve">41. </v>
      </c>
      <c r="H46" s="67">
        <f ca="1">IFERROR(VLOOKUP('Critical resources'!D52,$B$6:$C$57,2,0),0)</f>
        <v>0</v>
      </c>
      <c r="I46" s="67">
        <f ca="1">IFERROR(VLOOKUP('Critical resources'!E52,$A$6:$C$57,3,0),0)</f>
        <v>0</v>
      </c>
      <c r="J46" s="67">
        <f ca="1">IFERROR(VLOOKUP('Critical resources'!G52,$B$6:$C$57,2,0),0)</f>
        <v>0</v>
      </c>
      <c r="K46" s="67">
        <f ca="1">IFERROR(VLOOKUP('Critical resources'!H52,$B$6:$C$57,2,0),0)</f>
        <v>0</v>
      </c>
      <c r="L46" s="67">
        <f ca="1">IFERROR(VLOOKUP('Critical resources'!J52,$B$6:$C$57,2,0),0)</f>
        <v>0</v>
      </c>
      <c r="M46" s="67">
        <f ca="1">IFERROR(VLOOKUP('Critical resources'!K52,$A$6:$C$57,3,0),0)</f>
        <v>0</v>
      </c>
      <c r="N46" s="67">
        <f ca="1">IFERROR(VLOOKUP('Critical resources'!M52,$B$6:$C$57,2,0),0)</f>
        <v>0</v>
      </c>
      <c r="O46" s="67">
        <f ca="1">IFERROR(VLOOKUP('Critical resources'!N52,$A$6:$C$57,3,0),0)</f>
        <v>0</v>
      </c>
      <c r="P46" s="67">
        <f ca="1">IFERROR(VLOOKUP('Critical resources'!P52,$B$6:$C$57,2,0),0)</f>
        <v>0</v>
      </c>
      <c r="Q46" s="67">
        <f ca="1">IFERROR(VLOOKUP('Critical resources'!Q52,$A$6:$C$57,3,0),0)</f>
        <v>0</v>
      </c>
      <c r="T46" s="67" t="str">
        <f t="shared" si="17"/>
        <v xml:space="preserve">41. </v>
      </c>
      <c r="U46" s="67">
        <f t="shared" ca="1" si="19"/>
        <v>0</v>
      </c>
      <c r="V46" s="67">
        <f t="shared" ca="1" si="19"/>
        <v>0</v>
      </c>
      <c r="W46" s="67">
        <f t="shared" ca="1" si="19"/>
        <v>0</v>
      </c>
      <c r="X46" s="67">
        <f t="shared" ca="1" si="19"/>
        <v>0</v>
      </c>
      <c r="Y46" s="67">
        <f t="shared" ca="1" si="19"/>
        <v>0</v>
      </c>
      <c r="Z46" s="67">
        <f t="shared" ca="1" si="19"/>
        <v>0</v>
      </c>
      <c r="AA46" s="67">
        <f t="shared" ca="1" si="19"/>
        <v>0</v>
      </c>
      <c r="AB46" s="67">
        <f t="shared" ca="1" si="19"/>
        <v>0</v>
      </c>
      <c r="AC46" s="67">
        <f t="shared" ca="1" si="19"/>
        <v>0</v>
      </c>
      <c r="AD46" s="67">
        <f t="shared" ca="1" si="19"/>
        <v>0</v>
      </c>
      <c r="AE46" s="67">
        <f t="shared" ca="1" si="19"/>
        <v>0</v>
      </c>
      <c r="AF46" s="67">
        <f t="shared" ca="1" si="19"/>
        <v>0</v>
      </c>
      <c r="AG46" s="67">
        <f t="shared" ca="1" si="19"/>
        <v>0</v>
      </c>
      <c r="AH46" s="67">
        <f t="shared" ca="1" si="19"/>
        <v>0</v>
      </c>
      <c r="AI46" s="67">
        <f t="shared" ca="1" si="19"/>
        <v>0</v>
      </c>
      <c r="AJ46" s="67">
        <f t="shared" ca="1" si="18"/>
        <v>0</v>
      </c>
      <c r="AK46" s="67">
        <f t="shared" ca="1" si="15"/>
        <v>0</v>
      </c>
      <c r="AL46" s="67">
        <f t="shared" ca="1" si="15"/>
        <v>0</v>
      </c>
      <c r="AM46" s="67">
        <f t="shared" ca="1" si="15"/>
        <v>0</v>
      </c>
      <c r="AN46" s="67">
        <f t="shared" ca="1" si="15"/>
        <v>0</v>
      </c>
      <c r="AO46" s="67">
        <f t="shared" ca="1" si="15"/>
        <v>0</v>
      </c>
      <c r="AP46" s="67">
        <f t="shared" ca="1" si="15"/>
        <v>0</v>
      </c>
      <c r="AQ46" s="67">
        <f t="shared" ca="1" si="15"/>
        <v>0</v>
      </c>
      <c r="AR46" s="67">
        <f t="shared" ca="1" si="15"/>
        <v>0</v>
      </c>
      <c r="AS46" s="67">
        <f t="shared" ca="1" si="15"/>
        <v>0</v>
      </c>
      <c r="AT46" s="67">
        <f t="shared" ca="1" si="15"/>
        <v>0</v>
      </c>
      <c r="AU46" s="67">
        <f t="shared" ca="1" si="15"/>
        <v>0</v>
      </c>
      <c r="AV46" s="67">
        <f t="shared" ca="1" si="15"/>
        <v>0</v>
      </c>
      <c r="AW46" s="67">
        <f t="shared" ca="1" si="15"/>
        <v>0</v>
      </c>
      <c r="AX46" s="67">
        <f t="shared" ca="1" si="15"/>
        <v>0</v>
      </c>
      <c r="AY46" s="67">
        <f t="shared" ca="1" si="15"/>
        <v>0</v>
      </c>
      <c r="AZ46" s="67">
        <f t="shared" ca="1" si="15"/>
        <v>0</v>
      </c>
      <c r="BA46" s="67">
        <f t="shared" ca="1" si="16"/>
        <v>0</v>
      </c>
      <c r="BB46" s="67">
        <f t="shared" ca="1" si="16"/>
        <v>0</v>
      </c>
      <c r="BC46" s="67">
        <f t="shared" ca="1" si="16"/>
        <v>0</v>
      </c>
      <c r="BD46" s="67">
        <f t="shared" ca="1" si="16"/>
        <v>0</v>
      </c>
      <c r="BE46" s="67">
        <f t="shared" ca="1" si="16"/>
        <v>0</v>
      </c>
      <c r="BF46" s="67">
        <f t="shared" ca="1" si="16"/>
        <v>0</v>
      </c>
      <c r="BG46" s="67">
        <f t="shared" ca="1" si="16"/>
        <v>0</v>
      </c>
      <c r="BH46" s="67">
        <f t="shared" ca="1" si="16"/>
        <v>0</v>
      </c>
      <c r="BI46" s="67">
        <f t="shared" ca="1" si="16"/>
        <v>0</v>
      </c>
      <c r="BJ46" s="67">
        <f t="shared" ca="1" si="16"/>
        <v>0</v>
      </c>
      <c r="BK46" s="67">
        <f t="shared" ca="1" si="16"/>
        <v>0</v>
      </c>
      <c r="BL46" s="67">
        <f t="shared" ca="1" si="16"/>
        <v>0</v>
      </c>
      <c r="BM46" s="67">
        <f t="shared" ca="1" si="16"/>
        <v>0</v>
      </c>
      <c r="BN46" s="67">
        <f t="shared" ca="1" si="16"/>
        <v>0</v>
      </c>
      <c r="BO46" s="67">
        <f t="shared" ca="1" si="16"/>
        <v>0</v>
      </c>
      <c r="BP46" s="67">
        <f t="shared" ca="1" si="16"/>
        <v>0</v>
      </c>
      <c r="BQ46" s="67">
        <f t="shared" ca="1" si="20"/>
        <v>0</v>
      </c>
      <c r="BR46" s="67">
        <f t="shared" ca="1" si="20"/>
        <v>0</v>
      </c>
      <c r="BS46" s="67">
        <f t="shared" ca="1" si="20"/>
        <v>0</v>
      </c>
      <c r="BT46" s="67">
        <f t="shared" ca="1" si="20"/>
        <v>0</v>
      </c>
    </row>
    <row r="47" spans="1:72" x14ac:dyDescent="0.2">
      <c r="A47" s="317">
        <f t="shared" ca="1" si="6"/>
        <v>44710</v>
      </c>
      <c r="B47" s="87">
        <f t="shared" ca="1" si="9"/>
        <v>44704</v>
      </c>
      <c r="C47" s="67">
        <v>42</v>
      </c>
      <c r="D47" s="67" t="str">
        <f t="shared" ca="1" si="10"/>
        <v/>
      </c>
      <c r="E47" s="67" t="str">
        <f t="shared" ca="1" si="0"/>
        <v xml:space="preserve"> </v>
      </c>
      <c r="F47" s="67">
        <f t="shared" ca="1" si="7"/>
        <v>21</v>
      </c>
      <c r="G47" s="67" t="str">
        <f>ROW(A42)&amp;". "&amp;'Critical resources'!B53</f>
        <v xml:space="preserve">42. </v>
      </c>
      <c r="H47" s="67">
        <f ca="1">IFERROR(VLOOKUP('Critical resources'!D53,$B$6:$C$57,2,0),0)</f>
        <v>0</v>
      </c>
      <c r="I47" s="67">
        <f ca="1">IFERROR(VLOOKUP('Critical resources'!E53,$A$6:$C$57,3,0),0)</f>
        <v>0</v>
      </c>
      <c r="J47" s="67">
        <f ca="1">IFERROR(VLOOKUP('Critical resources'!G53,$B$6:$C$57,2,0),0)</f>
        <v>0</v>
      </c>
      <c r="K47" s="67">
        <f ca="1">IFERROR(VLOOKUP('Critical resources'!H53,$B$6:$C$57,2,0),0)</f>
        <v>0</v>
      </c>
      <c r="L47" s="67">
        <f ca="1">IFERROR(VLOOKUP('Critical resources'!J53,$B$6:$C$57,2,0),0)</f>
        <v>0</v>
      </c>
      <c r="M47" s="67">
        <f ca="1">IFERROR(VLOOKUP('Critical resources'!K53,$A$6:$C$57,3,0),0)</f>
        <v>0</v>
      </c>
      <c r="N47" s="67">
        <f ca="1">IFERROR(VLOOKUP('Critical resources'!M53,$B$6:$C$57,2,0),0)</f>
        <v>0</v>
      </c>
      <c r="O47" s="67">
        <f ca="1">IFERROR(VLOOKUP('Critical resources'!N53,$A$6:$C$57,3,0),0)</f>
        <v>0</v>
      </c>
      <c r="P47" s="67">
        <f ca="1">IFERROR(VLOOKUP('Critical resources'!P53,$B$6:$C$57,2,0),0)</f>
        <v>0</v>
      </c>
      <c r="Q47" s="67">
        <f ca="1">IFERROR(VLOOKUP('Critical resources'!Q53,$A$6:$C$57,3,0),0)</f>
        <v>0</v>
      </c>
      <c r="T47" s="67" t="str">
        <f t="shared" si="17"/>
        <v xml:space="preserve">42. </v>
      </c>
      <c r="U47" s="67">
        <f t="shared" ca="1" si="19"/>
        <v>0</v>
      </c>
      <c r="V47" s="67">
        <f t="shared" ca="1" si="19"/>
        <v>0</v>
      </c>
      <c r="W47" s="67">
        <f t="shared" ca="1" si="19"/>
        <v>0</v>
      </c>
      <c r="X47" s="67">
        <f t="shared" ca="1" si="19"/>
        <v>0</v>
      </c>
      <c r="Y47" s="67">
        <f t="shared" ca="1" si="19"/>
        <v>0</v>
      </c>
      <c r="Z47" s="67">
        <f t="shared" ca="1" si="19"/>
        <v>0</v>
      </c>
      <c r="AA47" s="67">
        <f t="shared" ca="1" si="19"/>
        <v>0</v>
      </c>
      <c r="AB47" s="67">
        <f t="shared" ca="1" si="19"/>
        <v>0</v>
      </c>
      <c r="AC47" s="67">
        <f t="shared" ca="1" si="19"/>
        <v>0</v>
      </c>
      <c r="AD47" s="67">
        <f t="shared" ca="1" si="19"/>
        <v>0</v>
      </c>
      <c r="AE47" s="67">
        <f t="shared" ca="1" si="19"/>
        <v>0</v>
      </c>
      <c r="AF47" s="67">
        <f t="shared" ca="1" si="19"/>
        <v>0</v>
      </c>
      <c r="AG47" s="67">
        <f t="shared" ca="1" si="19"/>
        <v>0</v>
      </c>
      <c r="AH47" s="67">
        <f t="shared" ca="1" si="19"/>
        <v>0</v>
      </c>
      <c r="AI47" s="67">
        <f t="shared" ca="1" si="19"/>
        <v>0</v>
      </c>
      <c r="AJ47" s="67">
        <f t="shared" ca="1" si="18"/>
        <v>0</v>
      </c>
      <c r="AK47" s="67">
        <f t="shared" ca="1" si="15"/>
        <v>0</v>
      </c>
      <c r="AL47" s="67">
        <f t="shared" ca="1" si="15"/>
        <v>0</v>
      </c>
      <c r="AM47" s="67">
        <f t="shared" ca="1" si="15"/>
        <v>0</v>
      </c>
      <c r="AN47" s="67">
        <f t="shared" ca="1" si="15"/>
        <v>0</v>
      </c>
      <c r="AO47" s="67">
        <f t="shared" ca="1" si="15"/>
        <v>0</v>
      </c>
      <c r="AP47" s="67">
        <f t="shared" ca="1" si="15"/>
        <v>0</v>
      </c>
      <c r="AQ47" s="67">
        <f t="shared" ca="1" si="15"/>
        <v>0</v>
      </c>
      <c r="AR47" s="67">
        <f t="shared" ca="1" si="15"/>
        <v>0</v>
      </c>
      <c r="AS47" s="67">
        <f t="shared" ca="1" si="15"/>
        <v>0</v>
      </c>
      <c r="AT47" s="67">
        <f t="shared" ca="1" si="15"/>
        <v>0</v>
      </c>
      <c r="AU47" s="67">
        <f t="shared" ca="1" si="15"/>
        <v>0</v>
      </c>
      <c r="AV47" s="67">
        <f t="shared" ca="1" si="15"/>
        <v>0</v>
      </c>
      <c r="AW47" s="67">
        <f t="shared" ca="1" si="15"/>
        <v>0</v>
      </c>
      <c r="AX47" s="67">
        <f t="shared" ca="1" si="15"/>
        <v>0</v>
      </c>
      <c r="AY47" s="67">
        <f t="shared" ca="1" si="15"/>
        <v>0</v>
      </c>
      <c r="AZ47" s="67">
        <f t="shared" ca="1" si="15"/>
        <v>0</v>
      </c>
      <c r="BA47" s="67">
        <f t="shared" ca="1" si="16"/>
        <v>0</v>
      </c>
      <c r="BB47" s="67">
        <f t="shared" ca="1" si="16"/>
        <v>0</v>
      </c>
      <c r="BC47" s="67">
        <f t="shared" ca="1" si="16"/>
        <v>0</v>
      </c>
      <c r="BD47" s="67">
        <f t="shared" ca="1" si="16"/>
        <v>0</v>
      </c>
      <c r="BE47" s="67">
        <f t="shared" ca="1" si="16"/>
        <v>0</v>
      </c>
      <c r="BF47" s="67">
        <f t="shared" ca="1" si="16"/>
        <v>0</v>
      </c>
      <c r="BG47" s="67">
        <f t="shared" ca="1" si="16"/>
        <v>0</v>
      </c>
      <c r="BH47" s="67">
        <f t="shared" ca="1" si="16"/>
        <v>0</v>
      </c>
      <c r="BI47" s="67">
        <f t="shared" ca="1" si="16"/>
        <v>0</v>
      </c>
      <c r="BJ47" s="67">
        <f t="shared" ca="1" si="16"/>
        <v>0</v>
      </c>
      <c r="BK47" s="67">
        <f t="shared" ca="1" si="16"/>
        <v>0</v>
      </c>
      <c r="BL47" s="67">
        <f t="shared" ca="1" si="16"/>
        <v>0</v>
      </c>
      <c r="BM47" s="67">
        <f t="shared" ca="1" si="16"/>
        <v>0</v>
      </c>
      <c r="BN47" s="67">
        <f t="shared" ca="1" si="16"/>
        <v>0</v>
      </c>
      <c r="BO47" s="67">
        <f t="shared" ca="1" si="16"/>
        <v>0</v>
      </c>
      <c r="BP47" s="67">
        <f t="shared" ca="1" si="16"/>
        <v>0</v>
      </c>
      <c r="BQ47" s="67">
        <f t="shared" ca="1" si="20"/>
        <v>0</v>
      </c>
      <c r="BR47" s="67">
        <f t="shared" ca="1" si="20"/>
        <v>0</v>
      </c>
      <c r="BS47" s="67">
        <f t="shared" ca="1" si="20"/>
        <v>0</v>
      </c>
      <c r="BT47" s="67">
        <f t="shared" ca="1" si="20"/>
        <v>0</v>
      </c>
    </row>
    <row r="48" spans="1:72" x14ac:dyDescent="0.2">
      <c r="A48" s="317">
        <f t="shared" ca="1" si="6"/>
        <v>44717</v>
      </c>
      <c r="B48" s="87">
        <f t="shared" ca="1" si="9"/>
        <v>44711</v>
      </c>
      <c r="C48" s="67">
        <v>43</v>
      </c>
      <c r="D48" s="67" t="str">
        <f t="shared" ca="1" si="10"/>
        <v/>
      </c>
      <c r="E48" s="67" t="str">
        <f t="shared" ca="1" si="0"/>
        <v xml:space="preserve"> </v>
      </c>
      <c r="F48" s="67">
        <f t="shared" ca="1" si="7"/>
        <v>22</v>
      </c>
      <c r="G48" s="67" t="str">
        <f>ROW(A43)&amp;". "&amp;'Critical resources'!B54</f>
        <v xml:space="preserve">43. </v>
      </c>
      <c r="H48" s="67">
        <f ca="1">IFERROR(VLOOKUP('Critical resources'!D54,$B$6:$C$57,2,0),0)</f>
        <v>0</v>
      </c>
      <c r="I48" s="67">
        <f ca="1">IFERROR(VLOOKUP('Critical resources'!E54,$A$6:$C$57,3,0),0)</f>
        <v>0</v>
      </c>
      <c r="J48" s="67">
        <f ca="1">IFERROR(VLOOKUP('Critical resources'!G54,$B$6:$C$57,2,0),0)</f>
        <v>0</v>
      </c>
      <c r="K48" s="67">
        <f ca="1">IFERROR(VLOOKUP('Critical resources'!H54,$B$6:$C$57,2,0),0)</f>
        <v>0</v>
      </c>
      <c r="L48" s="67">
        <f ca="1">IFERROR(VLOOKUP('Critical resources'!J54,$B$6:$C$57,2,0),0)</f>
        <v>0</v>
      </c>
      <c r="M48" s="67">
        <f ca="1">IFERROR(VLOOKUP('Critical resources'!K54,$A$6:$C$57,3,0),0)</f>
        <v>0</v>
      </c>
      <c r="N48" s="67">
        <f ca="1">IFERROR(VLOOKUP('Critical resources'!M54,$B$6:$C$57,2,0),0)</f>
        <v>0</v>
      </c>
      <c r="O48" s="67">
        <f ca="1">IFERROR(VLOOKUP('Critical resources'!N54,$A$6:$C$57,3,0),0)</f>
        <v>0</v>
      </c>
      <c r="P48" s="67">
        <f ca="1">IFERROR(VLOOKUP('Critical resources'!P54,$B$6:$C$57,2,0),0)</f>
        <v>0</v>
      </c>
      <c r="Q48" s="67">
        <f ca="1">IFERROR(VLOOKUP('Critical resources'!Q54,$A$6:$C$57,3,0),0)</f>
        <v>0</v>
      </c>
      <c r="T48" s="67" t="str">
        <f t="shared" si="17"/>
        <v xml:space="preserve">43. </v>
      </c>
      <c r="U48" s="67">
        <f t="shared" ca="1" si="19"/>
        <v>0</v>
      </c>
      <c r="V48" s="67">
        <f t="shared" ca="1" si="19"/>
        <v>0</v>
      </c>
      <c r="W48" s="67">
        <f t="shared" ca="1" si="19"/>
        <v>0</v>
      </c>
      <c r="X48" s="67">
        <f t="shared" ca="1" si="19"/>
        <v>0</v>
      </c>
      <c r="Y48" s="67">
        <f t="shared" ca="1" si="19"/>
        <v>0</v>
      </c>
      <c r="Z48" s="67">
        <f t="shared" ca="1" si="19"/>
        <v>0</v>
      </c>
      <c r="AA48" s="67">
        <f t="shared" ca="1" si="19"/>
        <v>0</v>
      </c>
      <c r="AB48" s="67">
        <f t="shared" ca="1" si="19"/>
        <v>0</v>
      </c>
      <c r="AC48" s="67">
        <f t="shared" ca="1" si="19"/>
        <v>0</v>
      </c>
      <c r="AD48" s="67">
        <f t="shared" ca="1" si="19"/>
        <v>0</v>
      </c>
      <c r="AE48" s="67">
        <f t="shared" ca="1" si="19"/>
        <v>0</v>
      </c>
      <c r="AF48" s="67">
        <f t="shared" ca="1" si="19"/>
        <v>0</v>
      </c>
      <c r="AG48" s="67">
        <f t="shared" ca="1" si="19"/>
        <v>0</v>
      </c>
      <c r="AH48" s="67">
        <f t="shared" ca="1" si="19"/>
        <v>0</v>
      </c>
      <c r="AI48" s="67">
        <f t="shared" ca="1" si="19"/>
        <v>0</v>
      </c>
      <c r="AJ48" s="67">
        <f t="shared" ca="1" si="18"/>
        <v>0</v>
      </c>
      <c r="AK48" s="67">
        <f t="shared" ca="1" si="15"/>
        <v>0</v>
      </c>
      <c r="AL48" s="67">
        <f t="shared" ca="1" si="15"/>
        <v>0</v>
      </c>
      <c r="AM48" s="67">
        <f t="shared" ca="1" si="15"/>
        <v>0</v>
      </c>
      <c r="AN48" s="67">
        <f t="shared" ca="1" si="15"/>
        <v>0</v>
      </c>
      <c r="AO48" s="67">
        <f t="shared" ca="1" si="15"/>
        <v>0</v>
      </c>
      <c r="AP48" s="67">
        <f t="shared" ca="1" si="15"/>
        <v>0</v>
      </c>
      <c r="AQ48" s="67">
        <f t="shared" ca="1" si="15"/>
        <v>0</v>
      </c>
      <c r="AR48" s="67">
        <f t="shared" ca="1" si="15"/>
        <v>0</v>
      </c>
      <c r="AS48" s="67">
        <f t="shared" ca="1" si="15"/>
        <v>0</v>
      </c>
      <c r="AT48" s="67">
        <f t="shared" ca="1" si="15"/>
        <v>0</v>
      </c>
      <c r="AU48" s="67">
        <f t="shared" ca="1" si="15"/>
        <v>0</v>
      </c>
      <c r="AV48" s="67">
        <f t="shared" ca="1" si="15"/>
        <v>0</v>
      </c>
      <c r="AW48" s="67">
        <f t="shared" ca="1" si="15"/>
        <v>0</v>
      </c>
      <c r="AX48" s="67">
        <f t="shared" ca="1" si="15"/>
        <v>0</v>
      </c>
      <c r="AY48" s="67">
        <f t="shared" ca="1" si="15"/>
        <v>0</v>
      </c>
      <c r="AZ48" s="67">
        <f t="shared" ca="1" si="15"/>
        <v>0</v>
      </c>
      <c r="BA48" s="67">
        <f t="shared" ca="1" si="16"/>
        <v>0</v>
      </c>
      <c r="BB48" s="67">
        <f t="shared" ca="1" si="16"/>
        <v>0</v>
      </c>
      <c r="BC48" s="67">
        <f t="shared" ca="1" si="16"/>
        <v>0</v>
      </c>
      <c r="BD48" s="67">
        <f t="shared" ca="1" si="16"/>
        <v>0</v>
      </c>
      <c r="BE48" s="67">
        <f t="shared" ca="1" si="16"/>
        <v>0</v>
      </c>
      <c r="BF48" s="67">
        <f t="shared" ca="1" si="16"/>
        <v>0</v>
      </c>
      <c r="BG48" s="67">
        <f t="shared" ca="1" si="16"/>
        <v>0</v>
      </c>
      <c r="BH48" s="67">
        <f t="shared" ca="1" si="16"/>
        <v>0</v>
      </c>
      <c r="BI48" s="67">
        <f t="shared" ca="1" si="16"/>
        <v>0</v>
      </c>
      <c r="BJ48" s="67">
        <f t="shared" ca="1" si="16"/>
        <v>0</v>
      </c>
      <c r="BK48" s="67">
        <f t="shared" ca="1" si="16"/>
        <v>0</v>
      </c>
      <c r="BL48" s="67">
        <f t="shared" ca="1" si="16"/>
        <v>0</v>
      </c>
      <c r="BM48" s="67">
        <f t="shared" ca="1" si="16"/>
        <v>0</v>
      </c>
      <c r="BN48" s="67">
        <f t="shared" ca="1" si="16"/>
        <v>0</v>
      </c>
      <c r="BO48" s="67">
        <f t="shared" ca="1" si="16"/>
        <v>0</v>
      </c>
      <c r="BP48" s="67">
        <f t="shared" ca="1" si="16"/>
        <v>0</v>
      </c>
      <c r="BQ48" s="67">
        <f t="shared" ca="1" si="20"/>
        <v>0</v>
      </c>
      <c r="BR48" s="67">
        <f t="shared" ca="1" si="20"/>
        <v>0</v>
      </c>
      <c r="BS48" s="67">
        <f t="shared" ca="1" si="20"/>
        <v>0</v>
      </c>
      <c r="BT48" s="67">
        <f t="shared" ca="1" si="20"/>
        <v>0</v>
      </c>
    </row>
    <row r="49" spans="1:72" x14ac:dyDescent="0.2">
      <c r="A49" s="317">
        <f t="shared" ca="1" si="6"/>
        <v>44724</v>
      </c>
      <c r="B49" s="87">
        <f t="shared" ca="1" si="9"/>
        <v>44718</v>
      </c>
      <c r="C49" s="67">
        <v>44</v>
      </c>
      <c r="D49" s="67" t="str">
        <f t="shared" ca="1" si="10"/>
        <v/>
      </c>
      <c r="E49" s="67" t="str">
        <f t="shared" ca="1" si="0"/>
        <v>Jun</v>
      </c>
      <c r="F49" s="67">
        <f t="shared" ca="1" si="7"/>
        <v>23</v>
      </c>
      <c r="G49" s="67" t="str">
        <f>ROW(A44)&amp;". "&amp;'Critical resources'!B55</f>
        <v xml:space="preserve">44. </v>
      </c>
      <c r="H49" s="67">
        <f ca="1">IFERROR(VLOOKUP('Critical resources'!D55,$B$6:$C$57,2,0),0)</f>
        <v>0</v>
      </c>
      <c r="I49" s="67">
        <f ca="1">IFERROR(VLOOKUP('Critical resources'!E55,$A$6:$C$57,3,0),0)</f>
        <v>0</v>
      </c>
      <c r="J49" s="67">
        <f ca="1">IFERROR(VLOOKUP('Critical resources'!G55,$B$6:$C$57,2,0),0)</f>
        <v>0</v>
      </c>
      <c r="K49" s="67">
        <f ca="1">IFERROR(VLOOKUP('Critical resources'!H55,$B$6:$C$57,2,0),0)</f>
        <v>0</v>
      </c>
      <c r="L49" s="67">
        <f ca="1">IFERROR(VLOOKUP('Critical resources'!J55,$B$6:$C$57,2,0),0)</f>
        <v>0</v>
      </c>
      <c r="M49" s="67">
        <f ca="1">IFERROR(VLOOKUP('Critical resources'!K55,$A$6:$C$57,3,0),0)</f>
        <v>0</v>
      </c>
      <c r="N49" s="67">
        <f ca="1">IFERROR(VLOOKUP('Critical resources'!M55,$B$6:$C$57,2,0),0)</f>
        <v>0</v>
      </c>
      <c r="O49" s="67">
        <f ca="1">IFERROR(VLOOKUP('Critical resources'!N55,$A$6:$C$57,3,0),0)</f>
        <v>0</v>
      </c>
      <c r="P49" s="67">
        <f ca="1">IFERROR(VLOOKUP('Critical resources'!P55,$B$6:$C$57,2,0),0)</f>
        <v>0</v>
      </c>
      <c r="Q49" s="67">
        <f ca="1">IFERROR(VLOOKUP('Critical resources'!Q55,$A$6:$C$57,3,0),0)</f>
        <v>0</v>
      </c>
      <c r="T49" s="67" t="str">
        <f t="shared" si="17"/>
        <v xml:space="preserve">44. </v>
      </c>
      <c r="U49" s="67">
        <f t="shared" ca="1" si="19"/>
        <v>0</v>
      </c>
      <c r="V49" s="67">
        <f t="shared" ca="1" si="19"/>
        <v>0</v>
      </c>
      <c r="W49" s="67">
        <f t="shared" ca="1" si="19"/>
        <v>0</v>
      </c>
      <c r="X49" s="67">
        <f t="shared" ca="1" si="19"/>
        <v>0</v>
      </c>
      <c r="Y49" s="67">
        <f t="shared" ca="1" si="19"/>
        <v>0</v>
      </c>
      <c r="Z49" s="67">
        <f t="shared" ca="1" si="19"/>
        <v>0</v>
      </c>
      <c r="AA49" s="67">
        <f t="shared" ca="1" si="19"/>
        <v>0</v>
      </c>
      <c r="AB49" s="67">
        <f t="shared" ca="1" si="19"/>
        <v>0</v>
      </c>
      <c r="AC49" s="67">
        <f t="shared" ca="1" si="19"/>
        <v>0</v>
      </c>
      <c r="AD49" s="67">
        <f t="shared" ca="1" si="19"/>
        <v>0</v>
      </c>
      <c r="AE49" s="67">
        <f t="shared" ca="1" si="19"/>
        <v>0</v>
      </c>
      <c r="AF49" s="67">
        <f t="shared" ca="1" si="19"/>
        <v>0</v>
      </c>
      <c r="AG49" s="67">
        <f t="shared" ca="1" si="19"/>
        <v>0</v>
      </c>
      <c r="AH49" s="67">
        <f t="shared" ca="1" si="19"/>
        <v>0</v>
      </c>
      <c r="AI49" s="67">
        <f t="shared" ca="1" si="19"/>
        <v>0</v>
      </c>
      <c r="AJ49" s="67">
        <f t="shared" ca="1" si="18"/>
        <v>0</v>
      </c>
      <c r="AK49" s="67">
        <f t="shared" ca="1" si="15"/>
        <v>0</v>
      </c>
      <c r="AL49" s="67">
        <f t="shared" ca="1" si="15"/>
        <v>0</v>
      </c>
      <c r="AM49" s="67">
        <f t="shared" ca="1" si="15"/>
        <v>0</v>
      </c>
      <c r="AN49" s="67">
        <f t="shared" ca="1" si="15"/>
        <v>0</v>
      </c>
      <c r="AO49" s="67">
        <f t="shared" ca="1" si="15"/>
        <v>0</v>
      </c>
      <c r="AP49" s="67">
        <f t="shared" ca="1" si="15"/>
        <v>0</v>
      </c>
      <c r="AQ49" s="67">
        <f t="shared" ca="1" si="15"/>
        <v>0</v>
      </c>
      <c r="AR49" s="67">
        <f t="shared" ca="1" si="15"/>
        <v>0</v>
      </c>
      <c r="AS49" s="67">
        <f t="shared" ca="1" si="15"/>
        <v>0</v>
      </c>
      <c r="AT49" s="67">
        <f t="shared" ca="1" si="15"/>
        <v>0</v>
      </c>
      <c r="AU49" s="67">
        <f t="shared" ca="1" si="15"/>
        <v>0</v>
      </c>
      <c r="AV49" s="67">
        <f t="shared" ca="1" si="15"/>
        <v>0</v>
      </c>
      <c r="AW49" s="67">
        <f t="shared" ca="1" si="15"/>
        <v>0</v>
      </c>
      <c r="AX49" s="67">
        <f t="shared" ca="1" si="15"/>
        <v>0</v>
      </c>
      <c r="AY49" s="67">
        <f t="shared" ca="1" si="15"/>
        <v>0</v>
      </c>
      <c r="AZ49" s="67">
        <f t="shared" ca="1" si="15"/>
        <v>0</v>
      </c>
      <c r="BA49" s="67">
        <f t="shared" ca="1" si="16"/>
        <v>0</v>
      </c>
      <c r="BB49" s="67">
        <f t="shared" ca="1" si="16"/>
        <v>0</v>
      </c>
      <c r="BC49" s="67">
        <f t="shared" ca="1" si="16"/>
        <v>0</v>
      </c>
      <c r="BD49" s="67">
        <f t="shared" ca="1" si="16"/>
        <v>0</v>
      </c>
      <c r="BE49" s="67">
        <f t="shared" ca="1" si="16"/>
        <v>0</v>
      </c>
      <c r="BF49" s="67">
        <f t="shared" ca="1" si="16"/>
        <v>0</v>
      </c>
      <c r="BG49" s="67">
        <f t="shared" ca="1" si="16"/>
        <v>0</v>
      </c>
      <c r="BH49" s="67">
        <f t="shared" ca="1" si="16"/>
        <v>0</v>
      </c>
      <c r="BI49" s="67">
        <f t="shared" ca="1" si="16"/>
        <v>0</v>
      </c>
      <c r="BJ49" s="67">
        <f t="shared" ca="1" si="16"/>
        <v>0</v>
      </c>
      <c r="BK49" s="67">
        <f t="shared" ca="1" si="16"/>
        <v>0</v>
      </c>
      <c r="BL49" s="67">
        <f t="shared" ca="1" si="16"/>
        <v>0</v>
      </c>
      <c r="BM49" s="67">
        <f t="shared" ca="1" si="16"/>
        <v>0</v>
      </c>
      <c r="BN49" s="67">
        <f t="shared" ca="1" si="16"/>
        <v>0</v>
      </c>
      <c r="BO49" s="67">
        <f t="shared" ca="1" si="16"/>
        <v>0</v>
      </c>
      <c r="BP49" s="67">
        <f t="shared" ca="1" si="16"/>
        <v>0</v>
      </c>
      <c r="BQ49" s="67">
        <f t="shared" ca="1" si="20"/>
        <v>0</v>
      </c>
      <c r="BR49" s="67">
        <f t="shared" ca="1" si="20"/>
        <v>0</v>
      </c>
      <c r="BS49" s="67">
        <f t="shared" ca="1" si="20"/>
        <v>0</v>
      </c>
      <c r="BT49" s="67">
        <f t="shared" ca="1" si="20"/>
        <v>0</v>
      </c>
    </row>
    <row r="50" spans="1:72" x14ac:dyDescent="0.2">
      <c r="A50" s="317">
        <f t="shared" ca="1" si="6"/>
        <v>44731</v>
      </c>
      <c r="B50" s="87">
        <f t="shared" ca="1" si="9"/>
        <v>44725</v>
      </c>
      <c r="C50" s="67">
        <v>45</v>
      </c>
      <c r="D50" s="67" t="str">
        <f t="shared" ca="1" si="10"/>
        <v/>
      </c>
      <c r="E50" s="67" t="str">
        <f t="shared" ca="1" si="0"/>
        <v xml:space="preserve"> </v>
      </c>
      <c r="F50" s="67">
        <f t="shared" ca="1" si="7"/>
        <v>24</v>
      </c>
      <c r="G50" s="67" t="str">
        <f>ROW(A45)&amp;". "&amp;'Critical resources'!B56</f>
        <v xml:space="preserve">45. </v>
      </c>
      <c r="H50" s="67">
        <f ca="1">IFERROR(VLOOKUP('Critical resources'!D56,$B$6:$C$57,2,0),0)</f>
        <v>0</v>
      </c>
      <c r="I50" s="67">
        <f ca="1">IFERROR(VLOOKUP('Critical resources'!E56,$A$6:$C$57,3,0),0)</f>
        <v>0</v>
      </c>
      <c r="J50" s="67">
        <f ca="1">IFERROR(VLOOKUP('Critical resources'!G56,$B$6:$C$57,2,0),0)</f>
        <v>0</v>
      </c>
      <c r="K50" s="67">
        <f ca="1">IFERROR(VLOOKUP('Critical resources'!H56,$B$6:$C$57,2,0),0)</f>
        <v>0</v>
      </c>
      <c r="L50" s="67">
        <f ca="1">IFERROR(VLOOKUP('Critical resources'!J56,$B$6:$C$57,2,0),0)</f>
        <v>0</v>
      </c>
      <c r="M50" s="67">
        <f ca="1">IFERROR(VLOOKUP('Critical resources'!K56,$A$6:$C$57,3,0),0)</f>
        <v>0</v>
      </c>
      <c r="N50" s="67">
        <f ca="1">IFERROR(VLOOKUP('Critical resources'!M56,$B$6:$C$57,2,0),0)</f>
        <v>0</v>
      </c>
      <c r="O50" s="67">
        <f ca="1">IFERROR(VLOOKUP('Critical resources'!N56,$A$6:$C$57,3,0),0)</f>
        <v>0</v>
      </c>
      <c r="P50" s="67">
        <f ca="1">IFERROR(VLOOKUP('Critical resources'!P56,$B$6:$C$57,2,0),0)</f>
        <v>0</v>
      </c>
      <c r="Q50" s="67">
        <f ca="1">IFERROR(VLOOKUP('Critical resources'!Q56,$A$6:$C$57,3,0),0)</f>
        <v>0</v>
      </c>
      <c r="T50" s="67" t="str">
        <f t="shared" si="17"/>
        <v xml:space="preserve">45. </v>
      </c>
      <c r="U50" s="67">
        <f t="shared" ca="1" si="19"/>
        <v>0</v>
      </c>
      <c r="V50" s="67">
        <f t="shared" ca="1" si="19"/>
        <v>0</v>
      </c>
      <c r="W50" s="67">
        <f t="shared" ca="1" si="19"/>
        <v>0</v>
      </c>
      <c r="X50" s="67">
        <f t="shared" ca="1" si="19"/>
        <v>0</v>
      </c>
      <c r="Y50" s="67">
        <f t="shared" ca="1" si="19"/>
        <v>0</v>
      </c>
      <c r="Z50" s="67">
        <f t="shared" ca="1" si="19"/>
        <v>0</v>
      </c>
      <c r="AA50" s="67">
        <f t="shared" ca="1" si="19"/>
        <v>0</v>
      </c>
      <c r="AB50" s="67">
        <f t="shared" ca="1" si="19"/>
        <v>0</v>
      </c>
      <c r="AC50" s="67">
        <f t="shared" ca="1" si="19"/>
        <v>0</v>
      </c>
      <c r="AD50" s="67">
        <f t="shared" ca="1" si="19"/>
        <v>0</v>
      </c>
      <c r="AE50" s="67">
        <f t="shared" ca="1" si="19"/>
        <v>0</v>
      </c>
      <c r="AF50" s="67">
        <f t="shared" ca="1" si="19"/>
        <v>0</v>
      </c>
      <c r="AG50" s="67">
        <f t="shared" ca="1" si="19"/>
        <v>0</v>
      </c>
      <c r="AH50" s="67">
        <f t="shared" ca="1" si="19"/>
        <v>0</v>
      </c>
      <c r="AI50" s="67">
        <f t="shared" ca="1" si="19"/>
        <v>0</v>
      </c>
      <c r="AJ50" s="67">
        <f t="shared" ca="1" si="18"/>
        <v>0</v>
      </c>
      <c r="AK50" s="67">
        <f t="shared" ca="1" si="15"/>
        <v>0</v>
      </c>
      <c r="AL50" s="67">
        <f t="shared" ca="1" si="15"/>
        <v>0</v>
      </c>
      <c r="AM50" s="67">
        <f t="shared" ca="1" si="15"/>
        <v>0</v>
      </c>
      <c r="AN50" s="67">
        <f t="shared" ca="1" si="15"/>
        <v>0</v>
      </c>
      <c r="AO50" s="67">
        <f t="shared" ca="1" si="15"/>
        <v>0</v>
      </c>
      <c r="AP50" s="67">
        <f t="shared" ca="1" si="15"/>
        <v>0</v>
      </c>
      <c r="AQ50" s="67">
        <f t="shared" ca="1" si="15"/>
        <v>0</v>
      </c>
      <c r="AR50" s="67">
        <f t="shared" ca="1" si="15"/>
        <v>0</v>
      </c>
      <c r="AS50" s="67">
        <f t="shared" ca="1" si="15"/>
        <v>0</v>
      </c>
      <c r="AT50" s="67">
        <f t="shared" ca="1" si="15"/>
        <v>0</v>
      </c>
      <c r="AU50" s="67">
        <f t="shared" ca="1" si="15"/>
        <v>0</v>
      </c>
      <c r="AV50" s="67">
        <f t="shared" ca="1" si="15"/>
        <v>0</v>
      </c>
      <c r="AW50" s="67">
        <f t="shared" ca="1" si="15"/>
        <v>0</v>
      </c>
      <c r="AX50" s="67">
        <f t="shared" ca="1" si="15"/>
        <v>0</v>
      </c>
      <c r="AY50" s="67">
        <f t="shared" ca="1" si="15"/>
        <v>0</v>
      </c>
      <c r="AZ50" s="67">
        <f t="shared" ca="1" si="15"/>
        <v>0</v>
      </c>
      <c r="BA50" s="67">
        <f t="shared" ca="1" si="16"/>
        <v>0</v>
      </c>
      <c r="BB50" s="67">
        <f t="shared" ca="1" si="16"/>
        <v>0</v>
      </c>
      <c r="BC50" s="67">
        <f t="shared" ca="1" si="16"/>
        <v>0</v>
      </c>
      <c r="BD50" s="67">
        <f t="shared" ca="1" si="16"/>
        <v>0</v>
      </c>
      <c r="BE50" s="67">
        <f t="shared" ca="1" si="16"/>
        <v>0</v>
      </c>
      <c r="BF50" s="67">
        <f t="shared" ca="1" si="16"/>
        <v>0</v>
      </c>
      <c r="BG50" s="67">
        <f t="shared" ca="1" si="16"/>
        <v>0</v>
      </c>
      <c r="BH50" s="67">
        <f t="shared" ca="1" si="16"/>
        <v>0</v>
      </c>
      <c r="BI50" s="67">
        <f t="shared" ca="1" si="16"/>
        <v>0</v>
      </c>
      <c r="BJ50" s="67">
        <f t="shared" ca="1" si="16"/>
        <v>0</v>
      </c>
      <c r="BK50" s="67">
        <f t="shared" ca="1" si="16"/>
        <v>0</v>
      </c>
      <c r="BL50" s="67">
        <f t="shared" ca="1" si="16"/>
        <v>0</v>
      </c>
      <c r="BM50" s="67">
        <f t="shared" ca="1" si="16"/>
        <v>0</v>
      </c>
      <c r="BN50" s="67">
        <f t="shared" ca="1" si="16"/>
        <v>0</v>
      </c>
      <c r="BO50" s="67">
        <f t="shared" ca="1" si="16"/>
        <v>0</v>
      </c>
      <c r="BP50" s="67">
        <f t="shared" ca="1" si="16"/>
        <v>0</v>
      </c>
      <c r="BQ50" s="67">
        <f t="shared" ca="1" si="20"/>
        <v>0</v>
      </c>
      <c r="BR50" s="67">
        <f t="shared" ca="1" si="20"/>
        <v>0</v>
      </c>
      <c r="BS50" s="67">
        <f t="shared" ca="1" si="20"/>
        <v>0</v>
      </c>
      <c r="BT50" s="67">
        <f t="shared" ca="1" si="20"/>
        <v>0</v>
      </c>
    </row>
    <row r="51" spans="1:72" x14ac:dyDescent="0.2">
      <c r="A51" s="317">
        <f t="shared" ca="1" si="6"/>
        <v>44738</v>
      </c>
      <c r="B51" s="87">
        <f t="shared" ca="1" si="9"/>
        <v>44732</v>
      </c>
      <c r="C51" s="67">
        <v>46</v>
      </c>
      <c r="D51" s="67" t="str">
        <f t="shared" ca="1" si="10"/>
        <v/>
      </c>
      <c r="E51" s="67" t="str">
        <f t="shared" ca="1" si="0"/>
        <v xml:space="preserve"> </v>
      </c>
      <c r="F51" s="67">
        <f t="shared" ca="1" si="7"/>
        <v>25</v>
      </c>
      <c r="G51" s="67" t="str">
        <f>ROW(A46)&amp;". "&amp;'Critical resources'!B57</f>
        <v xml:space="preserve">46. </v>
      </c>
      <c r="H51" s="67">
        <f ca="1">IFERROR(VLOOKUP('Critical resources'!D57,$B$6:$C$57,2,0),0)</f>
        <v>0</v>
      </c>
      <c r="I51" s="67">
        <f ca="1">IFERROR(VLOOKUP('Critical resources'!E57,$A$6:$C$57,3,0),0)</f>
        <v>0</v>
      </c>
      <c r="J51" s="67">
        <f ca="1">IFERROR(VLOOKUP('Critical resources'!G57,$B$6:$C$57,2,0),0)</f>
        <v>0</v>
      </c>
      <c r="K51" s="67">
        <f ca="1">IFERROR(VLOOKUP('Critical resources'!H57,$B$6:$C$57,2,0),0)</f>
        <v>0</v>
      </c>
      <c r="L51" s="67">
        <f ca="1">IFERROR(VLOOKUP('Critical resources'!J57,$B$6:$C$57,2,0),0)</f>
        <v>0</v>
      </c>
      <c r="M51" s="67">
        <f ca="1">IFERROR(VLOOKUP('Critical resources'!K57,$A$6:$C$57,3,0),0)</f>
        <v>0</v>
      </c>
      <c r="N51" s="67">
        <f ca="1">IFERROR(VLOOKUP('Critical resources'!M57,$B$6:$C$57,2,0),0)</f>
        <v>0</v>
      </c>
      <c r="O51" s="67">
        <f ca="1">IFERROR(VLOOKUP('Critical resources'!N57,$A$6:$C$57,3,0),0)</f>
        <v>0</v>
      </c>
      <c r="P51" s="67">
        <f ca="1">IFERROR(VLOOKUP('Critical resources'!P57,$B$6:$C$57,2,0),0)</f>
        <v>0</v>
      </c>
      <c r="Q51" s="67">
        <f ca="1">IFERROR(VLOOKUP('Critical resources'!Q57,$A$6:$C$57,3,0),0)</f>
        <v>0</v>
      </c>
      <c r="T51" s="67" t="str">
        <f t="shared" si="17"/>
        <v xml:space="preserve">46. </v>
      </c>
      <c r="U51" s="67">
        <f t="shared" ca="1" si="19"/>
        <v>0</v>
      </c>
      <c r="V51" s="67">
        <f t="shared" ca="1" si="19"/>
        <v>0</v>
      </c>
      <c r="W51" s="67">
        <f t="shared" ca="1" si="19"/>
        <v>0</v>
      </c>
      <c r="X51" s="67">
        <f t="shared" ca="1" si="19"/>
        <v>0</v>
      </c>
      <c r="Y51" s="67">
        <f t="shared" ca="1" si="19"/>
        <v>0</v>
      </c>
      <c r="Z51" s="67">
        <f t="shared" ca="1" si="19"/>
        <v>0</v>
      </c>
      <c r="AA51" s="67">
        <f t="shared" ca="1" si="19"/>
        <v>0</v>
      </c>
      <c r="AB51" s="67">
        <f t="shared" ca="1" si="19"/>
        <v>0</v>
      </c>
      <c r="AC51" s="67">
        <f t="shared" ca="1" si="19"/>
        <v>0</v>
      </c>
      <c r="AD51" s="67">
        <f t="shared" ca="1" si="19"/>
        <v>0</v>
      </c>
      <c r="AE51" s="67">
        <f t="shared" ca="1" si="19"/>
        <v>0</v>
      </c>
      <c r="AF51" s="67">
        <f t="shared" ca="1" si="19"/>
        <v>0</v>
      </c>
      <c r="AG51" s="67">
        <f t="shared" ca="1" si="19"/>
        <v>0</v>
      </c>
      <c r="AH51" s="67">
        <f t="shared" ca="1" si="19"/>
        <v>0</v>
      </c>
      <c r="AI51" s="67">
        <f t="shared" ca="1" si="19"/>
        <v>0</v>
      </c>
      <c r="AJ51" s="67">
        <f t="shared" ca="1" si="18"/>
        <v>0</v>
      </c>
      <c r="AK51" s="67">
        <f t="shared" ca="1" si="15"/>
        <v>0</v>
      </c>
      <c r="AL51" s="67">
        <f t="shared" ca="1" si="15"/>
        <v>0</v>
      </c>
      <c r="AM51" s="67">
        <f t="shared" ca="1" si="15"/>
        <v>0</v>
      </c>
      <c r="AN51" s="67">
        <f t="shared" ca="1" si="15"/>
        <v>0</v>
      </c>
      <c r="AO51" s="67">
        <f t="shared" ca="1" si="15"/>
        <v>0</v>
      </c>
      <c r="AP51" s="67">
        <f t="shared" ca="1" si="15"/>
        <v>0</v>
      </c>
      <c r="AQ51" s="67">
        <f t="shared" ca="1" si="15"/>
        <v>0</v>
      </c>
      <c r="AR51" s="67">
        <f t="shared" ca="1" si="15"/>
        <v>0</v>
      </c>
      <c r="AS51" s="67">
        <f t="shared" ca="1" si="15"/>
        <v>0</v>
      </c>
      <c r="AT51" s="67">
        <f t="shared" ca="1" si="15"/>
        <v>0</v>
      </c>
      <c r="AU51" s="67">
        <f t="shared" ca="1" si="15"/>
        <v>0</v>
      </c>
      <c r="AV51" s="67">
        <f t="shared" ca="1" si="15"/>
        <v>0</v>
      </c>
      <c r="AW51" s="67">
        <f t="shared" ca="1" si="15"/>
        <v>0</v>
      </c>
      <c r="AX51" s="67">
        <f t="shared" ca="1" si="15"/>
        <v>0</v>
      </c>
      <c r="AY51" s="67">
        <f t="shared" ca="1" si="15"/>
        <v>0</v>
      </c>
      <c r="AZ51" s="67">
        <f t="shared" ca="1" si="15"/>
        <v>0</v>
      </c>
      <c r="BA51" s="67">
        <f t="shared" ca="1" si="16"/>
        <v>0</v>
      </c>
      <c r="BB51" s="67">
        <f t="shared" ca="1" si="16"/>
        <v>0</v>
      </c>
      <c r="BC51" s="67">
        <f t="shared" ca="1" si="16"/>
        <v>0</v>
      </c>
      <c r="BD51" s="67">
        <f t="shared" ca="1" si="16"/>
        <v>0</v>
      </c>
      <c r="BE51" s="67">
        <f t="shared" ca="1" si="16"/>
        <v>0</v>
      </c>
      <c r="BF51" s="67">
        <f t="shared" ca="1" si="16"/>
        <v>0</v>
      </c>
      <c r="BG51" s="67">
        <f t="shared" ca="1" si="16"/>
        <v>0</v>
      </c>
      <c r="BH51" s="67">
        <f t="shared" ca="1" si="16"/>
        <v>0</v>
      </c>
      <c r="BI51" s="67">
        <f t="shared" ca="1" si="16"/>
        <v>0</v>
      </c>
      <c r="BJ51" s="67">
        <f t="shared" ca="1" si="16"/>
        <v>0</v>
      </c>
      <c r="BK51" s="67">
        <f t="shared" ca="1" si="16"/>
        <v>0</v>
      </c>
      <c r="BL51" s="67">
        <f t="shared" ca="1" si="16"/>
        <v>0</v>
      </c>
      <c r="BM51" s="67">
        <f t="shared" ca="1" si="16"/>
        <v>0</v>
      </c>
      <c r="BN51" s="67">
        <f t="shared" ca="1" si="16"/>
        <v>0</v>
      </c>
      <c r="BO51" s="67">
        <f t="shared" ca="1" si="16"/>
        <v>0</v>
      </c>
      <c r="BP51" s="67">
        <f t="shared" ca="1" si="16"/>
        <v>0</v>
      </c>
      <c r="BQ51" s="67">
        <f t="shared" ca="1" si="20"/>
        <v>0</v>
      </c>
      <c r="BR51" s="67">
        <f t="shared" ca="1" si="20"/>
        <v>0</v>
      </c>
      <c r="BS51" s="67">
        <f t="shared" ca="1" si="20"/>
        <v>0</v>
      </c>
      <c r="BT51" s="67">
        <f t="shared" ca="1" si="20"/>
        <v>0</v>
      </c>
    </row>
    <row r="52" spans="1:72" x14ac:dyDescent="0.2">
      <c r="A52" s="317">
        <f t="shared" ca="1" si="6"/>
        <v>44745</v>
      </c>
      <c r="B52" s="87">
        <f t="shared" ca="1" si="9"/>
        <v>44739</v>
      </c>
      <c r="C52" s="67">
        <v>47</v>
      </c>
      <c r="D52" s="67" t="str">
        <f t="shared" ca="1" si="10"/>
        <v/>
      </c>
      <c r="E52" s="67" t="str">
        <f t="shared" ca="1" si="0"/>
        <v xml:space="preserve"> </v>
      </c>
      <c r="F52" s="67">
        <f t="shared" ca="1" si="7"/>
        <v>26</v>
      </c>
      <c r="G52" s="67" t="str">
        <f>ROW(A47)&amp;". "&amp;'Critical resources'!B58</f>
        <v xml:space="preserve">47. </v>
      </c>
      <c r="H52" s="67">
        <f ca="1">IFERROR(VLOOKUP('Critical resources'!D58,$B$6:$C$57,2,0),0)</f>
        <v>0</v>
      </c>
      <c r="I52" s="67">
        <f ca="1">IFERROR(VLOOKUP('Critical resources'!E58,$A$6:$C$57,3,0),0)</f>
        <v>0</v>
      </c>
      <c r="J52" s="67">
        <f ca="1">IFERROR(VLOOKUP('Critical resources'!G58,$B$6:$C$57,2,0),0)</f>
        <v>0</v>
      </c>
      <c r="K52" s="67">
        <f ca="1">IFERROR(VLOOKUP('Critical resources'!H58,$B$6:$C$57,2,0),0)</f>
        <v>0</v>
      </c>
      <c r="L52" s="67">
        <f ca="1">IFERROR(VLOOKUP('Critical resources'!J58,$B$6:$C$57,2,0),0)</f>
        <v>0</v>
      </c>
      <c r="M52" s="67">
        <f ca="1">IFERROR(VLOOKUP('Critical resources'!K58,$A$6:$C$57,3,0),0)</f>
        <v>0</v>
      </c>
      <c r="N52" s="67">
        <f ca="1">IFERROR(VLOOKUP('Critical resources'!M58,$B$6:$C$57,2,0),0)</f>
        <v>0</v>
      </c>
      <c r="O52" s="67">
        <f ca="1">IFERROR(VLOOKUP('Critical resources'!N58,$A$6:$C$57,3,0),0)</f>
        <v>0</v>
      </c>
      <c r="P52" s="67">
        <f ca="1">IFERROR(VLOOKUP('Critical resources'!P58,$B$6:$C$57,2,0),0)</f>
        <v>0</v>
      </c>
      <c r="Q52" s="67">
        <f ca="1">IFERROR(VLOOKUP('Critical resources'!Q58,$A$6:$C$57,3,0),0)</f>
        <v>0</v>
      </c>
      <c r="T52" s="67" t="str">
        <f t="shared" si="17"/>
        <v xml:space="preserve">47. </v>
      </c>
      <c r="U52" s="67">
        <f t="shared" ca="1" si="19"/>
        <v>0</v>
      </c>
      <c r="V52" s="67">
        <f t="shared" ca="1" si="19"/>
        <v>0</v>
      </c>
      <c r="W52" s="67">
        <f t="shared" ca="1" si="19"/>
        <v>0</v>
      </c>
      <c r="X52" s="67">
        <f t="shared" ca="1" si="19"/>
        <v>0</v>
      </c>
      <c r="Y52" s="67">
        <f t="shared" ca="1" si="19"/>
        <v>0</v>
      </c>
      <c r="Z52" s="67">
        <f t="shared" ca="1" si="19"/>
        <v>0</v>
      </c>
      <c r="AA52" s="67">
        <f t="shared" ca="1" si="19"/>
        <v>0</v>
      </c>
      <c r="AB52" s="67">
        <f t="shared" ca="1" si="19"/>
        <v>0</v>
      </c>
      <c r="AC52" s="67">
        <f t="shared" ca="1" si="19"/>
        <v>0</v>
      </c>
      <c r="AD52" s="67">
        <f t="shared" ca="1" si="19"/>
        <v>0</v>
      </c>
      <c r="AE52" s="67">
        <f t="shared" ca="1" si="19"/>
        <v>0</v>
      </c>
      <c r="AF52" s="67">
        <f t="shared" ca="1" si="19"/>
        <v>0</v>
      </c>
      <c r="AG52" s="67">
        <f t="shared" ca="1" si="19"/>
        <v>0</v>
      </c>
      <c r="AH52" s="67">
        <f t="shared" ca="1" si="19"/>
        <v>0</v>
      </c>
      <c r="AI52" s="67">
        <f t="shared" ca="1" si="19"/>
        <v>0</v>
      </c>
      <c r="AJ52" s="67">
        <f t="shared" ca="1" si="18"/>
        <v>0</v>
      </c>
      <c r="AK52" s="67">
        <f t="shared" ca="1" si="15"/>
        <v>0</v>
      </c>
      <c r="AL52" s="67">
        <f t="shared" ca="1" si="15"/>
        <v>0</v>
      </c>
      <c r="AM52" s="67">
        <f t="shared" ca="1" si="15"/>
        <v>0</v>
      </c>
      <c r="AN52" s="67">
        <f t="shared" ca="1" si="15"/>
        <v>0</v>
      </c>
      <c r="AO52" s="67">
        <f t="shared" ca="1" si="15"/>
        <v>0</v>
      </c>
      <c r="AP52" s="67">
        <f t="shared" ca="1" si="15"/>
        <v>0</v>
      </c>
      <c r="AQ52" s="67">
        <f t="shared" ca="1" si="15"/>
        <v>0</v>
      </c>
      <c r="AR52" s="67">
        <f t="shared" ca="1" si="15"/>
        <v>0</v>
      </c>
      <c r="AS52" s="67">
        <f t="shared" ca="1" si="15"/>
        <v>0</v>
      </c>
      <c r="AT52" s="67">
        <f t="shared" ca="1" si="15"/>
        <v>0</v>
      </c>
      <c r="AU52" s="67">
        <f t="shared" ca="1" si="15"/>
        <v>0</v>
      </c>
      <c r="AV52" s="67">
        <f t="shared" ca="1" si="15"/>
        <v>0</v>
      </c>
      <c r="AW52" s="67">
        <f t="shared" ca="1" si="15"/>
        <v>0</v>
      </c>
      <c r="AX52" s="67">
        <f t="shared" ca="1" si="15"/>
        <v>0</v>
      </c>
      <c r="AY52" s="67">
        <f t="shared" ca="1" si="15"/>
        <v>0</v>
      </c>
      <c r="AZ52" s="67">
        <f t="shared" ref="AZ52:BO67" ca="1" si="21">SUM(IFERROR(IF(AND(AZ$5&gt;=$H52,AZ$5&lt;=$I52),1,0),0),IFERROR(IF(AND(AZ$5&gt;=$J52,AZ$5&lt;=$K52),1,0),0),IFERROR(IF(AND(AZ$5&gt;=$L52,AZ$5&lt;=$M52),1,0),0),IFERROR(IF(AND(AZ$5&gt;=$N52,AZ$5&lt;=$O52),1,0),0),IFERROR(IF(AND(AZ$5&gt;=$P52,AZ$5&lt;=$Q52),1,0),0))</f>
        <v>0</v>
      </c>
      <c r="BA52" s="67">
        <f t="shared" ca="1" si="16"/>
        <v>0</v>
      </c>
      <c r="BB52" s="67">
        <f t="shared" ca="1" si="16"/>
        <v>0</v>
      </c>
      <c r="BC52" s="67">
        <f t="shared" ca="1" si="16"/>
        <v>0</v>
      </c>
      <c r="BD52" s="67">
        <f t="shared" ca="1" si="16"/>
        <v>0</v>
      </c>
      <c r="BE52" s="67">
        <f t="shared" ca="1" si="16"/>
        <v>0</v>
      </c>
      <c r="BF52" s="67">
        <f t="shared" ca="1" si="16"/>
        <v>0</v>
      </c>
      <c r="BG52" s="67">
        <f t="shared" ca="1" si="16"/>
        <v>0</v>
      </c>
      <c r="BH52" s="67">
        <f t="shared" ca="1" si="16"/>
        <v>0</v>
      </c>
      <c r="BI52" s="67">
        <f t="shared" ca="1" si="16"/>
        <v>0</v>
      </c>
      <c r="BJ52" s="67">
        <f t="shared" ca="1" si="16"/>
        <v>0</v>
      </c>
      <c r="BK52" s="67">
        <f t="shared" ca="1" si="16"/>
        <v>0</v>
      </c>
      <c r="BL52" s="67">
        <f t="shared" ca="1" si="16"/>
        <v>0</v>
      </c>
      <c r="BM52" s="67">
        <f t="shared" ca="1" si="16"/>
        <v>0</v>
      </c>
      <c r="BN52" s="67">
        <f t="shared" ca="1" si="16"/>
        <v>0</v>
      </c>
      <c r="BO52" s="67">
        <f t="shared" ca="1" si="16"/>
        <v>0</v>
      </c>
      <c r="BP52" s="67">
        <f t="shared" ref="BP52:BT67" ca="1" si="22">SUM(IFERROR(IF(AND(BP$5&gt;=$H52,BP$5&lt;=$I52),1,0),0),IFERROR(IF(AND(BP$5&gt;=$J52,BP$5&lt;=$K52),1,0),0),IFERROR(IF(AND(BP$5&gt;=$L52,BP$5&lt;=$M52),1,0),0),IFERROR(IF(AND(BP$5&gt;=$N52,BP$5&lt;=$O52),1,0),0),IFERROR(IF(AND(BP$5&gt;=$P52,BP$5&lt;=$Q52),1,0),0))</f>
        <v>0</v>
      </c>
      <c r="BQ52" s="67">
        <f t="shared" ca="1" si="20"/>
        <v>0</v>
      </c>
      <c r="BR52" s="67">
        <f t="shared" ca="1" si="20"/>
        <v>0</v>
      </c>
      <c r="BS52" s="67">
        <f t="shared" ca="1" si="20"/>
        <v>0</v>
      </c>
      <c r="BT52" s="67">
        <f t="shared" ca="1" si="20"/>
        <v>0</v>
      </c>
    </row>
    <row r="53" spans="1:72" x14ac:dyDescent="0.2">
      <c r="A53" s="317">
        <f t="shared" ca="1" si="6"/>
        <v>44752</v>
      </c>
      <c r="B53" s="87">
        <f t="shared" ca="1" si="9"/>
        <v>44746</v>
      </c>
      <c r="C53" s="67">
        <v>48</v>
      </c>
      <c r="D53" s="67" t="str">
        <f t="shared" ca="1" si="10"/>
        <v/>
      </c>
      <c r="E53" s="67" t="str">
        <f t="shared" ca="1" si="0"/>
        <v>Jul</v>
      </c>
      <c r="F53" s="67">
        <f t="shared" ca="1" si="7"/>
        <v>27</v>
      </c>
      <c r="G53" s="67" t="str">
        <f>ROW(A48)&amp;". "&amp;'Critical resources'!B59</f>
        <v xml:space="preserve">48. </v>
      </c>
      <c r="H53" s="67">
        <f ca="1">IFERROR(VLOOKUP('Critical resources'!D59,$B$6:$C$57,2,0),0)</f>
        <v>0</v>
      </c>
      <c r="I53" s="67">
        <f ca="1">IFERROR(VLOOKUP('Critical resources'!E59,$A$6:$C$57,3,0),0)</f>
        <v>0</v>
      </c>
      <c r="J53" s="67">
        <f ca="1">IFERROR(VLOOKUP('Critical resources'!G59,$B$6:$C$57,2,0),0)</f>
        <v>0</v>
      </c>
      <c r="K53" s="67">
        <f ca="1">IFERROR(VLOOKUP('Critical resources'!H59,$B$6:$C$57,2,0),0)</f>
        <v>0</v>
      </c>
      <c r="L53" s="67">
        <f ca="1">IFERROR(VLOOKUP('Critical resources'!J59,$B$6:$C$57,2,0),0)</f>
        <v>0</v>
      </c>
      <c r="M53" s="67">
        <f ca="1">IFERROR(VLOOKUP('Critical resources'!K59,$A$6:$C$57,3,0),0)</f>
        <v>0</v>
      </c>
      <c r="N53" s="67">
        <f ca="1">IFERROR(VLOOKUP('Critical resources'!M59,$B$6:$C$57,2,0),0)</f>
        <v>0</v>
      </c>
      <c r="O53" s="67">
        <f ca="1">IFERROR(VLOOKUP('Critical resources'!N59,$A$6:$C$57,3,0),0)</f>
        <v>0</v>
      </c>
      <c r="P53" s="67">
        <f ca="1">IFERROR(VLOOKUP('Critical resources'!P59,$B$6:$C$57,2,0),0)</f>
        <v>0</v>
      </c>
      <c r="Q53" s="67">
        <f ca="1">IFERROR(VLOOKUP('Critical resources'!Q59,$A$6:$C$57,3,0),0)</f>
        <v>0</v>
      </c>
      <c r="T53" s="67" t="str">
        <f t="shared" si="17"/>
        <v xml:space="preserve">48. </v>
      </c>
      <c r="U53" s="67">
        <f t="shared" ca="1" si="19"/>
        <v>0</v>
      </c>
      <c r="V53" s="67">
        <f t="shared" ca="1" si="19"/>
        <v>0</v>
      </c>
      <c r="W53" s="67">
        <f t="shared" ca="1" si="19"/>
        <v>0</v>
      </c>
      <c r="X53" s="67">
        <f t="shared" ca="1" si="19"/>
        <v>0</v>
      </c>
      <c r="Y53" s="67">
        <f t="shared" ca="1" si="19"/>
        <v>0</v>
      </c>
      <c r="Z53" s="67">
        <f t="shared" ca="1" si="19"/>
        <v>0</v>
      </c>
      <c r="AA53" s="67">
        <f t="shared" ca="1" si="19"/>
        <v>0</v>
      </c>
      <c r="AB53" s="67">
        <f t="shared" ca="1" si="19"/>
        <v>0</v>
      </c>
      <c r="AC53" s="67">
        <f t="shared" ca="1" si="19"/>
        <v>0</v>
      </c>
      <c r="AD53" s="67">
        <f t="shared" ca="1" si="19"/>
        <v>0</v>
      </c>
      <c r="AE53" s="67">
        <f t="shared" ca="1" si="19"/>
        <v>0</v>
      </c>
      <c r="AF53" s="67">
        <f t="shared" ca="1" si="19"/>
        <v>0</v>
      </c>
      <c r="AG53" s="67">
        <f t="shared" ca="1" si="19"/>
        <v>0</v>
      </c>
      <c r="AH53" s="67">
        <f t="shared" ca="1" si="19"/>
        <v>0</v>
      </c>
      <c r="AI53" s="67">
        <f t="shared" ca="1" si="19"/>
        <v>0</v>
      </c>
      <c r="AJ53" s="67">
        <f t="shared" ca="1" si="18"/>
        <v>0</v>
      </c>
      <c r="AK53" s="67">
        <f t="shared" ca="1" si="18"/>
        <v>0</v>
      </c>
      <c r="AL53" s="67">
        <f t="shared" ca="1" si="18"/>
        <v>0</v>
      </c>
      <c r="AM53" s="67">
        <f t="shared" ca="1" si="18"/>
        <v>0</v>
      </c>
      <c r="AN53" s="67">
        <f t="shared" ca="1" si="18"/>
        <v>0</v>
      </c>
      <c r="AO53" s="67">
        <f t="shared" ca="1" si="18"/>
        <v>0</v>
      </c>
      <c r="AP53" s="67">
        <f t="shared" ca="1" si="18"/>
        <v>0</v>
      </c>
      <c r="AQ53" s="67">
        <f t="shared" ca="1" si="18"/>
        <v>0</v>
      </c>
      <c r="AR53" s="67">
        <f t="shared" ca="1" si="18"/>
        <v>0</v>
      </c>
      <c r="AS53" s="67">
        <f t="shared" ca="1" si="18"/>
        <v>0</v>
      </c>
      <c r="AT53" s="67">
        <f t="shared" ca="1" si="18"/>
        <v>0</v>
      </c>
      <c r="AU53" s="67">
        <f t="shared" ca="1" si="18"/>
        <v>0</v>
      </c>
      <c r="AV53" s="67">
        <f t="shared" ca="1" si="18"/>
        <v>0</v>
      </c>
      <c r="AW53" s="67">
        <f t="shared" ca="1" si="18"/>
        <v>0</v>
      </c>
      <c r="AX53" s="67">
        <f t="shared" ca="1" si="18"/>
        <v>0</v>
      </c>
      <c r="AY53" s="67">
        <f t="shared" ca="1" si="18"/>
        <v>0</v>
      </c>
      <c r="AZ53" s="67">
        <f t="shared" ca="1" si="21"/>
        <v>0</v>
      </c>
      <c r="BA53" s="67">
        <f t="shared" ca="1" si="21"/>
        <v>0</v>
      </c>
      <c r="BB53" s="67">
        <f t="shared" ca="1" si="21"/>
        <v>0</v>
      </c>
      <c r="BC53" s="67">
        <f t="shared" ca="1" si="21"/>
        <v>0</v>
      </c>
      <c r="BD53" s="67">
        <f t="shared" ca="1" si="21"/>
        <v>0</v>
      </c>
      <c r="BE53" s="67">
        <f t="shared" ca="1" si="21"/>
        <v>0</v>
      </c>
      <c r="BF53" s="67">
        <f t="shared" ca="1" si="21"/>
        <v>0</v>
      </c>
      <c r="BG53" s="67">
        <f t="shared" ca="1" si="21"/>
        <v>0</v>
      </c>
      <c r="BH53" s="67">
        <f t="shared" ca="1" si="21"/>
        <v>0</v>
      </c>
      <c r="BI53" s="67">
        <f t="shared" ca="1" si="21"/>
        <v>0</v>
      </c>
      <c r="BJ53" s="67">
        <f t="shared" ca="1" si="21"/>
        <v>0</v>
      </c>
      <c r="BK53" s="67">
        <f t="shared" ca="1" si="21"/>
        <v>0</v>
      </c>
      <c r="BL53" s="67">
        <f t="shared" ca="1" si="21"/>
        <v>0</v>
      </c>
      <c r="BM53" s="67">
        <f t="shared" ca="1" si="21"/>
        <v>0</v>
      </c>
      <c r="BN53" s="67">
        <f t="shared" ca="1" si="21"/>
        <v>0</v>
      </c>
      <c r="BO53" s="67">
        <f t="shared" ca="1" si="21"/>
        <v>0</v>
      </c>
      <c r="BP53" s="67">
        <f t="shared" ca="1" si="22"/>
        <v>0</v>
      </c>
      <c r="BQ53" s="67">
        <f t="shared" ca="1" si="20"/>
        <v>0</v>
      </c>
      <c r="BR53" s="67">
        <f t="shared" ca="1" si="20"/>
        <v>0</v>
      </c>
      <c r="BS53" s="67">
        <f t="shared" ca="1" si="20"/>
        <v>0</v>
      </c>
      <c r="BT53" s="67">
        <f t="shared" ca="1" si="20"/>
        <v>0</v>
      </c>
    </row>
    <row r="54" spans="1:72" x14ac:dyDescent="0.2">
      <c r="A54" s="317">
        <f t="shared" ca="1" si="6"/>
        <v>44759</v>
      </c>
      <c r="B54" s="87">
        <f t="shared" ca="1" si="9"/>
        <v>44753</v>
      </c>
      <c r="C54" s="67">
        <v>49</v>
      </c>
      <c r="D54" s="67" t="str">
        <f t="shared" ca="1" si="10"/>
        <v/>
      </c>
      <c r="E54" s="67" t="str">
        <f t="shared" ca="1" si="0"/>
        <v xml:space="preserve"> </v>
      </c>
      <c r="F54" s="67">
        <f t="shared" ca="1" si="7"/>
        <v>28</v>
      </c>
      <c r="G54" s="67" t="str">
        <f>ROW(A49)&amp;". "&amp;'Critical resources'!B60</f>
        <v xml:space="preserve">49. </v>
      </c>
      <c r="H54" s="67">
        <f ca="1">IFERROR(VLOOKUP('Critical resources'!D60,$B$6:$C$57,2,0),0)</f>
        <v>0</v>
      </c>
      <c r="I54" s="67">
        <f ca="1">IFERROR(VLOOKUP('Critical resources'!E60,$A$6:$C$57,3,0),0)</f>
        <v>0</v>
      </c>
      <c r="J54" s="67">
        <f ca="1">IFERROR(VLOOKUP('Critical resources'!G60,$B$6:$C$57,2,0),0)</f>
        <v>0</v>
      </c>
      <c r="K54" s="67">
        <f ca="1">IFERROR(VLOOKUP('Critical resources'!H60,$B$6:$C$57,2,0),0)</f>
        <v>0</v>
      </c>
      <c r="L54" s="67">
        <f ca="1">IFERROR(VLOOKUP('Critical resources'!J60,$B$6:$C$57,2,0),0)</f>
        <v>0</v>
      </c>
      <c r="M54" s="67">
        <f ca="1">IFERROR(VLOOKUP('Critical resources'!K60,$A$6:$C$57,3,0),0)</f>
        <v>0</v>
      </c>
      <c r="N54" s="67">
        <f ca="1">IFERROR(VLOOKUP('Critical resources'!M60,$B$6:$C$57,2,0),0)</f>
        <v>0</v>
      </c>
      <c r="O54" s="67">
        <f ca="1">IFERROR(VLOOKUP('Critical resources'!N60,$A$6:$C$57,3,0),0)</f>
        <v>0</v>
      </c>
      <c r="P54" s="67">
        <f ca="1">IFERROR(VLOOKUP('Critical resources'!P60,$B$6:$C$57,2,0),0)</f>
        <v>0</v>
      </c>
      <c r="Q54" s="67">
        <f ca="1">IFERROR(VLOOKUP('Critical resources'!Q60,$A$6:$C$57,3,0),0)</f>
        <v>0</v>
      </c>
      <c r="T54" s="67" t="str">
        <f t="shared" si="17"/>
        <v xml:space="preserve">49. </v>
      </c>
      <c r="U54" s="67">
        <f t="shared" ca="1" si="19"/>
        <v>0</v>
      </c>
      <c r="V54" s="67">
        <f t="shared" ca="1" si="19"/>
        <v>0</v>
      </c>
      <c r="W54" s="67">
        <f t="shared" ca="1" si="19"/>
        <v>0</v>
      </c>
      <c r="X54" s="67">
        <f t="shared" ca="1" si="19"/>
        <v>0</v>
      </c>
      <c r="Y54" s="67">
        <f t="shared" ca="1" si="19"/>
        <v>0</v>
      </c>
      <c r="Z54" s="67">
        <f t="shared" ca="1" si="19"/>
        <v>0</v>
      </c>
      <c r="AA54" s="67">
        <f t="shared" ca="1" si="19"/>
        <v>0</v>
      </c>
      <c r="AB54" s="67">
        <f t="shared" ca="1" si="19"/>
        <v>0</v>
      </c>
      <c r="AC54" s="67">
        <f t="shared" ca="1" si="19"/>
        <v>0</v>
      </c>
      <c r="AD54" s="67">
        <f t="shared" ca="1" si="19"/>
        <v>0</v>
      </c>
      <c r="AE54" s="67">
        <f t="shared" ca="1" si="19"/>
        <v>0</v>
      </c>
      <c r="AF54" s="67">
        <f t="shared" ca="1" si="19"/>
        <v>0</v>
      </c>
      <c r="AG54" s="67">
        <f t="shared" ca="1" si="19"/>
        <v>0</v>
      </c>
      <c r="AH54" s="67">
        <f t="shared" ca="1" si="19"/>
        <v>0</v>
      </c>
      <c r="AI54" s="67">
        <f t="shared" ca="1" si="19"/>
        <v>0</v>
      </c>
      <c r="AJ54" s="67">
        <f t="shared" ca="1" si="19"/>
        <v>0</v>
      </c>
      <c r="AK54" s="67">
        <f t="shared" ref="AK54:AZ69" ca="1" si="23">SUM(IFERROR(IF(AND(AK$5&gt;=$H54,AK$5&lt;=$I54),1,0),0),IFERROR(IF(AND(AK$5&gt;=$J54,AK$5&lt;=$K54),1,0),0),IFERROR(IF(AND(AK$5&gt;=$L54,AK$5&lt;=$M54),1,0),0),IFERROR(IF(AND(AK$5&gt;=$N54,AK$5&lt;=$O54),1,0),0),IFERROR(IF(AND(AK$5&gt;=$P54,AK$5&lt;=$Q54),1,0),0))</f>
        <v>0</v>
      </c>
      <c r="AL54" s="67">
        <f t="shared" ca="1" si="23"/>
        <v>0</v>
      </c>
      <c r="AM54" s="67">
        <f t="shared" ca="1" si="23"/>
        <v>0</v>
      </c>
      <c r="AN54" s="67">
        <f t="shared" ca="1" si="23"/>
        <v>0</v>
      </c>
      <c r="AO54" s="67">
        <f t="shared" ca="1" si="23"/>
        <v>0</v>
      </c>
      <c r="AP54" s="67">
        <f t="shared" ca="1" si="23"/>
        <v>0</v>
      </c>
      <c r="AQ54" s="67">
        <f t="shared" ca="1" si="23"/>
        <v>0</v>
      </c>
      <c r="AR54" s="67">
        <f t="shared" ca="1" si="23"/>
        <v>0</v>
      </c>
      <c r="AS54" s="67">
        <f t="shared" ca="1" si="23"/>
        <v>0</v>
      </c>
      <c r="AT54" s="67">
        <f t="shared" ca="1" si="23"/>
        <v>0</v>
      </c>
      <c r="AU54" s="67">
        <f t="shared" ca="1" si="23"/>
        <v>0</v>
      </c>
      <c r="AV54" s="67">
        <f t="shared" ca="1" si="23"/>
        <v>0</v>
      </c>
      <c r="AW54" s="67">
        <f t="shared" ca="1" si="23"/>
        <v>0</v>
      </c>
      <c r="AX54" s="67">
        <f t="shared" ca="1" si="23"/>
        <v>0</v>
      </c>
      <c r="AY54" s="67">
        <f t="shared" ca="1" si="23"/>
        <v>0</v>
      </c>
      <c r="AZ54" s="67">
        <f t="shared" ca="1" si="21"/>
        <v>0</v>
      </c>
      <c r="BA54" s="67">
        <f t="shared" ca="1" si="21"/>
        <v>0</v>
      </c>
      <c r="BB54" s="67">
        <f t="shared" ca="1" si="21"/>
        <v>0</v>
      </c>
      <c r="BC54" s="67">
        <f t="shared" ca="1" si="21"/>
        <v>0</v>
      </c>
      <c r="BD54" s="67">
        <f t="shared" ca="1" si="21"/>
        <v>0</v>
      </c>
      <c r="BE54" s="67">
        <f t="shared" ca="1" si="21"/>
        <v>0</v>
      </c>
      <c r="BF54" s="67">
        <f t="shared" ca="1" si="21"/>
        <v>0</v>
      </c>
      <c r="BG54" s="67">
        <f t="shared" ca="1" si="21"/>
        <v>0</v>
      </c>
      <c r="BH54" s="67">
        <f t="shared" ca="1" si="21"/>
        <v>0</v>
      </c>
      <c r="BI54" s="67">
        <f t="shared" ca="1" si="21"/>
        <v>0</v>
      </c>
      <c r="BJ54" s="67">
        <f t="shared" ca="1" si="21"/>
        <v>0</v>
      </c>
      <c r="BK54" s="67">
        <f t="shared" ca="1" si="21"/>
        <v>0</v>
      </c>
      <c r="BL54" s="67">
        <f t="shared" ca="1" si="21"/>
        <v>0</v>
      </c>
      <c r="BM54" s="67">
        <f t="shared" ca="1" si="21"/>
        <v>0</v>
      </c>
      <c r="BN54" s="67">
        <f t="shared" ca="1" si="21"/>
        <v>0</v>
      </c>
      <c r="BO54" s="67">
        <f t="shared" ca="1" si="21"/>
        <v>0</v>
      </c>
      <c r="BP54" s="67">
        <f t="shared" ca="1" si="22"/>
        <v>0</v>
      </c>
      <c r="BQ54" s="67">
        <f t="shared" ca="1" si="20"/>
        <v>0</v>
      </c>
      <c r="BR54" s="67">
        <f t="shared" ca="1" si="20"/>
        <v>0</v>
      </c>
      <c r="BS54" s="67">
        <f t="shared" ca="1" si="20"/>
        <v>0</v>
      </c>
      <c r="BT54" s="67">
        <f t="shared" ca="1" si="20"/>
        <v>0</v>
      </c>
    </row>
    <row r="55" spans="1:72" x14ac:dyDescent="0.2">
      <c r="A55" s="317">
        <f t="shared" ca="1" si="6"/>
        <v>44766</v>
      </c>
      <c r="B55" s="87">
        <f t="shared" ca="1" si="9"/>
        <v>44760</v>
      </c>
      <c r="C55" s="67">
        <v>50</v>
      </c>
      <c r="D55" s="67" t="str">
        <f t="shared" ca="1" si="10"/>
        <v/>
      </c>
      <c r="E55" s="67" t="str">
        <f ca="1">IF(TEXT(B55,"MMM")=TEXT(B54,"MMM")," ",TEXT(B55,"MMM"))</f>
        <v xml:space="preserve"> </v>
      </c>
      <c r="F55" s="67">
        <f t="shared" ca="1" si="7"/>
        <v>29</v>
      </c>
      <c r="G55" s="67" t="str">
        <f>ROW(A50)&amp;". "&amp;'Critical resources'!B61</f>
        <v xml:space="preserve">50. </v>
      </c>
      <c r="H55" s="67">
        <f ca="1">IFERROR(VLOOKUP('Critical resources'!D61,$B$6:$C$57,2,0),0)</f>
        <v>0</v>
      </c>
      <c r="I55" s="67">
        <f ca="1">IFERROR(VLOOKUP('Critical resources'!E61,$A$6:$C$57,3,0),0)</f>
        <v>0</v>
      </c>
      <c r="J55" s="67">
        <f ca="1">IFERROR(VLOOKUP('Critical resources'!G61,$B$6:$C$57,2,0),0)</f>
        <v>0</v>
      </c>
      <c r="K55" s="67">
        <f ca="1">IFERROR(VLOOKUP('Critical resources'!H61,$B$6:$C$57,2,0),0)</f>
        <v>0</v>
      </c>
      <c r="L55" s="67">
        <f ca="1">IFERROR(VLOOKUP('Critical resources'!J61,$B$6:$C$57,2,0),0)</f>
        <v>0</v>
      </c>
      <c r="M55" s="67">
        <f ca="1">IFERROR(VLOOKUP('Critical resources'!K61,$A$6:$C$57,3,0),0)</f>
        <v>0</v>
      </c>
      <c r="N55" s="67">
        <f ca="1">IFERROR(VLOOKUP('Critical resources'!M61,$B$6:$C$57,2,0),0)</f>
        <v>0</v>
      </c>
      <c r="O55" s="67">
        <f ca="1">IFERROR(VLOOKUP('Critical resources'!N61,$A$6:$C$57,3,0),0)</f>
        <v>0</v>
      </c>
      <c r="P55" s="67">
        <f ca="1">IFERROR(VLOOKUP('Critical resources'!P61,$B$6:$C$57,2,0),0)</f>
        <v>0</v>
      </c>
      <c r="Q55" s="67">
        <f ca="1">IFERROR(VLOOKUP('Critical resources'!Q61,$A$6:$C$57,3,0),0)</f>
        <v>0</v>
      </c>
      <c r="T55" s="67" t="str">
        <f t="shared" si="17"/>
        <v xml:space="preserve">50. </v>
      </c>
      <c r="U55" s="67">
        <f t="shared" ref="U55:AJ70" ca="1" si="24">SUM(IFERROR(IF(AND(U$5&gt;=$H55,U$5&lt;=$I55),1,0),0),IFERROR(IF(AND(U$5&gt;=$J55,U$5&lt;=$K55),1,0),0),IFERROR(IF(AND(U$5&gt;=$L55,U$5&lt;=$M55),1,0),0),IFERROR(IF(AND(U$5&gt;=$N55,U$5&lt;=$O55),1,0),0),IFERROR(IF(AND(U$5&gt;=$P55,U$5&lt;=$Q55),1,0),0))</f>
        <v>0</v>
      </c>
      <c r="V55" s="67">
        <f t="shared" ca="1" si="24"/>
        <v>0</v>
      </c>
      <c r="W55" s="67">
        <f t="shared" ca="1" si="24"/>
        <v>0</v>
      </c>
      <c r="X55" s="67">
        <f t="shared" ca="1" si="24"/>
        <v>0</v>
      </c>
      <c r="Y55" s="67">
        <f t="shared" ca="1" si="24"/>
        <v>0</v>
      </c>
      <c r="Z55" s="67">
        <f t="shared" ca="1" si="24"/>
        <v>0</v>
      </c>
      <c r="AA55" s="67">
        <f t="shared" ca="1" si="24"/>
        <v>0</v>
      </c>
      <c r="AB55" s="67">
        <f t="shared" ca="1" si="24"/>
        <v>0</v>
      </c>
      <c r="AC55" s="67">
        <f t="shared" ca="1" si="24"/>
        <v>0</v>
      </c>
      <c r="AD55" s="67">
        <f t="shared" ca="1" si="24"/>
        <v>0</v>
      </c>
      <c r="AE55" s="67">
        <f t="shared" ca="1" si="24"/>
        <v>0</v>
      </c>
      <c r="AF55" s="67">
        <f t="shared" ca="1" si="24"/>
        <v>0</v>
      </c>
      <c r="AG55" s="67">
        <f t="shared" ca="1" si="24"/>
        <v>0</v>
      </c>
      <c r="AH55" s="67">
        <f t="shared" ca="1" si="24"/>
        <v>0</v>
      </c>
      <c r="AI55" s="67">
        <f t="shared" ca="1" si="24"/>
        <v>0</v>
      </c>
      <c r="AJ55" s="67">
        <f t="shared" ca="1" si="24"/>
        <v>0</v>
      </c>
      <c r="AK55" s="67">
        <f t="shared" ca="1" si="23"/>
        <v>0</v>
      </c>
      <c r="AL55" s="67">
        <f t="shared" ca="1" si="23"/>
        <v>0</v>
      </c>
      <c r="AM55" s="67">
        <f t="shared" ca="1" si="23"/>
        <v>0</v>
      </c>
      <c r="AN55" s="67">
        <f t="shared" ca="1" si="23"/>
        <v>0</v>
      </c>
      <c r="AO55" s="67">
        <f t="shared" ca="1" si="23"/>
        <v>0</v>
      </c>
      <c r="AP55" s="67">
        <f t="shared" ca="1" si="23"/>
        <v>0</v>
      </c>
      <c r="AQ55" s="67">
        <f t="shared" ca="1" si="23"/>
        <v>0</v>
      </c>
      <c r="AR55" s="67">
        <f t="shared" ca="1" si="23"/>
        <v>0</v>
      </c>
      <c r="AS55" s="67">
        <f t="shared" ca="1" si="23"/>
        <v>0</v>
      </c>
      <c r="AT55" s="67">
        <f t="shared" ca="1" si="23"/>
        <v>0</v>
      </c>
      <c r="AU55" s="67">
        <f t="shared" ca="1" si="23"/>
        <v>0</v>
      </c>
      <c r="AV55" s="67">
        <f t="shared" ca="1" si="23"/>
        <v>0</v>
      </c>
      <c r="AW55" s="67">
        <f t="shared" ca="1" si="23"/>
        <v>0</v>
      </c>
      <c r="AX55" s="67">
        <f t="shared" ca="1" si="23"/>
        <v>0</v>
      </c>
      <c r="AY55" s="67">
        <f t="shared" ca="1" si="23"/>
        <v>0</v>
      </c>
      <c r="AZ55" s="67">
        <f t="shared" ca="1" si="21"/>
        <v>0</v>
      </c>
      <c r="BA55" s="67">
        <f t="shared" ca="1" si="21"/>
        <v>0</v>
      </c>
      <c r="BB55" s="67">
        <f t="shared" ca="1" si="21"/>
        <v>0</v>
      </c>
      <c r="BC55" s="67">
        <f t="shared" ca="1" si="21"/>
        <v>0</v>
      </c>
      <c r="BD55" s="67">
        <f t="shared" ca="1" si="21"/>
        <v>0</v>
      </c>
      <c r="BE55" s="67">
        <f t="shared" ca="1" si="21"/>
        <v>0</v>
      </c>
      <c r="BF55" s="67">
        <f t="shared" ca="1" si="21"/>
        <v>0</v>
      </c>
      <c r="BG55" s="67">
        <f t="shared" ca="1" si="21"/>
        <v>0</v>
      </c>
      <c r="BH55" s="67">
        <f t="shared" ca="1" si="21"/>
        <v>0</v>
      </c>
      <c r="BI55" s="67">
        <f t="shared" ca="1" si="21"/>
        <v>0</v>
      </c>
      <c r="BJ55" s="67">
        <f t="shared" ca="1" si="21"/>
        <v>0</v>
      </c>
      <c r="BK55" s="67">
        <f t="shared" ca="1" si="21"/>
        <v>0</v>
      </c>
      <c r="BL55" s="67">
        <f t="shared" ca="1" si="21"/>
        <v>0</v>
      </c>
      <c r="BM55" s="67">
        <f t="shared" ca="1" si="21"/>
        <v>0</v>
      </c>
      <c r="BN55" s="67">
        <f t="shared" ca="1" si="21"/>
        <v>0</v>
      </c>
      <c r="BO55" s="67">
        <f t="shared" ca="1" si="21"/>
        <v>0</v>
      </c>
      <c r="BP55" s="67">
        <f t="shared" ca="1" si="22"/>
        <v>0</v>
      </c>
      <c r="BQ55" s="67">
        <f t="shared" ca="1" si="20"/>
        <v>0</v>
      </c>
      <c r="BR55" s="67">
        <f t="shared" ca="1" si="20"/>
        <v>0</v>
      </c>
      <c r="BS55" s="67">
        <f t="shared" ca="1" si="20"/>
        <v>0</v>
      </c>
      <c r="BT55" s="67">
        <f t="shared" ca="1" si="20"/>
        <v>0</v>
      </c>
    </row>
    <row r="56" spans="1:72" x14ac:dyDescent="0.2">
      <c r="A56" s="317">
        <f t="shared" ca="1" si="6"/>
        <v>44773</v>
      </c>
      <c r="B56" s="87">
        <f t="shared" ca="1" si="9"/>
        <v>44767</v>
      </c>
      <c r="C56" s="67">
        <v>51</v>
      </c>
      <c r="D56" s="67" t="str">
        <f t="shared" ca="1" si="10"/>
        <v/>
      </c>
      <c r="E56" s="67" t="str">
        <f t="shared" ref="E56:E58" ca="1" si="25">IF(TEXT(B56,"MMM")=TEXT(B55,"MMM")," ",TEXT(B56,"MMM"))</f>
        <v xml:space="preserve"> </v>
      </c>
      <c r="F56" s="67">
        <f t="shared" ca="1" si="7"/>
        <v>30</v>
      </c>
      <c r="G56" s="67" t="str">
        <f>ROW(A51)&amp;". "&amp;'Critical resources'!B62</f>
        <v xml:space="preserve">51. </v>
      </c>
      <c r="H56" s="67">
        <f ca="1">IFERROR(VLOOKUP('Critical resources'!D62,$B$6:$C$57,2,0),0)</f>
        <v>0</v>
      </c>
      <c r="I56" s="67">
        <f ca="1">IFERROR(VLOOKUP('Critical resources'!E62,$A$6:$C$57,3,0),0)</f>
        <v>0</v>
      </c>
      <c r="J56" s="67">
        <f ca="1">IFERROR(VLOOKUP('Critical resources'!G62,$B$6:$C$57,2,0),0)</f>
        <v>0</v>
      </c>
      <c r="K56" s="67">
        <f ca="1">IFERROR(VLOOKUP('Critical resources'!H62,$B$6:$C$57,2,0),0)</f>
        <v>0</v>
      </c>
      <c r="L56" s="67">
        <f ca="1">IFERROR(VLOOKUP('Critical resources'!J62,$B$6:$C$57,2,0),0)</f>
        <v>0</v>
      </c>
      <c r="M56" s="67">
        <f ca="1">IFERROR(VLOOKUP('Critical resources'!K62,$A$6:$C$57,3,0),0)</f>
        <v>0</v>
      </c>
      <c r="N56" s="67">
        <f ca="1">IFERROR(VLOOKUP('Critical resources'!M62,$B$6:$C$57,2,0),0)</f>
        <v>0</v>
      </c>
      <c r="O56" s="67">
        <f ca="1">IFERROR(VLOOKUP('Critical resources'!N62,$A$6:$C$57,3,0),0)</f>
        <v>0</v>
      </c>
      <c r="P56" s="67">
        <f ca="1">IFERROR(VLOOKUP('Critical resources'!P62,$B$6:$C$57,2,0),0)</f>
        <v>0</v>
      </c>
      <c r="Q56" s="67">
        <f ca="1">IFERROR(VLOOKUP('Critical resources'!Q62,$A$6:$C$57,3,0),0)</f>
        <v>0</v>
      </c>
      <c r="T56" s="67" t="str">
        <f t="shared" si="17"/>
        <v xml:space="preserve">51. </v>
      </c>
      <c r="U56" s="67">
        <f t="shared" ca="1" si="24"/>
        <v>0</v>
      </c>
      <c r="V56" s="67">
        <f t="shared" ca="1" si="24"/>
        <v>0</v>
      </c>
      <c r="W56" s="67">
        <f t="shared" ca="1" si="24"/>
        <v>0</v>
      </c>
      <c r="X56" s="67">
        <f t="shared" ca="1" si="24"/>
        <v>0</v>
      </c>
      <c r="Y56" s="67">
        <f t="shared" ca="1" si="24"/>
        <v>0</v>
      </c>
      <c r="Z56" s="67">
        <f t="shared" ca="1" si="24"/>
        <v>0</v>
      </c>
      <c r="AA56" s="67">
        <f t="shared" ca="1" si="24"/>
        <v>0</v>
      </c>
      <c r="AB56" s="67">
        <f t="shared" ca="1" si="24"/>
        <v>0</v>
      </c>
      <c r="AC56" s="67">
        <f t="shared" ca="1" si="24"/>
        <v>0</v>
      </c>
      <c r="AD56" s="67">
        <f t="shared" ca="1" si="24"/>
        <v>0</v>
      </c>
      <c r="AE56" s="67">
        <f t="shared" ca="1" si="24"/>
        <v>0</v>
      </c>
      <c r="AF56" s="67">
        <f t="shared" ca="1" si="24"/>
        <v>0</v>
      </c>
      <c r="AG56" s="67">
        <f t="shared" ca="1" si="24"/>
        <v>0</v>
      </c>
      <c r="AH56" s="67">
        <f t="shared" ca="1" si="24"/>
        <v>0</v>
      </c>
      <c r="AI56" s="67">
        <f t="shared" ca="1" si="24"/>
        <v>0</v>
      </c>
      <c r="AJ56" s="67">
        <f t="shared" ca="1" si="24"/>
        <v>0</v>
      </c>
      <c r="AK56" s="67">
        <f t="shared" ca="1" si="23"/>
        <v>0</v>
      </c>
      <c r="AL56" s="67">
        <f t="shared" ca="1" si="23"/>
        <v>0</v>
      </c>
      <c r="AM56" s="67">
        <f t="shared" ca="1" si="23"/>
        <v>0</v>
      </c>
      <c r="AN56" s="67">
        <f t="shared" ca="1" si="23"/>
        <v>0</v>
      </c>
      <c r="AO56" s="67">
        <f t="shared" ca="1" si="23"/>
        <v>0</v>
      </c>
      <c r="AP56" s="67">
        <f t="shared" ca="1" si="23"/>
        <v>0</v>
      </c>
      <c r="AQ56" s="67">
        <f t="shared" ca="1" si="23"/>
        <v>0</v>
      </c>
      <c r="AR56" s="67">
        <f t="shared" ca="1" si="23"/>
        <v>0</v>
      </c>
      <c r="AS56" s="67">
        <f t="shared" ca="1" si="23"/>
        <v>0</v>
      </c>
      <c r="AT56" s="67">
        <f t="shared" ca="1" si="23"/>
        <v>0</v>
      </c>
      <c r="AU56" s="67">
        <f t="shared" ca="1" si="23"/>
        <v>0</v>
      </c>
      <c r="AV56" s="67">
        <f t="shared" ca="1" si="23"/>
        <v>0</v>
      </c>
      <c r="AW56" s="67">
        <f t="shared" ca="1" si="23"/>
        <v>0</v>
      </c>
      <c r="AX56" s="67">
        <f t="shared" ca="1" si="23"/>
        <v>0</v>
      </c>
      <c r="AY56" s="67">
        <f t="shared" ca="1" si="23"/>
        <v>0</v>
      </c>
      <c r="AZ56" s="67">
        <f t="shared" ca="1" si="21"/>
        <v>0</v>
      </c>
      <c r="BA56" s="67">
        <f t="shared" ca="1" si="21"/>
        <v>0</v>
      </c>
      <c r="BB56" s="67">
        <f t="shared" ca="1" si="21"/>
        <v>0</v>
      </c>
      <c r="BC56" s="67">
        <f t="shared" ca="1" si="21"/>
        <v>0</v>
      </c>
      <c r="BD56" s="67">
        <f t="shared" ca="1" si="21"/>
        <v>0</v>
      </c>
      <c r="BE56" s="67">
        <f t="shared" ca="1" si="21"/>
        <v>0</v>
      </c>
      <c r="BF56" s="67">
        <f t="shared" ca="1" si="21"/>
        <v>0</v>
      </c>
      <c r="BG56" s="67">
        <f t="shared" ca="1" si="21"/>
        <v>0</v>
      </c>
      <c r="BH56" s="67">
        <f t="shared" ca="1" si="21"/>
        <v>0</v>
      </c>
      <c r="BI56" s="67">
        <f t="shared" ca="1" si="21"/>
        <v>0</v>
      </c>
      <c r="BJ56" s="67">
        <f t="shared" ca="1" si="21"/>
        <v>0</v>
      </c>
      <c r="BK56" s="67">
        <f t="shared" ca="1" si="21"/>
        <v>0</v>
      </c>
      <c r="BL56" s="67">
        <f t="shared" ca="1" si="21"/>
        <v>0</v>
      </c>
      <c r="BM56" s="67">
        <f t="shared" ca="1" si="21"/>
        <v>0</v>
      </c>
      <c r="BN56" s="67">
        <f t="shared" ca="1" si="21"/>
        <v>0</v>
      </c>
      <c r="BO56" s="67">
        <f t="shared" ca="1" si="21"/>
        <v>0</v>
      </c>
      <c r="BP56" s="67">
        <f t="shared" ca="1" si="22"/>
        <v>0</v>
      </c>
      <c r="BQ56" s="67">
        <f t="shared" ca="1" si="20"/>
        <v>0</v>
      </c>
      <c r="BR56" s="67">
        <f t="shared" ca="1" si="20"/>
        <v>0</v>
      </c>
      <c r="BS56" s="67">
        <f t="shared" ca="1" si="20"/>
        <v>0</v>
      </c>
      <c r="BT56" s="67">
        <f t="shared" ca="1" si="20"/>
        <v>0</v>
      </c>
    </row>
    <row r="57" spans="1:72" x14ac:dyDescent="0.2">
      <c r="A57" s="317">
        <f t="shared" ca="1" si="6"/>
        <v>44780</v>
      </c>
      <c r="B57" s="87">
        <f t="shared" ca="1" si="9"/>
        <v>44774</v>
      </c>
      <c r="C57" s="67">
        <v>52</v>
      </c>
      <c r="D57" s="67" t="str">
        <f t="shared" ca="1" si="10"/>
        <v/>
      </c>
      <c r="E57" s="67" t="str">
        <f t="shared" ca="1" si="25"/>
        <v>Aug</v>
      </c>
      <c r="F57" s="67">
        <f t="shared" ca="1" si="7"/>
        <v>31</v>
      </c>
      <c r="G57" s="67" t="str">
        <f>ROW(A52)&amp;". "&amp;'Critical resources'!B63</f>
        <v xml:space="preserve">52. </v>
      </c>
      <c r="H57" s="67">
        <f ca="1">IFERROR(VLOOKUP('Critical resources'!D63,$B$6:$C$57,2,0),0)</f>
        <v>0</v>
      </c>
      <c r="I57" s="67">
        <f ca="1">IFERROR(VLOOKUP('Critical resources'!E63,$A$6:$C$57,3,0),0)</f>
        <v>0</v>
      </c>
      <c r="J57" s="67">
        <f ca="1">IFERROR(VLOOKUP('Critical resources'!G63,$B$6:$C$57,2,0),0)</f>
        <v>0</v>
      </c>
      <c r="K57" s="67">
        <f ca="1">IFERROR(VLOOKUP('Critical resources'!H63,$B$6:$C$57,2,0),0)</f>
        <v>0</v>
      </c>
      <c r="L57" s="67">
        <f ca="1">IFERROR(VLOOKUP('Critical resources'!J63,$B$6:$C$57,2,0),0)</f>
        <v>0</v>
      </c>
      <c r="M57" s="67">
        <f ca="1">IFERROR(VLOOKUP('Critical resources'!K63,$A$6:$C$57,3,0),0)</f>
        <v>0</v>
      </c>
      <c r="N57" s="67">
        <f ca="1">IFERROR(VLOOKUP('Critical resources'!M63,$B$6:$C$57,2,0),0)</f>
        <v>0</v>
      </c>
      <c r="O57" s="67">
        <f ca="1">IFERROR(VLOOKUP('Critical resources'!N63,$A$6:$C$57,3,0),0)</f>
        <v>0</v>
      </c>
      <c r="P57" s="67">
        <f ca="1">IFERROR(VLOOKUP('Critical resources'!P63,$B$6:$C$57,2,0),0)</f>
        <v>0</v>
      </c>
      <c r="Q57" s="67">
        <f ca="1">IFERROR(VLOOKUP('Critical resources'!Q63,$A$6:$C$57,3,0),0)</f>
        <v>0</v>
      </c>
      <c r="T57" s="67" t="str">
        <f t="shared" si="17"/>
        <v xml:space="preserve">52. </v>
      </c>
      <c r="U57" s="67">
        <f t="shared" ca="1" si="24"/>
        <v>0</v>
      </c>
      <c r="V57" s="67">
        <f t="shared" ca="1" si="24"/>
        <v>0</v>
      </c>
      <c r="W57" s="67">
        <f t="shared" ca="1" si="24"/>
        <v>0</v>
      </c>
      <c r="X57" s="67">
        <f t="shared" ca="1" si="24"/>
        <v>0</v>
      </c>
      <c r="Y57" s="67">
        <f t="shared" ca="1" si="24"/>
        <v>0</v>
      </c>
      <c r="Z57" s="67">
        <f t="shared" ca="1" si="24"/>
        <v>0</v>
      </c>
      <c r="AA57" s="67">
        <f t="shared" ca="1" si="24"/>
        <v>0</v>
      </c>
      <c r="AB57" s="67">
        <f t="shared" ca="1" si="24"/>
        <v>0</v>
      </c>
      <c r="AC57" s="67">
        <f t="shared" ca="1" si="24"/>
        <v>0</v>
      </c>
      <c r="AD57" s="67">
        <f t="shared" ca="1" si="24"/>
        <v>0</v>
      </c>
      <c r="AE57" s="67">
        <f t="shared" ca="1" si="24"/>
        <v>0</v>
      </c>
      <c r="AF57" s="67">
        <f t="shared" ca="1" si="24"/>
        <v>0</v>
      </c>
      <c r="AG57" s="67">
        <f t="shared" ca="1" si="24"/>
        <v>0</v>
      </c>
      <c r="AH57" s="67">
        <f t="shared" ca="1" si="24"/>
        <v>0</v>
      </c>
      <c r="AI57" s="67">
        <f t="shared" ca="1" si="24"/>
        <v>0</v>
      </c>
      <c r="AJ57" s="67">
        <f t="shared" ca="1" si="24"/>
        <v>0</v>
      </c>
      <c r="AK57" s="67">
        <f t="shared" ca="1" si="23"/>
        <v>0</v>
      </c>
      <c r="AL57" s="67">
        <f t="shared" ca="1" si="23"/>
        <v>0</v>
      </c>
      <c r="AM57" s="67">
        <f t="shared" ca="1" si="23"/>
        <v>0</v>
      </c>
      <c r="AN57" s="67">
        <f t="shared" ca="1" si="23"/>
        <v>0</v>
      </c>
      <c r="AO57" s="67">
        <f t="shared" ca="1" si="23"/>
        <v>0</v>
      </c>
      <c r="AP57" s="67">
        <f t="shared" ca="1" si="23"/>
        <v>0</v>
      </c>
      <c r="AQ57" s="67">
        <f t="shared" ca="1" si="23"/>
        <v>0</v>
      </c>
      <c r="AR57" s="67">
        <f t="shared" ca="1" si="23"/>
        <v>0</v>
      </c>
      <c r="AS57" s="67">
        <f t="shared" ca="1" si="23"/>
        <v>0</v>
      </c>
      <c r="AT57" s="67">
        <f t="shared" ca="1" si="23"/>
        <v>0</v>
      </c>
      <c r="AU57" s="67">
        <f t="shared" ca="1" si="23"/>
        <v>0</v>
      </c>
      <c r="AV57" s="67">
        <f t="shared" ca="1" si="23"/>
        <v>0</v>
      </c>
      <c r="AW57" s="67">
        <f t="shared" ca="1" si="23"/>
        <v>0</v>
      </c>
      <c r="AX57" s="67">
        <f t="shared" ca="1" si="23"/>
        <v>0</v>
      </c>
      <c r="AY57" s="67">
        <f t="shared" ca="1" si="23"/>
        <v>0</v>
      </c>
      <c r="AZ57" s="67">
        <f t="shared" ca="1" si="21"/>
        <v>0</v>
      </c>
      <c r="BA57" s="67">
        <f t="shared" ca="1" si="21"/>
        <v>0</v>
      </c>
      <c r="BB57" s="67">
        <f t="shared" ca="1" si="21"/>
        <v>0</v>
      </c>
      <c r="BC57" s="67">
        <f t="shared" ca="1" si="21"/>
        <v>0</v>
      </c>
      <c r="BD57" s="67">
        <f t="shared" ca="1" si="21"/>
        <v>0</v>
      </c>
      <c r="BE57" s="67">
        <f t="shared" ca="1" si="21"/>
        <v>0</v>
      </c>
      <c r="BF57" s="67">
        <f t="shared" ca="1" si="21"/>
        <v>0</v>
      </c>
      <c r="BG57" s="67">
        <f t="shared" ca="1" si="21"/>
        <v>0</v>
      </c>
      <c r="BH57" s="67">
        <f t="shared" ca="1" si="21"/>
        <v>0</v>
      </c>
      <c r="BI57" s="67">
        <f t="shared" ca="1" si="21"/>
        <v>0</v>
      </c>
      <c r="BJ57" s="67">
        <f t="shared" ca="1" si="21"/>
        <v>0</v>
      </c>
      <c r="BK57" s="67">
        <f t="shared" ca="1" si="21"/>
        <v>0</v>
      </c>
      <c r="BL57" s="67">
        <f t="shared" ca="1" si="21"/>
        <v>0</v>
      </c>
      <c r="BM57" s="67">
        <f t="shared" ca="1" si="21"/>
        <v>0</v>
      </c>
      <c r="BN57" s="67">
        <f t="shared" ca="1" si="21"/>
        <v>0</v>
      </c>
      <c r="BO57" s="67">
        <f t="shared" ca="1" si="21"/>
        <v>0</v>
      </c>
      <c r="BP57" s="67">
        <f t="shared" ca="1" si="22"/>
        <v>0</v>
      </c>
      <c r="BQ57" s="67">
        <f t="shared" ca="1" si="20"/>
        <v>0</v>
      </c>
      <c r="BR57" s="67">
        <f t="shared" ca="1" si="20"/>
        <v>0</v>
      </c>
      <c r="BS57" s="67">
        <f t="shared" ca="1" si="20"/>
        <v>0</v>
      </c>
      <c r="BT57" s="67">
        <f t="shared" ca="1" si="20"/>
        <v>0</v>
      </c>
    </row>
    <row r="58" spans="1:72" x14ac:dyDescent="0.2">
      <c r="A58" s="317">
        <f t="shared" ca="1" si="6"/>
        <v>44787</v>
      </c>
      <c r="B58" s="317">
        <f t="shared" ca="1" si="9"/>
        <v>44781</v>
      </c>
      <c r="C58" s="67">
        <v>53</v>
      </c>
      <c r="E58" s="67" t="str">
        <f t="shared" ca="1" si="25"/>
        <v xml:space="preserve"> </v>
      </c>
      <c r="F58" s="67">
        <f t="shared" ca="1" si="7"/>
        <v>32</v>
      </c>
      <c r="G58" s="67" t="str">
        <f>ROW(A53)&amp;". "&amp;'Critical resources'!B64</f>
        <v xml:space="preserve">53. </v>
      </c>
      <c r="H58" s="67">
        <f ca="1">IFERROR(VLOOKUP('Critical resources'!D64,$B$6:$C$57,2,0),0)</f>
        <v>0</v>
      </c>
      <c r="I58" s="67">
        <f ca="1">IFERROR(VLOOKUP('Critical resources'!E64,$A$6:$C$57,3,0),0)</f>
        <v>0</v>
      </c>
      <c r="J58" s="67">
        <f ca="1">IFERROR(VLOOKUP('Critical resources'!G64,$B$6:$C$57,2,0),0)</f>
        <v>0</v>
      </c>
      <c r="K58" s="67">
        <f ca="1">IFERROR(VLOOKUP('Critical resources'!H64,$B$6:$C$57,2,0),0)</f>
        <v>0</v>
      </c>
      <c r="L58" s="67">
        <f ca="1">IFERROR(VLOOKUP('Critical resources'!J64,$B$6:$C$57,2,0),0)</f>
        <v>0</v>
      </c>
      <c r="M58" s="67">
        <f ca="1">IFERROR(VLOOKUP('Critical resources'!K64,$A$6:$C$57,3,0),0)</f>
        <v>0</v>
      </c>
      <c r="N58" s="67">
        <f ca="1">IFERROR(VLOOKUP('Critical resources'!M64,$B$6:$C$57,2,0),0)</f>
        <v>0</v>
      </c>
      <c r="O58" s="67">
        <f ca="1">IFERROR(VLOOKUP('Critical resources'!N64,$A$6:$C$57,3,0),0)</f>
        <v>0</v>
      </c>
      <c r="P58" s="67">
        <f ca="1">IFERROR(VLOOKUP('Critical resources'!P64,$B$6:$C$57,2,0),0)</f>
        <v>0</v>
      </c>
      <c r="Q58" s="67">
        <f ca="1">IFERROR(VLOOKUP('Critical resources'!Q64,$A$6:$C$57,3,0),0)</f>
        <v>0</v>
      </c>
      <c r="T58" s="67" t="str">
        <f t="shared" si="17"/>
        <v xml:space="preserve">53. </v>
      </c>
      <c r="U58" s="67">
        <f t="shared" ca="1" si="24"/>
        <v>0</v>
      </c>
      <c r="V58" s="67">
        <f t="shared" ca="1" si="24"/>
        <v>0</v>
      </c>
      <c r="W58" s="67">
        <f t="shared" ca="1" si="24"/>
        <v>0</v>
      </c>
      <c r="X58" s="67">
        <f t="shared" ca="1" si="24"/>
        <v>0</v>
      </c>
      <c r="Y58" s="67">
        <f t="shared" ca="1" si="24"/>
        <v>0</v>
      </c>
      <c r="Z58" s="67">
        <f t="shared" ca="1" si="24"/>
        <v>0</v>
      </c>
      <c r="AA58" s="67">
        <f t="shared" ca="1" si="24"/>
        <v>0</v>
      </c>
      <c r="AB58" s="67">
        <f t="shared" ca="1" si="24"/>
        <v>0</v>
      </c>
      <c r="AC58" s="67">
        <f t="shared" ca="1" si="24"/>
        <v>0</v>
      </c>
      <c r="AD58" s="67">
        <f t="shared" ca="1" si="24"/>
        <v>0</v>
      </c>
      <c r="AE58" s="67">
        <f t="shared" ca="1" si="24"/>
        <v>0</v>
      </c>
      <c r="AF58" s="67">
        <f t="shared" ca="1" si="24"/>
        <v>0</v>
      </c>
      <c r="AG58" s="67">
        <f t="shared" ca="1" si="24"/>
        <v>0</v>
      </c>
      <c r="AH58" s="67">
        <f t="shared" ca="1" si="24"/>
        <v>0</v>
      </c>
      <c r="AI58" s="67">
        <f t="shared" ca="1" si="24"/>
        <v>0</v>
      </c>
      <c r="AJ58" s="67">
        <f t="shared" ca="1" si="24"/>
        <v>0</v>
      </c>
      <c r="AK58" s="67">
        <f t="shared" ca="1" si="23"/>
        <v>0</v>
      </c>
      <c r="AL58" s="67">
        <f t="shared" ca="1" si="23"/>
        <v>0</v>
      </c>
      <c r="AM58" s="67">
        <f t="shared" ca="1" si="23"/>
        <v>0</v>
      </c>
      <c r="AN58" s="67">
        <f t="shared" ca="1" si="23"/>
        <v>0</v>
      </c>
      <c r="AO58" s="67">
        <f t="shared" ca="1" si="23"/>
        <v>0</v>
      </c>
      <c r="AP58" s="67">
        <f t="shared" ca="1" si="23"/>
        <v>0</v>
      </c>
      <c r="AQ58" s="67">
        <f t="shared" ca="1" si="23"/>
        <v>0</v>
      </c>
      <c r="AR58" s="67">
        <f t="shared" ca="1" si="23"/>
        <v>0</v>
      </c>
      <c r="AS58" s="67">
        <f t="shared" ca="1" si="23"/>
        <v>0</v>
      </c>
      <c r="AT58" s="67">
        <f t="shared" ca="1" si="23"/>
        <v>0</v>
      </c>
      <c r="AU58" s="67">
        <f t="shared" ca="1" si="23"/>
        <v>0</v>
      </c>
      <c r="AV58" s="67">
        <f t="shared" ca="1" si="23"/>
        <v>0</v>
      </c>
      <c r="AW58" s="67">
        <f t="shared" ca="1" si="23"/>
        <v>0</v>
      </c>
      <c r="AX58" s="67">
        <f t="shared" ca="1" si="23"/>
        <v>0</v>
      </c>
      <c r="AY58" s="67">
        <f t="shared" ca="1" si="23"/>
        <v>0</v>
      </c>
      <c r="AZ58" s="67">
        <f t="shared" ca="1" si="21"/>
        <v>0</v>
      </c>
      <c r="BA58" s="67">
        <f t="shared" ca="1" si="21"/>
        <v>0</v>
      </c>
      <c r="BB58" s="67">
        <f t="shared" ca="1" si="21"/>
        <v>0</v>
      </c>
      <c r="BC58" s="67">
        <f t="shared" ca="1" si="21"/>
        <v>0</v>
      </c>
      <c r="BD58" s="67">
        <f t="shared" ca="1" si="21"/>
        <v>0</v>
      </c>
      <c r="BE58" s="67">
        <f t="shared" ca="1" si="21"/>
        <v>0</v>
      </c>
      <c r="BF58" s="67">
        <f t="shared" ca="1" si="21"/>
        <v>0</v>
      </c>
      <c r="BG58" s="67">
        <f t="shared" ca="1" si="21"/>
        <v>0</v>
      </c>
      <c r="BH58" s="67">
        <f t="shared" ca="1" si="21"/>
        <v>0</v>
      </c>
      <c r="BI58" s="67">
        <f t="shared" ca="1" si="21"/>
        <v>0</v>
      </c>
      <c r="BJ58" s="67">
        <f t="shared" ca="1" si="21"/>
        <v>0</v>
      </c>
      <c r="BK58" s="67">
        <f t="shared" ca="1" si="21"/>
        <v>0</v>
      </c>
      <c r="BL58" s="67">
        <f t="shared" ca="1" si="21"/>
        <v>0</v>
      </c>
      <c r="BM58" s="67">
        <f t="shared" ca="1" si="21"/>
        <v>0</v>
      </c>
      <c r="BN58" s="67">
        <f t="shared" ca="1" si="21"/>
        <v>0</v>
      </c>
      <c r="BO58" s="67">
        <f t="shared" ca="1" si="21"/>
        <v>0</v>
      </c>
      <c r="BP58" s="67">
        <f t="shared" ca="1" si="22"/>
        <v>0</v>
      </c>
      <c r="BQ58" s="67">
        <f t="shared" ca="1" si="20"/>
        <v>0</v>
      </c>
      <c r="BR58" s="67">
        <f t="shared" ca="1" si="20"/>
        <v>0</v>
      </c>
      <c r="BS58" s="67">
        <f t="shared" ca="1" si="20"/>
        <v>0</v>
      </c>
      <c r="BT58" s="67">
        <f t="shared" ca="1" si="20"/>
        <v>0</v>
      </c>
    </row>
    <row r="59" spans="1:72" x14ac:dyDescent="0.2">
      <c r="B59" s="87"/>
      <c r="G59" s="67" t="str">
        <f>ROW(A54)&amp;". "&amp;'Critical resources'!B65</f>
        <v xml:space="preserve">54. </v>
      </c>
      <c r="H59" s="67">
        <f ca="1">IFERROR(VLOOKUP('Critical resources'!D65,$B$6:$C$57,2,0),0)</f>
        <v>0</v>
      </c>
      <c r="I59" s="67">
        <f ca="1">IFERROR(VLOOKUP('Critical resources'!E65,$A$6:$C$57,3,0),0)</f>
        <v>0</v>
      </c>
      <c r="J59" s="67">
        <f ca="1">IFERROR(VLOOKUP('Critical resources'!G65,$B$6:$C$57,2,0),0)</f>
        <v>0</v>
      </c>
      <c r="K59" s="67">
        <f ca="1">IFERROR(VLOOKUP('Critical resources'!H65,$B$6:$C$57,2,0),0)</f>
        <v>0</v>
      </c>
      <c r="L59" s="67">
        <f ca="1">IFERROR(VLOOKUP('Critical resources'!J65,$B$6:$C$57,2,0),0)</f>
        <v>0</v>
      </c>
      <c r="M59" s="67">
        <f ca="1">IFERROR(VLOOKUP('Critical resources'!K65,$A$6:$C$57,3,0),0)</f>
        <v>0</v>
      </c>
      <c r="N59" s="67">
        <f ca="1">IFERROR(VLOOKUP('Critical resources'!M65,$B$6:$C$57,2,0),0)</f>
        <v>0</v>
      </c>
      <c r="O59" s="67">
        <f ca="1">IFERROR(VLOOKUP('Critical resources'!N65,$A$6:$C$57,3,0),0)</f>
        <v>0</v>
      </c>
      <c r="P59" s="67">
        <f ca="1">IFERROR(VLOOKUP('Critical resources'!P65,$B$6:$C$57,2,0),0)</f>
        <v>0</v>
      </c>
      <c r="Q59" s="67">
        <f ca="1">IFERROR(VLOOKUP('Critical resources'!Q65,$A$6:$C$57,3,0),0)</f>
        <v>0</v>
      </c>
      <c r="T59" s="67" t="str">
        <f t="shared" si="17"/>
        <v xml:space="preserve">54. </v>
      </c>
      <c r="U59" s="67">
        <f t="shared" ca="1" si="24"/>
        <v>0</v>
      </c>
      <c r="V59" s="67">
        <f t="shared" ca="1" si="24"/>
        <v>0</v>
      </c>
      <c r="W59" s="67">
        <f t="shared" ca="1" si="24"/>
        <v>0</v>
      </c>
      <c r="X59" s="67">
        <f t="shared" ca="1" si="24"/>
        <v>0</v>
      </c>
      <c r="Y59" s="67">
        <f t="shared" ca="1" si="24"/>
        <v>0</v>
      </c>
      <c r="Z59" s="67">
        <f t="shared" ca="1" si="24"/>
        <v>0</v>
      </c>
      <c r="AA59" s="67">
        <f t="shared" ca="1" si="24"/>
        <v>0</v>
      </c>
      <c r="AB59" s="67">
        <f t="shared" ca="1" si="24"/>
        <v>0</v>
      </c>
      <c r="AC59" s="67">
        <f t="shared" ca="1" si="24"/>
        <v>0</v>
      </c>
      <c r="AD59" s="67">
        <f t="shared" ca="1" si="24"/>
        <v>0</v>
      </c>
      <c r="AE59" s="67">
        <f t="shared" ca="1" si="24"/>
        <v>0</v>
      </c>
      <c r="AF59" s="67">
        <f t="shared" ca="1" si="24"/>
        <v>0</v>
      </c>
      <c r="AG59" s="67">
        <f t="shared" ca="1" si="24"/>
        <v>0</v>
      </c>
      <c r="AH59" s="67">
        <f t="shared" ca="1" si="24"/>
        <v>0</v>
      </c>
      <c r="AI59" s="67">
        <f t="shared" ca="1" si="24"/>
        <v>0</v>
      </c>
      <c r="AJ59" s="67">
        <f t="shared" ca="1" si="24"/>
        <v>0</v>
      </c>
      <c r="AK59" s="67">
        <f t="shared" ca="1" si="23"/>
        <v>0</v>
      </c>
      <c r="AL59" s="67">
        <f t="shared" ca="1" si="23"/>
        <v>0</v>
      </c>
      <c r="AM59" s="67">
        <f t="shared" ca="1" si="23"/>
        <v>0</v>
      </c>
      <c r="AN59" s="67">
        <f t="shared" ca="1" si="23"/>
        <v>0</v>
      </c>
      <c r="AO59" s="67">
        <f t="shared" ca="1" si="23"/>
        <v>0</v>
      </c>
      <c r="AP59" s="67">
        <f t="shared" ca="1" si="23"/>
        <v>0</v>
      </c>
      <c r="AQ59" s="67">
        <f t="shared" ca="1" si="23"/>
        <v>0</v>
      </c>
      <c r="AR59" s="67">
        <f t="shared" ca="1" si="23"/>
        <v>0</v>
      </c>
      <c r="AS59" s="67">
        <f t="shared" ca="1" si="23"/>
        <v>0</v>
      </c>
      <c r="AT59" s="67">
        <f t="shared" ca="1" si="23"/>
        <v>0</v>
      </c>
      <c r="AU59" s="67">
        <f t="shared" ca="1" si="23"/>
        <v>0</v>
      </c>
      <c r="AV59" s="67">
        <f t="shared" ca="1" si="23"/>
        <v>0</v>
      </c>
      <c r="AW59" s="67">
        <f t="shared" ca="1" si="23"/>
        <v>0</v>
      </c>
      <c r="AX59" s="67">
        <f t="shared" ca="1" si="23"/>
        <v>0</v>
      </c>
      <c r="AY59" s="67">
        <f t="shared" ca="1" si="23"/>
        <v>0</v>
      </c>
      <c r="AZ59" s="67">
        <f t="shared" ca="1" si="21"/>
        <v>0</v>
      </c>
      <c r="BA59" s="67">
        <f t="shared" ca="1" si="21"/>
        <v>0</v>
      </c>
      <c r="BB59" s="67">
        <f t="shared" ca="1" si="21"/>
        <v>0</v>
      </c>
      <c r="BC59" s="67">
        <f t="shared" ca="1" si="21"/>
        <v>0</v>
      </c>
      <c r="BD59" s="67">
        <f t="shared" ca="1" si="21"/>
        <v>0</v>
      </c>
      <c r="BE59" s="67">
        <f t="shared" ca="1" si="21"/>
        <v>0</v>
      </c>
      <c r="BF59" s="67">
        <f t="shared" ca="1" si="21"/>
        <v>0</v>
      </c>
      <c r="BG59" s="67">
        <f t="shared" ca="1" si="21"/>
        <v>0</v>
      </c>
      <c r="BH59" s="67">
        <f t="shared" ca="1" si="21"/>
        <v>0</v>
      </c>
      <c r="BI59" s="67">
        <f t="shared" ca="1" si="21"/>
        <v>0</v>
      </c>
      <c r="BJ59" s="67">
        <f t="shared" ca="1" si="21"/>
        <v>0</v>
      </c>
      <c r="BK59" s="67">
        <f t="shared" ca="1" si="21"/>
        <v>0</v>
      </c>
      <c r="BL59" s="67">
        <f t="shared" ca="1" si="21"/>
        <v>0</v>
      </c>
      <c r="BM59" s="67">
        <f t="shared" ca="1" si="21"/>
        <v>0</v>
      </c>
      <c r="BN59" s="67">
        <f t="shared" ca="1" si="21"/>
        <v>0</v>
      </c>
      <c r="BO59" s="67">
        <f t="shared" ca="1" si="21"/>
        <v>0</v>
      </c>
      <c r="BP59" s="67">
        <f t="shared" ca="1" si="22"/>
        <v>0</v>
      </c>
      <c r="BQ59" s="67">
        <f t="shared" ca="1" si="20"/>
        <v>0</v>
      </c>
      <c r="BR59" s="67">
        <f t="shared" ca="1" si="20"/>
        <v>0</v>
      </c>
      <c r="BS59" s="67">
        <f t="shared" ca="1" si="20"/>
        <v>0</v>
      </c>
      <c r="BT59" s="67">
        <f t="shared" ca="1" si="20"/>
        <v>0</v>
      </c>
    </row>
    <row r="60" spans="1:72" x14ac:dyDescent="0.2">
      <c r="B60" s="87"/>
      <c r="G60" s="67" t="str">
        <f>ROW(A55)&amp;". "&amp;'Critical resources'!B66</f>
        <v xml:space="preserve">55. </v>
      </c>
      <c r="H60" s="67">
        <f ca="1">IFERROR(VLOOKUP('Critical resources'!D66,$B$6:$C$57,2,0),0)</f>
        <v>0</v>
      </c>
      <c r="I60" s="67">
        <f ca="1">IFERROR(VLOOKUP('Critical resources'!E66,$A$6:$C$57,3,0),0)</f>
        <v>0</v>
      </c>
      <c r="J60" s="67">
        <f ca="1">IFERROR(VLOOKUP('Critical resources'!G66,$B$6:$C$57,2,0),0)</f>
        <v>0</v>
      </c>
      <c r="K60" s="67">
        <f ca="1">IFERROR(VLOOKUP('Critical resources'!H66,$B$6:$C$57,2,0),0)</f>
        <v>0</v>
      </c>
      <c r="L60" s="67">
        <f ca="1">IFERROR(VLOOKUP('Critical resources'!J66,$B$6:$C$57,2,0),0)</f>
        <v>0</v>
      </c>
      <c r="M60" s="67">
        <f ca="1">IFERROR(VLOOKUP('Critical resources'!K66,$A$6:$C$57,3,0),0)</f>
        <v>0</v>
      </c>
      <c r="N60" s="67">
        <f ca="1">IFERROR(VLOOKUP('Critical resources'!M66,$B$6:$C$57,2,0),0)</f>
        <v>0</v>
      </c>
      <c r="O60" s="67">
        <f ca="1">IFERROR(VLOOKUP('Critical resources'!N66,$A$6:$C$57,3,0),0)</f>
        <v>0</v>
      </c>
      <c r="P60" s="67">
        <f ca="1">IFERROR(VLOOKUP('Critical resources'!P66,$B$6:$C$57,2,0),0)</f>
        <v>0</v>
      </c>
      <c r="Q60" s="67">
        <f ca="1">IFERROR(VLOOKUP('Critical resources'!Q66,$A$6:$C$57,3,0),0)</f>
        <v>0</v>
      </c>
      <c r="T60" s="67" t="str">
        <f t="shared" si="17"/>
        <v xml:space="preserve">55. </v>
      </c>
      <c r="U60" s="67">
        <f t="shared" ca="1" si="24"/>
        <v>0</v>
      </c>
      <c r="V60" s="67">
        <f t="shared" ca="1" si="24"/>
        <v>0</v>
      </c>
      <c r="W60" s="67">
        <f t="shared" ca="1" si="24"/>
        <v>0</v>
      </c>
      <c r="X60" s="67">
        <f t="shared" ca="1" si="24"/>
        <v>0</v>
      </c>
      <c r="Y60" s="67">
        <f t="shared" ca="1" si="24"/>
        <v>0</v>
      </c>
      <c r="Z60" s="67">
        <f t="shared" ca="1" si="24"/>
        <v>0</v>
      </c>
      <c r="AA60" s="67">
        <f t="shared" ca="1" si="24"/>
        <v>0</v>
      </c>
      <c r="AB60" s="67">
        <f t="shared" ca="1" si="24"/>
        <v>0</v>
      </c>
      <c r="AC60" s="67">
        <f t="shared" ca="1" si="24"/>
        <v>0</v>
      </c>
      <c r="AD60" s="67">
        <f t="shared" ca="1" si="24"/>
        <v>0</v>
      </c>
      <c r="AE60" s="67">
        <f t="shared" ca="1" si="24"/>
        <v>0</v>
      </c>
      <c r="AF60" s="67">
        <f t="shared" ca="1" si="24"/>
        <v>0</v>
      </c>
      <c r="AG60" s="67">
        <f t="shared" ca="1" si="24"/>
        <v>0</v>
      </c>
      <c r="AH60" s="67">
        <f t="shared" ca="1" si="24"/>
        <v>0</v>
      </c>
      <c r="AI60" s="67">
        <f t="shared" ca="1" si="24"/>
        <v>0</v>
      </c>
      <c r="AJ60" s="67">
        <f t="shared" ca="1" si="24"/>
        <v>0</v>
      </c>
      <c r="AK60" s="67">
        <f t="shared" ca="1" si="23"/>
        <v>0</v>
      </c>
      <c r="AL60" s="67">
        <f t="shared" ca="1" si="23"/>
        <v>0</v>
      </c>
      <c r="AM60" s="67">
        <f t="shared" ca="1" si="23"/>
        <v>0</v>
      </c>
      <c r="AN60" s="67">
        <f t="shared" ca="1" si="23"/>
        <v>0</v>
      </c>
      <c r="AO60" s="67">
        <f t="shared" ca="1" si="23"/>
        <v>0</v>
      </c>
      <c r="AP60" s="67">
        <f t="shared" ca="1" si="23"/>
        <v>0</v>
      </c>
      <c r="AQ60" s="67">
        <f t="shared" ca="1" si="23"/>
        <v>0</v>
      </c>
      <c r="AR60" s="67">
        <f t="shared" ca="1" si="23"/>
        <v>0</v>
      </c>
      <c r="AS60" s="67">
        <f t="shared" ca="1" si="23"/>
        <v>0</v>
      </c>
      <c r="AT60" s="67">
        <f t="shared" ca="1" si="23"/>
        <v>0</v>
      </c>
      <c r="AU60" s="67">
        <f t="shared" ca="1" si="23"/>
        <v>0</v>
      </c>
      <c r="AV60" s="67">
        <f t="shared" ca="1" si="23"/>
        <v>0</v>
      </c>
      <c r="AW60" s="67">
        <f t="shared" ca="1" si="23"/>
        <v>0</v>
      </c>
      <c r="AX60" s="67">
        <f t="shared" ca="1" si="23"/>
        <v>0</v>
      </c>
      <c r="AY60" s="67">
        <f t="shared" ca="1" si="23"/>
        <v>0</v>
      </c>
      <c r="AZ60" s="67">
        <f t="shared" ca="1" si="21"/>
        <v>0</v>
      </c>
      <c r="BA60" s="67">
        <f t="shared" ca="1" si="21"/>
        <v>0</v>
      </c>
      <c r="BB60" s="67">
        <f t="shared" ca="1" si="21"/>
        <v>0</v>
      </c>
      <c r="BC60" s="67">
        <f t="shared" ca="1" si="21"/>
        <v>0</v>
      </c>
      <c r="BD60" s="67">
        <f t="shared" ca="1" si="21"/>
        <v>0</v>
      </c>
      <c r="BE60" s="67">
        <f t="shared" ca="1" si="21"/>
        <v>0</v>
      </c>
      <c r="BF60" s="67">
        <f t="shared" ca="1" si="21"/>
        <v>0</v>
      </c>
      <c r="BG60" s="67">
        <f t="shared" ca="1" si="21"/>
        <v>0</v>
      </c>
      <c r="BH60" s="67">
        <f t="shared" ca="1" si="21"/>
        <v>0</v>
      </c>
      <c r="BI60" s="67">
        <f t="shared" ca="1" si="21"/>
        <v>0</v>
      </c>
      <c r="BJ60" s="67">
        <f t="shared" ca="1" si="21"/>
        <v>0</v>
      </c>
      <c r="BK60" s="67">
        <f t="shared" ca="1" si="21"/>
        <v>0</v>
      </c>
      <c r="BL60" s="67">
        <f t="shared" ca="1" si="21"/>
        <v>0</v>
      </c>
      <c r="BM60" s="67">
        <f t="shared" ca="1" si="21"/>
        <v>0</v>
      </c>
      <c r="BN60" s="67">
        <f t="shared" ca="1" si="21"/>
        <v>0</v>
      </c>
      <c r="BO60" s="67">
        <f t="shared" ca="1" si="21"/>
        <v>0</v>
      </c>
      <c r="BP60" s="67">
        <f t="shared" ca="1" si="22"/>
        <v>0</v>
      </c>
      <c r="BQ60" s="67">
        <f t="shared" ca="1" si="20"/>
        <v>0</v>
      </c>
      <c r="BR60" s="67">
        <f t="shared" ca="1" si="20"/>
        <v>0</v>
      </c>
      <c r="BS60" s="67">
        <f t="shared" ca="1" si="20"/>
        <v>0</v>
      </c>
      <c r="BT60" s="67">
        <f t="shared" ca="1" si="20"/>
        <v>0</v>
      </c>
    </row>
    <row r="61" spans="1:72" x14ac:dyDescent="0.2">
      <c r="G61" s="67" t="str">
        <f>ROW(A56)&amp;". "&amp;'Critical resources'!B67</f>
        <v xml:space="preserve">56. </v>
      </c>
      <c r="H61" s="67">
        <f ca="1">IFERROR(VLOOKUP('Critical resources'!D67,$B$6:$C$57,2,0),0)</f>
        <v>0</v>
      </c>
      <c r="I61" s="67">
        <f ca="1">IFERROR(VLOOKUP('Critical resources'!E67,$A$6:$C$57,3,0),0)</f>
        <v>0</v>
      </c>
      <c r="J61" s="67">
        <f ca="1">IFERROR(VLOOKUP('Critical resources'!G67,$B$6:$C$57,2,0),0)</f>
        <v>0</v>
      </c>
      <c r="K61" s="67">
        <f ca="1">IFERROR(VLOOKUP('Critical resources'!H67,$B$6:$C$57,2,0),0)</f>
        <v>0</v>
      </c>
      <c r="L61" s="67">
        <f ca="1">IFERROR(VLOOKUP('Critical resources'!J67,$B$6:$C$57,2,0),0)</f>
        <v>0</v>
      </c>
      <c r="M61" s="67">
        <f ca="1">IFERROR(VLOOKUP('Critical resources'!K67,$A$6:$C$57,3,0),0)</f>
        <v>0</v>
      </c>
      <c r="N61" s="67">
        <f ca="1">IFERROR(VLOOKUP('Critical resources'!M67,$B$6:$C$57,2,0),0)</f>
        <v>0</v>
      </c>
      <c r="O61" s="67">
        <f ca="1">IFERROR(VLOOKUP('Critical resources'!N67,$A$6:$C$57,3,0),0)</f>
        <v>0</v>
      </c>
      <c r="P61" s="67">
        <f ca="1">IFERROR(VLOOKUP('Critical resources'!P67,$B$6:$C$57,2,0),0)</f>
        <v>0</v>
      </c>
      <c r="Q61" s="67">
        <f ca="1">IFERROR(VLOOKUP('Critical resources'!Q67,$A$6:$C$57,3,0),0)</f>
        <v>0</v>
      </c>
      <c r="T61" s="67" t="str">
        <f t="shared" si="17"/>
        <v xml:space="preserve">56. </v>
      </c>
      <c r="U61" s="67">
        <f t="shared" ca="1" si="24"/>
        <v>0</v>
      </c>
      <c r="V61" s="67">
        <f t="shared" ca="1" si="24"/>
        <v>0</v>
      </c>
      <c r="W61" s="67">
        <f t="shared" ca="1" si="24"/>
        <v>0</v>
      </c>
      <c r="X61" s="67">
        <f t="shared" ca="1" si="24"/>
        <v>0</v>
      </c>
      <c r="Y61" s="67">
        <f t="shared" ca="1" si="24"/>
        <v>0</v>
      </c>
      <c r="Z61" s="67">
        <f t="shared" ca="1" si="24"/>
        <v>0</v>
      </c>
      <c r="AA61" s="67">
        <f t="shared" ca="1" si="24"/>
        <v>0</v>
      </c>
      <c r="AB61" s="67">
        <f t="shared" ca="1" si="24"/>
        <v>0</v>
      </c>
      <c r="AC61" s="67">
        <f t="shared" ca="1" si="24"/>
        <v>0</v>
      </c>
      <c r="AD61" s="67">
        <f t="shared" ca="1" si="24"/>
        <v>0</v>
      </c>
      <c r="AE61" s="67">
        <f t="shared" ca="1" si="24"/>
        <v>0</v>
      </c>
      <c r="AF61" s="67">
        <f t="shared" ca="1" si="24"/>
        <v>0</v>
      </c>
      <c r="AG61" s="67">
        <f t="shared" ca="1" si="24"/>
        <v>0</v>
      </c>
      <c r="AH61" s="67">
        <f t="shared" ca="1" si="24"/>
        <v>0</v>
      </c>
      <c r="AI61" s="67">
        <f t="shared" ca="1" si="24"/>
        <v>0</v>
      </c>
      <c r="AJ61" s="67">
        <f t="shared" ca="1" si="24"/>
        <v>0</v>
      </c>
      <c r="AK61" s="67">
        <f t="shared" ca="1" si="23"/>
        <v>0</v>
      </c>
      <c r="AL61" s="67">
        <f t="shared" ca="1" si="23"/>
        <v>0</v>
      </c>
      <c r="AM61" s="67">
        <f t="shared" ca="1" si="23"/>
        <v>0</v>
      </c>
      <c r="AN61" s="67">
        <f t="shared" ca="1" si="23"/>
        <v>0</v>
      </c>
      <c r="AO61" s="67">
        <f t="shared" ca="1" si="23"/>
        <v>0</v>
      </c>
      <c r="AP61" s="67">
        <f t="shared" ca="1" si="23"/>
        <v>0</v>
      </c>
      <c r="AQ61" s="67">
        <f t="shared" ca="1" si="23"/>
        <v>0</v>
      </c>
      <c r="AR61" s="67">
        <f t="shared" ca="1" si="23"/>
        <v>0</v>
      </c>
      <c r="AS61" s="67">
        <f t="shared" ca="1" si="23"/>
        <v>0</v>
      </c>
      <c r="AT61" s="67">
        <f t="shared" ca="1" si="23"/>
        <v>0</v>
      </c>
      <c r="AU61" s="67">
        <f t="shared" ca="1" si="23"/>
        <v>0</v>
      </c>
      <c r="AV61" s="67">
        <f t="shared" ca="1" si="23"/>
        <v>0</v>
      </c>
      <c r="AW61" s="67">
        <f t="shared" ca="1" si="23"/>
        <v>0</v>
      </c>
      <c r="AX61" s="67">
        <f t="shared" ca="1" si="23"/>
        <v>0</v>
      </c>
      <c r="AY61" s="67">
        <f t="shared" ca="1" si="23"/>
        <v>0</v>
      </c>
      <c r="AZ61" s="67">
        <f t="shared" ca="1" si="21"/>
        <v>0</v>
      </c>
      <c r="BA61" s="67">
        <f t="shared" ca="1" si="21"/>
        <v>0</v>
      </c>
      <c r="BB61" s="67">
        <f t="shared" ca="1" si="21"/>
        <v>0</v>
      </c>
      <c r="BC61" s="67">
        <f t="shared" ca="1" si="21"/>
        <v>0</v>
      </c>
      <c r="BD61" s="67">
        <f t="shared" ca="1" si="21"/>
        <v>0</v>
      </c>
      <c r="BE61" s="67">
        <f t="shared" ca="1" si="21"/>
        <v>0</v>
      </c>
      <c r="BF61" s="67">
        <f t="shared" ca="1" si="21"/>
        <v>0</v>
      </c>
      <c r="BG61" s="67">
        <f t="shared" ca="1" si="21"/>
        <v>0</v>
      </c>
      <c r="BH61" s="67">
        <f t="shared" ca="1" si="21"/>
        <v>0</v>
      </c>
      <c r="BI61" s="67">
        <f t="shared" ca="1" si="21"/>
        <v>0</v>
      </c>
      <c r="BJ61" s="67">
        <f t="shared" ca="1" si="21"/>
        <v>0</v>
      </c>
      <c r="BK61" s="67">
        <f t="shared" ca="1" si="21"/>
        <v>0</v>
      </c>
      <c r="BL61" s="67">
        <f t="shared" ca="1" si="21"/>
        <v>0</v>
      </c>
      <c r="BM61" s="67">
        <f t="shared" ca="1" si="21"/>
        <v>0</v>
      </c>
      <c r="BN61" s="67">
        <f t="shared" ca="1" si="21"/>
        <v>0</v>
      </c>
      <c r="BO61" s="67">
        <f t="shared" ca="1" si="21"/>
        <v>0</v>
      </c>
      <c r="BP61" s="67">
        <f t="shared" ca="1" si="22"/>
        <v>0</v>
      </c>
      <c r="BQ61" s="67">
        <f t="shared" ca="1" si="22"/>
        <v>0</v>
      </c>
      <c r="BR61" s="67">
        <f t="shared" ca="1" si="22"/>
        <v>0</v>
      </c>
      <c r="BS61" s="67">
        <f t="shared" ca="1" si="22"/>
        <v>0</v>
      </c>
      <c r="BT61" s="67">
        <f t="shared" ca="1" si="22"/>
        <v>0</v>
      </c>
    </row>
    <row r="62" spans="1:72" x14ac:dyDescent="0.2">
      <c r="G62" s="67" t="str">
        <f>ROW(A57)&amp;". "&amp;'Critical resources'!B68</f>
        <v xml:space="preserve">57. </v>
      </c>
      <c r="H62" s="67">
        <f ca="1">IFERROR(VLOOKUP('Critical resources'!D68,$B$6:$C$57,2,0),0)</f>
        <v>0</v>
      </c>
      <c r="I62" s="67">
        <f ca="1">IFERROR(VLOOKUP('Critical resources'!E68,$A$6:$C$57,3,0),0)</f>
        <v>0</v>
      </c>
      <c r="J62" s="67">
        <f ca="1">IFERROR(VLOOKUP('Critical resources'!G68,$B$6:$C$57,2,0),0)</f>
        <v>0</v>
      </c>
      <c r="K62" s="67">
        <f ca="1">IFERROR(VLOOKUP('Critical resources'!H68,$B$6:$C$57,2,0),0)</f>
        <v>0</v>
      </c>
      <c r="L62" s="67">
        <f ca="1">IFERROR(VLOOKUP('Critical resources'!J68,$B$6:$C$57,2,0),0)</f>
        <v>0</v>
      </c>
      <c r="M62" s="67">
        <f ca="1">IFERROR(VLOOKUP('Critical resources'!K68,$A$6:$C$57,3,0),0)</f>
        <v>0</v>
      </c>
      <c r="N62" s="67">
        <f ca="1">IFERROR(VLOOKUP('Critical resources'!M68,$B$6:$C$57,2,0),0)</f>
        <v>0</v>
      </c>
      <c r="O62" s="67">
        <f ca="1">IFERROR(VLOOKUP('Critical resources'!N68,$A$6:$C$57,3,0),0)</f>
        <v>0</v>
      </c>
      <c r="P62" s="67">
        <f ca="1">IFERROR(VLOOKUP('Critical resources'!P68,$B$6:$C$57,2,0),0)</f>
        <v>0</v>
      </c>
      <c r="Q62" s="67">
        <f ca="1">IFERROR(VLOOKUP('Critical resources'!Q68,$A$6:$C$57,3,0),0)</f>
        <v>0</v>
      </c>
      <c r="T62" s="67" t="str">
        <f t="shared" si="17"/>
        <v xml:space="preserve">57. </v>
      </c>
      <c r="U62" s="67">
        <f t="shared" ca="1" si="24"/>
        <v>0</v>
      </c>
      <c r="V62" s="67">
        <f t="shared" ca="1" si="24"/>
        <v>0</v>
      </c>
      <c r="W62" s="67">
        <f t="shared" ca="1" si="24"/>
        <v>0</v>
      </c>
      <c r="X62" s="67">
        <f t="shared" ca="1" si="24"/>
        <v>0</v>
      </c>
      <c r="Y62" s="67">
        <f t="shared" ca="1" si="24"/>
        <v>0</v>
      </c>
      <c r="Z62" s="67">
        <f t="shared" ca="1" si="24"/>
        <v>0</v>
      </c>
      <c r="AA62" s="67">
        <f t="shared" ca="1" si="24"/>
        <v>0</v>
      </c>
      <c r="AB62" s="67">
        <f t="shared" ca="1" si="24"/>
        <v>0</v>
      </c>
      <c r="AC62" s="67">
        <f t="shared" ca="1" si="24"/>
        <v>0</v>
      </c>
      <c r="AD62" s="67">
        <f t="shared" ca="1" si="24"/>
        <v>0</v>
      </c>
      <c r="AE62" s="67">
        <f t="shared" ca="1" si="24"/>
        <v>0</v>
      </c>
      <c r="AF62" s="67">
        <f t="shared" ca="1" si="24"/>
        <v>0</v>
      </c>
      <c r="AG62" s="67">
        <f t="shared" ca="1" si="24"/>
        <v>0</v>
      </c>
      <c r="AH62" s="67">
        <f t="shared" ca="1" si="24"/>
        <v>0</v>
      </c>
      <c r="AI62" s="67">
        <f t="shared" ca="1" si="24"/>
        <v>0</v>
      </c>
      <c r="AJ62" s="67">
        <f t="shared" ca="1" si="24"/>
        <v>0</v>
      </c>
      <c r="AK62" s="67">
        <f t="shared" ca="1" si="23"/>
        <v>0</v>
      </c>
      <c r="AL62" s="67">
        <f t="shared" ca="1" si="23"/>
        <v>0</v>
      </c>
      <c r="AM62" s="67">
        <f t="shared" ca="1" si="23"/>
        <v>0</v>
      </c>
      <c r="AN62" s="67">
        <f t="shared" ca="1" si="23"/>
        <v>0</v>
      </c>
      <c r="AO62" s="67">
        <f t="shared" ca="1" si="23"/>
        <v>0</v>
      </c>
      <c r="AP62" s="67">
        <f t="shared" ca="1" si="23"/>
        <v>0</v>
      </c>
      <c r="AQ62" s="67">
        <f t="shared" ca="1" si="23"/>
        <v>0</v>
      </c>
      <c r="AR62" s="67">
        <f t="shared" ca="1" si="23"/>
        <v>0</v>
      </c>
      <c r="AS62" s="67">
        <f t="shared" ca="1" si="23"/>
        <v>0</v>
      </c>
      <c r="AT62" s="67">
        <f t="shared" ca="1" si="23"/>
        <v>0</v>
      </c>
      <c r="AU62" s="67">
        <f t="shared" ca="1" si="23"/>
        <v>0</v>
      </c>
      <c r="AV62" s="67">
        <f t="shared" ca="1" si="23"/>
        <v>0</v>
      </c>
      <c r="AW62" s="67">
        <f t="shared" ca="1" si="23"/>
        <v>0</v>
      </c>
      <c r="AX62" s="67">
        <f t="shared" ca="1" si="23"/>
        <v>0</v>
      </c>
      <c r="AY62" s="67">
        <f t="shared" ca="1" si="23"/>
        <v>0</v>
      </c>
      <c r="AZ62" s="67">
        <f t="shared" ca="1" si="21"/>
        <v>0</v>
      </c>
      <c r="BA62" s="67">
        <f t="shared" ca="1" si="21"/>
        <v>0</v>
      </c>
      <c r="BB62" s="67">
        <f t="shared" ca="1" si="21"/>
        <v>0</v>
      </c>
      <c r="BC62" s="67">
        <f t="shared" ca="1" si="21"/>
        <v>0</v>
      </c>
      <c r="BD62" s="67">
        <f t="shared" ca="1" si="21"/>
        <v>0</v>
      </c>
      <c r="BE62" s="67">
        <f t="shared" ca="1" si="21"/>
        <v>0</v>
      </c>
      <c r="BF62" s="67">
        <f t="shared" ca="1" si="21"/>
        <v>0</v>
      </c>
      <c r="BG62" s="67">
        <f t="shared" ca="1" si="21"/>
        <v>0</v>
      </c>
      <c r="BH62" s="67">
        <f t="shared" ca="1" si="21"/>
        <v>0</v>
      </c>
      <c r="BI62" s="67">
        <f t="shared" ca="1" si="21"/>
        <v>0</v>
      </c>
      <c r="BJ62" s="67">
        <f t="shared" ca="1" si="21"/>
        <v>0</v>
      </c>
      <c r="BK62" s="67">
        <f t="shared" ca="1" si="21"/>
        <v>0</v>
      </c>
      <c r="BL62" s="67">
        <f t="shared" ca="1" si="21"/>
        <v>0</v>
      </c>
      <c r="BM62" s="67">
        <f t="shared" ca="1" si="21"/>
        <v>0</v>
      </c>
      <c r="BN62" s="67">
        <f t="shared" ca="1" si="21"/>
        <v>0</v>
      </c>
      <c r="BO62" s="67">
        <f t="shared" ca="1" si="21"/>
        <v>0</v>
      </c>
      <c r="BP62" s="67">
        <f t="shared" ca="1" si="22"/>
        <v>0</v>
      </c>
      <c r="BQ62" s="67">
        <f t="shared" ca="1" si="22"/>
        <v>0</v>
      </c>
      <c r="BR62" s="67">
        <f t="shared" ca="1" si="22"/>
        <v>0</v>
      </c>
      <c r="BS62" s="67">
        <f t="shared" ca="1" si="22"/>
        <v>0</v>
      </c>
      <c r="BT62" s="67">
        <f t="shared" ca="1" si="22"/>
        <v>0</v>
      </c>
    </row>
    <row r="63" spans="1:72" x14ac:dyDescent="0.2">
      <c r="B63" s="87"/>
      <c r="G63" s="67" t="str">
        <f>ROW(A58)&amp;". "&amp;'Critical resources'!B69</f>
        <v xml:space="preserve">58. </v>
      </c>
      <c r="H63" s="67">
        <f ca="1">IFERROR(VLOOKUP('Critical resources'!D69,$B$6:$C$57,2,0),0)</f>
        <v>0</v>
      </c>
      <c r="I63" s="67">
        <f ca="1">IFERROR(VLOOKUP('Critical resources'!E69,$A$6:$C$57,3,0),0)</f>
        <v>0</v>
      </c>
      <c r="J63" s="67">
        <f ca="1">IFERROR(VLOOKUP('Critical resources'!G69,$B$6:$C$57,2,0),0)</f>
        <v>0</v>
      </c>
      <c r="K63" s="67">
        <f ca="1">IFERROR(VLOOKUP('Critical resources'!H69,$B$6:$C$57,2,0),0)</f>
        <v>0</v>
      </c>
      <c r="L63" s="67">
        <f ca="1">IFERROR(VLOOKUP('Critical resources'!J69,$B$6:$C$57,2,0),0)</f>
        <v>0</v>
      </c>
      <c r="M63" s="67">
        <f ca="1">IFERROR(VLOOKUP('Critical resources'!K69,$A$6:$C$57,3,0),0)</f>
        <v>0</v>
      </c>
      <c r="N63" s="67">
        <f ca="1">IFERROR(VLOOKUP('Critical resources'!M69,$B$6:$C$57,2,0),0)</f>
        <v>0</v>
      </c>
      <c r="O63" s="67">
        <f ca="1">IFERROR(VLOOKUP('Critical resources'!N69,$A$6:$C$57,3,0),0)</f>
        <v>0</v>
      </c>
      <c r="P63" s="67">
        <f ca="1">IFERROR(VLOOKUP('Critical resources'!P69,$B$6:$C$57,2,0),0)</f>
        <v>0</v>
      </c>
      <c r="Q63" s="67">
        <f ca="1">IFERROR(VLOOKUP('Critical resources'!Q69,$A$6:$C$57,3,0),0)</f>
        <v>0</v>
      </c>
      <c r="T63" s="67" t="str">
        <f t="shared" si="17"/>
        <v xml:space="preserve">58. </v>
      </c>
      <c r="U63" s="67">
        <f t="shared" ca="1" si="24"/>
        <v>0</v>
      </c>
      <c r="V63" s="67">
        <f t="shared" ca="1" si="24"/>
        <v>0</v>
      </c>
      <c r="W63" s="67">
        <f t="shared" ca="1" si="24"/>
        <v>0</v>
      </c>
      <c r="X63" s="67">
        <f t="shared" ca="1" si="24"/>
        <v>0</v>
      </c>
      <c r="Y63" s="67">
        <f t="shared" ca="1" si="24"/>
        <v>0</v>
      </c>
      <c r="Z63" s="67">
        <f t="shared" ca="1" si="24"/>
        <v>0</v>
      </c>
      <c r="AA63" s="67">
        <f t="shared" ca="1" si="24"/>
        <v>0</v>
      </c>
      <c r="AB63" s="67">
        <f t="shared" ca="1" si="24"/>
        <v>0</v>
      </c>
      <c r="AC63" s="67">
        <f t="shared" ca="1" si="24"/>
        <v>0</v>
      </c>
      <c r="AD63" s="67">
        <f t="shared" ca="1" si="24"/>
        <v>0</v>
      </c>
      <c r="AE63" s="67">
        <f t="shared" ca="1" si="24"/>
        <v>0</v>
      </c>
      <c r="AF63" s="67">
        <f t="shared" ca="1" si="24"/>
        <v>0</v>
      </c>
      <c r="AG63" s="67">
        <f t="shared" ca="1" si="24"/>
        <v>0</v>
      </c>
      <c r="AH63" s="67">
        <f t="shared" ca="1" si="24"/>
        <v>0</v>
      </c>
      <c r="AI63" s="67">
        <f t="shared" ca="1" si="24"/>
        <v>0</v>
      </c>
      <c r="AJ63" s="67">
        <f t="shared" ca="1" si="24"/>
        <v>0</v>
      </c>
      <c r="AK63" s="67">
        <f t="shared" ca="1" si="23"/>
        <v>0</v>
      </c>
      <c r="AL63" s="67">
        <f t="shared" ca="1" si="23"/>
        <v>0</v>
      </c>
      <c r="AM63" s="67">
        <f t="shared" ca="1" si="23"/>
        <v>0</v>
      </c>
      <c r="AN63" s="67">
        <f t="shared" ca="1" si="23"/>
        <v>0</v>
      </c>
      <c r="AO63" s="67">
        <f t="shared" ca="1" si="23"/>
        <v>0</v>
      </c>
      <c r="AP63" s="67">
        <f t="shared" ca="1" si="23"/>
        <v>0</v>
      </c>
      <c r="AQ63" s="67">
        <f t="shared" ca="1" si="23"/>
        <v>0</v>
      </c>
      <c r="AR63" s="67">
        <f t="shared" ca="1" si="23"/>
        <v>0</v>
      </c>
      <c r="AS63" s="67">
        <f t="shared" ca="1" si="23"/>
        <v>0</v>
      </c>
      <c r="AT63" s="67">
        <f t="shared" ca="1" si="23"/>
        <v>0</v>
      </c>
      <c r="AU63" s="67">
        <f t="shared" ca="1" si="23"/>
        <v>0</v>
      </c>
      <c r="AV63" s="67">
        <f t="shared" ca="1" si="23"/>
        <v>0</v>
      </c>
      <c r="AW63" s="67">
        <f t="shared" ca="1" si="23"/>
        <v>0</v>
      </c>
      <c r="AX63" s="67">
        <f t="shared" ca="1" si="23"/>
        <v>0</v>
      </c>
      <c r="AY63" s="67">
        <f t="shared" ca="1" si="23"/>
        <v>0</v>
      </c>
      <c r="AZ63" s="67">
        <f t="shared" ca="1" si="21"/>
        <v>0</v>
      </c>
      <c r="BA63" s="67">
        <f t="shared" ca="1" si="21"/>
        <v>0</v>
      </c>
      <c r="BB63" s="67">
        <f t="shared" ca="1" si="21"/>
        <v>0</v>
      </c>
      <c r="BC63" s="67">
        <f t="shared" ca="1" si="21"/>
        <v>0</v>
      </c>
      <c r="BD63" s="67">
        <f t="shared" ca="1" si="21"/>
        <v>0</v>
      </c>
      <c r="BE63" s="67">
        <f t="shared" ca="1" si="21"/>
        <v>0</v>
      </c>
      <c r="BF63" s="67">
        <f t="shared" ca="1" si="21"/>
        <v>0</v>
      </c>
      <c r="BG63" s="67">
        <f t="shared" ca="1" si="21"/>
        <v>0</v>
      </c>
      <c r="BH63" s="67">
        <f t="shared" ca="1" si="21"/>
        <v>0</v>
      </c>
      <c r="BI63" s="67">
        <f t="shared" ca="1" si="21"/>
        <v>0</v>
      </c>
      <c r="BJ63" s="67">
        <f t="shared" ca="1" si="21"/>
        <v>0</v>
      </c>
      <c r="BK63" s="67">
        <f t="shared" ca="1" si="21"/>
        <v>0</v>
      </c>
      <c r="BL63" s="67">
        <f t="shared" ca="1" si="21"/>
        <v>0</v>
      </c>
      <c r="BM63" s="67">
        <f t="shared" ca="1" si="21"/>
        <v>0</v>
      </c>
      <c r="BN63" s="67">
        <f t="shared" ca="1" si="21"/>
        <v>0</v>
      </c>
      <c r="BO63" s="67">
        <f t="shared" ca="1" si="21"/>
        <v>0</v>
      </c>
      <c r="BP63" s="67">
        <f t="shared" ca="1" si="22"/>
        <v>0</v>
      </c>
      <c r="BQ63" s="67">
        <f t="shared" ca="1" si="22"/>
        <v>0</v>
      </c>
      <c r="BR63" s="67">
        <f t="shared" ca="1" si="22"/>
        <v>0</v>
      </c>
      <c r="BS63" s="67">
        <f t="shared" ca="1" si="22"/>
        <v>0</v>
      </c>
      <c r="BT63" s="67">
        <f t="shared" ca="1" si="22"/>
        <v>0</v>
      </c>
    </row>
    <row r="64" spans="1:72" x14ac:dyDescent="0.2">
      <c r="B64" s="87"/>
      <c r="G64" s="67" t="str">
        <f>ROW(A59)&amp;". "&amp;'Critical resources'!B70</f>
        <v xml:space="preserve">59. </v>
      </c>
      <c r="H64" s="67">
        <f ca="1">IFERROR(VLOOKUP('Critical resources'!D70,$B$6:$C$57,2,0),0)</f>
        <v>0</v>
      </c>
      <c r="I64" s="67">
        <f ca="1">IFERROR(VLOOKUP('Critical resources'!E70,$A$6:$C$57,3,0),0)</f>
        <v>0</v>
      </c>
      <c r="J64" s="67">
        <f ca="1">IFERROR(VLOOKUP('Critical resources'!G70,$B$6:$C$57,2,0),0)</f>
        <v>0</v>
      </c>
      <c r="K64" s="67">
        <f ca="1">IFERROR(VLOOKUP('Critical resources'!H70,$B$6:$C$57,2,0),0)</f>
        <v>0</v>
      </c>
      <c r="L64" s="67">
        <f ca="1">IFERROR(VLOOKUP('Critical resources'!J70,$B$6:$C$57,2,0),0)</f>
        <v>0</v>
      </c>
      <c r="M64" s="67">
        <f ca="1">IFERROR(VLOOKUP('Critical resources'!K70,$A$6:$C$57,3,0),0)</f>
        <v>0</v>
      </c>
      <c r="N64" s="67">
        <f ca="1">IFERROR(VLOOKUP('Critical resources'!M70,$B$6:$C$57,2,0),0)</f>
        <v>0</v>
      </c>
      <c r="O64" s="67">
        <f ca="1">IFERROR(VLOOKUP('Critical resources'!N70,$A$6:$C$57,3,0),0)</f>
        <v>0</v>
      </c>
      <c r="P64" s="67">
        <f ca="1">IFERROR(VLOOKUP('Critical resources'!P70,$B$6:$C$57,2,0),0)</f>
        <v>0</v>
      </c>
      <c r="Q64" s="67">
        <f ca="1">IFERROR(VLOOKUP('Critical resources'!Q70,$A$6:$C$57,3,0),0)</f>
        <v>0</v>
      </c>
      <c r="T64" s="67" t="str">
        <f t="shared" si="17"/>
        <v xml:space="preserve">59. </v>
      </c>
      <c r="U64" s="67">
        <f t="shared" ca="1" si="24"/>
        <v>0</v>
      </c>
      <c r="V64" s="67">
        <f t="shared" ca="1" si="24"/>
        <v>0</v>
      </c>
      <c r="W64" s="67">
        <f t="shared" ca="1" si="24"/>
        <v>0</v>
      </c>
      <c r="X64" s="67">
        <f t="shared" ca="1" si="24"/>
        <v>0</v>
      </c>
      <c r="Y64" s="67">
        <f t="shared" ca="1" si="24"/>
        <v>0</v>
      </c>
      <c r="Z64" s="67">
        <f t="shared" ca="1" si="24"/>
        <v>0</v>
      </c>
      <c r="AA64" s="67">
        <f t="shared" ca="1" si="24"/>
        <v>0</v>
      </c>
      <c r="AB64" s="67">
        <f t="shared" ca="1" si="24"/>
        <v>0</v>
      </c>
      <c r="AC64" s="67">
        <f t="shared" ca="1" si="24"/>
        <v>0</v>
      </c>
      <c r="AD64" s="67">
        <f t="shared" ca="1" si="24"/>
        <v>0</v>
      </c>
      <c r="AE64" s="67">
        <f t="shared" ca="1" si="24"/>
        <v>0</v>
      </c>
      <c r="AF64" s="67">
        <f t="shared" ca="1" si="24"/>
        <v>0</v>
      </c>
      <c r="AG64" s="67">
        <f t="shared" ca="1" si="24"/>
        <v>0</v>
      </c>
      <c r="AH64" s="67">
        <f t="shared" ca="1" si="24"/>
        <v>0</v>
      </c>
      <c r="AI64" s="67">
        <f t="shared" ca="1" si="24"/>
        <v>0</v>
      </c>
      <c r="AJ64" s="67">
        <f t="shared" ca="1" si="24"/>
        <v>0</v>
      </c>
      <c r="AK64" s="67">
        <f t="shared" ca="1" si="23"/>
        <v>0</v>
      </c>
      <c r="AL64" s="67">
        <f t="shared" ca="1" si="23"/>
        <v>0</v>
      </c>
      <c r="AM64" s="67">
        <f t="shared" ca="1" si="23"/>
        <v>0</v>
      </c>
      <c r="AN64" s="67">
        <f t="shared" ca="1" si="23"/>
        <v>0</v>
      </c>
      <c r="AO64" s="67">
        <f t="shared" ca="1" si="23"/>
        <v>0</v>
      </c>
      <c r="AP64" s="67">
        <f t="shared" ca="1" si="23"/>
        <v>0</v>
      </c>
      <c r="AQ64" s="67">
        <f t="shared" ca="1" si="23"/>
        <v>0</v>
      </c>
      <c r="AR64" s="67">
        <f t="shared" ca="1" si="23"/>
        <v>0</v>
      </c>
      <c r="AS64" s="67">
        <f t="shared" ca="1" si="23"/>
        <v>0</v>
      </c>
      <c r="AT64" s="67">
        <f t="shared" ca="1" si="23"/>
        <v>0</v>
      </c>
      <c r="AU64" s="67">
        <f t="shared" ca="1" si="23"/>
        <v>0</v>
      </c>
      <c r="AV64" s="67">
        <f t="shared" ca="1" si="23"/>
        <v>0</v>
      </c>
      <c r="AW64" s="67">
        <f t="shared" ca="1" si="23"/>
        <v>0</v>
      </c>
      <c r="AX64" s="67">
        <f t="shared" ca="1" si="23"/>
        <v>0</v>
      </c>
      <c r="AY64" s="67">
        <f t="shared" ca="1" si="23"/>
        <v>0</v>
      </c>
      <c r="AZ64" s="67">
        <f t="shared" ca="1" si="21"/>
        <v>0</v>
      </c>
      <c r="BA64" s="67">
        <f t="shared" ca="1" si="21"/>
        <v>0</v>
      </c>
      <c r="BB64" s="67">
        <f t="shared" ca="1" si="21"/>
        <v>0</v>
      </c>
      <c r="BC64" s="67">
        <f t="shared" ca="1" si="21"/>
        <v>0</v>
      </c>
      <c r="BD64" s="67">
        <f t="shared" ca="1" si="21"/>
        <v>0</v>
      </c>
      <c r="BE64" s="67">
        <f t="shared" ca="1" si="21"/>
        <v>0</v>
      </c>
      <c r="BF64" s="67">
        <f t="shared" ca="1" si="21"/>
        <v>0</v>
      </c>
      <c r="BG64" s="67">
        <f t="shared" ca="1" si="21"/>
        <v>0</v>
      </c>
      <c r="BH64" s="67">
        <f t="shared" ca="1" si="21"/>
        <v>0</v>
      </c>
      <c r="BI64" s="67">
        <f t="shared" ca="1" si="21"/>
        <v>0</v>
      </c>
      <c r="BJ64" s="67">
        <f t="shared" ca="1" si="21"/>
        <v>0</v>
      </c>
      <c r="BK64" s="67">
        <f t="shared" ca="1" si="21"/>
        <v>0</v>
      </c>
      <c r="BL64" s="67">
        <f t="shared" ca="1" si="21"/>
        <v>0</v>
      </c>
      <c r="BM64" s="67">
        <f t="shared" ca="1" si="21"/>
        <v>0</v>
      </c>
      <c r="BN64" s="67">
        <f t="shared" ca="1" si="21"/>
        <v>0</v>
      </c>
      <c r="BO64" s="67">
        <f t="shared" ca="1" si="21"/>
        <v>0</v>
      </c>
      <c r="BP64" s="67">
        <f t="shared" ca="1" si="22"/>
        <v>0</v>
      </c>
      <c r="BQ64" s="67">
        <f t="shared" ca="1" si="22"/>
        <v>0</v>
      </c>
      <c r="BR64" s="67">
        <f t="shared" ca="1" si="22"/>
        <v>0</v>
      </c>
      <c r="BS64" s="67">
        <f t="shared" ca="1" si="22"/>
        <v>0</v>
      </c>
      <c r="BT64" s="67">
        <f t="shared" ca="1" si="22"/>
        <v>0</v>
      </c>
    </row>
    <row r="65" spans="2:72" x14ac:dyDescent="0.2">
      <c r="B65" s="87"/>
      <c r="G65" s="67" t="str">
        <f>ROW(A60)&amp;". "&amp;'Critical resources'!B71</f>
        <v xml:space="preserve">60. </v>
      </c>
      <c r="H65" s="67">
        <f ca="1">IFERROR(VLOOKUP('Critical resources'!D71,$B$6:$C$57,2,0),0)</f>
        <v>0</v>
      </c>
      <c r="I65" s="67">
        <f ca="1">IFERROR(VLOOKUP('Critical resources'!E71,$A$6:$C$57,3,0),0)</f>
        <v>0</v>
      </c>
      <c r="J65" s="67">
        <f ca="1">IFERROR(VLOOKUP('Critical resources'!G71,$B$6:$C$57,2,0),0)</f>
        <v>0</v>
      </c>
      <c r="K65" s="67">
        <f ca="1">IFERROR(VLOOKUP('Critical resources'!H71,$B$6:$C$57,2,0),0)</f>
        <v>0</v>
      </c>
      <c r="L65" s="67">
        <f ca="1">IFERROR(VLOOKUP('Critical resources'!J71,$B$6:$C$57,2,0),0)</f>
        <v>0</v>
      </c>
      <c r="M65" s="67">
        <f ca="1">IFERROR(VLOOKUP('Critical resources'!K71,$A$6:$C$57,3,0),0)</f>
        <v>0</v>
      </c>
      <c r="N65" s="67">
        <f ca="1">IFERROR(VLOOKUP('Critical resources'!M71,$B$6:$C$57,2,0),0)</f>
        <v>0</v>
      </c>
      <c r="O65" s="67">
        <f ca="1">IFERROR(VLOOKUP('Critical resources'!N71,$A$6:$C$57,3,0),0)</f>
        <v>0</v>
      </c>
      <c r="P65" s="67">
        <f ca="1">IFERROR(VLOOKUP('Critical resources'!P71,$B$6:$C$57,2,0),0)</f>
        <v>0</v>
      </c>
      <c r="Q65" s="67">
        <f ca="1">IFERROR(VLOOKUP('Critical resources'!Q71,$A$6:$C$57,3,0),0)</f>
        <v>0</v>
      </c>
      <c r="T65" s="67" t="str">
        <f t="shared" si="17"/>
        <v xml:space="preserve">60. </v>
      </c>
      <c r="U65" s="67">
        <f t="shared" ca="1" si="24"/>
        <v>0</v>
      </c>
      <c r="V65" s="67">
        <f t="shared" ca="1" si="24"/>
        <v>0</v>
      </c>
      <c r="W65" s="67">
        <f t="shared" ca="1" si="24"/>
        <v>0</v>
      </c>
      <c r="X65" s="67">
        <f t="shared" ca="1" si="24"/>
        <v>0</v>
      </c>
      <c r="Y65" s="67">
        <f t="shared" ca="1" si="24"/>
        <v>0</v>
      </c>
      <c r="Z65" s="67">
        <f t="shared" ca="1" si="24"/>
        <v>0</v>
      </c>
      <c r="AA65" s="67">
        <f t="shared" ca="1" si="24"/>
        <v>0</v>
      </c>
      <c r="AB65" s="67">
        <f t="shared" ca="1" si="24"/>
        <v>0</v>
      </c>
      <c r="AC65" s="67">
        <f t="shared" ca="1" si="24"/>
        <v>0</v>
      </c>
      <c r="AD65" s="67">
        <f t="shared" ca="1" si="24"/>
        <v>0</v>
      </c>
      <c r="AE65" s="67">
        <f t="shared" ca="1" si="24"/>
        <v>0</v>
      </c>
      <c r="AF65" s="67">
        <f t="shared" ca="1" si="24"/>
        <v>0</v>
      </c>
      <c r="AG65" s="67">
        <f t="shared" ca="1" si="24"/>
        <v>0</v>
      </c>
      <c r="AH65" s="67">
        <f t="shared" ca="1" si="24"/>
        <v>0</v>
      </c>
      <c r="AI65" s="67">
        <f t="shared" ca="1" si="24"/>
        <v>0</v>
      </c>
      <c r="AJ65" s="67">
        <f t="shared" ca="1" si="24"/>
        <v>0</v>
      </c>
      <c r="AK65" s="67">
        <f t="shared" ca="1" si="23"/>
        <v>0</v>
      </c>
      <c r="AL65" s="67">
        <f t="shared" ca="1" si="23"/>
        <v>0</v>
      </c>
      <c r="AM65" s="67">
        <f t="shared" ca="1" si="23"/>
        <v>0</v>
      </c>
      <c r="AN65" s="67">
        <f t="shared" ca="1" si="23"/>
        <v>0</v>
      </c>
      <c r="AO65" s="67">
        <f t="shared" ca="1" si="23"/>
        <v>0</v>
      </c>
      <c r="AP65" s="67">
        <f t="shared" ca="1" si="23"/>
        <v>0</v>
      </c>
      <c r="AQ65" s="67">
        <f t="shared" ca="1" si="23"/>
        <v>0</v>
      </c>
      <c r="AR65" s="67">
        <f t="shared" ca="1" si="23"/>
        <v>0</v>
      </c>
      <c r="AS65" s="67">
        <f t="shared" ca="1" si="23"/>
        <v>0</v>
      </c>
      <c r="AT65" s="67">
        <f t="shared" ca="1" si="23"/>
        <v>0</v>
      </c>
      <c r="AU65" s="67">
        <f t="shared" ca="1" si="23"/>
        <v>0</v>
      </c>
      <c r="AV65" s="67">
        <f t="shared" ca="1" si="23"/>
        <v>0</v>
      </c>
      <c r="AW65" s="67">
        <f t="shared" ca="1" si="23"/>
        <v>0</v>
      </c>
      <c r="AX65" s="67">
        <f t="shared" ca="1" si="23"/>
        <v>0</v>
      </c>
      <c r="AY65" s="67">
        <f t="shared" ca="1" si="23"/>
        <v>0</v>
      </c>
      <c r="AZ65" s="67">
        <f t="shared" ca="1" si="21"/>
        <v>0</v>
      </c>
      <c r="BA65" s="67">
        <f t="shared" ca="1" si="21"/>
        <v>0</v>
      </c>
      <c r="BB65" s="67">
        <f t="shared" ca="1" si="21"/>
        <v>0</v>
      </c>
      <c r="BC65" s="67">
        <f t="shared" ca="1" si="21"/>
        <v>0</v>
      </c>
      <c r="BD65" s="67">
        <f t="shared" ca="1" si="21"/>
        <v>0</v>
      </c>
      <c r="BE65" s="67">
        <f t="shared" ca="1" si="21"/>
        <v>0</v>
      </c>
      <c r="BF65" s="67">
        <f t="shared" ca="1" si="21"/>
        <v>0</v>
      </c>
      <c r="BG65" s="67">
        <f t="shared" ca="1" si="21"/>
        <v>0</v>
      </c>
      <c r="BH65" s="67">
        <f t="shared" ca="1" si="21"/>
        <v>0</v>
      </c>
      <c r="BI65" s="67">
        <f t="shared" ca="1" si="21"/>
        <v>0</v>
      </c>
      <c r="BJ65" s="67">
        <f t="shared" ca="1" si="21"/>
        <v>0</v>
      </c>
      <c r="BK65" s="67">
        <f t="shared" ca="1" si="21"/>
        <v>0</v>
      </c>
      <c r="BL65" s="67">
        <f t="shared" ca="1" si="21"/>
        <v>0</v>
      </c>
      <c r="BM65" s="67">
        <f t="shared" ca="1" si="21"/>
        <v>0</v>
      </c>
      <c r="BN65" s="67">
        <f t="shared" ca="1" si="21"/>
        <v>0</v>
      </c>
      <c r="BO65" s="67">
        <f t="shared" ca="1" si="21"/>
        <v>0</v>
      </c>
      <c r="BP65" s="67">
        <f t="shared" ca="1" si="22"/>
        <v>0</v>
      </c>
      <c r="BQ65" s="67">
        <f t="shared" ca="1" si="22"/>
        <v>0</v>
      </c>
      <c r="BR65" s="67">
        <f t="shared" ca="1" si="22"/>
        <v>0</v>
      </c>
      <c r="BS65" s="67">
        <f t="shared" ca="1" si="22"/>
        <v>0</v>
      </c>
      <c r="BT65" s="67">
        <f t="shared" ca="1" si="22"/>
        <v>0</v>
      </c>
    </row>
    <row r="66" spans="2:72" x14ac:dyDescent="0.2">
      <c r="B66" s="87"/>
      <c r="G66" s="67" t="str">
        <f>ROW(A61)&amp;". "&amp;'Critical resources'!B72</f>
        <v xml:space="preserve">61. </v>
      </c>
      <c r="H66" s="67">
        <f ca="1">IFERROR(VLOOKUP('Critical resources'!D72,$B$6:$C$57,2,0),0)</f>
        <v>0</v>
      </c>
      <c r="I66" s="67">
        <f ca="1">IFERROR(VLOOKUP('Critical resources'!E72,$A$6:$C$57,3,0),0)</f>
        <v>0</v>
      </c>
      <c r="J66" s="67">
        <f ca="1">IFERROR(VLOOKUP('Critical resources'!G72,$B$6:$C$57,2,0),0)</f>
        <v>0</v>
      </c>
      <c r="K66" s="67">
        <f ca="1">IFERROR(VLOOKUP('Critical resources'!H72,$B$6:$C$57,2,0),0)</f>
        <v>0</v>
      </c>
      <c r="L66" s="67">
        <f ca="1">IFERROR(VLOOKUP('Critical resources'!J72,$B$6:$C$57,2,0),0)</f>
        <v>0</v>
      </c>
      <c r="M66" s="67">
        <f ca="1">IFERROR(VLOOKUP('Critical resources'!K72,$A$6:$C$57,3,0),0)</f>
        <v>0</v>
      </c>
      <c r="N66" s="67">
        <f ca="1">IFERROR(VLOOKUP('Critical resources'!M72,$B$6:$C$57,2,0),0)</f>
        <v>0</v>
      </c>
      <c r="O66" s="67">
        <f ca="1">IFERROR(VLOOKUP('Critical resources'!N72,$A$6:$C$57,3,0),0)</f>
        <v>0</v>
      </c>
      <c r="P66" s="67">
        <f ca="1">IFERROR(VLOOKUP('Critical resources'!P72,$B$6:$C$57,2,0),0)</f>
        <v>0</v>
      </c>
      <c r="Q66" s="67">
        <f ca="1">IFERROR(VLOOKUP('Critical resources'!Q72,$A$6:$C$57,3,0),0)</f>
        <v>0</v>
      </c>
      <c r="T66" s="67" t="str">
        <f t="shared" si="17"/>
        <v xml:space="preserve">61. </v>
      </c>
      <c r="U66" s="67">
        <f t="shared" ca="1" si="24"/>
        <v>0</v>
      </c>
      <c r="V66" s="67">
        <f t="shared" ca="1" si="24"/>
        <v>0</v>
      </c>
      <c r="W66" s="67">
        <f t="shared" ca="1" si="24"/>
        <v>0</v>
      </c>
      <c r="X66" s="67">
        <f t="shared" ca="1" si="24"/>
        <v>0</v>
      </c>
      <c r="Y66" s="67">
        <f t="shared" ca="1" si="24"/>
        <v>0</v>
      </c>
      <c r="Z66" s="67">
        <f t="shared" ca="1" si="24"/>
        <v>0</v>
      </c>
      <c r="AA66" s="67">
        <f t="shared" ca="1" si="24"/>
        <v>0</v>
      </c>
      <c r="AB66" s="67">
        <f t="shared" ca="1" si="24"/>
        <v>0</v>
      </c>
      <c r="AC66" s="67">
        <f t="shared" ca="1" si="24"/>
        <v>0</v>
      </c>
      <c r="AD66" s="67">
        <f t="shared" ca="1" si="24"/>
        <v>0</v>
      </c>
      <c r="AE66" s="67">
        <f t="shared" ca="1" si="24"/>
        <v>0</v>
      </c>
      <c r="AF66" s="67">
        <f t="shared" ca="1" si="24"/>
        <v>0</v>
      </c>
      <c r="AG66" s="67">
        <f t="shared" ca="1" si="24"/>
        <v>0</v>
      </c>
      <c r="AH66" s="67">
        <f t="shared" ca="1" si="24"/>
        <v>0</v>
      </c>
      <c r="AI66" s="67">
        <f t="shared" ca="1" si="24"/>
        <v>0</v>
      </c>
      <c r="AJ66" s="67">
        <f t="shared" ca="1" si="24"/>
        <v>0</v>
      </c>
      <c r="AK66" s="67">
        <f t="shared" ca="1" si="23"/>
        <v>0</v>
      </c>
      <c r="AL66" s="67">
        <f t="shared" ca="1" si="23"/>
        <v>0</v>
      </c>
      <c r="AM66" s="67">
        <f t="shared" ca="1" si="23"/>
        <v>0</v>
      </c>
      <c r="AN66" s="67">
        <f t="shared" ca="1" si="23"/>
        <v>0</v>
      </c>
      <c r="AO66" s="67">
        <f t="shared" ca="1" si="23"/>
        <v>0</v>
      </c>
      <c r="AP66" s="67">
        <f t="shared" ca="1" si="23"/>
        <v>0</v>
      </c>
      <c r="AQ66" s="67">
        <f t="shared" ca="1" si="23"/>
        <v>0</v>
      </c>
      <c r="AR66" s="67">
        <f t="shared" ca="1" si="23"/>
        <v>0</v>
      </c>
      <c r="AS66" s="67">
        <f t="shared" ca="1" si="23"/>
        <v>0</v>
      </c>
      <c r="AT66" s="67">
        <f t="shared" ca="1" si="23"/>
        <v>0</v>
      </c>
      <c r="AU66" s="67">
        <f t="shared" ca="1" si="23"/>
        <v>0</v>
      </c>
      <c r="AV66" s="67">
        <f t="shared" ca="1" si="23"/>
        <v>0</v>
      </c>
      <c r="AW66" s="67">
        <f t="shared" ca="1" si="23"/>
        <v>0</v>
      </c>
      <c r="AX66" s="67">
        <f t="shared" ca="1" si="23"/>
        <v>0</v>
      </c>
      <c r="AY66" s="67">
        <f t="shared" ca="1" si="23"/>
        <v>0</v>
      </c>
      <c r="AZ66" s="67">
        <f t="shared" ca="1" si="21"/>
        <v>0</v>
      </c>
      <c r="BA66" s="67">
        <f t="shared" ca="1" si="21"/>
        <v>0</v>
      </c>
      <c r="BB66" s="67">
        <f t="shared" ca="1" si="21"/>
        <v>0</v>
      </c>
      <c r="BC66" s="67">
        <f t="shared" ca="1" si="21"/>
        <v>0</v>
      </c>
      <c r="BD66" s="67">
        <f t="shared" ca="1" si="21"/>
        <v>0</v>
      </c>
      <c r="BE66" s="67">
        <f t="shared" ca="1" si="21"/>
        <v>0</v>
      </c>
      <c r="BF66" s="67">
        <f t="shared" ca="1" si="21"/>
        <v>0</v>
      </c>
      <c r="BG66" s="67">
        <f t="shared" ca="1" si="21"/>
        <v>0</v>
      </c>
      <c r="BH66" s="67">
        <f t="shared" ca="1" si="21"/>
        <v>0</v>
      </c>
      <c r="BI66" s="67">
        <f t="shared" ca="1" si="21"/>
        <v>0</v>
      </c>
      <c r="BJ66" s="67">
        <f t="shared" ca="1" si="21"/>
        <v>0</v>
      </c>
      <c r="BK66" s="67">
        <f t="shared" ca="1" si="21"/>
        <v>0</v>
      </c>
      <c r="BL66" s="67">
        <f t="shared" ca="1" si="21"/>
        <v>0</v>
      </c>
      <c r="BM66" s="67">
        <f t="shared" ca="1" si="21"/>
        <v>0</v>
      </c>
      <c r="BN66" s="67">
        <f t="shared" ca="1" si="21"/>
        <v>0</v>
      </c>
      <c r="BO66" s="67">
        <f t="shared" ca="1" si="21"/>
        <v>0</v>
      </c>
      <c r="BP66" s="67">
        <f t="shared" ca="1" si="22"/>
        <v>0</v>
      </c>
      <c r="BQ66" s="67">
        <f t="shared" ca="1" si="22"/>
        <v>0</v>
      </c>
      <c r="BR66" s="67">
        <f t="shared" ca="1" si="22"/>
        <v>0</v>
      </c>
      <c r="BS66" s="67">
        <f t="shared" ca="1" si="22"/>
        <v>0</v>
      </c>
      <c r="BT66" s="67">
        <f t="shared" ca="1" si="22"/>
        <v>0</v>
      </c>
    </row>
    <row r="67" spans="2:72" x14ac:dyDescent="0.2">
      <c r="B67" s="87"/>
      <c r="G67" s="67" t="str">
        <f>ROW(A62)&amp;". "&amp;'Critical resources'!B73</f>
        <v xml:space="preserve">62. </v>
      </c>
      <c r="H67" s="67">
        <f ca="1">IFERROR(VLOOKUP('Critical resources'!D73,$B$6:$C$57,2,0),0)</f>
        <v>0</v>
      </c>
      <c r="I67" s="67">
        <f ca="1">IFERROR(VLOOKUP('Critical resources'!E73,$A$6:$C$57,3,0),0)</f>
        <v>0</v>
      </c>
      <c r="J67" s="67">
        <f ca="1">IFERROR(VLOOKUP('Critical resources'!G73,$B$6:$C$57,2,0),0)</f>
        <v>0</v>
      </c>
      <c r="K67" s="67">
        <f ca="1">IFERROR(VLOOKUP('Critical resources'!H73,$B$6:$C$57,2,0),0)</f>
        <v>0</v>
      </c>
      <c r="L67" s="67">
        <f ca="1">IFERROR(VLOOKUP('Critical resources'!J73,$B$6:$C$57,2,0),0)</f>
        <v>0</v>
      </c>
      <c r="M67" s="67">
        <f ca="1">IFERROR(VLOOKUP('Critical resources'!K73,$A$6:$C$57,3,0),0)</f>
        <v>0</v>
      </c>
      <c r="N67" s="67">
        <f ca="1">IFERROR(VLOOKUP('Critical resources'!M73,$B$6:$C$57,2,0),0)</f>
        <v>0</v>
      </c>
      <c r="O67" s="67">
        <f ca="1">IFERROR(VLOOKUP('Critical resources'!N73,$A$6:$C$57,3,0),0)</f>
        <v>0</v>
      </c>
      <c r="P67" s="67">
        <f ca="1">IFERROR(VLOOKUP('Critical resources'!P73,$B$6:$C$57,2,0),0)</f>
        <v>0</v>
      </c>
      <c r="Q67" s="67">
        <f ca="1">IFERROR(VLOOKUP('Critical resources'!Q73,$A$6:$C$57,3,0),0)</f>
        <v>0</v>
      </c>
      <c r="T67" s="67" t="str">
        <f t="shared" si="17"/>
        <v xml:space="preserve">62. </v>
      </c>
      <c r="U67" s="67">
        <f t="shared" ca="1" si="24"/>
        <v>0</v>
      </c>
      <c r="V67" s="67">
        <f t="shared" ca="1" si="24"/>
        <v>0</v>
      </c>
      <c r="W67" s="67">
        <f t="shared" ca="1" si="24"/>
        <v>0</v>
      </c>
      <c r="X67" s="67">
        <f t="shared" ca="1" si="24"/>
        <v>0</v>
      </c>
      <c r="Y67" s="67">
        <f t="shared" ca="1" si="24"/>
        <v>0</v>
      </c>
      <c r="Z67" s="67">
        <f t="shared" ca="1" si="24"/>
        <v>0</v>
      </c>
      <c r="AA67" s="67">
        <f t="shared" ca="1" si="24"/>
        <v>0</v>
      </c>
      <c r="AB67" s="67">
        <f t="shared" ca="1" si="24"/>
        <v>0</v>
      </c>
      <c r="AC67" s="67">
        <f t="shared" ca="1" si="24"/>
        <v>0</v>
      </c>
      <c r="AD67" s="67">
        <f t="shared" ca="1" si="24"/>
        <v>0</v>
      </c>
      <c r="AE67" s="67">
        <f t="shared" ca="1" si="24"/>
        <v>0</v>
      </c>
      <c r="AF67" s="67">
        <f t="shared" ca="1" si="24"/>
        <v>0</v>
      </c>
      <c r="AG67" s="67">
        <f t="shared" ca="1" si="24"/>
        <v>0</v>
      </c>
      <c r="AH67" s="67">
        <f t="shared" ca="1" si="24"/>
        <v>0</v>
      </c>
      <c r="AI67" s="67">
        <f t="shared" ca="1" si="24"/>
        <v>0</v>
      </c>
      <c r="AJ67" s="67">
        <f t="shared" ca="1" si="24"/>
        <v>0</v>
      </c>
      <c r="AK67" s="67">
        <f t="shared" ca="1" si="23"/>
        <v>0</v>
      </c>
      <c r="AL67" s="67">
        <f t="shared" ca="1" si="23"/>
        <v>0</v>
      </c>
      <c r="AM67" s="67">
        <f t="shared" ca="1" si="23"/>
        <v>0</v>
      </c>
      <c r="AN67" s="67">
        <f t="shared" ca="1" si="23"/>
        <v>0</v>
      </c>
      <c r="AO67" s="67">
        <f t="shared" ca="1" si="23"/>
        <v>0</v>
      </c>
      <c r="AP67" s="67">
        <f t="shared" ca="1" si="23"/>
        <v>0</v>
      </c>
      <c r="AQ67" s="67">
        <f t="shared" ca="1" si="23"/>
        <v>0</v>
      </c>
      <c r="AR67" s="67">
        <f t="shared" ca="1" si="23"/>
        <v>0</v>
      </c>
      <c r="AS67" s="67">
        <f t="shared" ca="1" si="23"/>
        <v>0</v>
      </c>
      <c r="AT67" s="67">
        <f t="shared" ca="1" si="23"/>
        <v>0</v>
      </c>
      <c r="AU67" s="67">
        <f t="shared" ca="1" si="23"/>
        <v>0</v>
      </c>
      <c r="AV67" s="67">
        <f t="shared" ca="1" si="23"/>
        <v>0</v>
      </c>
      <c r="AW67" s="67">
        <f t="shared" ca="1" si="23"/>
        <v>0</v>
      </c>
      <c r="AX67" s="67">
        <f t="shared" ca="1" si="23"/>
        <v>0</v>
      </c>
      <c r="AY67" s="67">
        <f t="shared" ca="1" si="23"/>
        <v>0</v>
      </c>
      <c r="AZ67" s="67">
        <f t="shared" ca="1" si="21"/>
        <v>0</v>
      </c>
      <c r="BA67" s="67">
        <f t="shared" ca="1" si="21"/>
        <v>0</v>
      </c>
      <c r="BB67" s="67">
        <f t="shared" ca="1" si="21"/>
        <v>0</v>
      </c>
      <c r="BC67" s="67">
        <f t="shared" ca="1" si="21"/>
        <v>0</v>
      </c>
      <c r="BD67" s="67">
        <f t="shared" ca="1" si="21"/>
        <v>0</v>
      </c>
      <c r="BE67" s="67">
        <f t="shared" ca="1" si="21"/>
        <v>0</v>
      </c>
      <c r="BF67" s="67">
        <f t="shared" ca="1" si="21"/>
        <v>0</v>
      </c>
      <c r="BG67" s="67">
        <f t="shared" ca="1" si="21"/>
        <v>0</v>
      </c>
      <c r="BH67" s="67">
        <f t="shared" ca="1" si="21"/>
        <v>0</v>
      </c>
      <c r="BI67" s="67">
        <f t="shared" ca="1" si="21"/>
        <v>0</v>
      </c>
      <c r="BJ67" s="67">
        <f t="shared" ca="1" si="21"/>
        <v>0</v>
      </c>
      <c r="BK67" s="67">
        <f t="shared" ca="1" si="21"/>
        <v>0</v>
      </c>
      <c r="BL67" s="67">
        <f t="shared" ca="1" si="21"/>
        <v>0</v>
      </c>
      <c r="BM67" s="67">
        <f t="shared" ca="1" si="21"/>
        <v>0</v>
      </c>
      <c r="BN67" s="67">
        <f t="shared" ca="1" si="21"/>
        <v>0</v>
      </c>
      <c r="BO67" s="67">
        <f t="shared" ca="1" si="21"/>
        <v>0</v>
      </c>
      <c r="BP67" s="67">
        <f t="shared" ca="1" si="22"/>
        <v>0</v>
      </c>
      <c r="BQ67" s="67">
        <f t="shared" ca="1" si="22"/>
        <v>0</v>
      </c>
      <c r="BR67" s="67">
        <f t="shared" ca="1" si="22"/>
        <v>0</v>
      </c>
      <c r="BS67" s="67">
        <f t="shared" ca="1" si="22"/>
        <v>0</v>
      </c>
      <c r="BT67" s="67">
        <f t="shared" ca="1" si="22"/>
        <v>0</v>
      </c>
    </row>
    <row r="68" spans="2:72" x14ac:dyDescent="0.2">
      <c r="B68" s="87"/>
      <c r="G68" s="67" t="str">
        <f>ROW(A63)&amp;". "&amp;'Critical resources'!B74</f>
        <v xml:space="preserve">63. </v>
      </c>
      <c r="H68" s="67">
        <f ca="1">IFERROR(VLOOKUP('Critical resources'!D74,$B$6:$C$57,2,0),0)</f>
        <v>0</v>
      </c>
      <c r="I68" s="67">
        <f ca="1">IFERROR(VLOOKUP('Critical resources'!E74,$A$6:$C$57,3,0),0)</f>
        <v>0</v>
      </c>
      <c r="J68" s="67">
        <f ca="1">IFERROR(VLOOKUP('Critical resources'!G74,$B$6:$C$57,2,0),0)</f>
        <v>0</v>
      </c>
      <c r="K68" s="67">
        <f ca="1">IFERROR(VLOOKUP('Critical resources'!H74,$B$6:$C$57,2,0),0)</f>
        <v>0</v>
      </c>
      <c r="L68" s="67">
        <f ca="1">IFERROR(VLOOKUP('Critical resources'!J74,$B$6:$C$57,2,0),0)</f>
        <v>0</v>
      </c>
      <c r="M68" s="67">
        <f ca="1">IFERROR(VLOOKUP('Critical resources'!K74,$A$6:$C$57,3,0),0)</f>
        <v>0</v>
      </c>
      <c r="N68" s="67">
        <f ca="1">IFERROR(VLOOKUP('Critical resources'!M74,$B$6:$C$57,2,0),0)</f>
        <v>0</v>
      </c>
      <c r="O68" s="67">
        <f ca="1">IFERROR(VLOOKUP('Critical resources'!N74,$A$6:$C$57,3,0),0)</f>
        <v>0</v>
      </c>
      <c r="P68" s="67">
        <f ca="1">IFERROR(VLOOKUP('Critical resources'!P74,$B$6:$C$57,2,0),0)</f>
        <v>0</v>
      </c>
      <c r="Q68" s="67">
        <f ca="1">IFERROR(VLOOKUP('Critical resources'!Q74,$A$6:$C$57,3,0),0)</f>
        <v>0</v>
      </c>
      <c r="T68" s="67" t="str">
        <f t="shared" si="17"/>
        <v xml:space="preserve">63. </v>
      </c>
      <c r="U68" s="67">
        <f t="shared" ca="1" si="24"/>
        <v>0</v>
      </c>
      <c r="V68" s="67">
        <f t="shared" ca="1" si="24"/>
        <v>0</v>
      </c>
      <c r="W68" s="67">
        <f t="shared" ca="1" si="24"/>
        <v>0</v>
      </c>
      <c r="X68" s="67">
        <f t="shared" ca="1" si="24"/>
        <v>0</v>
      </c>
      <c r="Y68" s="67">
        <f t="shared" ca="1" si="24"/>
        <v>0</v>
      </c>
      <c r="Z68" s="67">
        <f t="shared" ca="1" si="24"/>
        <v>0</v>
      </c>
      <c r="AA68" s="67">
        <f t="shared" ca="1" si="24"/>
        <v>0</v>
      </c>
      <c r="AB68" s="67">
        <f t="shared" ca="1" si="24"/>
        <v>0</v>
      </c>
      <c r="AC68" s="67">
        <f t="shared" ca="1" si="24"/>
        <v>0</v>
      </c>
      <c r="AD68" s="67">
        <f t="shared" ca="1" si="24"/>
        <v>0</v>
      </c>
      <c r="AE68" s="67">
        <f t="shared" ca="1" si="24"/>
        <v>0</v>
      </c>
      <c r="AF68" s="67">
        <f t="shared" ca="1" si="24"/>
        <v>0</v>
      </c>
      <c r="AG68" s="67">
        <f t="shared" ca="1" si="24"/>
        <v>0</v>
      </c>
      <c r="AH68" s="67">
        <f t="shared" ca="1" si="24"/>
        <v>0</v>
      </c>
      <c r="AI68" s="67">
        <f t="shared" ca="1" si="24"/>
        <v>0</v>
      </c>
      <c r="AJ68" s="67">
        <f t="shared" ca="1" si="24"/>
        <v>0</v>
      </c>
      <c r="AK68" s="67">
        <f t="shared" ca="1" si="23"/>
        <v>0</v>
      </c>
      <c r="AL68" s="67">
        <f t="shared" ca="1" si="23"/>
        <v>0</v>
      </c>
      <c r="AM68" s="67">
        <f t="shared" ca="1" si="23"/>
        <v>0</v>
      </c>
      <c r="AN68" s="67">
        <f t="shared" ca="1" si="23"/>
        <v>0</v>
      </c>
      <c r="AO68" s="67">
        <f t="shared" ca="1" si="23"/>
        <v>0</v>
      </c>
      <c r="AP68" s="67">
        <f t="shared" ca="1" si="23"/>
        <v>0</v>
      </c>
      <c r="AQ68" s="67">
        <f t="shared" ca="1" si="23"/>
        <v>0</v>
      </c>
      <c r="AR68" s="67">
        <f t="shared" ca="1" si="23"/>
        <v>0</v>
      </c>
      <c r="AS68" s="67">
        <f t="shared" ca="1" si="23"/>
        <v>0</v>
      </c>
      <c r="AT68" s="67">
        <f t="shared" ca="1" si="23"/>
        <v>0</v>
      </c>
      <c r="AU68" s="67">
        <f t="shared" ca="1" si="23"/>
        <v>0</v>
      </c>
      <c r="AV68" s="67">
        <f t="shared" ca="1" si="23"/>
        <v>0</v>
      </c>
      <c r="AW68" s="67">
        <f t="shared" ca="1" si="23"/>
        <v>0</v>
      </c>
      <c r="AX68" s="67">
        <f t="shared" ca="1" si="23"/>
        <v>0</v>
      </c>
      <c r="AY68" s="67">
        <f t="shared" ca="1" si="23"/>
        <v>0</v>
      </c>
      <c r="AZ68" s="67">
        <f t="shared" ca="1" si="23"/>
        <v>0</v>
      </c>
      <c r="BA68" s="67">
        <f t="shared" ref="BA68:BP83" ca="1" si="26">SUM(IFERROR(IF(AND(BA$5&gt;=$H68,BA$5&lt;=$I68),1,0),0),IFERROR(IF(AND(BA$5&gt;=$J68,BA$5&lt;=$K68),1,0),0),IFERROR(IF(AND(BA$5&gt;=$L68,BA$5&lt;=$M68),1,0),0),IFERROR(IF(AND(BA$5&gt;=$N68,BA$5&lt;=$O68),1,0),0),IFERROR(IF(AND(BA$5&gt;=$P68,BA$5&lt;=$Q68),1,0),0))</f>
        <v>0</v>
      </c>
      <c r="BB68" s="67">
        <f t="shared" ca="1" si="26"/>
        <v>0</v>
      </c>
      <c r="BC68" s="67">
        <f t="shared" ca="1" si="26"/>
        <v>0</v>
      </c>
      <c r="BD68" s="67">
        <f t="shared" ca="1" si="26"/>
        <v>0</v>
      </c>
      <c r="BE68" s="67">
        <f t="shared" ca="1" si="26"/>
        <v>0</v>
      </c>
      <c r="BF68" s="67">
        <f t="shared" ca="1" si="26"/>
        <v>0</v>
      </c>
      <c r="BG68" s="67">
        <f t="shared" ca="1" si="26"/>
        <v>0</v>
      </c>
      <c r="BH68" s="67">
        <f t="shared" ca="1" si="26"/>
        <v>0</v>
      </c>
      <c r="BI68" s="67">
        <f t="shared" ca="1" si="26"/>
        <v>0</v>
      </c>
      <c r="BJ68" s="67">
        <f t="shared" ca="1" si="26"/>
        <v>0</v>
      </c>
      <c r="BK68" s="67">
        <f t="shared" ca="1" si="26"/>
        <v>0</v>
      </c>
      <c r="BL68" s="67">
        <f t="shared" ca="1" si="26"/>
        <v>0</v>
      </c>
      <c r="BM68" s="67">
        <f t="shared" ca="1" si="26"/>
        <v>0</v>
      </c>
      <c r="BN68" s="67">
        <f t="shared" ca="1" si="26"/>
        <v>0</v>
      </c>
      <c r="BO68" s="67">
        <f t="shared" ca="1" si="26"/>
        <v>0</v>
      </c>
      <c r="BP68" s="67">
        <f t="shared" ca="1" si="26"/>
        <v>0</v>
      </c>
      <c r="BQ68" s="67">
        <f t="shared" ref="BQ68:BT87" ca="1" si="27">SUM(IFERROR(IF(AND(BQ$5&gt;=$H68,BQ$5&lt;=$I68),1,0),0),IFERROR(IF(AND(BQ$5&gt;=$J68,BQ$5&lt;=$K68),1,0),0),IFERROR(IF(AND(BQ$5&gt;=$L68,BQ$5&lt;=$M68),1,0),0),IFERROR(IF(AND(BQ$5&gt;=$N68,BQ$5&lt;=$O68),1,0),0),IFERROR(IF(AND(BQ$5&gt;=$P68,BQ$5&lt;=$Q68),1,0),0))</f>
        <v>0</v>
      </c>
      <c r="BR68" s="67">
        <f t="shared" ca="1" si="27"/>
        <v>0</v>
      </c>
      <c r="BS68" s="67">
        <f t="shared" ca="1" si="27"/>
        <v>0</v>
      </c>
      <c r="BT68" s="67">
        <f t="shared" ca="1" si="27"/>
        <v>0</v>
      </c>
    </row>
    <row r="69" spans="2:72" x14ac:dyDescent="0.2">
      <c r="B69" s="87"/>
      <c r="G69" s="67" t="str">
        <f>ROW(A64)&amp;". "&amp;'Critical resources'!B75</f>
        <v xml:space="preserve">64. </v>
      </c>
      <c r="H69" s="67">
        <f ca="1">IFERROR(VLOOKUP('Critical resources'!D75,$B$6:$C$57,2,0),0)</f>
        <v>0</v>
      </c>
      <c r="I69" s="67">
        <f ca="1">IFERROR(VLOOKUP('Critical resources'!E75,$A$6:$C$57,3,0),0)</f>
        <v>0</v>
      </c>
      <c r="J69" s="67">
        <f ca="1">IFERROR(VLOOKUP('Critical resources'!G75,$B$6:$C$57,2,0),0)</f>
        <v>0</v>
      </c>
      <c r="K69" s="67">
        <f ca="1">IFERROR(VLOOKUP('Critical resources'!H75,$B$6:$C$57,2,0),0)</f>
        <v>0</v>
      </c>
      <c r="L69" s="67">
        <f ca="1">IFERROR(VLOOKUP('Critical resources'!J75,$B$6:$C$57,2,0),0)</f>
        <v>0</v>
      </c>
      <c r="M69" s="67">
        <f ca="1">IFERROR(VLOOKUP('Critical resources'!K75,$A$6:$C$57,3,0),0)</f>
        <v>0</v>
      </c>
      <c r="N69" s="67">
        <f ca="1">IFERROR(VLOOKUP('Critical resources'!M75,$B$6:$C$57,2,0),0)</f>
        <v>0</v>
      </c>
      <c r="O69" s="67">
        <f ca="1">IFERROR(VLOOKUP('Critical resources'!N75,$A$6:$C$57,3,0),0)</f>
        <v>0</v>
      </c>
      <c r="P69" s="67">
        <f ca="1">IFERROR(VLOOKUP('Critical resources'!P75,$B$6:$C$57,2,0),0)</f>
        <v>0</v>
      </c>
      <c r="Q69" s="67">
        <f ca="1">IFERROR(VLOOKUP('Critical resources'!Q75,$A$6:$C$57,3,0),0)</f>
        <v>0</v>
      </c>
      <c r="T69" s="67" t="str">
        <f t="shared" si="17"/>
        <v xml:space="preserve">64. </v>
      </c>
      <c r="U69" s="67">
        <f t="shared" ca="1" si="24"/>
        <v>0</v>
      </c>
      <c r="V69" s="67">
        <f t="shared" ca="1" si="24"/>
        <v>0</v>
      </c>
      <c r="W69" s="67">
        <f t="shared" ca="1" si="24"/>
        <v>0</v>
      </c>
      <c r="X69" s="67">
        <f t="shared" ca="1" si="24"/>
        <v>0</v>
      </c>
      <c r="Y69" s="67">
        <f t="shared" ca="1" si="24"/>
        <v>0</v>
      </c>
      <c r="Z69" s="67">
        <f t="shared" ca="1" si="24"/>
        <v>0</v>
      </c>
      <c r="AA69" s="67">
        <f t="shared" ca="1" si="24"/>
        <v>0</v>
      </c>
      <c r="AB69" s="67">
        <f t="shared" ca="1" si="24"/>
        <v>0</v>
      </c>
      <c r="AC69" s="67">
        <f t="shared" ca="1" si="24"/>
        <v>0</v>
      </c>
      <c r="AD69" s="67">
        <f t="shared" ca="1" si="24"/>
        <v>0</v>
      </c>
      <c r="AE69" s="67">
        <f t="shared" ca="1" si="24"/>
        <v>0</v>
      </c>
      <c r="AF69" s="67">
        <f t="shared" ca="1" si="24"/>
        <v>0</v>
      </c>
      <c r="AG69" s="67">
        <f t="shared" ca="1" si="24"/>
        <v>0</v>
      </c>
      <c r="AH69" s="67">
        <f t="shared" ca="1" si="24"/>
        <v>0</v>
      </c>
      <c r="AI69" s="67">
        <f t="shared" ca="1" si="24"/>
        <v>0</v>
      </c>
      <c r="AJ69" s="67">
        <f t="shared" ca="1" si="24"/>
        <v>0</v>
      </c>
      <c r="AK69" s="67">
        <f t="shared" ca="1" si="23"/>
        <v>0</v>
      </c>
      <c r="AL69" s="67">
        <f t="shared" ca="1" si="23"/>
        <v>0</v>
      </c>
      <c r="AM69" s="67">
        <f t="shared" ca="1" si="23"/>
        <v>0</v>
      </c>
      <c r="AN69" s="67">
        <f t="shared" ca="1" si="23"/>
        <v>0</v>
      </c>
      <c r="AO69" s="67">
        <f t="shared" ca="1" si="23"/>
        <v>0</v>
      </c>
      <c r="AP69" s="67">
        <f t="shared" ca="1" si="23"/>
        <v>0</v>
      </c>
      <c r="AQ69" s="67">
        <f t="shared" ca="1" si="23"/>
        <v>0</v>
      </c>
      <c r="AR69" s="67">
        <f t="shared" ca="1" si="23"/>
        <v>0</v>
      </c>
      <c r="AS69" s="67">
        <f t="shared" ca="1" si="23"/>
        <v>0</v>
      </c>
      <c r="AT69" s="67">
        <f t="shared" ca="1" si="23"/>
        <v>0</v>
      </c>
      <c r="AU69" s="67">
        <f t="shared" ca="1" si="23"/>
        <v>0</v>
      </c>
      <c r="AV69" s="67">
        <f t="shared" ca="1" si="23"/>
        <v>0</v>
      </c>
      <c r="AW69" s="67">
        <f t="shared" ca="1" si="23"/>
        <v>0</v>
      </c>
      <c r="AX69" s="67">
        <f t="shared" ca="1" si="23"/>
        <v>0</v>
      </c>
      <c r="AY69" s="67">
        <f t="shared" ca="1" si="23"/>
        <v>0</v>
      </c>
      <c r="AZ69" s="67">
        <f t="shared" ca="1" si="23"/>
        <v>0</v>
      </c>
      <c r="BA69" s="67">
        <f t="shared" ca="1" si="26"/>
        <v>0</v>
      </c>
      <c r="BB69" s="67">
        <f t="shared" ca="1" si="26"/>
        <v>0</v>
      </c>
      <c r="BC69" s="67">
        <f t="shared" ca="1" si="26"/>
        <v>0</v>
      </c>
      <c r="BD69" s="67">
        <f t="shared" ca="1" si="26"/>
        <v>0</v>
      </c>
      <c r="BE69" s="67">
        <f t="shared" ca="1" si="26"/>
        <v>0</v>
      </c>
      <c r="BF69" s="67">
        <f t="shared" ca="1" si="26"/>
        <v>0</v>
      </c>
      <c r="BG69" s="67">
        <f t="shared" ca="1" si="26"/>
        <v>0</v>
      </c>
      <c r="BH69" s="67">
        <f t="shared" ca="1" si="26"/>
        <v>0</v>
      </c>
      <c r="BI69" s="67">
        <f t="shared" ca="1" si="26"/>
        <v>0</v>
      </c>
      <c r="BJ69" s="67">
        <f t="shared" ca="1" si="26"/>
        <v>0</v>
      </c>
      <c r="BK69" s="67">
        <f t="shared" ca="1" si="26"/>
        <v>0</v>
      </c>
      <c r="BL69" s="67">
        <f t="shared" ca="1" si="26"/>
        <v>0</v>
      </c>
      <c r="BM69" s="67">
        <f t="shared" ca="1" si="26"/>
        <v>0</v>
      </c>
      <c r="BN69" s="67">
        <f t="shared" ca="1" si="26"/>
        <v>0</v>
      </c>
      <c r="BO69" s="67">
        <f t="shared" ca="1" si="26"/>
        <v>0</v>
      </c>
      <c r="BP69" s="67">
        <f t="shared" ca="1" si="26"/>
        <v>0</v>
      </c>
      <c r="BQ69" s="67">
        <f t="shared" ca="1" si="27"/>
        <v>0</v>
      </c>
      <c r="BR69" s="67">
        <f t="shared" ca="1" si="27"/>
        <v>0</v>
      </c>
      <c r="BS69" s="67">
        <f t="shared" ca="1" si="27"/>
        <v>0</v>
      </c>
      <c r="BT69" s="67">
        <f t="shared" ca="1" si="27"/>
        <v>0</v>
      </c>
    </row>
    <row r="70" spans="2:72" x14ac:dyDescent="0.2">
      <c r="B70" s="87"/>
      <c r="G70" s="67" t="str">
        <f>ROW(A65)&amp;". "&amp;'Critical resources'!B76</f>
        <v xml:space="preserve">65. </v>
      </c>
      <c r="H70" s="67">
        <f ca="1">IFERROR(VLOOKUP('Critical resources'!D76,$B$6:$C$57,2,0),0)</f>
        <v>0</v>
      </c>
      <c r="I70" s="67">
        <f ca="1">IFERROR(VLOOKUP('Critical resources'!E76,$A$6:$C$57,3,0),0)</f>
        <v>0</v>
      </c>
      <c r="J70" s="67">
        <f ca="1">IFERROR(VLOOKUP('Critical resources'!G76,$B$6:$C$57,2,0),0)</f>
        <v>0</v>
      </c>
      <c r="K70" s="67">
        <f ca="1">IFERROR(VLOOKUP('Critical resources'!H76,$B$6:$C$57,2,0),0)</f>
        <v>0</v>
      </c>
      <c r="L70" s="67">
        <f ca="1">IFERROR(VLOOKUP('Critical resources'!J76,$B$6:$C$57,2,0),0)</f>
        <v>0</v>
      </c>
      <c r="M70" s="67">
        <f ca="1">IFERROR(VLOOKUP('Critical resources'!K76,$A$6:$C$57,3,0),0)</f>
        <v>0</v>
      </c>
      <c r="N70" s="67">
        <f ca="1">IFERROR(VLOOKUP('Critical resources'!M76,$B$6:$C$57,2,0),0)</f>
        <v>0</v>
      </c>
      <c r="O70" s="67">
        <f ca="1">IFERROR(VLOOKUP('Critical resources'!N76,$A$6:$C$57,3,0),0)</f>
        <v>0</v>
      </c>
      <c r="P70" s="67">
        <f ca="1">IFERROR(VLOOKUP('Critical resources'!P76,$B$6:$C$57,2,0),0)</f>
        <v>0</v>
      </c>
      <c r="Q70" s="67">
        <f ca="1">IFERROR(VLOOKUP('Critical resources'!Q76,$A$6:$C$57,3,0),0)</f>
        <v>0</v>
      </c>
      <c r="T70" s="67" t="str">
        <f t="shared" ref="T70:T105" si="28">G70</f>
        <v xml:space="preserve">65. </v>
      </c>
      <c r="U70" s="67">
        <f t="shared" ca="1" si="24"/>
        <v>0</v>
      </c>
      <c r="V70" s="67">
        <f t="shared" ca="1" si="24"/>
        <v>0</v>
      </c>
      <c r="W70" s="67">
        <f t="shared" ca="1" si="24"/>
        <v>0</v>
      </c>
      <c r="X70" s="67">
        <f t="shared" ca="1" si="24"/>
        <v>0</v>
      </c>
      <c r="Y70" s="67">
        <f t="shared" ca="1" si="24"/>
        <v>0</v>
      </c>
      <c r="Z70" s="67">
        <f t="shared" ca="1" si="24"/>
        <v>0</v>
      </c>
      <c r="AA70" s="67">
        <f t="shared" ca="1" si="24"/>
        <v>0</v>
      </c>
      <c r="AB70" s="67">
        <f t="shared" ca="1" si="24"/>
        <v>0</v>
      </c>
      <c r="AC70" s="67">
        <f t="shared" ca="1" si="24"/>
        <v>0</v>
      </c>
      <c r="AD70" s="67">
        <f t="shared" ca="1" si="24"/>
        <v>0</v>
      </c>
      <c r="AE70" s="67">
        <f t="shared" ca="1" si="24"/>
        <v>0</v>
      </c>
      <c r="AF70" s="67">
        <f t="shared" ca="1" si="24"/>
        <v>0</v>
      </c>
      <c r="AG70" s="67">
        <f t="shared" ca="1" si="24"/>
        <v>0</v>
      </c>
      <c r="AH70" s="67">
        <f t="shared" ca="1" si="24"/>
        <v>0</v>
      </c>
      <c r="AI70" s="67">
        <f t="shared" ca="1" si="24"/>
        <v>0</v>
      </c>
      <c r="AJ70" s="67">
        <f t="shared" ref="AJ70:AY85" ca="1" si="29">SUM(IFERROR(IF(AND(AJ$5&gt;=$H70,AJ$5&lt;=$I70),1,0),0),IFERROR(IF(AND(AJ$5&gt;=$J70,AJ$5&lt;=$K70),1,0),0),IFERROR(IF(AND(AJ$5&gt;=$L70,AJ$5&lt;=$M70),1,0),0),IFERROR(IF(AND(AJ$5&gt;=$N70,AJ$5&lt;=$O70),1,0),0),IFERROR(IF(AND(AJ$5&gt;=$P70,AJ$5&lt;=$Q70),1,0),0))</f>
        <v>0</v>
      </c>
      <c r="AK70" s="67">
        <f t="shared" ca="1" si="29"/>
        <v>0</v>
      </c>
      <c r="AL70" s="67">
        <f t="shared" ca="1" si="29"/>
        <v>0</v>
      </c>
      <c r="AM70" s="67">
        <f t="shared" ca="1" si="29"/>
        <v>0</v>
      </c>
      <c r="AN70" s="67">
        <f t="shared" ca="1" si="29"/>
        <v>0</v>
      </c>
      <c r="AO70" s="67">
        <f t="shared" ca="1" si="29"/>
        <v>0</v>
      </c>
      <c r="AP70" s="67">
        <f t="shared" ca="1" si="29"/>
        <v>0</v>
      </c>
      <c r="AQ70" s="67">
        <f t="shared" ca="1" si="29"/>
        <v>0</v>
      </c>
      <c r="AR70" s="67">
        <f t="shared" ca="1" si="29"/>
        <v>0</v>
      </c>
      <c r="AS70" s="67">
        <f t="shared" ca="1" si="29"/>
        <v>0</v>
      </c>
      <c r="AT70" s="67">
        <f t="shared" ca="1" si="29"/>
        <v>0</v>
      </c>
      <c r="AU70" s="67">
        <f t="shared" ca="1" si="29"/>
        <v>0</v>
      </c>
      <c r="AV70" s="67">
        <f t="shared" ca="1" si="29"/>
        <v>0</v>
      </c>
      <c r="AW70" s="67">
        <f t="shared" ca="1" si="29"/>
        <v>0</v>
      </c>
      <c r="AX70" s="67">
        <f t="shared" ca="1" si="29"/>
        <v>0</v>
      </c>
      <c r="AY70" s="67">
        <f t="shared" ca="1" si="29"/>
        <v>0</v>
      </c>
      <c r="AZ70" s="67">
        <f t="shared" ref="AZ70:BO85" ca="1" si="30">SUM(IFERROR(IF(AND(AZ$5&gt;=$H70,AZ$5&lt;=$I70),1,0),0),IFERROR(IF(AND(AZ$5&gt;=$J70,AZ$5&lt;=$K70),1,0),0),IFERROR(IF(AND(AZ$5&gt;=$L70,AZ$5&lt;=$M70),1,0),0),IFERROR(IF(AND(AZ$5&gt;=$N70,AZ$5&lt;=$O70),1,0),0),IFERROR(IF(AND(AZ$5&gt;=$P70,AZ$5&lt;=$Q70),1,0),0))</f>
        <v>0</v>
      </c>
      <c r="BA70" s="67">
        <f t="shared" ca="1" si="26"/>
        <v>0</v>
      </c>
      <c r="BB70" s="67">
        <f t="shared" ca="1" si="26"/>
        <v>0</v>
      </c>
      <c r="BC70" s="67">
        <f t="shared" ca="1" si="26"/>
        <v>0</v>
      </c>
      <c r="BD70" s="67">
        <f t="shared" ca="1" si="26"/>
        <v>0</v>
      </c>
      <c r="BE70" s="67">
        <f t="shared" ca="1" si="26"/>
        <v>0</v>
      </c>
      <c r="BF70" s="67">
        <f t="shared" ca="1" si="26"/>
        <v>0</v>
      </c>
      <c r="BG70" s="67">
        <f t="shared" ca="1" si="26"/>
        <v>0</v>
      </c>
      <c r="BH70" s="67">
        <f t="shared" ca="1" si="26"/>
        <v>0</v>
      </c>
      <c r="BI70" s="67">
        <f t="shared" ca="1" si="26"/>
        <v>0</v>
      </c>
      <c r="BJ70" s="67">
        <f t="shared" ca="1" si="26"/>
        <v>0</v>
      </c>
      <c r="BK70" s="67">
        <f t="shared" ca="1" si="26"/>
        <v>0</v>
      </c>
      <c r="BL70" s="67">
        <f t="shared" ca="1" si="26"/>
        <v>0</v>
      </c>
      <c r="BM70" s="67">
        <f t="shared" ca="1" si="26"/>
        <v>0</v>
      </c>
      <c r="BN70" s="67">
        <f t="shared" ca="1" si="26"/>
        <v>0</v>
      </c>
      <c r="BO70" s="67">
        <f t="shared" ca="1" si="26"/>
        <v>0</v>
      </c>
      <c r="BP70" s="67">
        <f t="shared" ca="1" si="26"/>
        <v>0</v>
      </c>
      <c r="BQ70" s="67">
        <f t="shared" ca="1" si="27"/>
        <v>0</v>
      </c>
      <c r="BR70" s="67">
        <f t="shared" ca="1" si="27"/>
        <v>0</v>
      </c>
      <c r="BS70" s="67">
        <f t="shared" ca="1" si="27"/>
        <v>0</v>
      </c>
      <c r="BT70" s="67">
        <f t="shared" ca="1" si="27"/>
        <v>0</v>
      </c>
    </row>
    <row r="71" spans="2:72" x14ac:dyDescent="0.2">
      <c r="B71" s="87"/>
      <c r="G71" s="67" t="str">
        <f>ROW(A66)&amp;". "&amp;'Critical resources'!B77</f>
        <v xml:space="preserve">66. </v>
      </c>
      <c r="H71" s="67">
        <f ca="1">IFERROR(VLOOKUP('Critical resources'!D77,$B$6:$C$57,2,0),0)</f>
        <v>0</v>
      </c>
      <c r="I71" s="67">
        <f ca="1">IFERROR(VLOOKUP('Critical resources'!E77,$A$6:$C$57,3,0),0)</f>
        <v>0</v>
      </c>
      <c r="J71" s="67">
        <f ca="1">IFERROR(VLOOKUP('Critical resources'!G77,$B$6:$C$57,2,0),0)</f>
        <v>0</v>
      </c>
      <c r="K71" s="67">
        <f ca="1">IFERROR(VLOOKUP('Critical resources'!H77,$B$6:$C$57,2,0),0)</f>
        <v>0</v>
      </c>
      <c r="L71" s="67">
        <f ca="1">IFERROR(VLOOKUP('Critical resources'!J77,$B$6:$C$57,2,0),0)</f>
        <v>0</v>
      </c>
      <c r="M71" s="67">
        <f ca="1">IFERROR(VLOOKUP('Critical resources'!K77,$A$6:$C$57,3,0),0)</f>
        <v>0</v>
      </c>
      <c r="N71" s="67">
        <f ca="1">IFERROR(VLOOKUP('Critical resources'!M77,$B$6:$C$57,2,0),0)</f>
        <v>0</v>
      </c>
      <c r="O71" s="67">
        <f ca="1">IFERROR(VLOOKUP('Critical resources'!N77,$A$6:$C$57,3,0),0)</f>
        <v>0</v>
      </c>
      <c r="P71" s="67">
        <f ca="1">IFERROR(VLOOKUP('Critical resources'!P77,$B$6:$C$57,2,0),0)</f>
        <v>0</v>
      </c>
      <c r="Q71" s="67">
        <f ca="1">IFERROR(VLOOKUP('Critical resources'!Q77,$A$6:$C$57,3,0),0)</f>
        <v>0</v>
      </c>
      <c r="T71" s="67" t="str">
        <f t="shared" si="28"/>
        <v xml:space="preserve">66. </v>
      </c>
      <c r="U71" s="67">
        <f t="shared" ref="U71:AJ86" ca="1" si="31">SUM(IFERROR(IF(AND(U$5&gt;=$H71,U$5&lt;=$I71),1,0),0),IFERROR(IF(AND(U$5&gt;=$J71,U$5&lt;=$K71),1,0),0),IFERROR(IF(AND(U$5&gt;=$L71,U$5&lt;=$M71),1,0),0),IFERROR(IF(AND(U$5&gt;=$N71,U$5&lt;=$O71),1,0),0),IFERROR(IF(AND(U$5&gt;=$P71,U$5&lt;=$Q71),1,0),0))</f>
        <v>0</v>
      </c>
      <c r="V71" s="67">
        <f t="shared" ca="1" si="31"/>
        <v>0</v>
      </c>
      <c r="W71" s="67">
        <f t="shared" ca="1" si="31"/>
        <v>0</v>
      </c>
      <c r="X71" s="67">
        <f t="shared" ca="1" si="31"/>
        <v>0</v>
      </c>
      <c r="Y71" s="67">
        <f t="shared" ca="1" si="31"/>
        <v>0</v>
      </c>
      <c r="Z71" s="67">
        <f t="shared" ca="1" si="31"/>
        <v>0</v>
      </c>
      <c r="AA71" s="67">
        <f t="shared" ca="1" si="31"/>
        <v>0</v>
      </c>
      <c r="AB71" s="67">
        <f t="shared" ca="1" si="31"/>
        <v>0</v>
      </c>
      <c r="AC71" s="67">
        <f t="shared" ca="1" si="31"/>
        <v>0</v>
      </c>
      <c r="AD71" s="67">
        <f t="shared" ca="1" si="31"/>
        <v>0</v>
      </c>
      <c r="AE71" s="67">
        <f t="shared" ca="1" si="31"/>
        <v>0</v>
      </c>
      <c r="AF71" s="67">
        <f t="shared" ca="1" si="31"/>
        <v>0</v>
      </c>
      <c r="AG71" s="67">
        <f t="shared" ca="1" si="31"/>
        <v>0</v>
      </c>
      <c r="AH71" s="67">
        <f t="shared" ca="1" si="31"/>
        <v>0</v>
      </c>
      <c r="AI71" s="67">
        <f t="shared" ca="1" si="31"/>
        <v>0</v>
      </c>
      <c r="AJ71" s="67">
        <f t="shared" ca="1" si="29"/>
        <v>0</v>
      </c>
      <c r="AK71" s="67">
        <f t="shared" ca="1" si="29"/>
        <v>0</v>
      </c>
      <c r="AL71" s="67">
        <f t="shared" ca="1" si="29"/>
        <v>0</v>
      </c>
      <c r="AM71" s="67">
        <f t="shared" ca="1" si="29"/>
        <v>0</v>
      </c>
      <c r="AN71" s="67">
        <f t="shared" ca="1" si="29"/>
        <v>0</v>
      </c>
      <c r="AO71" s="67">
        <f t="shared" ca="1" si="29"/>
        <v>0</v>
      </c>
      <c r="AP71" s="67">
        <f t="shared" ca="1" si="29"/>
        <v>0</v>
      </c>
      <c r="AQ71" s="67">
        <f t="shared" ca="1" si="29"/>
        <v>0</v>
      </c>
      <c r="AR71" s="67">
        <f t="shared" ca="1" si="29"/>
        <v>0</v>
      </c>
      <c r="AS71" s="67">
        <f t="shared" ca="1" si="29"/>
        <v>0</v>
      </c>
      <c r="AT71" s="67">
        <f t="shared" ca="1" si="29"/>
        <v>0</v>
      </c>
      <c r="AU71" s="67">
        <f t="shared" ca="1" si="29"/>
        <v>0</v>
      </c>
      <c r="AV71" s="67">
        <f t="shared" ca="1" si="29"/>
        <v>0</v>
      </c>
      <c r="AW71" s="67">
        <f t="shared" ca="1" si="29"/>
        <v>0</v>
      </c>
      <c r="AX71" s="67">
        <f t="shared" ca="1" si="29"/>
        <v>0</v>
      </c>
      <c r="AY71" s="67">
        <f t="shared" ca="1" si="29"/>
        <v>0</v>
      </c>
      <c r="AZ71" s="67">
        <f t="shared" ca="1" si="30"/>
        <v>0</v>
      </c>
      <c r="BA71" s="67">
        <f t="shared" ca="1" si="26"/>
        <v>0</v>
      </c>
      <c r="BB71" s="67">
        <f t="shared" ca="1" si="26"/>
        <v>0</v>
      </c>
      <c r="BC71" s="67">
        <f t="shared" ca="1" si="26"/>
        <v>0</v>
      </c>
      <c r="BD71" s="67">
        <f t="shared" ca="1" si="26"/>
        <v>0</v>
      </c>
      <c r="BE71" s="67">
        <f t="shared" ca="1" si="26"/>
        <v>0</v>
      </c>
      <c r="BF71" s="67">
        <f t="shared" ca="1" si="26"/>
        <v>0</v>
      </c>
      <c r="BG71" s="67">
        <f t="shared" ca="1" si="26"/>
        <v>0</v>
      </c>
      <c r="BH71" s="67">
        <f t="shared" ca="1" si="26"/>
        <v>0</v>
      </c>
      <c r="BI71" s="67">
        <f t="shared" ca="1" si="26"/>
        <v>0</v>
      </c>
      <c r="BJ71" s="67">
        <f t="shared" ca="1" si="26"/>
        <v>0</v>
      </c>
      <c r="BK71" s="67">
        <f t="shared" ca="1" si="26"/>
        <v>0</v>
      </c>
      <c r="BL71" s="67">
        <f t="shared" ca="1" si="26"/>
        <v>0</v>
      </c>
      <c r="BM71" s="67">
        <f t="shared" ca="1" si="26"/>
        <v>0</v>
      </c>
      <c r="BN71" s="67">
        <f t="shared" ca="1" si="26"/>
        <v>0</v>
      </c>
      <c r="BO71" s="67">
        <f t="shared" ca="1" si="26"/>
        <v>0</v>
      </c>
      <c r="BP71" s="67">
        <f t="shared" ca="1" si="26"/>
        <v>0</v>
      </c>
      <c r="BQ71" s="67">
        <f t="shared" ca="1" si="27"/>
        <v>0</v>
      </c>
      <c r="BR71" s="67">
        <f t="shared" ca="1" si="27"/>
        <v>0</v>
      </c>
      <c r="BS71" s="67">
        <f t="shared" ca="1" si="27"/>
        <v>0</v>
      </c>
      <c r="BT71" s="67">
        <f t="shared" ca="1" si="27"/>
        <v>0</v>
      </c>
    </row>
    <row r="72" spans="2:72" x14ac:dyDescent="0.2">
      <c r="B72" s="87"/>
      <c r="G72" s="67" t="str">
        <f>ROW(A67)&amp;". "&amp;'Critical resources'!B78</f>
        <v xml:space="preserve">67. </v>
      </c>
      <c r="H72" s="67">
        <f ca="1">IFERROR(VLOOKUP('Critical resources'!D78,$B$6:$C$57,2,0),0)</f>
        <v>0</v>
      </c>
      <c r="I72" s="67">
        <f ca="1">IFERROR(VLOOKUP('Critical resources'!E78,$A$6:$C$57,3,0),0)</f>
        <v>0</v>
      </c>
      <c r="J72" s="67">
        <f ca="1">IFERROR(VLOOKUP('Critical resources'!G78,$B$6:$C$57,2,0),0)</f>
        <v>0</v>
      </c>
      <c r="K72" s="67">
        <f ca="1">IFERROR(VLOOKUP('Critical resources'!H78,$B$6:$C$57,2,0),0)</f>
        <v>0</v>
      </c>
      <c r="L72" s="67">
        <f ca="1">IFERROR(VLOOKUP('Critical resources'!J78,$B$6:$C$57,2,0),0)</f>
        <v>0</v>
      </c>
      <c r="M72" s="67">
        <f ca="1">IFERROR(VLOOKUP('Critical resources'!K78,$A$6:$C$57,3,0),0)</f>
        <v>0</v>
      </c>
      <c r="N72" s="67">
        <f ca="1">IFERROR(VLOOKUP('Critical resources'!M78,$B$6:$C$57,2,0),0)</f>
        <v>0</v>
      </c>
      <c r="O72" s="67">
        <f ca="1">IFERROR(VLOOKUP('Critical resources'!N78,$A$6:$C$57,3,0),0)</f>
        <v>0</v>
      </c>
      <c r="P72" s="67">
        <f ca="1">IFERROR(VLOOKUP('Critical resources'!P78,$B$6:$C$57,2,0),0)</f>
        <v>0</v>
      </c>
      <c r="Q72" s="67">
        <f ca="1">IFERROR(VLOOKUP('Critical resources'!Q78,$A$6:$C$57,3,0),0)</f>
        <v>0</v>
      </c>
      <c r="T72" s="67" t="str">
        <f t="shared" si="28"/>
        <v xml:space="preserve">67. </v>
      </c>
      <c r="U72" s="67">
        <f t="shared" ca="1" si="31"/>
        <v>0</v>
      </c>
      <c r="V72" s="67">
        <f t="shared" ca="1" si="31"/>
        <v>0</v>
      </c>
      <c r="W72" s="67">
        <f t="shared" ca="1" si="31"/>
        <v>0</v>
      </c>
      <c r="X72" s="67">
        <f t="shared" ca="1" si="31"/>
        <v>0</v>
      </c>
      <c r="Y72" s="67">
        <f t="shared" ca="1" si="31"/>
        <v>0</v>
      </c>
      <c r="Z72" s="67">
        <f t="shared" ca="1" si="31"/>
        <v>0</v>
      </c>
      <c r="AA72" s="67">
        <f t="shared" ca="1" si="31"/>
        <v>0</v>
      </c>
      <c r="AB72" s="67">
        <f t="shared" ca="1" si="31"/>
        <v>0</v>
      </c>
      <c r="AC72" s="67">
        <f t="shared" ca="1" si="31"/>
        <v>0</v>
      </c>
      <c r="AD72" s="67">
        <f t="shared" ca="1" si="31"/>
        <v>0</v>
      </c>
      <c r="AE72" s="67">
        <f t="shared" ca="1" si="31"/>
        <v>0</v>
      </c>
      <c r="AF72" s="67">
        <f t="shared" ca="1" si="31"/>
        <v>0</v>
      </c>
      <c r="AG72" s="67">
        <f t="shared" ca="1" si="31"/>
        <v>0</v>
      </c>
      <c r="AH72" s="67">
        <f t="shared" ca="1" si="31"/>
        <v>0</v>
      </c>
      <c r="AI72" s="67">
        <f t="shared" ca="1" si="31"/>
        <v>0</v>
      </c>
      <c r="AJ72" s="67">
        <f t="shared" ca="1" si="29"/>
        <v>0</v>
      </c>
      <c r="AK72" s="67">
        <f t="shared" ca="1" si="29"/>
        <v>0</v>
      </c>
      <c r="AL72" s="67">
        <f t="shared" ca="1" si="29"/>
        <v>0</v>
      </c>
      <c r="AM72" s="67">
        <f t="shared" ca="1" si="29"/>
        <v>0</v>
      </c>
      <c r="AN72" s="67">
        <f t="shared" ca="1" si="29"/>
        <v>0</v>
      </c>
      <c r="AO72" s="67">
        <f t="shared" ca="1" si="29"/>
        <v>0</v>
      </c>
      <c r="AP72" s="67">
        <f t="shared" ca="1" si="29"/>
        <v>0</v>
      </c>
      <c r="AQ72" s="67">
        <f t="shared" ca="1" si="29"/>
        <v>0</v>
      </c>
      <c r="AR72" s="67">
        <f t="shared" ca="1" si="29"/>
        <v>0</v>
      </c>
      <c r="AS72" s="67">
        <f t="shared" ca="1" si="29"/>
        <v>0</v>
      </c>
      <c r="AT72" s="67">
        <f t="shared" ca="1" si="29"/>
        <v>0</v>
      </c>
      <c r="AU72" s="67">
        <f t="shared" ca="1" si="29"/>
        <v>0</v>
      </c>
      <c r="AV72" s="67">
        <f t="shared" ca="1" si="29"/>
        <v>0</v>
      </c>
      <c r="AW72" s="67">
        <f t="shared" ca="1" si="29"/>
        <v>0</v>
      </c>
      <c r="AX72" s="67">
        <f t="shared" ca="1" si="29"/>
        <v>0</v>
      </c>
      <c r="AY72" s="67">
        <f t="shared" ca="1" si="29"/>
        <v>0</v>
      </c>
      <c r="AZ72" s="67">
        <f t="shared" ca="1" si="30"/>
        <v>0</v>
      </c>
      <c r="BA72" s="67">
        <f t="shared" ca="1" si="26"/>
        <v>0</v>
      </c>
      <c r="BB72" s="67">
        <f t="shared" ca="1" si="26"/>
        <v>0</v>
      </c>
      <c r="BC72" s="67">
        <f t="shared" ca="1" si="26"/>
        <v>0</v>
      </c>
      <c r="BD72" s="67">
        <f t="shared" ca="1" si="26"/>
        <v>0</v>
      </c>
      <c r="BE72" s="67">
        <f t="shared" ca="1" si="26"/>
        <v>0</v>
      </c>
      <c r="BF72" s="67">
        <f t="shared" ca="1" si="26"/>
        <v>0</v>
      </c>
      <c r="BG72" s="67">
        <f t="shared" ca="1" si="26"/>
        <v>0</v>
      </c>
      <c r="BH72" s="67">
        <f t="shared" ca="1" si="26"/>
        <v>0</v>
      </c>
      <c r="BI72" s="67">
        <f t="shared" ca="1" si="26"/>
        <v>0</v>
      </c>
      <c r="BJ72" s="67">
        <f t="shared" ca="1" si="26"/>
        <v>0</v>
      </c>
      <c r="BK72" s="67">
        <f t="shared" ca="1" si="26"/>
        <v>0</v>
      </c>
      <c r="BL72" s="67">
        <f t="shared" ca="1" si="26"/>
        <v>0</v>
      </c>
      <c r="BM72" s="67">
        <f t="shared" ca="1" si="26"/>
        <v>0</v>
      </c>
      <c r="BN72" s="67">
        <f t="shared" ca="1" si="26"/>
        <v>0</v>
      </c>
      <c r="BO72" s="67">
        <f t="shared" ca="1" si="26"/>
        <v>0</v>
      </c>
      <c r="BP72" s="67">
        <f t="shared" ca="1" si="26"/>
        <v>0</v>
      </c>
      <c r="BQ72" s="67">
        <f t="shared" ca="1" si="27"/>
        <v>0</v>
      </c>
      <c r="BR72" s="67">
        <f t="shared" ca="1" si="27"/>
        <v>0</v>
      </c>
      <c r="BS72" s="67">
        <f t="shared" ca="1" si="27"/>
        <v>0</v>
      </c>
      <c r="BT72" s="67">
        <f t="shared" ca="1" si="27"/>
        <v>0</v>
      </c>
    </row>
    <row r="73" spans="2:72" x14ac:dyDescent="0.2">
      <c r="B73" s="87"/>
      <c r="G73" s="67" t="str">
        <f>ROW(A68)&amp;". "&amp;'Critical resources'!B79</f>
        <v xml:space="preserve">68. </v>
      </c>
      <c r="H73" s="67">
        <f ca="1">IFERROR(VLOOKUP('Critical resources'!D79,$B$6:$C$57,2,0),0)</f>
        <v>0</v>
      </c>
      <c r="I73" s="67">
        <f ca="1">IFERROR(VLOOKUP('Critical resources'!E79,$A$6:$C$57,3,0),0)</f>
        <v>0</v>
      </c>
      <c r="J73" s="67">
        <f ca="1">IFERROR(VLOOKUP('Critical resources'!G79,$B$6:$C$57,2,0),0)</f>
        <v>0</v>
      </c>
      <c r="K73" s="67">
        <f ca="1">IFERROR(VLOOKUP('Critical resources'!H79,$B$6:$C$57,2,0),0)</f>
        <v>0</v>
      </c>
      <c r="L73" s="67">
        <f ca="1">IFERROR(VLOOKUP('Critical resources'!J79,$B$6:$C$57,2,0),0)</f>
        <v>0</v>
      </c>
      <c r="M73" s="67">
        <f ca="1">IFERROR(VLOOKUP('Critical resources'!K79,$A$6:$C$57,3,0),0)</f>
        <v>0</v>
      </c>
      <c r="N73" s="67">
        <f ca="1">IFERROR(VLOOKUP('Critical resources'!M79,$B$6:$C$57,2,0),0)</f>
        <v>0</v>
      </c>
      <c r="O73" s="67">
        <f ca="1">IFERROR(VLOOKUP('Critical resources'!N79,$A$6:$C$57,3,0),0)</f>
        <v>0</v>
      </c>
      <c r="P73" s="67">
        <f ca="1">IFERROR(VLOOKUP('Critical resources'!P79,$B$6:$C$57,2,0),0)</f>
        <v>0</v>
      </c>
      <c r="Q73" s="67">
        <f ca="1">IFERROR(VLOOKUP('Critical resources'!Q79,$A$6:$C$57,3,0),0)</f>
        <v>0</v>
      </c>
      <c r="T73" s="67" t="str">
        <f t="shared" si="28"/>
        <v xml:space="preserve">68. </v>
      </c>
      <c r="U73" s="67">
        <f t="shared" ca="1" si="31"/>
        <v>0</v>
      </c>
      <c r="V73" s="67">
        <f t="shared" ca="1" si="31"/>
        <v>0</v>
      </c>
      <c r="W73" s="67">
        <f t="shared" ca="1" si="31"/>
        <v>0</v>
      </c>
      <c r="X73" s="67">
        <f t="shared" ca="1" si="31"/>
        <v>0</v>
      </c>
      <c r="Y73" s="67">
        <f t="shared" ca="1" si="31"/>
        <v>0</v>
      </c>
      <c r="Z73" s="67">
        <f t="shared" ca="1" si="31"/>
        <v>0</v>
      </c>
      <c r="AA73" s="67">
        <f t="shared" ca="1" si="31"/>
        <v>0</v>
      </c>
      <c r="AB73" s="67">
        <f t="shared" ca="1" si="31"/>
        <v>0</v>
      </c>
      <c r="AC73" s="67">
        <f t="shared" ca="1" si="31"/>
        <v>0</v>
      </c>
      <c r="AD73" s="67">
        <f t="shared" ca="1" si="31"/>
        <v>0</v>
      </c>
      <c r="AE73" s="67">
        <f t="shared" ca="1" si="31"/>
        <v>0</v>
      </c>
      <c r="AF73" s="67">
        <f t="shared" ca="1" si="31"/>
        <v>0</v>
      </c>
      <c r="AG73" s="67">
        <f t="shared" ca="1" si="31"/>
        <v>0</v>
      </c>
      <c r="AH73" s="67">
        <f t="shared" ca="1" si="31"/>
        <v>0</v>
      </c>
      <c r="AI73" s="67">
        <f t="shared" ca="1" si="31"/>
        <v>0</v>
      </c>
      <c r="AJ73" s="67">
        <f t="shared" ca="1" si="29"/>
        <v>0</v>
      </c>
      <c r="AK73" s="67">
        <f t="shared" ca="1" si="29"/>
        <v>0</v>
      </c>
      <c r="AL73" s="67">
        <f t="shared" ca="1" si="29"/>
        <v>0</v>
      </c>
      <c r="AM73" s="67">
        <f t="shared" ca="1" si="29"/>
        <v>0</v>
      </c>
      <c r="AN73" s="67">
        <f t="shared" ca="1" si="29"/>
        <v>0</v>
      </c>
      <c r="AO73" s="67">
        <f t="shared" ca="1" si="29"/>
        <v>0</v>
      </c>
      <c r="AP73" s="67">
        <f t="shared" ca="1" si="29"/>
        <v>0</v>
      </c>
      <c r="AQ73" s="67">
        <f t="shared" ca="1" si="29"/>
        <v>0</v>
      </c>
      <c r="AR73" s="67">
        <f t="shared" ca="1" si="29"/>
        <v>0</v>
      </c>
      <c r="AS73" s="67">
        <f t="shared" ca="1" si="29"/>
        <v>0</v>
      </c>
      <c r="AT73" s="67">
        <f t="shared" ca="1" si="29"/>
        <v>0</v>
      </c>
      <c r="AU73" s="67">
        <f t="shared" ca="1" si="29"/>
        <v>0</v>
      </c>
      <c r="AV73" s="67">
        <f t="shared" ca="1" si="29"/>
        <v>0</v>
      </c>
      <c r="AW73" s="67">
        <f t="shared" ca="1" si="29"/>
        <v>0</v>
      </c>
      <c r="AX73" s="67">
        <f t="shared" ca="1" si="29"/>
        <v>0</v>
      </c>
      <c r="AY73" s="67">
        <f t="shared" ca="1" si="29"/>
        <v>0</v>
      </c>
      <c r="AZ73" s="67">
        <f t="shared" ca="1" si="30"/>
        <v>0</v>
      </c>
      <c r="BA73" s="67">
        <f t="shared" ca="1" si="26"/>
        <v>0</v>
      </c>
      <c r="BB73" s="67">
        <f t="shared" ca="1" si="26"/>
        <v>0</v>
      </c>
      <c r="BC73" s="67">
        <f t="shared" ca="1" si="26"/>
        <v>0</v>
      </c>
      <c r="BD73" s="67">
        <f t="shared" ca="1" si="26"/>
        <v>0</v>
      </c>
      <c r="BE73" s="67">
        <f t="shared" ca="1" si="26"/>
        <v>0</v>
      </c>
      <c r="BF73" s="67">
        <f t="shared" ca="1" si="26"/>
        <v>0</v>
      </c>
      <c r="BG73" s="67">
        <f t="shared" ca="1" si="26"/>
        <v>0</v>
      </c>
      <c r="BH73" s="67">
        <f t="shared" ca="1" si="26"/>
        <v>0</v>
      </c>
      <c r="BI73" s="67">
        <f t="shared" ca="1" si="26"/>
        <v>0</v>
      </c>
      <c r="BJ73" s="67">
        <f t="shared" ca="1" si="26"/>
        <v>0</v>
      </c>
      <c r="BK73" s="67">
        <f t="shared" ca="1" si="26"/>
        <v>0</v>
      </c>
      <c r="BL73" s="67">
        <f t="shared" ca="1" si="26"/>
        <v>0</v>
      </c>
      <c r="BM73" s="67">
        <f t="shared" ca="1" si="26"/>
        <v>0</v>
      </c>
      <c r="BN73" s="67">
        <f t="shared" ca="1" si="26"/>
        <v>0</v>
      </c>
      <c r="BO73" s="67">
        <f t="shared" ca="1" si="26"/>
        <v>0</v>
      </c>
      <c r="BP73" s="67">
        <f t="shared" ca="1" si="26"/>
        <v>0</v>
      </c>
      <c r="BQ73" s="67">
        <f t="shared" ca="1" si="27"/>
        <v>0</v>
      </c>
      <c r="BR73" s="67">
        <f t="shared" ca="1" si="27"/>
        <v>0</v>
      </c>
      <c r="BS73" s="67">
        <f t="shared" ca="1" si="27"/>
        <v>0</v>
      </c>
      <c r="BT73" s="67">
        <f t="shared" ca="1" si="27"/>
        <v>0</v>
      </c>
    </row>
    <row r="74" spans="2:72" x14ac:dyDescent="0.2">
      <c r="B74" s="87"/>
      <c r="G74" s="67" t="str">
        <f>ROW(A69)&amp;". "&amp;'Critical resources'!B80</f>
        <v xml:space="preserve">69. </v>
      </c>
      <c r="H74" s="67">
        <f ca="1">IFERROR(VLOOKUP('Critical resources'!D80,$B$6:$C$57,2,0),0)</f>
        <v>0</v>
      </c>
      <c r="I74" s="67">
        <f ca="1">IFERROR(VLOOKUP('Critical resources'!E80,$A$6:$C$57,3,0),0)</f>
        <v>0</v>
      </c>
      <c r="J74" s="67">
        <f ca="1">IFERROR(VLOOKUP('Critical resources'!G80,$B$6:$C$57,2,0),0)</f>
        <v>0</v>
      </c>
      <c r="K74" s="67">
        <f ca="1">IFERROR(VLOOKUP('Critical resources'!H80,$B$6:$C$57,2,0),0)</f>
        <v>0</v>
      </c>
      <c r="L74" s="67">
        <f ca="1">IFERROR(VLOOKUP('Critical resources'!J80,$B$6:$C$57,2,0),0)</f>
        <v>0</v>
      </c>
      <c r="M74" s="67">
        <f ca="1">IFERROR(VLOOKUP('Critical resources'!K80,$A$6:$C$57,3,0),0)</f>
        <v>0</v>
      </c>
      <c r="N74" s="67">
        <f ca="1">IFERROR(VLOOKUP('Critical resources'!M80,$B$6:$C$57,2,0),0)</f>
        <v>0</v>
      </c>
      <c r="O74" s="67">
        <f ca="1">IFERROR(VLOOKUP('Critical resources'!N80,$A$6:$C$57,3,0),0)</f>
        <v>0</v>
      </c>
      <c r="P74" s="67">
        <f ca="1">IFERROR(VLOOKUP('Critical resources'!P80,$B$6:$C$57,2,0),0)</f>
        <v>0</v>
      </c>
      <c r="Q74" s="67">
        <f ca="1">IFERROR(VLOOKUP('Critical resources'!Q80,$A$6:$C$57,3,0),0)</f>
        <v>0</v>
      </c>
      <c r="T74" s="67" t="str">
        <f t="shared" si="28"/>
        <v xml:space="preserve">69. </v>
      </c>
      <c r="U74" s="67">
        <f t="shared" ca="1" si="31"/>
        <v>0</v>
      </c>
      <c r="V74" s="67">
        <f t="shared" ca="1" si="31"/>
        <v>0</v>
      </c>
      <c r="W74" s="67">
        <f t="shared" ca="1" si="31"/>
        <v>0</v>
      </c>
      <c r="X74" s="67">
        <f t="shared" ca="1" si="31"/>
        <v>0</v>
      </c>
      <c r="Y74" s="67">
        <f t="shared" ca="1" si="31"/>
        <v>0</v>
      </c>
      <c r="Z74" s="67">
        <f t="shared" ca="1" si="31"/>
        <v>0</v>
      </c>
      <c r="AA74" s="67">
        <f t="shared" ca="1" si="31"/>
        <v>0</v>
      </c>
      <c r="AB74" s="67">
        <f t="shared" ca="1" si="31"/>
        <v>0</v>
      </c>
      <c r="AC74" s="67">
        <f t="shared" ca="1" si="31"/>
        <v>0</v>
      </c>
      <c r="AD74" s="67">
        <f t="shared" ca="1" si="31"/>
        <v>0</v>
      </c>
      <c r="AE74" s="67">
        <f t="shared" ca="1" si="31"/>
        <v>0</v>
      </c>
      <c r="AF74" s="67">
        <f t="shared" ca="1" si="31"/>
        <v>0</v>
      </c>
      <c r="AG74" s="67">
        <f t="shared" ca="1" si="31"/>
        <v>0</v>
      </c>
      <c r="AH74" s="67">
        <f t="shared" ca="1" si="31"/>
        <v>0</v>
      </c>
      <c r="AI74" s="67">
        <f t="shared" ca="1" si="31"/>
        <v>0</v>
      </c>
      <c r="AJ74" s="67">
        <f t="shared" ca="1" si="29"/>
        <v>0</v>
      </c>
      <c r="AK74" s="67">
        <f t="shared" ca="1" si="29"/>
        <v>0</v>
      </c>
      <c r="AL74" s="67">
        <f t="shared" ca="1" si="29"/>
        <v>0</v>
      </c>
      <c r="AM74" s="67">
        <f t="shared" ca="1" si="29"/>
        <v>0</v>
      </c>
      <c r="AN74" s="67">
        <f t="shared" ca="1" si="29"/>
        <v>0</v>
      </c>
      <c r="AO74" s="67">
        <f t="shared" ca="1" si="29"/>
        <v>0</v>
      </c>
      <c r="AP74" s="67">
        <f t="shared" ca="1" si="29"/>
        <v>0</v>
      </c>
      <c r="AQ74" s="67">
        <f t="shared" ca="1" si="29"/>
        <v>0</v>
      </c>
      <c r="AR74" s="67">
        <f t="shared" ca="1" si="29"/>
        <v>0</v>
      </c>
      <c r="AS74" s="67">
        <f t="shared" ca="1" si="29"/>
        <v>0</v>
      </c>
      <c r="AT74" s="67">
        <f t="shared" ca="1" si="29"/>
        <v>0</v>
      </c>
      <c r="AU74" s="67">
        <f t="shared" ca="1" si="29"/>
        <v>0</v>
      </c>
      <c r="AV74" s="67">
        <f t="shared" ca="1" si="29"/>
        <v>0</v>
      </c>
      <c r="AW74" s="67">
        <f t="shared" ca="1" si="29"/>
        <v>0</v>
      </c>
      <c r="AX74" s="67">
        <f t="shared" ca="1" si="29"/>
        <v>0</v>
      </c>
      <c r="AY74" s="67">
        <f t="shared" ca="1" si="29"/>
        <v>0</v>
      </c>
      <c r="AZ74" s="67">
        <f t="shared" ca="1" si="30"/>
        <v>0</v>
      </c>
      <c r="BA74" s="67">
        <f t="shared" ca="1" si="26"/>
        <v>0</v>
      </c>
      <c r="BB74" s="67">
        <f t="shared" ca="1" si="26"/>
        <v>0</v>
      </c>
      <c r="BC74" s="67">
        <f t="shared" ca="1" si="26"/>
        <v>0</v>
      </c>
      <c r="BD74" s="67">
        <f t="shared" ca="1" si="26"/>
        <v>0</v>
      </c>
      <c r="BE74" s="67">
        <f t="shared" ca="1" si="26"/>
        <v>0</v>
      </c>
      <c r="BF74" s="67">
        <f t="shared" ca="1" si="26"/>
        <v>0</v>
      </c>
      <c r="BG74" s="67">
        <f t="shared" ca="1" si="26"/>
        <v>0</v>
      </c>
      <c r="BH74" s="67">
        <f t="shared" ca="1" si="26"/>
        <v>0</v>
      </c>
      <c r="BI74" s="67">
        <f t="shared" ca="1" si="26"/>
        <v>0</v>
      </c>
      <c r="BJ74" s="67">
        <f t="shared" ca="1" si="26"/>
        <v>0</v>
      </c>
      <c r="BK74" s="67">
        <f t="shared" ca="1" si="26"/>
        <v>0</v>
      </c>
      <c r="BL74" s="67">
        <f t="shared" ca="1" si="26"/>
        <v>0</v>
      </c>
      <c r="BM74" s="67">
        <f t="shared" ca="1" si="26"/>
        <v>0</v>
      </c>
      <c r="BN74" s="67">
        <f t="shared" ca="1" si="26"/>
        <v>0</v>
      </c>
      <c r="BO74" s="67">
        <f t="shared" ca="1" si="26"/>
        <v>0</v>
      </c>
      <c r="BP74" s="67">
        <f t="shared" ca="1" si="26"/>
        <v>0</v>
      </c>
      <c r="BQ74" s="67">
        <f t="shared" ca="1" si="27"/>
        <v>0</v>
      </c>
      <c r="BR74" s="67">
        <f t="shared" ca="1" si="27"/>
        <v>0</v>
      </c>
      <c r="BS74" s="67">
        <f t="shared" ca="1" si="27"/>
        <v>0</v>
      </c>
      <c r="BT74" s="67">
        <f t="shared" ca="1" si="27"/>
        <v>0</v>
      </c>
    </row>
    <row r="75" spans="2:72" x14ac:dyDescent="0.2">
      <c r="B75" s="87"/>
      <c r="G75" s="67" t="str">
        <f>ROW(A70)&amp;". "&amp;'Critical resources'!B81</f>
        <v xml:space="preserve">70. </v>
      </c>
      <c r="H75" s="67">
        <f ca="1">IFERROR(VLOOKUP('Critical resources'!D81,$B$6:$C$57,2,0),0)</f>
        <v>0</v>
      </c>
      <c r="I75" s="67">
        <f ca="1">IFERROR(VLOOKUP('Critical resources'!E81,$A$6:$C$57,3,0),0)</f>
        <v>0</v>
      </c>
      <c r="J75" s="67">
        <f ca="1">IFERROR(VLOOKUP('Critical resources'!G81,$B$6:$C$57,2,0),0)</f>
        <v>0</v>
      </c>
      <c r="K75" s="67">
        <f ca="1">IFERROR(VLOOKUP('Critical resources'!H81,$B$6:$C$57,2,0),0)</f>
        <v>0</v>
      </c>
      <c r="L75" s="67">
        <f ca="1">IFERROR(VLOOKUP('Critical resources'!J81,$B$6:$C$57,2,0),0)</f>
        <v>0</v>
      </c>
      <c r="M75" s="67">
        <f ca="1">IFERROR(VLOOKUP('Critical resources'!K81,$A$6:$C$57,3,0),0)</f>
        <v>0</v>
      </c>
      <c r="N75" s="67">
        <f ca="1">IFERROR(VLOOKUP('Critical resources'!M81,$B$6:$C$57,2,0),0)</f>
        <v>0</v>
      </c>
      <c r="O75" s="67">
        <f ca="1">IFERROR(VLOOKUP('Critical resources'!N81,$A$6:$C$57,3,0),0)</f>
        <v>0</v>
      </c>
      <c r="P75" s="67">
        <f ca="1">IFERROR(VLOOKUP('Critical resources'!P81,$B$6:$C$57,2,0),0)</f>
        <v>0</v>
      </c>
      <c r="Q75" s="67">
        <f ca="1">IFERROR(VLOOKUP('Critical resources'!Q81,$A$6:$C$57,3,0),0)</f>
        <v>0</v>
      </c>
      <c r="T75" s="67" t="str">
        <f t="shared" si="28"/>
        <v xml:space="preserve">70. </v>
      </c>
      <c r="U75" s="67">
        <f t="shared" ca="1" si="31"/>
        <v>0</v>
      </c>
      <c r="V75" s="67">
        <f t="shared" ca="1" si="31"/>
        <v>0</v>
      </c>
      <c r="W75" s="67">
        <f t="shared" ca="1" si="31"/>
        <v>0</v>
      </c>
      <c r="X75" s="67">
        <f t="shared" ca="1" si="31"/>
        <v>0</v>
      </c>
      <c r="Y75" s="67">
        <f t="shared" ca="1" si="31"/>
        <v>0</v>
      </c>
      <c r="Z75" s="67">
        <f t="shared" ca="1" si="31"/>
        <v>0</v>
      </c>
      <c r="AA75" s="67">
        <f t="shared" ca="1" si="31"/>
        <v>0</v>
      </c>
      <c r="AB75" s="67">
        <f t="shared" ca="1" si="31"/>
        <v>0</v>
      </c>
      <c r="AC75" s="67">
        <f t="shared" ca="1" si="31"/>
        <v>0</v>
      </c>
      <c r="AD75" s="67">
        <f t="shared" ca="1" si="31"/>
        <v>0</v>
      </c>
      <c r="AE75" s="67">
        <f t="shared" ca="1" si="31"/>
        <v>0</v>
      </c>
      <c r="AF75" s="67">
        <f t="shared" ca="1" si="31"/>
        <v>0</v>
      </c>
      <c r="AG75" s="67">
        <f t="shared" ca="1" si="31"/>
        <v>0</v>
      </c>
      <c r="AH75" s="67">
        <f t="shared" ca="1" si="31"/>
        <v>0</v>
      </c>
      <c r="AI75" s="67">
        <f t="shared" ca="1" si="31"/>
        <v>0</v>
      </c>
      <c r="AJ75" s="67">
        <f t="shared" ca="1" si="29"/>
        <v>0</v>
      </c>
      <c r="AK75" s="67">
        <f t="shared" ca="1" si="29"/>
        <v>0</v>
      </c>
      <c r="AL75" s="67">
        <f t="shared" ca="1" si="29"/>
        <v>0</v>
      </c>
      <c r="AM75" s="67">
        <f t="shared" ca="1" si="29"/>
        <v>0</v>
      </c>
      <c r="AN75" s="67">
        <f t="shared" ca="1" si="29"/>
        <v>0</v>
      </c>
      <c r="AO75" s="67">
        <f t="shared" ca="1" si="29"/>
        <v>0</v>
      </c>
      <c r="AP75" s="67">
        <f t="shared" ca="1" si="29"/>
        <v>0</v>
      </c>
      <c r="AQ75" s="67">
        <f t="shared" ca="1" si="29"/>
        <v>0</v>
      </c>
      <c r="AR75" s="67">
        <f t="shared" ca="1" si="29"/>
        <v>0</v>
      </c>
      <c r="AS75" s="67">
        <f t="shared" ca="1" si="29"/>
        <v>0</v>
      </c>
      <c r="AT75" s="67">
        <f t="shared" ca="1" si="29"/>
        <v>0</v>
      </c>
      <c r="AU75" s="67">
        <f t="shared" ca="1" si="29"/>
        <v>0</v>
      </c>
      <c r="AV75" s="67">
        <f t="shared" ca="1" si="29"/>
        <v>0</v>
      </c>
      <c r="AW75" s="67">
        <f t="shared" ca="1" si="29"/>
        <v>0</v>
      </c>
      <c r="AX75" s="67">
        <f t="shared" ca="1" si="29"/>
        <v>0</v>
      </c>
      <c r="AY75" s="67">
        <f t="shared" ca="1" si="29"/>
        <v>0</v>
      </c>
      <c r="AZ75" s="67">
        <f t="shared" ca="1" si="30"/>
        <v>0</v>
      </c>
      <c r="BA75" s="67">
        <f t="shared" ca="1" si="26"/>
        <v>0</v>
      </c>
      <c r="BB75" s="67">
        <f t="shared" ca="1" si="26"/>
        <v>0</v>
      </c>
      <c r="BC75" s="67">
        <f t="shared" ca="1" si="26"/>
        <v>0</v>
      </c>
      <c r="BD75" s="67">
        <f t="shared" ca="1" si="26"/>
        <v>0</v>
      </c>
      <c r="BE75" s="67">
        <f t="shared" ca="1" si="26"/>
        <v>0</v>
      </c>
      <c r="BF75" s="67">
        <f t="shared" ca="1" si="26"/>
        <v>0</v>
      </c>
      <c r="BG75" s="67">
        <f t="shared" ca="1" si="26"/>
        <v>0</v>
      </c>
      <c r="BH75" s="67">
        <f t="shared" ca="1" si="26"/>
        <v>0</v>
      </c>
      <c r="BI75" s="67">
        <f t="shared" ca="1" si="26"/>
        <v>0</v>
      </c>
      <c r="BJ75" s="67">
        <f t="shared" ca="1" si="26"/>
        <v>0</v>
      </c>
      <c r="BK75" s="67">
        <f t="shared" ca="1" si="26"/>
        <v>0</v>
      </c>
      <c r="BL75" s="67">
        <f t="shared" ca="1" si="26"/>
        <v>0</v>
      </c>
      <c r="BM75" s="67">
        <f t="shared" ca="1" si="26"/>
        <v>0</v>
      </c>
      <c r="BN75" s="67">
        <f t="shared" ca="1" si="26"/>
        <v>0</v>
      </c>
      <c r="BO75" s="67">
        <f t="shared" ca="1" si="26"/>
        <v>0</v>
      </c>
      <c r="BP75" s="67">
        <f t="shared" ca="1" si="26"/>
        <v>0</v>
      </c>
      <c r="BQ75" s="67">
        <f t="shared" ca="1" si="27"/>
        <v>0</v>
      </c>
      <c r="BR75" s="67">
        <f t="shared" ca="1" si="27"/>
        <v>0</v>
      </c>
      <c r="BS75" s="67">
        <f t="shared" ca="1" si="27"/>
        <v>0</v>
      </c>
      <c r="BT75" s="67">
        <f t="shared" ca="1" si="27"/>
        <v>0</v>
      </c>
    </row>
    <row r="76" spans="2:72" x14ac:dyDescent="0.2">
      <c r="B76" s="87"/>
      <c r="G76" s="67" t="str">
        <f>ROW(A71)&amp;". "&amp;'Critical resources'!B82</f>
        <v xml:space="preserve">71. </v>
      </c>
      <c r="H76" s="67">
        <f ca="1">IFERROR(VLOOKUP('Critical resources'!D82,$B$6:$C$57,2,0),0)</f>
        <v>0</v>
      </c>
      <c r="I76" s="67">
        <f ca="1">IFERROR(VLOOKUP('Critical resources'!E82,$A$6:$C$57,3,0),0)</f>
        <v>0</v>
      </c>
      <c r="J76" s="67">
        <f ca="1">IFERROR(VLOOKUP('Critical resources'!G82,$B$6:$C$57,2,0),0)</f>
        <v>0</v>
      </c>
      <c r="K76" s="67">
        <f ca="1">IFERROR(VLOOKUP('Critical resources'!H82,$B$6:$C$57,2,0),0)</f>
        <v>0</v>
      </c>
      <c r="L76" s="67">
        <f ca="1">IFERROR(VLOOKUP('Critical resources'!J82,$B$6:$C$57,2,0),0)</f>
        <v>0</v>
      </c>
      <c r="M76" s="67">
        <f ca="1">IFERROR(VLOOKUP('Critical resources'!K82,$A$6:$C$57,3,0),0)</f>
        <v>0</v>
      </c>
      <c r="N76" s="67">
        <f ca="1">IFERROR(VLOOKUP('Critical resources'!M82,$B$6:$C$57,2,0),0)</f>
        <v>0</v>
      </c>
      <c r="O76" s="67">
        <f ca="1">IFERROR(VLOOKUP('Critical resources'!N82,$A$6:$C$57,3,0),0)</f>
        <v>0</v>
      </c>
      <c r="P76" s="67">
        <f ca="1">IFERROR(VLOOKUP('Critical resources'!P82,$B$6:$C$57,2,0),0)</f>
        <v>0</v>
      </c>
      <c r="Q76" s="67">
        <f ca="1">IFERROR(VLOOKUP('Critical resources'!Q82,$A$6:$C$57,3,0),0)</f>
        <v>0</v>
      </c>
      <c r="T76" s="67" t="str">
        <f t="shared" si="28"/>
        <v xml:space="preserve">71. </v>
      </c>
      <c r="U76" s="67">
        <f t="shared" ca="1" si="31"/>
        <v>0</v>
      </c>
      <c r="V76" s="67">
        <f t="shared" ca="1" si="31"/>
        <v>0</v>
      </c>
      <c r="W76" s="67">
        <f t="shared" ca="1" si="31"/>
        <v>0</v>
      </c>
      <c r="X76" s="67">
        <f t="shared" ca="1" si="31"/>
        <v>0</v>
      </c>
      <c r="Y76" s="67">
        <f t="shared" ca="1" si="31"/>
        <v>0</v>
      </c>
      <c r="Z76" s="67">
        <f t="shared" ca="1" si="31"/>
        <v>0</v>
      </c>
      <c r="AA76" s="67">
        <f t="shared" ca="1" si="31"/>
        <v>0</v>
      </c>
      <c r="AB76" s="67">
        <f t="shared" ca="1" si="31"/>
        <v>0</v>
      </c>
      <c r="AC76" s="67">
        <f t="shared" ca="1" si="31"/>
        <v>0</v>
      </c>
      <c r="AD76" s="67">
        <f t="shared" ca="1" si="31"/>
        <v>0</v>
      </c>
      <c r="AE76" s="67">
        <f t="shared" ca="1" si="31"/>
        <v>0</v>
      </c>
      <c r="AF76" s="67">
        <f t="shared" ca="1" si="31"/>
        <v>0</v>
      </c>
      <c r="AG76" s="67">
        <f t="shared" ca="1" si="31"/>
        <v>0</v>
      </c>
      <c r="AH76" s="67">
        <f t="shared" ca="1" si="31"/>
        <v>0</v>
      </c>
      <c r="AI76" s="67">
        <f t="shared" ca="1" si="31"/>
        <v>0</v>
      </c>
      <c r="AJ76" s="67">
        <f t="shared" ca="1" si="29"/>
        <v>0</v>
      </c>
      <c r="AK76" s="67">
        <f t="shared" ca="1" si="29"/>
        <v>0</v>
      </c>
      <c r="AL76" s="67">
        <f t="shared" ca="1" si="29"/>
        <v>0</v>
      </c>
      <c r="AM76" s="67">
        <f t="shared" ca="1" si="29"/>
        <v>0</v>
      </c>
      <c r="AN76" s="67">
        <f t="shared" ca="1" si="29"/>
        <v>0</v>
      </c>
      <c r="AO76" s="67">
        <f t="shared" ca="1" si="29"/>
        <v>0</v>
      </c>
      <c r="AP76" s="67">
        <f t="shared" ca="1" si="29"/>
        <v>0</v>
      </c>
      <c r="AQ76" s="67">
        <f t="shared" ca="1" si="29"/>
        <v>0</v>
      </c>
      <c r="AR76" s="67">
        <f t="shared" ca="1" si="29"/>
        <v>0</v>
      </c>
      <c r="AS76" s="67">
        <f t="shared" ca="1" si="29"/>
        <v>0</v>
      </c>
      <c r="AT76" s="67">
        <f t="shared" ca="1" si="29"/>
        <v>0</v>
      </c>
      <c r="AU76" s="67">
        <f t="shared" ca="1" si="29"/>
        <v>0</v>
      </c>
      <c r="AV76" s="67">
        <f t="shared" ca="1" si="29"/>
        <v>0</v>
      </c>
      <c r="AW76" s="67">
        <f t="shared" ca="1" si="29"/>
        <v>0</v>
      </c>
      <c r="AX76" s="67">
        <f t="shared" ca="1" si="29"/>
        <v>0</v>
      </c>
      <c r="AY76" s="67">
        <f t="shared" ca="1" si="29"/>
        <v>0</v>
      </c>
      <c r="AZ76" s="67">
        <f t="shared" ca="1" si="30"/>
        <v>0</v>
      </c>
      <c r="BA76" s="67">
        <f t="shared" ca="1" si="26"/>
        <v>0</v>
      </c>
      <c r="BB76" s="67">
        <f t="shared" ca="1" si="26"/>
        <v>0</v>
      </c>
      <c r="BC76" s="67">
        <f t="shared" ca="1" si="26"/>
        <v>0</v>
      </c>
      <c r="BD76" s="67">
        <f t="shared" ca="1" si="26"/>
        <v>0</v>
      </c>
      <c r="BE76" s="67">
        <f t="shared" ca="1" si="26"/>
        <v>0</v>
      </c>
      <c r="BF76" s="67">
        <f t="shared" ca="1" si="26"/>
        <v>0</v>
      </c>
      <c r="BG76" s="67">
        <f t="shared" ca="1" si="26"/>
        <v>0</v>
      </c>
      <c r="BH76" s="67">
        <f t="shared" ca="1" si="26"/>
        <v>0</v>
      </c>
      <c r="BI76" s="67">
        <f t="shared" ca="1" si="26"/>
        <v>0</v>
      </c>
      <c r="BJ76" s="67">
        <f t="shared" ca="1" si="26"/>
        <v>0</v>
      </c>
      <c r="BK76" s="67">
        <f t="shared" ca="1" si="26"/>
        <v>0</v>
      </c>
      <c r="BL76" s="67">
        <f t="shared" ca="1" si="26"/>
        <v>0</v>
      </c>
      <c r="BM76" s="67">
        <f t="shared" ca="1" si="26"/>
        <v>0</v>
      </c>
      <c r="BN76" s="67">
        <f t="shared" ca="1" si="26"/>
        <v>0</v>
      </c>
      <c r="BO76" s="67">
        <f t="shared" ca="1" si="26"/>
        <v>0</v>
      </c>
      <c r="BP76" s="67">
        <f t="shared" ca="1" si="26"/>
        <v>0</v>
      </c>
      <c r="BQ76" s="67">
        <f t="shared" ca="1" si="27"/>
        <v>0</v>
      </c>
      <c r="BR76" s="67">
        <f t="shared" ca="1" si="27"/>
        <v>0</v>
      </c>
      <c r="BS76" s="67">
        <f t="shared" ca="1" si="27"/>
        <v>0</v>
      </c>
      <c r="BT76" s="67">
        <f t="shared" ca="1" si="27"/>
        <v>0</v>
      </c>
    </row>
    <row r="77" spans="2:72" x14ac:dyDescent="0.2">
      <c r="B77" s="87"/>
      <c r="G77" s="67" t="str">
        <f>ROW(A72)&amp;". "&amp;'Critical resources'!B83</f>
        <v xml:space="preserve">72. </v>
      </c>
      <c r="H77" s="67">
        <f ca="1">IFERROR(VLOOKUP('Critical resources'!D83,$B$6:$C$57,2,0),0)</f>
        <v>0</v>
      </c>
      <c r="I77" s="67">
        <f ca="1">IFERROR(VLOOKUP('Critical resources'!E83,$A$6:$C$57,3,0),0)</f>
        <v>0</v>
      </c>
      <c r="J77" s="67">
        <f ca="1">IFERROR(VLOOKUP('Critical resources'!G83,$B$6:$C$57,2,0),0)</f>
        <v>0</v>
      </c>
      <c r="K77" s="67">
        <f ca="1">IFERROR(VLOOKUP('Critical resources'!H83,$B$6:$C$57,2,0),0)</f>
        <v>0</v>
      </c>
      <c r="L77" s="67">
        <f ca="1">IFERROR(VLOOKUP('Critical resources'!J83,$B$6:$C$57,2,0),0)</f>
        <v>0</v>
      </c>
      <c r="M77" s="67">
        <f ca="1">IFERROR(VLOOKUP('Critical resources'!K83,$A$6:$C$57,3,0),0)</f>
        <v>0</v>
      </c>
      <c r="N77" s="67">
        <f ca="1">IFERROR(VLOOKUP('Critical resources'!M83,$B$6:$C$57,2,0),0)</f>
        <v>0</v>
      </c>
      <c r="O77" s="67">
        <f ca="1">IFERROR(VLOOKUP('Critical resources'!N83,$A$6:$C$57,3,0),0)</f>
        <v>0</v>
      </c>
      <c r="P77" s="67">
        <f ca="1">IFERROR(VLOOKUP('Critical resources'!P83,$B$6:$C$57,2,0),0)</f>
        <v>0</v>
      </c>
      <c r="Q77" s="67">
        <f ca="1">IFERROR(VLOOKUP('Critical resources'!Q83,$A$6:$C$57,3,0),0)</f>
        <v>0</v>
      </c>
      <c r="T77" s="67" t="str">
        <f t="shared" si="28"/>
        <v xml:space="preserve">72. </v>
      </c>
      <c r="U77" s="67">
        <f t="shared" ca="1" si="31"/>
        <v>0</v>
      </c>
      <c r="V77" s="67">
        <f t="shared" ca="1" si="31"/>
        <v>0</v>
      </c>
      <c r="W77" s="67">
        <f t="shared" ca="1" si="31"/>
        <v>0</v>
      </c>
      <c r="X77" s="67">
        <f t="shared" ca="1" si="31"/>
        <v>0</v>
      </c>
      <c r="Y77" s="67">
        <f t="shared" ca="1" si="31"/>
        <v>0</v>
      </c>
      <c r="Z77" s="67">
        <f t="shared" ca="1" si="31"/>
        <v>0</v>
      </c>
      <c r="AA77" s="67">
        <f t="shared" ca="1" si="31"/>
        <v>0</v>
      </c>
      <c r="AB77" s="67">
        <f t="shared" ca="1" si="31"/>
        <v>0</v>
      </c>
      <c r="AC77" s="67">
        <f t="shared" ca="1" si="31"/>
        <v>0</v>
      </c>
      <c r="AD77" s="67">
        <f t="shared" ca="1" si="31"/>
        <v>0</v>
      </c>
      <c r="AE77" s="67">
        <f t="shared" ca="1" si="31"/>
        <v>0</v>
      </c>
      <c r="AF77" s="67">
        <f t="shared" ca="1" si="31"/>
        <v>0</v>
      </c>
      <c r="AG77" s="67">
        <f t="shared" ca="1" si="31"/>
        <v>0</v>
      </c>
      <c r="AH77" s="67">
        <f t="shared" ca="1" si="31"/>
        <v>0</v>
      </c>
      <c r="AI77" s="67">
        <f t="shared" ca="1" si="31"/>
        <v>0</v>
      </c>
      <c r="AJ77" s="67">
        <f t="shared" ca="1" si="29"/>
        <v>0</v>
      </c>
      <c r="AK77" s="67">
        <f t="shared" ca="1" si="29"/>
        <v>0</v>
      </c>
      <c r="AL77" s="67">
        <f t="shared" ca="1" si="29"/>
        <v>0</v>
      </c>
      <c r="AM77" s="67">
        <f t="shared" ca="1" si="29"/>
        <v>0</v>
      </c>
      <c r="AN77" s="67">
        <f t="shared" ca="1" si="29"/>
        <v>0</v>
      </c>
      <c r="AO77" s="67">
        <f t="shared" ca="1" si="29"/>
        <v>0</v>
      </c>
      <c r="AP77" s="67">
        <f t="shared" ca="1" si="29"/>
        <v>0</v>
      </c>
      <c r="AQ77" s="67">
        <f t="shared" ca="1" si="29"/>
        <v>0</v>
      </c>
      <c r="AR77" s="67">
        <f t="shared" ca="1" si="29"/>
        <v>0</v>
      </c>
      <c r="AS77" s="67">
        <f t="shared" ca="1" si="29"/>
        <v>0</v>
      </c>
      <c r="AT77" s="67">
        <f t="shared" ca="1" si="29"/>
        <v>0</v>
      </c>
      <c r="AU77" s="67">
        <f t="shared" ca="1" si="29"/>
        <v>0</v>
      </c>
      <c r="AV77" s="67">
        <f t="shared" ca="1" si="29"/>
        <v>0</v>
      </c>
      <c r="AW77" s="67">
        <f t="shared" ca="1" si="29"/>
        <v>0</v>
      </c>
      <c r="AX77" s="67">
        <f t="shared" ca="1" si="29"/>
        <v>0</v>
      </c>
      <c r="AY77" s="67">
        <f t="shared" ca="1" si="29"/>
        <v>0</v>
      </c>
      <c r="AZ77" s="67">
        <f t="shared" ca="1" si="30"/>
        <v>0</v>
      </c>
      <c r="BA77" s="67">
        <f t="shared" ca="1" si="26"/>
        <v>0</v>
      </c>
      <c r="BB77" s="67">
        <f t="shared" ca="1" si="26"/>
        <v>0</v>
      </c>
      <c r="BC77" s="67">
        <f t="shared" ca="1" si="26"/>
        <v>0</v>
      </c>
      <c r="BD77" s="67">
        <f t="shared" ca="1" si="26"/>
        <v>0</v>
      </c>
      <c r="BE77" s="67">
        <f t="shared" ca="1" si="26"/>
        <v>0</v>
      </c>
      <c r="BF77" s="67">
        <f t="shared" ca="1" si="26"/>
        <v>0</v>
      </c>
      <c r="BG77" s="67">
        <f t="shared" ca="1" si="26"/>
        <v>0</v>
      </c>
      <c r="BH77" s="67">
        <f t="shared" ca="1" si="26"/>
        <v>0</v>
      </c>
      <c r="BI77" s="67">
        <f t="shared" ca="1" si="26"/>
        <v>0</v>
      </c>
      <c r="BJ77" s="67">
        <f t="shared" ca="1" si="26"/>
        <v>0</v>
      </c>
      <c r="BK77" s="67">
        <f t="shared" ca="1" si="26"/>
        <v>0</v>
      </c>
      <c r="BL77" s="67">
        <f t="shared" ca="1" si="26"/>
        <v>0</v>
      </c>
      <c r="BM77" s="67">
        <f t="shared" ca="1" si="26"/>
        <v>0</v>
      </c>
      <c r="BN77" s="67">
        <f t="shared" ca="1" si="26"/>
        <v>0</v>
      </c>
      <c r="BO77" s="67">
        <f t="shared" ca="1" si="26"/>
        <v>0</v>
      </c>
      <c r="BP77" s="67">
        <f t="shared" ca="1" si="26"/>
        <v>0</v>
      </c>
      <c r="BQ77" s="67">
        <f t="shared" ca="1" si="27"/>
        <v>0</v>
      </c>
      <c r="BR77" s="67">
        <f t="shared" ca="1" si="27"/>
        <v>0</v>
      </c>
      <c r="BS77" s="67">
        <f t="shared" ca="1" si="27"/>
        <v>0</v>
      </c>
      <c r="BT77" s="67">
        <f t="shared" ca="1" si="27"/>
        <v>0</v>
      </c>
    </row>
    <row r="78" spans="2:72" x14ac:dyDescent="0.2">
      <c r="B78" s="87"/>
      <c r="G78" s="67" t="str">
        <f>ROW(A73)&amp;". "&amp;'Critical resources'!B84</f>
        <v xml:space="preserve">73. </v>
      </c>
      <c r="H78" s="67">
        <f ca="1">IFERROR(VLOOKUP('Critical resources'!D84,$B$6:$C$57,2,0),0)</f>
        <v>0</v>
      </c>
      <c r="I78" s="67">
        <f ca="1">IFERROR(VLOOKUP('Critical resources'!E84,$A$6:$C$57,3,0),0)</f>
        <v>0</v>
      </c>
      <c r="J78" s="67">
        <f ca="1">IFERROR(VLOOKUP('Critical resources'!G84,$B$6:$C$57,2,0),0)</f>
        <v>0</v>
      </c>
      <c r="K78" s="67">
        <f ca="1">IFERROR(VLOOKUP('Critical resources'!H84,$B$6:$C$57,2,0),0)</f>
        <v>0</v>
      </c>
      <c r="L78" s="67">
        <f ca="1">IFERROR(VLOOKUP('Critical resources'!J84,$B$6:$C$57,2,0),0)</f>
        <v>0</v>
      </c>
      <c r="M78" s="67">
        <f ca="1">IFERROR(VLOOKUP('Critical resources'!K84,$A$6:$C$57,3,0),0)</f>
        <v>0</v>
      </c>
      <c r="N78" s="67">
        <f ca="1">IFERROR(VLOOKUP('Critical resources'!M84,$B$6:$C$57,2,0),0)</f>
        <v>0</v>
      </c>
      <c r="O78" s="67">
        <f ca="1">IFERROR(VLOOKUP('Critical resources'!N84,$A$6:$C$57,3,0),0)</f>
        <v>0</v>
      </c>
      <c r="P78" s="67">
        <f ca="1">IFERROR(VLOOKUP('Critical resources'!P84,$B$6:$C$57,2,0),0)</f>
        <v>0</v>
      </c>
      <c r="Q78" s="67">
        <f ca="1">IFERROR(VLOOKUP('Critical resources'!Q84,$A$6:$C$57,3,0),0)</f>
        <v>0</v>
      </c>
      <c r="T78" s="67" t="str">
        <f t="shared" si="28"/>
        <v xml:space="preserve">73. </v>
      </c>
      <c r="U78" s="67">
        <f t="shared" ca="1" si="31"/>
        <v>0</v>
      </c>
      <c r="V78" s="67">
        <f t="shared" ca="1" si="31"/>
        <v>0</v>
      </c>
      <c r="W78" s="67">
        <f t="shared" ca="1" si="31"/>
        <v>0</v>
      </c>
      <c r="X78" s="67">
        <f t="shared" ca="1" si="31"/>
        <v>0</v>
      </c>
      <c r="Y78" s="67">
        <f t="shared" ca="1" si="31"/>
        <v>0</v>
      </c>
      <c r="Z78" s="67">
        <f t="shared" ca="1" si="31"/>
        <v>0</v>
      </c>
      <c r="AA78" s="67">
        <f t="shared" ca="1" si="31"/>
        <v>0</v>
      </c>
      <c r="AB78" s="67">
        <f t="shared" ca="1" si="31"/>
        <v>0</v>
      </c>
      <c r="AC78" s="67">
        <f t="shared" ca="1" si="31"/>
        <v>0</v>
      </c>
      <c r="AD78" s="67">
        <f t="shared" ca="1" si="31"/>
        <v>0</v>
      </c>
      <c r="AE78" s="67">
        <f t="shared" ca="1" si="31"/>
        <v>0</v>
      </c>
      <c r="AF78" s="67">
        <f t="shared" ca="1" si="31"/>
        <v>0</v>
      </c>
      <c r="AG78" s="67">
        <f t="shared" ca="1" si="31"/>
        <v>0</v>
      </c>
      <c r="AH78" s="67">
        <f t="shared" ca="1" si="31"/>
        <v>0</v>
      </c>
      <c r="AI78" s="67">
        <f t="shared" ca="1" si="31"/>
        <v>0</v>
      </c>
      <c r="AJ78" s="67">
        <f t="shared" ca="1" si="29"/>
        <v>0</v>
      </c>
      <c r="AK78" s="67">
        <f t="shared" ca="1" si="29"/>
        <v>0</v>
      </c>
      <c r="AL78" s="67">
        <f t="shared" ca="1" si="29"/>
        <v>0</v>
      </c>
      <c r="AM78" s="67">
        <f t="shared" ca="1" si="29"/>
        <v>0</v>
      </c>
      <c r="AN78" s="67">
        <f t="shared" ca="1" si="29"/>
        <v>0</v>
      </c>
      <c r="AO78" s="67">
        <f t="shared" ca="1" si="29"/>
        <v>0</v>
      </c>
      <c r="AP78" s="67">
        <f t="shared" ca="1" si="29"/>
        <v>0</v>
      </c>
      <c r="AQ78" s="67">
        <f t="shared" ca="1" si="29"/>
        <v>0</v>
      </c>
      <c r="AR78" s="67">
        <f t="shared" ca="1" si="29"/>
        <v>0</v>
      </c>
      <c r="AS78" s="67">
        <f t="shared" ca="1" si="29"/>
        <v>0</v>
      </c>
      <c r="AT78" s="67">
        <f t="shared" ca="1" si="29"/>
        <v>0</v>
      </c>
      <c r="AU78" s="67">
        <f t="shared" ca="1" si="29"/>
        <v>0</v>
      </c>
      <c r="AV78" s="67">
        <f t="shared" ca="1" si="29"/>
        <v>0</v>
      </c>
      <c r="AW78" s="67">
        <f t="shared" ca="1" si="29"/>
        <v>0</v>
      </c>
      <c r="AX78" s="67">
        <f t="shared" ca="1" si="29"/>
        <v>0</v>
      </c>
      <c r="AY78" s="67">
        <f t="shared" ca="1" si="29"/>
        <v>0</v>
      </c>
      <c r="AZ78" s="67">
        <f t="shared" ca="1" si="30"/>
        <v>0</v>
      </c>
      <c r="BA78" s="67">
        <f t="shared" ca="1" si="26"/>
        <v>0</v>
      </c>
      <c r="BB78" s="67">
        <f t="shared" ca="1" si="26"/>
        <v>0</v>
      </c>
      <c r="BC78" s="67">
        <f t="shared" ca="1" si="26"/>
        <v>0</v>
      </c>
      <c r="BD78" s="67">
        <f t="shared" ca="1" si="26"/>
        <v>0</v>
      </c>
      <c r="BE78" s="67">
        <f t="shared" ca="1" si="26"/>
        <v>0</v>
      </c>
      <c r="BF78" s="67">
        <f t="shared" ca="1" si="26"/>
        <v>0</v>
      </c>
      <c r="BG78" s="67">
        <f t="shared" ca="1" si="26"/>
        <v>0</v>
      </c>
      <c r="BH78" s="67">
        <f t="shared" ca="1" si="26"/>
        <v>0</v>
      </c>
      <c r="BI78" s="67">
        <f t="shared" ca="1" si="26"/>
        <v>0</v>
      </c>
      <c r="BJ78" s="67">
        <f t="shared" ca="1" si="26"/>
        <v>0</v>
      </c>
      <c r="BK78" s="67">
        <f t="shared" ca="1" si="26"/>
        <v>0</v>
      </c>
      <c r="BL78" s="67">
        <f t="shared" ca="1" si="26"/>
        <v>0</v>
      </c>
      <c r="BM78" s="67">
        <f t="shared" ca="1" si="26"/>
        <v>0</v>
      </c>
      <c r="BN78" s="67">
        <f t="shared" ca="1" si="26"/>
        <v>0</v>
      </c>
      <c r="BO78" s="67">
        <f t="shared" ca="1" si="26"/>
        <v>0</v>
      </c>
      <c r="BP78" s="67">
        <f t="shared" ca="1" si="26"/>
        <v>0</v>
      </c>
      <c r="BQ78" s="67">
        <f t="shared" ca="1" si="27"/>
        <v>0</v>
      </c>
      <c r="BR78" s="67">
        <f t="shared" ca="1" si="27"/>
        <v>0</v>
      </c>
      <c r="BS78" s="67">
        <f t="shared" ca="1" si="27"/>
        <v>0</v>
      </c>
      <c r="BT78" s="67">
        <f t="shared" ca="1" si="27"/>
        <v>0</v>
      </c>
    </row>
    <row r="79" spans="2:72" x14ac:dyDescent="0.2">
      <c r="B79" s="87"/>
      <c r="G79" s="67" t="str">
        <f>ROW(A74)&amp;". "&amp;'Critical resources'!B85</f>
        <v xml:space="preserve">74. </v>
      </c>
      <c r="H79" s="67">
        <f ca="1">IFERROR(VLOOKUP('Critical resources'!D85,$B$6:$C$57,2,0),0)</f>
        <v>0</v>
      </c>
      <c r="I79" s="67">
        <f ca="1">IFERROR(VLOOKUP('Critical resources'!E85,$A$6:$C$57,3,0),0)</f>
        <v>0</v>
      </c>
      <c r="J79" s="67">
        <f ca="1">IFERROR(VLOOKUP('Critical resources'!G85,$B$6:$C$57,2,0),0)</f>
        <v>0</v>
      </c>
      <c r="K79" s="67">
        <f ca="1">IFERROR(VLOOKUP('Critical resources'!H85,$B$6:$C$57,2,0),0)</f>
        <v>0</v>
      </c>
      <c r="L79" s="67">
        <f ca="1">IFERROR(VLOOKUP('Critical resources'!J85,$B$6:$C$57,2,0),0)</f>
        <v>0</v>
      </c>
      <c r="M79" s="67">
        <f ca="1">IFERROR(VLOOKUP('Critical resources'!K85,$A$6:$C$57,3,0),0)</f>
        <v>0</v>
      </c>
      <c r="N79" s="67">
        <f ca="1">IFERROR(VLOOKUP('Critical resources'!M85,$B$6:$C$57,2,0),0)</f>
        <v>0</v>
      </c>
      <c r="O79" s="67">
        <f ca="1">IFERROR(VLOOKUP('Critical resources'!N85,$A$6:$C$57,3,0),0)</f>
        <v>0</v>
      </c>
      <c r="P79" s="67">
        <f ca="1">IFERROR(VLOOKUP('Critical resources'!P85,$B$6:$C$57,2,0),0)</f>
        <v>0</v>
      </c>
      <c r="Q79" s="67">
        <f ca="1">IFERROR(VLOOKUP('Critical resources'!Q85,$A$6:$C$57,3,0),0)</f>
        <v>0</v>
      </c>
      <c r="T79" s="67" t="str">
        <f t="shared" si="28"/>
        <v xml:space="preserve">74. </v>
      </c>
      <c r="U79" s="67">
        <f t="shared" ca="1" si="31"/>
        <v>0</v>
      </c>
      <c r="V79" s="67">
        <f t="shared" ca="1" si="31"/>
        <v>0</v>
      </c>
      <c r="W79" s="67">
        <f t="shared" ca="1" si="31"/>
        <v>0</v>
      </c>
      <c r="X79" s="67">
        <f t="shared" ca="1" si="31"/>
        <v>0</v>
      </c>
      <c r="Y79" s="67">
        <f t="shared" ca="1" si="31"/>
        <v>0</v>
      </c>
      <c r="Z79" s="67">
        <f t="shared" ca="1" si="31"/>
        <v>0</v>
      </c>
      <c r="AA79" s="67">
        <f t="shared" ca="1" si="31"/>
        <v>0</v>
      </c>
      <c r="AB79" s="67">
        <f t="shared" ca="1" si="31"/>
        <v>0</v>
      </c>
      <c r="AC79" s="67">
        <f t="shared" ca="1" si="31"/>
        <v>0</v>
      </c>
      <c r="AD79" s="67">
        <f t="shared" ca="1" si="31"/>
        <v>0</v>
      </c>
      <c r="AE79" s="67">
        <f t="shared" ca="1" si="31"/>
        <v>0</v>
      </c>
      <c r="AF79" s="67">
        <f t="shared" ca="1" si="31"/>
        <v>0</v>
      </c>
      <c r="AG79" s="67">
        <f t="shared" ca="1" si="31"/>
        <v>0</v>
      </c>
      <c r="AH79" s="67">
        <f t="shared" ca="1" si="31"/>
        <v>0</v>
      </c>
      <c r="AI79" s="67">
        <f t="shared" ca="1" si="31"/>
        <v>0</v>
      </c>
      <c r="AJ79" s="67">
        <f t="shared" ca="1" si="29"/>
        <v>0</v>
      </c>
      <c r="AK79" s="67">
        <f t="shared" ca="1" si="29"/>
        <v>0</v>
      </c>
      <c r="AL79" s="67">
        <f t="shared" ca="1" si="29"/>
        <v>0</v>
      </c>
      <c r="AM79" s="67">
        <f t="shared" ca="1" si="29"/>
        <v>0</v>
      </c>
      <c r="AN79" s="67">
        <f t="shared" ca="1" si="29"/>
        <v>0</v>
      </c>
      <c r="AO79" s="67">
        <f t="shared" ca="1" si="29"/>
        <v>0</v>
      </c>
      <c r="AP79" s="67">
        <f t="shared" ca="1" si="29"/>
        <v>0</v>
      </c>
      <c r="AQ79" s="67">
        <f t="shared" ca="1" si="29"/>
        <v>0</v>
      </c>
      <c r="AR79" s="67">
        <f t="shared" ca="1" si="29"/>
        <v>0</v>
      </c>
      <c r="AS79" s="67">
        <f t="shared" ca="1" si="29"/>
        <v>0</v>
      </c>
      <c r="AT79" s="67">
        <f t="shared" ca="1" si="29"/>
        <v>0</v>
      </c>
      <c r="AU79" s="67">
        <f t="shared" ca="1" si="29"/>
        <v>0</v>
      </c>
      <c r="AV79" s="67">
        <f t="shared" ca="1" si="29"/>
        <v>0</v>
      </c>
      <c r="AW79" s="67">
        <f t="shared" ca="1" si="29"/>
        <v>0</v>
      </c>
      <c r="AX79" s="67">
        <f t="shared" ca="1" si="29"/>
        <v>0</v>
      </c>
      <c r="AY79" s="67">
        <f t="shared" ca="1" si="29"/>
        <v>0</v>
      </c>
      <c r="AZ79" s="67">
        <f t="shared" ca="1" si="30"/>
        <v>0</v>
      </c>
      <c r="BA79" s="67">
        <f t="shared" ca="1" si="26"/>
        <v>0</v>
      </c>
      <c r="BB79" s="67">
        <f t="shared" ca="1" si="26"/>
        <v>0</v>
      </c>
      <c r="BC79" s="67">
        <f t="shared" ca="1" si="26"/>
        <v>0</v>
      </c>
      <c r="BD79" s="67">
        <f t="shared" ca="1" si="26"/>
        <v>0</v>
      </c>
      <c r="BE79" s="67">
        <f t="shared" ca="1" si="26"/>
        <v>0</v>
      </c>
      <c r="BF79" s="67">
        <f t="shared" ca="1" si="26"/>
        <v>0</v>
      </c>
      <c r="BG79" s="67">
        <f t="shared" ca="1" si="26"/>
        <v>0</v>
      </c>
      <c r="BH79" s="67">
        <f t="shared" ca="1" si="26"/>
        <v>0</v>
      </c>
      <c r="BI79" s="67">
        <f t="shared" ca="1" si="26"/>
        <v>0</v>
      </c>
      <c r="BJ79" s="67">
        <f t="shared" ca="1" si="26"/>
        <v>0</v>
      </c>
      <c r="BK79" s="67">
        <f t="shared" ca="1" si="26"/>
        <v>0</v>
      </c>
      <c r="BL79" s="67">
        <f t="shared" ca="1" si="26"/>
        <v>0</v>
      </c>
      <c r="BM79" s="67">
        <f t="shared" ca="1" si="26"/>
        <v>0</v>
      </c>
      <c r="BN79" s="67">
        <f t="shared" ca="1" si="26"/>
        <v>0</v>
      </c>
      <c r="BO79" s="67">
        <f t="shared" ca="1" si="26"/>
        <v>0</v>
      </c>
      <c r="BP79" s="67">
        <f t="shared" ca="1" si="26"/>
        <v>0</v>
      </c>
      <c r="BQ79" s="67">
        <f t="shared" ca="1" si="27"/>
        <v>0</v>
      </c>
      <c r="BR79" s="67">
        <f t="shared" ca="1" si="27"/>
        <v>0</v>
      </c>
      <c r="BS79" s="67">
        <f t="shared" ca="1" si="27"/>
        <v>0</v>
      </c>
      <c r="BT79" s="67">
        <f t="shared" ca="1" si="27"/>
        <v>0</v>
      </c>
    </row>
    <row r="80" spans="2:72" x14ac:dyDescent="0.2">
      <c r="B80" s="87"/>
      <c r="G80" s="67" t="str">
        <f>ROW(A75)&amp;". "&amp;'Critical resources'!B86</f>
        <v xml:space="preserve">75. </v>
      </c>
      <c r="H80" s="67">
        <f ca="1">IFERROR(VLOOKUP('Critical resources'!D86,$B$6:$C$57,2,0),0)</f>
        <v>0</v>
      </c>
      <c r="I80" s="67">
        <f ca="1">IFERROR(VLOOKUP('Critical resources'!E86,$A$6:$C$57,3,0),0)</f>
        <v>0</v>
      </c>
      <c r="J80" s="67">
        <f ca="1">IFERROR(VLOOKUP('Critical resources'!G86,$B$6:$C$57,2,0),0)</f>
        <v>0</v>
      </c>
      <c r="K80" s="67">
        <f ca="1">IFERROR(VLOOKUP('Critical resources'!H86,$B$6:$C$57,2,0),0)</f>
        <v>0</v>
      </c>
      <c r="L80" s="67">
        <f ca="1">IFERROR(VLOOKUP('Critical resources'!J86,$B$6:$C$57,2,0),0)</f>
        <v>0</v>
      </c>
      <c r="M80" s="67">
        <f ca="1">IFERROR(VLOOKUP('Critical resources'!K86,$A$6:$C$57,3,0),0)</f>
        <v>0</v>
      </c>
      <c r="N80" s="67">
        <f ca="1">IFERROR(VLOOKUP('Critical resources'!M86,$B$6:$C$57,2,0),0)</f>
        <v>0</v>
      </c>
      <c r="O80" s="67">
        <f ca="1">IFERROR(VLOOKUP('Critical resources'!N86,$A$6:$C$57,3,0),0)</f>
        <v>0</v>
      </c>
      <c r="P80" s="67">
        <f ca="1">IFERROR(VLOOKUP('Critical resources'!P86,$B$6:$C$57,2,0),0)</f>
        <v>0</v>
      </c>
      <c r="Q80" s="67">
        <f ca="1">IFERROR(VLOOKUP('Critical resources'!Q86,$A$6:$C$57,3,0),0)</f>
        <v>0</v>
      </c>
      <c r="T80" s="67" t="str">
        <f t="shared" si="28"/>
        <v xml:space="preserve">75. </v>
      </c>
      <c r="U80" s="67">
        <f t="shared" ca="1" si="31"/>
        <v>0</v>
      </c>
      <c r="V80" s="67">
        <f t="shared" ca="1" si="31"/>
        <v>0</v>
      </c>
      <c r="W80" s="67">
        <f t="shared" ca="1" si="31"/>
        <v>0</v>
      </c>
      <c r="X80" s="67">
        <f t="shared" ca="1" si="31"/>
        <v>0</v>
      </c>
      <c r="Y80" s="67">
        <f t="shared" ca="1" si="31"/>
        <v>0</v>
      </c>
      <c r="Z80" s="67">
        <f t="shared" ca="1" si="31"/>
        <v>0</v>
      </c>
      <c r="AA80" s="67">
        <f t="shared" ca="1" si="31"/>
        <v>0</v>
      </c>
      <c r="AB80" s="67">
        <f t="shared" ca="1" si="31"/>
        <v>0</v>
      </c>
      <c r="AC80" s="67">
        <f t="shared" ca="1" si="31"/>
        <v>0</v>
      </c>
      <c r="AD80" s="67">
        <f t="shared" ca="1" si="31"/>
        <v>0</v>
      </c>
      <c r="AE80" s="67">
        <f t="shared" ca="1" si="31"/>
        <v>0</v>
      </c>
      <c r="AF80" s="67">
        <f t="shared" ca="1" si="31"/>
        <v>0</v>
      </c>
      <c r="AG80" s="67">
        <f t="shared" ca="1" si="31"/>
        <v>0</v>
      </c>
      <c r="AH80" s="67">
        <f t="shared" ca="1" si="31"/>
        <v>0</v>
      </c>
      <c r="AI80" s="67">
        <f t="shared" ca="1" si="31"/>
        <v>0</v>
      </c>
      <c r="AJ80" s="67">
        <f t="shared" ca="1" si="29"/>
        <v>0</v>
      </c>
      <c r="AK80" s="67">
        <f t="shared" ca="1" si="29"/>
        <v>0</v>
      </c>
      <c r="AL80" s="67">
        <f t="shared" ca="1" si="29"/>
        <v>0</v>
      </c>
      <c r="AM80" s="67">
        <f t="shared" ca="1" si="29"/>
        <v>0</v>
      </c>
      <c r="AN80" s="67">
        <f t="shared" ca="1" si="29"/>
        <v>0</v>
      </c>
      <c r="AO80" s="67">
        <f t="shared" ca="1" si="29"/>
        <v>0</v>
      </c>
      <c r="AP80" s="67">
        <f t="shared" ca="1" si="29"/>
        <v>0</v>
      </c>
      <c r="AQ80" s="67">
        <f t="shared" ca="1" si="29"/>
        <v>0</v>
      </c>
      <c r="AR80" s="67">
        <f t="shared" ca="1" si="29"/>
        <v>0</v>
      </c>
      <c r="AS80" s="67">
        <f t="shared" ca="1" si="29"/>
        <v>0</v>
      </c>
      <c r="AT80" s="67">
        <f t="shared" ca="1" si="29"/>
        <v>0</v>
      </c>
      <c r="AU80" s="67">
        <f t="shared" ca="1" si="29"/>
        <v>0</v>
      </c>
      <c r="AV80" s="67">
        <f t="shared" ca="1" si="29"/>
        <v>0</v>
      </c>
      <c r="AW80" s="67">
        <f t="shared" ca="1" si="29"/>
        <v>0</v>
      </c>
      <c r="AX80" s="67">
        <f t="shared" ca="1" si="29"/>
        <v>0</v>
      </c>
      <c r="AY80" s="67">
        <f t="shared" ca="1" si="29"/>
        <v>0</v>
      </c>
      <c r="AZ80" s="67">
        <f t="shared" ca="1" si="30"/>
        <v>0</v>
      </c>
      <c r="BA80" s="67">
        <f t="shared" ca="1" si="26"/>
        <v>0</v>
      </c>
      <c r="BB80" s="67">
        <f t="shared" ca="1" si="26"/>
        <v>0</v>
      </c>
      <c r="BC80" s="67">
        <f t="shared" ca="1" si="26"/>
        <v>0</v>
      </c>
      <c r="BD80" s="67">
        <f t="shared" ca="1" si="26"/>
        <v>0</v>
      </c>
      <c r="BE80" s="67">
        <f t="shared" ca="1" si="26"/>
        <v>0</v>
      </c>
      <c r="BF80" s="67">
        <f t="shared" ca="1" si="26"/>
        <v>0</v>
      </c>
      <c r="BG80" s="67">
        <f t="shared" ca="1" si="26"/>
        <v>0</v>
      </c>
      <c r="BH80" s="67">
        <f t="shared" ca="1" si="26"/>
        <v>0</v>
      </c>
      <c r="BI80" s="67">
        <f t="shared" ca="1" si="26"/>
        <v>0</v>
      </c>
      <c r="BJ80" s="67">
        <f t="shared" ca="1" si="26"/>
        <v>0</v>
      </c>
      <c r="BK80" s="67">
        <f t="shared" ca="1" si="26"/>
        <v>0</v>
      </c>
      <c r="BL80" s="67">
        <f t="shared" ca="1" si="26"/>
        <v>0</v>
      </c>
      <c r="BM80" s="67">
        <f t="shared" ca="1" si="26"/>
        <v>0</v>
      </c>
      <c r="BN80" s="67">
        <f t="shared" ca="1" si="26"/>
        <v>0</v>
      </c>
      <c r="BO80" s="67">
        <f t="shared" ca="1" si="26"/>
        <v>0</v>
      </c>
      <c r="BP80" s="67">
        <f t="shared" ca="1" si="26"/>
        <v>0</v>
      </c>
      <c r="BQ80" s="67">
        <f t="shared" ca="1" si="27"/>
        <v>0</v>
      </c>
      <c r="BR80" s="67">
        <f t="shared" ca="1" si="27"/>
        <v>0</v>
      </c>
      <c r="BS80" s="67">
        <f t="shared" ca="1" si="27"/>
        <v>0</v>
      </c>
      <c r="BT80" s="67">
        <f t="shared" ca="1" si="27"/>
        <v>0</v>
      </c>
    </row>
    <row r="81" spans="2:72" x14ac:dyDescent="0.2">
      <c r="B81" s="87"/>
      <c r="G81" s="67" t="str">
        <f>ROW(A76)&amp;". "&amp;'Critical resources'!B87</f>
        <v xml:space="preserve">76. </v>
      </c>
      <c r="H81" s="67">
        <f ca="1">IFERROR(VLOOKUP('Critical resources'!D87,$B$6:$C$57,2,0),0)</f>
        <v>0</v>
      </c>
      <c r="I81" s="67">
        <f ca="1">IFERROR(VLOOKUP('Critical resources'!E87,$A$6:$C$57,3,0),0)</f>
        <v>0</v>
      </c>
      <c r="J81" s="67">
        <f ca="1">IFERROR(VLOOKUP('Critical resources'!G87,$B$6:$C$57,2,0),0)</f>
        <v>0</v>
      </c>
      <c r="K81" s="67">
        <f ca="1">IFERROR(VLOOKUP('Critical resources'!H87,$B$6:$C$57,2,0),0)</f>
        <v>0</v>
      </c>
      <c r="L81" s="67">
        <f ca="1">IFERROR(VLOOKUP('Critical resources'!J87,$B$6:$C$57,2,0),0)</f>
        <v>0</v>
      </c>
      <c r="M81" s="67">
        <f ca="1">IFERROR(VLOOKUP('Critical resources'!K87,$A$6:$C$57,3,0),0)</f>
        <v>0</v>
      </c>
      <c r="N81" s="67">
        <f ca="1">IFERROR(VLOOKUP('Critical resources'!M87,$B$6:$C$57,2,0),0)</f>
        <v>0</v>
      </c>
      <c r="O81" s="67">
        <f ca="1">IFERROR(VLOOKUP('Critical resources'!N87,$A$6:$C$57,3,0),0)</f>
        <v>0</v>
      </c>
      <c r="P81" s="67">
        <f ca="1">IFERROR(VLOOKUP('Critical resources'!P87,$B$6:$C$57,2,0),0)</f>
        <v>0</v>
      </c>
      <c r="Q81" s="67">
        <f ca="1">IFERROR(VLOOKUP('Critical resources'!Q87,$A$6:$C$57,3,0),0)</f>
        <v>0</v>
      </c>
      <c r="T81" s="67" t="str">
        <f t="shared" si="28"/>
        <v xml:space="preserve">76. </v>
      </c>
      <c r="U81" s="67">
        <f t="shared" ca="1" si="31"/>
        <v>0</v>
      </c>
      <c r="V81" s="67">
        <f t="shared" ca="1" si="31"/>
        <v>0</v>
      </c>
      <c r="W81" s="67">
        <f t="shared" ca="1" si="31"/>
        <v>0</v>
      </c>
      <c r="X81" s="67">
        <f t="shared" ca="1" si="31"/>
        <v>0</v>
      </c>
      <c r="Y81" s="67">
        <f t="shared" ca="1" si="31"/>
        <v>0</v>
      </c>
      <c r="Z81" s="67">
        <f t="shared" ca="1" si="31"/>
        <v>0</v>
      </c>
      <c r="AA81" s="67">
        <f t="shared" ca="1" si="31"/>
        <v>0</v>
      </c>
      <c r="AB81" s="67">
        <f t="shared" ca="1" si="31"/>
        <v>0</v>
      </c>
      <c r="AC81" s="67">
        <f t="shared" ca="1" si="31"/>
        <v>0</v>
      </c>
      <c r="AD81" s="67">
        <f t="shared" ca="1" si="31"/>
        <v>0</v>
      </c>
      <c r="AE81" s="67">
        <f t="shared" ca="1" si="31"/>
        <v>0</v>
      </c>
      <c r="AF81" s="67">
        <f t="shared" ca="1" si="31"/>
        <v>0</v>
      </c>
      <c r="AG81" s="67">
        <f t="shared" ca="1" si="31"/>
        <v>0</v>
      </c>
      <c r="AH81" s="67">
        <f t="shared" ca="1" si="31"/>
        <v>0</v>
      </c>
      <c r="AI81" s="67">
        <f t="shared" ca="1" si="31"/>
        <v>0</v>
      </c>
      <c r="AJ81" s="67">
        <f t="shared" ca="1" si="29"/>
        <v>0</v>
      </c>
      <c r="AK81" s="67">
        <f t="shared" ca="1" si="29"/>
        <v>0</v>
      </c>
      <c r="AL81" s="67">
        <f t="shared" ca="1" si="29"/>
        <v>0</v>
      </c>
      <c r="AM81" s="67">
        <f t="shared" ca="1" si="29"/>
        <v>0</v>
      </c>
      <c r="AN81" s="67">
        <f t="shared" ca="1" si="29"/>
        <v>0</v>
      </c>
      <c r="AO81" s="67">
        <f t="shared" ca="1" si="29"/>
        <v>0</v>
      </c>
      <c r="AP81" s="67">
        <f t="shared" ca="1" si="29"/>
        <v>0</v>
      </c>
      <c r="AQ81" s="67">
        <f t="shared" ca="1" si="29"/>
        <v>0</v>
      </c>
      <c r="AR81" s="67">
        <f t="shared" ca="1" si="29"/>
        <v>0</v>
      </c>
      <c r="AS81" s="67">
        <f t="shared" ca="1" si="29"/>
        <v>0</v>
      </c>
      <c r="AT81" s="67">
        <f t="shared" ca="1" si="29"/>
        <v>0</v>
      </c>
      <c r="AU81" s="67">
        <f t="shared" ca="1" si="29"/>
        <v>0</v>
      </c>
      <c r="AV81" s="67">
        <f t="shared" ca="1" si="29"/>
        <v>0</v>
      </c>
      <c r="AW81" s="67">
        <f t="shared" ca="1" si="29"/>
        <v>0</v>
      </c>
      <c r="AX81" s="67">
        <f t="shared" ca="1" si="29"/>
        <v>0</v>
      </c>
      <c r="AY81" s="67">
        <f t="shared" ca="1" si="29"/>
        <v>0</v>
      </c>
      <c r="AZ81" s="67">
        <f t="shared" ca="1" si="30"/>
        <v>0</v>
      </c>
      <c r="BA81" s="67">
        <f t="shared" ca="1" si="26"/>
        <v>0</v>
      </c>
      <c r="BB81" s="67">
        <f t="shared" ca="1" si="26"/>
        <v>0</v>
      </c>
      <c r="BC81" s="67">
        <f t="shared" ca="1" si="26"/>
        <v>0</v>
      </c>
      <c r="BD81" s="67">
        <f t="shared" ca="1" si="26"/>
        <v>0</v>
      </c>
      <c r="BE81" s="67">
        <f t="shared" ca="1" si="26"/>
        <v>0</v>
      </c>
      <c r="BF81" s="67">
        <f t="shared" ca="1" si="26"/>
        <v>0</v>
      </c>
      <c r="BG81" s="67">
        <f t="shared" ca="1" si="26"/>
        <v>0</v>
      </c>
      <c r="BH81" s="67">
        <f t="shared" ca="1" si="26"/>
        <v>0</v>
      </c>
      <c r="BI81" s="67">
        <f t="shared" ca="1" si="26"/>
        <v>0</v>
      </c>
      <c r="BJ81" s="67">
        <f t="shared" ca="1" si="26"/>
        <v>0</v>
      </c>
      <c r="BK81" s="67">
        <f t="shared" ca="1" si="26"/>
        <v>0</v>
      </c>
      <c r="BL81" s="67">
        <f t="shared" ca="1" si="26"/>
        <v>0</v>
      </c>
      <c r="BM81" s="67">
        <f t="shared" ca="1" si="26"/>
        <v>0</v>
      </c>
      <c r="BN81" s="67">
        <f t="shared" ca="1" si="26"/>
        <v>0</v>
      </c>
      <c r="BO81" s="67">
        <f t="shared" ca="1" si="26"/>
        <v>0</v>
      </c>
      <c r="BP81" s="67">
        <f t="shared" ca="1" si="26"/>
        <v>0</v>
      </c>
      <c r="BQ81" s="67">
        <f t="shared" ca="1" si="27"/>
        <v>0</v>
      </c>
      <c r="BR81" s="67">
        <f t="shared" ca="1" si="27"/>
        <v>0</v>
      </c>
      <c r="BS81" s="67">
        <f t="shared" ca="1" si="27"/>
        <v>0</v>
      </c>
      <c r="BT81" s="67">
        <f t="shared" ca="1" si="27"/>
        <v>0</v>
      </c>
    </row>
    <row r="82" spans="2:72" x14ac:dyDescent="0.2">
      <c r="B82" s="87"/>
      <c r="G82" s="67" t="str">
        <f>ROW(A77)&amp;". "&amp;'Critical resources'!B88</f>
        <v xml:space="preserve">77. </v>
      </c>
      <c r="H82" s="67">
        <f ca="1">IFERROR(VLOOKUP('Critical resources'!D88,$B$6:$C$57,2,0),0)</f>
        <v>0</v>
      </c>
      <c r="I82" s="67">
        <f ca="1">IFERROR(VLOOKUP('Critical resources'!E88,$A$6:$C$57,3,0),0)</f>
        <v>0</v>
      </c>
      <c r="J82" s="67">
        <f ca="1">IFERROR(VLOOKUP('Critical resources'!G88,$B$6:$C$57,2,0),0)</f>
        <v>0</v>
      </c>
      <c r="K82" s="67">
        <f ca="1">IFERROR(VLOOKUP('Critical resources'!H88,$B$6:$C$57,2,0),0)</f>
        <v>0</v>
      </c>
      <c r="L82" s="67">
        <f ca="1">IFERROR(VLOOKUP('Critical resources'!J88,$B$6:$C$57,2,0),0)</f>
        <v>0</v>
      </c>
      <c r="M82" s="67">
        <f ca="1">IFERROR(VLOOKUP('Critical resources'!K88,$A$6:$C$57,3,0),0)</f>
        <v>0</v>
      </c>
      <c r="N82" s="67">
        <f ca="1">IFERROR(VLOOKUP('Critical resources'!M88,$B$6:$C$57,2,0),0)</f>
        <v>0</v>
      </c>
      <c r="O82" s="67">
        <f ca="1">IFERROR(VLOOKUP('Critical resources'!N88,$A$6:$C$57,3,0),0)</f>
        <v>0</v>
      </c>
      <c r="P82" s="67">
        <f ca="1">IFERROR(VLOOKUP('Critical resources'!P88,$B$6:$C$57,2,0),0)</f>
        <v>0</v>
      </c>
      <c r="Q82" s="67">
        <f ca="1">IFERROR(VLOOKUP('Critical resources'!Q88,$A$6:$C$57,3,0),0)</f>
        <v>0</v>
      </c>
      <c r="T82" s="67" t="str">
        <f t="shared" si="28"/>
        <v xml:space="preserve">77. </v>
      </c>
      <c r="U82" s="67">
        <f t="shared" ca="1" si="31"/>
        <v>0</v>
      </c>
      <c r="V82" s="67">
        <f t="shared" ca="1" si="31"/>
        <v>0</v>
      </c>
      <c r="W82" s="67">
        <f t="shared" ca="1" si="31"/>
        <v>0</v>
      </c>
      <c r="X82" s="67">
        <f t="shared" ca="1" si="31"/>
        <v>0</v>
      </c>
      <c r="Y82" s="67">
        <f t="shared" ca="1" si="31"/>
        <v>0</v>
      </c>
      <c r="Z82" s="67">
        <f t="shared" ca="1" si="31"/>
        <v>0</v>
      </c>
      <c r="AA82" s="67">
        <f t="shared" ca="1" si="31"/>
        <v>0</v>
      </c>
      <c r="AB82" s="67">
        <f t="shared" ca="1" si="31"/>
        <v>0</v>
      </c>
      <c r="AC82" s="67">
        <f t="shared" ca="1" si="31"/>
        <v>0</v>
      </c>
      <c r="AD82" s="67">
        <f t="shared" ca="1" si="31"/>
        <v>0</v>
      </c>
      <c r="AE82" s="67">
        <f t="shared" ca="1" si="31"/>
        <v>0</v>
      </c>
      <c r="AF82" s="67">
        <f t="shared" ca="1" si="31"/>
        <v>0</v>
      </c>
      <c r="AG82" s="67">
        <f t="shared" ca="1" si="31"/>
        <v>0</v>
      </c>
      <c r="AH82" s="67">
        <f t="shared" ca="1" si="31"/>
        <v>0</v>
      </c>
      <c r="AI82" s="67">
        <f t="shared" ca="1" si="31"/>
        <v>0</v>
      </c>
      <c r="AJ82" s="67">
        <f t="shared" ca="1" si="29"/>
        <v>0</v>
      </c>
      <c r="AK82" s="67">
        <f t="shared" ca="1" si="29"/>
        <v>0</v>
      </c>
      <c r="AL82" s="67">
        <f t="shared" ca="1" si="29"/>
        <v>0</v>
      </c>
      <c r="AM82" s="67">
        <f t="shared" ca="1" si="29"/>
        <v>0</v>
      </c>
      <c r="AN82" s="67">
        <f t="shared" ca="1" si="29"/>
        <v>0</v>
      </c>
      <c r="AO82" s="67">
        <f t="shared" ca="1" si="29"/>
        <v>0</v>
      </c>
      <c r="AP82" s="67">
        <f t="shared" ca="1" si="29"/>
        <v>0</v>
      </c>
      <c r="AQ82" s="67">
        <f t="shared" ca="1" si="29"/>
        <v>0</v>
      </c>
      <c r="AR82" s="67">
        <f t="shared" ca="1" si="29"/>
        <v>0</v>
      </c>
      <c r="AS82" s="67">
        <f t="shared" ca="1" si="29"/>
        <v>0</v>
      </c>
      <c r="AT82" s="67">
        <f t="shared" ca="1" si="29"/>
        <v>0</v>
      </c>
      <c r="AU82" s="67">
        <f t="shared" ca="1" si="29"/>
        <v>0</v>
      </c>
      <c r="AV82" s="67">
        <f t="shared" ca="1" si="29"/>
        <v>0</v>
      </c>
      <c r="AW82" s="67">
        <f t="shared" ca="1" si="29"/>
        <v>0</v>
      </c>
      <c r="AX82" s="67">
        <f t="shared" ca="1" si="29"/>
        <v>0</v>
      </c>
      <c r="AY82" s="67">
        <f t="shared" ca="1" si="29"/>
        <v>0</v>
      </c>
      <c r="AZ82" s="67">
        <f t="shared" ca="1" si="30"/>
        <v>0</v>
      </c>
      <c r="BA82" s="67">
        <f t="shared" ca="1" si="26"/>
        <v>0</v>
      </c>
      <c r="BB82" s="67">
        <f t="shared" ca="1" si="26"/>
        <v>0</v>
      </c>
      <c r="BC82" s="67">
        <f t="shared" ca="1" si="26"/>
        <v>0</v>
      </c>
      <c r="BD82" s="67">
        <f t="shared" ca="1" si="26"/>
        <v>0</v>
      </c>
      <c r="BE82" s="67">
        <f t="shared" ca="1" si="26"/>
        <v>0</v>
      </c>
      <c r="BF82" s="67">
        <f t="shared" ca="1" si="26"/>
        <v>0</v>
      </c>
      <c r="BG82" s="67">
        <f t="shared" ca="1" si="26"/>
        <v>0</v>
      </c>
      <c r="BH82" s="67">
        <f t="shared" ca="1" si="26"/>
        <v>0</v>
      </c>
      <c r="BI82" s="67">
        <f t="shared" ca="1" si="26"/>
        <v>0</v>
      </c>
      <c r="BJ82" s="67">
        <f t="shared" ca="1" si="26"/>
        <v>0</v>
      </c>
      <c r="BK82" s="67">
        <f t="shared" ca="1" si="26"/>
        <v>0</v>
      </c>
      <c r="BL82" s="67">
        <f t="shared" ca="1" si="26"/>
        <v>0</v>
      </c>
      <c r="BM82" s="67">
        <f t="shared" ca="1" si="26"/>
        <v>0</v>
      </c>
      <c r="BN82" s="67">
        <f t="shared" ca="1" si="26"/>
        <v>0</v>
      </c>
      <c r="BO82" s="67">
        <f t="shared" ca="1" si="26"/>
        <v>0</v>
      </c>
      <c r="BP82" s="67">
        <f t="shared" ca="1" si="26"/>
        <v>0</v>
      </c>
      <c r="BQ82" s="67">
        <f t="shared" ca="1" si="27"/>
        <v>0</v>
      </c>
      <c r="BR82" s="67">
        <f t="shared" ca="1" si="27"/>
        <v>0</v>
      </c>
      <c r="BS82" s="67">
        <f t="shared" ca="1" si="27"/>
        <v>0</v>
      </c>
      <c r="BT82" s="67">
        <f t="shared" ca="1" si="27"/>
        <v>0</v>
      </c>
    </row>
    <row r="83" spans="2:72" x14ac:dyDescent="0.2">
      <c r="B83" s="87"/>
      <c r="G83" s="67" t="str">
        <f>ROW(A78)&amp;". "&amp;'Critical resources'!B89</f>
        <v xml:space="preserve">78. </v>
      </c>
      <c r="H83" s="67">
        <f ca="1">IFERROR(VLOOKUP('Critical resources'!D89,$B$6:$C$57,2,0),0)</f>
        <v>0</v>
      </c>
      <c r="I83" s="67">
        <f ca="1">IFERROR(VLOOKUP('Critical resources'!E89,$A$6:$C$57,3,0),0)</f>
        <v>0</v>
      </c>
      <c r="J83" s="67">
        <f ca="1">IFERROR(VLOOKUP('Critical resources'!G89,$B$6:$C$57,2,0),0)</f>
        <v>0</v>
      </c>
      <c r="K83" s="67">
        <f ca="1">IFERROR(VLOOKUP('Critical resources'!H89,$B$6:$C$57,2,0),0)</f>
        <v>0</v>
      </c>
      <c r="L83" s="67">
        <f ca="1">IFERROR(VLOOKUP('Critical resources'!J89,$B$6:$C$57,2,0),0)</f>
        <v>0</v>
      </c>
      <c r="M83" s="67">
        <f ca="1">IFERROR(VLOOKUP('Critical resources'!K89,$A$6:$C$57,3,0),0)</f>
        <v>0</v>
      </c>
      <c r="N83" s="67">
        <f ca="1">IFERROR(VLOOKUP('Critical resources'!M89,$B$6:$C$57,2,0),0)</f>
        <v>0</v>
      </c>
      <c r="O83" s="67">
        <f ca="1">IFERROR(VLOOKUP('Critical resources'!N89,$A$6:$C$57,3,0),0)</f>
        <v>0</v>
      </c>
      <c r="P83" s="67">
        <f ca="1">IFERROR(VLOOKUP('Critical resources'!P89,$B$6:$C$57,2,0),0)</f>
        <v>0</v>
      </c>
      <c r="Q83" s="67">
        <f ca="1">IFERROR(VLOOKUP('Critical resources'!Q89,$A$6:$C$57,3,0),0)</f>
        <v>0</v>
      </c>
      <c r="T83" s="67" t="str">
        <f t="shared" si="28"/>
        <v xml:space="preserve">78. </v>
      </c>
      <c r="U83" s="67">
        <f t="shared" ca="1" si="31"/>
        <v>0</v>
      </c>
      <c r="V83" s="67">
        <f t="shared" ca="1" si="31"/>
        <v>0</v>
      </c>
      <c r="W83" s="67">
        <f t="shared" ca="1" si="31"/>
        <v>0</v>
      </c>
      <c r="X83" s="67">
        <f t="shared" ca="1" si="31"/>
        <v>0</v>
      </c>
      <c r="Y83" s="67">
        <f t="shared" ca="1" si="31"/>
        <v>0</v>
      </c>
      <c r="Z83" s="67">
        <f t="shared" ca="1" si="31"/>
        <v>0</v>
      </c>
      <c r="AA83" s="67">
        <f t="shared" ca="1" si="31"/>
        <v>0</v>
      </c>
      <c r="AB83" s="67">
        <f t="shared" ca="1" si="31"/>
        <v>0</v>
      </c>
      <c r="AC83" s="67">
        <f t="shared" ca="1" si="31"/>
        <v>0</v>
      </c>
      <c r="AD83" s="67">
        <f t="shared" ca="1" si="31"/>
        <v>0</v>
      </c>
      <c r="AE83" s="67">
        <f t="shared" ca="1" si="31"/>
        <v>0</v>
      </c>
      <c r="AF83" s="67">
        <f t="shared" ca="1" si="31"/>
        <v>0</v>
      </c>
      <c r="AG83" s="67">
        <f t="shared" ca="1" si="31"/>
        <v>0</v>
      </c>
      <c r="AH83" s="67">
        <f t="shared" ca="1" si="31"/>
        <v>0</v>
      </c>
      <c r="AI83" s="67">
        <f t="shared" ca="1" si="31"/>
        <v>0</v>
      </c>
      <c r="AJ83" s="67">
        <f t="shared" ca="1" si="29"/>
        <v>0</v>
      </c>
      <c r="AK83" s="67">
        <f t="shared" ca="1" si="29"/>
        <v>0</v>
      </c>
      <c r="AL83" s="67">
        <f t="shared" ca="1" si="29"/>
        <v>0</v>
      </c>
      <c r="AM83" s="67">
        <f t="shared" ca="1" si="29"/>
        <v>0</v>
      </c>
      <c r="AN83" s="67">
        <f t="shared" ca="1" si="29"/>
        <v>0</v>
      </c>
      <c r="AO83" s="67">
        <f t="shared" ca="1" si="29"/>
        <v>0</v>
      </c>
      <c r="AP83" s="67">
        <f t="shared" ca="1" si="29"/>
        <v>0</v>
      </c>
      <c r="AQ83" s="67">
        <f t="shared" ca="1" si="29"/>
        <v>0</v>
      </c>
      <c r="AR83" s="67">
        <f t="shared" ca="1" si="29"/>
        <v>0</v>
      </c>
      <c r="AS83" s="67">
        <f t="shared" ca="1" si="29"/>
        <v>0</v>
      </c>
      <c r="AT83" s="67">
        <f t="shared" ca="1" si="29"/>
        <v>0</v>
      </c>
      <c r="AU83" s="67">
        <f t="shared" ca="1" si="29"/>
        <v>0</v>
      </c>
      <c r="AV83" s="67">
        <f t="shared" ca="1" si="29"/>
        <v>0</v>
      </c>
      <c r="AW83" s="67">
        <f t="shared" ca="1" si="29"/>
        <v>0</v>
      </c>
      <c r="AX83" s="67">
        <f t="shared" ca="1" si="29"/>
        <v>0</v>
      </c>
      <c r="AY83" s="67">
        <f t="shared" ca="1" si="29"/>
        <v>0</v>
      </c>
      <c r="AZ83" s="67">
        <f t="shared" ca="1" si="30"/>
        <v>0</v>
      </c>
      <c r="BA83" s="67">
        <f t="shared" ca="1" si="26"/>
        <v>0</v>
      </c>
      <c r="BB83" s="67">
        <f t="shared" ca="1" si="26"/>
        <v>0</v>
      </c>
      <c r="BC83" s="67">
        <f t="shared" ca="1" si="26"/>
        <v>0</v>
      </c>
      <c r="BD83" s="67">
        <f t="shared" ca="1" si="26"/>
        <v>0</v>
      </c>
      <c r="BE83" s="67">
        <f t="shared" ca="1" si="26"/>
        <v>0</v>
      </c>
      <c r="BF83" s="67">
        <f t="shared" ca="1" si="26"/>
        <v>0</v>
      </c>
      <c r="BG83" s="67">
        <f t="shared" ca="1" si="26"/>
        <v>0</v>
      </c>
      <c r="BH83" s="67">
        <f t="shared" ca="1" si="26"/>
        <v>0</v>
      </c>
      <c r="BI83" s="67">
        <f t="shared" ca="1" si="26"/>
        <v>0</v>
      </c>
      <c r="BJ83" s="67">
        <f t="shared" ca="1" si="26"/>
        <v>0</v>
      </c>
      <c r="BK83" s="67">
        <f t="shared" ca="1" si="26"/>
        <v>0</v>
      </c>
      <c r="BL83" s="67">
        <f t="shared" ca="1" si="26"/>
        <v>0</v>
      </c>
      <c r="BM83" s="67">
        <f t="shared" ca="1" si="26"/>
        <v>0</v>
      </c>
      <c r="BN83" s="67">
        <f t="shared" ca="1" si="26"/>
        <v>0</v>
      </c>
      <c r="BO83" s="67">
        <f t="shared" ca="1" si="26"/>
        <v>0</v>
      </c>
      <c r="BP83" s="67">
        <f t="shared" ref="BP83:BT98" ca="1" si="32">SUM(IFERROR(IF(AND(BP$5&gt;=$H83,BP$5&lt;=$I83),1,0),0),IFERROR(IF(AND(BP$5&gt;=$J83,BP$5&lt;=$K83),1,0),0),IFERROR(IF(AND(BP$5&gt;=$L83,BP$5&lt;=$M83),1,0),0),IFERROR(IF(AND(BP$5&gt;=$N83,BP$5&lt;=$O83),1,0),0),IFERROR(IF(AND(BP$5&gt;=$P83,BP$5&lt;=$Q83),1,0),0))</f>
        <v>0</v>
      </c>
      <c r="BQ83" s="67">
        <f t="shared" ca="1" si="27"/>
        <v>0</v>
      </c>
      <c r="BR83" s="67">
        <f t="shared" ca="1" si="27"/>
        <v>0</v>
      </c>
      <c r="BS83" s="67">
        <f t="shared" ca="1" si="27"/>
        <v>0</v>
      </c>
      <c r="BT83" s="67">
        <f t="shared" ca="1" si="27"/>
        <v>0</v>
      </c>
    </row>
    <row r="84" spans="2:72" x14ac:dyDescent="0.2">
      <c r="B84" s="87"/>
      <c r="G84" s="67" t="str">
        <f>ROW(A79)&amp;". "&amp;'Critical resources'!B90</f>
        <v xml:space="preserve">79. </v>
      </c>
      <c r="H84" s="67">
        <f ca="1">IFERROR(VLOOKUP('Critical resources'!D90,$B$6:$C$57,2,0),0)</f>
        <v>0</v>
      </c>
      <c r="I84" s="67">
        <f ca="1">IFERROR(VLOOKUP('Critical resources'!E90,$A$6:$C$57,3,0),0)</f>
        <v>0</v>
      </c>
      <c r="J84" s="67">
        <f ca="1">IFERROR(VLOOKUP('Critical resources'!G90,$B$6:$C$57,2,0),0)</f>
        <v>0</v>
      </c>
      <c r="K84" s="67">
        <f ca="1">IFERROR(VLOOKUP('Critical resources'!H90,$B$6:$C$57,2,0),0)</f>
        <v>0</v>
      </c>
      <c r="L84" s="67">
        <f ca="1">IFERROR(VLOOKUP('Critical resources'!J90,$B$6:$C$57,2,0),0)</f>
        <v>0</v>
      </c>
      <c r="M84" s="67">
        <f ca="1">IFERROR(VLOOKUP('Critical resources'!K90,$A$6:$C$57,3,0),0)</f>
        <v>0</v>
      </c>
      <c r="N84" s="67">
        <f ca="1">IFERROR(VLOOKUP('Critical resources'!M90,$B$6:$C$57,2,0),0)</f>
        <v>0</v>
      </c>
      <c r="O84" s="67">
        <f ca="1">IFERROR(VLOOKUP('Critical resources'!N90,$A$6:$C$57,3,0),0)</f>
        <v>0</v>
      </c>
      <c r="P84" s="67">
        <f ca="1">IFERROR(VLOOKUP('Critical resources'!P90,$B$6:$C$57,2,0),0)</f>
        <v>0</v>
      </c>
      <c r="Q84" s="67">
        <f ca="1">IFERROR(VLOOKUP('Critical resources'!Q90,$A$6:$C$57,3,0),0)</f>
        <v>0</v>
      </c>
      <c r="T84" s="67" t="str">
        <f t="shared" si="28"/>
        <v xml:space="preserve">79. </v>
      </c>
      <c r="U84" s="67">
        <f t="shared" ca="1" si="31"/>
        <v>0</v>
      </c>
      <c r="V84" s="67">
        <f t="shared" ca="1" si="31"/>
        <v>0</v>
      </c>
      <c r="W84" s="67">
        <f t="shared" ca="1" si="31"/>
        <v>0</v>
      </c>
      <c r="X84" s="67">
        <f t="shared" ca="1" si="31"/>
        <v>0</v>
      </c>
      <c r="Y84" s="67">
        <f t="shared" ca="1" si="31"/>
        <v>0</v>
      </c>
      <c r="Z84" s="67">
        <f t="shared" ca="1" si="31"/>
        <v>0</v>
      </c>
      <c r="AA84" s="67">
        <f t="shared" ca="1" si="31"/>
        <v>0</v>
      </c>
      <c r="AB84" s="67">
        <f t="shared" ca="1" si="31"/>
        <v>0</v>
      </c>
      <c r="AC84" s="67">
        <f t="shared" ca="1" si="31"/>
        <v>0</v>
      </c>
      <c r="AD84" s="67">
        <f t="shared" ca="1" si="31"/>
        <v>0</v>
      </c>
      <c r="AE84" s="67">
        <f t="shared" ca="1" si="31"/>
        <v>0</v>
      </c>
      <c r="AF84" s="67">
        <f t="shared" ca="1" si="31"/>
        <v>0</v>
      </c>
      <c r="AG84" s="67">
        <f t="shared" ca="1" si="31"/>
        <v>0</v>
      </c>
      <c r="AH84" s="67">
        <f t="shared" ca="1" si="31"/>
        <v>0</v>
      </c>
      <c r="AI84" s="67">
        <f t="shared" ca="1" si="31"/>
        <v>0</v>
      </c>
      <c r="AJ84" s="67">
        <f t="shared" ca="1" si="29"/>
        <v>0</v>
      </c>
      <c r="AK84" s="67">
        <f t="shared" ca="1" si="29"/>
        <v>0</v>
      </c>
      <c r="AL84" s="67">
        <f t="shared" ca="1" si="29"/>
        <v>0</v>
      </c>
      <c r="AM84" s="67">
        <f t="shared" ca="1" si="29"/>
        <v>0</v>
      </c>
      <c r="AN84" s="67">
        <f t="shared" ca="1" si="29"/>
        <v>0</v>
      </c>
      <c r="AO84" s="67">
        <f t="shared" ca="1" si="29"/>
        <v>0</v>
      </c>
      <c r="AP84" s="67">
        <f t="shared" ca="1" si="29"/>
        <v>0</v>
      </c>
      <c r="AQ84" s="67">
        <f t="shared" ca="1" si="29"/>
        <v>0</v>
      </c>
      <c r="AR84" s="67">
        <f t="shared" ca="1" si="29"/>
        <v>0</v>
      </c>
      <c r="AS84" s="67">
        <f t="shared" ca="1" si="29"/>
        <v>0</v>
      </c>
      <c r="AT84" s="67">
        <f t="shared" ca="1" si="29"/>
        <v>0</v>
      </c>
      <c r="AU84" s="67">
        <f t="shared" ca="1" si="29"/>
        <v>0</v>
      </c>
      <c r="AV84" s="67">
        <f t="shared" ca="1" si="29"/>
        <v>0</v>
      </c>
      <c r="AW84" s="67">
        <f t="shared" ca="1" si="29"/>
        <v>0</v>
      </c>
      <c r="AX84" s="67">
        <f t="shared" ca="1" si="29"/>
        <v>0</v>
      </c>
      <c r="AY84" s="67">
        <f t="shared" ca="1" si="29"/>
        <v>0</v>
      </c>
      <c r="AZ84" s="67">
        <f t="shared" ca="1" si="30"/>
        <v>0</v>
      </c>
      <c r="BA84" s="67">
        <f t="shared" ca="1" si="30"/>
        <v>0</v>
      </c>
      <c r="BB84" s="67">
        <f t="shared" ca="1" si="30"/>
        <v>0</v>
      </c>
      <c r="BC84" s="67">
        <f t="shared" ca="1" si="30"/>
        <v>0</v>
      </c>
      <c r="BD84" s="67">
        <f t="shared" ca="1" si="30"/>
        <v>0</v>
      </c>
      <c r="BE84" s="67">
        <f t="shared" ca="1" si="30"/>
        <v>0</v>
      </c>
      <c r="BF84" s="67">
        <f t="shared" ca="1" si="30"/>
        <v>0</v>
      </c>
      <c r="BG84" s="67">
        <f t="shared" ca="1" si="30"/>
        <v>0</v>
      </c>
      <c r="BH84" s="67">
        <f t="shared" ca="1" si="30"/>
        <v>0</v>
      </c>
      <c r="BI84" s="67">
        <f t="shared" ca="1" si="30"/>
        <v>0</v>
      </c>
      <c r="BJ84" s="67">
        <f t="shared" ca="1" si="30"/>
        <v>0</v>
      </c>
      <c r="BK84" s="67">
        <f t="shared" ca="1" si="30"/>
        <v>0</v>
      </c>
      <c r="BL84" s="67">
        <f t="shared" ca="1" si="30"/>
        <v>0</v>
      </c>
      <c r="BM84" s="67">
        <f t="shared" ca="1" si="30"/>
        <v>0</v>
      </c>
      <c r="BN84" s="67">
        <f t="shared" ca="1" si="30"/>
        <v>0</v>
      </c>
      <c r="BO84" s="67">
        <f t="shared" ca="1" si="30"/>
        <v>0</v>
      </c>
      <c r="BP84" s="67">
        <f t="shared" ca="1" si="32"/>
        <v>0</v>
      </c>
      <c r="BQ84" s="67">
        <f t="shared" ca="1" si="27"/>
        <v>0</v>
      </c>
      <c r="BR84" s="67">
        <f t="shared" ca="1" si="27"/>
        <v>0</v>
      </c>
      <c r="BS84" s="67">
        <f t="shared" ca="1" si="27"/>
        <v>0</v>
      </c>
      <c r="BT84" s="67">
        <f t="shared" ca="1" si="27"/>
        <v>0</v>
      </c>
    </row>
    <row r="85" spans="2:72" x14ac:dyDescent="0.2">
      <c r="B85" s="87"/>
      <c r="G85" s="67" t="str">
        <f>ROW(A80)&amp;". "&amp;'Critical resources'!B91</f>
        <v xml:space="preserve">80. </v>
      </c>
      <c r="H85" s="67">
        <f ca="1">IFERROR(VLOOKUP('Critical resources'!D91,$B$6:$C$57,2,0),0)</f>
        <v>0</v>
      </c>
      <c r="I85" s="67">
        <f ca="1">IFERROR(VLOOKUP('Critical resources'!E91,$A$6:$C$57,3,0),0)</f>
        <v>0</v>
      </c>
      <c r="J85" s="67">
        <f ca="1">IFERROR(VLOOKUP('Critical resources'!G91,$B$6:$C$57,2,0),0)</f>
        <v>0</v>
      </c>
      <c r="K85" s="67">
        <f ca="1">IFERROR(VLOOKUP('Critical resources'!H91,$B$6:$C$57,2,0),0)</f>
        <v>0</v>
      </c>
      <c r="L85" s="67">
        <f ca="1">IFERROR(VLOOKUP('Critical resources'!J91,$B$6:$C$57,2,0),0)</f>
        <v>0</v>
      </c>
      <c r="M85" s="67">
        <f ca="1">IFERROR(VLOOKUP('Critical resources'!K91,$A$6:$C$57,3,0),0)</f>
        <v>0</v>
      </c>
      <c r="N85" s="67">
        <f ca="1">IFERROR(VLOOKUP('Critical resources'!M91,$B$6:$C$57,2,0),0)</f>
        <v>0</v>
      </c>
      <c r="O85" s="67">
        <f ca="1">IFERROR(VLOOKUP('Critical resources'!N91,$A$6:$C$57,3,0),0)</f>
        <v>0</v>
      </c>
      <c r="P85" s="67">
        <f ca="1">IFERROR(VLOOKUP('Critical resources'!P91,$B$6:$C$57,2,0),0)</f>
        <v>0</v>
      </c>
      <c r="Q85" s="67">
        <f ca="1">IFERROR(VLOOKUP('Critical resources'!Q91,$A$6:$C$57,3,0),0)</f>
        <v>0</v>
      </c>
      <c r="T85" s="67" t="str">
        <f t="shared" si="28"/>
        <v xml:space="preserve">80. </v>
      </c>
      <c r="U85" s="67">
        <f t="shared" ca="1" si="31"/>
        <v>0</v>
      </c>
      <c r="V85" s="67">
        <f t="shared" ca="1" si="31"/>
        <v>0</v>
      </c>
      <c r="W85" s="67">
        <f t="shared" ca="1" si="31"/>
        <v>0</v>
      </c>
      <c r="X85" s="67">
        <f t="shared" ca="1" si="31"/>
        <v>0</v>
      </c>
      <c r="Y85" s="67">
        <f t="shared" ca="1" si="31"/>
        <v>0</v>
      </c>
      <c r="Z85" s="67">
        <f t="shared" ca="1" si="31"/>
        <v>0</v>
      </c>
      <c r="AA85" s="67">
        <f t="shared" ca="1" si="31"/>
        <v>0</v>
      </c>
      <c r="AB85" s="67">
        <f t="shared" ca="1" si="31"/>
        <v>0</v>
      </c>
      <c r="AC85" s="67">
        <f t="shared" ca="1" si="31"/>
        <v>0</v>
      </c>
      <c r="AD85" s="67">
        <f t="shared" ca="1" si="31"/>
        <v>0</v>
      </c>
      <c r="AE85" s="67">
        <f t="shared" ca="1" si="31"/>
        <v>0</v>
      </c>
      <c r="AF85" s="67">
        <f t="shared" ca="1" si="31"/>
        <v>0</v>
      </c>
      <c r="AG85" s="67">
        <f t="shared" ca="1" si="31"/>
        <v>0</v>
      </c>
      <c r="AH85" s="67">
        <f t="shared" ca="1" si="31"/>
        <v>0</v>
      </c>
      <c r="AI85" s="67">
        <f t="shared" ca="1" si="31"/>
        <v>0</v>
      </c>
      <c r="AJ85" s="67">
        <f t="shared" ca="1" si="29"/>
        <v>0</v>
      </c>
      <c r="AK85" s="67">
        <f t="shared" ca="1" si="29"/>
        <v>0</v>
      </c>
      <c r="AL85" s="67">
        <f t="shared" ca="1" si="29"/>
        <v>0</v>
      </c>
      <c r="AM85" s="67">
        <f t="shared" ca="1" si="29"/>
        <v>0</v>
      </c>
      <c r="AN85" s="67">
        <f t="shared" ca="1" si="29"/>
        <v>0</v>
      </c>
      <c r="AO85" s="67">
        <f t="shared" ca="1" si="29"/>
        <v>0</v>
      </c>
      <c r="AP85" s="67">
        <f t="shared" ca="1" si="29"/>
        <v>0</v>
      </c>
      <c r="AQ85" s="67">
        <f t="shared" ca="1" si="29"/>
        <v>0</v>
      </c>
      <c r="AR85" s="67">
        <f t="shared" ca="1" si="29"/>
        <v>0</v>
      </c>
      <c r="AS85" s="67">
        <f t="shared" ca="1" si="29"/>
        <v>0</v>
      </c>
      <c r="AT85" s="67">
        <f t="shared" ca="1" si="29"/>
        <v>0</v>
      </c>
      <c r="AU85" s="67">
        <f t="shared" ca="1" si="29"/>
        <v>0</v>
      </c>
      <c r="AV85" s="67">
        <f t="shared" ca="1" si="29"/>
        <v>0</v>
      </c>
      <c r="AW85" s="67">
        <f t="shared" ca="1" si="29"/>
        <v>0</v>
      </c>
      <c r="AX85" s="67">
        <f t="shared" ca="1" si="29"/>
        <v>0</v>
      </c>
      <c r="AY85" s="67">
        <f t="shared" ref="AY85:BN100" ca="1" si="33">SUM(IFERROR(IF(AND(AY$5&gt;=$H85,AY$5&lt;=$I85),1,0),0),IFERROR(IF(AND(AY$5&gt;=$J85,AY$5&lt;=$K85),1,0),0),IFERROR(IF(AND(AY$5&gt;=$L85,AY$5&lt;=$M85),1,0),0),IFERROR(IF(AND(AY$5&gt;=$N85,AY$5&lt;=$O85),1,0),0),IFERROR(IF(AND(AY$5&gt;=$P85,AY$5&lt;=$Q85),1,0),0))</f>
        <v>0</v>
      </c>
      <c r="AZ85" s="67">
        <f t="shared" ca="1" si="30"/>
        <v>0</v>
      </c>
      <c r="BA85" s="67">
        <f t="shared" ca="1" si="30"/>
        <v>0</v>
      </c>
      <c r="BB85" s="67">
        <f t="shared" ca="1" si="30"/>
        <v>0</v>
      </c>
      <c r="BC85" s="67">
        <f t="shared" ca="1" si="30"/>
        <v>0</v>
      </c>
      <c r="BD85" s="67">
        <f t="shared" ca="1" si="30"/>
        <v>0</v>
      </c>
      <c r="BE85" s="67">
        <f t="shared" ca="1" si="30"/>
        <v>0</v>
      </c>
      <c r="BF85" s="67">
        <f t="shared" ca="1" si="30"/>
        <v>0</v>
      </c>
      <c r="BG85" s="67">
        <f t="shared" ca="1" si="30"/>
        <v>0</v>
      </c>
      <c r="BH85" s="67">
        <f t="shared" ca="1" si="30"/>
        <v>0</v>
      </c>
      <c r="BI85" s="67">
        <f t="shared" ca="1" si="30"/>
        <v>0</v>
      </c>
      <c r="BJ85" s="67">
        <f t="shared" ca="1" si="30"/>
        <v>0</v>
      </c>
      <c r="BK85" s="67">
        <f t="shared" ca="1" si="30"/>
        <v>0</v>
      </c>
      <c r="BL85" s="67">
        <f t="shared" ca="1" si="30"/>
        <v>0</v>
      </c>
      <c r="BM85" s="67">
        <f t="shared" ca="1" si="30"/>
        <v>0</v>
      </c>
      <c r="BN85" s="67">
        <f t="shared" ca="1" si="30"/>
        <v>0</v>
      </c>
      <c r="BO85" s="67">
        <f t="shared" ca="1" si="30"/>
        <v>0</v>
      </c>
      <c r="BP85" s="67">
        <f t="shared" ca="1" si="32"/>
        <v>0</v>
      </c>
      <c r="BQ85" s="67">
        <f t="shared" ca="1" si="27"/>
        <v>0</v>
      </c>
      <c r="BR85" s="67">
        <f t="shared" ca="1" si="27"/>
        <v>0</v>
      </c>
      <c r="BS85" s="67">
        <f t="shared" ca="1" si="27"/>
        <v>0</v>
      </c>
      <c r="BT85" s="67">
        <f t="shared" ca="1" si="27"/>
        <v>0</v>
      </c>
    </row>
    <row r="86" spans="2:72" x14ac:dyDescent="0.2">
      <c r="B86" s="87"/>
      <c r="G86" s="67" t="str">
        <f>ROW(A81)&amp;". "&amp;'Critical resources'!B92</f>
        <v xml:space="preserve">81. </v>
      </c>
      <c r="H86" s="67">
        <f ca="1">IFERROR(VLOOKUP('Critical resources'!D92,$B$6:$C$57,2,0),0)</f>
        <v>0</v>
      </c>
      <c r="I86" s="67">
        <f ca="1">IFERROR(VLOOKUP('Critical resources'!E92,$A$6:$C$57,3,0),0)</f>
        <v>0</v>
      </c>
      <c r="J86" s="67">
        <f ca="1">IFERROR(VLOOKUP('Critical resources'!G92,$B$6:$C$57,2,0),0)</f>
        <v>0</v>
      </c>
      <c r="K86" s="67">
        <f ca="1">IFERROR(VLOOKUP('Critical resources'!H92,$B$6:$C$57,2,0),0)</f>
        <v>0</v>
      </c>
      <c r="L86" s="67">
        <f ca="1">IFERROR(VLOOKUP('Critical resources'!J92,$B$6:$C$57,2,0),0)</f>
        <v>0</v>
      </c>
      <c r="M86" s="67">
        <f ca="1">IFERROR(VLOOKUP('Critical resources'!K92,$A$6:$C$57,3,0),0)</f>
        <v>0</v>
      </c>
      <c r="N86" s="67">
        <f ca="1">IFERROR(VLOOKUP('Critical resources'!M92,$B$6:$C$57,2,0),0)</f>
        <v>0</v>
      </c>
      <c r="O86" s="67">
        <f ca="1">IFERROR(VLOOKUP('Critical resources'!N92,$A$6:$C$57,3,0),0)</f>
        <v>0</v>
      </c>
      <c r="P86" s="67">
        <f ca="1">IFERROR(VLOOKUP('Critical resources'!P92,$B$6:$C$57,2,0),0)</f>
        <v>0</v>
      </c>
      <c r="Q86" s="67">
        <f ca="1">IFERROR(VLOOKUP('Critical resources'!Q92,$A$6:$C$57,3,0),0)</f>
        <v>0</v>
      </c>
      <c r="T86" s="67" t="str">
        <f t="shared" si="28"/>
        <v xml:space="preserve">81. </v>
      </c>
      <c r="U86" s="67">
        <f t="shared" ca="1" si="31"/>
        <v>0</v>
      </c>
      <c r="V86" s="67">
        <f t="shared" ca="1" si="31"/>
        <v>0</v>
      </c>
      <c r="W86" s="67">
        <f t="shared" ca="1" si="31"/>
        <v>0</v>
      </c>
      <c r="X86" s="67">
        <f t="shared" ca="1" si="31"/>
        <v>0</v>
      </c>
      <c r="Y86" s="67">
        <f t="shared" ca="1" si="31"/>
        <v>0</v>
      </c>
      <c r="Z86" s="67">
        <f t="shared" ca="1" si="31"/>
        <v>0</v>
      </c>
      <c r="AA86" s="67">
        <f t="shared" ca="1" si="31"/>
        <v>0</v>
      </c>
      <c r="AB86" s="67">
        <f t="shared" ca="1" si="31"/>
        <v>0</v>
      </c>
      <c r="AC86" s="67">
        <f t="shared" ca="1" si="31"/>
        <v>0</v>
      </c>
      <c r="AD86" s="67">
        <f t="shared" ca="1" si="31"/>
        <v>0</v>
      </c>
      <c r="AE86" s="67">
        <f t="shared" ca="1" si="31"/>
        <v>0</v>
      </c>
      <c r="AF86" s="67">
        <f t="shared" ca="1" si="31"/>
        <v>0</v>
      </c>
      <c r="AG86" s="67">
        <f t="shared" ca="1" si="31"/>
        <v>0</v>
      </c>
      <c r="AH86" s="67">
        <f t="shared" ca="1" si="31"/>
        <v>0</v>
      </c>
      <c r="AI86" s="67">
        <f t="shared" ca="1" si="31"/>
        <v>0</v>
      </c>
      <c r="AJ86" s="67">
        <f t="shared" ca="1" si="31"/>
        <v>0</v>
      </c>
      <c r="AK86" s="67">
        <f t="shared" ref="AK86:AZ101" ca="1" si="34">SUM(IFERROR(IF(AND(AK$5&gt;=$H86,AK$5&lt;=$I86),1,0),0),IFERROR(IF(AND(AK$5&gt;=$J86,AK$5&lt;=$K86),1,0),0),IFERROR(IF(AND(AK$5&gt;=$L86,AK$5&lt;=$M86),1,0),0),IFERROR(IF(AND(AK$5&gt;=$N86,AK$5&lt;=$O86),1,0),0),IFERROR(IF(AND(AK$5&gt;=$P86,AK$5&lt;=$Q86),1,0),0))</f>
        <v>0</v>
      </c>
      <c r="AL86" s="67">
        <f t="shared" ca="1" si="34"/>
        <v>0</v>
      </c>
      <c r="AM86" s="67">
        <f t="shared" ca="1" si="34"/>
        <v>0</v>
      </c>
      <c r="AN86" s="67">
        <f t="shared" ca="1" si="34"/>
        <v>0</v>
      </c>
      <c r="AO86" s="67">
        <f t="shared" ca="1" si="34"/>
        <v>0</v>
      </c>
      <c r="AP86" s="67">
        <f t="shared" ca="1" si="34"/>
        <v>0</v>
      </c>
      <c r="AQ86" s="67">
        <f t="shared" ca="1" si="34"/>
        <v>0</v>
      </c>
      <c r="AR86" s="67">
        <f t="shared" ca="1" si="34"/>
        <v>0</v>
      </c>
      <c r="AS86" s="67">
        <f t="shared" ca="1" si="34"/>
        <v>0</v>
      </c>
      <c r="AT86" s="67">
        <f t="shared" ca="1" si="34"/>
        <v>0</v>
      </c>
      <c r="AU86" s="67">
        <f t="shared" ca="1" si="34"/>
        <v>0</v>
      </c>
      <c r="AV86" s="67">
        <f t="shared" ca="1" si="34"/>
        <v>0</v>
      </c>
      <c r="AW86" s="67">
        <f t="shared" ca="1" si="34"/>
        <v>0</v>
      </c>
      <c r="AX86" s="67">
        <f t="shared" ca="1" si="34"/>
        <v>0</v>
      </c>
      <c r="AY86" s="67">
        <f t="shared" ca="1" si="33"/>
        <v>0</v>
      </c>
      <c r="AZ86" s="67">
        <f t="shared" ca="1" si="33"/>
        <v>0</v>
      </c>
      <c r="BA86" s="67">
        <f t="shared" ca="1" si="33"/>
        <v>0</v>
      </c>
      <c r="BB86" s="67">
        <f t="shared" ca="1" si="33"/>
        <v>0</v>
      </c>
      <c r="BC86" s="67">
        <f t="shared" ca="1" si="33"/>
        <v>0</v>
      </c>
      <c r="BD86" s="67">
        <f t="shared" ca="1" si="33"/>
        <v>0</v>
      </c>
      <c r="BE86" s="67">
        <f t="shared" ca="1" si="33"/>
        <v>0</v>
      </c>
      <c r="BF86" s="67">
        <f t="shared" ca="1" si="33"/>
        <v>0</v>
      </c>
      <c r="BG86" s="67">
        <f t="shared" ca="1" si="33"/>
        <v>0</v>
      </c>
      <c r="BH86" s="67">
        <f t="shared" ca="1" si="33"/>
        <v>0</v>
      </c>
      <c r="BI86" s="67">
        <f t="shared" ca="1" si="33"/>
        <v>0</v>
      </c>
      <c r="BJ86" s="67">
        <f t="shared" ca="1" si="33"/>
        <v>0</v>
      </c>
      <c r="BK86" s="67">
        <f t="shared" ca="1" si="33"/>
        <v>0</v>
      </c>
      <c r="BL86" s="67">
        <f t="shared" ca="1" si="33"/>
        <v>0</v>
      </c>
      <c r="BM86" s="67">
        <f t="shared" ca="1" si="33"/>
        <v>0</v>
      </c>
      <c r="BN86" s="67">
        <f t="shared" ca="1" si="33"/>
        <v>0</v>
      </c>
      <c r="BO86" s="67">
        <f t="shared" ref="BO86:BT101" ca="1" si="35">SUM(IFERROR(IF(AND(BO$5&gt;=$H86,BO$5&lt;=$I86),1,0),0),IFERROR(IF(AND(BO$5&gt;=$J86,BO$5&lt;=$K86),1,0),0),IFERROR(IF(AND(BO$5&gt;=$L86,BO$5&lt;=$M86),1,0),0),IFERROR(IF(AND(BO$5&gt;=$N86,BO$5&lt;=$O86),1,0),0),IFERROR(IF(AND(BO$5&gt;=$P86,BO$5&lt;=$Q86),1,0),0))</f>
        <v>0</v>
      </c>
      <c r="BP86" s="67">
        <f t="shared" ca="1" si="32"/>
        <v>0</v>
      </c>
      <c r="BQ86" s="67">
        <f t="shared" ca="1" si="27"/>
        <v>0</v>
      </c>
      <c r="BR86" s="67">
        <f t="shared" ca="1" si="27"/>
        <v>0</v>
      </c>
      <c r="BS86" s="67">
        <f t="shared" ca="1" si="27"/>
        <v>0</v>
      </c>
      <c r="BT86" s="67">
        <f t="shared" ca="1" si="27"/>
        <v>0</v>
      </c>
    </row>
    <row r="87" spans="2:72" x14ac:dyDescent="0.2">
      <c r="B87" s="87"/>
      <c r="G87" s="67" t="str">
        <f>ROW(A82)&amp;". "&amp;'Critical resources'!B93</f>
        <v xml:space="preserve">82. </v>
      </c>
      <c r="H87" s="67">
        <f ca="1">IFERROR(VLOOKUP('Critical resources'!D93,$B$6:$C$57,2,0),0)</f>
        <v>0</v>
      </c>
      <c r="I87" s="67">
        <f ca="1">IFERROR(VLOOKUP('Critical resources'!E93,$A$6:$C$57,3,0),0)</f>
        <v>0</v>
      </c>
      <c r="J87" s="67">
        <f ca="1">IFERROR(VLOOKUP('Critical resources'!G93,$B$6:$C$57,2,0),0)</f>
        <v>0</v>
      </c>
      <c r="K87" s="67">
        <f ca="1">IFERROR(VLOOKUP('Critical resources'!H93,$B$6:$C$57,2,0),0)</f>
        <v>0</v>
      </c>
      <c r="L87" s="67">
        <f ca="1">IFERROR(VLOOKUP('Critical resources'!J93,$B$6:$C$57,2,0),0)</f>
        <v>0</v>
      </c>
      <c r="M87" s="67">
        <f ca="1">IFERROR(VLOOKUP('Critical resources'!K93,$A$6:$C$57,3,0),0)</f>
        <v>0</v>
      </c>
      <c r="N87" s="67">
        <f ca="1">IFERROR(VLOOKUP('Critical resources'!M93,$B$6:$C$57,2,0),0)</f>
        <v>0</v>
      </c>
      <c r="O87" s="67">
        <f ca="1">IFERROR(VLOOKUP('Critical resources'!N93,$A$6:$C$57,3,0),0)</f>
        <v>0</v>
      </c>
      <c r="P87" s="67">
        <f ca="1">IFERROR(VLOOKUP('Critical resources'!P93,$B$6:$C$57,2,0),0)</f>
        <v>0</v>
      </c>
      <c r="Q87" s="67">
        <f ca="1">IFERROR(VLOOKUP('Critical resources'!Q93,$A$6:$C$57,3,0),0)</f>
        <v>0</v>
      </c>
      <c r="T87" s="67" t="str">
        <f t="shared" si="28"/>
        <v xml:space="preserve">82. </v>
      </c>
      <c r="U87" s="67">
        <f t="shared" ref="U87:AJ102" ca="1" si="36">SUM(IFERROR(IF(AND(U$5&gt;=$H87,U$5&lt;=$I87),1,0),0),IFERROR(IF(AND(U$5&gt;=$J87,U$5&lt;=$K87),1,0),0),IFERROR(IF(AND(U$5&gt;=$L87,U$5&lt;=$M87),1,0),0),IFERROR(IF(AND(U$5&gt;=$N87,U$5&lt;=$O87),1,0),0),IFERROR(IF(AND(U$5&gt;=$P87,U$5&lt;=$Q87),1,0),0))</f>
        <v>0</v>
      </c>
      <c r="V87" s="67">
        <f t="shared" ca="1" si="36"/>
        <v>0</v>
      </c>
      <c r="W87" s="67">
        <f t="shared" ca="1" si="36"/>
        <v>0</v>
      </c>
      <c r="X87" s="67">
        <f t="shared" ca="1" si="36"/>
        <v>0</v>
      </c>
      <c r="Y87" s="67">
        <f t="shared" ca="1" si="36"/>
        <v>0</v>
      </c>
      <c r="Z87" s="67">
        <f t="shared" ca="1" si="36"/>
        <v>0</v>
      </c>
      <c r="AA87" s="67">
        <f t="shared" ca="1" si="36"/>
        <v>0</v>
      </c>
      <c r="AB87" s="67">
        <f t="shared" ca="1" si="36"/>
        <v>0</v>
      </c>
      <c r="AC87" s="67">
        <f t="shared" ca="1" si="36"/>
        <v>0</v>
      </c>
      <c r="AD87" s="67">
        <f t="shared" ca="1" si="36"/>
        <v>0</v>
      </c>
      <c r="AE87" s="67">
        <f t="shared" ca="1" si="36"/>
        <v>0</v>
      </c>
      <c r="AF87" s="67">
        <f t="shared" ca="1" si="36"/>
        <v>0</v>
      </c>
      <c r="AG87" s="67">
        <f t="shared" ca="1" si="36"/>
        <v>0</v>
      </c>
      <c r="AH87" s="67">
        <f t="shared" ca="1" si="36"/>
        <v>0</v>
      </c>
      <c r="AI87" s="67">
        <f t="shared" ca="1" si="36"/>
        <v>0</v>
      </c>
      <c r="AJ87" s="67">
        <f t="shared" ca="1" si="36"/>
        <v>0</v>
      </c>
      <c r="AK87" s="67">
        <f t="shared" ca="1" si="34"/>
        <v>0</v>
      </c>
      <c r="AL87" s="67">
        <f t="shared" ca="1" si="34"/>
        <v>0</v>
      </c>
      <c r="AM87" s="67">
        <f t="shared" ca="1" si="34"/>
        <v>0</v>
      </c>
      <c r="AN87" s="67">
        <f t="shared" ca="1" si="34"/>
        <v>0</v>
      </c>
      <c r="AO87" s="67">
        <f t="shared" ca="1" si="34"/>
        <v>0</v>
      </c>
      <c r="AP87" s="67">
        <f t="shared" ca="1" si="34"/>
        <v>0</v>
      </c>
      <c r="AQ87" s="67">
        <f t="shared" ca="1" si="34"/>
        <v>0</v>
      </c>
      <c r="AR87" s="67">
        <f t="shared" ca="1" si="34"/>
        <v>0</v>
      </c>
      <c r="AS87" s="67">
        <f t="shared" ca="1" si="34"/>
        <v>0</v>
      </c>
      <c r="AT87" s="67">
        <f t="shared" ca="1" si="34"/>
        <v>0</v>
      </c>
      <c r="AU87" s="67">
        <f t="shared" ca="1" si="34"/>
        <v>0</v>
      </c>
      <c r="AV87" s="67">
        <f t="shared" ca="1" si="34"/>
        <v>0</v>
      </c>
      <c r="AW87" s="67">
        <f t="shared" ca="1" si="34"/>
        <v>0</v>
      </c>
      <c r="AX87" s="67">
        <f t="shared" ca="1" si="34"/>
        <v>0</v>
      </c>
      <c r="AY87" s="67">
        <f t="shared" ca="1" si="33"/>
        <v>0</v>
      </c>
      <c r="AZ87" s="67">
        <f t="shared" ca="1" si="33"/>
        <v>0</v>
      </c>
      <c r="BA87" s="67">
        <f t="shared" ca="1" si="33"/>
        <v>0</v>
      </c>
      <c r="BB87" s="67">
        <f t="shared" ca="1" si="33"/>
        <v>0</v>
      </c>
      <c r="BC87" s="67">
        <f t="shared" ca="1" si="33"/>
        <v>0</v>
      </c>
      <c r="BD87" s="67">
        <f t="shared" ca="1" si="33"/>
        <v>0</v>
      </c>
      <c r="BE87" s="67">
        <f t="shared" ca="1" si="33"/>
        <v>0</v>
      </c>
      <c r="BF87" s="67">
        <f t="shared" ca="1" si="33"/>
        <v>0</v>
      </c>
      <c r="BG87" s="67">
        <f t="shared" ca="1" si="33"/>
        <v>0</v>
      </c>
      <c r="BH87" s="67">
        <f t="shared" ca="1" si="33"/>
        <v>0</v>
      </c>
      <c r="BI87" s="67">
        <f t="shared" ca="1" si="33"/>
        <v>0</v>
      </c>
      <c r="BJ87" s="67">
        <f t="shared" ca="1" si="33"/>
        <v>0</v>
      </c>
      <c r="BK87" s="67">
        <f t="shared" ca="1" si="33"/>
        <v>0</v>
      </c>
      <c r="BL87" s="67">
        <f t="shared" ca="1" si="33"/>
        <v>0</v>
      </c>
      <c r="BM87" s="67">
        <f t="shared" ca="1" si="33"/>
        <v>0</v>
      </c>
      <c r="BN87" s="67">
        <f t="shared" ca="1" si="33"/>
        <v>0</v>
      </c>
      <c r="BO87" s="67">
        <f t="shared" ca="1" si="35"/>
        <v>0</v>
      </c>
      <c r="BP87" s="67">
        <f t="shared" ca="1" si="32"/>
        <v>0</v>
      </c>
      <c r="BQ87" s="67">
        <f t="shared" ca="1" si="27"/>
        <v>0</v>
      </c>
      <c r="BR87" s="67">
        <f t="shared" ca="1" si="27"/>
        <v>0</v>
      </c>
      <c r="BS87" s="67">
        <f t="shared" ca="1" si="27"/>
        <v>0</v>
      </c>
      <c r="BT87" s="67">
        <f t="shared" ca="1" si="27"/>
        <v>0</v>
      </c>
    </row>
    <row r="88" spans="2:72" x14ac:dyDescent="0.2">
      <c r="B88" s="87"/>
      <c r="G88" s="67" t="str">
        <f>ROW(A83)&amp;". "&amp;'Critical resources'!B94</f>
        <v xml:space="preserve">83. </v>
      </c>
      <c r="H88" s="67">
        <f ca="1">IFERROR(VLOOKUP('Critical resources'!D94,$B$6:$C$57,2,0),0)</f>
        <v>0</v>
      </c>
      <c r="I88" s="67">
        <f ca="1">IFERROR(VLOOKUP('Critical resources'!E94,$A$6:$C$57,3,0),0)</f>
        <v>0</v>
      </c>
      <c r="J88" s="67">
        <f ca="1">IFERROR(VLOOKUP('Critical resources'!G94,$B$6:$C$57,2,0),0)</f>
        <v>0</v>
      </c>
      <c r="K88" s="67">
        <f ca="1">IFERROR(VLOOKUP('Critical resources'!H94,$B$6:$C$57,2,0),0)</f>
        <v>0</v>
      </c>
      <c r="L88" s="67">
        <f ca="1">IFERROR(VLOOKUP('Critical resources'!J94,$B$6:$C$57,2,0),0)</f>
        <v>0</v>
      </c>
      <c r="M88" s="67">
        <f ca="1">IFERROR(VLOOKUP('Critical resources'!K94,$A$6:$C$57,3,0),0)</f>
        <v>0</v>
      </c>
      <c r="N88" s="67">
        <f ca="1">IFERROR(VLOOKUP('Critical resources'!M94,$B$6:$C$57,2,0),0)</f>
        <v>0</v>
      </c>
      <c r="O88" s="67">
        <f ca="1">IFERROR(VLOOKUP('Critical resources'!N94,$A$6:$C$57,3,0),0)</f>
        <v>0</v>
      </c>
      <c r="P88" s="67">
        <f ca="1">IFERROR(VLOOKUP('Critical resources'!P94,$B$6:$C$57,2,0),0)</f>
        <v>0</v>
      </c>
      <c r="Q88" s="67">
        <f ca="1">IFERROR(VLOOKUP('Critical resources'!Q94,$A$6:$C$57,3,0),0)</f>
        <v>0</v>
      </c>
      <c r="T88" s="67" t="str">
        <f t="shared" si="28"/>
        <v xml:space="preserve">83. </v>
      </c>
      <c r="U88" s="67">
        <f t="shared" ca="1" si="36"/>
        <v>0</v>
      </c>
      <c r="V88" s="67">
        <f t="shared" ca="1" si="36"/>
        <v>0</v>
      </c>
      <c r="W88" s="67">
        <f t="shared" ca="1" si="36"/>
        <v>0</v>
      </c>
      <c r="X88" s="67">
        <f t="shared" ca="1" si="36"/>
        <v>0</v>
      </c>
      <c r="Y88" s="67">
        <f t="shared" ca="1" si="36"/>
        <v>0</v>
      </c>
      <c r="Z88" s="67">
        <f t="shared" ca="1" si="36"/>
        <v>0</v>
      </c>
      <c r="AA88" s="67">
        <f t="shared" ca="1" si="36"/>
        <v>0</v>
      </c>
      <c r="AB88" s="67">
        <f t="shared" ca="1" si="36"/>
        <v>0</v>
      </c>
      <c r="AC88" s="67">
        <f t="shared" ca="1" si="36"/>
        <v>0</v>
      </c>
      <c r="AD88" s="67">
        <f t="shared" ca="1" si="36"/>
        <v>0</v>
      </c>
      <c r="AE88" s="67">
        <f t="shared" ca="1" si="36"/>
        <v>0</v>
      </c>
      <c r="AF88" s="67">
        <f t="shared" ca="1" si="36"/>
        <v>0</v>
      </c>
      <c r="AG88" s="67">
        <f t="shared" ca="1" si="36"/>
        <v>0</v>
      </c>
      <c r="AH88" s="67">
        <f t="shared" ca="1" si="36"/>
        <v>0</v>
      </c>
      <c r="AI88" s="67">
        <f t="shared" ca="1" si="36"/>
        <v>0</v>
      </c>
      <c r="AJ88" s="67">
        <f t="shared" ca="1" si="36"/>
        <v>0</v>
      </c>
      <c r="AK88" s="67">
        <f t="shared" ca="1" si="34"/>
        <v>0</v>
      </c>
      <c r="AL88" s="67">
        <f t="shared" ca="1" si="34"/>
        <v>0</v>
      </c>
      <c r="AM88" s="67">
        <f t="shared" ca="1" si="34"/>
        <v>0</v>
      </c>
      <c r="AN88" s="67">
        <f t="shared" ca="1" si="34"/>
        <v>0</v>
      </c>
      <c r="AO88" s="67">
        <f t="shared" ca="1" si="34"/>
        <v>0</v>
      </c>
      <c r="AP88" s="67">
        <f t="shared" ca="1" si="34"/>
        <v>0</v>
      </c>
      <c r="AQ88" s="67">
        <f t="shared" ca="1" si="34"/>
        <v>0</v>
      </c>
      <c r="AR88" s="67">
        <f t="shared" ca="1" si="34"/>
        <v>0</v>
      </c>
      <c r="AS88" s="67">
        <f t="shared" ca="1" si="34"/>
        <v>0</v>
      </c>
      <c r="AT88" s="67">
        <f t="shared" ca="1" si="34"/>
        <v>0</v>
      </c>
      <c r="AU88" s="67">
        <f t="shared" ca="1" si="34"/>
        <v>0</v>
      </c>
      <c r="AV88" s="67">
        <f t="shared" ca="1" si="34"/>
        <v>0</v>
      </c>
      <c r="AW88" s="67">
        <f t="shared" ca="1" si="34"/>
        <v>0</v>
      </c>
      <c r="AX88" s="67">
        <f t="shared" ca="1" si="34"/>
        <v>0</v>
      </c>
      <c r="AY88" s="67">
        <f t="shared" ca="1" si="33"/>
        <v>0</v>
      </c>
      <c r="AZ88" s="67">
        <f t="shared" ca="1" si="33"/>
        <v>0</v>
      </c>
      <c r="BA88" s="67">
        <f t="shared" ca="1" si="33"/>
        <v>0</v>
      </c>
      <c r="BB88" s="67">
        <f t="shared" ca="1" si="33"/>
        <v>0</v>
      </c>
      <c r="BC88" s="67">
        <f t="shared" ca="1" si="33"/>
        <v>0</v>
      </c>
      <c r="BD88" s="67">
        <f t="shared" ca="1" si="33"/>
        <v>0</v>
      </c>
      <c r="BE88" s="67">
        <f t="shared" ca="1" si="33"/>
        <v>0</v>
      </c>
      <c r="BF88" s="67">
        <f t="shared" ca="1" si="33"/>
        <v>0</v>
      </c>
      <c r="BG88" s="67">
        <f t="shared" ca="1" si="33"/>
        <v>0</v>
      </c>
      <c r="BH88" s="67">
        <f t="shared" ca="1" si="33"/>
        <v>0</v>
      </c>
      <c r="BI88" s="67">
        <f t="shared" ca="1" si="33"/>
        <v>0</v>
      </c>
      <c r="BJ88" s="67">
        <f t="shared" ca="1" si="33"/>
        <v>0</v>
      </c>
      <c r="BK88" s="67">
        <f t="shared" ca="1" si="33"/>
        <v>0</v>
      </c>
      <c r="BL88" s="67">
        <f t="shared" ca="1" si="33"/>
        <v>0</v>
      </c>
      <c r="BM88" s="67">
        <f t="shared" ca="1" si="33"/>
        <v>0</v>
      </c>
      <c r="BN88" s="67">
        <f t="shared" ca="1" si="33"/>
        <v>0</v>
      </c>
      <c r="BO88" s="67">
        <f t="shared" ca="1" si="35"/>
        <v>0</v>
      </c>
      <c r="BP88" s="67">
        <f t="shared" ca="1" si="32"/>
        <v>0</v>
      </c>
      <c r="BQ88" s="67">
        <f t="shared" ca="1" si="32"/>
        <v>0</v>
      </c>
      <c r="BR88" s="67">
        <f t="shared" ca="1" si="32"/>
        <v>0</v>
      </c>
      <c r="BS88" s="67">
        <f t="shared" ca="1" si="32"/>
        <v>0</v>
      </c>
      <c r="BT88" s="67">
        <f t="shared" ca="1" si="32"/>
        <v>0</v>
      </c>
    </row>
    <row r="89" spans="2:72" x14ac:dyDescent="0.2">
      <c r="B89" s="87"/>
      <c r="G89" s="67" t="str">
        <f>ROW(A84)&amp;". "&amp;'Critical resources'!B95</f>
        <v xml:space="preserve">84. </v>
      </c>
      <c r="H89" s="67">
        <f ca="1">IFERROR(VLOOKUP('Critical resources'!D95,$B$6:$C$57,2,0),0)</f>
        <v>0</v>
      </c>
      <c r="I89" s="67">
        <f ca="1">IFERROR(VLOOKUP('Critical resources'!E95,$A$6:$C$57,3,0),0)</f>
        <v>0</v>
      </c>
      <c r="J89" s="67">
        <f ca="1">IFERROR(VLOOKUP('Critical resources'!G95,$B$6:$C$57,2,0),0)</f>
        <v>0</v>
      </c>
      <c r="K89" s="67">
        <f ca="1">IFERROR(VLOOKUP('Critical resources'!H95,$B$6:$C$57,2,0),0)</f>
        <v>0</v>
      </c>
      <c r="L89" s="67">
        <f ca="1">IFERROR(VLOOKUP('Critical resources'!J95,$B$6:$C$57,2,0),0)</f>
        <v>0</v>
      </c>
      <c r="M89" s="67">
        <f ca="1">IFERROR(VLOOKUP('Critical resources'!K95,$A$6:$C$57,3,0),0)</f>
        <v>0</v>
      </c>
      <c r="N89" s="67">
        <f ca="1">IFERROR(VLOOKUP('Critical resources'!M95,$B$6:$C$57,2,0),0)</f>
        <v>0</v>
      </c>
      <c r="O89" s="67">
        <f ca="1">IFERROR(VLOOKUP('Critical resources'!N95,$A$6:$C$57,3,0),0)</f>
        <v>0</v>
      </c>
      <c r="P89" s="67">
        <f ca="1">IFERROR(VLOOKUP('Critical resources'!P95,$B$6:$C$57,2,0),0)</f>
        <v>0</v>
      </c>
      <c r="Q89" s="67">
        <f ca="1">IFERROR(VLOOKUP('Critical resources'!Q95,$A$6:$C$57,3,0),0)</f>
        <v>0</v>
      </c>
      <c r="T89" s="67" t="str">
        <f t="shared" si="28"/>
        <v xml:space="preserve">84. </v>
      </c>
      <c r="U89" s="67">
        <f t="shared" ca="1" si="36"/>
        <v>0</v>
      </c>
      <c r="V89" s="67">
        <f t="shared" ca="1" si="36"/>
        <v>0</v>
      </c>
      <c r="W89" s="67">
        <f t="shared" ca="1" si="36"/>
        <v>0</v>
      </c>
      <c r="X89" s="67">
        <f t="shared" ca="1" si="36"/>
        <v>0</v>
      </c>
      <c r="Y89" s="67">
        <f t="shared" ca="1" si="36"/>
        <v>0</v>
      </c>
      <c r="Z89" s="67">
        <f t="shared" ca="1" si="36"/>
        <v>0</v>
      </c>
      <c r="AA89" s="67">
        <f t="shared" ca="1" si="36"/>
        <v>0</v>
      </c>
      <c r="AB89" s="67">
        <f t="shared" ca="1" si="36"/>
        <v>0</v>
      </c>
      <c r="AC89" s="67">
        <f t="shared" ca="1" si="36"/>
        <v>0</v>
      </c>
      <c r="AD89" s="67">
        <f t="shared" ca="1" si="36"/>
        <v>0</v>
      </c>
      <c r="AE89" s="67">
        <f t="shared" ca="1" si="36"/>
        <v>0</v>
      </c>
      <c r="AF89" s="67">
        <f t="shared" ca="1" si="36"/>
        <v>0</v>
      </c>
      <c r="AG89" s="67">
        <f t="shared" ca="1" si="36"/>
        <v>0</v>
      </c>
      <c r="AH89" s="67">
        <f t="shared" ca="1" si="36"/>
        <v>0</v>
      </c>
      <c r="AI89" s="67">
        <f t="shared" ca="1" si="36"/>
        <v>0</v>
      </c>
      <c r="AJ89" s="67">
        <f t="shared" ca="1" si="36"/>
        <v>0</v>
      </c>
      <c r="AK89" s="67">
        <f t="shared" ca="1" si="34"/>
        <v>0</v>
      </c>
      <c r="AL89" s="67">
        <f t="shared" ca="1" si="34"/>
        <v>0</v>
      </c>
      <c r="AM89" s="67">
        <f t="shared" ca="1" si="34"/>
        <v>0</v>
      </c>
      <c r="AN89" s="67">
        <f t="shared" ca="1" si="34"/>
        <v>0</v>
      </c>
      <c r="AO89" s="67">
        <f t="shared" ca="1" si="34"/>
        <v>0</v>
      </c>
      <c r="AP89" s="67">
        <f t="shared" ca="1" si="34"/>
        <v>0</v>
      </c>
      <c r="AQ89" s="67">
        <f t="shared" ca="1" si="34"/>
        <v>0</v>
      </c>
      <c r="AR89" s="67">
        <f t="shared" ca="1" si="34"/>
        <v>0</v>
      </c>
      <c r="AS89" s="67">
        <f t="shared" ca="1" si="34"/>
        <v>0</v>
      </c>
      <c r="AT89" s="67">
        <f t="shared" ca="1" si="34"/>
        <v>0</v>
      </c>
      <c r="AU89" s="67">
        <f t="shared" ca="1" si="34"/>
        <v>0</v>
      </c>
      <c r="AV89" s="67">
        <f t="shared" ca="1" si="34"/>
        <v>0</v>
      </c>
      <c r="AW89" s="67">
        <f t="shared" ca="1" si="34"/>
        <v>0</v>
      </c>
      <c r="AX89" s="67">
        <f t="shared" ca="1" si="34"/>
        <v>0</v>
      </c>
      <c r="AY89" s="67">
        <f t="shared" ca="1" si="33"/>
        <v>0</v>
      </c>
      <c r="AZ89" s="67">
        <f t="shared" ca="1" si="33"/>
        <v>0</v>
      </c>
      <c r="BA89" s="67">
        <f t="shared" ca="1" si="33"/>
        <v>0</v>
      </c>
      <c r="BB89" s="67">
        <f t="shared" ca="1" si="33"/>
        <v>0</v>
      </c>
      <c r="BC89" s="67">
        <f t="shared" ca="1" si="33"/>
        <v>0</v>
      </c>
      <c r="BD89" s="67">
        <f t="shared" ca="1" si="33"/>
        <v>0</v>
      </c>
      <c r="BE89" s="67">
        <f t="shared" ca="1" si="33"/>
        <v>0</v>
      </c>
      <c r="BF89" s="67">
        <f t="shared" ca="1" si="33"/>
        <v>0</v>
      </c>
      <c r="BG89" s="67">
        <f t="shared" ca="1" si="33"/>
        <v>0</v>
      </c>
      <c r="BH89" s="67">
        <f t="shared" ca="1" si="33"/>
        <v>0</v>
      </c>
      <c r="BI89" s="67">
        <f t="shared" ca="1" si="33"/>
        <v>0</v>
      </c>
      <c r="BJ89" s="67">
        <f t="shared" ca="1" si="33"/>
        <v>0</v>
      </c>
      <c r="BK89" s="67">
        <f t="shared" ca="1" si="33"/>
        <v>0</v>
      </c>
      <c r="BL89" s="67">
        <f t="shared" ca="1" si="33"/>
        <v>0</v>
      </c>
      <c r="BM89" s="67">
        <f t="shared" ca="1" si="33"/>
        <v>0</v>
      </c>
      <c r="BN89" s="67">
        <f t="shared" ca="1" si="33"/>
        <v>0</v>
      </c>
      <c r="BO89" s="67">
        <f t="shared" ca="1" si="35"/>
        <v>0</v>
      </c>
      <c r="BP89" s="67">
        <f t="shared" ca="1" si="32"/>
        <v>0</v>
      </c>
      <c r="BQ89" s="67">
        <f t="shared" ca="1" si="32"/>
        <v>0</v>
      </c>
      <c r="BR89" s="67">
        <f t="shared" ca="1" si="32"/>
        <v>0</v>
      </c>
      <c r="BS89" s="67">
        <f t="shared" ca="1" si="32"/>
        <v>0</v>
      </c>
      <c r="BT89" s="67">
        <f t="shared" ca="1" si="32"/>
        <v>0</v>
      </c>
    </row>
    <row r="90" spans="2:72" x14ac:dyDescent="0.2">
      <c r="B90" s="87"/>
      <c r="G90" s="67" t="str">
        <f>ROW(A85)&amp;". "&amp;'Critical resources'!B96</f>
        <v xml:space="preserve">85. </v>
      </c>
      <c r="H90" s="67">
        <f ca="1">IFERROR(VLOOKUP('Critical resources'!D96,$B$6:$C$57,2,0),0)</f>
        <v>0</v>
      </c>
      <c r="I90" s="67">
        <f ca="1">IFERROR(VLOOKUP('Critical resources'!E96,$A$6:$C$57,3,0),0)</f>
        <v>0</v>
      </c>
      <c r="J90" s="67">
        <f ca="1">IFERROR(VLOOKUP('Critical resources'!G96,$B$6:$C$57,2,0),0)</f>
        <v>0</v>
      </c>
      <c r="K90" s="67">
        <f ca="1">IFERROR(VLOOKUP('Critical resources'!H96,$B$6:$C$57,2,0),0)</f>
        <v>0</v>
      </c>
      <c r="L90" s="67">
        <f ca="1">IFERROR(VLOOKUP('Critical resources'!J96,$B$6:$C$57,2,0),0)</f>
        <v>0</v>
      </c>
      <c r="M90" s="67">
        <f ca="1">IFERROR(VLOOKUP('Critical resources'!K96,$A$6:$C$57,3,0),0)</f>
        <v>0</v>
      </c>
      <c r="N90" s="67">
        <f ca="1">IFERROR(VLOOKUP('Critical resources'!M96,$B$6:$C$57,2,0),0)</f>
        <v>0</v>
      </c>
      <c r="O90" s="67">
        <f ca="1">IFERROR(VLOOKUP('Critical resources'!N96,$A$6:$C$57,3,0),0)</f>
        <v>0</v>
      </c>
      <c r="P90" s="67">
        <f ca="1">IFERROR(VLOOKUP('Critical resources'!P96,$B$6:$C$57,2,0),0)</f>
        <v>0</v>
      </c>
      <c r="Q90" s="67">
        <f ca="1">IFERROR(VLOOKUP('Critical resources'!Q96,$A$6:$C$57,3,0),0)</f>
        <v>0</v>
      </c>
      <c r="T90" s="67" t="str">
        <f t="shared" si="28"/>
        <v xml:space="preserve">85. </v>
      </c>
      <c r="U90" s="67">
        <f t="shared" ca="1" si="36"/>
        <v>0</v>
      </c>
      <c r="V90" s="67">
        <f t="shared" ca="1" si="36"/>
        <v>0</v>
      </c>
      <c r="W90" s="67">
        <f t="shared" ca="1" si="36"/>
        <v>0</v>
      </c>
      <c r="X90" s="67">
        <f t="shared" ca="1" si="36"/>
        <v>0</v>
      </c>
      <c r="Y90" s="67">
        <f t="shared" ca="1" si="36"/>
        <v>0</v>
      </c>
      <c r="Z90" s="67">
        <f t="shared" ca="1" si="36"/>
        <v>0</v>
      </c>
      <c r="AA90" s="67">
        <f t="shared" ca="1" si="36"/>
        <v>0</v>
      </c>
      <c r="AB90" s="67">
        <f t="shared" ca="1" si="36"/>
        <v>0</v>
      </c>
      <c r="AC90" s="67">
        <f t="shared" ca="1" si="36"/>
        <v>0</v>
      </c>
      <c r="AD90" s="67">
        <f t="shared" ca="1" si="36"/>
        <v>0</v>
      </c>
      <c r="AE90" s="67">
        <f t="shared" ca="1" si="36"/>
        <v>0</v>
      </c>
      <c r="AF90" s="67">
        <f t="shared" ca="1" si="36"/>
        <v>0</v>
      </c>
      <c r="AG90" s="67">
        <f t="shared" ca="1" si="36"/>
        <v>0</v>
      </c>
      <c r="AH90" s="67">
        <f t="shared" ca="1" si="36"/>
        <v>0</v>
      </c>
      <c r="AI90" s="67">
        <f t="shared" ca="1" si="36"/>
        <v>0</v>
      </c>
      <c r="AJ90" s="67">
        <f t="shared" ca="1" si="36"/>
        <v>0</v>
      </c>
      <c r="AK90" s="67">
        <f t="shared" ca="1" si="34"/>
        <v>0</v>
      </c>
      <c r="AL90" s="67">
        <f t="shared" ca="1" si="34"/>
        <v>0</v>
      </c>
      <c r="AM90" s="67">
        <f t="shared" ca="1" si="34"/>
        <v>0</v>
      </c>
      <c r="AN90" s="67">
        <f t="shared" ca="1" si="34"/>
        <v>0</v>
      </c>
      <c r="AO90" s="67">
        <f t="shared" ca="1" si="34"/>
        <v>0</v>
      </c>
      <c r="AP90" s="67">
        <f t="shared" ca="1" si="34"/>
        <v>0</v>
      </c>
      <c r="AQ90" s="67">
        <f t="shared" ca="1" si="34"/>
        <v>0</v>
      </c>
      <c r="AR90" s="67">
        <f t="shared" ca="1" si="34"/>
        <v>0</v>
      </c>
      <c r="AS90" s="67">
        <f t="shared" ca="1" si="34"/>
        <v>0</v>
      </c>
      <c r="AT90" s="67">
        <f t="shared" ca="1" si="34"/>
        <v>0</v>
      </c>
      <c r="AU90" s="67">
        <f t="shared" ca="1" si="34"/>
        <v>0</v>
      </c>
      <c r="AV90" s="67">
        <f t="shared" ca="1" si="34"/>
        <v>0</v>
      </c>
      <c r="AW90" s="67">
        <f t="shared" ca="1" si="34"/>
        <v>0</v>
      </c>
      <c r="AX90" s="67">
        <f t="shared" ca="1" si="34"/>
        <v>0</v>
      </c>
      <c r="AY90" s="67">
        <f t="shared" ca="1" si="33"/>
        <v>0</v>
      </c>
      <c r="AZ90" s="67">
        <f t="shared" ca="1" si="33"/>
        <v>0</v>
      </c>
      <c r="BA90" s="67">
        <f t="shared" ca="1" si="33"/>
        <v>0</v>
      </c>
      <c r="BB90" s="67">
        <f t="shared" ca="1" si="33"/>
        <v>0</v>
      </c>
      <c r="BC90" s="67">
        <f t="shared" ca="1" si="33"/>
        <v>0</v>
      </c>
      <c r="BD90" s="67">
        <f t="shared" ca="1" si="33"/>
        <v>0</v>
      </c>
      <c r="BE90" s="67">
        <f t="shared" ca="1" si="33"/>
        <v>0</v>
      </c>
      <c r="BF90" s="67">
        <f t="shared" ca="1" si="33"/>
        <v>0</v>
      </c>
      <c r="BG90" s="67">
        <f t="shared" ca="1" si="33"/>
        <v>0</v>
      </c>
      <c r="BH90" s="67">
        <f t="shared" ca="1" si="33"/>
        <v>0</v>
      </c>
      <c r="BI90" s="67">
        <f t="shared" ca="1" si="33"/>
        <v>0</v>
      </c>
      <c r="BJ90" s="67">
        <f t="shared" ca="1" si="33"/>
        <v>0</v>
      </c>
      <c r="BK90" s="67">
        <f t="shared" ca="1" si="33"/>
        <v>0</v>
      </c>
      <c r="BL90" s="67">
        <f t="shared" ca="1" si="33"/>
        <v>0</v>
      </c>
      <c r="BM90" s="67">
        <f t="shared" ca="1" si="33"/>
        <v>0</v>
      </c>
      <c r="BN90" s="67">
        <f t="shared" ca="1" si="33"/>
        <v>0</v>
      </c>
      <c r="BO90" s="67">
        <f t="shared" ca="1" si="35"/>
        <v>0</v>
      </c>
      <c r="BP90" s="67">
        <f t="shared" ca="1" si="32"/>
        <v>0</v>
      </c>
      <c r="BQ90" s="67">
        <f t="shared" ca="1" si="32"/>
        <v>0</v>
      </c>
      <c r="BR90" s="67">
        <f t="shared" ca="1" si="32"/>
        <v>0</v>
      </c>
      <c r="BS90" s="67">
        <f t="shared" ca="1" si="32"/>
        <v>0</v>
      </c>
      <c r="BT90" s="67">
        <f t="shared" ca="1" si="32"/>
        <v>0</v>
      </c>
    </row>
    <row r="91" spans="2:72" x14ac:dyDescent="0.2">
      <c r="B91" s="87"/>
      <c r="G91" s="67" t="str">
        <f>ROW(A86)&amp;". "&amp;'Critical resources'!B97</f>
        <v xml:space="preserve">86. </v>
      </c>
      <c r="H91" s="67">
        <f ca="1">IFERROR(VLOOKUP('Critical resources'!D97,$B$6:$C$57,2,0),0)</f>
        <v>0</v>
      </c>
      <c r="I91" s="67">
        <f ca="1">IFERROR(VLOOKUP('Critical resources'!E97,$A$6:$C$57,3,0),0)</f>
        <v>0</v>
      </c>
      <c r="J91" s="67">
        <f ca="1">IFERROR(VLOOKUP('Critical resources'!G97,$B$6:$C$57,2,0),0)</f>
        <v>0</v>
      </c>
      <c r="K91" s="67">
        <f ca="1">IFERROR(VLOOKUP('Critical resources'!H97,$B$6:$C$57,2,0),0)</f>
        <v>0</v>
      </c>
      <c r="L91" s="67">
        <f ca="1">IFERROR(VLOOKUP('Critical resources'!J97,$B$6:$C$57,2,0),0)</f>
        <v>0</v>
      </c>
      <c r="M91" s="67">
        <f ca="1">IFERROR(VLOOKUP('Critical resources'!K97,$A$6:$C$57,3,0),0)</f>
        <v>0</v>
      </c>
      <c r="N91" s="67">
        <f ca="1">IFERROR(VLOOKUP('Critical resources'!M97,$B$6:$C$57,2,0),0)</f>
        <v>0</v>
      </c>
      <c r="O91" s="67">
        <f ca="1">IFERROR(VLOOKUP('Critical resources'!N97,$A$6:$C$57,3,0),0)</f>
        <v>0</v>
      </c>
      <c r="P91" s="67">
        <f ca="1">IFERROR(VLOOKUP('Critical resources'!P97,$B$6:$C$57,2,0),0)</f>
        <v>0</v>
      </c>
      <c r="Q91" s="67">
        <f ca="1">IFERROR(VLOOKUP('Critical resources'!Q97,$A$6:$C$57,3,0),0)</f>
        <v>0</v>
      </c>
      <c r="T91" s="67" t="str">
        <f t="shared" si="28"/>
        <v xml:space="preserve">86. </v>
      </c>
      <c r="U91" s="67">
        <f t="shared" ca="1" si="36"/>
        <v>0</v>
      </c>
      <c r="V91" s="67">
        <f t="shared" ca="1" si="36"/>
        <v>0</v>
      </c>
      <c r="W91" s="67">
        <f t="shared" ca="1" si="36"/>
        <v>0</v>
      </c>
      <c r="X91" s="67">
        <f t="shared" ca="1" si="36"/>
        <v>0</v>
      </c>
      <c r="Y91" s="67">
        <f t="shared" ca="1" si="36"/>
        <v>0</v>
      </c>
      <c r="Z91" s="67">
        <f t="shared" ca="1" si="36"/>
        <v>0</v>
      </c>
      <c r="AA91" s="67">
        <f t="shared" ca="1" si="36"/>
        <v>0</v>
      </c>
      <c r="AB91" s="67">
        <f t="shared" ca="1" si="36"/>
        <v>0</v>
      </c>
      <c r="AC91" s="67">
        <f t="shared" ca="1" si="36"/>
        <v>0</v>
      </c>
      <c r="AD91" s="67">
        <f t="shared" ca="1" si="36"/>
        <v>0</v>
      </c>
      <c r="AE91" s="67">
        <f t="shared" ca="1" si="36"/>
        <v>0</v>
      </c>
      <c r="AF91" s="67">
        <f t="shared" ca="1" si="36"/>
        <v>0</v>
      </c>
      <c r="AG91" s="67">
        <f t="shared" ca="1" si="36"/>
        <v>0</v>
      </c>
      <c r="AH91" s="67">
        <f t="shared" ca="1" si="36"/>
        <v>0</v>
      </c>
      <c r="AI91" s="67">
        <f t="shared" ca="1" si="36"/>
        <v>0</v>
      </c>
      <c r="AJ91" s="67">
        <f t="shared" ca="1" si="36"/>
        <v>0</v>
      </c>
      <c r="AK91" s="67">
        <f t="shared" ca="1" si="34"/>
        <v>0</v>
      </c>
      <c r="AL91" s="67">
        <f t="shared" ca="1" si="34"/>
        <v>0</v>
      </c>
      <c r="AM91" s="67">
        <f t="shared" ca="1" si="34"/>
        <v>0</v>
      </c>
      <c r="AN91" s="67">
        <f t="shared" ca="1" si="34"/>
        <v>0</v>
      </c>
      <c r="AO91" s="67">
        <f t="shared" ca="1" si="34"/>
        <v>0</v>
      </c>
      <c r="AP91" s="67">
        <f t="shared" ca="1" si="34"/>
        <v>0</v>
      </c>
      <c r="AQ91" s="67">
        <f t="shared" ca="1" si="34"/>
        <v>0</v>
      </c>
      <c r="AR91" s="67">
        <f t="shared" ca="1" si="34"/>
        <v>0</v>
      </c>
      <c r="AS91" s="67">
        <f t="shared" ca="1" si="34"/>
        <v>0</v>
      </c>
      <c r="AT91" s="67">
        <f t="shared" ca="1" si="34"/>
        <v>0</v>
      </c>
      <c r="AU91" s="67">
        <f t="shared" ca="1" si="34"/>
        <v>0</v>
      </c>
      <c r="AV91" s="67">
        <f t="shared" ca="1" si="34"/>
        <v>0</v>
      </c>
      <c r="AW91" s="67">
        <f t="shared" ca="1" si="34"/>
        <v>0</v>
      </c>
      <c r="AX91" s="67">
        <f t="shared" ca="1" si="34"/>
        <v>0</v>
      </c>
      <c r="AY91" s="67">
        <f t="shared" ca="1" si="33"/>
        <v>0</v>
      </c>
      <c r="AZ91" s="67">
        <f t="shared" ca="1" si="33"/>
        <v>0</v>
      </c>
      <c r="BA91" s="67">
        <f t="shared" ca="1" si="33"/>
        <v>0</v>
      </c>
      <c r="BB91" s="67">
        <f t="shared" ca="1" si="33"/>
        <v>0</v>
      </c>
      <c r="BC91" s="67">
        <f t="shared" ca="1" si="33"/>
        <v>0</v>
      </c>
      <c r="BD91" s="67">
        <f t="shared" ca="1" si="33"/>
        <v>0</v>
      </c>
      <c r="BE91" s="67">
        <f t="shared" ca="1" si="33"/>
        <v>0</v>
      </c>
      <c r="BF91" s="67">
        <f t="shared" ca="1" si="33"/>
        <v>0</v>
      </c>
      <c r="BG91" s="67">
        <f t="shared" ca="1" si="33"/>
        <v>0</v>
      </c>
      <c r="BH91" s="67">
        <f t="shared" ca="1" si="33"/>
        <v>0</v>
      </c>
      <c r="BI91" s="67">
        <f t="shared" ca="1" si="33"/>
        <v>0</v>
      </c>
      <c r="BJ91" s="67">
        <f t="shared" ca="1" si="33"/>
        <v>0</v>
      </c>
      <c r="BK91" s="67">
        <f t="shared" ca="1" si="33"/>
        <v>0</v>
      </c>
      <c r="BL91" s="67">
        <f t="shared" ca="1" si="33"/>
        <v>0</v>
      </c>
      <c r="BM91" s="67">
        <f t="shared" ca="1" si="33"/>
        <v>0</v>
      </c>
      <c r="BN91" s="67">
        <f t="shared" ca="1" si="33"/>
        <v>0</v>
      </c>
      <c r="BO91" s="67">
        <f t="shared" ca="1" si="35"/>
        <v>0</v>
      </c>
      <c r="BP91" s="67">
        <f t="shared" ca="1" si="32"/>
        <v>0</v>
      </c>
      <c r="BQ91" s="67">
        <f t="shared" ca="1" si="32"/>
        <v>0</v>
      </c>
      <c r="BR91" s="67">
        <f t="shared" ca="1" si="32"/>
        <v>0</v>
      </c>
      <c r="BS91" s="67">
        <f t="shared" ca="1" si="32"/>
        <v>0</v>
      </c>
      <c r="BT91" s="67">
        <f t="shared" ca="1" si="32"/>
        <v>0</v>
      </c>
    </row>
    <row r="92" spans="2:72" x14ac:dyDescent="0.2">
      <c r="B92" s="87"/>
      <c r="G92" s="67" t="str">
        <f>ROW(A87)&amp;". "&amp;'Critical resources'!B98</f>
        <v xml:space="preserve">87. </v>
      </c>
      <c r="H92" s="67">
        <f ca="1">IFERROR(VLOOKUP('Critical resources'!D98,$B$6:$C$57,2,0),0)</f>
        <v>0</v>
      </c>
      <c r="I92" s="67">
        <f ca="1">IFERROR(VLOOKUP('Critical resources'!E98,$A$6:$C$57,3,0),0)</f>
        <v>0</v>
      </c>
      <c r="J92" s="67">
        <f ca="1">IFERROR(VLOOKUP('Critical resources'!G98,$B$6:$C$57,2,0),0)</f>
        <v>0</v>
      </c>
      <c r="K92" s="67">
        <f ca="1">IFERROR(VLOOKUP('Critical resources'!H98,$B$6:$C$57,2,0),0)</f>
        <v>0</v>
      </c>
      <c r="L92" s="67">
        <f ca="1">IFERROR(VLOOKUP('Critical resources'!J98,$B$6:$C$57,2,0),0)</f>
        <v>0</v>
      </c>
      <c r="M92" s="67">
        <f ca="1">IFERROR(VLOOKUP('Critical resources'!K98,$A$6:$C$57,3,0),0)</f>
        <v>0</v>
      </c>
      <c r="N92" s="67">
        <f ca="1">IFERROR(VLOOKUP('Critical resources'!M98,$B$6:$C$57,2,0),0)</f>
        <v>0</v>
      </c>
      <c r="O92" s="67">
        <f ca="1">IFERROR(VLOOKUP('Critical resources'!N98,$A$6:$C$57,3,0),0)</f>
        <v>0</v>
      </c>
      <c r="P92" s="67">
        <f ca="1">IFERROR(VLOOKUP('Critical resources'!P98,$B$6:$C$57,2,0),0)</f>
        <v>0</v>
      </c>
      <c r="Q92" s="67">
        <f ca="1">IFERROR(VLOOKUP('Critical resources'!Q98,$A$6:$C$57,3,0),0)</f>
        <v>0</v>
      </c>
      <c r="T92" s="67" t="str">
        <f t="shared" si="28"/>
        <v xml:space="preserve">87. </v>
      </c>
      <c r="U92" s="67">
        <f t="shared" ca="1" si="36"/>
        <v>0</v>
      </c>
      <c r="V92" s="67">
        <f t="shared" ca="1" si="36"/>
        <v>0</v>
      </c>
      <c r="W92" s="67">
        <f t="shared" ca="1" si="36"/>
        <v>0</v>
      </c>
      <c r="X92" s="67">
        <f t="shared" ca="1" si="36"/>
        <v>0</v>
      </c>
      <c r="Y92" s="67">
        <f t="shared" ca="1" si="36"/>
        <v>0</v>
      </c>
      <c r="Z92" s="67">
        <f t="shared" ca="1" si="36"/>
        <v>0</v>
      </c>
      <c r="AA92" s="67">
        <f t="shared" ca="1" si="36"/>
        <v>0</v>
      </c>
      <c r="AB92" s="67">
        <f t="shared" ca="1" si="36"/>
        <v>0</v>
      </c>
      <c r="AC92" s="67">
        <f t="shared" ca="1" si="36"/>
        <v>0</v>
      </c>
      <c r="AD92" s="67">
        <f t="shared" ca="1" si="36"/>
        <v>0</v>
      </c>
      <c r="AE92" s="67">
        <f t="shared" ca="1" si="36"/>
        <v>0</v>
      </c>
      <c r="AF92" s="67">
        <f t="shared" ca="1" si="36"/>
        <v>0</v>
      </c>
      <c r="AG92" s="67">
        <f t="shared" ca="1" si="36"/>
        <v>0</v>
      </c>
      <c r="AH92" s="67">
        <f t="shared" ca="1" si="36"/>
        <v>0</v>
      </c>
      <c r="AI92" s="67">
        <f t="shared" ca="1" si="36"/>
        <v>0</v>
      </c>
      <c r="AJ92" s="67">
        <f t="shared" ca="1" si="36"/>
        <v>0</v>
      </c>
      <c r="AK92" s="67">
        <f t="shared" ca="1" si="34"/>
        <v>0</v>
      </c>
      <c r="AL92" s="67">
        <f t="shared" ca="1" si="34"/>
        <v>0</v>
      </c>
      <c r="AM92" s="67">
        <f t="shared" ca="1" si="34"/>
        <v>0</v>
      </c>
      <c r="AN92" s="67">
        <f t="shared" ca="1" si="34"/>
        <v>0</v>
      </c>
      <c r="AO92" s="67">
        <f t="shared" ca="1" si="34"/>
        <v>0</v>
      </c>
      <c r="AP92" s="67">
        <f t="shared" ca="1" si="34"/>
        <v>0</v>
      </c>
      <c r="AQ92" s="67">
        <f t="shared" ca="1" si="34"/>
        <v>0</v>
      </c>
      <c r="AR92" s="67">
        <f t="shared" ca="1" si="34"/>
        <v>0</v>
      </c>
      <c r="AS92" s="67">
        <f t="shared" ca="1" si="34"/>
        <v>0</v>
      </c>
      <c r="AT92" s="67">
        <f t="shared" ca="1" si="34"/>
        <v>0</v>
      </c>
      <c r="AU92" s="67">
        <f t="shared" ca="1" si="34"/>
        <v>0</v>
      </c>
      <c r="AV92" s="67">
        <f t="shared" ca="1" si="34"/>
        <v>0</v>
      </c>
      <c r="AW92" s="67">
        <f t="shared" ca="1" si="34"/>
        <v>0</v>
      </c>
      <c r="AX92" s="67">
        <f t="shared" ca="1" si="34"/>
        <v>0</v>
      </c>
      <c r="AY92" s="67">
        <f t="shared" ca="1" si="33"/>
        <v>0</v>
      </c>
      <c r="AZ92" s="67">
        <f t="shared" ca="1" si="33"/>
        <v>0</v>
      </c>
      <c r="BA92" s="67">
        <f t="shared" ca="1" si="33"/>
        <v>0</v>
      </c>
      <c r="BB92" s="67">
        <f t="shared" ca="1" si="33"/>
        <v>0</v>
      </c>
      <c r="BC92" s="67">
        <f t="shared" ca="1" si="33"/>
        <v>0</v>
      </c>
      <c r="BD92" s="67">
        <f t="shared" ca="1" si="33"/>
        <v>0</v>
      </c>
      <c r="BE92" s="67">
        <f t="shared" ca="1" si="33"/>
        <v>0</v>
      </c>
      <c r="BF92" s="67">
        <f t="shared" ca="1" si="33"/>
        <v>0</v>
      </c>
      <c r="BG92" s="67">
        <f t="shared" ca="1" si="33"/>
        <v>0</v>
      </c>
      <c r="BH92" s="67">
        <f t="shared" ca="1" si="33"/>
        <v>0</v>
      </c>
      <c r="BI92" s="67">
        <f t="shared" ca="1" si="33"/>
        <v>0</v>
      </c>
      <c r="BJ92" s="67">
        <f t="shared" ca="1" si="33"/>
        <v>0</v>
      </c>
      <c r="BK92" s="67">
        <f t="shared" ca="1" si="33"/>
        <v>0</v>
      </c>
      <c r="BL92" s="67">
        <f t="shared" ca="1" si="33"/>
        <v>0</v>
      </c>
      <c r="BM92" s="67">
        <f t="shared" ca="1" si="33"/>
        <v>0</v>
      </c>
      <c r="BN92" s="67">
        <f t="shared" ca="1" si="33"/>
        <v>0</v>
      </c>
      <c r="BO92" s="67">
        <f t="shared" ca="1" si="35"/>
        <v>0</v>
      </c>
      <c r="BP92" s="67">
        <f t="shared" ca="1" si="32"/>
        <v>0</v>
      </c>
      <c r="BQ92" s="67">
        <f t="shared" ca="1" si="32"/>
        <v>0</v>
      </c>
      <c r="BR92" s="67">
        <f t="shared" ca="1" si="32"/>
        <v>0</v>
      </c>
      <c r="BS92" s="67">
        <f t="shared" ca="1" si="32"/>
        <v>0</v>
      </c>
      <c r="BT92" s="67">
        <f t="shared" ca="1" si="32"/>
        <v>0</v>
      </c>
    </row>
    <row r="93" spans="2:72" x14ac:dyDescent="0.2">
      <c r="B93" s="87"/>
      <c r="G93" s="67" t="str">
        <f>ROW(A88)&amp;". "&amp;'Critical resources'!B99</f>
        <v xml:space="preserve">88. </v>
      </c>
      <c r="H93" s="67">
        <f ca="1">IFERROR(VLOOKUP('Critical resources'!D99,$B$6:$C$57,2,0),0)</f>
        <v>0</v>
      </c>
      <c r="I93" s="67">
        <f ca="1">IFERROR(VLOOKUP('Critical resources'!E99,$A$6:$C$57,3,0),0)</f>
        <v>0</v>
      </c>
      <c r="J93" s="67">
        <f ca="1">IFERROR(VLOOKUP('Critical resources'!G99,$B$6:$C$57,2,0),0)</f>
        <v>0</v>
      </c>
      <c r="K93" s="67">
        <f ca="1">IFERROR(VLOOKUP('Critical resources'!H99,$B$6:$C$57,2,0),0)</f>
        <v>0</v>
      </c>
      <c r="L93" s="67">
        <f ca="1">IFERROR(VLOOKUP('Critical resources'!J99,$B$6:$C$57,2,0),0)</f>
        <v>0</v>
      </c>
      <c r="M93" s="67">
        <f ca="1">IFERROR(VLOOKUP('Critical resources'!K99,$A$6:$C$57,3,0),0)</f>
        <v>0</v>
      </c>
      <c r="N93" s="67">
        <f ca="1">IFERROR(VLOOKUP('Critical resources'!M99,$B$6:$C$57,2,0),0)</f>
        <v>0</v>
      </c>
      <c r="O93" s="67">
        <f ca="1">IFERROR(VLOOKUP('Critical resources'!N99,$A$6:$C$57,3,0),0)</f>
        <v>0</v>
      </c>
      <c r="P93" s="67">
        <f ca="1">IFERROR(VLOOKUP('Critical resources'!P99,$B$6:$C$57,2,0),0)</f>
        <v>0</v>
      </c>
      <c r="Q93" s="67">
        <f ca="1">IFERROR(VLOOKUP('Critical resources'!Q99,$A$6:$C$57,3,0),0)</f>
        <v>0</v>
      </c>
      <c r="T93" s="67" t="str">
        <f t="shared" si="28"/>
        <v xml:space="preserve">88. </v>
      </c>
      <c r="U93" s="67">
        <f t="shared" ca="1" si="36"/>
        <v>0</v>
      </c>
      <c r="V93" s="67">
        <f t="shared" ca="1" si="36"/>
        <v>0</v>
      </c>
      <c r="W93" s="67">
        <f t="shared" ca="1" si="36"/>
        <v>0</v>
      </c>
      <c r="X93" s="67">
        <f t="shared" ca="1" si="36"/>
        <v>0</v>
      </c>
      <c r="Y93" s="67">
        <f t="shared" ca="1" si="36"/>
        <v>0</v>
      </c>
      <c r="Z93" s="67">
        <f t="shared" ca="1" si="36"/>
        <v>0</v>
      </c>
      <c r="AA93" s="67">
        <f t="shared" ca="1" si="36"/>
        <v>0</v>
      </c>
      <c r="AB93" s="67">
        <f t="shared" ca="1" si="36"/>
        <v>0</v>
      </c>
      <c r="AC93" s="67">
        <f t="shared" ca="1" si="36"/>
        <v>0</v>
      </c>
      <c r="AD93" s="67">
        <f t="shared" ca="1" si="36"/>
        <v>0</v>
      </c>
      <c r="AE93" s="67">
        <f t="shared" ca="1" si="36"/>
        <v>0</v>
      </c>
      <c r="AF93" s="67">
        <f t="shared" ca="1" si="36"/>
        <v>0</v>
      </c>
      <c r="AG93" s="67">
        <f t="shared" ca="1" si="36"/>
        <v>0</v>
      </c>
      <c r="AH93" s="67">
        <f t="shared" ca="1" si="36"/>
        <v>0</v>
      </c>
      <c r="AI93" s="67">
        <f t="shared" ca="1" si="36"/>
        <v>0</v>
      </c>
      <c r="AJ93" s="67">
        <f t="shared" ca="1" si="36"/>
        <v>0</v>
      </c>
      <c r="AK93" s="67">
        <f t="shared" ca="1" si="34"/>
        <v>0</v>
      </c>
      <c r="AL93" s="67">
        <f t="shared" ca="1" si="34"/>
        <v>0</v>
      </c>
      <c r="AM93" s="67">
        <f t="shared" ca="1" si="34"/>
        <v>0</v>
      </c>
      <c r="AN93" s="67">
        <f t="shared" ca="1" si="34"/>
        <v>0</v>
      </c>
      <c r="AO93" s="67">
        <f t="shared" ca="1" si="34"/>
        <v>0</v>
      </c>
      <c r="AP93" s="67">
        <f t="shared" ca="1" si="34"/>
        <v>0</v>
      </c>
      <c r="AQ93" s="67">
        <f t="shared" ca="1" si="34"/>
        <v>0</v>
      </c>
      <c r="AR93" s="67">
        <f t="shared" ca="1" si="34"/>
        <v>0</v>
      </c>
      <c r="AS93" s="67">
        <f t="shared" ca="1" si="34"/>
        <v>0</v>
      </c>
      <c r="AT93" s="67">
        <f t="shared" ca="1" si="34"/>
        <v>0</v>
      </c>
      <c r="AU93" s="67">
        <f t="shared" ca="1" si="34"/>
        <v>0</v>
      </c>
      <c r="AV93" s="67">
        <f t="shared" ca="1" si="34"/>
        <v>0</v>
      </c>
      <c r="AW93" s="67">
        <f t="shared" ca="1" si="34"/>
        <v>0</v>
      </c>
      <c r="AX93" s="67">
        <f t="shared" ca="1" si="34"/>
        <v>0</v>
      </c>
      <c r="AY93" s="67">
        <f t="shared" ca="1" si="33"/>
        <v>0</v>
      </c>
      <c r="AZ93" s="67">
        <f t="shared" ca="1" si="33"/>
        <v>0</v>
      </c>
      <c r="BA93" s="67">
        <f t="shared" ca="1" si="33"/>
        <v>0</v>
      </c>
      <c r="BB93" s="67">
        <f t="shared" ca="1" si="33"/>
        <v>0</v>
      </c>
      <c r="BC93" s="67">
        <f t="shared" ca="1" si="33"/>
        <v>0</v>
      </c>
      <c r="BD93" s="67">
        <f t="shared" ca="1" si="33"/>
        <v>0</v>
      </c>
      <c r="BE93" s="67">
        <f t="shared" ca="1" si="33"/>
        <v>0</v>
      </c>
      <c r="BF93" s="67">
        <f t="shared" ca="1" si="33"/>
        <v>0</v>
      </c>
      <c r="BG93" s="67">
        <f t="shared" ca="1" si="33"/>
        <v>0</v>
      </c>
      <c r="BH93" s="67">
        <f t="shared" ca="1" si="33"/>
        <v>0</v>
      </c>
      <c r="BI93" s="67">
        <f t="shared" ca="1" si="33"/>
        <v>0</v>
      </c>
      <c r="BJ93" s="67">
        <f t="shared" ca="1" si="33"/>
        <v>0</v>
      </c>
      <c r="BK93" s="67">
        <f t="shared" ca="1" si="33"/>
        <v>0</v>
      </c>
      <c r="BL93" s="67">
        <f t="shared" ca="1" si="33"/>
        <v>0</v>
      </c>
      <c r="BM93" s="67">
        <f t="shared" ca="1" si="33"/>
        <v>0</v>
      </c>
      <c r="BN93" s="67">
        <f t="shared" ca="1" si="33"/>
        <v>0</v>
      </c>
      <c r="BO93" s="67">
        <f t="shared" ca="1" si="35"/>
        <v>0</v>
      </c>
      <c r="BP93" s="67">
        <f t="shared" ca="1" si="32"/>
        <v>0</v>
      </c>
      <c r="BQ93" s="67">
        <f t="shared" ca="1" si="32"/>
        <v>0</v>
      </c>
      <c r="BR93" s="67">
        <f t="shared" ca="1" si="32"/>
        <v>0</v>
      </c>
      <c r="BS93" s="67">
        <f t="shared" ca="1" si="32"/>
        <v>0</v>
      </c>
      <c r="BT93" s="67">
        <f t="shared" ca="1" si="32"/>
        <v>0</v>
      </c>
    </row>
    <row r="94" spans="2:72" x14ac:dyDescent="0.2">
      <c r="B94" s="87"/>
      <c r="G94" s="67" t="str">
        <f>ROW(A89)&amp;". "&amp;'Critical resources'!B100</f>
        <v xml:space="preserve">89. </v>
      </c>
      <c r="H94" s="67">
        <f ca="1">IFERROR(VLOOKUP('Critical resources'!D100,$B$6:$C$57,2,0),0)</f>
        <v>0</v>
      </c>
      <c r="I94" s="67">
        <f ca="1">IFERROR(VLOOKUP('Critical resources'!E100,$A$6:$C$57,3,0),0)</f>
        <v>0</v>
      </c>
      <c r="J94" s="67">
        <f ca="1">IFERROR(VLOOKUP('Critical resources'!G100,$B$6:$C$57,2,0),0)</f>
        <v>0</v>
      </c>
      <c r="K94" s="67">
        <f ca="1">IFERROR(VLOOKUP('Critical resources'!H100,$B$6:$C$57,2,0),0)</f>
        <v>0</v>
      </c>
      <c r="L94" s="67">
        <f ca="1">IFERROR(VLOOKUP('Critical resources'!J100,$B$6:$C$57,2,0),0)</f>
        <v>0</v>
      </c>
      <c r="M94" s="67">
        <f ca="1">IFERROR(VLOOKUP('Critical resources'!K100,$A$6:$C$57,3,0),0)</f>
        <v>0</v>
      </c>
      <c r="N94" s="67">
        <f ca="1">IFERROR(VLOOKUP('Critical resources'!M100,$B$6:$C$57,2,0),0)</f>
        <v>0</v>
      </c>
      <c r="O94" s="67">
        <f ca="1">IFERROR(VLOOKUP('Critical resources'!N100,$A$6:$C$57,3,0),0)</f>
        <v>0</v>
      </c>
      <c r="P94" s="67">
        <f ca="1">IFERROR(VLOOKUP('Critical resources'!P100,$B$6:$C$57,2,0),0)</f>
        <v>0</v>
      </c>
      <c r="Q94" s="67">
        <f ca="1">IFERROR(VLOOKUP('Critical resources'!Q100,$A$6:$C$57,3,0),0)</f>
        <v>0</v>
      </c>
      <c r="T94" s="67" t="str">
        <f t="shared" si="28"/>
        <v xml:space="preserve">89. </v>
      </c>
      <c r="U94" s="67">
        <f t="shared" ca="1" si="36"/>
        <v>0</v>
      </c>
      <c r="V94" s="67">
        <f t="shared" ca="1" si="36"/>
        <v>0</v>
      </c>
      <c r="W94" s="67">
        <f t="shared" ca="1" si="36"/>
        <v>0</v>
      </c>
      <c r="X94" s="67">
        <f t="shared" ca="1" si="36"/>
        <v>0</v>
      </c>
      <c r="Y94" s="67">
        <f t="shared" ca="1" si="36"/>
        <v>0</v>
      </c>
      <c r="Z94" s="67">
        <f t="shared" ca="1" si="36"/>
        <v>0</v>
      </c>
      <c r="AA94" s="67">
        <f t="shared" ca="1" si="36"/>
        <v>0</v>
      </c>
      <c r="AB94" s="67">
        <f t="shared" ca="1" si="36"/>
        <v>0</v>
      </c>
      <c r="AC94" s="67">
        <f t="shared" ca="1" si="36"/>
        <v>0</v>
      </c>
      <c r="AD94" s="67">
        <f t="shared" ca="1" si="36"/>
        <v>0</v>
      </c>
      <c r="AE94" s="67">
        <f t="shared" ca="1" si="36"/>
        <v>0</v>
      </c>
      <c r="AF94" s="67">
        <f t="shared" ca="1" si="36"/>
        <v>0</v>
      </c>
      <c r="AG94" s="67">
        <f t="shared" ca="1" si="36"/>
        <v>0</v>
      </c>
      <c r="AH94" s="67">
        <f t="shared" ca="1" si="36"/>
        <v>0</v>
      </c>
      <c r="AI94" s="67">
        <f t="shared" ca="1" si="36"/>
        <v>0</v>
      </c>
      <c r="AJ94" s="67">
        <f t="shared" ca="1" si="36"/>
        <v>0</v>
      </c>
      <c r="AK94" s="67">
        <f t="shared" ca="1" si="34"/>
        <v>0</v>
      </c>
      <c r="AL94" s="67">
        <f t="shared" ca="1" si="34"/>
        <v>0</v>
      </c>
      <c r="AM94" s="67">
        <f t="shared" ca="1" si="34"/>
        <v>0</v>
      </c>
      <c r="AN94" s="67">
        <f t="shared" ca="1" si="34"/>
        <v>0</v>
      </c>
      <c r="AO94" s="67">
        <f t="shared" ca="1" si="34"/>
        <v>0</v>
      </c>
      <c r="AP94" s="67">
        <f t="shared" ca="1" si="34"/>
        <v>0</v>
      </c>
      <c r="AQ94" s="67">
        <f t="shared" ca="1" si="34"/>
        <v>0</v>
      </c>
      <c r="AR94" s="67">
        <f t="shared" ca="1" si="34"/>
        <v>0</v>
      </c>
      <c r="AS94" s="67">
        <f t="shared" ca="1" si="34"/>
        <v>0</v>
      </c>
      <c r="AT94" s="67">
        <f t="shared" ca="1" si="34"/>
        <v>0</v>
      </c>
      <c r="AU94" s="67">
        <f t="shared" ca="1" si="34"/>
        <v>0</v>
      </c>
      <c r="AV94" s="67">
        <f t="shared" ca="1" si="34"/>
        <v>0</v>
      </c>
      <c r="AW94" s="67">
        <f t="shared" ca="1" si="34"/>
        <v>0</v>
      </c>
      <c r="AX94" s="67">
        <f t="shared" ca="1" si="34"/>
        <v>0</v>
      </c>
      <c r="AY94" s="67">
        <f t="shared" ca="1" si="33"/>
        <v>0</v>
      </c>
      <c r="AZ94" s="67">
        <f t="shared" ca="1" si="33"/>
        <v>0</v>
      </c>
      <c r="BA94" s="67">
        <f t="shared" ca="1" si="33"/>
        <v>0</v>
      </c>
      <c r="BB94" s="67">
        <f t="shared" ca="1" si="33"/>
        <v>0</v>
      </c>
      <c r="BC94" s="67">
        <f t="shared" ca="1" si="33"/>
        <v>0</v>
      </c>
      <c r="BD94" s="67">
        <f t="shared" ca="1" si="33"/>
        <v>0</v>
      </c>
      <c r="BE94" s="67">
        <f t="shared" ca="1" si="33"/>
        <v>0</v>
      </c>
      <c r="BF94" s="67">
        <f t="shared" ca="1" si="33"/>
        <v>0</v>
      </c>
      <c r="BG94" s="67">
        <f t="shared" ca="1" si="33"/>
        <v>0</v>
      </c>
      <c r="BH94" s="67">
        <f t="shared" ca="1" si="33"/>
        <v>0</v>
      </c>
      <c r="BI94" s="67">
        <f t="shared" ca="1" si="33"/>
        <v>0</v>
      </c>
      <c r="BJ94" s="67">
        <f t="shared" ca="1" si="33"/>
        <v>0</v>
      </c>
      <c r="BK94" s="67">
        <f t="shared" ca="1" si="33"/>
        <v>0</v>
      </c>
      <c r="BL94" s="67">
        <f t="shared" ca="1" si="33"/>
        <v>0</v>
      </c>
      <c r="BM94" s="67">
        <f t="shared" ca="1" si="33"/>
        <v>0</v>
      </c>
      <c r="BN94" s="67">
        <f t="shared" ca="1" si="33"/>
        <v>0</v>
      </c>
      <c r="BO94" s="67">
        <f t="shared" ca="1" si="35"/>
        <v>0</v>
      </c>
      <c r="BP94" s="67">
        <f t="shared" ca="1" si="32"/>
        <v>0</v>
      </c>
      <c r="BQ94" s="67">
        <f t="shared" ca="1" si="32"/>
        <v>0</v>
      </c>
      <c r="BR94" s="67">
        <f t="shared" ca="1" si="32"/>
        <v>0</v>
      </c>
      <c r="BS94" s="67">
        <f t="shared" ca="1" si="32"/>
        <v>0</v>
      </c>
      <c r="BT94" s="67">
        <f t="shared" ca="1" si="32"/>
        <v>0</v>
      </c>
    </row>
    <row r="95" spans="2:72" x14ac:dyDescent="0.2">
      <c r="B95" s="87"/>
      <c r="G95" s="67" t="str">
        <f>ROW(A90)&amp;". "&amp;'Critical resources'!B101</f>
        <v xml:space="preserve">90. </v>
      </c>
      <c r="H95" s="67">
        <f ca="1">IFERROR(VLOOKUP('Critical resources'!D101,$B$6:$C$57,2,0),0)</f>
        <v>0</v>
      </c>
      <c r="I95" s="67">
        <f ca="1">IFERROR(VLOOKUP('Critical resources'!E101,$A$6:$C$57,3,0),0)</f>
        <v>0</v>
      </c>
      <c r="J95" s="67">
        <f ca="1">IFERROR(VLOOKUP('Critical resources'!G101,$B$6:$C$57,2,0),0)</f>
        <v>0</v>
      </c>
      <c r="K95" s="67">
        <f ca="1">IFERROR(VLOOKUP('Critical resources'!H101,$B$6:$C$57,2,0),0)</f>
        <v>0</v>
      </c>
      <c r="L95" s="67">
        <f ca="1">IFERROR(VLOOKUP('Critical resources'!J101,$B$6:$C$57,2,0),0)</f>
        <v>0</v>
      </c>
      <c r="M95" s="67">
        <f ca="1">IFERROR(VLOOKUP('Critical resources'!K101,$A$6:$C$57,3,0),0)</f>
        <v>0</v>
      </c>
      <c r="N95" s="67">
        <f ca="1">IFERROR(VLOOKUP('Critical resources'!M101,$B$6:$C$57,2,0),0)</f>
        <v>0</v>
      </c>
      <c r="O95" s="67">
        <f ca="1">IFERROR(VLOOKUP('Critical resources'!N101,$A$6:$C$57,3,0),0)</f>
        <v>0</v>
      </c>
      <c r="P95" s="67">
        <f ca="1">IFERROR(VLOOKUP('Critical resources'!P101,$B$6:$C$57,2,0),0)</f>
        <v>0</v>
      </c>
      <c r="Q95" s="67">
        <f ca="1">IFERROR(VLOOKUP('Critical resources'!Q101,$A$6:$C$57,3,0),0)</f>
        <v>0</v>
      </c>
      <c r="T95" s="67" t="str">
        <f t="shared" si="28"/>
        <v xml:space="preserve">90. </v>
      </c>
      <c r="U95" s="67">
        <f t="shared" ca="1" si="36"/>
        <v>0</v>
      </c>
      <c r="V95" s="67">
        <f t="shared" ca="1" si="36"/>
        <v>0</v>
      </c>
      <c r="W95" s="67">
        <f t="shared" ca="1" si="36"/>
        <v>0</v>
      </c>
      <c r="X95" s="67">
        <f t="shared" ca="1" si="36"/>
        <v>0</v>
      </c>
      <c r="Y95" s="67">
        <f t="shared" ca="1" si="36"/>
        <v>0</v>
      </c>
      <c r="Z95" s="67">
        <f t="shared" ca="1" si="36"/>
        <v>0</v>
      </c>
      <c r="AA95" s="67">
        <f t="shared" ca="1" si="36"/>
        <v>0</v>
      </c>
      <c r="AB95" s="67">
        <f t="shared" ca="1" si="36"/>
        <v>0</v>
      </c>
      <c r="AC95" s="67">
        <f t="shared" ca="1" si="36"/>
        <v>0</v>
      </c>
      <c r="AD95" s="67">
        <f t="shared" ca="1" si="36"/>
        <v>0</v>
      </c>
      <c r="AE95" s="67">
        <f t="shared" ca="1" si="36"/>
        <v>0</v>
      </c>
      <c r="AF95" s="67">
        <f t="shared" ca="1" si="36"/>
        <v>0</v>
      </c>
      <c r="AG95" s="67">
        <f t="shared" ca="1" si="36"/>
        <v>0</v>
      </c>
      <c r="AH95" s="67">
        <f t="shared" ca="1" si="36"/>
        <v>0</v>
      </c>
      <c r="AI95" s="67">
        <f t="shared" ca="1" si="36"/>
        <v>0</v>
      </c>
      <c r="AJ95" s="67">
        <f t="shared" ca="1" si="36"/>
        <v>0</v>
      </c>
      <c r="AK95" s="67">
        <f t="shared" ca="1" si="34"/>
        <v>0</v>
      </c>
      <c r="AL95" s="67">
        <f t="shared" ca="1" si="34"/>
        <v>0</v>
      </c>
      <c r="AM95" s="67">
        <f t="shared" ca="1" si="34"/>
        <v>0</v>
      </c>
      <c r="AN95" s="67">
        <f t="shared" ca="1" si="34"/>
        <v>0</v>
      </c>
      <c r="AO95" s="67">
        <f t="shared" ca="1" si="34"/>
        <v>0</v>
      </c>
      <c r="AP95" s="67">
        <f t="shared" ca="1" si="34"/>
        <v>0</v>
      </c>
      <c r="AQ95" s="67">
        <f t="shared" ca="1" si="34"/>
        <v>0</v>
      </c>
      <c r="AR95" s="67">
        <f t="shared" ca="1" si="34"/>
        <v>0</v>
      </c>
      <c r="AS95" s="67">
        <f t="shared" ca="1" si="34"/>
        <v>0</v>
      </c>
      <c r="AT95" s="67">
        <f t="shared" ca="1" si="34"/>
        <v>0</v>
      </c>
      <c r="AU95" s="67">
        <f t="shared" ca="1" si="34"/>
        <v>0</v>
      </c>
      <c r="AV95" s="67">
        <f t="shared" ca="1" si="34"/>
        <v>0</v>
      </c>
      <c r="AW95" s="67">
        <f t="shared" ca="1" si="34"/>
        <v>0</v>
      </c>
      <c r="AX95" s="67">
        <f t="shared" ca="1" si="34"/>
        <v>0</v>
      </c>
      <c r="AY95" s="67">
        <f t="shared" ca="1" si="33"/>
        <v>0</v>
      </c>
      <c r="AZ95" s="67">
        <f t="shared" ca="1" si="33"/>
        <v>0</v>
      </c>
      <c r="BA95" s="67">
        <f t="shared" ca="1" si="33"/>
        <v>0</v>
      </c>
      <c r="BB95" s="67">
        <f t="shared" ca="1" si="33"/>
        <v>0</v>
      </c>
      <c r="BC95" s="67">
        <f t="shared" ca="1" si="33"/>
        <v>0</v>
      </c>
      <c r="BD95" s="67">
        <f t="shared" ca="1" si="33"/>
        <v>0</v>
      </c>
      <c r="BE95" s="67">
        <f t="shared" ca="1" si="33"/>
        <v>0</v>
      </c>
      <c r="BF95" s="67">
        <f t="shared" ca="1" si="33"/>
        <v>0</v>
      </c>
      <c r="BG95" s="67">
        <f t="shared" ca="1" si="33"/>
        <v>0</v>
      </c>
      <c r="BH95" s="67">
        <f t="shared" ca="1" si="33"/>
        <v>0</v>
      </c>
      <c r="BI95" s="67">
        <f t="shared" ca="1" si="33"/>
        <v>0</v>
      </c>
      <c r="BJ95" s="67">
        <f t="shared" ca="1" si="33"/>
        <v>0</v>
      </c>
      <c r="BK95" s="67">
        <f t="shared" ca="1" si="33"/>
        <v>0</v>
      </c>
      <c r="BL95" s="67">
        <f t="shared" ca="1" si="33"/>
        <v>0</v>
      </c>
      <c r="BM95" s="67">
        <f t="shared" ca="1" si="33"/>
        <v>0</v>
      </c>
      <c r="BN95" s="67">
        <f t="shared" ca="1" si="33"/>
        <v>0</v>
      </c>
      <c r="BO95" s="67">
        <f t="shared" ca="1" si="35"/>
        <v>0</v>
      </c>
      <c r="BP95" s="67">
        <f t="shared" ca="1" si="32"/>
        <v>0</v>
      </c>
      <c r="BQ95" s="67">
        <f t="shared" ca="1" si="32"/>
        <v>0</v>
      </c>
      <c r="BR95" s="67">
        <f t="shared" ca="1" si="32"/>
        <v>0</v>
      </c>
      <c r="BS95" s="67">
        <f t="shared" ca="1" si="32"/>
        <v>0</v>
      </c>
      <c r="BT95" s="67">
        <f t="shared" ca="1" si="32"/>
        <v>0</v>
      </c>
    </row>
    <row r="96" spans="2:72" x14ac:dyDescent="0.2">
      <c r="B96" s="87"/>
      <c r="G96" s="67" t="str">
        <f>ROW(A91)&amp;". "&amp;'Critical resources'!B102</f>
        <v xml:space="preserve">91. </v>
      </c>
      <c r="H96" s="67">
        <f ca="1">IFERROR(VLOOKUP('Critical resources'!D102,$B$6:$C$57,2,0),0)</f>
        <v>0</v>
      </c>
      <c r="I96" s="67">
        <f ca="1">IFERROR(VLOOKUP('Critical resources'!E102,$A$6:$C$57,3,0),0)</f>
        <v>0</v>
      </c>
      <c r="J96" s="67">
        <f ca="1">IFERROR(VLOOKUP('Critical resources'!G102,$B$6:$C$57,2,0),0)</f>
        <v>0</v>
      </c>
      <c r="K96" s="67">
        <f ca="1">IFERROR(VLOOKUP('Critical resources'!H102,$B$6:$C$57,2,0),0)</f>
        <v>0</v>
      </c>
      <c r="L96" s="67">
        <f ca="1">IFERROR(VLOOKUP('Critical resources'!J102,$B$6:$C$57,2,0),0)</f>
        <v>0</v>
      </c>
      <c r="M96" s="67">
        <f ca="1">IFERROR(VLOOKUP('Critical resources'!K102,$A$6:$C$57,3,0),0)</f>
        <v>0</v>
      </c>
      <c r="N96" s="67">
        <f ca="1">IFERROR(VLOOKUP('Critical resources'!M102,$B$6:$C$57,2,0),0)</f>
        <v>0</v>
      </c>
      <c r="O96" s="67">
        <f ca="1">IFERROR(VLOOKUP('Critical resources'!N102,$A$6:$C$57,3,0),0)</f>
        <v>0</v>
      </c>
      <c r="P96" s="67">
        <f ca="1">IFERROR(VLOOKUP('Critical resources'!P102,$B$6:$C$57,2,0),0)</f>
        <v>0</v>
      </c>
      <c r="Q96" s="67">
        <f ca="1">IFERROR(VLOOKUP('Critical resources'!Q102,$A$6:$C$57,3,0),0)</f>
        <v>0</v>
      </c>
      <c r="T96" s="67" t="str">
        <f t="shared" si="28"/>
        <v xml:space="preserve">91. </v>
      </c>
      <c r="U96" s="67">
        <f t="shared" ca="1" si="36"/>
        <v>0</v>
      </c>
      <c r="V96" s="67">
        <f t="shared" ca="1" si="36"/>
        <v>0</v>
      </c>
      <c r="W96" s="67">
        <f t="shared" ca="1" si="36"/>
        <v>0</v>
      </c>
      <c r="X96" s="67">
        <f t="shared" ca="1" si="36"/>
        <v>0</v>
      </c>
      <c r="Y96" s="67">
        <f t="shared" ca="1" si="36"/>
        <v>0</v>
      </c>
      <c r="Z96" s="67">
        <f t="shared" ca="1" si="36"/>
        <v>0</v>
      </c>
      <c r="AA96" s="67">
        <f t="shared" ca="1" si="36"/>
        <v>0</v>
      </c>
      <c r="AB96" s="67">
        <f t="shared" ca="1" si="36"/>
        <v>0</v>
      </c>
      <c r="AC96" s="67">
        <f t="shared" ca="1" si="36"/>
        <v>0</v>
      </c>
      <c r="AD96" s="67">
        <f t="shared" ca="1" si="36"/>
        <v>0</v>
      </c>
      <c r="AE96" s="67">
        <f t="shared" ca="1" si="36"/>
        <v>0</v>
      </c>
      <c r="AF96" s="67">
        <f t="shared" ca="1" si="36"/>
        <v>0</v>
      </c>
      <c r="AG96" s="67">
        <f t="shared" ca="1" si="36"/>
        <v>0</v>
      </c>
      <c r="AH96" s="67">
        <f t="shared" ca="1" si="36"/>
        <v>0</v>
      </c>
      <c r="AI96" s="67">
        <f t="shared" ca="1" si="36"/>
        <v>0</v>
      </c>
      <c r="AJ96" s="67">
        <f t="shared" ca="1" si="36"/>
        <v>0</v>
      </c>
      <c r="AK96" s="67">
        <f t="shared" ca="1" si="34"/>
        <v>0</v>
      </c>
      <c r="AL96" s="67">
        <f t="shared" ca="1" si="34"/>
        <v>0</v>
      </c>
      <c r="AM96" s="67">
        <f t="shared" ca="1" si="34"/>
        <v>0</v>
      </c>
      <c r="AN96" s="67">
        <f t="shared" ca="1" si="34"/>
        <v>0</v>
      </c>
      <c r="AO96" s="67">
        <f t="shared" ca="1" si="34"/>
        <v>0</v>
      </c>
      <c r="AP96" s="67">
        <f t="shared" ca="1" si="34"/>
        <v>0</v>
      </c>
      <c r="AQ96" s="67">
        <f t="shared" ca="1" si="34"/>
        <v>0</v>
      </c>
      <c r="AR96" s="67">
        <f t="shared" ca="1" si="34"/>
        <v>0</v>
      </c>
      <c r="AS96" s="67">
        <f t="shared" ca="1" si="34"/>
        <v>0</v>
      </c>
      <c r="AT96" s="67">
        <f t="shared" ca="1" si="34"/>
        <v>0</v>
      </c>
      <c r="AU96" s="67">
        <f t="shared" ca="1" si="34"/>
        <v>0</v>
      </c>
      <c r="AV96" s="67">
        <f t="shared" ca="1" si="34"/>
        <v>0</v>
      </c>
      <c r="AW96" s="67">
        <f t="shared" ca="1" si="34"/>
        <v>0</v>
      </c>
      <c r="AX96" s="67">
        <f t="shared" ca="1" si="34"/>
        <v>0</v>
      </c>
      <c r="AY96" s="67">
        <f t="shared" ca="1" si="33"/>
        <v>0</v>
      </c>
      <c r="AZ96" s="67">
        <f t="shared" ca="1" si="33"/>
        <v>0</v>
      </c>
      <c r="BA96" s="67">
        <f t="shared" ca="1" si="33"/>
        <v>0</v>
      </c>
      <c r="BB96" s="67">
        <f t="shared" ca="1" si="33"/>
        <v>0</v>
      </c>
      <c r="BC96" s="67">
        <f t="shared" ca="1" si="33"/>
        <v>0</v>
      </c>
      <c r="BD96" s="67">
        <f t="shared" ca="1" si="33"/>
        <v>0</v>
      </c>
      <c r="BE96" s="67">
        <f t="shared" ca="1" si="33"/>
        <v>0</v>
      </c>
      <c r="BF96" s="67">
        <f t="shared" ca="1" si="33"/>
        <v>0</v>
      </c>
      <c r="BG96" s="67">
        <f t="shared" ca="1" si="33"/>
        <v>0</v>
      </c>
      <c r="BH96" s="67">
        <f t="shared" ca="1" si="33"/>
        <v>0</v>
      </c>
      <c r="BI96" s="67">
        <f t="shared" ca="1" si="33"/>
        <v>0</v>
      </c>
      <c r="BJ96" s="67">
        <f t="shared" ca="1" si="33"/>
        <v>0</v>
      </c>
      <c r="BK96" s="67">
        <f t="shared" ca="1" si="33"/>
        <v>0</v>
      </c>
      <c r="BL96" s="67">
        <f t="shared" ca="1" si="33"/>
        <v>0</v>
      </c>
      <c r="BM96" s="67">
        <f t="shared" ca="1" si="33"/>
        <v>0</v>
      </c>
      <c r="BN96" s="67">
        <f t="shared" ca="1" si="33"/>
        <v>0</v>
      </c>
      <c r="BO96" s="67">
        <f t="shared" ca="1" si="35"/>
        <v>0</v>
      </c>
      <c r="BP96" s="67">
        <f t="shared" ca="1" si="32"/>
        <v>0</v>
      </c>
      <c r="BQ96" s="67">
        <f t="shared" ca="1" si="32"/>
        <v>0</v>
      </c>
      <c r="BR96" s="67">
        <f t="shared" ca="1" si="32"/>
        <v>0</v>
      </c>
      <c r="BS96" s="67">
        <f t="shared" ca="1" si="32"/>
        <v>0</v>
      </c>
      <c r="BT96" s="67">
        <f t="shared" ca="1" si="32"/>
        <v>0</v>
      </c>
    </row>
    <row r="97" spans="2:72" x14ac:dyDescent="0.2">
      <c r="B97" s="87"/>
      <c r="G97" s="67" t="str">
        <f>ROW(A92)&amp;". "&amp;'Critical resources'!B103</f>
        <v xml:space="preserve">92. </v>
      </c>
      <c r="H97" s="67">
        <f ca="1">IFERROR(VLOOKUP('Critical resources'!D103,$B$6:$C$57,2,0),0)</f>
        <v>0</v>
      </c>
      <c r="I97" s="67">
        <f ca="1">IFERROR(VLOOKUP('Critical resources'!E103,$A$6:$C$57,3,0),0)</f>
        <v>0</v>
      </c>
      <c r="J97" s="67">
        <f ca="1">IFERROR(VLOOKUP('Critical resources'!G103,$B$6:$C$57,2,0),0)</f>
        <v>0</v>
      </c>
      <c r="K97" s="67">
        <f ca="1">IFERROR(VLOOKUP('Critical resources'!H103,$B$6:$C$57,2,0),0)</f>
        <v>0</v>
      </c>
      <c r="L97" s="67">
        <f ca="1">IFERROR(VLOOKUP('Critical resources'!J103,$B$6:$C$57,2,0),0)</f>
        <v>0</v>
      </c>
      <c r="M97" s="67">
        <f ca="1">IFERROR(VLOOKUP('Critical resources'!K103,$A$6:$C$57,3,0),0)</f>
        <v>0</v>
      </c>
      <c r="N97" s="67">
        <f ca="1">IFERROR(VLOOKUP('Critical resources'!M103,$B$6:$C$57,2,0),0)</f>
        <v>0</v>
      </c>
      <c r="O97" s="67">
        <f ca="1">IFERROR(VLOOKUP('Critical resources'!N103,$A$6:$C$57,3,0),0)</f>
        <v>0</v>
      </c>
      <c r="P97" s="67">
        <f ca="1">IFERROR(VLOOKUP('Critical resources'!P103,$B$6:$C$57,2,0),0)</f>
        <v>0</v>
      </c>
      <c r="Q97" s="67">
        <f ca="1">IFERROR(VLOOKUP('Critical resources'!Q103,$A$6:$C$57,3,0),0)</f>
        <v>0</v>
      </c>
      <c r="T97" s="67" t="str">
        <f t="shared" si="28"/>
        <v xml:space="preserve">92. </v>
      </c>
      <c r="U97" s="67">
        <f t="shared" ca="1" si="36"/>
        <v>0</v>
      </c>
      <c r="V97" s="67">
        <f t="shared" ca="1" si="36"/>
        <v>0</v>
      </c>
      <c r="W97" s="67">
        <f t="shared" ca="1" si="36"/>
        <v>0</v>
      </c>
      <c r="X97" s="67">
        <f t="shared" ca="1" si="36"/>
        <v>0</v>
      </c>
      <c r="Y97" s="67">
        <f t="shared" ca="1" si="36"/>
        <v>0</v>
      </c>
      <c r="Z97" s="67">
        <f t="shared" ca="1" si="36"/>
        <v>0</v>
      </c>
      <c r="AA97" s="67">
        <f t="shared" ca="1" si="36"/>
        <v>0</v>
      </c>
      <c r="AB97" s="67">
        <f t="shared" ca="1" si="36"/>
        <v>0</v>
      </c>
      <c r="AC97" s="67">
        <f t="shared" ca="1" si="36"/>
        <v>0</v>
      </c>
      <c r="AD97" s="67">
        <f t="shared" ca="1" si="36"/>
        <v>0</v>
      </c>
      <c r="AE97" s="67">
        <f t="shared" ca="1" si="36"/>
        <v>0</v>
      </c>
      <c r="AF97" s="67">
        <f t="shared" ca="1" si="36"/>
        <v>0</v>
      </c>
      <c r="AG97" s="67">
        <f t="shared" ca="1" si="36"/>
        <v>0</v>
      </c>
      <c r="AH97" s="67">
        <f t="shared" ca="1" si="36"/>
        <v>0</v>
      </c>
      <c r="AI97" s="67">
        <f t="shared" ca="1" si="36"/>
        <v>0</v>
      </c>
      <c r="AJ97" s="67">
        <f t="shared" ca="1" si="36"/>
        <v>0</v>
      </c>
      <c r="AK97" s="67">
        <f t="shared" ca="1" si="34"/>
        <v>0</v>
      </c>
      <c r="AL97" s="67">
        <f t="shared" ca="1" si="34"/>
        <v>0</v>
      </c>
      <c r="AM97" s="67">
        <f t="shared" ca="1" si="34"/>
        <v>0</v>
      </c>
      <c r="AN97" s="67">
        <f t="shared" ca="1" si="34"/>
        <v>0</v>
      </c>
      <c r="AO97" s="67">
        <f t="shared" ca="1" si="34"/>
        <v>0</v>
      </c>
      <c r="AP97" s="67">
        <f t="shared" ca="1" si="34"/>
        <v>0</v>
      </c>
      <c r="AQ97" s="67">
        <f t="shared" ca="1" si="34"/>
        <v>0</v>
      </c>
      <c r="AR97" s="67">
        <f t="shared" ca="1" si="34"/>
        <v>0</v>
      </c>
      <c r="AS97" s="67">
        <f t="shared" ca="1" si="34"/>
        <v>0</v>
      </c>
      <c r="AT97" s="67">
        <f t="shared" ca="1" si="34"/>
        <v>0</v>
      </c>
      <c r="AU97" s="67">
        <f t="shared" ca="1" si="34"/>
        <v>0</v>
      </c>
      <c r="AV97" s="67">
        <f t="shared" ca="1" si="34"/>
        <v>0</v>
      </c>
      <c r="AW97" s="67">
        <f t="shared" ca="1" si="34"/>
        <v>0</v>
      </c>
      <c r="AX97" s="67">
        <f t="shared" ca="1" si="34"/>
        <v>0</v>
      </c>
      <c r="AY97" s="67">
        <f t="shared" ca="1" si="33"/>
        <v>0</v>
      </c>
      <c r="AZ97" s="67">
        <f t="shared" ca="1" si="33"/>
        <v>0</v>
      </c>
      <c r="BA97" s="67">
        <f t="shared" ca="1" si="33"/>
        <v>0</v>
      </c>
      <c r="BB97" s="67">
        <f t="shared" ca="1" si="33"/>
        <v>0</v>
      </c>
      <c r="BC97" s="67">
        <f t="shared" ca="1" si="33"/>
        <v>0</v>
      </c>
      <c r="BD97" s="67">
        <f t="shared" ca="1" si="33"/>
        <v>0</v>
      </c>
      <c r="BE97" s="67">
        <f t="shared" ca="1" si="33"/>
        <v>0</v>
      </c>
      <c r="BF97" s="67">
        <f t="shared" ca="1" si="33"/>
        <v>0</v>
      </c>
      <c r="BG97" s="67">
        <f t="shared" ca="1" si="33"/>
        <v>0</v>
      </c>
      <c r="BH97" s="67">
        <f t="shared" ca="1" si="33"/>
        <v>0</v>
      </c>
      <c r="BI97" s="67">
        <f t="shared" ca="1" si="33"/>
        <v>0</v>
      </c>
      <c r="BJ97" s="67">
        <f t="shared" ca="1" si="33"/>
        <v>0</v>
      </c>
      <c r="BK97" s="67">
        <f t="shared" ca="1" si="33"/>
        <v>0</v>
      </c>
      <c r="BL97" s="67">
        <f t="shared" ca="1" si="33"/>
        <v>0</v>
      </c>
      <c r="BM97" s="67">
        <f t="shared" ca="1" si="33"/>
        <v>0</v>
      </c>
      <c r="BN97" s="67">
        <f t="shared" ca="1" si="33"/>
        <v>0</v>
      </c>
      <c r="BO97" s="67">
        <f t="shared" ca="1" si="35"/>
        <v>0</v>
      </c>
      <c r="BP97" s="67">
        <f t="shared" ca="1" si="32"/>
        <v>0</v>
      </c>
      <c r="BQ97" s="67">
        <f t="shared" ca="1" si="32"/>
        <v>0</v>
      </c>
      <c r="BR97" s="67">
        <f t="shared" ca="1" si="32"/>
        <v>0</v>
      </c>
      <c r="BS97" s="67">
        <f t="shared" ca="1" si="32"/>
        <v>0</v>
      </c>
      <c r="BT97" s="67">
        <f t="shared" ca="1" si="32"/>
        <v>0</v>
      </c>
    </row>
    <row r="98" spans="2:72" x14ac:dyDescent="0.2">
      <c r="B98" s="87"/>
      <c r="G98" s="67" t="str">
        <f>ROW(A93)&amp;". "&amp;'Critical resources'!B104</f>
        <v xml:space="preserve">93. </v>
      </c>
      <c r="H98" s="67">
        <f ca="1">IFERROR(VLOOKUP('Critical resources'!D104,$B$6:$C$57,2,0),0)</f>
        <v>0</v>
      </c>
      <c r="I98" s="67">
        <f ca="1">IFERROR(VLOOKUP('Critical resources'!E104,$A$6:$C$57,3,0),0)</f>
        <v>0</v>
      </c>
      <c r="J98" s="67">
        <f ca="1">IFERROR(VLOOKUP('Critical resources'!G104,$B$6:$C$57,2,0),0)</f>
        <v>0</v>
      </c>
      <c r="K98" s="67">
        <f ca="1">IFERROR(VLOOKUP('Critical resources'!H104,$B$6:$C$57,2,0),0)</f>
        <v>0</v>
      </c>
      <c r="L98" s="67">
        <f ca="1">IFERROR(VLOOKUP('Critical resources'!J104,$B$6:$C$57,2,0),0)</f>
        <v>0</v>
      </c>
      <c r="M98" s="67">
        <f ca="1">IFERROR(VLOOKUP('Critical resources'!K104,$A$6:$C$57,3,0),0)</f>
        <v>0</v>
      </c>
      <c r="N98" s="67">
        <f ca="1">IFERROR(VLOOKUP('Critical resources'!M104,$B$6:$C$57,2,0),0)</f>
        <v>0</v>
      </c>
      <c r="O98" s="67">
        <f ca="1">IFERROR(VLOOKUP('Critical resources'!N104,$A$6:$C$57,3,0),0)</f>
        <v>0</v>
      </c>
      <c r="P98" s="67">
        <f ca="1">IFERROR(VLOOKUP('Critical resources'!P104,$B$6:$C$57,2,0),0)</f>
        <v>0</v>
      </c>
      <c r="Q98" s="67">
        <f ca="1">IFERROR(VLOOKUP('Critical resources'!Q104,$A$6:$C$57,3,0),0)</f>
        <v>0</v>
      </c>
      <c r="T98" s="67" t="str">
        <f t="shared" si="28"/>
        <v xml:space="preserve">93. </v>
      </c>
      <c r="U98" s="67">
        <f t="shared" ca="1" si="36"/>
        <v>0</v>
      </c>
      <c r="V98" s="67">
        <f t="shared" ca="1" si="36"/>
        <v>0</v>
      </c>
      <c r="W98" s="67">
        <f t="shared" ca="1" si="36"/>
        <v>0</v>
      </c>
      <c r="X98" s="67">
        <f t="shared" ca="1" si="36"/>
        <v>0</v>
      </c>
      <c r="Y98" s="67">
        <f t="shared" ca="1" si="36"/>
        <v>0</v>
      </c>
      <c r="Z98" s="67">
        <f t="shared" ca="1" si="36"/>
        <v>0</v>
      </c>
      <c r="AA98" s="67">
        <f t="shared" ca="1" si="36"/>
        <v>0</v>
      </c>
      <c r="AB98" s="67">
        <f t="shared" ca="1" si="36"/>
        <v>0</v>
      </c>
      <c r="AC98" s="67">
        <f t="shared" ca="1" si="36"/>
        <v>0</v>
      </c>
      <c r="AD98" s="67">
        <f t="shared" ca="1" si="36"/>
        <v>0</v>
      </c>
      <c r="AE98" s="67">
        <f t="shared" ca="1" si="36"/>
        <v>0</v>
      </c>
      <c r="AF98" s="67">
        <f t="shared" ca="1" si="36"/>
        <v>0</v>
      </c>
      <c r="AG98" s="67">
        <f t="shared" ca="1" si="36"/>
        <v>0</v>
      </c>
      <c r="AH98" s="67">
        <f t="shared" ca="1" si="36"/>
        <v>0</v>
      </c>
      <c r="AI98" s="67">
        <f t="shared" ca="1" si="36"/>
        <v>0</v>
      </c>
      <c r="AJ98" s="67">
        <f t="shared" ca="1" si="36"/>
        <v>0</v>
      </c>
      <c r="AK98" s="67">
        <f t="shared" ca="1" si="34"/>
        <v>0</v>
      </c>
      <c r="AL98" s="67">
        <f t="shared" ca="1" si="34"/>
        <v>0</v>
      </c>
      <c r="AM98" s="67">
        <f t="shared" ca="1" si="34"/>
        <v>0</v>
      </c>
      <c r="AN98" s="67">
        <f t="shared" ca="1" si="34"/>
        <v>0</v>
      </c>
      <c r="AO98" s="67">
        <f t="shared" ca="1" si="34"/>
        <v>0</v>
      </c>
      <c r="AP98" s="67">
        <f t="shared" ca="1" si="34"/>
        <v>0</v>
      </c>
      <c r="AQ98" s="67">
        <f t="shared" ca="1" si="34"/>
        <v>0</v>
      </c>
      <c r="AR98" s="67">
        <f t="shared" ca="1" si="34"/>
        <v>0</v>
      </c>
      <c r="AS98" s="67">
        <f t="shared" ca="1" si="34"/>
        <v>0</v>
      </c>
      <c r="AT98" s="67">
        <f t="shared" ca="1" si="34"/>
        <v>0</v>
      </c>
      <c r="AU98" s="67">
        <f t="shared" ca="1" si="34"/>
        <v>0</v>
      </c>
      <c r="AV98" s="67">
        <f t="shared" ca="1" si="34"/>
        <v>0</v>
      </c>
      <c r="AW98" s="67">
        <f t="shared" ca="1" si="34"/>
        <v>0</v>
      </c>
      <c r="AX98" s="67">
        <f t="shared" ca="1" si="34"/>
        <v>0</v>
      </c>
      <c r="AY98" s="67">
        <f t="shared" ca="1" si="33"/>
        <v>0</v>
      </c>
      <c r="AZ98" s="67">
        <f t="shared" ca="1" si="33"/>
        <v>0</v>
      </c>
      <c r="BA98" s="67">
        <f t="shared" ca="1" si="33"/>
        <v>0</v>
      </c>
      <c r="BB98" s="67">
        <f t="shared" ca="1" si="33"/>
        <v>0</v>
      </c>
      <c r="BC98" s="67">
        <f t="shared" ca="1" si="33"/>
        <v>0</v>
      </c>
      <c r="BD98" s="67">
        <f t="shared" ca="1" si="33"/>
        <v>0</v>
      </c>
      <c r="BE98" s="67">
        <f t="shared" ca="1" si="33"/>
        <v>0</v>
      </c>
      <c r="BF98" s="67">
        <f t="shared" ca="1" si="33"/>
        <v>0</v>
      </c>
      <c r="BG98" s="67">
        <f t="shared" ca="1" si="33"/>
        <v>0</v>
      </c>
      <c r="BH98" s="67">
        <f t="shared" ca="1" si="33"/>
        <v>0</v>
      </c>
      <c r="BI98" s="67">
        <f t="shared" ca="1" si="33"/>
        <v>0</v>
      </c>
      <c r="BJ98" s="67">
        <f t="shared" ca="1" si="33"/>
        <v>0</v>
      </c>
      <c r="BK98" s="67">
        <f t="shared" ca="1" si="33"/>
        <v>0</v>
      </c>
      <c r="BL98" s="67">
        <f t="shared" ca="1" si="33"/>
        <v>0</v>
      </c>
      <c r="BM98" s="67">
        <f t="shared" ca="1" si="33"/>
        <v>0</v>
      </c>
      <c r="BN98" s="67">
        <f t="shared" ca="1" si="33"/>
        <v>0</v>
      </c>
      <c r="BO98" s="67">
        <f t="shared" ca="1" si="35"/>
        <v>0</v>
      </c>
      <c r="BP98" s="67">
        <f t="shared" ca="1" si="32"/>
        <v>0</v>
      </c>
      <c r="BQ98" s="67">
        <f t="shared" ca="1" si="32"/>
        <v>0</v>
      </c>
      <c r="BR98" s="67">
        <f t="shared" ca="1" si="32"/>
        <v>0</v>
      </c>
      <c r="BS98" s="67">
        <f t="shared" ca="1" si="32"/>
        <v>0</v>
      </c>
      <c r="BT98" s="67">
        <f t="shared" ca="1" si="32"/>
        <v>0</v>
      </c>
    </row>
    <row r="99" spans="2:72" x14ac:dyDescent="0.2">
      <c r="B99" s="87"/>
      <c r="G99" s="67" t="str">
        <f>ROW(A94)&amp;". "&amp;'Critical resources'!B105</f>
        <v xml:space="preserve">94. </v>
      </c>
      <c r="H99" s="67">
        <f ca="1">IFERROR(VLOOKUP('Critical resources'!D105,$B$6:$C$57,2,0),0)</f>
        <v>0</v>
      </c>
      <c r="I99" s="67">
        <f ca="1">IFERROR(VLOOKUP('Critical resources'!E105,$A$6:$C$57,3,0),0)</f>
        <v>0</v>
      </c>
      <c r="J99" s="67">
        <f ca="1">IFERROR(VLOOKUP('Critical resources'!G105,$B$6:$C$57,2,0),0)</f>
        <v>0</v>
      </c>
      <c r="K99" s="67">
        <f ca="1">IFERROR(VLOOKUP('Critical resources'!H105,$B$6:$C$57,2,0),0)</f>
        <v>0</v>
      </c>
      <c r="L99" s="67">
        <f ca="1">IFERROR(VLOOKUP('Critical resources'!J105,$B$6:$C$57,2,0),0)</f>
        <v>0</v>
      </c>
      <c r="M99" s="67">
        <f ca="1">IFERROR(VLOOKUP('Critical resources'!K105,$A$6:$C$57,3,0),0)</f>
        <v>0</v>
      </c>
      <c r="N99" s="67">
        <f ca="1">IFERROR(VLOOKUP('Critical resources'!M105,$B$6:$C$57,2,0),0)</f>
        <v>0</v>
      </c>
      <c r="O99" s="67">
        <f ca="1">IFERROR(VLOOKUP('Critical resources'!N105,$A$6:$C$57,3,0),0)</f>
        <v>0</v>
      </c>
      <c r="P99" s="67">
        <f ca="1">IFERROR(VLOOKUP('Critical resources'!P105,$B$6:$C$57,2,0),0)</f>
        <v>0</v>
      </c>
      <c r="Q99" s="67">
        <f ca="1">IFERROR(VLOOKUP('Critical resources'!Q105,$A$6:$C$57,3,0),0)</f>
        <v>0</v>
      </c>
      <c r="T99" s="67" t="str">
        <f t="shared" si="28"/>
        <v xml:space="preserve">94. </v>
      </c>
      <c r="U99" s="67">
        <f t="shared" ca="1" si="36"/>
        <v>0</v>
      </c>
      <c r="V99" s="67">
        <f t="shared" ca="1" si="36"/>
        <v>0</v>
      </c>
      <c r="W99" s="67">
        <f t="shared" ca="1" si="36"/>
        <v>0</v>
      </c>
      <c r="X99" s="67">
        <f t="shared" ca="1" si="36"/>
        <v>0</v>
      </c>
      <c r="Y99" s="67">
        <f t="shared" ca="1" si="36"/>
        <v>0</v>
      </c>
      <c r="Z99" s="67">
        <f t="shared" ca="1" si="36"/>
        <v>0</v>
      </c>
      <c r="AA99" s="67">
        <f t="shared" ca="1" si="36"/>
        <v>0</v>
      </c>
      <c r="AB99" s="67">
        <f t="shared" ca="1" si="36"/>
        <v>0</v>
      </c>
      <c r="AC99" s="67">
        <f t="shared" ca="1" si="36"/>
        <v>0</v>
      </c>
      <c r="AD99" s="67">
        <f t="shared" ca="1" si="36"/>
        <v>0</v>
      </c>
      <c r="AE99" s="67">
        <f t="shared" ca="1" si="36"/>
        <v>0</v>
      </c>
      <c r="AF99" s="67">
        <f t="shared" ca="1" si="36"/>
        <v>0</v>
      </c>
      <c r="AG99" s="67">
        <f t="shared" ca="1" si="36"/>
        <v>0</v>
      </c>
      <c r="AH99" s="67">
        <f t="shared" ca="1" si="36"/>
        <v>0</v>
      </c>
      <c r="AI99" s="67">
        <f t="shared" ca="1" si="36"/>
        <v>0</v>
      </c>
      <c r="AJ99" s="67">
        <f t="shared" ca="1" si="36"/>
        <v>0</v>
      </c>
      <c r="AK99" s="67">
        <f t="shared" ca="1" si="34"/>
        <v>0</v>
      </c>
      <c r="AL99" s="67">
        <f t="shared" ca="1" si="34"/>
        <v>0</v>
      </c>
      <c r="AM99" s="67">
        <f t="shared" ca="1" si="34"/>
        <v>0</v>
      </c>
      <c r="AN99" s="67">
        <f t="shared" ca="1" si="34"/>
        <v>0</v>
      </c>
      <c r="AO99" s="67">
        <f t="shared" ca="1" si="34"/>
        <v>0</v>
      </c>
      <c r="AP99" s="67">
        <f t="shared" ca="1" si="34"/>
        <v>0</v>
      </c>
      <c r="AQ99" s="67">
        <f t="shared" ca="1" si="34"/>
        <v>0</v>
      </c>
      <c r="AR99" s="67">
        <f t="shared" ca="1" si="34"/>
        <v>0</v>
      </c>
      <c r="AS99" s="67">
        <f t="shared" ca="1" si="34"/>
        <v>0</v>
      </c>
      <c r="AT99" s="67">
        <f t="shared" ca="1" si="34"/>
        <v>0</v>
      </c>
      <c r="AU99" s="67">
        <f t="shared" ca="1" si="34"/>
        <v>0</v>
      </c>
      <c r="AV99" s="67">
        <f t="shared" ca="1" si="34"/>
        <v>0</v>
      </c>
      <c r="AW99" s="67">
        <f t="shared" ca="1" si="34"/>
        <v>0</v>
      </c>
      <c r="AX99" s="67">
        <f t="shared" ca="1" si="34"/>
        <v>0</v>
      </c>
      <c r="AY99" s="67">
        <f t="shared" ca="1" si="33"/>
        <v>0</v>
      </c>
      <c r="AZ99" s="67">
        <f t="shared" ca="1" si="33"/>
        <v>0</v>
      </c>
      <c r="BA99" s="67">
        <f t="shared" ca="1" si="33"/>
        <v>0</v>
      </c>
      <c r="BB99" s="67">
        <f t="shared" ca="1" si="33"/>
        <v>0</v>
      </c>
      <c r="BC99" s="67">
        <f t="shared" ca="1" si="33"/>
        <v>0</v>
      </c>
      <c r="BD99" s="67">
        <f t="shared" ca="1" si="33"/>
        <v>0</v>
      </c>
      <c r="BE99" s="67">
        <f t="shared" ca="1" si="33"/>
        <v>0</v>
      </c>
      <c r="BF99" s="67">
        <f t="shared" ca="1" si="33"/>
        <v>0</v>
      </c>
      <c r="BG99" s="67">
        <f t="shared" ca="1" si="33"/>
        <v>0</v>
      </c>
      <c r="BH99" s="67">
        <f t="shared" ca="1" si="33"/>
        <v>0</v>
      </c>
      <c r="BI99" s="67">
        <f t="shared" ca="1" si="33"/>
        <v>0</v>
      </c>
      <c r="BJ99" s="67">
        <f t="shared" ca="1" si="33"/>
        <v>0</v>
      </c>
      <c r="BK99" s="67">
        <f t="shared" ca="1" si="33"/>
        <v>0</v>
      </c>
      <c r="BL99" s="67">
        <f t="shared" ca="1" si="33"/>
        <v>0</v>
      </c>
      <c r="BM99" s="67">
        <f t="shared" ca="1" si="33"/>
        <v>0</v>
      </c>
      <c r="BN99" s="67">
        <f t="shared" ca="1" si="33"/>
        <v>0</v>
      </c>
      <c r="BO99" s="67">
        <f t="shared" ca="1" si="35"/>
        <v>0</v>
      </c>
      <c r="BP99" s="67">
        <f t="shared" ca="1" si="35"/>
        <v>0</v>
      </c>
      <c r="BQ99" s="67">
        <f t="shared" ca="1" si="35"/>
        <v>0</v>
      </c>
      <c r="BR99" s="67">
        <f t="shared" ca="1" si="35"/>
        <v>0</v>
      </c>
      <c r="BS99" s="67">
        <f t="shared" ca="1" si="35"/>
        <v>0</v>
      </c>
      <c r="BT99" s="67">
        <f t="shared" ca="1" si="35"/>
        <v>0</v>
      </c>
    </row>
    <row r="100" spans="2:72" x14ac:dyDescent="0.2">
      <c r="B100" s="87"/>
      <c r="G100" s="67" t="str">
        <f>ROW(A95)&amp;". "&amp;'Critical resources'!B106</f>
        <v xml:space="preserve">95. </v>
      </c>
      <c r="H100" s="67">
        <f ca="1">IFERROR(VLOOKUP('Critical resources'!D106,$B$6:$C$57,2,0),0)</f>
        <v>0</v>
      </c>
      <c r="I100" s="67">
        <f ca="1">IFERROR(VLOOKUP('Critical resources'!E106,$A$6:$C$57,3,0),0)</f>
        <v>0</v>
      </c>
      <c r="J100" s="67">
        <f ca="1">IFERROR(VLOOKUP('Critical resources'!G106,$B$6:$C$57,2,0),0)</f>
        <v>0</v>
      </c>
      <c r="K100" s="67">
        <f ca="1">IFERROR(VLOOKUP('Critical resources'!H106,$B$6:$C$57,2,0),0)</f>
        <v>0</v>
      </c>
      <c r="L100" s="67">
        <f ca="1">IFERROR(VLOOKUP('Critical resources'!J106,$B$6:$C$57,2,0),0)</f>
        <v>0</v>
      </c>
      <c r="M100" s="67">
        <f ca="1">IFERROR(VLOOKUP('Critical resources'!K106,$A$6:$C$57,3,0),0)</f>
        <v>0</v>
      </c>
      <c r="N100" s="67">
        <f ca="1">IFERROR(VLOOKUP('Critical resources'!M106,$B$6:$C$57,2,0),0)</f>
        <v>0</v>
      </c>
      <c r="O100" s="67">
        <f ca="1">IFERROR(VLOOKUP('Critical resources'!N106,$A$6:$C$57,3,0),0)</f>
        <v>0</v>
      </c>
      <c r="P100" s="67">
        <f ca="1">IFERROR(VLOOKUP('Critical resources'!P106,$B$6:$C$57,2,0),0)</f>
        <v>0</v>
      </c>
      <c r="Q100" s="67">
        <f ca="1">IFERROR(VLOOKUP('Critical resources'!Q106,$A$6:$C$57,3,0),0)</f>
        <v>0</v>
      </c>
      <c r="T100" s="67" t="str">
        <f t="shared" si="28"/>
        <v xml:space="preserve">95. </v>
      </c>
      <c r="U100" s="67">
        <f t="shared" ca="1" si="36"/>
        <v>0</v>
      </c>
      <c r="V100" s="67">
        <f t="shared" ca="1" si="36"/>
        <v>0</v>
      </c>
      <c r="W100" s="67">
        <f t="shared" ca="1" si="36"/>
        <v>0</v>
      </c>
      <c r="X100" s="67">
        <f t="shared" ca="1" si="36"/>
        <v>0</v>
      </c>
      <c r="Y100" s="67">
        <f t="shared" ca="1" si="36"/>
        <v>0</v>
      </c>
      <c r="Z100" s="67">
        <f t="shared" ca="1" si="36"/>
        <v>0</v>
      </c>
      <c r="AA100" s="67">
        <f t="shared" ca="1" si="36"/>
        <v>0</v>
      </c>
      <c r="AB100" s="67">
        <f t="shared" ca="1" si="36"/>
        <v>0</v>
      </c>
      <c r="AC100" s="67">
        <f t="shared" ca="1" si="36"/>
        <v>0</v>
      </c>
      <c r="AD100" s="67">
        <f t="shared" ca="1" si="36"/>
        <v>0</v>
      </c>
      <c r="AE100" s="67">
        <f t="shared" ca="1" si="36"/>
        <v>0</v>
      </c>
      <c r="AF100" s="67">
        <f t="shared" ca="1" si="36"/>
        <v>0</v>
      </c>
      <c r="AG100" s="67">
        <f t="shared" ca="1" si="36"/>
        <v>0</v>
      </c>
      <c r="AH100" s="67">
        <f t="shared" ca="1" si="36"/>
        <v>0</v>
      </c>
      <c r="AI100" s="67">
        <f t="shared" ca="1" si="36"/>
        <v>0</v>
      </c>
      <c r="AJ100" s="67">
        <f t="shared" ca="1" si="36"/>
        <v>0</v>
      </c>
      <c r="AK100" s="67">
        <f t="shared" ca="1" si="34"/>
        <v>0</v>
      </c>
      <c r="AL100" s="67">
        <f t="shared" ca="1" si="34"/>
        <v>0</v>
      </c>
      <c r="AM100" s="67">
        <f t="shared" ca="1" si="34"/>
        <v>0</v>
      </c>
      <c r="AN100" s="67">
        <f t="shared" ca="1" si="34"/>
        <v>0</v>
      </c>
      <c r="AO100" s="67">
        <f t="shared" ca="1" si="34"/>
        <v>0</v>
      </c>
      <c r="AP100" s="67">
        <f t="shared" ca="1" si="34"/>
        <v>0</v>
      </c>
      <c r="AQ100" s="67">
        <f t="shared" ca="1" si="34"/>
        <v>0</v>
      </c>
      <c r="AR100" s="67">
        <f t="shared" ca="1" si="34"/>
        <v>0</v>
      </c>
      <c r="AS100" s="67">
        <f t="shared" ca="1" si="34"/>
        <v>0</v>
      </c>
      <c r="AT100" s="67">
        <f t="shared" ca="1" si="34"/>
        <v>0</v>
      </c>
      <c r="AU100" s="67">
        <f t="shared" ca="1" si="34"/>
        <v>0</v>
      </c>
      <c r="AV100" s="67">
        <f t="shared" ca="1" si="34"/>
        <v>0</v>
      </c>
      <c r="AW100" s="67">
        <f t="shared" ca="1" si="34"/>
        <v>0</v>
      </c>
      <c r="AX100" s="67">
        <f t="shared" ca="1" si="34"/>
        <v>0</v>
      </c>
      <c r="AY100" s="67">
        <f t="shared" ca="1" si="33"/>
        <v>0</v>
      </c>
      <c r="AZ100" s="67">
        <f t="shared" ca="1" si="33"/>
        <v>0</v>
      </c>
      <c r="BA100" s="67">
        <f t="shared" ca="1" si="33"/>
        <v>0</v>
      </c>
      <c r="BB100" s="67">
        <f t="shared" ca="1" si="33"/>
        <v>0</v>
      </c>
      <c r="BC100" s="67">
        <f t="shared" ca="1" si="33"/>
        <v>0</v>
      </c>
      <c r="BD100" s="67">
        <f t="shared" ca="1" si="33"/>
        <v>0</v>
      </c>
      <c r="BE100" s="67">
        <f t="shared" ca="1" si="33"/>
        <v>0</v>
      </c>
      <c r="BF100" s="67">
        <f t="shared" ca="1" si="33"/>
        <v>0</v>
      </c>
      <c r="BG100" s="67">
        <f t="shared" ca="1" si="33"/>
        <v>0</v>
      </c>
      <c r="BH100" s="67">
        <f t="shared" ca="1" si="33"/>
        <v>0</v>
      </c>
      <c r="BI100" s="67">
        <f t="shared" ca="1" si="33"/>
        <v>0</v>
      </c>
      <c r="BJ100" s="67">
        <f t="shared" ca="1" si="33"/>
        <v>0</v>
      </c>
      <c r="BK100" s="67">
        <f t="shared" ca="1" si="33"/>
        <v>0</v>
      </c>
      <c r="BL100" s="67">
        <f t="shared" ca="1" si="33"/>
        <v>0</v>
      </c>
      <c r="BM100" s="67">
        <f t="shared" ca="1" si="33"/>
        <v>0</v>
      </c>
      <c r="BN100" s="67">
        <f t="shared" ca="1" si="33"/>
        <v>0</v>
      </c>
      <c r="BO100" s="67">
        <f t="shared" ca="1" si="35"/>
        <v>0</v>
      </c>
      <c r="BP100" s="67">
        <f t="shared" ca="1" si="35"/>
        <v>0</v>
      </c>
      <c r="BQ100" s="67">
        <f t="shared" ca="1" si="35"/>
        <v>0</v>
      </c>
      <c r="BR100" s="67">
        <f t="shared" ca="1" si="35"/>
        <v>0</v>
      </c>
      <c r="BS100" s="67">
        <f t="shared" ca="1" si="35"/>
        <v>0</v>
      </c>
      <c r="BT100" s="67">
        <f t="shared" ca="1" si="35"/>
        <v>0</v>
      </c>
    </row>
    <row r="101" spans="2:72" x14ac:dyDescent="0.2">
      <c r="B101" s="87"/>
      <c r="G101" s="67" t="str">
        <f>ROW(A96)&amp;". "&amp;'Critical resources'!B107</f>
        <v xml:space="preserve">96. </v>
      </c>
      <c r="H101" s="67">
        <f ca="1">IFERROR(VLOOKUP('Critical resources'!D107,$B$6:$C$57,2,0),0)</f>
        <v>0</v>
      </c>
      <c r="I101" s="67">
        <f ca="1">IFERROR(VLOOKUP('Critical resources'!E107,$A$6:$C$57,3,0),0)</f>
        <v>0</v>
      </c>
      <c r="J101" s="67">
        <f ca="1">IFERROR(VLOOKUP('Critical resources'!G107,$B$6:$C$57,2,0),0)</f>
        <v>0</v>
      </c>
      <c r="K101" s="67">
        <f ca="1">IFERROR(VLOOKUP('Critical resources'!H107,$B$6:$C$57,2,0),0)</f>
        <v>0</v>
      </c>
      <c r="L101" s="67">
        <f ca="1">IFERROR(VLOOKUP('Critical resources'!J107,$B$6:$C$57,2,0),0)</f>
        <v>0</v>
      </c>
      <c r="M101" s="67">
        <f ca="1">IFERROR(VLOOKUP('Critical resources'!K107,$A$6:$C$57,3,0),0)</f>
        <v>0</v>
      </c>
      <c r="N101" s="67">
        <f ca="1">IFERROR(VLOOKUP('Critical resources'!M107,$B$6:$C$57,2,0),0)</f>
        <v>0</v>
      </c>
      <c r="O101" s="67">
        <f ca="1">IFERROR(VLOOKUP('Critical resources'!N107,$A$6:$C$57,3,0),0)</f>
        <v>0</v>
      </c>
      <c r="P101" s="67">
        <f ca="1">IFERROR(VLOOKUP('Critical resources'!P107,$B$6:$C$57,2,0),0)</f>
        <v>0</v>
      </c>
      <c r="Q101" s="67">
        <f ca="1">IFERROR(VLOOKUP('Critical resources'!Q107,$A$6:$C$57,3,0),0)</f>
        <v>0</v>
      </c>
      <c r="T101" s="67" t="str">
        <f t="shared" si="28"/>
        <v xml:space="preserve">96. </v>
      </c>
      <c r="U101" s="67">
        <f t="shared" ca="1" si="36"/>
        <v>0</v>
      </c>
      <c r="V101" s="67">
        <f t="shared" ca="1" si="36"/>
        <v>0</v>
      </c>
      <c r="W101" s="67">
        <f t="shared" ca="1" si="36"/>
        <v>0</v>
      </c>
      <c r="X101" s="67">
        <f t="shared" ca="1" si="36"/>
        <v>0</v>
      </c>
      <c r="Y101" s="67">
        <f t="shared" ca="1" si="36"/>
        <v>0</v>
      </c>
      <c r="Z101" s="67">
        <f t="shared" ca="1" si="36"/>
        <v>0</v>
      </c>
      <c r="AA101" s="67">
        <f t="shared" ca="1" si="36"/>
        <v>0</v>
      </c>
      <c r="AB101" s="67">
        <f t="shared" ca="1" si="36"/>
        <v>0</v>
      </c>
      <c r="AC101" s="67">
        <f t="shared" ca="1" si="36"/>
        <v>0</v>
      </c>
      <c r="AD101" s="67">
        <f t="shared" ca="1" si="36"/>
        <v>0</v>
      </c>
      <c r="AE101" s="67">
        <f t="shared" ca="1" si="36"/>
        <v>0</v>
      </c>
      <c r="AF101" s="67">
        <f t="shared" ca="1" si="36"/>
        <v>0</v>
      </c>
      <c r="AG101" s="67">
        <f t="shared" ca="1" si="36"/>
        <v>0</v>
      </c>
      <c r="AH101" s="67">
        <f t="shared" ca="1" si="36"/>
        <v>0</v>
      </c>
      <c r="AI101" s="67">
        <f t="shared" ca="1" si="36"/>
        <v>0</v>
      </c>
      <c r="AJ101" s="67">
        <f t="shared" ca="1" si="36"/>
        <v>0</v>
      </c>
      <c r="AK101" s="67">
        <f t="shared" ca="1" si="34"/>
        <v>0</v>
      </c>
      <c r="AL101" s="67">
        <f t="shared" ca="1" si="34"/>
        <v>0</v>
      </c>
      <c r="AM101" s="67">
        <f t="shared" ca="1" si="34"/>
        <v>0</v>
      </c>
      <c r="AN101" s="67">
        <f t="shared" ca="1" si="34"/>
        <v>0</v>
      </c>
      <c r="AO101" s="67">
        <f t="shared" ca="1" si="34"/>
        <v>0</v>
      </c>
      <c r="AP101" s="67">
        <f t="shared" ca="1" si="34"/>
        <v>0</v>
      </c>
      <c r="AQ101" s="67">
        <f t="shared" ca="1" si="34"/>
        <v>0</v>
      </c>
      <c r="AR101" s="67">
        <f t="shared" ca="1" si="34"/>
        <v>0</v>
      </c>
      <c r="AS101" s="67">
        <f t="shared" ca="1" si="34"/>
        <v>0</v>
      </c>
      <c r="AT101" s="67">
        <f t="shared" ca="1" si="34"/>
        <v>0</v>
      </c>
      <c r="AU101" s="67">
        <f t="shared" ca="1" si="34"/>
        <v>0</v>
      </c>
      <c r="AV101" s="67">
        <f t="shared" ca="1" si="34"/>
        <v>0</v>
      </c>
      <c r="AW101" s="67">
        <f t="shared" ca="1" si="34"/>
        <v>0</v>
      </c>
      <c r="AX101" s="67">
        <f t="shared" ca="1" si="34"/>
        <v>0</v>
      </c>
      <c r="AY101" s="67">
        <f t="shared" ca="1" si="34"/>
        <v>0</v>
      </c>
      <c r="AZ101" s="67">
        <f t="shared" ca="1" si="34"/>
        <v>0</v>
      </c>
      <c r="BA101" s="67">
        <f t="shared" ref="BA101:BP105" ca="1" si="37">SUM(IFERROR(IF(AND(BA$5&gt;=$H101,BA$5&lt;=$I101),1,0),0),IFERROR(IF(AND(BA$5&gt;=$J101,BA$5&lt;=$K101),1,0),0),IFERROR(IF(AND(BA$5&gt;=$L101,BA$5&lt;=$M101),1,0),0),IFERROR(IF(AND(BA$5&gt;=$N101,BA$5&lt;=$O101),1,0),0),IFERROR(IF(AND(BA$5&gt;=$P101,BA$5&lt;=$Q101),1,0),0))</f>
        <v>0</v>
      </c>
      <c r="BB101" s="67">
        <f t="shared" ca="1" si="37"/>
        <v>0</v>
      </c>
      <c r="BC101" s="67">
        <f t="shared" ca="1" si="37"/>
        <v>0</v>
      </c>
      <c r="BD101" s="67">
        <f t="shared" ca="1" si="37"/>
        <v>0</v>
      </c>
      <c r="BE101" s="67">
        <f t="shared" ca="1" si="37"/>
        <v>0</v>
      </c>
      <c r="BF101" s="67">
        <f t="shared" ca="1" si="37"/>
        <v>0</v>
      </c>
      <c r="BG101" s="67">
        <f t="shared" ca="1" si="37"/>
        <v>0</v>
      </c>
      <c r="BH101" s="67">
        <f t="shared" ca="1" si="37"/>
        <v>0</v>
      </c>
      <c r="BI101" s="67">
        <f t="shared" ca="1" si="37"/>
        <v>0</v>
      </c>
      <c r="BJ101" s="67">
        <f t="shared" ca="1" si="37"/>
        <v>0</v>
      </c>
      <c r="BK101" s="67">
        <f t="shared" ca="1" si="37"/>
        <v>0</v>
      </c>
      <c r="BL101" s="67">
        <f t="shared" ca="1" si="37"/>
        <v>0</v>
      </c>
      <c r="BM101" s="67">
        <f t="shared" ca="1" si="37"/>
        <v>0</v>
      </c>
      <c r="BN101" s="67">
        <f t="shared" ca="1" si="37"/>
        <v>0</v>
      </c>
      <c r="BO101" s="67">
        <f t="shared" ca="1" si="35"/>
        <v>0</v>
      </c>
      <c r="BP101" s="67">
        <f t="shared" ca="1" si="35"/>
        <v>0</v>
      </c>
      <c r="BQ101" s="67">
        <f t="shared" ca="1" si="35"/>
        <v>0</v>
      </c>
      <c r="BR101" s="67">
        <f t="shared" ca="1" si="35"/>
        <v>0</v>
      </c>
      <c r="BS101" s="67">
        <f t="shared" ca="1" si="35"/>
        <v>0</v>
      </c>
      <c r="BT101" s="67">
        <f t="shared" ca="1" si="35"/>
        <v>0</v>
      </c>
    </row>
    <row r="102" spans="2:72" x14ac:dyDescent="0.2">
      <c r="B102" s="87"/>
      <c r="G102" s="67" t="str">
        <f>ROW(A97)&amp;". "&amp;'Critical resources'!B108</f>
        <v xml:space="preserve">97. </v>
      </c>
      <c r="H102" s="67">
        <f ca="1">IFERROR(VLOOKUP('Critical resources'!D108,$B$6:$C$57,2,0),0)</f>
        <v>0</v>
      </c>
      <c r="I102" s="67">
        <f ca="1">IFERROR(VLOOKUP('Critical resources'!E108,$A$6:$C$57,3,0),0)</f>
        <v>0</v>
      </c>
      <c r="J102" s="67">
        <f ca="1">IFERROR(VLOOKUP('Critical resources'!G108,$B$6:$C$57,2,0),0)</f>
        <v>0</v>
      </c>
      <c r="K102" s="67">
        <f ca="1">IFERROR(VLOOKUP('Critical resources'!H108,$B$6:$C$57,2,0),0)</f>
        <v>0</v>
      </c>
      <c r="L102" s="67">
        <f ca="1">IFERROR(VLOOKUP('Critical resources'!J108,$B$6:$C$57,2,0),0)</f>
        <v>0</v>
      </c>
      <c r="M102" s="67">
        <f ca="1">IFERROR(VLOOKUP('Critical resources'!K108,$A$6:$C$57,3,0),0)</f>
        <v>0</v>
      </c>
      <c r="N102" s="67">
        <f ca="1">IFERROR(VLOOKUP('Critical resources'!M108,$B$6:$C$57,2,0),0)</f>
        <v>0</v>
      </c>
      <c r="O102" s="67">
        <f ca="1">IFERROR(VLOOKUP('Critical resources'!N108,$A$6:$C$57,3,0),0)</f>
        <v>0</v>
      </c>
      <c r="P102" s="67">
        <f ca="1">IFERROR(VLOOKUP('Critical resources'!P108,$B$6:$C$57,2,0),0)</f>
        <v>0</v>
      </c>
      <c r="Q102" s="67">
        <f ca="1">IFERROR(VLOOKUP('Critical resources'!Q108,$A$6:$C$57,3,0),0)</f>
        <v>0</v>
      </c>
      <c r="T102" s="67" t="str">
        <f t="shared" si="28"/>
        <v xml:space="preserve">97. </v>
      </c>
      <c r="U102" s="67">
        <f t="shared" ca="1" si="36"/>
        <v>0</v>
      </c>
      <c r="V102" s="67">
        <f t="shared" ca="1" si="36"/>
        <v>0</v>
      </c>
      <c r="W102" s="67">
        <f t="shared" ca="1" si="36"/>
        <v>0</v>
      </c>
      <c r="X102" s="67">
        <f t="shared" ca="1" si="36"/>
        <v>0</v>
      </c>
      <c r="Y102" s="67">
        <f t="shared" ca="1" si="36"/>
        <v>0</v>
      </c>
      <c r="Z102" s="67">
        <f t="shared" ca="1" si="36"/>
        <v>0</v>
      </c>
      <c r="AA102" s="67">
        <f t="shared" ca="1" si="36"/>
        <v>0</v>
      </c>
      <c r="AB102" s="67">
        <f t="shared" ca="1" si="36"/>
        <v>0</v>
      </c>
      <c r="AC102" s="67">
        <f t="shared" ca="1" si="36"/>
        <v>0</v>
      </c>
      <c r="AD102" s="67">
        <f t="shared" ca="1" si="36"/>
        <v>0</v>
      </c>
      <c r="AE102" s="67">
        <f t="shared" ca="1" si="36"/>
        <v>0</v>
      </c>
      <c r="AF102" s="67">
        <f t="shared" ca="1" si="36"/>
        <v>0</v>
      </c>
      <c r="AG102" s="67">
        <f t="shared" ca="1" si="36"/>
        <v>0</v>
      </c>
      <c r="AH102" s="67">
        <f t="shared" ca="1" si="36"/>
        <v>0</v>
      </c>
      <c r="AI102" s="67">
        <f t="shared" ca="1" si="36"/>
        <v>0</v>
      </c>
      <c r="AJ102" s="67">
        <f t="shared" ref="AJ102:AY105" ca="1" si="38">SUM(IFERROR(IF(AND(AJ$5&gt;=$H102,AJ$5&lt;=$I102),1,0),0),IFERROR(IF(AND(AJ$5&gt;=$J102,AJ$5&lt;=$K102),1,0),0),IFERROR(IF(AND(AJ$5&gt;=$L102,AJ$5&lt;=$M102),1,0),0),IFERROR(IF(AND(AJ$5&gt;=$N102,AJ$5&lt;=$O102),1,0),0),IFERROR(IF(AND(AJ$5&gt;=$P102,AJ$5&lt;=$Q102),1,0),0))</f>
        <v>0</v>
      </c>
      <c r="AK102" s="67">
        <f t="shared" ca="1" si="38"/>
        <v>0</v>
      </c>
      <c r="AL102" s="67">
        <f t="shared" ca="1" si="38"/>
        <v>0</v>
      </c>
      <c r="AM102" s="67">
        <f t="shared" ca="1" si="38"/>
        <v>0</v>
      </c>
      <c r="AN102" s="67">
        <f t="shared" ca="1" si="38"/>
        <v>0</v>
      </c>
      <c r="AO102" s="67">
        <f t="shared" ca="1" si="38"/>
        <v>0</v>
      </c>
      <c r="AP102" s="67">
        <f t="shared" ca="1" si="38"/>
        <v>0</v>
      </c>
      <c r="AQ102" s="67">
        <f t="shared" ca="1" si="38"/>
        <v>0</v>
      </c>
      <c r="AR102" s="67">
        <f t="shared" ca="1" si="38"/>
        <v>0</v>
      </c>
      <c r="AS102" s="67">
        <f t="shared" ca="1" si="38"/>
        <v>0</v>
      </c>
      <c r="AT102" s="67">
        <f t="shared" ca="1" si="38"/>
        <v>0</v>
      </c>
      <c r="AU102" s="67">
        <f t="shared" ca="1" si="38"/>
        <v>0</v>
      </c>
      <c r="AV102" s="67">
        <f t="shared" ca="1" si="38"/>
        <v>0</v>
      </c>
      <c r="AW102" s="67">
        <f t="shared" ca="1" si="38"/>
        <v>0</v>
      </c>
      <c r="AX102" s="67">
        <f t="shared" ca="1" si="38"/>
        <v>0</v>
      </c>
      <c r="AY102" s="67">
        <f t="shared" ca="1" si="38"/>
        <v>0</v>
      </c>
      <c r="AZ102" s="67">
        <f t="shared" ref="AZ102:AZ105" ca="1" si="39">SUM(IFERROR(IF(AND(AZ$5&gt;=$H102,AZ$5&lt;=$I102),1,0),0),IFERROR(IF(AND(AZ$5&gt;=$J102,AZ$5&lt;=$K102),1,0),0),IFERROR(IF(AND(AZ$5&gt;=$L102,AZ$5&lt;=$M102),1,0),0),IFERROR(IF(AND(AZ$5&gt;=$N102,AZ$5&lt;=$O102),1,0),0),IFERROR(IF(AND(AZ$5&gt;=$P102,AZ$5&lt;=$Q102),1,0),0))</f>
        <v>0</v>
      </c>
      <c r="BA102" s="67">
        <f t="shared" ca="1" si="37"/>
        <v>0</v>
      </c>
      <c r="BB102" s="67">
        <f t="shared" ca="1" si="37"/>
        <v>0</v>
      </c>
      <c r="BC102" s="67">
        <f t="shared" ca="1" si="37"/>
        <v>0</v>
      </c>
      <c r="BD102" s="67">
        <f t="shared" ca="1" si="37"/>
        <v>0</v>
      </c>
      <c r="BE102" s="67">
        <f t="shared" ca="1" si="37"/>
        <v>0</v>
      </c>
      <c r="BF102" s="67">
        <f t="shared" ca="1" si="37"/>
        <v>0</v>
      </c>
      <c r="BG102" s="67">
        <f t="shared" ca="1" si="37"/>
        <v>0</v>
      </c>
      <c r="BH102" s="67">
        <f t="shared" ca="1" si="37"/>
        <v>0</v>
      </c>
      <c r="BI102" s="67">
        <f t="shared" ca="1" si="37"/>
        <v>0</v>
      </c>
      <c r="BJ102" s="67">
        <f t="shared" ca="1" si="37"/>
        <v>0</v>
      </c>
      <c r="BK102" s="67">
        <f t="shared" ca="1" si="37"/>
        <v>0</v>
      </c>
      <c r="BL102" s="67">
        <f t="shared" ca="1" si="37"/>
        <v>0</v>
      </c>
      <c r="BM102" s="67">
        <f t="shared" ca="1" si="37"/>
        <v>0</v>
      </c>
      <c r="BN102" s="67">
        <f t="shared" ca="1" si="37"/>
        <v>0</v>
      </c>
      <c r="BO102" s="67">
        <f t="shared" ca="1" si="37"/>
        <v>0</v>
      </c>
      <c r="BP102" s="67">
        <f t="shared" ca="1" si="37"/>
        <v>0</v>
      </c>
      <c r="BQ102" s="67">
        <f t="shared" ref="BQ102:BT105" ca="1" si="40">SUM(IFERROR(IF(AND(BQ$5&gt;=$H102,BQ$5&lt;=$I102),1,0),0),IFERROR(IF(AND(BQ$5&gt;=$J102,BQ$5&lt;=$K102),1,0),0),IFERROR(IF(AND(BQ$5&gt;=$L102,BQ$5&lt;=$M102),1,0),0),IFERROR(IF(AND(BQ$5&gt;=$N102,BQ$5&lt;=$O102),1,0),0),IFERROR(IF(AND(BQ$5&gt;=$P102,BQ$5&lt;=$Q102),1,0),0))</f>
        <v>0</v>
      </c>
      <c r="BR102" s="67">
        <f t="shared" ca="1" si="40"/>
        <v>0</v>
      </c>
      <c r="BS102" s="67">
        <f t="shared" ca="1" si="40"/>
        <v>0</v>
      </c>
      <c r="BT102" s="67">
        <f t="shared" ca="1" si="40"/>
        <v>0</v>
      </c>
    </row>
    <row r="103" spans="2:72" x14ac:dyDescent="0.2">
      <c r="B103" s="87"/>
      <c r="G103" s="67" t="str">
        <f>ROW(A98)&amp;". "&amp;'Critical resources'!B109</f>
        <v xml:space="preserve">98. </v>
      </c>
      <c r="H103" s="67">
        <f ca="1">IFERROR(VLOOKUP('Critical resources'!D109,$B$6:$C$57,2,0),0)</f>
        <v>0</v>
      </c>
      <c r="I103" s="67">
        <f ca="1">IFERROR(VLOOKUP('Critical resources'!E109,$A$6:$C$57,3,0),0)</f>
        <v>0</v>
      </c>
      <c r="J103" s="67">
        <f ca="1">IFERROR(VLOOKUP('Critical resources'!G109,$B$6:$C$57,2,0),0)</f>
        <v>0</v>
      </c>
      <c r="K103" s="67">
        <f ca="1">IFERROR(VLOOKUP('Critical resources'!H109,$B$6:$C$57,2,0),0)</f>
        <v>0</v>
      </c>
      <c r="L103" s="67">
        <f ca="1">IFERROR(VLOOKUP('Critical resources'!J109,$B$6:$C$57,2,0),0)</f>
        <v>0</v>
      </c>
      <c r="M103" s="67">
        <f ca="1">IFERROR(VLOOKUP('Critical resources'!K109,$A$6:$C$57,3,0),0)</f>
        <v>0</v>
      </c>
      <c r="N103" s="67">
        <f ca="1">IFERROR(VLOOKUP('Critical resources'!M109,$B$6:$C$57,2,0),0)</f>
        <v>0</v>
      </c>
      <c r="O103" s="67">
        <f ca="1">IFERROR(VLOOKUP('Critical resources'!N109,$A$6:$C$57,3,0),0)</f>
        <v>0</v>
      </c>
      <c r="P103" s="67">
        <f ca="1">IFERROR(VLOOKUP('Critical resources'!P109,$B$6:$C$57,2,0),0)</f>
        <v>0</v>
      </c>
      <c r="Q103" s="67">
        <f ca="1">IFERROR(VLOOKUP('Critical resources'!Q109,$A$6:$C$57,3,0),0)</f>
        <v>0</v>
      </c>
      <c r="T103" s="67" t="str">
        <f t="shared" si="28"/>
        <v xml:space="preserve">98. </v>
      </c>
      <c r="U103" s="67">
        <f t="shared" ref="U103:AI105" ca="1" si="41">SUM(IFERROR(IF(AND(U$5&gt;=$H103,U$5&lt;=$I103),1,0),0),IFERROR(IF(AND(U$5&gt;=$J103,U$5&lt;=$K103),1,0),0),IFERROR(IF(AND(U$5&gt;=$L103,U$5&lt;=$M103),1,0),0),IFERROR(IF(AND(U$5&gt;=$N103,U$5&lt;=$O103),1,0),0),IFERROR(IF(AND(U$5&gt;=$P103,U$5&lt;=$Q103),1,0),0))</f>
        <v>0</v>
      </c>
      <c r="V103" s="67">
        <f t="shared" ca="1" si="41"/>
        <v>0</v>
      </c>
      <c r="W103" s="67">
        <f t="shared" ca="1" si="41"/>
        <v>0</v>
      </c>
      <c r="X103" s="67">
        <f t="shared" ca="1" si="41"/>
        <v>0</v>
      </c>
      <c r="Y103" s="67">
        <f t="shared" ca="1" si="41"/>
        <v>0</v>
      </c>
      <c r="Z103" s="67">
        <f t="shared" ca="1" si="41"/>
        <v>0</v>
      </c>
      <c r="AA103" s="67">
        <f t="shared" ca="1" si="41"/>
        <v>0</v>
      </c>
      <c r="AB103" s="67">
        <f t="shared" ca="1" si="41"/>
        <v>0</v>
      </c>
      <c r="AC103" s="67">
        <f t="shared" ca="1" si="41"/>
        <v>0</v>
      </c>
      <c r="AD103" s="67">
        <f t="shared" ca="1" si="41"/>
        <v>0</v>
      </c>
      <c r="AE103" s="67">
        <f t="shared" ca="1" si="41"/>
        <v>0</v>
      </c>
      <c r="AF103" s="67">
        <f t="shared" ca="1" si="41"/>
        <v>0</v>
      </c>
      <c r="AG103" s="67">
        <f t="shared" ca="1" si="41"/>
        <v>0</v>
      </c>
      <c r="AH103" s="67">
        <f t="shared" ca="1" si="41"/>
        <v>0</v>
      </c>
      <c r="AI103" s="67">
        <f t="shared" ca="1" si="41"/>
        <v>0</v>
      </c>
      <c r="AJ103" s="67">
        <f t="shared" ca="1" si="38"/>
        <v>0</v>
      </c>
      <c r="AK103" s="67">
        <f t="shared" ca="1" si="38"/>
        <v>0</v>
      </c>
      <c r="AL103" s="67">
        <f t="shared" ca="1" si="38"/>
        <v>0</v>
      </c>
      <c r="AM103" s="67">
        <f t="shared" ca="1" si="38"/>
        <v>0</v>
      </c>
      <c r="AN103" s="67">
        <f t="shared" ca="1" si="38"/>
        <v>0</v>
      </c>
      <c r="AO103" s="67">
        <f t="shared" ca="1" si="38"/>
        <v>0</v>
      </c>
      <c r="AP103" s="67">
        <f t="shared" ca="1" si="38"/>
        <v>0</v>
      </c>
      <c r="AQ103" s="67">
        <f t="shared" ca="1" si="38"/>
        <v>0</v>
      </c>
      <c r="AR103" s="67">
        <f t="shared" ca="1" si="38"/>
        <v>0</v>
      </c>
      <c r="AS103" s="67">
        <f t="shared" ca="1" si="38"/>
        <v>0</v>
      </c>
      <c r="AT103" s="67">
        <f t="shared" ca="1" si="38"/>
        <v>0</v>
      </c>
      <c r="AU103" s="67">
        <f t="shared" ca="1" si="38"/>
        <v>0</v>
      </c>
      <c r="AV103" s="67">
        <f t="shared" ca="1" si="38"/>
        <v>0</v>
      </c>
      <c r="AW103" s="67">
        <f t="shared" ca="1" si="38"/>
        <v>0</v>
      </c>
      <c r="AX103" s="67">
        <f t="shared" ca="1" si="38"/>
        <v>0</v>
      </c>
      <c r="AY103" s="67">
        <f t="shared" ca="1" si="38"/>
        <v>0</v>
      </c>
      <c r="AZ103" s="67">
        <f t="shared" ca="1" si="39"/>
        <v>0</v>
      </c>
      <c r="BA103" s="67">
        <f t="shared" ca="1" si="37"/>
        <v>0</v>
      </c>
      <c r="BB103" s="67">
        <f t="shared" ca="1" si="37"/>
        <v>0</v>
      </c>
      <c r="BC103" s="67">
        <f t="shared" ca="1" si="37"/>
        <v>0</v>
      </c>
      <c r="BD103" s="67">
        <f t="shared" ca="1" si="37"/>
        <v>0</v>
      </c>
      <c r="BE103" s="67">
        <f t="shared" ca="1" si="37"/>
        <v>0</v>
      </c>
      <c r="BF103" s="67">
        <f t="shared" ca="1" si="37"/>
        <v>0</v>
      </c>
      <c r="BG103" s="67">
        <f t="shared" ca="1" si="37"/>
        <v>0</v>
      </c>
      <c r="BH103" s="67">
        <f t="shared" ca="1" si="37"/>
        <v>0</v>
      </c>
      <c r="BI103" s="67">
        <f t="shared" ca="1" si="37"/>
        <v>0</v>
      </c>
      <c r="BJ103" s="67">
        <f t="shared" ca="1" si="37"/>
        <v>0</v>
      </c>
      <c r="BK103" s="67">
        <f t="shared" ca="1" si="37"/>
        <v>0</v>
      </c>
      <c r="BL103" s="67">
        <f t="shared" ca="1" si="37"/>
        <v>0</v>
      </c>
      <c r="BM103" s="67">
        <f t="shared" ca="1" si="37"/>
        <v>0</v>
      </c>
      <c r="BN103" s="67">
        <f t="shared" ca="1" si="37"/>
        <v>0</v>
      </c>
      <c r="BO103" s="67">
        <f t="shared" ca="1" si="37"/>
        <v>0</v>
      </c>
      <c r="BP103" s="67">
        <f t="shared" ca="1" si="37"/>
        <v>0</v>
      </c>
      <c r="BQ103" s="67">
        <f t="shared" ca="1" si="40"/>
        <v>0</v>
      </c>
      <c r="BR103" s="67">
        <f t="shared" ca="1" si="40"/>
        <v>0</v>
      </c>
      <c r="BS103" s="67">
        <f t="shared" ca="1" si="40"/>
        <v>0</v>
      </c>
      <c r="BT103" s="67">
        <f t="shared" ca="1" si="40"/>
        <v>0</v>
      </c>
    </row>
    <row r="104" spans="2:72" x14ac:dyDescent="0.2">
      <c r="B104" s="87"/>
      <c r="G104" s="67" t="str">
        <f>ROW(A99)&amp;". "&amp;'Critical resources'!B110</f>
        <v xml:space="preserve">99. </v>
      </c>
      <c r="H104" s="67">
        <f ca="1">IFERROR(VLOOKUP('Critical resources'!D110,$B$6:$C$57,2,0),0)</f>
        <v>0</v>
      </c>
      <c r="I104" s="67">
        <f ca="1">IFERROR(VLOOKUP('Critical resources'!E110,$A$6:$C$57,3,0),0)</f>
        <v>0</v>
      </c>
      <c r="J104" s="67">
        <f ca="1">IFERROR(VLOOKUP('Critical resources'!G110,$B$6:$C$57,2,0),0)</f>
        <v>0</v>
      </c>
      <c r="K104" s="67">
        <f ca="1">IFERROR(VLOOKUP('Critical resources'!H110,$B$6:$C$57,2,0),0)</f>
        <v>0</v>
      </c>
      <c r="L104" s="67">
        <f ca="1">IFERROR(VLOOKUP('Critical resources'!J110,$B$6:$C$57,2,0),0)</f>
        <v>0</v>
      </c>
      <c r="M104" s="67">
        <f ca="1">IFERROR(VLOOKUP('Critical resources'!K110,$A$6:$C$57,3,0),0)</f>
        <v>0</v>
      </c>
      <c r="N104" s="67">
        <f ca="1">IFERROR(VLOOKUP('Critical resources'!M110,$B$6:$C$57,2,0),0)</f>
        <v>0</v>
      </c>
      <c r="O104" s="67">
        <f ca="1">IFERROR(VLOOKUP('Critical resources'!N110,$A$6:$C$57,3,0),0)</f>
        <v>0</v>
      </c>
      <c r="P104" s="67">
        <f ca="1">IFERROR(VLOOKUP('Critical resources'!P110,$B$6:$C$57,2,0),0)</f>
        <v>0</v>
      </c>
      <c r="Q104" s="67">
        <f ca="1">IFERROR(VLOOKUP('Critical resources'!Q110,$A$6:$C$57,3,0),0)</f>
        <v>0</v>
      </c>
      <c r="T104" s="67" t="str">
        <f t="shared" si="28"/>
        <v xml:space="preserve">99. </v>
      </c>
      <c r="U104" s="67">
        <f t="shared" ca="1" si="41"/>
        <v>0</v>
      </c>
      <c r="V104" s="67">
        <f t="shared" ca="1" si="41"/>
        <v>0</v>
      </c>
      <c r="W104" s="67">
        <f t="shared" ca="1" si="41"/>
        <v>0</v>
      </c>
      <c r="X104" s="67">
        <f t="shared" ca="1" si="41"/>
        <v>0</v>
      </c>
      <c r="Y104" s="67">
        <f t="shared" ca="1" si="41"/>
        <v>0</v>
      </c>
      <c r="Z104" s="67">
        <f t="shared" ca="1" si="41"/>
        <v>0</v>
      </c>
      <c r="AA104" s="67">
        <f t="shared" ca="1" si="41"/>
        <v>0</v>
      </c>
      <c r="AB104" s="67">
        <f t="shared" ca="1" si="41"/>
        <v>0</v>
      </c>
      <c r="AC104" s="67">
        <f t="shared" ca="1" si="41"/>
        <v>0</v>
      </c>
      <c r="AD104" s="67">
        <f t="shared" ca="1" si="41"/>
        <v>0</v>
      </c>
      <c r="AE104" s="67">
        <f t="shared" ca="1" si="41"/>
        <v>0</v>
      </c>
      <c r="AF104" s="67">
        <f t="shared" ca="1" si="41"/>
        <v>0</v>
      </c>
      <c r="AG104" s="67">
        <f t="shared" ca="1" si="41"/>
        <v>0</v>
      </c>
      <c r="AH104" s="67">
        <f t="shared" ca="1" si="41"/>
        <v>0</v>
      </c>
      <c r="AI104" s="67">
        <f t="shared" ca="1" si="41"/>
        <v>0</v>
      </c>
      <c r="AJ104" s="67">
        <f t="shared" ca="1" si="38"/>
        <v>0</v>
      </c>
      <c r="AK104" s="67">
        <f t="shared" ca="1" si="38"/>
        <v>0</v>
      </c>
      <c r="AL104" s="67">
        <f t="shared" ca="1" si="38"/>
        <v>0</v>
      </c>
      <c r="AM104" s="67">
        <f t="shared" ca="1" si="38"/>
        <v>0</v>
      </c>
      <c r="AN104" s="67">
        <f t="shared" ca="1" si="38"/>
        <v>0</v>
      </c>
      <c r="AO104" s="67">
        <f t="shared" ca="1" si="38"/>
        <v>0</v>
      </c>
      <c r="AP104" s="67">
        <f t="shared" ca="1" si="38"/>
        <v>0</v>
      </c>
      <c r="AQ104" s="67">
        <f t="shared" ca="1" si="38"/>
        <v>0</v>
      </c>
      <c r="AR104" s="67">
        <f t="shared" ca="1" si="38"/>
        <v>0</v>
      </c>
      <c r="AS104" s="67">
        <f t="shared" ca="1" si="38"/>
        <v>0</v>
      </c>
      <c r="AT104" s="67">
        <f t="shared" ca="1" si="38"/>
        <v>0</v>
      </c>
      <c r="AU104" s="67">
        <f t="shared" ca="1" si="38"/>
        <v>0</v>
      </c>
      <c r="AV104" s="67">
        <f t="shared" ca="1" si="38"/>
        <v>0</v>
      </c>
      <c r="AW104" s="67">
        <f t="shared" ca="1" si="38"/>
        <v>0</v>
      </c>
      <c r="AX104" s="67">
        <f t="shared" ca="1" si="38"/>
        <v>0</v>
      </c>
      <c r="AY104" s="67">
        <f t="shared" ca="1" si="38"/>
        <v>0</v>
      </c>
      <c r="AZ104" s="67">
        <f t="shared" ca="1" si="39"/>
        <v>0</v>
      </c>
      <c r="BA104" s="67">
        <f t="shared" ca="1" si="37"/>
        <v>0</v>
      </c>
      <c r="BB104" s="67">
        <f t="shared" ca="1" si="37"/>
        <v>0</v>
      </c>
      <c r="BC104" s="67">
        <f t="shared" ca="1" si="37"/>
        <v>0</v>
      </c>
      <c r="BD104" s="67">
        <f t="shared" ca="1" si="37"/>
        <v>0</v>
      </c>
      <c r="BE104" s="67">
        <f t="shared" ca="1" si="37"/>
        <v>0</v>
      </c>
      <c r="BF104" s="67">
        <f t="shared" ca="1" si="37"/>
        <v>0</v>
      </c>
      <c r="BG104" s="67">
        <f t="shared" ca="1" si="37"/>
        <v>0</v>
      </c>
      <c r="BH104" s="67">
        <f t="shared" ca="1" si="37"/>
        <v>0</v>
      </c>
      <c r="BI104" s="67">
        <f t="shared" ca="1" si="37"/>
        <v>0</v>
      </c>
      <c r="BJ104" s="67">
        <f t="shared" ca="1" si="37"/>
        <v>0</v>
      </c>
      <c r="BK104" s="67">
        <f t="shared" ca="1" si="37"/>
        <v>0</v>
      </c>
      <c r="BL104" s="67">
        <f t="shared" ca="1" si="37"/>
        <v>0</v>
      </c>
      <c r="BM104" s="67">
        <f t="shared" ca="1" si="37"/>
        <v>0</v>
      </c>
      <c r="BN104" s="67">
        <f t="shared" ca="1" si="37"/>
        <v>0</v>
      </c>
      <c r="BO104" s="67">
        <f t="shared" ca="1" si="37"/>
        <v>0</v>
      </c>
      <c r="BP104" s="67">
        <f t="shared" ca="1" si="37"/>
        <v>0</v>
      </c>
      <c r="BQ104" s="67">
        <f t="shared" ca="1" si="40"/>
        <v>0</v>
      </c>
      <c r="BR104" s="67">
        <f t="shared" ca="1" si="40"/>
        <v>0</v>
      </c>
      <c r="BS104" s="67">
        <f t="shared" ca="1" si="40"/>
        <v>0</v>
      </c>
      <c r="BT104" s="67">
        <f t="shared" ca="1" si="40"/>
        <v>0</v>
      </c>
    </row>
    <row r="105" spans="2:72" x14ac:dyDescent="0.2">
      <c r="B105" s="87"/>
      <c r="G105" s="67" t="str">
        <f>ROW(A100)&amp;". "&amp;'Critical resources'!B111</f>
        <v xml:space="preserve">100. </v>
      </c>
      <c r="H105" s="67">
        <f ca="1">IFERROR(VLOOKUP('Critical resources'!D111,$B$6:$C$57,2,0),0)</f>
        <v>0</v>
      </c>
      <c r="I105" s="67">
        <f ca="1">IFERROR(VLOOKUP('Critical resources'!E111,$A$6:$C$57,3,0),0)</f>
        <v>0</v>
      </c>
      <c r="J105" s="67">
        <f ca="1">IFERROR(VLOOKUP('Critical resources'!G111,$B$6:$C$57,2,0),0)</f>
        <v>0</v>
      </c>
      <c r="K105" s="67">
        <f ca="1">IFERROR(VLOOKUP('Critical resources'!H111,$B$6:$C$57,2,0),0)</f>
        <v>0</v>
      </c>
      <c r="L105" s="67">
        <f ca="1">IFERROR(VLOOKUP('Critical resources'!J111,$B$6:$C$57,2,0),0)</f>
        <v>0</v>
      </c>
      <c r="M105" s="67">
        <f ca="1">IFERROR(VLOOKUP('Critical resources'!K111,$A$6:$C$57,3,0),0)</f>
        <v>0</v>
      </c>
      <c r="N105" s="67">
        <f ca="1">IFERROR(VLOOKUP('Critical resources'!M111,$B$6:$C$57,2,0),0)</f>
        <v>0</v>
      </c>
      <c r="O105" s="67">
        <f ca="1">IFERROR(VLOOKUP('Critical resources'!N111,$A$6:$C$57,3,0),0)</f>
        <v>0</v>
      </c>
      <c r="P105" s="67">
        <f ca="1">IFERROR(VLOOKUP('Critical resources'!P111,$B$6:$C$57,2,0),0)</f>
        <v>0</v>
      </c>
      <c r="Q105" s="67">
        <f ca="1">IFERROR(VLOOKUP('Critical resources'!Q111,$A$6:$C$57,3,0),0)</f>
        <v>0</v>
      </c>
      <c r="T105" s="67" t="str">
        <f t="shared" si="28"/>
        <v xml:space="preserve">100. </v>
      </c>
      <c r="U105" s="67">
        <f t="shared" ca="1" si="41"/>
        <v>0</v>
      </c>
      <c r="V105" s="67">
        <f t="shared" ca="1" si="41"/>
        <v>0</v>
      </c>
      <c r="W105" s="67">
        <f t="shared" ca="1" si="41"/>
        <v>0</v>
      </c>
      <c r="X105" s="67">
        <f t="shared" ca="1" si="41"/>
        <v>0</v>
      </c>
      <c r="Y105" s="67">
        <f t="shared" ca="1" si="41"/>
        <v>0</v>
      </c>
      <c r="Z105" s="67">
        <f t="shared" ca="1" si="41"/>
        <v>0</v>
      </c>
      <c r="AA105" s="67">
        <f t="shared" ca="1" si="41"/>
        <v>0</v>
      </c>
      <c r="AB105" s="67">
        <f t="shared" ca="1" si="41"/>
        <v>0</v>
      </c>
      <c r="AC105" s="67">
        <f t="shared" ca="1" si="41"/>
        <v>0</v>
      </c>
      <c r="AD105" s="67">
        <f t="shared" ca="1" si="41"/>
        <v>0</v>
      </c>
      <c r="AE105" s="67">
        <f t="shared" ca="1" si="41"/>
        <v>0</v>
      </c>
      <c r="AF105" s="67">
        <f t="shared" ca="1" si="41"/>
        <v>0</v>
      </c>
      <c r="AG105" s="67">
        <f t="shared" ca="1" si="41"/>
        <v>0</v>
      </c>
      <c r="AH105" s="67">
        <f t="shared" ca="1" si="41"/>
        <v>0</v>
      </c>
      <c r="AI105" s="67">
        <f t="shared" ca="1" si="41"/>
        <v>0</v>
      </c>
      <c r="AJ105" s="67">
        <f t="shared" ca="1" si="38"/>
        <v>0</v>
      </c>
      <c r="AK105" s="67">
        <f t="shared" ca="1" si="38"/>
        <v>0</v>
      </c>
      <c r="AL105" s="67">
        <f t="shared" ca="1" si="38"/>
        <v>0</v>
      </c>
      <c r="AM105" s="67">
        <f t="shared" ca="1" si="38"/>
        <v>0</v>
      </c>
      <c r="AN105" s="67">
        <f t="shared" ca="1" si="38"/>
        <v>0</v>
      </c>
      <c r="AO105" s="67">
        <f t="shared" ca="1" si="38"/>
        <v>0</v>
      </c>
      <c r="AP105" s="67">
        <f t="shared" ca="1" si="38"/>
        <v>0</v>
      </c>
      <c r="AQ105" s="67">
        <f t="shared" ca="1" si="38"/>
        <v>0</v>
      </c>
      <c r="AR105" s="67">
        <f t="shared" ca="1" si="38"/>
        <v>0</v>
      </c>
      <c r="AS105" s="67">
        <f t="shared" ca="1" si="38"/>
        <v>0</v>
      </c>
      <c r="AT105" s="67">
        <f t="shared" ca="1" si="38"/>
        <v>0</v>
      </c>
      <c r="AU105" s="67">
        <f t="shared" ca="1" si="38"/>
        <v>0</v>
      </c>
      <c r="AV105" s="67">
        <f t="shared" ca="1" si="38"/>
        <v>0</v>
      </c>
      <c r="AW105" s="67">
        <f t="shared" ca="1" si="38"/>
        <v>0</v>
      </c>
      <c r="AX105" s="67">
        <f t="shared" ca="1" si="38"/>
        <v>0</v>
      </c>
      <c r="AY105" s="67">
        <f t="shared" ca="1" si="38"/>
        <v>0</v>
      </c>
      <c r="AZ105" s="67">
        <f t="shared" ca="1" si="39"/>
        <v>0</v>
      </c>
      <c r="BA105" s="67">
        <f t="shared" ca="1" si="37"/>
        <v>0</v>
      </c>
      <c r="BB105" s="67">
        <f t="shared" ca="1" si="37"/>
        <v>0</v>
      </c>
      <c r="BC105" s="67">
        <f t="shared" ca="1" si="37"/>
        <v>0</v>
      </c>
      <c r="BD105" s="67">
        <f t="shared" ca="1" si="37"/>
        <v>0</v>
      </c>
      <c r="BE105" s="67">
        <f t="shared" ca="1" si="37"/>
        <v>0</v>
      </c>
      <c r="BF105" s="67">
        <f t="shared" ca="1" si="37"/>
        <v>0</v>
      </c>
      <c r="BG105" s="67">
        <f t="shared" ca="1" si="37"/>
        <v>0</v>
      </c>
      <c r="BH105" s="67">
        <f t="shared" ca="1" si="37"/>
        <v>0</v>
      </c>
      <c r="BI105" s="67">
        <f t="shared" ca="1" si="37"/>
        <v>0</v>
      </c>
      <c r="BJ105" s="67">
        <f t="shared" ca="1" si="37"/>
        <v>0</v>
      </c>
      <c r="BK105" s="67">
        <f t="shared" ca="1" si="37"/>
        <v>0</v>
      </c>
      <c r="BL105" s="67">
        <f t="shared" ca="1" si="37"/>
        <v>0</v>
      </c>
      <c r="BM105" s="67">
        <f t="shared" ca="1" si="37"/>
        <v>0</v>
      </c>
      <c r="BN105" s="67">
        <f t="shared" ca="1" si="37"/>
        <v>0</v>
      </c>
      <c r="BO105" s="67">
        <f t="shared" ca="1" si="37"/>
        <v>0</v>
      </c>
      <c r="BP105" s="67">
        <f t="shared" ca="1" si="37"/>
        <v>0</v>
      </c>
      <c r="BQ105" s="67">
        <f t="shared" ca="1" si="40"/>
        <v>0</v>
      </c>
      <c r="BR105" s="67">
        <f t="shared" ca="1" si="40"/>
        <v>0</v>
      </c>
      <c r="BS105" s="67">
        <f t="shared" ca="1" si="40"/>
        <v>0</v>
      </c>
      <c r="BT105" s="67">
        <f t="shared" ca="1" si="40"/>
        <v>0</v>
      </c>
    </row>
    <row r="106" spans="2:72" x14ac:dyDescent="0.2">
      <c r="B106" s="87"/>
    </row>
    <row r="107" spans="2:72" x14ac:dyDescent="0.2">
      <c r="B107" s="87"/>
    </row>
    <row r="108" spans="2:72" x14ac:dyDescent="0.2">
      <c r="B108" s="87"/>
    </row>
    <row r="109" spans="2:72" x14ac:dyDescent="0.2">
      <c r="B109" s="87"/>
    </row>
    <row r="110" spans="2:72" x14ac:dyDescent="0.2">
      <c r="B110" s="87"/>
    </row>
    <row r="111" spans="2:72" x14ac:dyDescent="0.2">
      <c r="B111" s="87"/>
    </row>
    <row r="112" spans="2:72" x14ac:dyDescent="0.2">
      <c r="B112" s="87"/>
    </row>
    <row r="113" spans="2:207" x14ac:dyDescent="0.2">
      <c r="B113" s="87"/>
    </row>
    <row r="114" spans="2:207" x14ac:dyDescent="0.2">
      <c r="B114" s="87"/>
    </row>
    <row r="115" spans="2:207" x14ac:dyDescent="0.2">
      <c r="B115" s="87"/>
    </row>
    <row r="116" spans="2:207" x14ac:dyDescent="0.2">
      <c r="B116" s="87"/>
    </row>
    <row r="117" spans="2:207" x14ac:dyDescent="0.2">
      <c r="B117" s="87"/>
    </row>
    <row r="118" spans="2:207" x14ac:dyDescent="0.2">
      <c r="B118" s="87"/>
    </row>
    <row r="119" spans="2:207" x14ac:dyDescent="0.2">
      <c r="B119" s="87"/>
    </row>
    <row r="120" spans="2:207" x14ac:dyDescent="0.2">
      <c r="B120" s="87"/>
    </row>
    <row r="121" spans="2:207" x14ac:dyDescent="0.2">
      <c r="B121" s="87"/>
    </row>
    <row r="123" spans="2:207" x14ac:dyDescent="0.2">
      <c r="B123" s="87"/>
      <c r="CW123" s="70"/>
      <c r="CZ123" s="87"/>
      <c r="GY123" s="70"/>
    </row>
    <row r="124" spans="2:207" x14ac:dyDescent="0.2">
      <c r="B124" s="87"/>
      <c r="CW124" s="70"/>
      <c r="CZ124" s="87"/>
      <c r="GY124" s="70"/>
    </row>
    <row r="125" spans="2:207" x14ac:dyDescent="0.2">
      <c r="B125" s="87"/>
      <c r="CW125" s="70"/>
      <c r="CZ125" s="87"/>
      <c r="GY125" s="70"/>
    </row>
    <row r="126" spans="2:207" x14ac:dyDescent="0.2">
      <c r="B126" s="87"/>
      <c r="CW126" s="70"/>
      <c r="CZ126" s="87"/>
      <c r="GY126" s="70"/>
    </row>
    <row r="127" spans="2:207" x14ac:dyDescent="0.2">
      <c r="B127" s="87"/>
      <c r="CW127" s="70"/>
      <c r="CZ127" s="87"/>
      <c r="GY127" s="70"/>
    </row>
    <row r="128" spans="2:207" x14ac:dyDescent="0.2">
      <c r="B128" s="87"/>
      <c r="CW128" s="70"/>
      <c r="CZ128" s="87"/>
      <c r="GY128" s="70"/>
    </row>
    <row r="129" spans="2:207" x14ac:dyDescent="0.2">
      <c r="B129" s="87"/>
      <c r="CW129" s="70"/>
      <c r="CZ129" s="87"/>
      <c r="GY129" s="70"/>
    </row>
    <row r="130" spans="2:207" x14ac:dyDescent="0.2">
      <c r="B130" s="87"/>
      <c r="CW130" s="70"/>
      <c r="CZ130" s="87"/>
      <c r="GY130" s="70"/>
    </row>
    <row r="131" spans="2:207" x14ac:dyDescent="0.2">
      <c r="B131" s="87"/>
      <c r="CW131" s="70"/>
      <c r="CZ131" s="87"/>
      <c r="GY131" s="70"/>
    </row>
    <row r="132" spans="2:207" x14ac:dyDescent="0.2">
      <c r="B132" s="87"/>
      <c r="CW132" s="70"/>
      <c r="CZ132" s="87"/>
      <c r="GY132" s="70"/>
    </row>
    <row r="133" spans="2:207" x14ac:dyDescent="0.2">
      <c r="B133" s="87"/>
      <c r="CW133" s="70"/>
      <c r="CZ133" s="87"/>
      <c r="GY133" s="70"/>
    </row>
    <row r="134" spans="2:207" x14ac:dyDescent="0.2">
      <c r="B134" s="87"/>
      <c r="CW134" s="70"/>
      <c r="CZ134" s="87"/>
      <c r="GY134" s="70"/>
    </row>
    <row r="135" spans="2:207" x14ac:dyDescent="0.2">
      <c r="B135" s="87"/>
      <c r="CW135" s="70"/>
      <c r="CZ135" s="87"/>
      <c r="GY135" s="70"/>
    </row>
    <row r="136" spans="2:207" x14ac:dyDescent="0.2">
      <c r="B136" s="87"/>
      <c r="CW136" s="70"/>
      <c r="CZ136" s="87"/>
      <c r="GY136" s="70"/>
    </row>
    <row r="137" spans="2:207" x14ac:dyDescent="0.2">
      <c r="B137" s="87"/>
      <c r="CW137" s="70"/>
      <c r="CZ137" s="87"/>
      <c r="GY137" s="70"/>
    </row>
    <row r="138" spans="2:207" x14ac:dyDescent="0.2">
      <c r="B138" s="87"/>
      <c r="CW138" s="70"/>
      <c r="CZ138" s="87"/>
      <c r="GY138" s="70"/>
    </row>
    <row r="139" spans="2:207" x14ac:dyDescent="0.2">
      <c r="B139" s="87"/>
      <c r="CW139" s="70"/>
      <c r="CZ139" s="87"/>
      <c r="GY139" s="70"/>
    </row>
    <row r="140" spans="2:207" x14ac:dyDescent="0.2">
      <c r="B140" s="87"/>
      <c r="CW140" s="70"/>
      <c r="CZ140" s="87"/>
      <c r="GY140" s="70"/>
    </row>
    <row r="141" spans="2:207" x14ac:dyDescent="0.2">
      <c r="B141" s="87"/>
      <c r="CW141" s="70"/>
      <c r="CZ141" s="87"/>
      <c r="GY141" s="70"/>
    </row>
    <row r="142" spans="2:207" x14ac:dyDescent="0.2">
      <c r="B142" s="87"/>
      <c r="CW142" s="70"/>
      <c r="CZ142" s="87"/>
      <c r="GY142" s="70"/>
    </row>
    <row r="143" spans="2:207" x14ac:dyDescent="0.2">
      <c r="B143" s="87"/>
      <c r="CW143" s="70"/>
      <c r="CZ143" s="87"/>
      <c r="GY143" s="70"/>
    </row>
    <row r="144" spans="2:207" x14ac:dyDescent="0.2">
      <c r="B144" s="87"/>
      <c r="CW144" s="70"/>
      <c r="CZ144" s="87"/>
      <c r="GY144" s="70"/>
    </row>
    <row r="145" spans="2:207" x14ac:dyDescent="0.2">
      <c r="B145" s="87"/>
      <c r="CW145" s="70"/>
      <c r="CZ145" s="87"/>
      <c r="GY145" s="70"/>
    </row>
    <row r="146" spans="2:207" x14ac:dyDescent="0.2">
      <c r="B146" s="87"/>
      <c r="CW146" s="70"/>
      <c r="CZ146" s="87"/>
      <c r="GY146" s="70"/>
    </row>
    <row r="147" spans="2:207" x14ac:dyDescent="0.2">
      <c r="B147" s="87"/>
      <c r="CW147" s="70"/>
      <c r="CZ147" s="87"/>
      <c r="GY147" s="70"/>
    </row>
    <row r="148" spans="2:207" x14ac:dyDescent="0.2">
      <c r="B148" s="87"/>
      <c r="CW148" s="70"/>
      <c r="CZ148" s="87"/>
      <c r="GY148" s="70"/>
    </row>
    <row r="149" spans="2:207" x14ac:dyDescent="0.2">
      <c r="B149" s="87"/>
      <c r="CW149" s="70"/>
      <c r="CZ149" s="87"/>
      <c r="GY149" s="70"/>
    </row>
    <row r="150" spans="2:207" x14ac:dyDescent="0.2">
      <c r="B150" s="87"/>
      <c r="CW150" s="70"/>
      <c r="CZ150" s="87"/>
      <c r="GY150" s="70"/>
    </row>
    <row r="151" spans="2:207" x14ac:dyDescent="0.2">
      <c r="B151" s="87"/>
      <c r="CW151" s="70"/>
      <c r="CZ151" s="87"/>
      <c r="GY151" s="70"/>
    </row>
    <row r="152" spans="2:207" x14ac:dyDescent="0.2">
      <c r="B152" s="87"/>
      <c r="CW152" s="70"/>
      <c r="CZ152" s="87"/>
      <c r="GY152" s="70"/>
    </row>
    <row r="153" spans="2:207" x14ac:dyDescent="0.2">
      <c r="B153" s="87"/>
      <c r="CW153" s="70"/>
      <c r="CZ153" s="87"/>
      <c r="GY153" s="70"/>
    </row>
    <row r="154" spans="2:207" x14ac:dyDescent="0.2">
      <c r="B154" s="87"/>
      <c r="CW154" s="70"/>
      <c r="CZ154" s="87"/>
      <c r="GY154" s="70"/>
    </row>
    <row r="155" spans="2:207" x14ac:dyDescent="0.2">
      <c r="B155" s="87"/>
      <c r="CW155" s="70"/>
      <c r="CZ155" s="87"/>
      <c r="GY155" s="70"/>
    </row>
    <row r="156" spans="2:207" x14ac:dyDescent="0.2">
      <c r="B156" s="87"/>
      <c r="CW156" s="70"/>
      <c r="CZ156" s="87"/>
      <c r="GY156" s="70"/>
    </row>
    <row r="157" spans="2:207" x14ac:dyDescent="0.2">
      <c r="B157" s="87"/>
      <c r="CW157" s="70"/>
      <c r="CZ157" s="87"/>
      <c r="GY157" s="70"/>
    </row>
    <row r="158" spans="2:207" x14ac:dyDescent="0.2">
      <c r="B158" s="87"/>
      <c r="CW158" s="70"/>
      <c r="CZ158" s="87"/>
      <c r="GY158" s="70"/>
    </row>
    <row r="159" spans="2:207" x14ac:dyDescent="0.2">
      <c r="B159" s="87"/>
      <c r="CW159" s="70"/>
      <c r="CZ159" s="87"/>
      <c r="GY159" s="70"/>
    </row>
    <row r="160" spans="2:207" x14ac:dyDescent="0.2">
      <c r="B160" s="87"/>
      <c r="CW160" s="70"/>
      <c r="CZ160" s="87"/>
      <c r="GY160" s="70"/>
    </row>
    <row r="161" spans="2:207" x14ac:dyDescent="0.2">
      <c r="B161" s="87"/>
      <c r="CW161" s="70"/>
      <c r="CZ161" s="87"/>
      <c r="GY161" s="70"/>
    </row>
    <row r="162" spans="2:207" x14ac:dyDescent="0.2">
      <c r="B162" s="87"/>
      <c r="CW162" s="70"/>
      <c r="CZ162" s="87"/>
      <c r="GY162" s="70"/>
    </row>
    <row r="163" spans="2:207" x14ac:dyDescent="0.2">
      <c r="B163" s="87"/>
      <c r="CW163" s="70"/>
      <c r="CZ163" s="87"/>
      <c r="GY163" s="70"/>
    </row>
    <row r="164" spans="2:207" x14ac:dyDescent="0.2">
      <c r="B164" s="87"/>
      <c r="CW164" s="70"/>
      <c r="CZ164" s="87"/>
      <c r="GY164" s="70"/>
    </row>
    <row r="165" spans="2:207" x14ac:dyDescent="0.2">
      <c r="B165" s="87"/>
      <c r="CW165" s="70"/>
      <c r="CZ165" s="87"/>
      <c r="GY165" s="70"/>
    </row>
    <row r="166" spans="2:207" x14ac:dyDescent="0.2">
      <c r="B166" s="87"/>
      <c r="CW166" s="70"/>
      <c r="CZ166" s="87"/>
      <c r="GY166" s="70"/>
    </row>
    <row r="167" spans="2:207" x14ac:dyDescent="0.2">
      <c r="B167" s="87"/>
      <c r="CW167" s="70"/>
      <c r="CZ167" s="87"/>
      <c r="GY167" s="70"/>
    </row>
    <row r="168" spans="2:207" x14ac:dyDescent="0.2">
      <c r="B168" s="87"/>
      <c r="CW168" s="70"/>
      <c r="CZ168" s="87"/>
      <c r="GY168" s="70"/>
    </row>
    <row r="169" spans="2:207" x14ac:dyDescent="0.2">
      <c r="B169" s="87"/>
      <c r="CW169" s="70"/>
      <c r="CZ169" s="87"/>
      <c r="GY169" s="70"/>
    </row>
    <row r="170" spans="2:207" x14ac:dyDescent="0.2">
      <c r="B170" s="87"/>
      <c r="CW170" s="70"/>
      <c r="CZ170" s="87"/>
      <c r="GY170" s="70"/>
    </row>
    <row r="171" spans="2:207" x14ac:dyDescent="0.2">
      <c r="B171" s="87"/>
      <c r="CW171" s="70"/>
      <c r="CZ171" s="87"/>
      <c r="GY171" s="70"/>
    </row>
    <row r="172" spans="2:207" x14ac:dyDescent="0.2">
      <c r="B172" s="87"/>
      <c r="CW172" s="70"/>
      <c r="CZ172" s="87"/>
      <c r="GY172" s="70"/>
    </row>
    <row r="173" spans="2:207" x14ac:dyDescent="0.2">
      <c r="B173" s="87"/>
      <c r="CW173" s="70"/>
      <c r="CZ173" s="87"/>
      <c r="GY173" s="70"/>
    </row>
    <row r="174" spans="2:207" x14ac:dyDescent="0.2">
      <c r="B174" s="87"/>
      <c r="CW174" s="70"/>
      <c r="CZ174" s="87"/>
      <c r="GY174" s="70"/>
    </row>
    <row r="175" spans="2:207" x14ac:dyDescent="0.2">
      <c r="B175" s="87"/>
      <c r="CZ175" s="87"/>
    </row>
    <row r="176" spans="2:207" x14ac:dyDescent="0.2">
      <c r="B176" s="87"/>
      <c r="CW176" s="70"/>
      <c r="CZ176" s="87"/>
      <c r="GY176" s="70"/>
    </row>
    <row r="177" spans="2:102" x14ac:dyDescent="0.2">
      <c r="B177" s="87"/>
      <c r="CX177" s="70"/>
    </row>
    <row r="189" spans="2:102" x14ac:dyDescent="0.2">
      <c r="B189" s="87"/>
    </row>
    <row r="190" spans="2:102" x14ac:dyDescent="0.2">
      <c r="B190" s="87"/>
    </row>
    <row r="191" spans="2:102" x14ac:dyDescent="0.2">
      <c r="B191" s="87"/>
    </row>
    <row r="192" spans="2:102" x14ac:dyDescent="0.2">
      <c r="B192" s="87"/>
    </row>
    <row r="193" spans="2:2" x14ac:dyDescent="0.2">
      <c r="B193" s="87"/>
    </row>
    <row r="194" spans="2:2" x14ac:dyDescent="0.2">
      <c r="B194" s="87"/>
    </row>
    <row r="195" spans="2:2" x14ac:dyDescent="0.2">
      <c r="B195" s="87"/>
    </row>
    <row r="196" spans="2:2" x14ac:dyDescent="0.2">
      <c r="B196" s="87"/>
    </row>
    <row r="197" spans="2:2" x14ac:dyDescent="0.2">
      <c r="B197" s="87"/>
    </row>
    <row r="198" spans="2:2" x14ac:dyDescent="0.2">
      <c r="B198" s="87"/>
    </row>
    <row r="199" spans="2:2" x14ac:dyDescent="0.2">
      <c r="B199" s="87"/>
    </row>
    <row r="200" spans="2:2" x14ac:dyDescent="0.2">
      <c r="B200" s="87"/>
    </row>
    <row r="201" spans="2:2" x14ac:dyDescent="0.2">
      <c r="B201" s="87"/>
    </row>
    <row r="202" spans="2:2" x14ac:dyDescent="0.2">
      <c r="B202" s="87"/>
    </row>
    <row r="203" spans="2:2" x14ac:dyDescent="0.2">
      <c r="B203" s="87"/>
    </row>
    <row r="204" spans="2:2" x14ac:dyDescent="0.2">
      <c r="B204" s="87"/>
    </row>
    <row r="205" spans="2:2" x14ac:dyDescent="0.2">
      <c r="B205" s="87"/>
    </row>
    <row r="206" spans="2:2" x14ac:dyDescent="0.2">
      <c r="B206" s="87"/>
    </row>
    <row r="207" spans="2:2" x14ac:dyDescent="0.2">
      <c r="B207" s="87"/>
    </row>
    <row r="208" spans="2:2" x14ac:dyDescent="0.2">
      <c r="B208" s="87"/>
    </row>
    <row r="209" spans="2:2" x14ac:dyDescent="0.2">
      <c r="B209" s="87"/>
    </row>
    <row r="210" spans="2:2" x14ac:dyDescent="0.2">
      <c r="B210" s="87"/>
    </row>
    <row r="211" spans="2:2" x14ac:dyDescent="0.2">
      <c r="B211" s="87"/>
    </row>
    <row r="212" spans="2:2" x14ac:dyDescent="0.2">
      <c r="B212" s="87"/>
    </row>
    <row r="213" spans="2:2" x14ac:dyDescent="0.2">
      <c r="B213" s="87"/>
    </row>
    <row r="214" spans="2:2" x14ac:dyDescent="0.2">
      <c r="B214" s="87"/>
    </row>
    <row r="215" spans="2:2" x14ac:dyDescent="0.2">
      <c r="B215" s="87"/>
    </row>
    <row r="216" spans="2:2" x14ac:dyDescent="0.2">
      <c r="B216" s="87"/>
    </row>
    <row r="217" spans="2:2" x14ac:dyDescent="0.2">
      <c r="B217" s="87"/>
    </row>
    <row r="218" spans="2:2" x14ac:dyDescent="0.2">
      <c r="B218" s="87"/>
    </row>
    <row r="219" spans="2:2" x14ac:dyDescent="0.2">
      <c r="B219" s="87"/>
    </row>
    <row r="220" spans="2:2" x14ac:dyDescent="0.2">
      <c r="B220" s="87"/>
    </row>
    <row r="221" spans="2:2" x14ac:dyDescent="0.2">
      <c r="B221" s="87"/>
    </row>
    <row r="222" spans="2:2" x14ac:dyDescent="0.2">
      <c r="B222" s="87"/>
    </row>
    <row r="223" spans="2:2" x14ac:dyDescent="0.2">
      <c r="B223" s="87"/>
    </row>
    <row r="224" spans="2:2" x14ac:dyDescent="0.2">
      <c r="B224" s="87"/>
    </row>
    <row r="225" spans="2:2" x14ac:dyDescent="0.2">
      <c r="B225" s="87"/>
    </row>
    <row r="226" spans="2:2" x14ac:dyDescent="0.2">
      <c r="B226" s="87"/>
    </row>
    <row r="227" spans="2:2" x14ac:dyDescent="0.2">
      <c r="B227" s="87"/>
    </row>
    <row r="228" spans="2:2" x14ac:dyDescent="0.2">
      <c r="B228" s="87"/>
    </row>
    <row r="229" spans="2:2" x14ac:dyDescent="0.2">
      <c r="B229" s="87"/>
    </row>
    <row r="230" spans="2:2" x14ac:dyDescent="0.2">
      <c r="B230" s="87"/>
    </row>
    <row r="231" spans="2:2" x14ac:dyDescent="0.2">
      <c r="B231" s="87"/>
    </row>
    <row r="232" spans="2:2" x14ac:dyDescent="0.2">
      <c r="B232" s="87"/>
    </row>
    <row r="233" spans="2:2" x14ac:dyDescent="0.2">
      <c r="B233" s="87"/>
    </row>
    <row r="234" spans="2:2" x14ac:dyDescent="0.2">
      <c r="B234" s="87"/>
    </row>
    <row r="235" spans="2:2" x14ac:dyDescent="0.2">
      <c r="B235" s="87"/>
    </row>
    <row r="236" spans="2:2" x14ac:dyDescent="0.2">
      <c r="B236" s="87"/>
    </row>
    <row r="237" spans="2:2" x14ac:dyDescent="0.2">
      <c r="B237" s="87"/>
    </row>
    <row r="238" spans="2:2" x14ac:dyDescent="0.2">
      <c r="B238" s="87"/>
    </row>
    <row r="239" spans="2:2" x14ac:dyDescent="0.2">
      <c r="B239" s="87"/>
    </row>
    <row r="240" spans="2:2" x14ac:dyDescent="0.2">
      <c r="B240" s="87"/>
    </row>
    <row r="241" spans="2:2" x14ac:dyDescent="0.2">
      <c r="B241" s="87"/>
    </row>
    <row r="245" spans="2:2" x14ac:dyDescent="0.2">
      <c r="B245" s="87"/>
    </row>
    <row r="246" spans="2:2" x14ac:dyDescent="0.2">
      <c r="B246" s="87"/>
    </row>
    <row r="247" spans="2:2" x14ac:dyDescent="0.2">
      <c r="B247" s="87"/>
    </row>
    <row r="248" spans="2:2" x14ac:dyDescent="0.2">
      <c r="B248" s="87"/>
    </row>
    <row r="249" spans="2:2" x14ac:dyDescent="0.2">
      <c r="B249" s="87"/>
    </row>
    <row r="250" spans="2:2" x14ac:dyDescent="0.2">
      <c r="B250" s="87"/>
    </row>
    <row r="251" spans="2:2" x14ac:dyDescent="0.2">
      <c r="B251" s="87"/>
    </row>
    <row r="252" spans="2:2" x14ac:dyDescent="0.2">
      <c r="B252" s="87"/>
    </row>
    <row r="253" spans="2:2" x14ac:dyDescent="0.2">
      <c r="B253" s="87"/>
    </row>
    <row r="254" spans="2:2" x14ac:dyDescent="0.2">
      <c r="B254" s="87"/>
    </row>
    <row r="255" spans="2:2" x14ac:dyDescent="0.2">
      <c r="B255" s="87"/>
    </row>
    <row r="256" spans="2:2" x14ac:dyDescent="0.2">
      <c r="B256" s="87"/>
    </row>
    <row r="257" spans="2:2" x14ac:dyDescent="0.2">
      <c r="B257" s="87"/>
    </row>
    <row r="258" spans="2:2" x14ac:dyDescent="0.2">
      <c r="B258" s="87"/>
    </row>
    <row r="259" spans="2:2" x14ac:dyDescent="0.2">
      <c r="B259" s="87"/>
    </row>
    <row r="260" spans="2:2" x14ac:dyDescent="0.2">
      <c r="B260" s="87"/>
    </row>
    <row r="261" spans="2:2" x14ac:dyDescent="0.2">
      <c r="B261" s="87"/>
    </row>
    <row r="262" spans="2:2" x14ac:dyDescent="0.2">
      <c r="B262" s="87"/>
    </row>
    <row r="263" spans="2:2" x14ac:dyDescent="0.2">
      <c r="B263" s="87"/>
    </row>
    <row r="264" spans="2:2" x14ac:dyDescent="0.2">
      <c r="B264" s="87"/>
    </row>
    <row r="265" spans="2:2" x14ac:dyDescent="0.2">
      <c r="B265" s="87"/>
    </row>
    <row r="266" spans="2:2" x14ac:dyDescent="0.2">
      <c r="B266" s="87"/>
    </row>
    <row r="267" spans="2:2" x14ac:dyDescent="0.2">
      <c r="B267" s="87"/>
    </row>
    <row r="268" spans="2:2" x14ac:dyDescent="0.2">
      <c r="B268" s="87"/>
    </row>
    <row r="269" spans="2:2" x14ac:dyDescent="0.2">
      <c r="B269" s="87"/>
    </row>
    <row r="270" spans="2:2" x14ac:dyDescent="0.2">
      <c r="B270" s="87"/>
    </row>
    <row r="271" spans="2:2" x14ac:dyDescent="0.2">
      <c r="B271" s="87"/>
    </row>
    <row r="272" spans="2:2" x14ac:dyDescent="0.2">
      <c r="B272" s="87"/>
    </row>
    <row r="273" spans="2:2" x14ac:dyDescent="0.2">
      <c r="B273" s="87"/>
    </row>
    <row r="274" spans="2:2" x14ac:dyDescent="0.2">
      <c r="B274" s="87"/>
    </row>
    <row r="275" spans="2:2" x14ac:dyDescent="0.2">
      <c r="B275" s="87"/>
    </row>
    <row r="276" spans="2:2" x14ac:dyDescent="0.2">
      <c r="B276" s="87"/>
    </row>
    <row r="277" spans="2:2" x14ac:dyDescent="0.2">
      <c r="B277" s="87"/>
    </row>
    <row r="278" spans="2:2" x14ac:dyDescent="0.2">
      <c r="B278" s="87"/>
    </row>
    <row r="279" spans="2:2" x14ac:dyDescent="0.2">
      <c r="B279" s="87"/>
    </row>
    <row r="280" spans="2:2" x14ac:dyDescent="0.2">
      <c r="B280" s="87"/>
    </row>
    <row r="281" spans="2:2" x14ac:dyDescent="0.2">
      <c r="B281" s="87"/>
    </row>
    <row r="282" spans="2:2" x14ac:dyDescent="0.2">
      <c r="B282" s="87"/>
    </row>
    <row r="283" spans="2:2" x14ac:dyDescent="0.2">
      <c r="B283" s="87"/>
    </row>
    <row r="284" spans="2:2" x14ac:dyDescent="0.2">
      <c r="B284" s="87"/>
    </row>
    <row r="285" spans="2:2" x14ac:dyDescent="0.2">
      <c r="B285" s="87"/>
    </row>
    <row r="286" spans="2:2" x14ac:dyDescent="0.2">
      <c r="B286" s="87"/>
    </row>
    <row r="287" spans="2:2" x14ac:dyDescent="0.2">
      <c r="B287" s="87"/>
    </row>
    <row r="288" spans="2:2" x14ac:dyDescent="0.2">
      <c r="B288" s="87"/>
    </row>
    <row r="289" spans="2:2" x14ac:dyDescent="0.2">
      <c r="B289" s="87"/>
    </row>
    <row r="290" spans="2:2" x14ac:dyDescent="0.2">
      <c r="B290" s="87"/>
    </row>
    <row r="291" spans="2:2" x14ac:dyDescent="0.2">
      <c r="B291" s="87"/>
    </row>
    <row r="292" spans="2:2" x14ac:dyDescent="0.2">
      <c r="B292" s="87"/>
    </row>
    <row r="293" spans="2:2" x14ac:dyDescent="0.2">
      <c r="B293" s="87"/>
    </row>
    <row r="294" spans="2:2" x14ac:dyDescent="0.2">
      <c r="B294" s="87"/>
    </row>
    <row r="295" spans="2:2" x14ac:dyDescent="0.2">
      <c r="B295" s="87"/>
    </row>
    <row r="296" spans="2:2" x14ac:dyDescent="0.2">
      <c r="B296" s="87"/>
    </row>
    <row r="297" spans="2:2" x14ac:dyDescent="0.2">
      <c r="B297" s="87"/>
    </row>
  </sheetData>
  <pageMargins left="0.7" right="0.7" top="0.75" bottom="0.75" header="0.3" footer="0.3"/>
  <pageSetup paperSize="9" orientation="portrait" verticalDpi="0"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Q220"/>
  <sheetViews>
    <sheetView topLeftCell="CY1" workbookViewId="0">
      <selection activeCell="DK1" sqref="DK1"/>
    </sheetView>
  </sheetViews>
  <sheetFormatPr defaultRowHeight="14.25" x14ac:dyDescent="0.2"/>
  <cols>
    <col min="1" max="1" width="9" style="67"/>
    <col min="2" max="2" width="12.125" customWidth="1"/>
    <col min="3" max="3" width="22.25" style="67" bestFit="1" customWidth="1"/>
    <col min="4" max="4" width="11.125" customWidth="1"/>
    <col min="60" max="61" width="9.625" customWidth="1"/>
    <col min="62" max="62" width="9.625" style="67" customWidth="1"/>
    <col min="63" max="114" width="9.75" bestFit="1" customWidth="1"/>
    <col min="115" max="115" width="9.75" style="67" bestFit="1" customWidth="1"/>
  </cols>
  <sheetData>
    <row r="1" spans="1:121" ht="15" x14ac:dyDescent="0.25">
      <c r="A1" s="67" t="s">
        <v>1243</v>
      </c>
      <c r="C1" s="2" t="s">
        <v>459</v>
      </c>
      <c r="D1" t="s">
        <v>467</v>
      </c>
      <c r="E1">
        <v>1</v>
      </c>
      <c r="H1" t="s">
        <v>433</v>
      </c>
      <c r="I1" t="str">
        <f>"Capacity summary ("&amp;LOWER('Capacity summary'!$C$16)&amp;")"&amp;IF(Capacity!C12&lt;&gt;"[Not Saved]"," - " &amp;Capacity!C12,"")</f>
        <v>Capacity summary (patients)</v>
      </c>
      <c r="BJ1" s="67" t="s">
        <v>458</v>
      </c>
      <c r="BK1" s="317">
        <f ca="1">INDEX('Critical resources (hide)'!$B$6:$F$58,MATCH('Capacity calculation (hide)'!BK$3,'Critical resources (hide)'!$F$6:$F$58,0),1)</f>
        <v>44417</v>
      </c>
      <c r="BL1" s="317">
        <f ca="1">INDEX('Critical resources (hide)'!$B$6:$F$58,MATCH('Capacity calculation (hide)'!BL$3,'Critical resources (hide)'!$F$6:$F$58,0),1)</f>
        <v>44424</v>
      </c>
      <c r="BM1" s="317">
        <f ca="1">INDEX('Critical resources (hide)'!$B$6:$F$58,MATCH('Capacity calculation (hide)'!BM$3,'Critical resources (hide)'!$F$6:$F$58,0),1)</f>
        <v>44431</v>
      </c>
      <c r="BN1" s="317">
        <f ca="1">INDEX('Critical resources (hide)'!$B$6:$F$58,MATCH('Capacity calculation (hide)'!BN$3,'Critical resources (hide)'!$F$6:$F$58,0),1)</f>
        <v>44438</v>
      </c>
      <c r="BO1" s="317">
        <f ca="1">INDEX('Critical resources (hide)'!$B$6:$F$58,MATCH('Capacity calculation (hide)'!BO$3,'Critical resources (hide)'!$F$6:$F$58,0),1)</f>
        <v>44445</v>
      </c>
      <c r="BP1" s="317">
        <f ca="1">INDEX('Critical resources (hide)'!$B$6:$F$58,MATCH('Capacity calculation (hide)'!BP$3,'Critical resources (hide)'!$F$6:$F$58,0),1)</f>
        <v>44452</v>
      </c>
      <c r="BQ1" s="317">
        <f ca="1">INDEX('Critical resources (hide)'!$B$6:$F$58,MATCH('Capacity calculation (hide)'!BQ$3,'Critical resources (hide)'!$F$6:$F$58,0),1)</f>
        <v>44459</v>
      </c>
      <c r="BR1" s="317">
        <f ca="1">INDEX('Critical resources (hide)'!$B$6:$F$58,MATCH('Capacity calculation (hide)'!BR$3,'Critical resources (hide)'!$F$6:$F$58,0),1)</f>
        <v>44466</v>
      </c>
      <c r="BS1" s="317">
        <f ca="1">INDEX('Critical resources (hide)'!$B$6:$F$58,MATCH('Capacity calculation (hide)'!BS$3,'Critical resources (hide)'!$F$6:$F$58,0),1)</f>
        <v>44473</v>
      </c>
      <c r="BT1" s="317">
        <f ca="1">INDEX('Critical resources (hide)'!$B$6:$F$58,MATCH('Capacity calculation (hide)'!BT$3,'Critical resources (hide)'!$F$6:$F$58,0),1)</f>
        <v>44480</v>
      </c>
      <c r="BU1" s="317">
        <f ca="1">INDEX('Critical resources (hide)'!$B$6:$F$58,MATCH('Capacity calculation (hide)'!BU$3,'Critical resources (hide)'!$F$6:$F$58,0),1)</f>
        <v>44487</v>
      </c>
      <c r="BV1" s="317">
        <f ca="1">INDEX('Critical resources (hide)'!$B$6:$F$58,MATCH('Capacity calculation (hide)'!BV$3,'Critical resources (hide)'!$F$6:$F$58,0),1)</f>
        <v>44494</v>
      </c>
      <c r="BW1" s="317">
        <f ca="1">INDEX('Critical resources (hide)'!$B$6:$F$58,MATCH('Capacity calculation (hide)'!BW$3,'Critical resources (hide)'!$F$6:$F$58,0),1)</f>
        <v>44501</v>
      </c>
      <c r="BX1" s="317">
        <f ca="1">INDEX('Critical resources (hide)'!$B$6:$F$58,MATCH('Capacity calculation (hide)'!BX$3,'Critical resources (hide)'!$F$6:$F$58,0),1)</f>
        <v>44508</v>
      </c>
      <c r="BY1" s="317">
        <f ca="1">INDEX('Critical resources (hide)'!$B$6:$F$58,MATCH('Capacity calculation (hide)'!BY$3,'Critical resources (hide)'!$F$6:$F$58,0),1)</f>
        <v>44515</v>
      </c>
      <c r="BZ1" s="317">
        <f ca="1">INDEX('Critical resources (hide)'!$B$6:$F$58,MATCH('Capacity calculation (hide)'!BZ$3,'Critical resources (hide)'!$F$6:$F$58,0),1)</f>
        <v>44522</v>
      </c>
      <c r="CA1" s="317">
        <f ca="1">INDEX('Critical resources (hide)'!$B$6:$F$58,MATCH('Capacity calculation (hide)'!CA$3,'Critical resources (hide)'!$F$6:$F$58,0),1)</f>
        <v>44529</v>
      </c>
      <c r="CB1" s="317">
        <f ca="1">INDEX('Critical resources (hide)'!$B$6:$F$58,MATCH('Capacity calculation (hide)'!CB$3,'Critical resources (hide)'!$F$6:$F$58,0),1)</f>
        <v>44536</v>
      </c>
      <c r="CC1" s="317">
        <f ca="1">INDEX('Critical resources (hide)'!$B$6:$F$58,MATCH('Capacity calculation (hide)'!CC$3,'Critical resources (hide)'!$F$6:$F$58,0),1)</f>
        <v>44543</v>
      </c>
      <c r="CD1" s="317">
        <f ca="1">INDEX('Critical resources (hide)'!$B$6:$F$58,MATCH('Capacity calculation (hide)'!CD$3,'Critical resources (hide)'!$F$6:$F$58,0),1)</f>
        <v>44550</v>
      </c>
      <c r="CE1" s="317">
        <f ca="1">INDEX('Critical resources (hide)'!$B$6:$F$58,MATCH('Capacity calculation (hide)'!CE$3,'Critical resources (hide)'!$F$6:$F$58,0),1)</f>
        <v>44557</v>
      </c>
      <c r="CF1" s="317">
        <f ca="1">INDEX('Critical resources (hide)'!$B$6:$F$58,MATCH('Capacity calculation (hide)'!CF$3,'Critical resources (hide)'!$F$6:$F$58,0),1)</f>
        <v>44564</v>
      </c>
      <c r="CG1" s="317">
        <f ca="1">INDEX('Critical resources (hide)'!$B$6:$F$58,MATCH('Capacity calculation (hide)'!CG$3,'Critical resources (hide)'!$F$6:$F$58,0),1)</f>
        <v>44571</v>
      </c>
      <c r="CH1" s="317">
        <f ca="1">INDEX('Critical resources (hide)'!$B$6:$F$58,MATCH('Capacity calculation (hide)'!CH$3,'Critical resources (hide)'!$F$6:$F$58,0),1)</f>
        <v>44578</v>
      </c>
      <c r="CI1" s="317">
        <f ca="1">INDEX('Critical resources (hide)'!$B$6:$F$58,MATCH('Capacity calculation (hide)'!CI$3,'Critical resources (hide)'!$F$6:$F$58,0),1)</f>
        <v>44585</v>
      </c>
      <c r="CJ1" s="317">
        <f ca="1">INDEX('Critical resources (hide)'!$B$6:$F$58,MATCH('Capacity calculation (hide)'!CJ$3,'Critical resources (hide)'!$F$6:$F$58,0),1)</f>
        <v>44592</v>
      </c>
      <c r="CK1" s="317">
        <f ca="1">INDEX('Critical resources (hide)'!$B$6:$F$58,MATCH('Capacity calculation (hide)'!CK$3,'Critical resources (hide)'!$F$6:$F$58,0),1)</f>
        <v>44599</v>
      </c>
      <c r="CL1" s="317">
        <f ca="1">INDEX('Critical resources (hide)'!$B$6:$F$58,MATCH('Capacity calculation (hide)'!CL$3,'Critical resources (hide)'!$F$6:$F$58,0),1)</f>
        <v>44606</v>
      </c>
      <c r="CM1" s="317">
        <f ca="1">INDEX('Critical resources (hide)'!$B$6:$F$58,MATCH('Capacity calculation (hide)'!CM$3,'Critical resources (hide)'!$F$6:$F$58,0),1)</f>
        <v>44613</v>
      </c>
      <c r="CN1" s="317">
        <f ca="1">INDEX('Critical resources (hide)'!$B$6:$F$58,MATCH('Capacity calculation (hide)'!CN$3,'Critical resources (hide)'!$F$6:$F$58,0),1)</f>
        <v>44620</v>
      </c>
      <c r="CO1" s="317">
        <f ca="1">INDEX('Critical resources (hide)'!$B$6:$F$58,MATCH('Capacity calculation (hide)'!CO$3,'Critical resources (hide)'!$F$6:$F$58,0),1)</f>
        <v>44627</v>
      </c>
      <c r="CP1" s="317">
        <f ca="1">INDEX('Critical resources (hide)'!$B$6:$F$58,MATCH('Capacity calculation (hide)'!CP$3,'Critical resources (hide)'!$F$6:$F$58,0),1)</f>
        <v>44634</v>
      </c>
      <c r="CQ1" s="317">
        <f ca="1">INDEX('Critical resources (hide)'!$B$6:$F$58,MATCH('Capacity calculation (hide)'!CQ$3,'Critical resources (hide)'!$F$6:$F$58,0),1)</f>
        <v>44641</v>
      </c>
      <c r="CR1" s="317">
        <f ca="1">INDEX('Critical resources (hide)'!$B$6:$F$58,MATCH('Capacity calculation (hide)'!CR$3,'Critical resources (hide)'!$F$6:$F$58,0),1)</f>
        <v>44648</v>
      </c>
      <c r="CS1" s="317">
        <f ca="1">INDEX('Critical resources (hide)'!$B$6:$F$58,MATCH('Capacity calculation (hide)'!CS$3,'Critical resources (hide)'!$F$6:$F$58,0),1)</f>
        <v>44655</v>
      </c>
      <c r="CT1" s="317">
        <f ca="1">INDEX('Critical resources (hide)'!$B$6:$F$58,MATCH('Capacity calculation (hide)'!CT$3,'Critical resources (hide)'!$F$6:$F$58,0),1)</f>
        <v>44662</v>
      </c>
      <c r="CU1" s="317">
        <f ca="1">INDEX('Critical resources (hide)'!$B$6:$F$58,MATCH('Capacity calculation (hide)'!CU$3,'Critical resources (hide)'!$F$6:$F$58,0),1)</f>
        <v>44669</v>
      </c>
      <c r="CV1" s="317">
        <f ca="1">INDEX('Critical resources (hide)'!$B$6:$F$58,MATCH('Capacity calculation (hide)'!CV$3,'Critical resources (hide)'!$F$6:$F$58,0),1)</f>
        <v>44676</v>
      </c>
      <c r="CW1" s="317">
        <f ca="1">INDEX('Critical resources (hide)'!$B$6:$F$58,MATCH('Capacity calculation (hide)'!CW$3,'Critical resources (hide)'!$F$6:$F$58,0),1)</f>
        <v>44683</v>
      </c>
      <c r="CX1" s="317">
        <f ca="1">INDEX('Critical resources (hide)'!$B$6:$F$58,MATCH('Capacity calculation (hide)'!CX$3,'Critical resources (hide)'!$F$6:$F$58,0),1)</f>
        <v>44690</v>
      </c>
      <c r="CY1" s="317">
        <f ca="1">INDEX('Critical resources (hide)'!$B$6:$F$58,MATCH('Capacity calculation (hide)'!CY$3,'Critical resources (hide)'!$F$6:$F$58,0),1)</f>
        <v>44697</v>
      </c>
      <c r="CZ1" s="317">
        <f ca="1">INDEX('Critical resources (hide)'!$B$6:$F$58,MATCH('Capacity calculation (hide)'!CZ$3,'Critical resources (hide)'!$F$6:$F$58,0),1)</f>
        <v>44704</v>
      </c>
      <c r="DA1" s="317">
        <f ca="1">INDEX('Critical resources (hide)'!$B$6:$F$58,MATCH('Capacity calculation (hide)'!DA$3,'Critical resources (hide)'!$F$6:$F$58,0),1)</f>
        <v>44711</v>
      </c>
      <c r="DB1" s="317">
        <f ca="1">INDEX('Critical resources (hide)'!$B$6:$F$58,MATCH('Capacity calculation (hide)'!DB$3,'Critical resources (hide)'!$F$6:$F$58,0),1)</f>
        <v>44718</v>
      </c>
      <c r="DC1" s="317">
        <f ca="1">INDEX('Critical resources (hide)'!$B$6:$F$58,MATCH('Capacity calculation (hide)'!DC$3,'Critical resources (hide)'!$F$6:$F$58,0),1)</f>
        <v>44725</v>
      </c>
      <c r="DD1" s="317">
        <f ca="1">INDEX('Critical resources (hide)'!$B$6:$F$58,MATCH('Capacity calculation (hide)'!DD$3,'Critical resources (hide)'!$F$6:$F$58,0),1)</f>
        <v>44732</v>
      </c>
      <c r="DE1" s="317">
        <f ca="1">INDEX('Critical resources (hide)'!$B$6:$F$58,MATCH('Capacity calculation (hide)'!DE$3,'Critical resources (hide)'!$F$6:$F$58,0),1)</f>
        <v>44739</v>
      </c>
      <c r="DF1" s="317">
        <f ca="1">INDEX('Critical resources (hide)'!$B$6:$F$58,MATCH('Capacity calculation (hide)'!DF$3,'Critical resources (hide)'!$F$6:$F$58,0),1)</f>
        <v>44746</v>
      </c>
      <c r="DG1" s="317">
        <f ca="1">INDEX('Critical resources (hide)'!$B$6:$F$58,MATCH('Capacity calculation (hide)'!DG$3,'Critical resources (hide)'!$F$6:$F$58,0),1)</f>
        <v>44753</v>
      </c>
      <c r="DH1" s="317">
        <f ca="1">INDEX('Critical resources (hide)'!$B$6:$F$58,MATCH('Capacity calculation (hide)'!DH$3,'Critical resources (hide)'!$F$6:$F$58,0),1)</f>
        <v>44760</v>
      </c>
      <c r="DI1" s="317">
        <f ca="1">INDEX('Critical resources (hide)'!$B$6:$F$58,MATCH('Capacity calculation (hide)'!DI$3,'Critical resources (hide)'!$F$6:$F$58,0),1)</f>
        <v>44767</v>
      </c>
      <c r="DJ1" s="317">
        <f ca="1">INDEX('Critical resources (hide)'!$B$6:$F$58,MATCH('Capacity calculation (hide)'!DJ$3,'Critical resources (hide)'!$F$6:$F$58,0),1)</f>
        <v>44774</v>
      </c>
      <c r="DK1" s="317" t="e">
        <f ca="1">INDEX('Critical resources (hide)'!$B$6:$F$58,MATCH('Capacity calculation (hide)'!DK$3,'Critical resources (hide)'!$F$6:$F$58,0),1)</f>
        <v>#N/A</v>
      </c>
    </row>
    <row r="2" spans="1:121" ht="15" x14ac:dyDescent="0.25">
      <c r="B2" s="2"/>
      <c r="C2" s="2"/>
      <c r="D2" s="2" t="s">
        <v>451</v>
      </c>
      <c r="E2" s="2"/>
      <c r="F2" s="2"/>
      <c r="H2" t="s">
        <v>455</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c r="DK2" s="390">
        <v>53</v>
      </c>
    </row>
    <row r="3" spans="1:121" ht="15" x14ac:dyDescent="0.25">
      <c r="A3" s="67" t="s">
        <v>480</v>
      </c>
      <c r="B3" s="291" t="s">
        <v>481</v>
      </c>
      <c r="C3" s="2" t="s">
        <v>470</v>
      </c>
      <c r="D3" s="2">
        <v>1</v>
      </c>
      <c r="E3" s="2">
        <v>2</v>
      </c>
      <c r="F3" s="2">
        <v>3</v>
      </c>
      <c r="G3" s="67"/>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456</v>
      </c>
      <c r="BI3" s="2" t="s">
        <v>457</v>
      </c>
      <c r="BK3" s="59">
        <f ca="1">OFFSET('Critical resources (hide)'!$F$6,COLUMN(A1)-1,0,1,1)</f>
        <v>32</v>
      </c>
      <c r="BL3" s="59">
        <f ca="1">OFFSET('Critical resources (hide)'!$F$6,COLUMN(B1)-1,0,1,1)</f>
        <v>33</v>
      </c>
      <c r="BM3" s="59">
        <f ca="1">OFFSET('Critical resources (hide)'!$F$6,COLUMN(C1)-1,0,1,1)</f>
        <v>34</v>
      </c>
      <c r="BN3" s="59">
        <f ca="1">OFFSET('Critical resources (hide)'!$F$6,COLUMN(D1)-1,0,1,1)</f>
        <v>35</v>
      </c>
      <c r="BO3" s="59">
        <f ca="1">OFFSET('Critical resources (hide)'!$F$6,COLUMN(E1)-1,0,1,1)</f>
        <v>36</v>
      </c>
      <c r="BP3" s="59">
        <f ca="1">OFFSET('Critical resources (hide)'!$F$6,COLUMN(F1)-1,0,1,1)</f>
        <v>37</v>
      </c>
      <c r="BQ3" s="59">
        <f ca="1">OFFSET('Critical resources (hide)'!$F$6,COLUMN(G1)-1,0,1,1)</f>
        <v>38</v>
      </c>
      <c r="BR3" s="59">
        <f ca="1">OFFSET('Critical resources (hide)'!$F$6,COLUMN(H1)-1,0,1,1)</f>
        <v>39</v>
      </c>
      <c r="BS3" s="59">
        <f ca="1">OFFSET('Critical resources (hide)'!$F$6,COLUMN(I1)-1,0,1,1)</f>
        <v>40</v>
      </c>
      <c r="BT3" s="59">
        <f ca="1">OFFSET('Critical resources (hide)'!$F$6,COLUMN(J1)-1,0,1,1)</f>
        <v>41</v>
      </c>
      <c r="BU3" s="59">
        <f ca="1">OFFSET('Critical resources (hide)'!$F$6,COLUMN(K1)-1,0,1,1)</f>
        <v>42</v>
      </c>
      <c r="BV3" s="59">
        <f ca="1">OFFSET('Critical resources (hide)'!$F$6,COLUMN(L1)-1,0,1,1)</f>
        <v>43</v>
      </c>
      <c r="BW3" s="59">
        <f ca="1">OFFSET('Critical resources (hide)'!$F$6,COLUMN(M1)-1,0,1,1)</f>
        <v>44</v>
      </c>
      <c r="BX3" s="59">
        <f ca="1">OFFSET('Critical resources (hide)'!$F$6,COLUMN(N1)-1,0,1,1)</f>
        <v>45</v>
      </c>
      <c r="BY3" s="59">
        <f ca="1">OFFSET('Critical resources (hide)'!$F$6,COLUMN(O1)-1,0,1,1)</f>
        <v>46</v>
      </c>
      <c r="BZ3" s="59">
        <f ca="1">OFFSET('Critical resources (hide)'!$F$6,COLUMN(P1)-1,0,1,1)</f>
        <v>47</v>
      </c>
      <c r="CA3" s="59">
        <f ca="1">OFFSET('Critical resources (hide)'!$F$6,COLUMN(Q1)-1,0,1,1)</f>
        <v>48</v>
      </c>
      <c r="CB3" s="59">
        <f ca="1">OFFSET('Critical resources (hide)'!$F$6,COLUMN(R1)-1,0,1,1)</f>
        <v>49</v>
      </c>
      <c r="CC3" s="59">
        <f ca="1">OFFSET('Critical resources (hide)'!$F$6,COLUMN(S1)-1,0,1,1)</f>
        <v>50</v>
      </c>
      <c r="CD3" s="59">
        <f ca="1">OFFSET('Critical resources (hide)'!$F$6,COLUMN(T1)-1,0,1,1)</f>
        <v>51</v>
      </c>
      <c r="CE3" s="59">
        <f ca="1">OFFSET('Critical resources (hide)'!$F$6,COLUMN(U1)-1,0,1,1)</f>
        <v>52</v>
      </c>
      <c r="CF3" s="59">
        <f ca="1">OFFSET('Critical resources (hide)'!$F$6,COLUMN(V1)-1,0,1,1)</f>
        <v>1</v>
      </c>
      <c r="CG3" s="59">
        <f ca="1">OFFSET('Critical resources (hide)'!$F$6,COLUMN(W1)-1,0,1,1)</f>
        <v>2</v>
      </c>
      <c r="CH3" s="59">
        <f ca="1">OFFSET('Critical resources (hide)'!$F$6,COLUMN(X1)-1,0,1,1)</f>
        <v>3</v>
      </c>
      <c r="CI3" s="59">
        <f ca="1">OFFSET('Critical resources (hide)'!$F$6,COLUMN(Y1)-1,0,1,1)</f>
        <v>4</v>
      </c>
      <c r="CJ3" s="59">
        <f ca="1">OFFSET('Critical resources (hide)'!$F$6,COLUMN(Z1)-1,0,1,1)</f>
        <v>5</v>
      </c>
      <c r="CK3" s="59">
        <f ca="1">OFFSET('Critical resources (hide)'!$F$6,COLUMN(AA1)-1,0,1,1)</f>
        <v>6</v>
      </c>
      <c r="CL3" s="59">
        <f ca="1">OFFSET('Critical resources (hide)'!$F$6,COLUMN(AB1)-1,0,1,1)</f>
        <v>7</v>
      </c>
      <c r="CM3" s="59">
        <f ca="1">OFFSET('Critical resources (hide)'!$F$6,COLUMN(AC1)-1,0,1,1)</f>
        <v>8</v>
      </c>
      <c r="CN3" s="59">
        <f ca="1">OFFSET('Critical resources (hide)'!$F$6,COLUMN(AD1)-1,0,1,1)</f>
        <v>9</v>
      </c>
      <c r="CO3" s="59">
        <f ca="1">OFFSET('Critical resources (hide)'!$F$6,COLUMN(AE1)-1,0,1,1)</f>
        <v>10</v>
      </c>
      <c r="CP3" s="59">
        <f ca="1">OFFSET('Critical resources (hide)'!$F$6,COLUMN(AF1)-1,0,1,1)</f>
        <v>11</v>
      </c>
      <c r="CQ3" s="59">
        <f ca="1">OFFSET('Critical resources (hide)'!$F$6,COLUMN(AG1)-1,0,1,1)</f>
        <v>12</v>
      </c>
      <c r="CR3" s="59">
        <f ca="1">OFFSET('Critical resources (hide)'!$F$6,COLUMN(AH1)-1,0,1,1)</f>
        <v>13</v>
      </c>
      <c r="CS3" s="59">
        <f ca="1">OFFSET('Critical resources (hide)'!$F$6,COLUMN(AI1)-1,0,1,1)</f>
        <v>14</v>
      </c>
      <c r="CT3" s="59">
        <f ca="1">OFFSET('Critical resources (hide)'!$F$6,COLUMN(AJ1)-1,0,1,1)</f>
        <v>15</v>
      </c>
      <c r="CU3" s="59">
        <f ca="1">OFFSET('Critical resources (hide)'!$F$6,COLUMN(AK1)-1,0,1,1)</f>
        <v>16</v>
      </c>
      <c r="CV3" s="59">
        <f ca="1">OFFSET('Critical resources (hide)'!$F$6,COLUMN(AL1)-1,0,1,1)</f>
        <v>17</v>
      </c>
      <c r="CW3" s="59">
        <f ca="1">OFFSET('Critical resources (hide)'!$F$6,COLUMN(AM1)-1,0,1,1)</f>
        <v>18</v>
      </c>
      <c r="CX3" s="59">
        <f ca="1">OFFSET('Critical resources (hide)'!$F$6,COLUMN(AN1)-1,0,1,1)</f>
        <v>19</v>
      </c>
      <c r="CY3" s="59">
        <f ca="1">OFFSET('Critical resources (hide)'!$F$6,COLUMN(AO1)-1,0,1,1)</f>
        <v>20</v>
      </c>
      <c r="CZ3" s="59">
        <f ca="1">OFFSET('Critical resources (hide)'!$F$6,COLUMN(AP1)-1,0,1,1)</f>
        <v>21</v>
      </c>
      <c r="DA3" s="59">
        <f ca="1">OFFSET('Critical resources (hide)'!$F$6,COLUMN(AQ1)-1,0,1,1)</f>
        <v>22</v>
      </c>
      <c r="DB3" s="59">
        <f ca="1">OFFSET('Critical resources (hide)'!$F$6,COLUMN(AR1)-1,0,1,1)</f>
        <v>23</v>
      </c>
      <c r="DC3" s="59">
        <f ca="1">OFFSET('Critical resources (hide)'!$F$6,COLUMN(AS1)-1,0,1,1)</f>
        <v>24</v>
      </c>
      <c r="DD3" s="59">
        <f ca="1">OFFSET('Critical resources (hide)'!$F$6,COLUMN(AT1)-1,0,1,1)</f>
        <v>25</v>
      </c>
      <c r="DE3" s="59">
        <f ca="1">OFFSET('Critical resources (hide)'!$F$6,COLUMN(AU1)-1,0,1,1)</f>
        <v>26</v>
      </c>
      <c r="DF3" s="59">
        <f ca="1">OFFSET('Critical resources (hide)'!$F$6,COLUMN(AV1)-1,0,1,1)</f>
        <v>27</v>
      </c>
      <c r="DG3" s="59">
        <f ca="1">OFFSET('Critical resources (hide)'!$F$6,COLUMN(AW1)-1,0,1,1)</f>
        <v>28</v>
      </c>
      <c r="DH3" s="59">
        <f ca="1">OFFSET('Critical resources (hide)'!$F$6,COLUMN(AX1)-1,0,1,1)</f>
        <v>29</v>
      </c>
      <c r="DI3" s="59">
        <f ca="1">OFFSET('Critical resources (hide)'!$F$6,COLUMN(AY1)-1,0,1,1)</f>
        <v>30</v>
      </c>
      <c r="DJ3" s="59">
        <f ca="1">OFFSET('Critical resources (hide)'!$F$6,COLUMN(AZ1)-1,0,1,1)</f>
        <v>31</v>
      </c>
      <c r="DK3" s="375">
        <f ca="1">IF(ISERROR(MATCH(53,BK3:DJ3,0)),53,IF(DJ3=52,1,DJ3+1))</f>
        <v>53</v>
      </c>
      <c r="DL3" s="2" t="s">
        <v>462</v>
      </c>
      <c r="DM3" t="s">
        <v>463</v>
      </c>
    </row>
    <row r="4" spans="1:121" s="67" customFormat="1" ht="15" x14ac:dyDescent="0.25">
      <c r="A4" s="67">
        <f>SUM(A5:A104)</f>
        <v>100</v>
      </c>
      <c r="B4" s="67">
        <f>SUM(B5:B104)</f>
        <v>100</v>
      </c>
      <c r="C4" s="2" t="s">
        <v>57</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1">
        <f t="shared" ref="BK4:CP4" si="0">SUM(BK5:BK104)</f>
        <v>0</v>
      </c>
      <c r="BL4" s="311">
        <f t="shared" si="0"/>
        <v>0</v>
      </c>
      <c r="BM4" s="311">
        <f t="shared" si="0"/>
        <v>0</v>
      </c>
      <c r="BN4" s="311">
        <f t="shared" si="0"/>
        <v>0</v>
      </c>
      <c r="BO4" s="311">
        <f t="shared" si="0"/>
        <v>0</v>
      </c>
      <c r="BP4" s="311">
        <f t="shared" si="0"/>
        <v>0</v>
      </c>
      <c r="BQ4" s="311">
        <f t="shared" si="0"/>
        <v>0</v>
      </c>
      <c r="BR4" s="311">
        <f t="shared" si="0"/>
        <v>0</v>
      </c>
      <c r="BS4" s="311">
        <f t="shared" si="0"/>
        <v>0</v>
      </c>
      <c r="BT4" s="311">
        <f t="shared" si="0"/>
        <v>0</v>
      </c>
      <c r="BU4" s="311">
        <f t="shared" si="0"/>
        <v>0</v>
      </c>
      <c r="BV4" s="311">
        <f t="shared" si="0"/>
        <v>0</v>
      </c>
      <c r="BW4" s="311">
        <f t="shared" si="0"/>
        <v>0</v>
      </c>
      <c r="BX4" s="311">
        <f t="shared" si="0"/>
        <v>0</v>
      </c>
      <c r="BY4" s="311">
        <f t="shared" si="0"/>
        <v>0</v>
      </c>
      <c r="BZ4" s="311">
        <f t="shared" si="0"/>
        <v>0</v>
      </c>
      <c r="CA4" s="311">
        <f t="shared" si="0"/>
        <v>0</v>
      </c>
      <c r="CB4" s="311">
        <f t="shared" si="0"/>
        <v>0</v>
      </c>
      <c r="CC4" s="311">
        <f t="shared" si="0"/>
        <v>0</v>
      </c>
      <c r="CD4" s="311">
        <f t="shared" si="0"/>
        <v>0</v>
      </c>
      <c r="CE4" s="311">
        <f t="shared" si="0"/>
        <v>0</v>
      </c>
      <c r="CF4" s="311">
        <f t="shared" si="0"/>
        <v>0</v>
      </c>
      <c r="CG4" s="311">
        <f t="shared" si="0"/>
        <v>0</v>
      </c>
      <c r="CH4" s="311">
        <f t="shared" si="0"/>
        <v>0</v>
      </c>
      <c r="CI4" s="311">
        <f t="shared" si="0"/>
        <v>0</v>
      </c>
      <c r="CJ4" s="311">
        <f t="shared" si="0"/>
        <v>0</v>
      </c>
      <c r="CK4" s="311">
        <f t="shared" si="0"/>
        <v>0</v>
      </c>
      <c r="CL4" s="311">
        <f t="shared" si="0"/>
        <v>0</v>
      </c>
      <c r="CM4" s="311">
        <f t="shared" si="0"/>
        <v>0</v>
      </c>
      <c r="CN4" s="311">
        <f t="shared" si="0"/>
        <v>0</v>
      </c>
      <c r="CO4" s="311">
        <f t="shared" si="0"/>
        <v>0</v>
      </c>
      <c r="CP4" s="311">
        <f t="shared" si="0"/>
        <v>0</v>
      </c>
      <c r="CQ4" s="311">
        <f t="shared" ref="CQ4:DJ4" si="1">SUM(CQ5:CQ104)</f>
        <v>0</v>
      </c>
      <c r="CR4" s="311">
        <f t="shared" si="1"/>
        <v>0</v>
      </c>
      <c r="CS4" s="311">
        <f t="shared" si="1"/>
        <v>0</v>
      </c>
      <c r="CT4" s="311">
        <f t="shared" si="1"/>
        <v>0</v>
      </c>
      <c r="CU4" s="311">
        <f t="shared" si="1"/>
        <v>0</v>
      </c>
      <c r="CV4" s="311">
        <f t="shared" si="1"/>
        <v>0</v>
      </c>
      <c r="CW4" s="311">
        <f t="shared" si="1"/>
        <v>0</v>
      </c>
      <c r="CX4" s="311">
        <f t="shared" si="1"/>
        <v>0</v>
      </c>
      <c r="CY4" s="311">
        <f t="shared" si="1"/>
        <v>0</v>
      </c>
      <c r="CZ4" s="311">
        <f t="shared" si="1"/>
        <v>0</v>
      </c>
      <c r="DA4" s="311">
        <f t="shared" si="1"/>
        <v>0</v>
      </c>
      <c r="DB4" s="311">
        <f t="shared" si="1"/>
        <v>0</v>
      </c>
      <c r="DC4" s="311">
        <f t="shared" si="1"/>
        <v>0</v>
      </c>
      <c r="DD4" s="311">
        <f t="shared" si="1"/>
        <v>0</v>
      </c>
      <c r="DE4" s="311">
        <f t="shared" si="1"/>
        <v>0</v>
      </c>
      <c r="DF4" s="311">
        <f t="shared" si="1"/>
        <v>0</v>
      </c>
      <c r="DG4" s="311">
        <f t="shared" si="1"/>
        <v>0</v>
      </c>
      <c r="DH4" s="311">
        <f t="shared" si="1"/>
        <v>0</v>
      </c>
      <c r="DI4" s="311">
        <f t="shared" si="1"/>
        <v>0</v>
      </c>
      <c r="DJ4" s="311">
        <f t="shared" si="1"/>
        <v>0</v>
      </c>
      <c r="DK4" s="391">
        <f>DJ4</f>
        <v>0</v>
      </c>
      <c r="DL4" s="136">
        <f>SUM(BK4:DK4)</f>
        <v>0</v>
      </c>
      <c r="DM4" s="5">
        <f>SUM(DM5:DM104)</f>
        <v>0</v>
      </c>
    </row>
    <row r="5" spans="1:121" x14ac:dyDescent="0.2">
      <c r="A5" s="67">
        <f>IF(Capacity!L17='Capacity summary'!BI124,1,0)</f>
        <v>1</v>
      </c>
      <c r="B5">
        <f>IF(Capacity!V17='Capacity summary'!BI24,1,0)</f>
        <v>1</v>
      </c>
      <c r="C5" s="67" t="str">
        <f>ROW(A1)&amp;". "&amp;Capacity!B17</f>
        <v xml:space="preserve">1. </v>
      </c>
      <c r="D5" t="str">
        <f>'Capacity setup'!C12</f>
        <v>1. Consultant: Mr Smith</v>
      </c>
      <c r="E5" s="67">
        <f>'Capacity setup'!D12</f>
        <v>0</v>
      </c>
      <c r="F5" s="67">
        <f>'Capacity setup'!E12</f>
        <v>0</v>
      </c>
      <c r="H5" cm="1">
        <f t="array" aca="1" ref="H5" ca="1">IF(LOWER(Capacity!$L17)="x",IF(AND(SUMIF(Capacity_Resource,$D5,'Critical resources (hide)'!U$6:U$105)+SUMIF(Capacity_Resource,$E5,'Critical resources (hide)'!U$6:U$105)+SUMIF(Capacity_Resource,$F5,'Critical resources (hide)'!U$6:U$105)&gt;0,$E$1=2),0,1),0)</f>
        <v>1</v>
      </c>
      <c r="I5" s="67">
        <f ca="1">IF(LOWER(Capacity!$L17)="x",IF(AND(SUMIF(Capacity_Resource,$D5,'Critical resources (hide)'!V$6:V$105)+SUMIF(Capacity_Resource,$E5,'Critical resources (hide)'!V$6:V$105)+SUMIF(Capacity_Resource,$F5,'Critical resources (hide)'!V$6:V$105)&gt;0,$E$1=2),0,1),0)</f>
        <v>1</v>
      </c>
      <c r="J5" s="67">
        <f ca="1">IF(LOWER(Capacity!$L17)="x",IF(AND(SUMIF(Capacity_Resource,$D5,'Critical resources (hide)'!W$6:W$105)+SUMIF(Capacity_Resource,$E5,'Critical resources (hide)'!W$6:W$105)+SUMIF(Capacity_Resource,$F5,'Critical resources (hide)'!W$6:W$105)&gt;0,$E$1=2),0,1),0)</f>
        <v>1</v>
      </c>
      <c r="K5" s="67">
        <f ca="1">IF(LOWER(Capacity!$L17)="x",IF(AND(SUMIF(Capacity_Resource,$D5,'Critical resources (hide)'!X$6:X$105)+SUMIF(Capacity_Resource,$E5,'Critical resources (hide)'!X$6:X$105)+SUMIF(Capacity_Resource,$F5,'Critical resources (hide)'!X$6:X$105)&gt;0,$E$1=2),0,1),0)</f>
        <v>1</v>
      </c>
      <c r="L5" s="67">
        <f ca="1">IF(LOWER(Capacity!$L17)="x",IF(AND(SUMIF(Capacity_Resource,$D5,'Critical resources (hide)'!Y$6:Y$105)+SUMIF(Capacity_Resource,$E5,'Critical resources (hide)'!Y$6:Y$105)+SUMIF(Capacity_Resource,$F5,'Critical resources (hide)'!Y$6:Y$105)&gt;0,$E$1=2),0,1),0)</f>
        <v>1</v>
      </c>
      <c r="M5" s="67">
        <f ca="1">IF(LOWER(Capacity!$L17)="x",IF(AND(SUMIF(Capacity_Resource,$D5,'Critical resources (hide)'!Z$6:Z$105)+SUMIF(Capacity_Resource,$E5,'Critical resources (hide)'!Z$6:Z$105)+SUMIF(Capacity_Resource,$F5,'Critical resources (hide)'!Z$6:Z$105)&gt;0,$E$1=2),0,1),0)</f>
        <v>1</v>
      </c>
      <c r="N5" s="67">
        <f ca="1">IF(LOWER(Capacity!$L17)="x",IF(AND(SUMIF(Capacity_Resource,$D5,'Critical resources (hide)'!AA$6:AA$105)+SUMIF(Capacity_Resource,$E5,'Critical resources (hide)'!AA$6:AA$105)+SUMIF(Capacity_Resource,$F5,'Critical resources (hide)'!AA$6:AA$105)&gt;0,$E$1=2),0,1),0)</f>
        <v>1</v>
      </c>
      <c r="O5" s="67">
        <f ca="1">IF(LOWER(Capacity!$L17)="x",IF(AND(SUMIF(Capacity_Resource,$D5,'Critical resources (hide)'!AB$6:AB$105)+SUMIF(Capacity_Resource,$E5,'Critical resources (hide)'!AB$6:AB$105)+SUMIF(Capacity_Resource,$F5,'Critical resources (hide)'!AB$6:AB$105)&gt;0,$E$1=2),0,1),0)</f>
        <v>1</v>
      </c>
      <c r="P5" s="67">
        <f ca="1">IF(LOWER(Capacity!$L17)="x",IF(AND(SUMIF(Capacity_Resource,$D5,'Critical resources (hide)'!AC$6:AC$105)+SUMIF(Capacity_Resource,$E5,'Critical resources (hide)'!AC$6:AC$105)+SUMIF(Capacity_Resource,$F5,'Critical resources (hide)'!AC$6:AC$105)&gt;0,$E$1=2),0,1),0)</f>
        <v>1</v>
      </c>
      <c r="Q5" s="67">
        <f ca="1">IF(LOWER(Capacity!$L17)="x",IF(AND(SUMIF(Capacity_Resource,$D5,'Critical resources (hide)'!AD$6:AD$105)+SUMIF(Capacity_Resource,$E5,'Critical resources (hide)'!AD$6:AD$105)+SUMIF(Capacity_Resource,$F5,'Critical resources (hide)'!AD$6:AD$105)&gt;0,$E$1=2),0,1),0)</f>
        <v>1</v>
      </c>
      <c r="R5" s="67">
        <f ca="1">IF(LOWER(Capacity!$L17)="x",IF(AND(SUMIF(Capacity_Resource,$D5,'Critical resources (hide)'!AE$6:AE$105)+SUMIF(Capacity_Resource,$E5,'Critical resources (hide)'!AE$6:AE$105)+SUMIF(Capacity_Resource,$F5,'Critical resources (hide)'!AE$6:AE$105)&gt;0,$E$1=2),0,1),0)</f>
        <v>1</v>
      </c>
      <c r="S5" s="67">
        <f ca="1">IF(LOWER(Capacity!$L17)="x",IF(AND(SUMIF(Capacity_Resource,$D5,'Critical resources (hide)'!AF$6:AF$105)+SUMIF(Capacity_Resource,$E5,'Critical resources (hide)'!AF$6:AF$105)+SUMIF(Capacity_Resource,$F5,'Critical resources (hide)'!AF$6:AF$105)&gt;0,$E$1=2),0,1),0)</f>
        <v>1</v>
      </c>
      <c r="T5" s="67">
        <f ca="1">IF(LOWER(Capacity!$L17)="x",IF(AND(SUMIF(Capacity_Resource,$D5,'Critical resources (hide)'!AG$6:AG$105)+SUMIF(Capacity_Resource,$E5,'Critical resources (hide)'!AG$6:AG$105)+SUMIF(Capacity_Resource,$F5,'Critical resources (hide)'!AG$6:AG$105)&gt;0,$E$1=2),0,1),0)</f>
        <v>1</v>
      </c>
      <c r="U5" s="67">
        <f ca="1">IF(LOWER(Capacity!$L17)="x",IF(AND(SUMIF(Capacity_Resource,$D5,'Critical resources (hide)'!AH$6:AH$105)+SUMIF(Capacity_Resource,$E5,'Critical resources (hide)'!AH$6:AH$105)+SUMIF(Capacity_Resource,$F5,'Critical resources (hide)'!AH$6:AH$105)&gt;0,$E$1=2),0,1),0)</f>
        <v>1</v>
      </c>
      <c r="V5" s="67">
        <f ca="1">IF(LOWER(Capacity!$L17)="x",IF(AND(SUMIF(Capacity_Resource,$D5,'Critical resources (hide)'!AI$6:AI$105)+SUMIF(Capacity_Resource,$E5,'Critical resources (hide)'!AI$6:AI$105)+SUMIF(Capacity_Resource,$F5,'Critical resources (hide)'!AI$6:AI$105)&gt;0,$E$1=2),0,1),0)</f>
        <v>1</v>
      </c>
      <c r="W5" s="67">
        <f ca="1">IF(LOWER(Capacity!$L17)="x",IF(AND(SUMIF(Capacity_Resource,$D5,'Critical resources (hide)'!AJ$6:AJ$105)+SUMIF(Capacity_Resource,$E5,'Critical resources (hide)'!AJ$6:AJ$105)+SUMIF(Capacity_Resource,$F5,'Critical resources (hide)'!AJ$6:AJ$105)&gt;0,$E$1=2),0,1),0)</f>
        <v>1</v>
      </c>
      <c r="X5" s="67">
        <f ca="1">IF(LOWER(Capacity!$L17)="x",IF(AND(SUMIF(Capacity_Resource,$D5,'Critical resources (hide)'!AK$6:AK$105)+SUMIF(Capacity_Resource,$E5,'Critical resources (hide)'!AK$6:AK$105)+SUMIF(Capacity_Resource,$F5,'Critical resources (hide)'!AK$6:AK$105)&gt;0,$E$1=2),0,1),0)</f>
        <v>1</v>
      </c>
      <c r="Y5" s="67">
        <f ca="1">IF(LOWER(Capacity!$L17)="x",IF(AND(SUMIF(Capacity_Resource,$D5,'Critical resources (hide)'!AL$6:AL$105)+SUMIF(Capacity_Resource,$E5,'Critical resources (hide)'!AL$6:AL$105)+SUMIF(Capacity_Resource,$F5,'Critical resources (hide)'!AL$6:AL$105)&gt;0,$E$1=2),0,1),0)</f>
        <v>1</v>
      </c>
      <c r="Z5" s="67">
        <f ca="1">IF(LOWER(Capacity!$L17)="x",IF(AND(SUMIF(Capacity_Resource,$D5,'Critical resources (hide)'!AM$6:AM$105)+SUMIF(Capacity_Resource,$E5,'Critical resources (hide)'!AM$6:AM$105)+SUMIF(Capacity_Resource,$F5,'Critical resources (hide)'!AM$6:AM$105)&gt;0,$E$1=2),0,1),0)</f>
        <v>1</v>
      </c>
      <c r="AA5" s="67">
        <f ca="1">IF(LOWER(Capacity!$L17)="x",IF(AND(SUMIF(Capacity_Resource,$D5,'Critical resources (hide)'!AN$6:AN$105)+SUMIF(Capacity_Resource,$E5,'Critical resources (hide)'!AN$6:AN$105)+SUMIF(Capacity_Resource,$F5,'Critical resources (hide)'!AN$6:AN$105)&gt;0,$E$1=2),0,1),0)</f>
        <v>1</v>
      </c>
      <c r="AB5" s="67">
        <f ca="1">IF(LOWER(Capacity!$L17)="x",IF(AND(SUMIF(Capacity_Resource,$D5,'Critical resources (hide)'!AO$6:AO$105)+SUMIF(Capacity_Resource,$E5,'Critical resources (hide)'!AO$6:AO$105)+SUMIF(Capacity_Resource,$F5,'Critical resources (hide)'!AO$6:AO$105)&gt;0,$E$1=2),0,1),0)</f>
        <v>1</v>
      </c>
      <c r="AC5" s="67">
        <f ca="1">IF(LOWER(Capacity!$L17)="x",IF(AND(SUMIF(Capacity_Resource,$D5,'Critical resources (hide)'!AP$6:AP$105)+SUMIF(Capacity_Resource,$E5,'Critical resources (hide)'!AP$6:AP$105)+SUMIF(Capacity_Resource,$F5,'Critical resources (hide)'!AP$6:AP$105)&gt;0,$E$1=2),0,1),0)</f>
        <v>1</v>
      </c>
      <c r="AD5" s="67">
        <f ca="1">IF(LOWER(Capacity!$L17)="x",IF(AND(SUMIF(Capacity_Resource,$D5,'Critical resources (hide)'!AQ$6:AQ$105)+SUMIF(Capacity_Resource,$E5,'Critical resources (hide)'!AQ$6:AQ$105)+SUMIF(Capacity_Resource,$F5,'Critical resources (hide)'!AQ$6:AQ$105)&gt;0,$E$1=2),0,1),0)</f>
        <v>1</v>
      </c>
      <c r="AE5" s="67">
        <f ca="1">IF(LOWER(Capacity!$L17)="x",IF(AND(SUMIF(Capacity_Resource,$D5,'Critical resources (hide)'!AR$6:AR$105)+SUMIF(Capacity_Resource,$E5,'Critical resources (hide)'!AR$6:AR$105)+SUMIF(Capacity_Resource,$F5,'Critical resources (hide)'!AR$6:AR$105)&gt;0,$E$1=2),0,1),0)</f>
        <v>1</v>
      </c>
      <c r="AF5" s="67">
        <f ca="1">IF(LOWER(Capacity!$L17)="x",IF(AND(SUMIF(Capacity_Resource,$D5,'Critical resources (hide)'!AS$6:AS$105)+SUMIF(Capacity_Resource,$E5,'Critical resources (hide)'!AS$6:AS$105)+SUMIF(Capacity_Resource,$F5,'Critical resources (hide)'!AS$6:AS$105)&gt;0,$E$1=2),0,1),0)</f>
        <v>1</v>
      </c>
      <c r="AG5" s="67">
        <f ca="1">IF(LOWER(Capacity!$L17)="x",IF(AND(SUMIF(Capacity_Resource,$D5,'Critical resources (hide)'!AT$6:AT$105)+SUMIF(Capacity_Resource,$E5,'Critical resources (hide)'!AT$6:AT$105)+SUMIF(Capacity_Resource,$F5,'Critical resources (hide)'!AT$6:AT$105)&gt;0,$E$1=2),0,1),0)</f>
        <v>1</v>
      </c>
      <c r="AH5" s="67">
        <f ca="1">IF(LOWER(Capacity!$L17)="x",IF(AND(SUMIF(Capacity_Resource,$D5,'Critical resources (hide)'!AU$6:AU$105)+SUMIF(Capacity_Resource,$E5,'Critical resources (hide)'!AU$6:AU$105)+SUMIF(Capacity_Resource,$F5,'Critical resources (hide)'!AU$6:AU$105)&gt;0,$E$1=2),0,1),0)</f>
        <v>1</v>
      </c>
      <c r="AI5" s="67">
        <f ca="1">IF(LOWER(Capacity!$L17)="x",IF(AND(SUMIF(Capacity_Resource,$D5,'Critical resources (hide)'!AV$6:AV$105)+SUMIF(Capacity_Resource,$E5,'Critical resources (hide)'!AV$6:AV$105)+SUMIF(Capacity_Resource,$F5,'Critical resources (hide)'!AV$6:AV$105)&gt;0,$E$1=2),0,1),0)</f>
        <v>1</v>
      </c>
      <c r="AJ5" s="67">
        <f ca="1">IF(LOWER(Capacity!$L17)="x",IF(AND(SUMIF(Capacity_Resource,$D5,'Critical resources (hide)'!AW$6:AW$105)+SUMIF(Capacity_Resource,$E5,'Critical resources (hide)'!AW$6:AW$105)+SUMIF(Capacity_Resource,$F5,'Critical resources (hide)'!AW$6:AW$105)&gt;0,$E$1=2),0,1),0)</f>
        <v>1</v>
      </c>
      <c r="AK5" s="67">
        <f ca="1">IF(LOWER(Capacity!$L17)="x",IF(AND(SUMIF(Capacity_Resource,$D5,'Critical resources (hide)'!AX$6:AX$105)+SUMIF(Capacity_Resource,$E5,'Critical resources (hide)'!AX$6:AX$105)+SUMIF(Capacity_Resource,$F5,'Critical resources (hide)'!AX$6:AX$105)&gt;0,$E$1=2),0,1),0)</f>
        <v>1</v>
      </c>
      <c r="AL5" s="67">
        <f ca="1">IF(LOWER(Capacity!$L17)="x",IF(AND(SUMIF(Capacity_Resource,$D5,'Critical resources (hide)'!AY$6:AY$105)+SUMIF(Capacity_Resource,$E5,'Critical resources (hide)'!AY$6:AY$105)+SUMIF(Capacity_Resource,$F5,'Critical resources (hide)'!AY$6:AY$105)&gt;0,$E$1=2),0,1),0)</f>
        <v>1</v>
      </c>
      <c r="AM5" s="67">
        <f ca="1">IF(LOWER(Capacity!$L17)="x",IF(AND(SUMIF(Capacity_Resource,$D5,'Critical resources (hide)'!AZ$6:AZ$105)+SUMIF(Capacity_Resource,$E5,'Critical resources (hide)'!AZ$6:AZ$105)+SUMIF(Capacity_Resource,$F5,'Critical resources (hide)'!AZ$6:AZ$105)&gt;0,$E$1=2),0,1),0)</f>
        <v>1</v>
      </c>
      <c r="AN5" s="67">
        <f ca="1">IF(LOWER(Capacity!$L17)="x",IF(AND(SUMIF(Capacity_Resource,$D5,'Critical resources (hide)'!BA$6:BA$105)+SUMIF(Capacity_Resource,$E5,'Critical resources (hide)'!BA$6:BA$105)+SUMIF(Capacity_Resource,$F5,'Critical resources (hide)'!BA$6:BA$105)&gt;0,$E$1=2),0,1),0)</f>
        <v>1</v>
      </c>
      <c r="AO5" s="67">
        <f ca="1">IF(LOWER(Capacity!$L17)="x",IF(AND(SUMIF(Capacity_Resource,$D5,'Critical resources (hide)'!BB$6:BB$105)+SUMIF(Capacity_Resource,$E5,'Critical resources (hide)'!BB$6:BB$105)+SUMIF(Capacity_Resource,$F5,'Critical resources (hide)'!BB$6:BB$105)&gt;0,$E$1=2),0,1),0)</f>
        <v>1</v>
      </c>
      <c r="AP5" s="67">
        <f ca="1">IF(LOWER(Capacity!$L17)="x",IF(AND(SUMIF(Capacity_Resource,$D5,'Critical resources (hide)'!BC$6:BC$105)+SUMIF(Capacity_Resource,$E5,'Critical resources (hide)'!BC$6:BC$105)+SUMIF(Capacity_Resource,$F5,'Critical resources (hide)'!BC$6:BC$105)&gt;0,$E$1=2),0,1),0)</f>
        <v>1</v>
      </c>
      <c r="AQ5" s="67">
        <f ca="1">IF(LOWER(Capacity!$L17)="x",IF(AND(SUMIF(Capacity_Resource,$D5,'Critical resources (hide)'!BD$6:BD$105)+SUMIF(Capacity_Resource,$E5,'Critical resources (hide)'!BD$6:BD$105)+SUMIF(Capacity_Resource,$F5,'Critical resources (hide)'!BD$6:BD$105)&gt;0,$E$1=2),0,1),0)</f>
        <v>1</v>
      </c>
      <c r="AR5" s="67">
        <f ca="1">IF(LOWER(Capacity!$L17)="x",IF(AND(SUMIF(Capacity_Resource,$D5,'Critical resources (hide)'!BE$6:BE$105)+SUMIF(Capacity_Resource,$E5,'Critical resources (hide)'!BE$6:BE$105)+SUMIF(Capacity_Resource,$F5,'Critical resources (hide)'!BE$6:BE$105)&gt;0,$E$1=2),0,1),0)</f>
        <v>1</v>
      </c>
      <c r="AS5" s="67">
        <f ca="1">IF(LOWER(Capacity!$L17)="x",IF(AND(SUMIF(Capacity_Resource,$D5,'Critical resources (hide)'!BF$6:BF$105)+SUMIF(Capacity_Resource,$E5,'Critical resources (hide)'!BF$6:BF$105)+SUMIF(Capacity_Resource,$F5,'Critical resources (hide)'!BF$6:BF$105)&gt;0,$E$1=2),0,1),0)</f>
        <v>1</v>
      </c>
      <c r="AT5" s="67">
        <f ca="1">IF(LOWER(Capacity!$L17)="x",IF(AND(SUMIF(Capacity_Resource,$D5,'Critical resources (hide)'!BG$6:BG$105)+SUMIF(Capacity_Resource,$E5,'Critical resources (hide)'!BG$6:BG$105)+SUMIF(Capacity_Resource,$F5,'Critical resources (hide)'!BG$6:BG$105)&gt;0,$E$1=2),0,1),0)</f>
        <v>1</v>
      </c>
      <c r="AU5" s="67">
        <f ca="1">IF(LOWER(Capacity!$L17)="x",IF(AND(SUMIF(Capacity_Resource,$D5,'Critical resources (hide)'!BH$6:BH$105)+SUMIF(Capacity_Resource,$E5,'Critical resources (hide)'!BH$6:BH$105)+SUMIF(Capacity_Resource,$F5,'Critical resources (hide)'!BH$6:BH$105)&gt;0,$E$1=2),0,1),0)</f>
        <v>1</v>
      </c>
      <c r="AV5" s="67">
        <f ca="1">IF(LOWER(Capacity!$L17)="x",IF(AND(SUMIF(Capacity_Resource,$D5,'Critical resources (hide)'!BI$6:BI$105)+SUMIF(Capacity_Resource,$E5,'Critical resources (hide)'!BI$6:BI$105)+SUMIF(Capacity_Resource,$F5,'Critical resources (hide)'!BI$6:BI$105)&gt;0,$E$1=2),0,1),0)</f>
        <v>1</v>
      </c>
      <c r="AW5" s="67">
        <f ca="1">IF(LOWER(Capacity!$L17)="x",IF(AND(SUMIF(Capacity_Resource,$D5,'Critical resources (hide)'!BJ$6:BJ$105)+SUMIF(Capacity_Resource,$E5,'Critical resources (hide)'!BJ$6:BJ$105)+SUMIF(Capacity_Resource,$F5,'Critical resources (hide)'!BJ$6:BJ$105)&gt;0,$E$1=2),0,1),0)</f>
        <v>1</v>
      </c>
      <c r="AX5" s="67">
        <f ca="1">IF(LOWER(Capacity!$L17)="x",IF(AND(SUMIF(Capacity_Resource,$D5,'Critical resources (hide)'!BK$6:BK$105)+SUMIF(Capacity_Resource,$E5,'Critical resources (hide)'!BK$6:BK$105)+SUMIF(Capacity_Resource,$F5,'Critical resources (hide)'!BK$6:BK$105)&gt;0,$E$1=2),0,1),0)</f>
        <v>1</v>
      </c>
      <c r="AY5" s="67">
        <f ca="1">IF(LOWER(Capacity!$L17)="x",IF(AND(SUMIF(Capacity_Resource,$D5,'Critical resources (hide)'!BL$6:BL$105)+SUMIF(Capacity_Resource,$E5,'Critical resources (hide)'!BL$6:BL$105)+SUMIF(Capacity_Resource,$F5,'Critical resources (hide)'!BL$6:BL$105)&gt;0,$E$1=2),0,1),0)</f>
        <v>1</v>
      </c>
      <c r="AZ5" s="67">
        <f ca="1">IF(LOWER(Capacity!$L17)="x",IF(AND(SUMIF(Capacity_Resource,$D5,'Critical resources (hide)'!BM$6:BM$105)+SUMIF(Capacity_Resource,$E5,'Critical resources (hide)'!BM$6:BM$105)+SUMIF(Capacity_Resource,$F5,'Critical resources (hide)'!BM$6:BM$105)&gt;0,$E$1=2),0,1),0)</f>
        <v>1</v>
      </c>
      <c r="BA5" s="67">
        <f ca="1">IF(LOWER(Capacity!$L17)="x",IF(AND(SUMIF(Capacity_Resource,$D5,'Critical resources (hide)'!BN$6:BN$105)+SUMIF(Capacity_Resource,$E5,'Critical resources (hide)'!BN$6:BN$105)+SUMIF(Capacity_Resource,$F5,'Critical resources (hide)'!BN$6:BN$105)&gt;0,$E$1=2),0,1),0)</f>
        <v>1</v>
      </c>
      <c r="BB5" s="67">
        <f ca="1">IF(LOWER(Capacity!$L17)="x",IF(AND(SUMIF(Capacity_Resource,$D5,'Critical resources (hide)'!BO$6:BO$105)+SUMIF(Capacity_Resource,$E5,'Critical resources (hide)'!BO$6:BO$105)+SUMIF(Capacity_Resource,$F5,'Critical resources (hide)'!BO$6:BO$105)&gt;0,$E$1=2),0,1),0)</f>
        <v>1</v>
      </c>
      <c r="BC5" s="67">
        <f ca="1">IF(LOWER(Capacity!$L17)="x",IF(AND(SUMIF(Capacity_Resource,$D5,'Critical resources (hide)'!BP$6:BP$105)+SUMIF(Capacity_Resource,$E5,'Critical resources (hide)'!BP$6:BP$105)+SUMIF(Capacity_Resource,$F5,'Critical resources (hide)'!BP$6:BP$105)&gt;0,$E$1=2),0,1),0)</f>
        <v>1</v>
      </c>
      <c r="BD5" s="67">
        <f ca="1">IF(LOWER(Capacity!$L17)="x",IF(AND(SUMIF(Capacity_Resource,$D5,'Critical resources (hide)'!BQ$6:BQ$105)+SUMIF(Capacity_Resource,$E5,'Critical resources (hide)'!BQ$6:BQ$105)+SUMIF(Capacity_Resource,$F5,'Critical resources (hide)'!BQ$6:BQ$105)&gt;0,$E$1=2),0,1),0)</f>
        <v>1</v>
      </c>
      <c r="BE5" s="67">
        <f ca="1">IF(LOWER(Capacity!$L17)="x",IF(AND(SUMIF(Capacity_Resource,$D5,'Critical resources (hide)'!BR$6:BR$105)+SUMIF(Capacity_Resource,$E5,'Critical resources (hide)'!BR$6:BR$105)+SUMIF(Capacity_Resource,$F5,'Critical resources (hide)'!BR$6:BR$105)&gt;0,$E$1=2),0,1),0)</f>
        <v>1</v>
      </c>
      <c r="BF5" s="67">
        <f ca="1">IF(LOWER(Capacity!$L17)="x",IF(AND(SUMIF(Capacity_Resource,$D5,'Critical resources (hide)'!BS$6:BS$105)+SUMIF(Capacity_Resource,$E5,'Critical resources (hide)'!BS$6:BS$105)+SUMIF(Capacity_Resource,$F5,'Critical resources (hide)'!BS$6:BS$105)&gt;0,$E$1=2),0,1),0)</f>
        <v>1</v>
      </c>
      <c r="BG5" s="67">
        <f ca="1">IF(LOWER(Capacity!$L17)="x",IF(AND(SUMIF(Capacity_Resource,$D5,'Critical resources (hide)'!BT$6:BT$105)+SUMIF(Capacity_Resource,$E5,'Critical resources (hide)'!BT$6:BT$105)+SUMIF(Capacity_Resource,$F5,'Critical resources (hide)'!BT$6:BT$105)&gt;0,$E$1=2),0,1),0)</f>
        <v>1</v>
      </c>
      <c r="BH5">
        <f>IF(ROW(C1)&lt;=Capacity!$A$16,IF('Capacity summary'!$D$14="No",SUM(H5:BG5),'Capacity summary'!$E124),0)</f>
        <v>0</v>
      </c>
      <c r="BI5" s="5" t="str">
        <f>IF(BH5&gt;0,IF(BH5&lt;Capacity!E17,Capacity!F17,Capacity!H17/'Capacity calculation (hide)'!BH5),"")</f>
        <v/>
      </c>
      <c r="BK5" s="311">
        <f>IF($BI5&lt;&gt;"",IF('Capacity summary'!$D$14="Yes",IF(COUNTBLANK('Capacity summary'!$H124:$BG124)&lt;52,IF('Capacity summary'!H124&lt;&gt;"",IF(LOWER('Capacity summary'!H124)="x",$BI5*H5,VALUE('Capacity summary'!H124)),0),H5*$BI5),H5*$BI5),0)</f>
        <v>0</v>
      </c>
      <c r="BL5" s="311">
        <f>IF($BI5&lt;&gt;"",IF('Capacity summary'!$D$14="Yes",IF(COUNTBLANK('Capacity summary'!$H124:$BG124)&lt;52,IF('Capacity summary'!I124&lt;&gt;"",IF(LOWER('Capacity summary'!I124)="x",$BI5*I5,VALUE('Capacity summary'!I124)),0),I5*$BI5),I5*$BI5),0)</f>
        <v>0</v>
      </c>
      <c r="BM5" s="311">
        <f>IF($BI5&lt;&gt;"",IF('Capacity summary'!$D$14="Yes",IF(COUNTBLANK('Capacity summary'!$H124:$BG124)&lt;52,IF('Capacity summary'!J124&lt;&gt;"",IF(LOWER('Capacity summary'!J124)="x",$BI5*J5,VALUE('Capacity summary'!J124)),0),J5*$BI5),J5*$BI5),0)</f>
        <v>0</v>
      </c>
      <c r="BN5" s="311">
        <f>IF($BI5&lt;&gt;"",IF('Capacity summary'!$D$14="Yes",IF(COUNTBLANK('Capacity summary'!$H124:$BG124)&lt;52,IF('Capacity summary'!K124&lt;&gt;"",IF(LOWER('Capacity summary'!K124)="x",$BI5*K5,VALUE('Capacity summary'!K124)),0),K5*$BI5),K5*$BI5),0)</f>
        <v>0</v>
      </c>
      <c r="BO5" s="311">
        <f>IF($BI5&lt;&gt;"",IF('Capacity summary'!$D$14="Yes",IF(COUNTBLANK('Capacity summary'!$H124:$BG124)&lt;52,IF('Capacity summary'!L124&lt;&gt;"",IF(LOWER('Capacity summary'!L124)="x",$BI5*L5,VALUE('Capacity summary'!L124)),0),L5*$BI5),L5*$BI5),0)</f>
        <v>0</v>
      </c>
      <c r="BP5" s="311">
        <f>IF($BI5&lt;&gt;"",IF('Capacity summary'!$D$14="Yes",IF(COUNTBLANK('Capacity summary'!$H124:$BG124)&lt;52,IF('Capacity summary'!M124&lt;&gt;"",IF(LOWER('Capacity summary'!M124)="x",$BI5*M5,VALUE('Capacity summary'!M124)),0),M5*$BI5),M5*$BI5),0)</f>
        <v>0</v>
      </c>
      <c r="BQ5" s="311">
        <f>IF($BI5&lt;&gt;"",IF('Capacity summary'!$D$14="Yes",IF(COUNTBLANK('Capacity summary'!$H124:$BG124)&lt;52,IF('Capacity summary'!N124&lt;&gt;"",IF(LOWER('Capacity summary'!N124)="x",$BI5*N5,VALUE('Capacity summary'!N124)),0),N5*$BI5),N5*$BI5),0)</f>
        <v>0</v>
      </c>
      <c r="BR5" s="311">
        <f>IF($BI5&lt;&gt;"",IF('Capacity summary'!$D$14="Yes",IF(COUNTBLANK('Capacity summary'!$H124:$BG124)&lt;52,IF('Capacity summary'!O124&lt;&gt;"",IF(LOWER('Capacity summary'!O124)="x",$BI5*O5,VALUE('Capacity summary'!O124)),0),O5*$BI5),O5*$BI5),0)</f>
        <v>0</v>
      </c>
      <c r="BS5" s="311">
        <f>IF($BI5&lt;&gt;"",IF('Capacity summary'!$D$14="Yes",IF(COUNTBLANK('Capacity summary'!$H124:$BG124)&lt;52,IF('Capacity summary'!P124&lt;&gt;"",IF(LOWER('Capacity summary'!P124)="x",$BI5*P5,VALUE('Capacity summary'!P124)),0),P5*$BI5),P5*$BI5),0)</f>
        <v>0</v>
      </c>
      <c r="BT5" s="311">
        <f>IF($BI5&lt;&gt;"",IF('Capacity summary'!$D$14="Yes",IF(COUNTBLANK('Capacity summary'!$H124:$BG124)&lt;52,IF('Capacity summary'!Q124&lt;&gt;"",IF(LOWER('Capacity summary'!Q124)="x",$BI5*Q5,VALUE('Capacity summary'!Q124)),0),Q5*$BI5),Q5*$BI5),0)</f>
        <v>0</v>
      </c>
      <c r="BU5" s="311">
        <f>IF($BI5&lt;&gt;"",IF('Capacity summary'!$D$14="Yes",IF(COUNTBLANK('Capacity summary'!$H124:$BG124)&lt;52,IF('Capacity summary'!R124&lt;&gt;"",IF(LOWER('Capacity summary'!R124)="x",$BI5*R5,VALUE('Capacity summary'!R124)),0),R5*$BI5),R5*$BI5),0)</f>
        <v>0</v>
      </c>
      <c r="BV5" s="311">
        <f>IF($BI5&lt;&gt;"",IF('Capacity summary'!$D$14="Yes",IF(COUNTBLANK('Capacity summary'!$H124:$BG124)&lt;52,IF('Capacity summary'!S124&lt;&gt;"",IF(LOWER('Capacity summary'!S124)="x",$BI5*S5,VALUE('Capacity summary'!S124)),0),S5*$BI5),S5*$BI5),0)</f>
        <v>0</v>
      </c>
      <c r="BW5" s="311">
        <f>IF($BI5&lt;&gt;"",IF('Capacity summary'!$D$14="Yes",IF(COUNTBLANK('Capacity summary'!$H124:$BG124)&lt;52,IF('Capacity summary'!T124&lt;&gt;"",IF(LOWER('Capacity summary'!T124)="x",$BI5*T5,VALUE('Capacity summary'!T124)),0),T5*$BI5),T5*$BI5),0)</f>
        <v>0</v>
      </c>
      <c r="BX5" s="311">
        <f>IF($BI5&lt;&gt;"",IF('Capacity summary'!$D$14="Yes",IF(COUNTBLANK('Capacity summary'!$H124:$BG124)&lt;52,IF('Capacity summary'!U124&lt;&gt;"",IF(LOWER('Capacity summary'!U124)="x",$BI5*U5,VALUE('Capacity summary'!U124)),0),U5*$BI5),U5*$BI5),0)</f>
        <v>0</v>
      </c>
      <c r="BY5" s="311">
        <f>IF($BI5&lt;&gt;"",IF('Capacity summary'!$D$14="Yes",IF(COUNTBLANK('Capacity summary'!$H124:$BG124)&lt;52,IF('Capacity summary'!V124&lt;&gt;"",IF(LOWER('Capacity summary'!V124)="x",$BI5*V5,VALUE('Capacity summary'!V124)),0),V5*$BI5),V5*$BI5),0)</f>
        <v>0</v>
      </c>
      <c r="BZ5" s="311">
        <f>IF($BI5&lt;&gt;"",IF('Capacity summary'!$D$14="Yes",IF(COUNTBLANK('Capacity summary'!$H124:$BG124)&lt;52,IF('Capacity summary'!W124&lt;&gt;"",IF(LOWER('Capacity summary'!W124)="x",$BI5*W5,VALUE('Capacity summary'!W124)),0),W5*$BI5),W5*$BI5),0)</f>
        <v>0</v>
      </c>
      <c r="CA5" s="311">
        <f>IF($BI5&lt;&gt;"",IF('Capacity summary'!$D$14="Yes",IF(COUNTBLANK('Capacity summary'!$H124:$BG124)&lt;52,IF('Capacity summary'!X124&lt;&gt;"",IF(LOWER('Capacity summary'!X124)="x",$BI5*X5,VALUE('Capacity summary'!X124)),0),X5*$BI5),X5*$BI5),0)</f>
        <v>0</v>
      </c>
      <c r="CB5" s="311">
        <f>IF($BI5&lt;&gt;"",IF('Capacity summary'!$D$14="Yes",IF(COUNTBLANK('Capacity summary'!$H124:$BG124)&lt;52,IF('Capacity summary'!Y124&lt;&gt;"",IF(LOWER('Capacity summary'!Y124)="x",$BI5*Y5,VALUE('Capacity summary'!Y124)),0),Y5*$BI5),Y5*$BI5),0)</f>
        <v>0</v>
      </c>
      <c r="CC5" s="311">
        <f>IF($BI5&lt;&gt;"",IF('Capacity summary'!$D$14="Yes",IF(COUNTBLANK('Capacity summary'!$H124:$BG124)&lt;52,IF('Capacity summary'!Z124&lt;&gt;"",IF(LOWER('Capacity summary'!Z124)="x",$BI5*Z5,VALUE('Capacity summary'!Z124)),0),Z5*$BI5),Z5*$BI5),0)</f>
        <v>0</v>
      </c>
      <c r="CD5" s="311">
        <f>IF($BI5&lt;&gt;"",IF('Capacity summary'!$D$14="Yes",IF(COUNTBLANK('Capacity summary'!$H124:$BG124)&lt;52,IF('Capacity summary'!AA124&lt;&gt;"",IF(LOWER('Capacity summary'!AA124)="x",$BI5*AA5,VALUE('Capacity summary'!AA124)),0),AA5*$BI5),AA5*$BI5),0)</f>
        <v>0</v>
      </c>
      <c r="CE5" s="311">
        <f>IF($BI5&lt;&gt;"",IF('Capacity summary'!$D$14="Yes",IF(COUNTBLANK('Capacity summary'!$H124:$BG124)&lt;52,IF('Capacity summary'!AB124&lt;&gt;"",IF(LOWER('Capacity summary'!AB124)="x",$BI5*AB5,VALUE('Capacity summary'!AB124)),0),AB5*$BI5),AB5*$BI5),0)</f>
        <v>0</v>
      </c>
      <c r="CF5" s="311">
        <f>IF($BI5&lt;&gt;"",IF('Capacity summary'!$D$14="Yes",IF(COUNTBLANK('Capacity summary'!$H124:$BG124)&lt;52,IF('Capacity summary'!AC124&lt;&gt;"",IF(LOWER('Capacity summary'!AC124)="x",$BI5*AC5,VALUE('Capacity summary'!AC124)),0),AC5*$BI5),AC5*$BI5),0)</f>
        <v>0</v>
      </c>
      <c r="CG5" s="311">
        <f>IF($BI5&lt;&gt;"",IF('Capacity summary'!$D$14="Yes",IF(COUNTBLANK('Capacity summary'!$H124:$BG124)&lt;52,IF('Capacity summary'!AD124&lt;&gt;"",IF(LOWER('Capacity summary'!AD124)="x",$BI5*AD5,VALUE('Capacity summary'!AD124)),0),AD5*$BI5),AD5*$BI5),0)</f>
        <v>0</v>
      </c>
      <c r="CH5" s="311">
        <f>IF($BI5&lt;&gt;"",IF('Capacity summary'!$D$14="Yes",IF(COUNTBLANK('Capacity summary'!$H124:$BG124)&lt;52,IF('Capacity summary'!AE124&lt;&gt;"",IF(LOWER('Capacity summary'!AE124)="x",$BI5*AE5,VALUE('Capacity summary'!AE124)),0),AE5*$BI5),AE5*$BI5),0)</f>
        <v>0</v>
      </c>
      <c r="CI5" s="311">
        <f>IF($BI5&lt;&gt;"",IF('Capacity summary'!$D$14="Yes",IF(COUNTBLANK('Capacity summary'!$H124:$BG124)&lt;52,IF('Capacity summary'!AF124&lt;&gt;"",IF(LOWER('Capacity summary'!AF124)="x",$BI5*AF5,VALUE('Capacity summary'!AF124)),0),AF5*$BI5),AF5*$BI5),0)</f>
        <v>0</v>
      </c>
      <c r="CJ5" s="311">
        <f>IF($BI5&lt;&gt;"",IF('Capacity summary'!$D$14="Yes",IF(COUNTBLANK('Capacity summary'!$H124:$BG124)&lt;52,IF('Capacity summary'!AG124&lt;&gt;"",IF(LOWER('Capacity summary'!AG124)="x",$BI5*AG5,VALUE('Capacity summary'!AG124)),0),AG5*$BI5),AG5*$BI5),0)</f>
        <v>0</v>
      </c>
      <c r="CK5" s="311">
        <f>IF($BI5&lt;&gt;"",IF('Capacity summary'!$D$14="Yes",IF(COUNTBLANK('Capacity summary'!$H124:$BG124)&lt;52,IF('Capacity summary'!AH124&lt;&gt;"",IF(LOWER('Capacity summary'!AH124)="x",$BI5*AH5,VALUE('Capacity summary'!AH124)),0),AH5*$BI5),AH5*$BI5),0)</f>
        <v>0</v>
      </c>
      <c r="CL5" s="311">
        <f>IF($BI5&lt;&gt;"",IF('Capacity summary'!$D$14="Yes",IF(COUNTBLANK('Capacity summary'!$H124:$BG124)&lt;52,IF('Capacity summary'!AI124&lt;&gt;"",IF(LOWER('Capacity summary'!AI124)="x",$BI5*AI5,VALUE('Capacity summary'!AI124)),0),AI5*$BI5),AI5*$BI5),0)</f>
        <v>0</v>
      </c>
      <c r="CM5" s="311">
        <f>IF($BI5&lt;&gt;"",IF('Capacity summary'!$D$14="Yes",IF(COUNTBLANK('Capacity summary'!$H124:$BG124)&lt;52,IF('Capacity summary'!AJ124&lt;&gt;"",IF(LOWER('Capacity summary'!AJ124)="x",$BI5*AJ5,VALUE('Capacity summary'!AJ124)),0),AJ5*$BI5),AJ5*$BI5),0)</f>
        <v>0</v>
      </c>
      <c r="CN5" s="311">
        <f>IF($BI5&lt;&gt;"",IF('Capacity summary'!$D$14="Yes",IF(COUNTBLANK('Capacity summary'!$H124:$BG124)&lt;52,IF('Capacity summary'!AK124&lt;&gt;"",IF(LOWER('Capacity summary'!AK124)="x",$BI5*AK5,VALUE('Capacity summary'!AK124)),0),AK5*$BI5),AK5*$BI5),0)</f>
        <v>0</v>
      </c>
      <c r="CO5" s="311">
        <f>IF($BI5&lt;&gt;"",IF('Capacity summary'!$D$14="Yes",IF(COUNTBLANK('Capacity summary'!$H124:$BG124)&lt;52,IF('Capacity summary'!AL124&lt;&gt;"",IF(LOWER('Capacity summary'!AL124)="x",$BI5*AL5,VALUE('Capacity summary'!AL124)),0),AL5*$BI5),AL5*$BI5),0)</f>
        <v>0</v>
      </c>
      <c r="CP5" s="311">
        <f>IF($BI5&lt;&gt;"",IF('Capacity summary'!$D$14="Yes",IF(COUNTBLANK('Capacity summary'!$H124:$BG124)&lt;52,IF('Capacity summary'!AM124&lt;&gt;"",IF(LOWER('Capacity summary'!AM124)="x",$BI5*AM5,VALUE('Capacity summary'!AM124)),0),AM5*$BI5),AM5*$BI5),0)</f>
        <v>0</v>
      </c>
      <c r="CQ5" s="311">
        <f>IF($BI5&lt;&gt;"",IF('Capacity summary'!$D$14="Yes",IF(COUNTBLANK('Capacity summary'!$H124:$BG124)&lt;52,IF('Capacity summary'!AN124&lt;&gt;"",IF(LOWER('Capacity summary'!AN124)="x",$BI5*AN5,VALUE('Capacity summary'!AN124)),0),AN5*$BI5),AN5*$BI5),0)</f>
        <v>0</v>
      </c>
      <c r="CR5" s="311">
        <f>IF($BI5&lt;&gt;"",IF('Capacity summary'!$D$14="Yes",IF(COUNTBLANK('Capacity summary'!$H124:$BG124)&lt;52,IF('Capacity summary'!AO124&lt;&gt;"",IF(LOWER('Capacity summary'!AO124)="x",$BI5*AO5,VALUE('Capacity summary'!AO124)),0),AO5*$BI5),AO5*$BI5),0)</f>
        <v>0</v>
      </c>
      <c r="CS5" s="311">
        <f>IF($BI5&lt;&gt;"",IF('Capacity summary'!$D$14="Yes",IF(COUNTBLANK('Capacity summary'!$H124:$BG124)&lt;52,IF('Capacity summary'!AP124&lt;&gt;"",IF(LOWER('Capacity summary'!AP124)="x",$BI5*AP5,VALUE('Capacity summary'!AP124)),0),AP5*$BI5),AP5*$BI5),0)</f>
        <v>0</v>
      </c>
      <c r="CT5" s="311">
        <f>IF($BI5&lt;&gt;"",IF('Capacity summary'!$D$14="Yes",IF(COUNTBLANK('Capacity summary'!$H124:$BG124)&lt;52,IF('Capacity summary'!AQ124&lt;&gt;"",IF(LOWER('Capacity summary'!AQ124)="x",$BI5*AQ5,VALUE('Capacity summary'!AQ124)),0),AQ5*$BI5),AQ5*$BI5),0)</f>
        <v>0</v>
      </c>
      <c r="CU5" s="311">
        <f>IF($BI5&lt;&gt;"",IF('Capacity summary'!$D$14="Yes",IF(COUNTBLANK('Capacity summary'!$H124:$BG124)&lt;52,IF('Capacity summary'!AR124&lt;&gt;"",IF(LOWER('Capacity summary'!AR124)="x",$BI5*AR5,VALUE('Capacity summary'!AR124)),0),AR5*$BI5),AR5*$BI5),0)</f>
        <v>0</v>
      </c>
      <c r="CV5" s="311">
        <f>IF($BI5&lt;&gt;"",IF('Capacity summary'!$D$14="Yes",IF(COUNTBLANK('Capacity summary'!$H124:$BG124)&lt;52,IF('Capacity summary'!AS124&lt;&gt;"",IF(LOWER('Capacity summary'!AS124)="x",$BI5*AS5,VALUE('Capacity summary'!AS124)),0),AS5*$BI5),AS5*$BI5),0)</f>
        <v>0</v>
      </c>
      <c r="CW5" s="311">
        <f>IF($BI5&lt;&gt;"",IF('Capacity summary'!$D$14="Yes",IF(COUNTBLANK('Capacity summary'!$H124:$BG124)&lt;52,IF('Capacity summary'!AT124&lt;&gt;"",IF(LOWER('Capacity summary'!AT124)="x",$BI5*AT5,VALUE('Capacity summary'!AT124)),0),AT5*$BI5),AT5*$BI5),0)</f>
        <v>0</v>
      </c>
      <c r="CX5" s="311">
        <f>IF($BI5&lt;&gt;"",IF('Capacity summary'!$D$14="Yes",IF(COUNTBLANK('Capacity summary'!$H124:$BG124)&lt;52,IF('Capacity summary'!AU124&lt;&gt;"",IF(LOWER('Capacity summary'!AU124)="x",$BI5*AU5,VALUE('Capacity summary'!AU124)),0),AU5*$BI5),AU5*$BI5),0)</f>
        <v>0</v>
      </c>
      <c r="CY5" s="311">
        <f>IF($BI5&lt;&gt;"",IF('Capacity summary'!$D$14="Yes",IF(COUNTBLANK('Capacity summary'!$H124:$BG124)&lt;52,IF('Capacity summary'!AV124&lt;&gt;"",IF(LOWER('Capacity summary'!AV124)="x",$BI5*AV5,VALUE('Capacity summary'!AV124)),0),AV5*$BI5),AV5*$BI5),0)</f>
        <v>0</v>
      </c>
      <c r="CZ5" s="311">
        <f>IF($BI5&lt;&gt;"",IF('Capacity summary'!$D$14="Yes",IF(COUNTBLANK('Capacity summary'!$H124:$BG124)&lt;52,IF('Capacity summary'!AW124&lt;&gt;"",IF(LOWER('Capacity summary'!AW124)="x",$BI5*AW5,VALUE('Capacity summary'!AW124)),0),AW5*$BI5),AW5*$BI5),0)</f>
        <v>0</v>
      </c>
      <c r="DA5" s="311">
        <f>IF($BI5&lt;&gt;"",IF('Capacity summary'!$D$14="Yes",IF(COUNTBLANK('Capacity summary'!$H124:$BG124)&lt;52,IF('Capacity summary'!AX124&lt;&gt;"",IF(LOWER('Capacity summary'!AX124)="x",$BI5*AX5,VALUE('Capacity summary'!AX124)),0),AX5*$BI5),AX5*$BI5),0)</f>
        <v>0</v>
      </c>
      <c r="DB5" s="311">
        <f>IF($BI5&lt;&gt;"",IF('Capacity summary'!$D$14="Yes",IF(COUNTBLANK('Capacity summary'!$H124:$BG124)&lt;52,IF('Capacity summary'!AY124&lt;&gt;"",IF(LOWER('Capacity summary'!AY124)="x",$BI5*AY5,VALUE('Capacity summary'!AY124)),0),AY5*$BI5),AY5*$BI5),0)</f>
        <v>0</v>
      </c>
      <c r="DC5" s="311">
        <f>IF($BI5&lt;&gt;"",IF('Capacity summary'!$D$14="Yes",IF(COUNTBLANK('Capacity summary'!$H124:$BG124)&lt;52,IF('Capacity summary'!AZ124&lt;&gt;"",IF(LOWER('Capacity summary'!AZ124)="x",$BI5*AZ5,VALUE('Capacity summary'!AZ124)),0),AZ5*$BI5),AZ5*$BI5),0)</f>
        <v>0</v>
      </c>
      <c r="DD5" s="311">
        <f>IF($BI5&lt;&gt;"",IF('Capacity summary'!$D$14="Yes",IF(COUNTBLANK('Capacity summary'!$H124:$BG124)&lt;52,IF('Capacity summary'!BA124&lt;&gt;"",IF(LOWER('Capacity summary'!BA124)="x",$BI5*BA5,VALUE('Capacity summary'!BA124)),0),BA5*$BI5),BA5*$BI5),0)</f>
        <v>0</v>
      </c>
      <c r="DE5" s="311">
        <f>IF($BI5&lt;&gt;"",IF('Capacity summary'!$D$14="Yes",IF(COUNTBLANK('Capacity summary'!$H124:$BG124)&lt;52,IF('Capacity summary'!BB124&lt;&gt;"",IF(LOWER('Capacity summary'!BB124)="x",$BI5*BB5,VALUE('Capacity summary'!BB124)),0),BB5*$BI5),BB5*$BI5),0)</f>
        <v>0</v>
      </c>
      <c r="DF5" s="311">
        <f>IF($BI5&lt;&gt;"",IF('Capacity summary'!$D$14="Yes",IF(COUNTBLANK('Capacity summary'!$H124:$BG124)&lt;52,IF('Capacity summary'!BC124&lt;&gt;"",IF(LOWER('Capacity summary'!BC124)="x",$BI5*BC5,VALUE('Capacity summary'!BC124)),0),BC5*$BI5),BC5*$BI5),0)</f>
        <v>0</v>
      </c>
      <c r="DG5" s="311">
        <f>IF($BI5&lt;&gt;"",IF('Capacity summary'!$D$14="Yes",IF(COUNTBLANK('Capacity summary'!$H124:$BG124)&lt;52,IF('Capacity summary'!BD124&lt;&gt;"",IF(LOWER('Capacity summary'!BD124)="x",$BI5*BD5,VALUE('Capacity summary'!BD124)),0),BD5*$BI5),BD5*$BI5),0)</f>
        <v>0</v>
      </c>
      <c r="DH5" s="311">
        <f>IF($BI5&lt;&gt;"",IF('Capacity summary'!$D$14="Yes",IF(COUNTBLANK('Capacity summary'!$H124:$BG124)&lt;52,IF('Capacity summary'!BE124&lt;&gt;"",IF(LOWER('Capacity summary'!BE124)="x",$BI5*BE5,VALUE('Capacity summary'!BE124)),0),BE5*$BI5),BE5*$BI5),0)</f>
        <v>0</v>
      </c>
      <c r="DI5" s="311">
        <f>IF($BI5&lt;&gt;"",IF('Capacity summary'!$D$14="Yes",IF(COUNTBLANK('Capacity summary'!$H124:$BG124)&lt;52,IF('Capacity summary'!BF124&lt;&gt;"",IF(LOWER('Capacity summary'!BF124)="x",$BI5*BF5,VALUE('Capacity summary'!BF124)),0),BF5*$BI5),BF5*$BI5),0)</f>
        <v>0</v>
      </c>
      <c r="DJ5" s="311">
        <f>IF($BI5&lt;&gt;"",IF('Capacity summary'!$D$14="Yes",IF(COUNTBLANK('Capacity summary'!$H124:$BG124)&lt;52,IF('Capacity summary'!BG124&lt;&gt;"",IF(LOWER('Capacity summary'!BG124)="x",$BI5*BG5,VALUE('Capacity summary'!BG124)),0),BG5*$BI5),BG5*$BI5),0)</f>
        <v>0</v>
      </c>
      <c r="DK5" s="391">
        <f t="shared" ref="DK5:DK68" si="2">DJ5</f>
        <v>0</v>
      </c>
      <c r="DL5" s="136">
        <f t="shared" ref="DL5:DL68" si="3">SUM(BK5:DJ5)</f>
        <v>0</v>
      </c>
      <c r="DM5" s="311" t="str">
        <f>Capacity!H17</f>
        <v/>
      </c>
      <c r="DQ5" s="5"/>
    </row>
    <row r="6" spans="1:121" x14ac:dyDescent="0.2">
      <c r="A6" s="67">
        <f>IF(Capacity!L18='Capacity summary'!BI125,1,0)</f>
        <v>1</v>
      </c>
      <c r="B6" s="67">
        <f>IF(Capacity!V18='Capacity summary'!BI25,1,0)</f>
        <v>1</v>
      </c>
      <c r="C6" s="67" t="str">
        <f>ROW(A2)&amp;". "&amp;Capacity!B18</f>
        <v xml:space="preserve">2. </v>
      </c>
      <c r="D6" s="67" t="str">
        <f>'Capacity setup'!C13</f>
        <v>1. Consultant: Mr Smith</v>
      </c>
      <c r="E6" s="67" t="str">
        <f>'Capacity setup'!D13</f>
        <v>2. Consultant: Ms Taylor</v>
      </c>
      <c r="F6" s="67">
        <f>'Capacity setup'!E13</f>
        <v>0</v>
      </c>
      <c r="H6" s="67">
        <f ca="1">IF(LOWER(Capacity!$L18)="x",IF(AND(SUMIF(Capacity_Resource,$D6,'Critical resources (hide)'!U$6:U$105)+SUMIF(Capacity_Resource,$E6,'Critical resources (hide)'!U$6:U$105)+SUMIF(Capacity_Resource,$F6,'Critical resources (hide)'!U$6:U$105)&gt;0,$E$1=2),0,1),0)</f>
        <v>1</v>
      </c>
      <c r="I6" s="67">
        <f ca="1">IF(LOWER(Capacity!$L18)="x",IF(AND(SUMIF(Capacity_Resource,$D6,'Critical resources (hide)'!V$6:V$105)+SUMIF(Capacity_Resource,$E6,'Critical resources (hide)'!V$6:V$105)+SUMIF(Capacity_Resource,$F6,'Critical resources (hide)'!V$6:V$105)&gt;0,$E$1=2),0,1),0)</f>
        <v>1</v>
      </c>
      <c r="J6" s="67">
        <f ca="1">IF(LOWER(Capacity!$L18)="x",IF(AND(SUMIF(Capacity_Resource,$D6,'Critical resources (hide)'!W$6:W$105)+SUMIF(Capacity_Resource,$E6,'Critical resources (hide)'!W$6:W$105)+SUMIF(Capacity_Resource,$F6,'Critical resources (hide)'!W$6:W$105)&gt;0,$E$1=2),0,1),0)</f>
        <v>1</v>
      </c>
      <c r="K6" s="67">
        <f ca="1">IF(LOWER(Capacity!$L18)="x",IF(AND(SUMIF(Capacity_Resource,$D6,'Critical resources (hide)'!X$6:X$105)+SUMIF(Capacity_Resource,$E6,'Critical resources (hide)'!X$6:X$105)+SUMIF(Capacity_Resource,$F6,'Critical resources (hide)'!X$6:X$105)&gt;0,$E$1=2),0,1),0)</f>
        <v>1</v>
      </c>
      <c r="L6" s="67">
        <f ca="1">IF(LOWER(Capacity!$L18)="x",IF(AND(SUMIF(Capacity_Resource,$D6,'Critical resources (hide)'!Y$6:Y$105)+SUMIF(Capacity_Resource,$E6,'Critical resources (hide)'!Y$6:Y$105)+SUMIF(Capacity_Resource,$F6,'Critical resources (hide)'!Y$6:Y$105)&gt;0,$E$1=2),0,1),0)</f>
        <v>1</v>
      </c>
      <c r="M6" s="67">
        <f ca="1">IF(LOWER(Capacity!$L18)="x",IF(AND(SUMIF(Capacity_Resource,$D6,'Critical resources (hide)'!Z$6:Z$105)+SUMIF(Capacity_Resource,$E6,'Critical resources (hide)'!Z$6:Z$105)+SUMIF(Capacity_Resource,$F6,'Critical resources (hide)'!Z$6:Z$105)&gt;0,$E$1=2),0,1),0)</f>
        <v>1</v>
      </c>
      <c r="N6" s="67">
        <f ca="1">IF(LOWER(Capacity!$L18)="x",IF(AND(SUMIF(Capacity_Resource,$D6,'Critical resources (hide)'!AA$6:AA$105)+SUMIF(Capacity_Resource,$E6,'Critical resources (hide)'!AA$6:AA$105)+SUMIF(Capacity_Resource,$F6,'Critical resources (hide)'!AA$6:AA$105)&gt;0,$E$1=2),0,1),0)</f>
        <v>1</v>
      </c>
      <c r="O6" s="67">
        <f ca="1">IF(LOWER(Capacity!$L18)="x",IF(AND(SUMIF(Capacity_Resource,$D6,'Critical resources (hide)'!AB$6:AB$105)+SUMIF(Capacity_Resource,$E6,'Critical resources (hide)'!AB$6:AB$105)+SUMIF(Capacity_Resource,$F6,'Critical resources (hide)'!AB$6:AB$105)&gt;0,$E$1=2),0,1),0)</f>
        <v>1</v>
      </c>
      <c r="P6" s="67">
        <f ca="1">IF(LOWER(Capacity!$L18)="x",IF(AND(SUMIF(Capacity_Resource,$D6,'Critical resources (hide)'!AC$6:AC$105)+SUMIF(Capacity_Resource,$E6,'Critical resources (hide)'!AC$6:AC$105)+SUMIF(Capacity_Resource,$F6,'Critical resources (hide)'!AC$6:AC$105)&gt;0,$E$1=2),0,1),0)</f>
        <v>1</v>
      </c>
      <c r="Q6" s="67">
        <f ca="1">IF(LOWER(Capacity!$L18)="x",IF(AND(SUMIF(Capacity_Resource,$D6,'Critical resources (hide)'!AD$6:AD$105)+SUMIF(Capacity_Resource,$E6,'Critical resources (hide)'!AD$6:AD$105)+SUMIF(Capacity_Resource,$F6,'Critical resources (hide)'!AD$6:AD$105)&gt;0,$E$1=2),0,1),0)</f>
        <v>1</v>
      </c>
      <c r="R6" s="67">
        <f ca="1">IF(LOWER(Capacity!$L18)="x",IF(AND(SUMIF(Capacity_Resource,$D6,'Critical resources (hide)'!AE$6:AE$105)+SUMIF(Capacity_Resource,$E6,'Critical resources (hide)'!AE$6:AE$105)+SUMIF(Capacity_Resource,$F6,'Critical resources (hide)'!AE$6:AE$105)&gt;0,$E$1=2),0,1),0)</f>
        <v>1</v>
      </c>
      <c r="S6" s="67">
        <f ca="1">IF(LOWER(Capacity!$L18)="x",IF(AND(SUMIF(Capacity_Resource,$D6,'Critical resources (hide)'!AF$6:AF$105)+SUMIF(Capacity_Resource,$E6,'Critical resources (hide)'!AF$6:AF$105)+SUMIF(Capacity_Resource,$F6,'Critical resources (hide)'!AF$6:AF$105)&gt;0,$E$1=2),0,1),0)</f>
        <v>1</v>
      </c>
      <c r="T6" s="67">
        <f ca="1">IF(LOWER(Capacity!$L18)="x",IF(AND(SUMIF(Capacity_Resource,$D6,'Critical resources (hide)'!AG$6:AG$105)+SUMIF(Capacity_Resource,$E6,'Critical resources (hide)'!AG$6:AG$105)+SUMIF(Capacity_Resource,$F6,'Critical resources (hide)'!AG$6:AG$105)&gt;0,$E$1=2),0,1),0)</f>
        <v>1</v>
      </c>
      <c r="U6" s="67">
        <f ca="1">IF(LOWER(Capacity!$L18)="x",IF(AND(SUMIF(Capacity_Resource,$D6,'Critical resources (hide)'!AH$6:AH$105)+SUMIF(Capacity_Resource,$E6,'Critical resources (hide)'!AH$6:AH$105)+SUMIF(Capacity_Resource,$F6,'Critical resources (hide)'!AH$6:AH$105)&gt;0,$E$1=2),0,1),0)</f>
        <v>1</v>
      </c>
      <c r="V6" s="67">
        <f ca="1">IF(LOWER(Capacity!$L18)="x",IF(AND(SUMIF(Capacity_Resource,$D6,'Critical resources (hide)'!AI$6:AI$105)+SUMIF(Capacity_Resource,$E6,'Critical resources (hide)'!AI$6:AI$105)+SUMIF(Capacity_Resource,$F6,'Critical resources (hide)'!AI$6:AI$105)&gt;0,$E$1=2),0,1),0)</f>
        <v>1</v>
      </c>
      <c r="W6" s="67">
        <f ca="1">IF(LOWER(Capacity!$L18)="x",IF(AND(SUMIF(Capacity_Resource,$D6,'Critical resources (hide)'!AJ$6:AJ$105)+SUMIF(Capacity_Resource,$E6,'Critical resources (hide)'!AJ$6:AJ$105)+SUMIF(Capacity_Resource,$F6,'Critical resources (hide)'!AJ$6:AJ$105)&gt;0,$E$1=2),0,1),0)</f>
        <v>1</v>
      </c>
      <c r="X6" s="67">
        <f ca="1">IF(LOWER(Capacity!$L18)="x",IF(AND(SUMIF(Capacity_Resource,$D6,'Critical resources (hide)'!AK$6:AK$105)+SUMIF(Capacity_Resource,$E6,'Critical resources (hide)'!AK$6:AK$105)+SUMIF(Capacity_Resource,$F6,'Critical resources (hide)'!AK$6:AK$105)&gt;0,$E$1=2),0,1),0)</f>
        <v>1</v>
      </c>
      <c r="Y6" s="67">
        <f ca="1">IF(LOWER(Capacity!$L18)="x",IF(AND(SUMIF(Capacity_Resource,$D6,'Critical resources (hide)'!AL$6:AL$105)+SUMIF(Capacity_Resource,$E6,'Critical resources (hide)'!AL$6:AL$105)+SUMIF(Capacity_Resource,$F6,'Critical resources (hide)'!AL$6:AL$105)&gt;0,$E$1=2),0,1),0)</f>
        <v>1</v>
      </c>
      <c r="Z6" s="67">
        <f ca="1">IF(LOWER(Capacity!$L18)="x",IF(AND(SUMIF(Capacity_Resource,$D6,'Critical resources (hide)'!AM$6:AM$105)+SUMIF(Capacity_Resource,$E6,'Critical resources (hide)'!AM$6:AM$105)+SUMIF(Capacity_Resource,$F6,'Critical resources (hide)'!AM$6:AM$105)&gt;0,$E$1=2),0,1),0)</f>
        <v>1</v>
      </c>
      <c r="AA6" s="67">
        <f ca="1">IF(LOWER(Capacity!$L18)="x",IF(AND(SUMIF(Capacity_Resource,$D6,'Critical resources (hide)'!AN$6:AN$105)+SUMIF(Capacity_Resource,$E6,'Critical resources (hide)'!AN$6:AN$105)+SUMIF(Capacity_Resource,$F6,'Critical resources (hide)'!AN$6:AN$105)&gt;0,$E$1=2),0,1),0)</f>
        <v>1</v>
      </c>
      <c r="AB6" s="67">
        <f ca="1">IF(LOWER(Capacity!$L18)="x",IF(AND(SUMIF(Capacity_Resource,$D6,'Critical resources (hide)'!AO$6:AO$105)+SUMIF(Capacity_Resource,$E6,'Critical resources (hide)'!AO$6:AO$105)+SUMIF(Capacity_Resource,$F6,'Critical resources (hide)'!AO$6:AO$105)&gt;0,$E$1=2),0,1),0)</f>
        <v>1</v>
      </c>
      <c r="AC6" s="67">
        <f ca="1">IF(LOWER(Capacity!$L18)="x",IF(AND(SUMIF(Capacity_Resource,$D6,'Critical resources (hide)'!AP$6:AP$105)+SUMIF(Capacity_Resource,$E6,'Critical resources (hide)'!AP$6:AP$105)+SUMIF(Capacity_Resource,$F6,'Critical resources (hide)'!AP$6:AP$105)&gt;0,$E$1=2),0,1),0)</f>
        <v>1</v>
      </c>
      <c r="AD6" s="67">
        <f ca="1">IF(LOWER(Capacity!$L18)="x",IF(AND(SUMIF(Capacity_Resource,$D6,'Critical resources (hide)'!AQ$6:AQ$105)+SUMIF(Capacity_Resource,$E6,'Critical resources (hide)'!AQ$6:AQ$105)+SUMIF(Capacity_Resource,$F6,'Critical resources (hide)'!AQ$6:AQ$105)&gt;0,$E$1=2),0,1),0)</f>
        <v>1</v>
      </c>
      <c r="AE6" s="67">
        <f ca="1">IF(LOWER(Capacity!$L18)="x",IF(AND(SUMIF(Capacity_Resource,$D6,'Critical resources (hide)'!AR$6:AR$105)+SUMIF(Capacity_Resource,$E6,'Critical resources (hide)'!AR$6:AR$105)+SUMIF(Capacity_Resource,$F6,'Critical resources (hide)'!AR$6:AR$105)&gt;0,$E$1=2),0,1),0)</f>
        <v>1</v>
      </c>
      <c r="AF6" s="67">
        <f ca="1">IF(LOWER(Capacity!$L18)="x",IF(AND(SUMIF(Capacity_Resource,$D6,'Critical resources (hide)'!AS$6:AS$105)+SUMIF(Capacity_Resource,$E6,'Critical resources (hide)'!AS$6:AS$105)+SUMIF(Capacity_Resource,$F6,'Critical resources (hide)'!AS$6:AS$105)&gt;0,$E$1=2),0,1),0)</f>
        <v>1</v>
      </c>
      <c r="AG6" s="67">
        <f ca="1">IF(LOWER(Capacity!$L18)="x",IF(AND(SUMIF(Capacity_Resource,$D6,'Critical resources (hide)'!AT$6:AT$105)+SUMIF(Capacity_Resource,$E6,'Critical resources (hide)'!AT$6:AT$105)+SUMIF(Capacity_Resource,$F6,'Critical resources (hide)'!AT$6:AT$105)&gt;0,$E$1=2),0,1),0)</f>
        <v>1</v>
      </c>
      <c r="AH6" s="67">
        <f ca="1">IF(LOWER(Capacity!$L18)="x",IF(AND(SUMIF(Capacity_Resource,$D6,'Critical resources (hide)'!AU$6:AU$105)+SUMIF(Capacity_Resource,$E6,'Critical resources (hide)'!AU$6:AU$105)+SUMIF(Capacity_Resource,$F6,'Critical resources (hide)'!AU$6:AU$105)&gt;0,$E$1=2),0,1),0)</f>
        <v>1</v>
      </c>
      <c r="AI6" s="67">
        <f ca="1">IF(LOWER(Capacity!$L18)="x",IF(AND(SUMIF(Capacity_Resource,$D6,'Critical resources (hide)'!AV$6:AV$105)+SUMIF(Capacity_Resource,$E6,'Critical resources (hide)'!AV$6:AV$105)+SUMIF(Capacity_Resource,$F6,'Critical resources (hide)'!AV$6:AV$105)&gt;0,$E$1=2),0,1),0)</f>
        <v>1</v>
      </c>
      <c r="AJ6" s="67">
        <f ca="1">IF(LOWER(Capacity!$L18)="x",IF(AND(SUMIF(Capacity_Resource,$D6,'Critical resources (hide)'!AW$6:AW$105)+SUMIF(Capacity_Resource,$E6,'Critical resources (hide)'!AW$6:AW$105)+SUMIF(Capacity_Resource,$F6,'Critical resources (hide)'!AW$6:AW$105)&gt;0,$E$1=2),0,1),0)</f>
        <v>1</v>
      </c>
      <c r="AK6" s="67">
        <f ca="1">IF(LOWER(Capacity!$L18)="x",IF(AND(SUMIF(Capacity_Resource,$D6,'Critical resources (hide)'!AX$6:AX$105)+SUMIF(Capacity_Resource,$E6,'Critical resources (hide)'!AX$6:AX$105)+SUMIF(Capacity_Resource,$F6,'Critical resources (hide)'!AX$6:AX$105)&gt;0,$E$1=2),0,1),0)</f>
        <v>1</v>
      </c>
      <c r="AL6" s="67">
        <f ca="1">IF(LOWER(Capacity!$L18)="x",IF(AND(SUMIF(Capacity_Resource,$D6,'Critical resources (hide)'!AY$6:AY$105)+SUMIF(Capacity_Resource,$E6,'Critical resources (hide)'!AY$6:AY$105)+SUMIF(Capacity_Resource,$F6,'Critical resources (hide)'!AY$6:AY$105)&gt;0,$E$1=2),0,1),0)</f>
        <v>1</v>
      </c>
      <c r="AM6" s="67">
        <f ca="1">IF(LOWER(Capacity!$L18)="x",IF(AND(SUMIF(Capacity_Resource,$D6,'Critical resources (hide)'!AZ$6:AZ$105)+SUMIF(Capacity_Resource,$E6,'Critical resources (hide)'!AZ$6:AZ$105)+SUMIF(Capacity_Resource,$F6,'Critical resources (hide)'!AZ$6:AZ$105)&gt;0,$E$1=2),0,1),0)</f>
        <v>1</v>
      </c>
      <c r="AN6" s="67">
        <f ca="1">IF(LOWER(Capacity!$L18)="x",IF(AND(SUMIF(Capacity_Resource,$D6,'Critical resources (hide)'!BA$6:BA$105)+SUMIF(Capacity_Resource,$E6,'Critical resources (hide)'!BA$6:BA$105)+SUMIF(Capacity_Resource,$F6,'Critical resources (hide)'!BA$6:BA$105)&gt;0,$E$1=2),0,1),0)</f>
        <v>1</v>
      </c>
      <c r="AO6" s="67">
        <f ca="1">IF(LOWER(Capacity!$L18)="x",IF(AND(SUMIF(Capacity_Resource,$D6,'Critical resources (hide)'!BB$6:BB$105)+SUMIF(Capacity_Resource,$E6,'Critical resources (hide)'!BB$6:BB$105)+SUMIF(Capacity_Resource,$F6,'Critical resources (hide)'!BB$6:BB$105)&gt;0,$E$1=2),0,1),0)</f>
        <v>1</v>
      </c>
      <c r="AP6" s="67">
        <f ca="1">IF(LOWER(Capacity!$L18)="x",IF(AND(SUMIF(Capacity_Resource,$D6,'Critical resources (hide)'!BC$6:BC$105)+SUMIF(Capacity_Resource,$E6,'Critical resources (hide)'!BC$6:BC$105)+SUMIF(Capacity_Resource,$F6,'Critical resources (hide)'!BC$6:BC$105)&gt;0,$E$1=2),0,1),0)</f>
        <v>1</v>
      </c>
      <c r="AQ6" s="67">
        <f ca="1">IF(LOWER(Capacity!$L18)="x",IF(AND(SUMIF(Capacity_Resource,$D6,'Critical resources (hide)'!BD$6:BD$105)+SUMIF(Capacity_Resource,$E6,'Critical resources (hide)'!BD$6:BD$105)+SUMIF(Capacity_Resource,$F6,'Critical resources (hide)'!BD$6:BD$105)&gt;0,$E$1=2),0,1),0)</f>
        <v>1</v>
      </c>
      <c r="AR6" s="67">
        <f ca="1">IF(LOWER(Capacity!$L18)="x",IF(AND(SUMIF(Capacity_Resource,$D6,'Critical resources (hide)'!BE$6:BE$105)+SUMIF(Capacity_Resource,$E6,'Critical resources (hide)'!BE$6:BE$105)+SUMIF(Capacity_Resource,$F6,'Critical resources (hide)'!BE$6:BE$105)&gt;0,$E$1=2),0,1),0)</f>
        <v>1</v>
      </c>
      <c r="AS6" s="67">
        <f ca="1">IF(LOWER(Capacity!$L18)="x",IF(AND(SUMIF(Capacity_Resource,$D6,'Critical resources (hide)'!BF$6:BF$105)+SUMIF(Capacity_Resource,$E6,'Critical resources (hide)'!BF$6:BF$105)+SUMIF(Capacity_Resource,$F6,'Critical resources (hide)'!BF$6:BF$105)&gt;0,$E$1=2),0,1),0)</f>
        <v>1</v>
      </c>
      <c r="AT6" s="67">
        <f ca="1">IF(LOWER(Capacity!$L18)="x",IF(AND(SUMIF(Capacity_Resource,$D6,'Critical resources (hide)'!BG$6:BG$105)+SUMIF(Capacity_Resource,$E6,'Critical resources (hide)'!BG$6:BG$105)+SUMIF(Capacity_Resource,$F6,'Critical resources (hide)'!BG$6:BG$105)&gt;0,$E$1=2),0,1),0)</f>
        <v>1</v>
      </c>
      <c r="AU6" s="67">
        <f ca="1">IF(LOWER(Capacity!$L18)="x",IF(AND(SUMIF(Capacity_Resource,$D6,'Critical resources (hide)'!BH$6:BH$105)+SUMIF(Capacity_Resource,$E6,'Critical resources (hide)'!BH$6:BH$105)+SUMIF(Capacity_Resource,$F6,'Critical resources (hide)'!BH$6:BH$105)&gt;0,$E$1=2),0,1),0)</f>
        <v>1</v>
      </c>
      <c r="AV6" s="67">
        <f ca="1">IF(LOWER(Capacity!$L18)="x",IF(AND(SUMIF(Capacity_Resource,$D6,'Critical resources (hide)'!BI$6:BI$105)+SUMIF(Capacity_Resource,$E6,'Critical resources (hide)'!BI$6:BI$105)+SUMIF(Capacity_Resource,$F6,'Critical resources (hide)'!BI$6:BI$105)&gt;0,$E$1=2),0,1),0)</f>
        <v>1</v>
      </c>
      <c r="AW6" s="67">
        <f ca="1">IF(LOWER(Capacity!$L18)="x",IF(AND(SUMIF(Capacity_Resource,$D6,'Critical resources (hide)'!BJ$6:BJ$105)+SUMIF(Capacity_Resource,$E6,'Critical resources (hide)'!BJ$6:BJ$105)+SUMIF(Capacity_Resource,$F6,'Critical resources (hide)'!BJ$6:BJ$105)&gt;0,$E$1=2),0,1),0)</f>
        <v>1</v>
      </c>
      <c r="AX6" s="67">
        <f ca="1">IF(LOWER(Capacity!$L18)="x",IF(AND(SUMIF(Capacity_Resource,$D6,'Critical resources (hide)'!BK$6:BK$105)+SUMIF(Capacity_Resource,$E6,'Critical resources (hide)'!BK$6:BK$105)+SUMIF(Capacity_Resource,$F6,'Critical resources (hide)'!BK$6:BK$105)&gt;0,$E$1=2),0,1),0)</f>
        <v>1</v>
      </c>
      <c r="AY6" s="67">
        <f ca="1">IF(LOWER(Capacity!$L18)="x",IF(AND(SUMIF(Capacity_Resource,$D6,'Critical resources (hide)'!BL$6:BL$105)+SUMIF(Capacity_Resource,$E6,'Critical resources (hide)'!BL$6:BL$105)+SUMIF(Capacity_Resource,$F6,'Critical resources (hide)'!BL$6:BL$105)&gt;0,$E$1=2),0,1),0)</f>
        <v>1</v>
      </c>
      <c r="AZ6" s="67">
        <f ca="1">IF(LOWER(Capacity!$L18)="x",IF(AND(SUMIF(Capacity_Resource,$D6,'Critical resources (hide)'!BM$6:BM$105)+SUMIF(Capacity_Resource,$E6,'Critical resources (hide)'!BM$6:BM$105)+SUMIF(Capacity_Resource,$F6,'Critical resources (hide)'!BM$6:BM$105)&gt;0,$E$1=2),0,1),0)</f>
        <v>1</v>
      </c>
      <c r="BA6" s="67">
        <f ca="1">IF(LOWER(Capacity!$L18)="x",IF(AND(SUMIF(Capacity_Resource,$D6,'Critical resources (hide)'!BN$6:BN$105)+SUMIF(Capacity_Resource,$E6,'Critical resources (hide)'!BN$6:BN$105)+SUMIF(Capacity_Resource,$F6,'Critical resources (hide)'!BN$6:BN$105)&gt;0,$E$1=2),0,1),0)</f>
        <v>1</v>
      </c>
      <c r="BB6" s="67">
        <f ca="1">IF(LOWER(Capacity!$L18)="x",IF(AND(SUMIF(Capacity_Resource,$D6,'Critical resources (hide)'!BO$6:BO$105)+SUMIF(Capacity_Resource,$E6,'Critical resources (hide)'!BO$6:BO$105)+SUMIF(Capacity_Resource,$F6,'Critical resources (hide)'!BO$6:BO$105)&gt;0,$E$1=2),0,1),0)</f>
        <v>1</v>
      </c>
      <c r="BC6" s="67">
        <f ca="1">IF(LOWER(Capacity!$L18)="x",IF(AND(SUMIF(Capacity_Resource,$D6,'Critical resources (hide)'!BP$6:BP$105)+SUMIF(Capacity_Resource,$E6,'Critical resources (hide)'!BP$6:BP$105)+SUMIF(Capacity_Resource,$F6,'Critical resources (hide)'!BP$6:BP$105)&gt;0,$E$1=2),0,1),0)</f>
        <v>1</v>
      </c>
      <c r="BD6" s="67">
        <f ca="1">IF(LOWER(Capacity!$L18)="x",IF(AND(SUMIF(Capacity_Resource,$D6,'Critical resources (hide)'!BQ$6:BQ$105)+SUMIF(Capacity_Resource,$E6,'Critical resources (hide)'!BQ$6:BQ$105)+SUMIF(Capacity_Resource,$F6,'Critical resources (hide)'!BQ$6:BQ$105)&gt;0,$E$1=2),0,1),0)</f>
        <v>1</v>
      </c>
      <c r="BE6" s="67">
        <f ca="1">IF(LOWER(Capacity!$L18)="x",IF(AND(SUMIF(Capacity_Resource,$D6,'Critical resources (hide)'!BR$6:BR$105)+SUMIF(Capacity_Resource,$E6,'Critical resources (hide)'!BR$6:BR$105)+SUMIF(Capacity_Resource,$F6,'Critical resources (hide)'!BR$6:BR$105)&gt;0,$E$1=2),0,1),0)</f>
        <v>1</v>
      </c>
      <c r="BF6" s="67">
        <f ca="1">IF(LOWER(Capacity!$L18)="x",IF(AND(SUMIF(Capacity_Resource,$D6,'Critical resources (hide)'!BS$6:BS$105)+SUMIF(Capacity_Resource,$E6,'Critical resources (hide)'!BS$6:BS$105)+SUMIF(Capacity_Resource,$F6,'Critical resources (hide)'!BS$6:BS$105)&gt;0,$E$1=2),0,1),0)</f>
        <v>1</v>
      </c>
      <c r="BG6" s="67">
        <f ca="1">IF(LOWER(Capacity!$L18)="x",IF(AND(SUMIF(Capacity_Resource,$D6,'Critical resources (hide)'!BT$6:BT$105)+SUMIF(Capacity_Resource,$E6,'Critical resources (hide)'!BT$6:BT$105)+SUMIF(Capacity_Resource,$F6,'Critical resources (hide)'!BT$6:BT$105)&gt;0,$E$1=2),0,1),0)</f>
        <v>1</v>
      </c>
      <c r="BH6" s="67">
        <f>IF(ROW(C2)&lt;=Capacity!$A$16,IF('Capacity summary'!$D$14="No",SUM(H6:BG6),'Capacity summary'!$E125),0)</f>
        <v>0</v>
      </c>
      <c r="BI6" s="5" t="str">
        <f>IF(BH6&gt;0,IF(BH6&lt;Capacity!E18,Capacity!F18,Capacity!H18/'Capacity calculation (hide)'!BH6),"")</f>
        <v/>
      </c>
      <c r="BK6" s="311">
        <f>IF($BI6&lt;&gt;"",IF('Capacity summary'!$D$14="Yes",IF(COUNTBLANK('Capacity summary'!$H125:$BG125)&lt;52,IF('Capacity summary'!H125&lt;&gt;"",IF(LOWER('Capacity summary'!H125)="x",$BI6*H6,VALUE('Capacity summary'!H125)),0),H6*$BI6),H6*$BI6),0)</f>
        <v>0</v>
      </c>
      <c r="BL6" s="311">
        <f>IF($BI6&lt;&gt;"",IF('Capacity summary'!$D$14="Yes",IF(COUNTBLANK('Capacity summary'!$H125:$BG125)&lt;52,IF('Capacity summary'!I125&lt;&gt;"",IF(LOWER('Capacity summary'!I125)="x",$BI6*I6,VALUE('Capacity summary'!I125)),0),I6*$BI6),I6*$BI6),0)</f>
        <v>0</v>
      </c>
      <c r="BM6" s="311">
        <f>IF($BI6&lt;&gt;"",IF('Capacity summary'!$D$14="Yes",IF(COUNTBLANK('Capacity summary'!$H125:$BG125)&lt;52,IF('Capacity summary'!J125&lt;&gt;"",IF(LOWER('Capacity summary'!J125)="x",$BI6*J6,VALUE('Capacity summary'!J125)),0),J6*$BI6),J6*$BI6),0)</f>
        <v>0</v>
      </c>
      <c r="BN6" s="311">
        <f>IF($BI6&lt;&gt;"",IF('Capacity summary'!$D$14="Yes",IF(COUNTBLANK('Capacity summary'!$H125:$BG125)&lt;52,IF('Capacity summary'!K125&lt;&gt;"",IF(LOWER('Capacity summary'!K125)="x",$BI6*K6,VALUE('Capacity summary'!K125)),0),K6*$BI6),K6*$BI6),0)</f>
        <v>0</v>
      </c>
      <c r="BO6" s="311">
        <f>IF($BI6&lt;&gt;"",IF('Capacity summary'!$D$14="Yes",IF(COUNTBLANK('Capacity summary'!$H125:$BG125)&lt;52,IF('Capacity summary'!L125&lt;&gt;"",IF(LOWER('Capacity summary'!L125)="x",$BI6*L6,VALUE('Capacity summary'!L125)),0),L6*$BI6),L6*$BI6),0)</f>
        <v>0</v>
      </c>
      <c r="BP6" s="311">
        <f>IF($BI6&lt;&gt;"",IF('Capacity summary'!$D$14="Yes",IF(COUNTBLANK('Capacity summary'!$H125:$BG125)&lt;52,IF('Capacity summary'!M125&lt;&gt;"",IF(LOWER('Capacity summary'!M125)="x",$BI6*M6,VALUE('Capacity summary'!M125)),0),M6*$BI6),M6*$BI6),0)</f>
        <v>0</v>
      </c>
      <c r="BQ6" s="311">
        <f>IF($BI6&lt;&gt;"",IF('Capacity summary'!$D$14="Yes",IF(COUNTBLANK('Capacity summary'!$H125:$BG125)&lt;52,IF('Capacity summary'!N125&lt;&gt;"",IF(LOWER('Capacity summary'!N125)="x",$BI6*N6,VALUE('Capacity summary'!N125)),0),N6*$BI6),N6*$BI6),0)</f>
        <v>0</v>
      </c>
      <c r="BR6" s="311">
        <f>IF($BI6&lt;&gt;"",IF('Capacity summary'!$D$14="Yes",IF(COUNTBLANK('Capacity summary'!$H125:$BG125)&lt;52,IF('Capacity summary'!O125&lt;&gt;"",IF(LOWER('Capacity summary'!O125)="x",$BI6*O6,VALUE('Capacity summary'!O125)),0),O6*$BI6),O6*$BI6),0)</f>
        <v>0</v>
      </c>
      <c r="BS6" s="311">
        <f>IF($BI6&lt;&gt;"",IF('Capacity summary'!$D$14="Yes",IF(COUNTBLANK('Capacity summary'!$H125:$BG125)&lt;52,IF('Capacity summary'!P125&lt;&gt;"",IF(LOWER('Capacity summary'!P125)="x",$BI6*P6,VALUE('Capacity summary'!P125)),0),P6*$BI6),P6*$BI6),0)</f>
        <v>0</v>
      </c>
      <c r="BT6" s="311">
        <f>IF($BI6&lt;&gt;"",IF('Capacity summary'!$D$14="Yes",IF(COUNTBLANK('Capacity summary'!$H125:$BG125)&lt;52,IF('Capacity summary'!Q125&lt;&gt;"",IF(LOWER('Capacity summary'!Q125)="x",$BI6*Q6,VALUE('Capacity summary'!Q125)),0),Q6*$BI6),Q6*$BI6),0)</f>
        <v>0</v>
      </c>
      <c r="BU6" s="311">
        <f>IF($BI6&lt;&gt;"",IF('Capacity summary'!$D$14="Yes",IF(COUNTBLANK('Capacity summary'!$H125:$BG125)&lt;52,IF('Capacity summary'!R125&lt;&gt;"",IF(LOWER('Capacity summary'!R125)="x",$BI6*R6,VALUE('Capacity summary'!R125)),0),R6*$BI6),R6*$BI6),0)</f>
        <v>0</v>
      </c>
      <c r="BV6" s="311">
        <f>IF($BI6&lt;&gt;"",IF('Capacity summary'!$D$14="Yes",IF(COUNTBLANK('Capacity summary'!$H125:$BG125)&lt;52,IF('Capacity summary'!S125&lt;&gt;"",IF(LOWER('Capacity summary'!S125)="x",$BI6*S6,VALUE('Capacity summary'!S125)),0),S6*$BI6),S6*$BI6),0)</f>
        <v>0</v>
      </c>
      <c r="BW6" s="311">
        <f>IF($BI6&lt;&gt;"",IF('Capacity summary'!$D$14="Yes",IF(COUNTBLANK('Capacity summary'!$H125:$BG125)&lt;52,IF('Capacity summary'!T125&lt;&gt;"",IF(LOWER('Capacity summary'!T125)="x",$BI6*T6,VALUE('Capacity summary'!T125)),0),T6*$BI6),T6*$BI6),0)</f>
        <v>0</v>
      </c>
      <c r="BX6" s="311">
        <f>IF($BI6&lt;&gt;"",IF('Capacity summary'!$D$14="Yes",IF(COUNTBLANK('Capacity summary'!$H125:$BG125)&lt;52,IF('Capacity summary'!U125&lt;&gt;"",IF(LOWER('Capacity summary'!U125)="x",$BI6*U6,VALUE('Capacity summary'!U125)),0),U6*$BI6),U6*$BI6),0)</f>
        <v>0</v>
      </c>
      <c r="BY6" s="311">
        <f>IF($BI6&lt;&gt;"",IF('Capacity summary'!$D$14="Yes",IF(COUNTBLANK('Capacity summary'!$H125:$BG125)&lt;52,IF('Capacity summary'!V125&lt;&gt;"",IF(LOWER('Capacity summary'!V125)="x",$BI6*V6,VALUE('Capacity summary'!V125)),0),V6*$BI6),V6*$BI6),0)</f>
        <v>0</v>
      </c>
      <c r="BZ6" s="311">
        <f>IF($BI6&lt;&gt;"",IF('Capacity summary'!$D$14="Yes",IF(COUNTBLANK('Capacity summary'!$H125:$BG125)&lt;52,IF('Capacity summary'!W125&lt;&gt;"",IF(LOWER('Capacity summary'!W125)="x",$BI6*W6,VALUE('Capacity summary'!W125)),0),W6*$BI6),W6*$BI6),0)</f>
        <v>0</v>
      </c>
      <c r="CA6" s="311">
        <f>IF($BI6&lt;&gt;"",IF('Capacity summary'!$D$14="Yes",IF(COUNTBLANK('Capacity summary'!$H125:$BG125)&lt;52,IF('Capacity summary'!X125&lt;&gt;"",IF(LOWER('Capacity summary'!X125)="x",$BI6*X6,VALUE('Capacity summary'!X125)),0),X6*$BI6),X6*$BI6),0)</f>
        <v>0</v>
      </c>
      <c r="CB6" s="311">
        <f>IF($BI6&lt;&gt;"",IF('Capacity summary'!$D$14="Yes",IF(COUNTBLANK('Capacity summary'!$H125:$BG125)&lt;52,IF('Capacity summary'!Y125&lt;&gt;"",IF(LOWER('Capacity summary'!Y125)="x",$BI6*Y6,VALUE('Capacity summary'!Y125)),0),Y6*$BI6),Y6*$BI6),0)</f>
        <v>0</v>
      </c>
      <c r="CC6" s="311">
        <f>IF($BI6&lt;&gt;"",IF('Capacity summary'!$D$14="Yes",IF(COUNTBLANK('Capacity summary'!$H125:$BG125)&lt;52,IF('Capacity summary'!Z125&lt;&gt;"",IF(LOWER('Capacity summary'!Z125)="x",$BI6*Z6,VALUE('Capacity summary'!Z125)),0),Z6*$BI6),Z6*$BI6),0)</f>
        <v>0</v>
      </c>
      <c r="CD6" s="311">
        <f>IF($BI6&lt;&gt;"",IF('Capacity summary'!$D$14="Yes",IF(COUNTBLANK('Capacity summary'!$H125:$BG125)&lt;52,IF('Capacity summary'!AA125&lt;&gt;"",IF(LOWER('Capacity summary'!AA125)="x",$BI6*AA6,VALUE('Capacity summary'!AA125)),0),AA6*$BI6),AA6*$BI6),0)</f>
        <v>0</v>
      </c>
      <c r="CE6" s="311">
        <f>IF($BI6&lt;&gt;"",IF('Capacity summary'!$D$14="Yes",IF(COUNTBLANK('Capacity summary'!$H125:$BG125)&lt;52,IF('Capacity summary'!AB125&lt;&gt;"",IF(LOWER('Capacity summary'!AB125)="x",$BI6*AB6,VALUE('Capacity summary'!AB125)),0),AB6*$BI6),AB6*$BI6),0)</f>
        <v>0</v>
      </c>
      <c r="CF6" s="311">
        <f>IF($BI6&lt;&gt;"",IF('Capacity summary'!$D$14="Yes",IF(COUNTBLANK('Capacity summary'!$H125:$BG125)&lt;52,IF('Capacity summary'!AC125&lt;&gt;"",IF(LOWER('Capacity summary'!AC125)="x",$BI6*AC6,VALUE('Capacity summary'!AC125)),0),AC6*$BI6),AC6*$BI6),0)</f>
        <v>0</v>
      </c>
      <c r="CG6" s="311">
        <f>IF($BI6&lt;&gt;"",IF('Capacity summary'!$D$14="Yes",IF(COUNTBLANK('Capacity summary'!$H125:$BG125)&lt;52,IF('Capacity summary'!AD125&lt;&gt;"",IF(LOWER('Capacity summary'!AD125)="x",$BI6*AD6,VALUE('Capacity summary'!AD125)),0),AD6*$BI6),AD6*$BI6),0)</f>
        <v>0</v>
      </c>
      <c r="CH6" s="311">
        <f>IF($BI6&lt;&gt;"",IF('Capacity summary'!$D$14="Yes",IF(COUNTBLANK('Capacity summary'!$H125:$BG125)&lt;52,IF('Capacity summary'!AE125&lt;&gt;"",IF(LOWER('Capacity summary'!AE125)="x",$BI6*AE6,VALUE('Capacity summary'!AE125)),0),AE6*$BI6),AE6*$BI6),0)</f>
        <v>0</v>
      </c>
      <c r="CI6" s="311">
        <f>IF($BI6&lt;&gt;"",IF('Capacity summary'!$D$14="Yes",IF(COUNTBLANK('Capacity summary'!$H125:$BG125)&lt;52,IF('Capacity summary'!AF125&lt;&gt;"",IF(LOWER('Capacity summary'!AF125)="x",$BI6*AF6,VALUE('Capacity summary'!AF125)),0),AF6*$BI6),AF6*$BI6),0)</f>
        <v>0</v>
      </c>
      <c r="CJ6" s="311">
        <f>IF($BI6&lt;&gt;"",IF('Capacity summary'!$D$14="Yes",IF(COUNTBLANK('Capacity summary'!$H125:$BG125)&lt;52,IF('Capacity summary'!AG125&lt;&gt;"",IF(LOWER('Capacity summary'!AG125)="x",$BI6*AG6,VALUE('Capacity summary'!AG125)),0),AG6*$BI6),AG6*$BI6),0)</f>
        <v>0</v>
      </c>
      <c r="CK6" s="311">
        <f>IF($BI6&lt;&gt;"",IF('Capacity summary'!$D$14="Yes",IF(COUNTBLANK('Capacity summary'!$H125:$BG125)&lt;52,IF('Capacity summary'!AH125&lt;&gt;"",IF(LOWER('Capacity summary'!AH125)="x",$BI6*AH6,VALUE('Capacity summary'!AH125)),0),AH6*$BI6),AH6*$BI6),0)</f>
        <v>0</v>
      </c>
      <c r="CL6" s="311">
        <f>IF($BI6&lt;&gt;"",IF('Capacity summary'!$D$14="Yes",IF(COUNTBLANK('Capacity summary'!$H125:$BG125)&lt;52,IF('Capacity summary'!AI125&lt;&gt;"",IF(LOWER('Capacity summary'!AI125)="x",$BI6*AI6,VALUE('Capacity summary'!AI125)),0),AI6*$BI6),AI6*$BI6),0)</f>
        <v>0</v>
      </c>
      <c r="CM6" s="311">
        <f>IF($BI6&lt;&gt;"",IF('Capacity summary'!$D$14="Yes",IF(COUNTBLANK('Capacity summary'!$H125:$BG125)&lt;52,IF('Capacity summary'!AJ125&lt;&gt;"",IF(LOWER('Capacity summary'!AJ125)="x",$BI6*AJ6,VALUE('Capacity summary'!AJ125)),0),AJ6*$BI6),AJ6*$BI6),0)</f>
        <v>0</v>
      </c>
      <c r="CN6" s="311">
        <f>IF($BI6&lt;&gt;"",IF('Capacity summary'!$D$14="Yes",IF(COUNTBLANK('Capacity summary'!$H125:$BG125)&lt;52,IF('Capacity summary'!AK125&lt;&gt;"",IF(LOWER('Capacity summary'!AK125)="x",$BI6*AK6,VALUE('Capacity summary'!AK125)),0),AK6*$BI6),AK6*$BI6),0)</f>
        <v>0</v>
      </c>
      <c r="CO6" s="311">
        <f>IF($BI6&lt;&gt;"",IF('Capacity summary'!$D$14="Yes",IF(COUNTBLANK('Capacity summary'!$H125:$BG125)&lt;52,IF('Capacity summary'!AL125&lt;&gt;"",IF(LOWER('Capacity summary'!AL125)="x",$BI6*AL6,VALUE('Capacity summary'!AL125)),0),AL6*$BI6),AL6*$BI6),0)</f>
        <v>0</v>
      </c>
      <c r="CP6" s="311">
        <f>IF($BI6&lt;&gt;"",IF('Capacity summary'!$D$14="Yes",IF(COUNTBLANK('Capacity summary'!$H125:$BG125)&lt;52,IF('Capacity summary'!AM125&lt;&gt;"",IF(LOWER('Capacity summary'!AM125)="x",$BI6*AM6,VALUE('Capacity summary'!AM125)),0),AM6*$BI6),AM6*$BI6),0)</f>
        <v>0</v>
      </c>
      <c r="CQ6" s="311">
        <f>IF($BI6&lt;&gt;"",IF('Capacity summary'!$D$14="Yes",IF(COUNTBLANK('Capacity summary'!$H125:$BG125)&lt;52,IF('Capacity summary'!AN125&lt;&gt;"",IF(LOWER('Capacity summary'!AN125)="x",$BI6*AN6,VALUE('Capacity summary'!AN125)),0),AN6*$BI6),AN6*$BI6),0)</f>
        <v>0</v>
      </c>
      <c r="CR6" s="311">
        <f>IF($BI6&lt;&gt;"",IF('Capacity summary'!$D$14="Yes",IF(COUNTBLANK('Capacity summary'!$H125:$BG125)&lt;52,IF('Capacity summary'!AO125&lt;&gt;"",IF(LOWER('Capacity summary'!AO125)="x",$BI6*AO6,VALUE('Capacity summary'!AO125)),0),AO6*$BI6),AO6*$BI6),0)</f>
        <v>0</v>
      </c>
      <c r="CS6" s="311">
        <f>IF($BI6&lt;&gt;"",IF('Capacity summary'!$D$14="Yes",IF(COUNTBLANK('Capacity summary'!$H125:$BG125)&lt;52,IF('Capacity summary'!AP125&lt;&gt;"",IF(LOWER('Capacity summary'!AP125)="x",$BI6*AP6,VALUE('Capacity summary'!AP125)),0),AP6*$BI6),AP6*$BI6),0)</f>
        <v>0</v>
      </c>
      <c r="CT6" s="311">
        <f>IF($BI6&lt;&gt;"",IF('Capacity summary'!$D$14="Yes",IF(COUNTBLANK('Capacity summary'!$H125:$BG125)&lt;52,IF('Capacity summary'!AQ125&lt;&gt;"",IF(LOWER('Capacity summary'!AQ125)="x",$BI6*AQ6,VALUE('Capacity summary'!AQ125)),0),AQ6*$BI6),AQ6*$BI6),0)</f>
        <v>0</v>
      </c>
      <c r="CU6" s="311">
        <f>IF($BI6&lt;&gt;"",IF('Capacity summary'!$D$14="Yes",IF(COUNTBLANK('Capacity summary'!$H125:$BG125)&lt;52,IF('Capacity summary'!AR125&lt;&gt;"",IF(LOWER('Capacity summary'!AR125)="x",$BI6*AR6,VALUE('Capacity summary'!AR125)),0),AR6*$BI6),AR6*$BI6),0)</f>
        <v>0</v>
      </c>
      <c r="CV6" s="311">
        <f>IF($BI6&lt;&gt;"",IF('Capacity summary'!$D$14="Yes",IF(COUNTBLANK('Capacity summary'!$H125:$BG125)&lt;52,IF('Capacity summary'!AS125&lt;&gt;"",IF(LOWER('Capacity summary'!AS125)="x",$BI6*AS6,VALUE('Capacity summary'!AS125)),0),AS6*$BI6),AS6*$BI6),0)</f>
        <v>0</v>
      </c>
      <c r="CW6" s="311">
        <f>IF($BI6&lt;&gt;"",IF('Capacity summary'!$D$14="Yes",IF(COUNTBLANK('Capacity summary'!$H125:$BG125)&lt;52,IF('Capacity summary'!AT125&lt;&gt;"",IF(LOWER('Capacity summary'!AT125)="x",$BI6*AT6,VALUE('Capacity summary'!AT125)),0),AT6*$BI6),AT6*$BI6),0)</f>
        <v>0</v>
      </c>
      <c r="CX6" s="311">
        <f>IF($BI6&lt;&gt;"",IF('Capacity summary'!$D$14="Yes",IF(COUNTBLANK('Capacity summary'!$H125:$BG125)&lt;52,IF('Capacity summary'!AU125&lt;&gt;"",IF(LOWER('Capacity summary'!AU125)="x",$BI6*AU6,VALUE('Capacity summary'!AU125)),0),AU6*$BI6),AU6*$BI6),0)</f>
        <v>0</v>
      </c>
      <c r="CY6" s="311">
        <f>IF($BI6&lt;&gt;"",IF('Capacity summary'!$D$14="Yes",IF(COUNTBLANK('Capacity summary'!$H125:$BG125)&lt;52,IF('Capacity summary'!AV125&lt;&gt;"",IF(LOWER('Capacity summary'!AV125)="x",$BI6*AV6,VALUE('Capacity summary'!AV125)),0),AV6*$BI6),AV6*$BI6),0)</f>
        <v>0</v>
      </c>
      <c r="CZ6" s="311">
        <f>IF($BI6&lt;&gt;"",IF('Capacity summary'!$D$14="Yes",IF(COUNTBLANK('Capacity summary'!$H125:$BG125)&lt;52,IF('Capacity summary'!AW125&lt;&gt;"",IF(LOWER('Capacity summary'!AW125)="x",$BI6*AW6,VALUE('Capacity summary'!AW125)),0),AW6*$BI6),AW6*$BI6),0)</f>
        <v>0</v>
      </c>
      <c r="DA6" s="311">
        <f>IF($BI6&lt;&gt;"",IF('Capacity summary'!$D$14="Yes",IF(COUNTBLANK('Capacity summary'!$H125:$BG125)&lt;52,IF('Capacity summary'!AX125&lt;&gt;"",IF(LOWER('Capacity summary'!AX125)="x",$BI6*AX6,VALUE('Capacity summary'!AX125)),0),AX6*$BI6),AX6*$BI6),0)</f>
        <v>0</v>
      </c>
      <c r="DB6" s="311">
        <f>IF($BI6&lt;&gt;"",IF('Capacity summary'!$D$14="Yes",IF(COUNTBLANK('Capacity summary'!$H125:$BG125)&lt;52,IF('Capacity summary'!AY125&lt;&gt;"",IF(LOWER('Capacity summary'!AY125)="x",$BI6*AY6,VALUE('Capacity summary'!AY125)),0),AY6*$BI6),AY6*$BI6),0)</f>
        <v>0</v>
      </c>
      <c r="DC6" s="311">
        <f>IF($BI6&lt;&gt;"",IF('Capacity summary'!$D$14="Yes",IF(COUNTBLANK('Capacity summary'!$H125:$BG125)&lt;52,IF('Capacity summary'!AZ125&lt;&gt;"",IF(LOWER('Capacity summary'!AZ125)="x",$BI6*AZ6,VALUE('Capacity summary'!AZ125)),0),AZ6*$BI6),AZ6*$BI6),0)</f>
        <v>0</v>
      </c>
      <c r="DD6" s="311">
        <f>IF($BI6&lt;&gt;"",IF('Capacity summary'!$D$14="Yes",IF(COUNTBLANK('Capacity summary'!$H125:$BG125)&lt;52,IF('Capacity summary'!BA125&lt;&gt;"",IF(LOWER('Capacity summary'!BA125)="x",$BI6*BA6,VALUE('Capacity summary'!BA125)),0),BA6*$BI6),BA6*$BI6),0)</f>
        <v>0</v>
      </c>
      <c r="DE6" s="311">
        <f>IF($BI6&lt;&gt;"",IF('Capacity summary'!$D$14="Yes",IF(COUNTBLANK('Capacity summary'!$H125:$BG125)&lt;52,IF('Capacity summary'!BB125&lt;&gt;"",IF(LOWER('Capacity summary'!BB125)="x",$BI6*BB6,VALUE('Capacity summary'!BB125)),0),BB6*$BI6),BB6*$BI6),0)</f>
        <v>0</v>
      </c>
      <c r="DF6" s="311">
        <f>IF($BI6&lt;&gt;"",IF('Capacity summary'!$D$14="Yes",IF(COUNTBLANK('Capacity summary'!$H125:$BG125)&lt;52,IF('Capacity summary'!BC125&lt;&gt;"",IF(LOWER('Capacity summary'!BC125)="x",$BI6*BC6,VALUE('Capacity summary'!BC125)),0),BC6*$BI6),BC6*$BI6),0)</f>
        <v>0</v>
      </c>
      <c r="DG6" s="311">
        <f>IF($BI6&lt;&gt;"",IF('Capacity summary'!$D$14="Yes",IF(COUNTBLANK('Capacity summary'!$H125:$BG125)&lt;52,IF('Capacity summary'!BD125&lt;&gt;"",IF(LOWER('Capacity summary'!BD125)="x",$BI6*BD6,VALUE('Capacity summary'!BD125)),0),BD6*$BI6),BD6*$BI6),0)</f>
        <v>0</v>
      </c>
      <c r="DH6" s="311">
        <f>IF($BI6&lt;&gt;"",IF('Capacity summary'!$D$14="Yes",IF(COUNTBLANK('Capacity summary'!$H125:$BG125)&lt;52,IF('Capacity summary'!BE125&lt;&gt;"",IF(LOWER('Capacity summary'!BE125)="x",$BI6*BE6,VALUE('Capacity summary'!BE125)),0),BE6*$BI6),BE6*$BI6),0)</f>
        <v>0</v>
      </c>
      <c r="DI6" s="311">
        <f>IF($BI6&lt;&gt;"",IF('Capacity summary'!$D$14="Yes",IF(COUNTBLANK('Capacity summary'!$H125:$BG125)&lt;52,IF('Capacity summary'!BF125&lt;&gt;"",IF(LOWER('Capacity summary'!BF125)="x",$BI6*BF6,VALUE('Capacity summary'!BF125)),0),BF6*$BI6),BF6*$BI6),0)</f>
        <v>0</v>
      </c>
      <c r="DJ6" s="311">
        <f>IF($BI6&lt;&gt;"",IF('Capacity summary'!$D$14="Yes",IF(COUNTBLANK('Capacity summary'!$H125:$BG125)&lt;52,IF('Capacity summary'!BG125&lt;&gt;"",IF(LOWER('Capacity summary'!BG125)="x",$BI6*BG6,VALUE('Capacity summary'!BG125)),0),BG6*$BI6),BG6*$BI6),0)</f>
        <v>0</v>
      </c>
      <c r="DK6" s="391">
        <f t="shared" si="2"/>
        <v>0</v>
      </c>
      <c r="DL6" s="136">
        <f t="shared" si="3"/>
        <v>0</v>
      </c>
      <c r="DM6" s="311" t="str">
        <f>Capacity!H18</f>
        <v/>
      </c>
      <c r="DQ6" s="5"/>
    </row>
    <row r="7" spans="1:121" x14ac:dyDescent="0.2">
      <c r="A7" s="67">
        <f>IF(Capacity!L19='Capacity summary'!BI126,1,0)</f>
        <v>1</v>
      </c>
      <c r="B7" s="67">
        <f>IF(Capacity!V19='Capacity summary'!BI26,1,0)</f>
        <v>1</v>
      </c>
      <c r="C7" s="67" t="str">
        <f>ROW(A3)&amp;". "&amp;Capacity!B19</f>
        <v xml:space="preserve">3. </v>
      </c>
      <c r="D7" s="67" t="str">
        <f>'Capacity setup'!C14</f>
        <v>2. Consultant: Ms Taylor</v>
      </c>
      <c r="E7" s="67" t="str">
        <f>'Capacity setup'!D14</f>
        <v>3. CT Scanner 1</v>
      </c>
      <c r="F7" s="67">
        <f>'Capacity setup'!E14</f>
        <v>0</v>
      </c>
      <c r="H7" s="67">
        <f ca="1">IF(LOWER(Capacity!$L19)="x",IF(AND(SUMIF(Capacity_Resource,$D7,'Critical resources (hide)'!U$6:U$105)+SUMIF(Capacity_Resource,$E7,'Critical resources (hide)'!U$6:U$105)+SUMIF(Capacity_Resource,$F7,'Critical resources (hide)'!U$6:U$105)&gt;0,$E$1=2),0,1),0)</f>
        <v>1</v>
      </c>
      <c r="I7" s="67">
        <f ca="1">IF(LOWER(Capacity!$L19)="x",IF(AND(SUMIF(Capacity_Resource,$D7,'Critical resources (hide)'!V$6:V$105)+SUMIF(Capacity_Resource,$E7,'Critical resources (hide)'!V$6:V$105)+SUMIF(Capacity_Resource,$F7,'Critical resources (hide)'!V$6:V$105)&gt;0,$E$1=2),0,1),0)</f>
        <v>1</v>
      </c>
      <c r="J7" s="67">
        <f ca="1">IF(LOWER(Capacity!$L19)="x",IF(AND(SUMIF(Capacity_Resource,$D7,'Critical resources (hide)'!W$6:W$105)+SUMIF(Capacity_Resource,$E7,'Critical resources (hide)'!W$6:W$105)+SUMIF(Capacity_Resource,$F7,'Critical resources (hide)'!W$6:W$105)&gt;0,$E$1=2),0,1),0)</f>
        <v>1</v>
      </c>
      <c r="K7" s="67">
        <f ca="1">IF(LOWER(Capacity!$L19)="x",IF(AND(SUMIF(Capacity_Resource,$D7,'Critical resources (hide)'!X$6:X$105)+SUMIF(Capacity_Resource,$E7,'Critical resources (hide)'!X$6:X$105)+SUMIF(Capacity_Resource,$F7,'Critical resources (hide)'!X$6:X$105)&gt;0,$E$1=2),0,1),0)</f>
        <v>1</v>
      </c>
      <c r="L7" s="67">
        <f ca="1">IF(LOWER(Capacity!$L19)="x",IF(AND(SUMIF(Capacity_Resource,$D7,'Critical resources (hide)'!Y$6:Y$105)+SUMIF(Capacity_Resource,$E7,'Critical resources (hide)'!Y$6:Y$105)+SUMIF(Capacity_Resource,$F7,'Critical resources (hide)'!Y$6:Y$105)&gt;0,$E$1=2),0,1),0)</f>
        <v>1</v>
      </c>
      <c r="M7" s="67">
        <f ca="1">IF(LOWER(Capacity!$L19)="x",IF(AND(SUMIF(Capacity_Resource,$D7,'Critical resources (hide)'!Z$6:Z$105)+SUMIF(Capacity_Resource,$E7,'Critical resources (hide)'!Z$6:Z$105)+SUMIF(Capacity_Resource,$F7,'Critical resources (hide)'!Z$6:Z$105)&gt;0,$E$1=2),0,1),0)</f>
        <v>1</v>
      </c>
      <c r="N7" s="67">
        <f ca="1">IF(LOWER(Capacity!$L19)="x",IF(AND(SUMIF(Capacity_Resource,$D7,'Critical resources (hide)'!AA$6:AA$105)+SUMIF(Capacity_Resource,$E7,'Critical resources (hide)'!AA$6:AA$105)+SUMIF(Capacity_Resource,$F7,'Critical resources (hide)'!AA$6:AA$105)&gt;0,$E$1=2),0,1),0)</f>
        <v>1</v>
      </c>
      <c r="O7" s="67">
        <f ca="1">IF(LOWER(Capacity!$L19)="x",IF(AND(SUMIF(Capacity_Resource,$D7,'Critical resources (hide)'!AB$6:AB$105)+SUMIF(Capacity_Resource,$E7,'Critical resources (hide)'!AB$6:AB$105)+SUMIF(Capacity_Resource,$F7,'Critical resources (hide)'!AB$6:AB$105)&gt;0,$E$1=2),0,1),0)</f>
        <v>1</v>
      </c>
      <c r="P7" s="67">
        <f ca="1">IF(LOWER(Capacity!$L19)="x",IF(AND(SUMIF(Capacity_Resource,$D7,'Critical resources (hide)'!AC$6:AC$105)+SUMIF(Capacity_Resource,$E7,'Critical resources (hide)'!AC$6:AC$105)+SUMIF(Capacity_Resource,$F7,'Critical resources (hide)'!AC$6:AC$105)&gt;0,$E$1=2),0,1),0)</f>
        <v>1</v>
      </c>
      <c r="Q7" s="67">
        <f ca="1">IF(LOWER(Capacity!$L19)="x",IF(AND(SUMIF(Capacity_Resource,$D7,'Critical resources (hide)'!AD$6:AD$105)+SUMIF(Capacity_Resource,$E7,'Critical resources (hide)'!AD$6:AD$105)+SUMIF(Capacity_Resource,$F7,'Critical resources (hide)'!AD$6:AD$105)&gt;0,$E$1=2),0,1),0)</f>
        <v>1</v>
      </c>
      <c r="R7" s="67">
        <f ca="1">IF(LOWER(Capacity!$L19)="x",IF(AND(SUMIF(Capacity_Resource,$D7,'Critical resources (hide)'!AE$6:AE$105)+SUMIF(Capacity_Resource,$E7,'Critical resources (hide)'!AE$6:AE$105)+SUMIF(Capacity_Resource,$F7,'Critical resources (hide)'!AE$6:AE$105)&gt;0,$E$1=2),0,1),0)</f>
        <v>1</v>
      </c>
      <c r="S7" s="67">
        <f ca="1">IF(LOWER(Capacity!$L19)="x",IF(AND(SUMIF(Capacity_Resource,$D7,'Critical resources (hide)'!AF$6:AF$105)+SUMIF(Capacity_Resource,$E7,'Critical resources (hide)'!AF$6:AF$105)+SUMIF(Capacity_Resource,$F7,'Critical resources (hide)'!AF$6:AF$105)&gt;0,$E$1=2),0,1),0)</f>
        <v>1</v>
      </c>
      <c r="T7" s="67">
        <f ca="1">IF(LOWER(Capacity!$L19)="x",IF(AND(SUMIF(Capacity_Resource,$D7,'Critical resources (hide)'!AG$6:AG$105)+SUMIF(Capacity_Resource,$E7,'Critical resources (hide)'!AG$6:AG$105)+SUMIF(Capacity_Resource,$F7,'Critical resources (hide)'!AG$6:AG$105)&gt;0,$E$1=2),0,1),0)</f>
        <v>1</v>
      </c>
      <c r="U7" s="67">
        <f ca="1">IF(LOWER(Capacity!$L19)="x",IF(AND(SUMIF(Capacity_Resource,$D7,'Critical resources (hide)'!AH$6:AH$105)+SUMIF(Capacity_Resource,$E7,'Critical resources (hide)'!AH$6:AH$105)+SUMIF(Capacity_Resource,$F7,'Critical resources (hide)'!AH$6:AH$105)&gt;0,$E$1=2),0,1),0)</f>
        <v>1</v>
      </c>
      <c r="V7" s="67">
        <f ca="1">IF(LOWER(Capacity!$L19)="x",IF(AND(SUMIF(Capacity_Resource,$D7,'Critical resources (hide)'!AI$6:AI$105)+SUMIF(Capacity_Resource,$E7,'Critical resources (hide)'!AI$6:AI$105)+SUMIF(Capacity_Resource,$F7,'Critical resources (hide)'!AI$6:AI$105)&gt;0,$E$1=2),0,1),0)</f>
        <v>1</v>
      </c>
      <c r="W7" s="67">
        <f ca="1">IF(LOWER(Capacity!$L19)="x",IF(AND(SUMIF(Capacity_Resource,$D7,'Critical resources (hide)'!AJ$6:AJ$105)+SUMIF(Capacity_Resource,$E7,'Critical resources (hide)'!AJ$6:AJ$105)+SUMIF(Capacity_Resource,$F7,'Critical resources (hide)'!AJ$6:AJ$105)&gt;0,$E$1=2),0,1),0)</f>
        <v>1</v>
      </c>
      <c r="X7" s="67">
        <f ca="1">IF(LOWER(Capacity!$L19)="x",IF(AND(SUMIF(Capacity_Resource,$D7,'Critical resources (hide)'!AK$6:AK$105)+SUMIF(Capacity_Resource,$E7,'Critical resources (hide)'!AK$6:AK$105)+SUMIF(Capacity_Resource,$F7,'Critical resources (hide)'!AK$6:AK$105)&gt;0,$E$1=2),0,1),0)</f>
        <v>1</v>
      </c>
      <c r="Y7" s="67">
        <f ca="1">IF(LOWER(Capacity!$L19)="x",IF(AND(SUMIF(Capacity_Resource,$D7,'Critical resources (hide)'!AL$6:AL$105)+SUMIF(Capacity_Resource,$E7,'Critical resources (hide)'!AL$6:AL$105)+SUMIF(Capacity_Resource,$F7,'Critical resources (hide)'!AL$6:AL$105)&gt;0,$E$1=2),0,1),0)</f>
        <v>1</v>
      </c>
      <c r="Z7" s="67">
        <f ca="1">IF(LOWER(Capacity!$L19)="x",IF(AND(SUMIF(Capacity_Resource,$D7,'Critical resources (hide)'!AM$6:AM$105)+SUMIF(Capacity_Resource,$E7,'Critical resources (hide)'!AM$6:AM$105)+SUMIF(Capacity_Resource,$F7,'Critical resources (hide)'!AM$6:AM$105)&gt;0,$E$1=2),0,1),0)</f>
        <v>1</v>
      </c>
      <c r="AA7" s="67">
        <f ca="1">IF(LOWER(Capacity!$L19)="x",IF(AND(SUMIF(Capacity_Resource,$D7,'Critical resources (hide)'!AN$6:AN$105)+SUMIF(Capacity_Resource,$E7,'Critical resources (hide)'!AN$6:AN$105)+SUMIF(Capacity_Resource,$F7,'Critical resources (hide)'!AN$6:AN$105)&gt;0,$E$1=2),0,1),0)</f>
        <v>1</v>
      </c>
      <c r="AB7" s="67">
        <f ca="1">IF(LOWER(Capacity!$L19)="x",IF(AND(SUMIF(Capacity_Resource,$D7,'Critical resources (hide)'!AO$6:AO$105)+SUMIF(Capacity_Resource,$E7,'Critical resources (hide)'!AO$6:AO$105)+SUMIF(Capacity_Resource,$F7,'Critical resources (hide)'!AO$6:AO$105)&gt;0,$E$1=2),0,1),0)</f>
        <v>1</v>
      </c>
      <c r="AC7" s="67">
        <f ca="1">IF(LOWER(Capacity!$L19)="x",IF(AND(SUMIF(Capacity_Resource,$D7,'Critical resources (hide)'!AP$6:AP$105)+SUMIF(Capacity_Resource,$E7,'Critical resources (hide)'!AP$6:AP$105)+SUMIF(Capacity_Resource,$F7,'Critical resources (hide)'!AP$6:AP$105)&gt;0,$E$1=2),0,1),0)</f>
        <v>1</v>
      </c>
      <c r="AD7" s="67">
        <f ca="1">IF(LOWER(Capacity!$L19)="x",IF(AND(SUMIF(Capacity_Resource,$D7,'Critical resources (hide)'!AQ$6:AQ$105)+SUMIF(Capacity_Resource,$E7,'Critical resources (hide)'!AQ$6:AQ$105)+SUMIF(Capacity_Resource,$F7,'Critical resources (hide)'!AQ$6:AQ$105)&gt;0,$E$1=2),0,1),0)</f>
        <v>1</v>
      </c>
      <c r="AE7" s="67">
        <f ca="1">IF(LOWER(Capacity!$L19)="x",IF(AND(SUMIF(Capacity_Resource,$D7,'Critical resources (hide)'!AR$6:AR$105)+SUMIF(Capacity_Resource,$E7,'Critical resources (hide)'!AR$6:AR$105)+SUMIF(Capacity_Resource,$F7,'Critical resources (hide)'!AR$6:AR$105)&gt;0,$E$1=2),0,1),0)</f>
        <v>1</v>
      </c>
      <c r="AF7" s="67">
        <f ca="1">IF(LOWER(Capacity!$L19)="x",IF(AND(SUMIF(Capacity_Resource,$D7,'Critical resources (hide)'!AS$6:AS$105)+SUMIF(Capacity_Resource,$E7,'Critical resources (hide)'!AS$6:AS$105)+SUMIF(Capacity_Resource,$F7,'Critical resources (hide)'!AS$6:AS$105)&gt;0,$E$1=2),0,1),0)</f>
        <v>1</v>
      </c>
      <c r="AG7" s="67">
        <f ca="1">IF(LOWER(Capacity!$L19)="x",IF(AND(SUMIF(Capacity_Resource,$D7,'Critical resources (hide)'!AT$6:AT$105)+SUMIF(Capacity_Resource,$E7,'Critical resources (hide)'!AT$6:AT$105)+SUMIF(Capacity_Resource,$F7,'Critical resources (hide)'!AT$6:AT$105)&gt;0,$E$1=2),0,1),0)</f>
        <v>1</v>
      </c>
      <c r="AH7" s="67">
        <f ca="1">IF(LOWER(Capacity!$L19)="x",IF(AND(SUMIF(Capacity_Resource,$D7,'Critical resources (hide)'!AU$6:AU$105)+SUMIF(Capacity_Resource,$E7,'Critical resources (hide)'!AU$6:AU$105)+SUMIF(Capacity_Resource,$F7,'Critical resources (hide)'!AU$6:AU$105)&gt;0,$E$1=2),0,1),0)</f>
        <v>1</v>
      </c>
      <c r="AI7" s="67">
        <f ca="1">IF(LOWER(Capacity!$L19)="x",IF(AND(SUMIF(Capacity_Resource,$D7,'Critical resources (hide)'!AV$6:AV$105)+SUMIF(Capacity_Resource,$E7,'Critical resources (hide)'!AV$6:AV$105)+SUMIF(Capacity_Resource,$F7,'Critical resources (hide)'!AV$6:AV$105)&gt;0,$E$1=2),0,1),0)</f>
        <v>1</v>
      </c>
      <c r="AJ7" s="67">
        <f ca="1">IF(LOWER(Capacity!$L19)="x",IF(AND(SUMIF(Capacity_Resource,$D7,'Critical resources (hide)'!AW$6:AW$105)+SUMIF(Capacity_Resource,$E7,'Critical resources (hide)'!AW$6:AW$105)+SUMIF(Capacity_Resource,$F7,'Critical resources (hide)'!AW$6:AW$105)&gt;0,$E$1=2),0,1),0)</f>
        <v>1</v>
      </c>
      <c r="AK7" s="67">
        <f ca="1">IF(LOWER(Capacity!$L19)="x",IF(AND(SUMIF(Capacity_Resource,$D7,'Critical resources (hide)'!AX$6:AX$105)+SUMIF(Capacity_Resource,$E7,'Critical resources (hide)'!AX$6:AX$105)+SUMIF(Capacity_Resource,$F7,'Critical resources (hide)'!AX$6:AX$105)&gt;0,$E$1=2),0,1),0)</f>
        <v>1</v>
      </c>
      <c r="AL7" s="67">
        <f ca="1">IF(LOWER(Capacity!$L19)="x",IF(AND(SUMIF(Capacity_Resource,$D7,'Critical resources (hide)'!AY$6:AY$105)+SUMIF(Capacity_Resource,$E7,'Critical resources (hide)'!AY$6:AY$105)+SUMIF(Capacity_Resource,$F7,'Critical resources (hide)'!AY$6:AY$105)&gt;0,$E$1=2),0,1),0)</f>
        <v>1</v>
      </c>
      <c r="AM7" s="67">
        <f ca="1">IF(LOWER(Capacity!$L19)="x",IF(AND(SUMIF(Capacity_Resource,$D7,'Critical resources (hide)'!AZ$6:AZ$105)+SUMIF(Capacity_Resource,$E7,'Critical resources (hide)'!AZ$6:AZ$105)+SUMIF(Capacity_Resource,$F7,'Critical resources (hide)'!AZ$6:AZ$105)&gt;0,$E$1=2),0,1),0)</f>
        <v>1</v>
      </c>
      <c r="AN7" s="67">
        <f ca="1">IF(LOWER(Capacity!$L19)="x",IF(AND(SUMIF(Capacity_Resource,$D7,'Critical resources (hide)'!BA$6:BA$105)+SUMIF(Capacity_Resource,$E7,'Critical resources (hide)'!BA$6:BA$105)+SUMIF(Capacity_Resource,$F7,'Critical resources (hide)'!BA$6:BA$105)&gt;0,$E$1=2),0,1),0)</f>
        <v>1</v>
      </c>
      <c r="AO7" s="67">
        <f ca="1">IF(LOWER(Capacity!$L19)="x",IF(AND(SUMIF(Capacity_Resource,$D7,'Critical resources (hide)'!BB$6:BB$105)+SUMIF(Capacity_Resource,$E7,'Critical resources (hide)'!BB$6:BB$105)+SUMIF(Capacity_Resource,$F7,'Critical resources (hide)'!BB$6:BB$105)&gt;0,$E$1=2),0,1),0)</f>
        <v>1</v>
      </c>
      <c r="AP7" s="67">
        <f ca="1">IF(LOWER(Capacity!$L19)="x",IF(AND(SUMIF(Capacity_Resource,$D7,'Critical resources (hide)'!BC$6:BC$105)+SUMIF(Capacity_Resource,$E7,'Critical resources (hide)'!BC$6:BC$105)+SUMIF(Capacity_Resource,$F7,'Critical resources (hide)'!BC$6:BC$105)&gt;0,$E$1=2),0,1),0)</f>
        <v>1</v>
      </c>
      <c r="AQ7" s="67">
        <f ca="1">IF(LOWER(Capacity!$L19)="x",IF(AND(SUMIF(Capacity_Resource,$D7,'Critical resources (hide)'!BD$6:BD$105)+SUMIF(Capacity_Resource,$E7,'Critical resources (hide)'!BD$6:BD$105)+SUMIF(Capacity_Resource,$F7,'Critical resources (hide)'!BD$6:BD$105)&gt;0,$E$1=2),0,1),0)</f>
        <v>1</v>
      </c>
      <c r="AR7" s="67">
        <f ca="1">IF(LOWER(Capacity!$L19)="x",IF(AND(SUMIF(Capacity_Resource,$D7,'Critical resources (hide)'!BE$6:BE$105)+SUMIF(Capacity_Resource,$E7,'Critical resources (hide)'!BE$6:BE$105)+SUMIF(Capacity_Resource,$F7,'Critical resources (hide)'!BE$6:BE$105)&gt;0,$E$1=2),0,1),0)</f>
        <v>1</v>
      </c>
      <c r="AS7" s="67">
        <f ca="1">IF(LOWER(Capacity!$L19)="x",IF(AND(SUMIF(Capacity_Resource,$D7,'Critical resources (hide)'!BF$6:BF$105)+SUMIF(Capacity_Resource,$E7,'Critical resources (hide)'!BF$6:BF$105)+SUMIF(Capacity_Resource,$F7,'Critical resources (hide)'!BF$6:BF$105)&gt;0,$E$1=2),0,1),0)</f>
        <v>1</v>
      </c>
      <c r="AT7" s="67">
        <f ca="1">IF(LOWER(Capacity!$L19)="x",IF(AND(SUMIF(Capacity_Resource,$D7,'Critical resources (hide)'!BG$6:BG$105)+SUMIF(Capacity_Resource,$E7,'Critical resources (hide)'!BG$6:BG$105)+SUMIF(Capacity_Resource,$F7,'Critical resources (hide)'!BG$6:BG$105)&gt;0,$E$1=2),0,1),0)</f>
        <v>1</v>
      </c>
      <c r="AU7" s="67">
        <f ca="1">IF(LOWER(Capacity!$L19)="x",IF(AND(SUMIF(Capacity_Resource,$D7,'Critical resources (hide)'!BH$6:BH$105)+SUMIF(Capacity_Resource,$E7,'Critical resources (hide)'!BH$6:BH$105)+SUMIF(Capacity_Resource,$F7,'Critical resources (hide)'!BH$6:BH$105)&gt;0,$E$1=2),0,1),0)</f>
        <v>1</v>
      </c>
      <c r="AV7" s="67">
        <f ca="1">IF(LOWER(Capacity!$L19)="x",IF(AND(SUMIF(Capacity_Resource,$D7,'Critical resources (hide)'!BI$6:BI$105)+SUMIF(Capacity_Resource,$E7,'Critical resources (hide)'!BI$6:BI$105)+SUMIF(Capacity_Resource,$F7,'Critical resources (hide)'!BI$6:BI$105)&gt;0,$E$1=2),0,1),0)</f>
        <v>1</v>
      </c>
      <c r="AW7" s="67">
        <f ca="1">IF(LOWER(Capacity!$L19)="x",IF(AND(SUMIF(Capacity_Resource,$D7,'Critical resources (hide)'!BJ$6:BJ$105)+SUMIF(Capacity_Resource,$E7,'Critical resources (hide)'!BJ$6:BJ$105)+SUMIF(Capacity_Resource,$F7,'Critical resources (hide)'!BJ$6:BJ$105)&gt;0,$E$1=2),0,1),0)</f>
        <v>1</v>
      </c>
      <c r="AX7" s="67">
        <f ca="1">IF(LOWER(Capacity!$L19)="x",IF(AND(SUMIF(Capacity_Resource,$D7,'Critical resources (hide)'!BK$6:BK$105)+SUMIF(Capacity_Resource,$E7,'Critical resources (hide)'!BK$6:BK$105)+SUMIF(Capacity_Resource,$F7,'Critical resources (hide)'!BK$6:BK$105)&gt;0,$E$1=2),0,1),0)</f>
        <v>1</v>
      </c>
      <c r="AY7" s="67">
        <f ca="1">IF(LOWER(Capacity!$L19)="x",IF(AND(SUMIF(Capacity_Resource,$D7,'Critical resources (hide)'!BL$6:BL$105)+SUMIF(Capacity_Resource,$E7,'Critical resources (hide)'!BL$6:BL$105)+SUMIF(Capacity_Resource,$F7,'Critical resources (hide)'!BL$6:BL$105)&gt;0,$E$1=2),0,1),0)</f>
        <v>1</v>
      </c>
      <c r="AZ7" s="67">
        <f ca="1">IF(LOWER(Capacity!$L19)="x",IF(AND(SUMIF(Capacity_Resource,$D7,'Critical resources (hide)'!BM$6:BM$105)+SUMIF(Capacity_Resource,$E7,'Critical resources (hide)'!BM$6:BM$105)+SUMIF(Capacity_Resource,$F7,'Critical resources (hide)'!BM$6:BM$105)&gt;0,$E$1=2),0,1),0)</f>
        <v>1</v>
      </c>
      <c r="BA7" s="67">
        <f ca="1">IF(LOWER(Capacity!$L19)="x",IF(AND(SUMIF(Capacity_Resource,$D7,'Critical resources (hide)'!BN$6:BN$105)+SUMIF(Capacity_Resource,$E7,'Critical resources (hide)'!BN$6:BN$105)+SUMIF(Capacity_Resource,$F7,'Critical resources (hide)'!BN$6:BN$105)&gt;0,$E$1=2),0,1),0)</f>
        <v>1</v>
      </c>
      <c r="BB7" s="67">
        <f ca="1">IF(LOWER(Capacity!$L19)="x",IF(AND(SUMIF(Capacity_Resource,$D7,'Critical resources (hide)'!BO$6:BO$105)+SUMIF(Capacity_Resource,$E7,'Critical resources (hide)'!BO$6:BO$105)+SUMIF(Capacity_Resource,$F7,'Critical resources (hide)'!BO$6:BO$105)&gt;0,$E$1=2),0,1),0)</f>
        <v>1</v>
      </c>
      <c r="BC7" s="67">
        <f ca="1">IF(LOWER(Capacity!$L19)="x",IF(AND(SUMIF(Capacity_Resource,$D7,'Critical resources (hide)'!BP$6:BP$105)+SUMIF(Capacity_Resource,$E7,'Critical resources (hide)'!BP$6:BP$105)+SUMIF(Capacity_Resource,$F7,'Critical resources (hide)'!BP$6:BP$105)&gt;0,$E$1=2),0,1),0)</f>
        <v>1</v>
      </c>
      <c r="BD7" s="67">
        <f ca="1">IF(LOWER(Capacity!$L19)="x",IF(AND(SUMIF(Capacity_Resource,$D7,'Critical resources (hide)'!BQ$6:BQ$105)+SUMIF(Capacity_Resource,$E7,'Critical resources (hide)'!BQ$6:BQ$105)+SUMIF(Capacity_Resource,$F7,'Critical resources (hide)'!BQ$6:BQ$105)&gt;0,$E$1=2),0,1),0)</f>
        <v>1</v>
      </c>
      <c r="BE7" s="67">
        <f ca="1">IF(LOWER(Capacity!$L19)="x",IF(AND(SUMIF(Capacity_Resource,$D7,'Critical resources (hide)'!BR$6:BR$105)+SUMIF(Capacity_Resource,$E7,'Critical resources (hide)'!BR$6:BR$105)+SUMIF(Capacity_Resource,$F7,'Critical resources (hide)'!BR$6:BR$105)&gt;0,$E$1=2),0,1),0)</f>
        <v>1</v>
      </c>
      <c r="BF7" s="67">
        <f ca="1">IF(LOWER(Capacity!$L19)="x",IF(AND(SUMIF(Capacity_Resource,$D7,'Critical resources (hide)'!BS$6:BS$105)+SUMIF(Capacity_Resource,$E7,'Critical resources (hide)'!BS$6:BS$105)+SUMIF(Capacity_Resource,$F7,'Critical resources (hide)'!BS$6:BS$105)&gt;0,$E$1=2),0,1),0)</f>
        <v>1</v>
      </c>
      <c r="BG7" s="67">
        <f ca="1">IF(LOWER(Capacity!$L19)="x",IF(AND(SUMIF(Capacity_Resource,$D7,'Critical resources (hide)'!BT$6:BT$105)+SUMIF(Capacity_Resource,$E7,'Critical resources (hide)'!BT$6:BT$105)+SUMIF(Capacity_Resource,$F7,'Critical resources (hide)'!BT$6:BT$105)&gt;0,$E$1=2),0,1),0)</f>
        <v>1</v>
      </c>
      <c r="BH7" s="67">
        <f>IF(ROW(C3)&lt;=Capacity!$A$16,IF('Capacity summary'!$D$14="No",SUM(H7:BG7),'Capacity summary'!$E126),0)</f>
        <v>0</v>
      </c>
      <c r="BI7" s="5" t="str">
        <f>IF(BH7&gt;0,IF(BH7&lt;Capacity!E19,Capacity!F19,Capacity!H19/'Capacity calculation (hide)'!BH7),"")</f>
        <v/>
      </c>
      <c r="BK7" s="311">
        <f>IF($BI7&lt;&gt;"",IF('Capacity summary'!$D$14="Yes",IF(COUNTBLANK('Capacity summary'!$H126:$BG126)&lt;52,IF('Capacity summary'!H126&lt;&gt;"",IF(LOWER('Capacity summary'!H126)="x",$BI7*H7,VALUE('Capacity summary'!H126)),0),H7*$BI7),H7*$BI7),0)</f>
        <v>0</v>
      </c>
      <c r="BL7" s="311">
        <f>IF($BI7&lt;&gt;"",IF('Capacity summary'!$D$14="Yes",IF(COUNTBLANK('Capacity summary'!$H126:$BG126)&lt;52,IF('Capacity summary'!I126&lt;&gt;"",IF(LOWER('Capacity summary'!I126)="x",$BI7*I7,VALUE('Capacity summary'!I126)),0),I7*$BI7),I7*$BI7),0)</f>
        <v>0</v>
      </c>
      <c r="BM7" s="311">
        <f>IF($BI7&lt;&gt;"",IF('Capacity summary'!$D$14="Yes",IF(COUNTBLANK('Capacity summary'!$H126:$BG126)&lt;52,IF('Capacity summary'!J126&lt;&gt;"",IF(LOWER('Capacity summary'!J126)="x",$BI7*J7,VALUE('Capacity summary'!J126)),0),J7*$BI7),J7*$BI7),0)</f>
        <v>0</v>
      </c>
      <c r="BN7" s="311">
        <f>IF($BI7&lt;&gt;"",IF('Capacity summary'!$D$14="Yes",IF(COUNTBLANK('Capacity summary'!$H126:$BG126)&lt;52,IF('Capacity summary'!K126&lt;&gt;"",IF(LOWER('Capacity summary'!K126)="x",$BI7*K7,VALUE('Capacity summary'!K126)),0),K7*$BI7),K7*$BI7),0)</f>
        <v>0</v>
      </c>
      <c r="BO7" s="311">
        <f>IF($BI7&lt;&gt;"",IF('Capacity summary'!$D$14="Yes",IF(COUNTBLANK('Capacity summary'!$H126:$BG126)&lt;52,IF('Capacity summary'!L126&lt;&gt;"",IF(LOWER('Capacity summary'!L126)="x",$BI7*L7,VALUE('Capacity summary'!L126)),0),L7*$BI7),L7*$BI7),0)</f>
        <v>0</v>
      </c>
      <c r="BP7" s="311">
        <f>IF($BI7&lt;&gt;"",IF('Capacity summary'!$D$14="Yes",IF(COUNTBLANK('Capacity summary'!$H126:$BG126)&lt;52,IF('Capacity summary'!M126&lt;&gt;"",IF(LOWER('Capacity summary'!M126)="x",$BI7*M7,VALUE('Capacity summary'!M126)),0),M7*$BI7),M7*$BI7),0)</f>
        <v>0</v>
      </c>
      <c r="BQ7" s="311">
        <f>IF($BI7&lt;&gt;"",IF('Capacity summary'!$D$14="Yes",IF(COUNTBLANK('Capacity summary'!$H126:$BG126)&lt;52,IF('Capacity summary'!N126&lt;&gt;"",IF(LOWER('Capacity summary'!N126)="x",$BI7*N7,VALUE('Capacity summary'!N126)),0),N7*$BI7),N7*$BI7),0)</f>
        <v>0</v>
      </c>
      <c r="BR7" s="311">
        <f>IF($BI7&lt;&gt;"",IF('Capacity summary'!$D$14="Yes",IF(COUNTBLANK('Capacity summary'!$H126:$BG126)&lt;52,IF('Capacity summary'!O126&lt;&gt;"",IF(LOWER('Capacity summary'!O126)="x",$BI7*O7,VALUE('Capacity summary'!O126)),0),O7*$BI7),O7*$BI7),0)</f>
        <v>0</v>
      </c>
      <c r="BS7" s="311">
        <f>IF($BI7&lt;&gt;"",IF('Capacity summary'!$D$14="Yes",IF(COUNTBLANK('Capacity summary'!$H126:$BG126)&lt;52,IF('Capacity summary'!P126&lt;&gt;"",IF(LOWER('Capacity summary'!P126)="x",$BI7*P7,VALUE('Capacity summary'!P126)),0),P7*$BI7),P7*$BI7),0)</f>
        <v>0</v>
      </c>
      <c r="BT7" s="311">
        <f>IF($BI7&lt;&gt;"",IF('Capacity summary'!$D$14="Yes",IF(COUNTBLANK('Capacity summary'!$H126:$BG126)&lt;52,IF('Capacity summary'!Q126&lt;&gt;"",IF(LOWER('Capacity summary'!Q126)="x",$BI7*Q7,VALUE('Capacity summary'!Q126)),0),Q7*$BI7),Q7*$BI7),0)</f>
        <v>0</v>
      </c>
      <c r="BU7" s="311">
        <f>IF($BI7&lt;&gt;"",IF('Capacity summary'!$D$14="Yes",IF(COUNTBLANK('Capacity summary'!$H126:$BG126)&lt;52,IF('Capacity summary'!R126&lt;&gt;"",IF(LOWER('Capacity summary'!R126)="x",$BI7*R7,VALUE('Capacity summary'!R126)),0),R7*$BI7),R7*$BI7),0)</f>
        <v>0</v>
      </c>
      <c r="BV7" s="311">
        <f>IF($BI7&lt;&gt;"",IF('Capacity summary'!$D$14="Yes",IF(COUNTBLANK('Capacity summary'!$H126:$BG126)&lt;52,IF('Capacity summary'!S126&lt;&gt;"",IF(LOWER('Capacity summary'!S126)="x",$BI7*S7,VALUE('Capacity summary'!S126)),0),S7*$BI7),S7*$BI7),0)</f>
        <v>0</v>
      </c>
      <c r="BW7" s="311">
        <f>IF($BI7&lt;&gt;"",IF('Capacity summary'!$D$14="Yes",IF(COUNTBLANK('Capacity summary'!$H126:$BG126)&lt;52,IF('Capacity summary'!T126&lt;&gt;"",IF(LOWER('Capacity summary'!T126)="x",$BI7*T7,VALUE('Capacity summary'!T126)),0),T7*$BI7),T7*$BI7),0)</f>
        <v>0</v>
      </c>
      <c r="BX7" s="311">
        <f>IF($BI7&lt;&gt;"",IF('Capacity summary'!$D$14="Yes",IF(COUNTBLANK('Capacity summary'!$H126:$BG126)&lt;52,IF('Capacity summary'!U126&lt;&gt;"",IF(LOWER('Capacity summary'!U126)="x",$BI7*U7,VALUE('Capacity summary'!U126)),0),U7*$BI7),U7*$BI7),0)</f>
        <v>0</v>
      </c>
      <c r="BY7" s="311">
        <f>IF($BI7&lt;&gt;"",IF('Capacity summary'!$D$14="Yes",IF(COUNTBLANK('Capacity summary'!$H126:$BG126)&lt;52,IF('Capacity summary'!V126&lt;&gt;"",IF(LOWER('Capacity summary'!V126)="x",$BI7*V7,VALUE('Capacity summary'!V126)),0),V7*$BI7),V7*$BI7),0)</f>
        <v>0</v>
      </c>
      <c r="BZ7" s="311">
        <f>IF($BI7&lt;&gt;"",IF('Capacity summary'!$D$14="Yes",IF(COUNTBLANK('Capacity summary'!$H126:$BG126)&lt;52,IF('Capacity summary'!W126&lt;&gt;"",IF(LOWER('Capacity summary'!W126)="x",$BI7*W7,VALUE('Capacity summary'!W126)),0),W7*$BI7),W7*$BI7),0)</f>
        <v>0</v>
      </c>
      <c r="CA7" s="311">
        <f>IF($BI7&lt;&gt;"",IF('Capacity summary'!$D$14="Yes",IF(COUNTBLANK('Capacity summary'!$H126:$BG126)&lt;52,IF('Capacity summary'!X126&lt;&gt;"",IF(LOWER('Capacity summary'!X126)="x",$BI7*X7,VALUE('Capacity summary'!X126)),0),X7*$BI7),X7*$BI7),0)</f>
        <v>0</v>
      </c>
      <c r="CB7" s="311">
        <f>IF($BI7&lt;&gt;"",IF('Capacity summary'!$D$14="Yes",IF(COUNTBLANK('Capacity summary'!$H126:$BG126)&lt;52,IF('Capacity summary'!Y126&lt;&gt;"",IF(LOWER('Capacity summary'!Y126)="x",$BI7*Y7,VALUE('Capacity summary'!Y126)),0),Y7*$BI7),Y7*$BI7),0)</f>
        <v>0</v>
      </c>
      <c r="CC7" s="311">
        <f>IF($BI7&lt;&gt;"",IF('Capacity summary'!$D$14="Yes",IF(COUNTBLANK('Capacity summary'!$H126:$BG126)&lt;52,IF('Capacity summary'!Z126&lt;&gt;"",IF(LOWER('Capacity summary'!Z126)="x",$BI7*Z7,VALUE('Capacity summary'!Z126)),0),Z7*$BI7),Z7*$BI7),0)</f>
        <v>0</v>
      </c>
      <c r="CD7" s="311">
        <f>IF($BI7&lt;&gt;"",IF('Capacity summary'!$D$14="Yes",IF(COUNTBLANK('Capacity summary'!$H126:$BG126)&lt;52,IF('Capacity summary'!AA126&lt;&gt;"",IF(LOWER('Capacity summary'!AA126)="x",$BI7*AA7,VALUE('Capacity summary'!AA126)),0),AA7*$BI7),AA7*$BI7),0)</f>
        <v>0</v>
      </c>
      <c r="CE7" s="311">
        <f>IF($BI7&lt;&gt;"",IF('Capacity summary'!$D$14="Yes",IF(COUNTBLANK('Capacity summary'!$H126:$BG126)&lt;52,IF('Capacity summary'!AB126&lt;&gt;"",IF(LOWER('Capacity summary'!AB126)="x",$BI7*AB7,VALUE('Capacity summary'!AB126)),0),AB7*$BI7),AB7*$BI7),0)</f>
        <v>0</v>
      </c>
      <c r="CF7" s="311">
        <f>IF($BI7&lt;&gt;"",IF('Capacity summary'!$D$14="Yes",IF(COUNTBLANK('Capacity summary'!$H126:$BG126)&lt;52,IF('Capacity summary'!AC126&lt;&gt;"",IF(LOWER('Capacity summary'!AC126)="x",$BI7*AC7,VALUE('Capacity summary'!AC126)),0),AC7*$BI7),AC7*$BI7),0)</f>
        <v>0</v>
      </c>
      <c r="CG7" s="311">
        <f>IF($BI7&lt;&gt;"",IF('Capacity summary'!$D$14="Yes",IF(COUNTBLANK('Capacity summary'!$H126:$BG126)&lt;52,IF('Capacity summary'!AD126&lt;&gt;"",IF(LOWER('Capacity summary'!AD126)="x",$BI7*AD7,VALUE('Capacity summary'!AD126)),0),AD7*$BI7),AD7*$BI7),0)</f>
        <v>0</v>
      </c>
      <c r="CH7" s="311">
        <f>IF($BI7&lt;&gt;"",IF('Capacity summary'!$D$14="Yes",IF(COUNTBLANK('Capacity summary'!$H126:$BG126)&lt;52,IF('Capacity summary'!AE126&lt;&gt;"",IF(LOWER('Capacity summary'!AE126)="x",$BI7*AE7,VALUE('Capacity summary'!AE126)),0),AE7*$BI7),AE7*$BI7),0)</f>
        <v>0</v>
      </c>
      <c r="CI7" s="311">
        <f>IF($BI7&lt;&gt;"",IF('Capacity summary'!$D$14="Yes",IF(COUNTBLANK('Capacity summary'!$H126:$BG126)&lt;52,IF('Capacity summary'!AF126&lt;&gt;"",IF(LOWER('Capacity summary'!AF126)="x",$BI7*AF7,VALUE('Capacity summary'!AF126)),0),AF7*$BI7),AF7*$BI7),0)</f>
        <v>0</v>
      </c>
      <c r="CJ7" s="311">
        <f>IF($BI7&lt;&gt;"",IF('Capacity summary'!$D$14="Yes",IF(COUNTBLANK('Capacity summary'!$H126:$BG126)&lt;52,IF('Capacity summary'!AG126&lt;&gt;"",IF(LOWER('Capacity summary'!AG126)="x",$BI7*AG7,VALUE('Capacity summary'!AG126)),0),AG7*$BI7),AG7*$BI7),0)</f>
        <v>0</v>
      </c>
      <c r="CK7" s="311">
        <f>IF($BI7&lt;&gt;"",IF('Capacity summary'!$D$14="Yes",IF(COUNTBLANK('Capacity summary'!$H126:$BG126)&lt;52,IF('Capacity summary'!AH126&lt;&gt;"",IF(LOWER('Capacity summary'!AH126)="x",$BI7*AH7,VALUE('Capacity summary'!AH126)),0),AH7*$BI7),AH7*$BI7),0)</f>
        <v>0</v>
      </c>
      <c r="CL7" s="311">
        <f>IF($BI7&lt;&gt;"",IF('Capacity summary'!$D$14="Yes",IF(COUNTBLANK('Capacity summary'!$H126:$BG126)&lt;52,IF('Capacity summary'!AI126&lt;&gt;"",IF(LOWER('Capacity summary'!AI126)="x",$BI7*AI7,VALUE('Capacity summary'!AI126)),0),AI7*$BI7),AI7*$BI7),0)</f>
        <v>0</v>
      </c>
      <c r="CM7" s="311">
        <f>IF($BI7&lt;&gt;"",IF('Capacity summary'!$D$14="Yes",IF(COUNTBLANK('Capacity summary'!$H126:$BG126)&lt;52,IF('Capacity summary'!AJ126&lt;&gt;"",IF(LOWER('Capacity summary'!AJ126)="x",$BI7*AJ7,VALUE('Capacity summary'!AJ126)),0),AJ7*$BI7),AJ7*$BI7),0)</f>
        <v>0</v>
      </c>
      <c r="CN7" s="311">
        <f>IF($BI7&lt;&gt;"",IF('Capacity summary'!$D$14="Yes",IF(COUNTBLANK('Capacity summary'!$H126:$BG126)&lt;52,IF('Capacity summary'!AK126&lt;&gt;"",IF(LOWER('Capacity summary'!AK126)="x",$BI7*AK7,VALUE('Capacity summary'!AK126)),0),AK7*$BI7),AK7*$BI7),0)</f>
        <v>0</v>
      </c>
      <c r="CO7" s="311">
        <f>IF($BI7&lt;&gt;"",IF('Capacity summary'!$D$14="Yes",IF(COUNTBLANK('Capacity summary'!$H126:$BG126)&lt;52,IF('Capacity summary'!AL126&lt;&gt;"",IF(LOWER('Capacity summary'!AL126)="x",$BI7*AL7,VALUE('Capacity summary'!AL126)),0),AL7*$BI7),AL7*$BI7),0)</f>
        <v>0</v>
      </c>
      <c r="CP7" s="311">
        <f>IF($BI7&lt;&gt;"",IF('Capacity summary'!$D$14="Yes",IF(COUNTBLANK('Capacity summary'!$H126:$BG126)&lt;52,IF('Capacity summary'!AM126&lt;&gt;"",IF(LOWER('Capacity summary'!AM126)="x",$BI7*AM7,VALUE('Capacity summary'!AM126)),0),AM7*$BI7),AM7*$BI7),0)</f>
        <v>0</v>
      </c>
      <c r="CQ7" s="311">
        <f>IF($BI7&lt;&gt;"",IF('Capacity summary'!$D$14="Yes",IF(COUNTBLANK('Capacity summary'!$H126:$BG126)&lt;52,IF('Capacity summary'!AN126&lt;&gt;"",IF(LOWER('Capacity summary'!AN126)="x",$BI7*AN7,VALUE('Capacity summary'!AN126)),0),AN7*$BI7),AN7*$BI7),0)</f>
        <v>0</v>
      </c>
      <c r="CR7" s="311">
        <f>IF($BI7&lt;&gt;"",IF('Capacity summary'!$D$14="Yes",IF(COUNTBLANK('Capacity summary'!$H126:$BG126)&lt;52,IF('Capacity summary'!AO126&lt;&gt;"",IF(LOWER('Capacity summary'!AO126)="x",$BI7*AO7,VALUE('Capacity summary'!AO126)),0),AO7*$BI7),AO7*$BI7),0)</f>
        <v>0</v>
      </c>
      <c r="CS7" s="311">
        <f>IF($BI7&lt;&gt;"",IF('Capacity summary'!$D$14="Yes",IF(COUNTBLANK('Capacity summary'!$H126:$BG126)&lt;52,IF('Capacity summary'!AP126&lt;&gt;"",IF(LOWER('Capacity summary'!AP126)="x",$BI7*AP7,VALUE('Capacity summary'!AP126)),0),AP7*$BI7),AP7*$BI7),0)</f>
        <v>0</v>
      </c>
      <c r="CT7" s="311">
        <f>IF($BI7&lt;&gt;"",IF('Capacity summary'!$D$14="Yes",IF(COUNTBLANK('Capacity summary'!$H126:$BG126)&lt;52,IF('Capacity summary'!AQ126&lt;&gt;"",IF(LOWER('Capacity summary'!AQ126)="x",$BI7*AQ7,VALUE('Capacity summary'!AQ126)),0),AQ7*$BI7),AQ7*$BI7),0)</f>
        <v>0</v>
      </c>
      <c r="CU7" s="311">
        <f>IF($BI7&lt;&gt;"",IF('Capacity summary'!$D$14="Yes",IF(COUNTBLANK('Capacity summary'!$H126:$BG126)&lt;52,IF('Capacity summary'!AR126&lt;&gt;"",IF(LOWER('Capacity summary'!AR126)="x",$BI7*AR7,VALUE('Capacity summary'!AR126)),0),AR7*$BI7),AR7*$BI7),0)</f>
        <v>0</v>
      </c>
      <c r="CV7" s="311">
        <f>IF($BI7&lt;&gt;"",IF('Capacity summary'!$D$14="Yes",IF(COUNTBLANK('Capacity summary'!$H126:$BG126)&lt;52,IF('Capacity summary'!AS126&lt;&gt;"",IF(LOWER('Capacity summary'!AS126)="x",$BI7*AS7,VALUE('Capacity summary'!AS126)),0),AS7*$BI7),AS7*$BI7),0)</f>
        <v>0</v>
      </c>
      <c r="CW7" s="311">
        <f>IF($BI7&lt;&gt;"",IF('Capacity summary'!$D$14="Yes",IF(COUNTBLANK('Capacity summary'!$H126:$BG126)&lt;52,IF('Capacity summary'!AT126&lt;&gt;"",IF(LOWER('Capacity summary'!AT126)="x",$BI7*AT7,VALUE('Capacity summary'!AT126)),0),AT7*$BI7),AT7*$BI7),0)</f>
        <v>0</v>
      </c>
      <c r="CX7" s="311">
        <f>IF($BI7&lt;&gt;"",IF('Capacity summary'!$D$14="Yes",IF(COUNTBLANK('Capacity summary'!$H126:$BG126)&lt;52,IF('Capacity summary'!AU126&lt;&gt;"",IF(LOWER('Capacity summary'!AU126)="x",$BI7*AU7,VALUE('Capacity summary'!AU126)),0),AU7*$BI7),AU7*$BI7),0)</f>
        <v>0</v>
      </c>
      <c r="CY7" s="311">
        <f>IF($BI7&lt;&gt;"",IF('Capacity summary'!$D$14="Yes",IF(COUNTBLANK('Capacity summary'!$H126:$BG126)&lt;52,IF('Capacity summary'!AV126&lt;&gt;"",IF(LOWER('Capacity summary'!AV126)="x",$BI7*AV7,VALUE('Capacity summary'!AV126)),0),AV7*$BI7),AV7*$BI7),0)</f>
        <v>0</v>
      </c>
      <c r="CZ7" s="311">
        <f>IF($BI7&lt;&gt;"",IF('Capacity summary'!$D$14="Yes",IF(COUNTBLANK('Capacity summary'!$H126:$BG126)&lt;52,IF('Capacity summary'!AW126&lt;&gt;"",IF(LOWER('Capacity summary'!AW126)="x",$BI7*AW7,VALUE('Capacity summary'!AW126)),0),AW7*$BI7),AW7*$BI7),0)</f>
        <v>0</v>
      </c>
      <c r="DA7" s="311">
        <f>IF($BI7&lt;&gt;"",IF('Capacity summary'!$D$14="Yes",IF(COUNTBLANK('Capacity summary'!$H126:$BG126)&lt;52,IF('Capacity summary'!AX126&lt;&gt;"",IF(LOWER('Capacity summary'!AX126)="x",$BI7*AX7,VALUE('Capacity summary'!AX126)),0),AX7*$BI7),AX7*$BI7),0)</f>
        <v>0</v>
      </c>
      <c r="DB7" s="311">
        <f>IF($BI7&lt;&gt;"",IF('Capacity summary'!$D$14="Yes",IF(COUNTBLANK('Capacity summary'!$H126:$BG126)&lt;52,IF('Capacity summary'!AY126&lt;&gt;"",IF(LOWER('Capacity summary'!AY126)="x",$BI7*AY7,VALUE('Capacity summary'!AY126)),0),AY7*$BI7),AY7*$BI7),0)</f>
        <v>0</v>
      </c>
      <c r="DC7" s="311">
        <f>IF($BI7&lt;&gt;"",IF('Capacity summary'!$D$14="Yes",IF(COUNTBLANK('Capacity summary'!$H126:$BG126)&lt;52,IF('Capacity summary'!AZ126&lt;&gt;"",IF(LOWER('Capacity summary'!AZ126)="x",$BI7*AZ7,VALUE('Capacity summary'!AZ126)),0),AZ7*$BI7),AZ7*$BI7),0)</f>
        <v>0</v>
      </c>
      <c r="DD7" s="311">
        <f>IF($BI7&lt;&gt;"",IF('Capacity summary'!$D$14="Yes",IF(COUNTBLANK('Capacity summary'!$H126:$BG126)&lt;52,IF('Capacity summary'!BA126&lt;&gt;"",IF(LOWER('Capacity summary'!BA126)="x",$BI7*BA7,VALUE('Capacity summary'!BA126)),0),BA7*$BI7),BA7*$BI7),0)</f>
        <v>0</v>
      </c>
      <c r="DE7" s="311">
        <f>IF($BI7&lt;&gt;"",IF('Capacity summary'!$D$14="Yes",IF(COUNTBLANK('Capacity summary'!$H126:$BG126)&lt;52,IF('Capacity summary'!BB126&lt;&gt;"",IF(LOWER('Capacity summary'!BB126)="x",$BI7*BB7,VALUE('Capacity summary'!BB126)),0),BB7*$BI7),BB7*$BI7),0)</f>
        <v>0</v>
      </c>
      <c r="DF7" s="311">
        <f>IF($BI7&lt;&gt;"",IF('Capacity summary'!$D$14="Yes",IF(COUNTBLANK('Capacity summary'!$H126:$BG126)&lt;52,IF('Capacity summary'!BC126&lt;&gt;"",IF(LOWER('Capacity summary'!BC126)="x",$BI7*BC7,VALUE('Capacity summary'!BC126)),0),BC7*$BI7),BC7*$BI7),0)</f>
        <v>0</v>
      </c>
      <c r="DG7" s="311">
        <f>IF($BI7&lt;&gt;"",IF('Capacity summary'!$D$14="Yes",IF(COUNTBLANK('Capacity summary'!$H126:$BG126)&lt;52,IF('Capacity summary'!BD126&lt;&gt;"",IF(LOWER('Capacity summary'!BD126)="x",$BI7*BD7,VALUE('Capacity summary'!BD126)),0),BD7*$BI7),BD7*$BI7),0)</f>
        <v>0</v>
      </c>
      <c r="DH7" s="311">
        <f>IF($BI7&lt;&gt;"",IF('Capacity summary'!$D$14="Yes",IF(COUNTBLANK('Capacity summary'!$H126:$BG126)&lt;52,IF('Capacity summary'!BE126&lt;&gt;"",IF(LOWER('Capacity summary'!BE126)="x",$BI7*BE7,VALUE('Capacity summary'!BE126)),0),BE7*$BI7),BE7*$BI7),0)</f>
        <v>0</v>
      </c>
      <c r="DI7" s="311">
        <f>IF($BI7&lt;&gt;"",IF('Capacity summary'!$D$14="Yes",IF(COUNTBLANK('Capacity summary'!$H126:$BG126)&lt;52,IF('Capacity summary'!BF126&lt;&gt;"",IF(LOWER('Capacity summary'!BF126)="x",$BI7*BF7,VALUE('Capacity summary'!BF126)),0),BF7*$BI7),BF7*$BI7),0)</f>
        <v>0</v>
      </c>
      <c r="DJ7" s="311">
        <f>IF($BI7&lt;&gt;"",IF('Capacity summary'!$D$14="Yes",IF(COUNTBLANK('Capacity summary'!$H126:$BG126)&lt;52,IF('Capacity summary'!BG126&lt;&gt;"",IF(LOWER('Capacity summary'!BG126)="x",$BI7*BG7,VALUE('Capacity summary'!BG126)),0),BG7*$BI7),BG7*$BI7),0)</f>
        <v>0</v>
      </c>
      <c r="DK7" s="391">
        <f t="shared" si="2"/>
        <v>0</v>
      </c>
      <c r="DL7" s="136">
        <f t="shared" si="3"/>
        <v>0</v>
      </c>
      <c r="DM7" s="311" t="str">
        <f>Capacity!H19</f>
        <v/>
      </c>
      <c r="DQ7" s="5"/>
    </row>
    <row r="8" spans="1:121" x14ac:dyDescent="0.2">
      <c r="A8" s="67">
        <f>IF(Capacity!L20='Capacity summary'!BI127,1,0)</f>
        <v>1</v>
      </c>
      <c r="B8" s="67">
        <f>IF(Capacity!V20='Capacity summary'!BI27,1,0)</f>
        <v>1</v>
      </c>
      <c r="C8" s="67" t="str">
        <f>ROW(A4)&amp;". "&amp;Capacity!B20</f>
        <v xml:space="preserve">4. </v>
      </c>
      <c r="D8" s="67" t="str">
        <f>'Capacity setup'!C15</f>
        <v>3. CT Scanner 1</v>
      </c>
      <c r="E8" s="67">
        <f>'Capacity setup'!D15</f>
        <v>0</v>
      </c>
      <c r="F8" s="67">
        <f>'Capacity setup'!E15</f>
        <v>0</v>
      </c>
      <c r="H8" s="67">
        <f ca="1">IF(LOWER(Capacity!$L20)="x",IF(AND(SUMIF(Capacity_Resource,$D8,'Critical resources (hide)'!U$6:U$105)+SUMIF(Capacity_Resource,$E8,'Critical resources (hide)'!U$6:U$105)+SUMIF(Capacity_Resource,$F8,'Critical resources (hide)'!U$6:U$105)&gt;0,$E$1=2),0,1),0)</f>
        <v>1</v>
      </c>
      <c r="I8" s="67">
        <f ca="1">IF(LOWER(Capacity!$L20)="x",IF(AND(SUMIF(Capacity_Resource,$D8,'Critical resources (hide)'!V$6:V$105)+SUMIF(Capacity_Resource,$E8,'Critical resources (hide)'!V$6:V$105)+SUMIF(Capacity_Resource,$F8,'Critical resources (hide)'!V$6:V$105)&gt;0,$E$1=2),0,1),0)</f>
        <v>1</v>
      </c>
      <c r="J8" s="67">
        <f ca="1">IF(LOWER(Capacity!$L20)="x",IF(AND(SUMIF(Capacity_Resource,$D8,'Critical resources (hide)'!W$6:W$105)+SUMIF(Capacity_Resource,$E8,'Critical resources (hide)'!W$6:W$105)+SUMIF(Capacity_Resource,$F8,'Critical resources (hide)'!W$6:W$105)&gt;0,$E$1=2),0,1),0)</f>
        <v>1</v>
      </c>
      <c r="K8" s="67">
        <f ca="1">IF(LOWER(Capacity!$L20)="x",IF(AND(SUMIF(Capacity_Resource,$D8,'Critical resources (hide)'!X$6:X$105)+SUMIF(Capacity_Resource,$E8,'Critical resources (hide)'!X$6:X$105)+SUMIF(Capacity_Resource,$F8,'Critical resources (hide)'!X$6:X$105)&gt;0,$E$1=2),0,1),0)</f>
        <v>1</v>
      </c>
      <c r="L8" s="67">
        <f ca="1">IF(LOWER(Capacity!$L20)="x",IF(AND(SUMIF(Capacity_Resource,$D8,'Critical resources (hide)'!Y$6:Y$105)+SUMIF(Capacity_Resource,$E8,'Critical resources (hide)'!Y$6:Y$105)+SUMIF(Capacity_Resource,$F8,'Critical resources (hide)'!Y$6:Y$105)&gt;0,$E$1=2),0,1),0)</f>
        <v>1</v>
      </c>
      <c r="M8" s="67">
        <f ca="1">IF(LOWER(Capacity!$L20)="x",IF(AND(SUMIF(Capacity_Resource,$D8,'Critical resources (hide)'!Z$6:Z$105)+SUMIF(Capacity_Resource,$E8,'Critical resources (hide)'!Z$6:Z$105)+SUMIF(Capacity_Resource,$F8,'Critical resources (hide)'!Z$6:Z$105)&gt;0,$E$1=2),0,1),0)</f>
        <v>1</v>
      </c>
      <c r="N8" s="67">
        <f ca="1">IF(LOWER(Capacity!$L20)="x",IF(AND(SUMIF(Capacity_Resource,$D8,'Critical resources (hide)'!AA$6:AA$105)+SUMIF(Capacity_Resource,$E8,'Critical resources (hide)'!AA$6:AA$105)+SUMIF(Capacity_Resource,$F8,'Critical resources (hide)'!AA$6:AA$105)&gt;0,$E$1=2),0,1),0)</f>
        <v>1</v>
      </c>
      <c r="O8" s="67">
        <f ca="1">IF(LOWER(Capacity!$L20)="x",IF(AND(SUMIF(Capacity_Resource,$D8,'Critical resources (hide)'!AB$6:AB$105)+SUMIF(Capacity_Resource,$E8,'Critical resources (hide)'!AB$6:AB$105)+SUMIF(Capacity_Resource,$F8,'Critical resources (hide)'!AB$6:AB$105)&gt;0,$E$1=2),0,1),0)</f>
        <v>1</v>
      </c>
      <c r="P8" s="67">
        <f ca="1">IF(LOWER(Capacity!$L20)="x",IF(AND(SUMIF(Capacity_Resource,$D8,'Critical resources (hide)'!AC$6:AC$105)+SUMIF(Capacity_Resource,$E8,'Critical resources (hide)'!AC$6:AC$105)+SUMIF(Capacity_Resource,$F8,'Critical resources (hide)'!AC$6:AC$105)&gt;0,$E$1=2),0,1),0)</f>
        <v>1</v>
      </c>
      <c r="Q8" s="67">
        <f ca="1">IF(LOWER(Capacity!$L20)="x",IF(AND(SUMIF(Capacity_Resource,$D8,'Critical resources (hide)'!AD$6:AD$105)+SUMIF(Capacity_Resource,$E8,'Critical resources (hide)'!AD$6:AD$105)+SUMIF(Capacity_Resource,$F8,'Critical resources (hide)'!AD$6:AD$105)&gt;0,$E$1=2),0,1),0)</f>
        <v>1</v>
      </c>
      <c r="R8" s="67">
        <f ca="1">IF(LOWER(Capacity!$L20)="x",IF(AND(SUMIF(Capacity_Resource,$D8,'Critical resources (hide)'!AE$6:AE$105)+SUMIF(Capacity_Resource,$E8,'Critical resources (hide)'!AE$6:AE$105)+SUMIF(Capacity_Resource,$F8,'Critical resources (hide)'!AE$6:AE$105)&gt;0,$E$1=2),0,1),0)</f>
        <v>1</v>
      </c>
      <c r="S8" s="67">
        <f ca="1">IF(LOWER(Capacity!$L20)="x",IF(AND(SUMIF(Capacity_Resource,$D8,'Critical resources (hide)'!AF$6:AF$105)+SUMIF(Capacity_Resource,$E8,'Critical resources (hide)'!AF$6:AF$105)+SUMIF(Capacity_Resource,$F8,'Critical resources (hide)'!AF$6:AF$105)&gt;0,$E$1=2),0,1),0)</f>
        <v>1</v>
      </c>
      <c r="T8" s="67">
        <f ca="1">IF(LOWER(Capacity!$L20)="x",IF(AND(SUMIF(Capacity_Resource,$D8,'Critical resources (hide)'!AG$6:AG$105)+SUMIF(Capacity_Resource,$E8,'Critical resources (hide)'!AG$6:AG$105)+SUMIF(Capacity_Resource,$F8,'Critical resources (hide)'!AG$6:AG$105)&gt;0,$E$1=2),0,1),0)</f>
        <v>1</v>
      </c>
      <c r="U8" s="67">
        <f ca="1">IF(LOWER(Capacity!$L20)="x",IF(AND(SUMIF(Capacity_Resource,$D8,'Critical resources (hide)'!AH$6:AH$105)+SUMIF(Capacity_Resource,$E8,'Critical resources (hide)'!AH$6:AH$105)+SUMIF(Capacity_Resource,$F8,'Critical resources (hide)'!AH$6:AH$105)&gt;0,$E$1=2),0,1),0)</f>
        <v>1</v>
      </c>
      <c r="V8" s="67">
        <f ca="1">IF(LOWER(Capacity!$L20)="x",IF(AND(SUMIF(Capacity_Resource,$D8,'Critical resources (hide)'!AI$6:AI$105)+SUMIF(Capacity_Resource,$E8,'Critical resources (hide)'!AI$6:AI$105)+SUMIF(Capacity_Resource,$F8,'Critical resources (hide)'!AI$6:AI$105)&gt;0,$E$1=2),0,1),0)</f>
        <v>1</v>
      </c>
      <c r="W8" s="67">
        <f ca="1">IF(LOWER(Capacity!$L20)="x",IF(AND(SUMIF(Capacity_Resource,$D8,'Critical resources (hide)'!AJ$6:AJ$105)+SUMIF(Capacity_Resource,$E8,'Critical resources (hide)'!AJ$6:AJ$105)+SUMIF(Capacity_Resource,$F8,'Critical resources (hide)'!AJ$6:AJ$105)&gt;0,$E$1=2),0,1),0)</f>
        <v>1</v>
      </c>
      <c r="X8" s="67">
        <f ca="1">IF(LOWER(Capacity!$L20)="x",IF(AND(SUMIF(Capacity_Resource,$D8,'Critical resources (hide)'!AK$6:AK$105)+SUMIF(Capacity_Resource,$E8,'Critical resources (hide)'!AK$6:AK$105)+SUMIF(Capacity_Resource,$F8,'Critical resources (hide)'!AK$6:AK$105)&gt;0,$E$1=2),0,1),0)</f>
        <v>1</v>
      </c>
      <c r="Y8" s="67">
        <f ca="1">IF(LOWER(Capacity!$L20)="x",IF(AND(SUMIF(Capacity_Resource,$D8,'Critical resources (hide)'!AL$6:AL$105)+SUMIF(Capacity_Resource,$E8,'Critical resources (hide)'!AL$6:AL$105)+SUMIF(Capacity_Resource,$F8,'Critical resources (hide)'!AL$6:AL$105)&gt;0,$E$1=2),0,1),0)</f>
        <v>1</v>
      </c>
      <c r="Z8" s="67">
        <f ca="1">IF(LOWER(Capacity!$L20)="x",IF(AND(SUMIF(Capacity_Resource,$D8,'Critical resources (hide)'!AM$6:AM$105)+SUMIF(Capacity_Resource,$E8,'Critical resources (hide)'!AM$6:AM$105)+SUMIF(Capacity_Resource,$F8,'Critical resources (hide)'!AM$6:AM$105)&gt;0,$E$1=2),0,1),0)</f>
        <v>1</v>
      </c>
      <c r="AA8" s="67">
        <f ca="1">IF(LOWER(Capacity!$L20)="x",IF(AND(SUMIF(Capacity_Resource,$D8,'Critical resources (hide)'!AN$6:AN$105)+SUMIF(Capacity_Resource,$E8,'Critical resources (hide)'!AN$6:AN$105)+SUMIF(Capacity_Resource,$F8,'Critical resources (hide)'!AN$6:AN$105)&gt;0,$E$1=2),0,1),0)</f>
        <v>1</v>
      </c>
      <c r="AB8" s="67">
        <f ca="1">IF(LOWER(Capacity!$L20)="x",IF(AND(SUMIF(Capacity_Resource,$D8,'Critical resources (hide)'!AO$6:AO$105)+SUMIF(Capacity_Resource,$E8,'Critical resources (hide)'!AO$6:AO$105)+SUMIF(Capacity_Resource,$F8,'Critical resources (hide)'!AO$6:AO$105)&gt;0,$E$1=2),0,1),0)</f>
        <v>1</v>
      </c>
      <c r="AC8" s="67">
        <f ca="1">IF(LOWER(Capacity!$L20)="x",IF(AND(SUMIF(Capacity_Resource,$D8,'Critical resources (hide)'!AP$6:AP$105)+SUMIF(Capacity_Resource,$E8,'Critical resources (hide)'!AP$6:AP$105)+SUMIF(Capacity_Resource,$F8,'Critical resources (hide)'!AP$6:AP$105)&gt;0,$E$1=2),0,1),0)</f>
        <v>1</v>
      </c>
      <c r="AD8" s="67">
        <f ca="1">IF(LOWER(Capacity!$L20)="x",IF(AND(SUMIF(Capacity_Resource,$D8,'Critical resources (hide)'!AQ$6:AQ$105)+SUMIF(Capacity_Resource,$E8,'Critical resources (hide)'!AQ$6:AQ$105)+SUMIF(Capacity_Resource,$F8,'Critical resources (hide)'!AQ$6:AQ$105)&gt;0,$E$1=2),0,1),0)</f>
        <v>1</v>
      </c>
      <c r="AE8" s="67">
        <f ca="1">IF(LOWER(Capacity!$L20)="x",IF(AND(SUMIF(Capacity_Resource,$D8,'Critical resources (hide)'!AR$6:AR$105)+SUMIF(Capacity_Resource,$E8,'Critical resources (hide)'!AR$6:AR$105)+SUMIF(Capacity_Resource,$F8,'Critical resources (hide)'!AR$6:AR$105)&gt;0,$E$1=2),0,1),0)</f>
        <v>1</v>
      </c>
      <c r="AF8" s="67">
        <f ca="1">IF(LOWER(Capacity!$L20)="x",IF(AND(SUMIF(Capacity_Resource,$D8,'Critical resources (hide)'!AS$6:AS$105)+SUMIF(Capacity_Resource,$E8,'Critical resources (hide)'!AS$6:AS$105)+SUMIF(Capacity_Resource,$F8,'Critical resources (hide)'!AS$6:AS$105)&gt;0,$E$1=2),0,1),0)</f>
        <v>1</v>
      </c>
      <c r="AG8" s="67">
        <f ca="1">IF(LOWER(Capacity!$L20)="x",IF(AND(SUMIF(Capacity_Resource,$D8,'Critical resources (hide)'!AT$6:AT$105)+SUMIF(Capacity_Resource,$E8,'Critical resources (hide)'!AT$6:AT$105)+SUMIF(Capacity_Resource,$F8,'Critical resources (hide)'!AT$6:AT$105)&gt;0,$E$1=2),0,1),0)</f>
        <v>1</v>
      </c>
      <c r="AH8" s="67">
        <f ca="1">IF(LOWER(Capacity!$L20)="x",IF(AND(SUMIF(Capacity_Resource,$D8,'Critical resources (hide)'!AU$6:AU$105)+SUMIF(Capacity_Resource,$E8,'Critical resources (hide)'!AU$6:AU$105)+SUMIF(Capacity_Resource,$F8,'Critical resources (hide)'!AU$6:AU$105)&gt;0,$E$1=2),0,1),0)</f>
        <v>1</v>
      </c>
      <c r="AI8" s="67">
        <f ca="1">IF(LOWER(Capacity!$L20)="x",IF(AND(SUMIF(Capacity_Resource,$D8,'Critical resources (hide)'!AV$6:AV$105)+SUMIF(Capacity_Resource,$E8,'Critical resources (hide)'!AV$6:AV$105)+SUMIF(Capacity_Resource,$F8,'Critical resources (hide)'!AV$6:AV$105)&gt;0,$E$1=2),0,1),0)</f>
        <v>1</v>
      </c>
      <c r="AJ8" s="67">
        <f ca="1">IF(LOWER(Capacity!$L20)="x",IF(AND(SUMIF(Capacity_Resource,$D8,'Critical resources (hide)'!AW$6:AW$105)+SUMIF(Capacity_Resource,$E8,'Critical resources (hide)'!AW$6:AW$105)+SUMIF(Capacity_Resource,$F8,'Critical resources (hide)'!AW$6:AW$105)&gt;0,$E$1=2),0,1),0)</f>
        <v>1</v>
      </c>
      <c r="AK8" s="67">
        <f ca="1">IF(LOWER(Capacity!$L20)="x",IF(AND(SUMIF(Capacity_Resource,$D8,'Critical resources (hide)'!AX$6:AX$105)+SUMIF(Capacity_Resource,$E8,'Critical resources (hide)'!AX$6:AX$105)+SUMIF(Capacity_Resource,$F8,'Critical resources (hide)'!AX$6:AX$105)&gt;0,$E$1=2),0,1),0)</f>
        <v>1</v>
      </c>
      <c r="AL8" s="67">
        <f ca="1">IF(LOWER(Capacity!$L20)="x",IF(AND(SUMIF(Capacity_Resource,$D8,'Critical resources (hide)'!AY$6:AY$105)+SUMIF(Capacity_Resource,$E8,'Critical resources (hide)'!AY$6:AY$105)+SUMIF(Capacity_Resource,$F8,'Critical resources (hide)'!AY$6:AY$105)&gt;0,$E$1=2),0,1),0)</f>
        <v>1</v>
      </c>
      <c r="AM8" s="67">
        <f ca="1">IF(LOWER(Capacity!$L20)="x",IF(AND(SUMIF(Capacity_Resource,$D8,'Critical resources (hide)'!AZ$6:AZ$105)+SUMIF(Capacity_Resource,$E8,'Critical resources (hide)'!AZ$6:AZ$105)+SUMIF(Capacity_Resource,$F8,'Critical resources (hide)'!AZ$6:AZ$105)&gt;0,$E$1=2),0,1),0)</f>
        <v>1</v>
      </c>
      <c r="AN8" s="67">
        <f ca="1">IF(LOWER(Capacity!$L20)="x",IF(AND(SUMIF(Capacity_Resource,$D8,'Critical resources (hide)'!BA$6:BA$105)+SUMIF(Capacity_Resource,$E8,'Critical resources (hide)'!BA$6:BA$105)+SUMIF(Capacity_Resource,$F8,'Critical resources (hide)'!BA$6:BA$105)&gt;0,$E$1=2),0,1),0)</f>
        <v>1</v>
      </c>
      <c r="AO8" s="67">
        <f ca="1">IF(LOWER(Capacity!$L20)="x",IF(AND(SUMIF(Capacity_Resource,$D8,'Critical resources (hide)'!BB$6:BB$105)+SUMIF(Capacity_Resource,$E8,'Critical resources (hide)'!BB$6:BB$105)+SUMIF(Capacity_Resource,$F8,'Critical resources (hide)'!BB$6:BB$105)&gt;0,$E$1=2),0,1),0)</f>
        <v>1</v>
      </c>
      <c r="AP8" s="67">
        <f ca="1">IF(LOWER(Capacity!$L20)="x",IF(AND(SUMIF(Capacity_Resource,$D8,'Critical resources (hide)'!BC$6:BC$105)+SUMIF(Capacity_Resource,$E8,'Critical resources (hide)'!BC$6:BC$105)+SUMIF(Capacity_Resource,$F8,'Critical resources (hide)'!BC$6:BC$105)&gt;0,$E$1=2),0,1),0)</f>
        <v>1</v>
      </c>
      <c r="AQ8" s="67">
        <f ca="1">IF(LOWER(Capacity!$L20)="x",IF(AND(SUMIF(Capacity_Resource,$D8,'Critical resources (hide)'!BD$6:BD$105)+SUMIF(Capacity_Resource,$E8,'Critical resources (hide)'!BD$6:BD$105)+SUMIF(Capacity_Resource,$F8,'Critical resources (hide)'!BD$6:BD$105)&gt;0,$E$1=2),0,1),0)</f>
        <v>1</v>
      </c>
      <c r="AR8" s="67">
        <f ca="1">IF(LOWER(Capacity!$L20)="x",IF(AND(SUMIF(Capacity_Resource,$D8,'Critical resources (hide)'!BE$6:BE$105)+SUMIF(Capacity_Resource,$E8,'Critical resources (hide)'!BE$6:BE$105)+SUMIF(Capacity_Resource,$F8,'Critical resources (hide)'!BE$6:BE$105)&gt;0,$E$1=2),0,1),0)</f>
        <v>1</v>
      </c>
      <c r="AS8" s="67">
        <f ca="1">IF(LOWER(Capacity!$L20)="x",IF(AND(SUMIF(Capacity_Resource,$D8,'Critical resources (hide)'!BF$6:BF$105)+SUMIF(Capacity_Resource,$E8,'Critical resources (hide)'!BF$6:BF$105)+SUMIF(Capacity_Resource,$F8,'Critical resources (hide)'!BF$6:BF$105)&gt;0,$E$1=2),0,1),0)</f>
        <v>1</v>
      </c>
      <c r="AT8" s="67">
        <f ca="1">IF(LOWER(Capacity!$L20)="x",IF(AND(SUMIF(Capacity_Resource,$D8,'Critical resources (hide)'!BG$6:BG$105)+SUMIF(Capacity_Resource,$E8,'Critical resources (hide)'!BG$6:BG$105)+SUMIF(Capacity_Resource,$F8,'Critical resources (hide)'!BG$6:BG$105)&gt;0,$E$1=2),0,1),0)</f>
        <v>1</v>
      </c>
      <c r="AU8" s="67">
        <f ca="1">IF(LOWER(Capacity!$L20)="x",IF(AND(SUMIF(Capacity_Resource,$D8,'Critical resources (hide)'!BH$6:BH$105)+SUMIF(Capacity_Resource,$E8,'Critical resources (hide)'!BH$6:BH$105)+SUMIF(Capacity_Resource,$F8,'Critical resources (hide)'!BH$6:BH$105)&gt;0,$E$1=2),0,1),0)</f>
        <v>1</v>
      </c>
      <c r="AV8" s="67">
        <f ca="1">IF(LOWER(Capacity!$L20)="x",IF(AND(SUMIF(Capacity_Resource,$D8,'Critical resources (hide)'!BI$6:BI$105)+SUMIF(Capacity_Resource,$E8,'Critical resources (hide)'!BI$6:BI$105)+SUMIF(Capacity_Resource,$F8,'Critical resources (hide)'!BI$6:BI$105)&gt;0,$E$1=2),0,1),0)</f>
        <v>1</v>
      </c>
      <c r="AW8" s="67">
        <f ca="1">IF(LOWER(Capacity!$L20)="x",IF(AND(SUMIF(Capacity_Resource,$D8,'Critical resources (hide)'!BJ$6:BJ$105)+SUMIF(Capacity_Resource,$E8,'Critical resources (hide)'!BJ$6:BJ$105)+SUMIF(Capacity_Resource,$F8,'Critical resources (hide)'!BJ$6:BJ$105)&gt;0,$E$1=2),0,1),0)</f>
        <v>1</v>
      </c>
      <c r="AX8" s="67">
        <f ca="1">IF(LOWER(Capacity!$L20)="x",IF(AND(SUMIF(Capacity_Resource,$D8,'Critical resources (hide)'!BK$6:BK$105)+SUMIF(Capacity_Resource,$E8,'Critical resources (hide)'!BK$6:BK$105)+SUMIF(Capacity_Resource,$F8,'Critical resources (hide)'!BK$6:BK$105)&gt;0,$E$1=2),0,1),0)</f>
        <v>1</v>
      </c>
      <c r="AY8" s="67">
        <f ca="1">IF(LOWER(Capacity!$L20)="x",IF(AND(SUMIF(Capacity_Resource,$D8,'Critical resources (hide)'!BL$6:BL$105)+SUMIF(Capacity_Resource,$E8,'Critical resources (hide)'!BL$6:BL$105)+SUMIF(Capacity_Resource,$F8,'Critical resources (hide)'!BL$6:BL$105)&gt;0,$E$1=2),0,1),0)</f>
        <v>1</v>
      </c>
      <c r="AZ8" s="67">
        <f ca="1">IF(LOWER(Capacity!$L20)="x",IF(AND(SUMIF(Capacity_Resource,$D8,'Critical resources (hide)'!BM$6:BM$105)+SUMIF(Capacity_Resource,$E8,'Critical resources (hide)'!BM$6:BM$105)+SUMIF(Capacity_Resource,$F8,'Critical resources (hide)'!BM$6:BM$105)&gt;0,$E$1=2),0,1),0)</f>
        <v>1</v>
      </c>
      <c r="BA8" s="67">
        <f ca="1">IF(LOWER(Capacity!$L20)="x",IF(AND(SUMIF(Capacity_Resource,$D8,'Critical resources (hide)'!BN$6:BN$105)+SUMIF(Capacity_Resource,$E8,'Critical resources (hide)'!BN$6:BN$105)+SUMIF(Capacity_Resource,$F8,'Critical resources (hide)'!BN$6:BN$105)&gt;0,$E$1=2),0,1),0)</f>
        <v>1</v>
      </c>
      <c r="BB8" s="67">
        <f ca="1">IF(LOWER(Capacity!$L20)="x",IF(AND(SUMIF(Capacity_Resource,$D8,'Critical resources (hide)'!BO$6:BO$105)+SUMIF(Capacity_Resource,$E8,'Critical resources (hide)'!BO$6:BO$105)+SUMIF(Capacity_Resource,$F8,'Critical resources (hide)'!BO$6:BO$105)&gt;0,$E$1=2),0,1),0)</f>
        <v>1</v>
      </c>
      <c r="BC8" s="67">
        <f ca="1">IF(LOWER(Capacity!$L20)="x",IF(AND(SUMIF(Capacity_Resource,$D8,'Critical resources (hide)'!BP$6:BP$105)+SUMIF(Capacity_Resource,$E8,'Critical resources (hide)'!BP$6:BP$105)+SUMIF(Capacity_Resource,$F8,'Critical resources (hide)'!BP$6:BP$105)&gt;0,$E$1=2),0,1),0)</f>
        <v>1</v>
      </c>
      <c r="BD8" s="67">
        <f ca="1">IF(LOWER(Capacity!$L20)="x",IF(AND(SUMIF(Capacity_Resource,$D8,'Critical resources (hide)'!BQ$6:BQ$105)+SUMIF(Capacity_Resource,$E8,'Critical resources (hide)'!BQ$6:BQ$105)+SUMIF(Capacity_Resource,$F8,'Critical resources (hide)'!BQ$6:BQ$105)&gt;0,$E$1=2),0,1),0)</f>
        <v>1</v>
      </c>
      <c r="BE8" s="67">
        <f ca="1">IF(LOWER(Capacity!$L20)="x",IF(AND(SUMIF(Capacity_Resource,$D8,'Critical resources (hide)'!BR$6:BR$105)+SUMIF(Capacity_Resource,$E8,'Critical resources (hide)'!BR$6:BR$105)+SUMIF(Capacity_Resource,$F8,'Critical resources (hide)'!BR$6:BR$105)&gt;0,$E$1=2),0,1),0)</f>
        <v>1</v>
      </c>
      <c r="BF8" s="67">
        <f ca="1">IF(LOWER(Capacity!$L20)="x",IF(AND(SUMIF(Capacity_Resource,$D8,'Critical resources (hide)'!BS$6:BS$105)+SUMIF(Capacity_Resource,$E8,'Critical resources (hide)'!BS$6:BS$105)+SUMIF(Capacity_Resource,$F8,'Critical resources (hide)'!BS$6:BS$105)&gt;0,$E$1=2),0,1),0)</f>
        <v>1</v>
      </c>
      <c r="BG8" s="67">
        <f ca="1">IF(LOWER(Capacity!$L20)="x",IF(AND(SUMIF(Capacity_Resource,$D8,'Critical resources (hide)'!BT$6:BT$105)+SUMIF(Capacity_Resource,$E8,'Critical resources (hide)'!BT$6:BT$105)+SUMIF(Capacity_Resource,$F8,'Critical resources (hide)'!BT$6:BT$105)&gt;0,$E$1=2),0,1),0)</f>
        <v>1</v>
      </c>
      <c r="BH8" s="67">
        <f>IF(ROW(C4)&lt;=Capacity!$A$16,IF('Capacity summary'!$D$14="No",SUM(H8:BG8),'Capacity summary'!$E127),0)</f>
        <v>0</v>
      </c>
      <c r="BI8" s="5" t="str">
        <f>IF(BH8&gt;0,IF(BH8&lt;Capacity!E20,Capacity!F20,Capacity!H20/'Capacity calculation (hide)'!BH8),"")</f>
        <v/>
      </c>
      <c r="BK8" s="311">
        <f>IF($BI8&lt;&gt;"",IF('Capacity summary'!$D$14="Yes",IF(COUNTBLANK('Capacity summary'!$H127:$BG127)&lt;52,IF('Capacity summary'!H127&lt;&gt;"",IF(LOWER('Capacity summary'!H127)="x",$BI8*H8,VALUE('Capacity summary'!H127)),0),H8*$BI8),H8*$BI8),0)</f>
        <v>0</v>
      </c>
      <c r="BL8" s="311">
        <f>IF($BI8&lt;&gt;"",IF('Capacity summary'!$D$14="Yes",IF(COUNTBLANK('Capacity summary'!$H127:$BG127)&lt;52,IF('Capacity summary'!I127&lt;&gt;"",IF(LOWER('Capacity summary'!I127)="x",$BI8*I8,VALUE('Capacity summary'!I127)),0),I8*$BI8),I8*$BI8),0)</f>
        <v>0</v>
      </c>
      <c r="BM8" s="311">
        <f>IF($BI8&lt;&gt;"",IF('Capacity summary'!$D$14="Yes",IF(COUNTBLANK('Capacity summary'!$H127:$BG127)&lt;52,IF('Capacity summary'!J127&lt;&gt;"",IF(LOWER('Capacity summary'!J127)="x",$BI8*J8,VALUE('Capacity summary'!J127)),0),J8*$BI8),J8*$BI8),0)</f>
        <v>0</v>
      </c>
      <c r="BN8" s="311">
        <f>IF($BI8&lt;&gt;"",IF('Capacity summary'!$D$14="Yes",IF(COUNTBLANK('Capacity summary'!$H127:$BG127)&lt;52,IF('Capacity summary'!K127&lt;&gt;"",IF(LOWER('Capacity summary'!K127)="x",$BI8*K8,VALUE('Capacity summary'!K127)),0),K8*$BI8),K8*$BI8),0)</f>
        <v>0</v>
      </c>
      <c r="BO8" s="311">
        <f>IF($BI8&lt;&gt;"",IF('Capacity summary'!$D$14="Yes",IF(COUNTBLANK('Capacity summary'!$H127:$BG127)&lt;52,IF('Capacity summary'!L127&lt;&gt;"",IF(LOWER('Capacity summary'!L127)="x",$BI8*L8,VALUE('Capacity summary'!L127)),0),L8*$BI8),L8*$BI8),0)</f>
        <v>0</v>
      </c>
      <c r="BP8" s="311">
        <f>IF($BI8&lt;&gt;"",IF('Capacity summary'!$D$14="Yes",IF(COUNTBLANK('Capacity summary'!$H127:$BG127)&lt;52,IF('Capacity summary'!M127&lt;&gt;"",IF(LOWER('Capacity summary'!M127)="x",$BI8*M8,VALUE('Capacity summary'!M127)),0),M8*$BI8),M8*$BI8),0)</f>
        <v>0</v>
      </c>
      <c r="BQ8" s="311">
        <f>IF($BI8&lt;&gt;"",IF('Capacity summary'!$D$14="Yes",IF(COUNTBLANK('Capacity summary'!$H127:$BG127)&lt;52,IF('Capacity summary'!N127&lt;&gt;"",IF(LOWER('Capacity summary'!N127)="x",$BI8*N8,VALUE('Capacity summary'!N127)),0),N8*$BI8),N8*$BI8),0)</f>
        <v>0</v>
      </c>
      <c r="BR8" s="311">
        <f>IF($BI8&lt;&gt;"",IF('Capacity summary'!$D$14="Yes",IF(COUNTBLANK('Capacity summary'!$H127:$BG127)&lt;52,IF('Capacity summary'!O127&lt;&gt;"",IF(LOWER('Capacity summary'!O127)="x",$BI8*O8,VALUE('Capacity summary'!O127)),0),O8*$BI8),O8*$BI8),0)</f>
        <v>0</v>
      </c>
      <c r="BS8" s="311">
        <f>IF($BI8&lt;&gt;"",IF('Capacity summary'!$D$14="Yes",IF(COUNTBLANK('Capacity summary'!$H127:$BG127)&lt;52,IF('Capacity summary'!P127&lt;&gt;"",IF(LOWER('Capacity summary'!P127)="x",$BI8*P8,VALUE('Capacity summary'!P127)),0),P8*$BI8),P8*$BI8),0)</f>
        <v>0</v>
      </c>
      <c r="BT8" s="311">
        <f>IF($BI8&lt;&gt;"",IF('Capacity summary'!$D$14="Yes",IF(COUNTBLANK('Capacity summary'!$H127:$BG127)&lt;52,IF('Capacity summary'!Q127&lt;&gt;"",IF(LOWER('Capacity summary'!Q127)="x",$BI8*Q8,VALUE('Capacity summary'!Q127)),0),Q8*$BI8),Q8*$BI8),0)</f>
        <v>0</v>
      </c>
      <c r="BU8" s="311">
        <f>IF($BI8&lt;&gt;"",IF('Capacity summary'!$D$14="Yes",IF(COUNTBLANK('Capacity summary'!$H127:$BG127)&lt;52,IF('Capacity summary'!R127&lt;&gt;"",IF(LOWER('Capacity summary'!R127)="x",$BI8*R8,VALUE('Capacity summary'!R127)),0),R8*$BI8),R8*$BI8),0)</f>
        <v>0</v>
      </c>
      <c r="BV8" s="311">
        <f>IF($BI8&lt;&gt;"",IF('Capacity summary'!$D$14="Yes",IF(COUNTBLANK('Capacity summary'!$H127:$BG127)&lt;52,IF('Capacity summary'!S127&lt;&gt;"",IF(LOWER('Capacity summary'!S127)="x",$BI8*S8,VALUE('Capacity summary'!S127)),0),S8*$BI8),S8*$BI8),0)</f>
        <v>0</v>
      </c>
      <c r="BW8" s="311">
        <f>IF($BI8&lt;&gt;"",IF('Capacity summary'!$D$14="Yes",IF(COUNTBLANK('Capacity summary'!$H127:$BG127)&lt;52,IF('Capacity summary'!T127&lt;&gt;"",IF(LOWER('Capacity summary'!T127)="x",$BI8*T8,VALUE('Capacity summary'!T127)),0),T8*$BI8),T8*$BI8),0)</f>
        <v>0</v>
      </c>
      <c r="BX8" s="311">
        <f>IF($BI8&lt;&gt;"",IF('Capacity summary'!$D$14="Yes",IF(COUNTBLANK('Capacity summary'!$H127:$BG127)&lt;52,IF('Capacity summary'!U127&lt;&gt;"",IF(LOWER('Capacity summary'!U127)="x",$BI8*U8,VALUE('Capacity summary'!U127)),0),U8*$BI8),U8*$BI8),0)</f>
        <v>0</v>
      </c>
      <c r="BY8" s="311">
        <f>IF($BI8&lt;&gt;"",IF('Capacity summary'!$D$14="Yes",IF(COUNTBLANK('Capacity summary'!$H127:$BG127)&lt;52,IF('Capacity summary'!V127&lt;&gt;"",IF(LOWER('Capacity summary'!V127)="x",$BI8*V8,VALUE('Capacity summary'!V127)),0),V8*$BI8),V8*$BI8),0)</f>
        <v>0</v>
      </c>
      <c r="BZ8" s="311">
        <f>IF($BI8&lt;&gt;"",IF('Capacity summary'!$D$14="Yes",IF(COUNTBLANK('Capacity summary'!$H127:$BG127)&lt;52,IF('Capacity summary'!W127&lt;&gt;"",IF(LOWER('Capacity summary'!W127)="x",$BI8*W8,VALUE('Capacity summary'!W127)),0),W8*$BI8),W8*$BI8),0)</f>
        <v>0</v>
      </c>
      <c r="CA8" s="311">
        <f>IF($BI8&lt;&gt;"",IF('Capacity summary'!$D$14="Yes",IF(COUNTBLANK('Capacity summary'!$H127:$BG127)&lt;52,IF('Capacity summary'!X127&lt;&gt;"",IF(LOWER('Capacity summary'!X127)="x",$BI8*X8,VALUE('Capacity summary'!X127)),0),X8*$BI8),X8*$BI8),0)</f>
        <v>0</v>
      </c>
      <c r="CB8" s="311">
        <f>IF($BI8&lt;&gt;"",IF('Capacity summary'!$D$14="Yes",IF(COUNTBLANK('Capacity summary'!$H127:$BG127)&lt;52,IF('Capacity summary'!Y127&lt;&gt;"",IF(LOWER('Capacity summary'!Y127)="x",$BI8*Y8,VALUE('Capacity summary'!Y127)),0),Y8*$BI8),Y8*$BI8),0)</f>
        <v>0</v>
      </c>
      <c r="CC8" s="311">
        <f>IF($BI8&lt;&gt;"",IF('Capacity summary'!$D$14="Yes",IF(COUNTBLANK('Capacity summary'!$H127:$BG127)&lt;52,IF('Capacity summary'!Z127&lt;&gt;"",IF(LOWER('Capacity summary'!Z127)="x",$BI8*Z8,VALUE('Capacity summary'!Z127)),0),Z8*$BI8),Z8*$BI8),0)</f>
        <v>0</v>
      </c>
      <c r="CD8" s="311">
        <f>IF($BI8&lt;&gt;"",IF('Capacity summary'!$D$14="Yes",IF(COUNTBLANK('Capacity summary'!$H127:$BG127)&lt;52,IF('Capacity summary'!AA127&lt;&gt;"",IF(LOWER('Capacity summary'!AA127)="x",$BI8*AA8,VALUE('Capacity summary'!AA127)),0),AA8*$BI8),AA8*$BI8),0)</f>
        <v>0</v>
      </c>
      <c r="CE8" s="311">
        <f>IF($BI8&lt;&gt;"",IF('Capacity summary'!$D$14="Yes",IF(COUNTBLANK('Capacity summary'!$H127:$BG127)&lt;52,IF('Capacity summary'!AB127&lt;&gt;"",IF(LOWER('Capacity summary'!AB127)="x",$BI8*AB8,VALUE('Capacity summary'!AB127)),0),AB8*$BI8),AB8*$BI8),0)</f>
        <v>0</v>
      </c>
      <c r="CF8" s="311">
        <f>IF($BI8&lt;&gt;"",IF('Capacity summary'!$D$14="Yes",IF(COUNTBLANK('Capacity summary'!$H127:$BG127)&lt;52,IF('Capacity summary'!AC127&lt;&gt;"",IF(LOWER('Capacity summary'!AC127)="x",$BI8*AC8,VALUE('Capacity summary'!AC127)),0),AC8*$BI8),AC8*$BI8),0)</f>
        <v>0</v>
      </c>
      <c r="CG8" s="311">
        <f>IF($BI8&lt;&gt;"",IF('Capacity summary'!$D$14="Yes",IF(COUNTBLANK('Capacity summary'!$H127:$BG127)&lt;52,IF('Capacity summary'!AD127&lt;&gt;"",IF(LOWER('Capacity summary'!AD127)="x",$BI8*AD8,VALUE('Capacity summary'!AD127)),0),AD8*$BI8),AD8*$BI8),0)</f>
        <v>0</v>
      </c>
      <c r="CH8" s="311">
        <f>IF($BI8&lt;&gt;"",IF('Capacity summary'!$D$14="Yes",IF(COUNTBLANK('Capacity summary'!$H127:$BG127)&lt;52,IF('Capacity summary'!AE127&lt;&gt;"",IF(LOWER('Capacity summary'!AE127)="x",$BI8*AE8,VALUE('Capacity summary'!AE127)),0),AE8*$BI8),AE8*$BI8),0)</f>
        <v>0</v>
      </c>
      <c r="CI8" s="311">
        <f>IF($BI8&lt;&gt;"",IF('Capacity summary'!$D$14="Yes",IF(COUNTBLANK('Capacity summary'!$H127:$BG127)&lt;52,IF('Capacity summary'!AF127&lt;&gt;"",IF(LOWER('Capacity summary'!AF127)="x",$BI8*AF8,VALUE('Capacity summary'!AF127)),0),AF8*$BI8),AF8*$BI8),0)</f>
        <v>0</v>
      </c>
      <c r="CJ8" s="311">
        <f>IF($BI8&lt;&gt;"",IF('Capacity summary'!$D$14="Yes",IF(COUNTBLANK('Capacity summary'!$H127:$BG127)&lt;52,IF('Capacity summary'!AG127&lt;&gt;"",IF(LOWER('Capacity summary'!AG127)="x",$BI8*AG8,VALUE('Capacity summary'!AG127)),0),AG8*$BI8),AG8*$BI8),0)</f>
        <v>0</v>
      </c>
      <c r="CK8" s="311">
        <f>IF($BI8&lt;&gt;"",IF('Capacity summary'!$D$14="Yes",IF(COUNTBLANK('Capacity summary'!$H127:$BG127)&lt;52,IF('Capacity summary'!AH127&lt;&gt;"",IF(LOWER('Capacity summary'!AH127)="x",$BI8*AH8,VALUE('Capacity summary'!AH127)),0),AH8*$BI8),AH8*$BI8),0)</f>
        <v>0</v>
      </c>
      <c r="CL8" s="311">
        <f>IF($BI8&lt;&gt;"",IF('Capacity summary'!$D$14="Yes",IF(COUNTBLANK('Capacity summary'!$H127:$BG127)&lt;52,IF('Capacity summary'!AI127&lt;&gt;"",IF(LOWER('Capacity summary'!AI127)="x",$BI8*AI8,VALUE('Capacity summary'!AI127)),0),AI8*$BI8),AI8*$BI8),0)</f>
        <v>0</v>
      </c>
      <c r="CM8" s="311">
        <f>IF($BI8&lt;&gt;"",IF('Capacity summary'!$D$14="Yes",IF(COUNTBLANK('Capacity summary'!$H127:$BG127)&lt;52,IF('Capacity summary'!AJ127&lt;&gt;"",IF(LOWER('Capacity summary'!AJ127)="x",$BI8*AJ8,VALUE('Capacity summary'!AJ127)),0),AJ8*$BI8),AJ8*$BI8),0)</f>
        <v>0</v>
      </c>
      <c r="CN8" s="311">
        <f>IF($BI8&lt;&gt;"",IF('Capacity summary'!$D$14="Yes",IF(COUNTBLANK('Capacity summary'!$H127:$BG127)&lt;52,IF('Capacity summary'!AK127&lt;&gt;"",IF(LOWER('Capacity summary'!AK127)="x",$BI8*AK8,VALUE('Capacity summary'!AK127)),0),AK8*$BI8),AK8*$BI8),0)</f>
        <v>0</v>
      </c>
      <c r="CO8" s="311">
        <f>IF($BI8&lt;&gt;"",IF('Capacity summary'!$D$14="Yes",IF(COUNTBLANK('Capacity summary'!$H127:$BG127)&lt;52,IF('Capacity summary'!AL127&lt;&gt;"",IF(LOWER('Capacity summary'!AL127)="x",$BI8*AL8,VALUE('Capacity summary'!AL127)),0),AL8*$BI8),AL8*$BI8),0)</f>
        <v>0</v>
      </c>
      <c r="CP8" s="311">
        <f>IF($BI8&lt;&gt;"",IF('Capacity summary'!$D$14="Yes",IF(COUNTBLANK('Capacity summary'!$H127:$BG127)&lt;52,IF('Capacity summary'!AM127&lt;&gt;"",IF(LOWER('Capacity summary'!AM127)="x",$BI8*AM8,VALUE('Capacity summary'!AM127)),0),AM8*$BI8),AM8*$BI8),0)</f>
        <v>0</v>
      </c>
      <c r="CQ8" s="311">
        <f>IF($BI8&lt;&gt;"",IF('Capacity summary'!$D$14="Yes",IF(COUNTBLANK('Capacity summary'!$H127:$BG127)&lt;52,IF('Capacity summary'!AN127&lt;&gt;"",IF(LOWER('Capacity summary'!AN127)="x",$BI8*AN8,VALUE('Capacity summary'!AN127)),0),AN8*$BI8),AN8*$BI8),0)</f>
        <v>0</v>
      </c>
      <c r="CR8" s="311">
        <f>IF($BI8&lt;&gt;"",IF('Capacity summary'!$D$14="Yes",IF(COUNTBLANK('Capacity summary'!$H127:$BG127)&lt;52,IF('Capacity summary'!AO127&lt;&gt;"",IF(LOWER('Capacity summary'!AO127)="x",$BI8*AO8,VALUE('Capacity summary'!AO127)),0),AO8*$BI8),AO8*$BI8),0)</f>
        <v>0</v>
      </c>
      <c r="CS8" s="311">
        <f>IF($BI8&lt;&gt;"",IF('Capacity summary'!$D$14="Yes",IF(COUNTBLANK('Capacity summary'!$H127:$BG127)&lt;52,IF('Capacity summary'!AP127&lt;&gt;"",IF(LOWER('Capacity summary'!AP127)="x",$BI8*AP8,VALUE('Capacity summary'!AP127)),0),AP8*$BI8),AP8*$BI8),0)</f>
        <v>0</v>
      </c>
      <c r="CT8" s="311">
        <f>IF($BI8&lt;&gt;"",IF('Capacity summary'!$D$14="Yes",IF(COUNTBLANK('Capacity summary'!$H127:$BG127)&lt;52,IF('Capacity summary'!AQ127&lt;&gt;"",IF(LOWER('Capacity summary'!AQ127)="x",$BI8*AQ8,VALUE('Capacity summary'!AQ127)),0),AQ8*$BI8),AQ8*$BI8),0)</f>
        <v>0</v>
      </c>
      <c r="CU8" s="311">
        <f>IF($BI8&lt;&gt;"",IF('Capacity summary'!$D$14="Yes",IF(COUNTBLANK('Capacity summary'!$H127:$BG127)&lt;52,IF('Capacity summary'!AR127&lt;&gt;"",IF(LOWER('Capacity summary'!AR127)="x",$BI8*AR8,VALUE('Capacity summary'!AR127)),0),AR8*$BI8),AR8*$BI8),0)</f>
        <v>0</v>
      </c>
      <c r="CV8" s="311">
        <f>IF($BI8&lt;&gt;"",IF('Capacity summary'!$D$14="Yes",IF(COUNTBLANK('Capacity summary'!$H127:$BG127)&lt;52,IF('Capacity summary'!AS127&lt;&gt;"",IF(LOWER('Capacity summary'!AS127)="x",$BI8*AS8,VALUE('Capacity summary'!AS127)),0),AS8*$BI8),AS8*$BI8),0)</f>
        <v>0</v>
      </c>
      <c r="CW8" s="311">
        <f>IF($BI8&lt;&gt;"",IF('Capacity summary'!$D$14="Yes",IF(COUNTBLANK('Capacity summary'!$H127:$BG127)&lt;52,IF('Capacity summary'!AT127&lt;&gt;"",IF(LOWER('Capacity summary'!AT127)="x",$BI8*AT8,VALUE('Capacity summary'!AT127)),0),AT8*$BI8),AT8*$BI8),0)</f>
        <v>0</v>
      </c>
      <c r="CX8" s="311">
        <f>IF($BI8&lt;&gt;"",IF('Capacity summary'!$D$14="Yes",IF(COUNTBLANK('Capacity summary'!$H127:$BG127)&lt;52,IF('Capacity summary'!AU127&lt;&gt;"",IF(LOWER('Capacity summary'!AU127)="x",$BI8*AU8,VALUE('Capacity summary'!AU127)),0),AU8*$BI8),AU8*$BI8),0)</f>
        <v>0</v>
      </c>
      <c r="CY8" s="311">
        <f>IF($BI8&lt;&gt;"",IF('Capacity summary'!$D$14="Yes",IF(COUNTBLANK('Capacity summary'!$H127:$BG127)&lt;52,IF('Capacity summary'!AV127&lt;&gt;"",IF(LOWER('Capacity summary'!AV127)="x",$BI8*AV8,VALUE('Capacity summary'!AV127)),0),AV8*$BI8),AV8*$BI8),0)</f>
        <v>0</v>
      </c>
      <c r="CZ8" s="311">
        <f>IF($BI8&lt;&gt;"",IF('Capacity summary'!$D$14="Yes",IF(COUNTBLANK('Capacity summary'!$H127:$BG127)&lt;52,IF('Capacity summary'!AW127&lt;&gt;"",IF(LOWER('Capacity summary'!AW127)="x",$BI8*AW8,VALUE('Capacity summary'!AW127)),0),AW8*$BI8),AW8*$BI8),0)</f>
        <v>0</v>
      </c>
      <c r="DA8" s="311">
        <f>IF($BI8&lt;&gt;"",IF('Capacity summary'!$D$14="Yes",IF(COUNTBLANK('Capacity summary'!$H127:$BG127)&lt;52,IF('Capacity summary'!AX127&lt;&gt;"",IF(LOWER('Capacity summary'!AX127)="x",$BI8*AX8,VALUE('Capacity summary'!AX127)),0),AX8*$BI8),AX8*$BI8),0)</f>
        <v>0</v>
      </c>
      <c r="DB8" s="311">
        <f>IF($BI8&lt;&gt;"",IF('Capacity summary'!$D$14="Yes",IF(COUNTBLANK('Capacity summary'!$H127:$BG127)&lt;52,IF('Capacity summary'!AY127&lt;&gt;"",IF(LOWER('Capacity summary'!AY127)="x",$BI8*AY8,VALUE('Capacity summary'!AY127)),0),AY8*$BI8),AY8*$BI8),0)</f>
        <v>0</v>
      </c>
      <c r="DC8" s="311">
        <f>IF($BI8&lt;&gt;"",IF('Capacity summary'!$D$14="Yes",IF(COUNTBLANK('Capacity summary'!$H127:$BG127)&lt;52,IF('Capacity summary'!AZ127&lt;&gt;"",IF(LOWER('Capacity summary'!AZ127)="x",$BI8*AZ8,VALUE('Capacity summary'!AZ127)),0),AZ8*$BI8),AZ8*$BI8),0)</f>
        <v>0</v>
      </c>
      <c r="DD8" s="311">
        <f>IF($BI8&lt;&gt;"",IF('Capacity summary'!$D$14="Yes",IF(COUNTBLANK('Capacity summary'!$H127:$BG127)&lt;52,IF('Capacity summary'!BA127&lt;&gt;"",IF(LOWER('Capacity summary'!BA127)="x",$BI8*BA8,VALUE('Capacity summary'!BA127)),0),BA8*$BI8),BA8*$BI8),0)</f>
        <v>0</v>
      </c>
      <c r="DE8" s="311">
        <f>IF($BI8&lt;&gt;"",IF('Capacity summary'!$D$14="Yes",IF(COUNTBLANK('Capacity summary'!$H127:$BG127)&lt;52,IF('Capacity summary'!BB127&lt;&gt;"",IF(LOWER('Capacity summary'!BB127)="x",$BI8*BB8,VALUE('Capacity summary'!BB127)),0),BB8*$BI8),BB8*$BI8),0)</f>
        <v>0</v>
      </c>
      <c r="DF8" s="311">
        <f>IF($BI8&lt;&gt;"",IF('Capacity summary'!$D$14="Yes",IF(COUNTBLANK('Capacity summary'!$H127:$BG127)&lt;52,IF('Capacity summary'!BC127&lt;&gt;"",IF(LOWER('Capacity summary'!BC127)="x",$BI8*BC8,VALUE('Capacity summary'!BC127)),0),BC8*$BI8),BC8*$BI8),0)</f>
        <v>0</v>
      </c>
      <c r="DG8" s="311">
        <f>IF($BI8&lt;&gt;"",IF('Capacity summary'!$D$14="Yes",IF(COUNTBLANK('Capacity summary'!$H127:$BG127)&lt;52,IF('Capacity summary'!BD127&lt;&gt;"",IF(LOWER('Capacity summary'!BD127)="x",$BI8*BD8,VALUE('Capacity summary'!BD127)),0),BD8*$BI8),BD8*$BI8),0)</f>
        <v>0</v>
      </c>
      <c r="DH8" s="311">
        <f>IF($BI8&lt;&gt;"",IF('Capacity summary'!$D$14="Yes",IF(COUNTBLANK('Capacity summary'!$H127:$BG127)&lt;52,IF('Capacity summary'!BE127&lt;&gt;"",IF(LOWER('Capacity summary'!BE127)="x",$BI8*BE8,VALUE('Capacity summary'!BE127)),0),BE8*$BI8),BE8*$BI8),0)</f>
        <v>0</v>
      </c>
      <c r="DI8" s="311">
        <f>IF($BI8&lt;&gt;"",IF('Capacity summary'!$D$14="Yes",IF(COUNTBLANK('Capacity summary'!$H127:$BG127)&lt;52,IF('Capacity summary'!BF127&lt;&gt;"",IF(LOWER('Capacity summary'!BF127)="x",$BI8*BF8,VALUE('Capacity summary'!BF127)),0),BF8*$BI8),BF8*$BI8),0)</f>
        <v>0</v>
      </c>
      <c r="DJ8" s="311">
        <f>IF($BI8&lt;&gt;"",IF('Capacity summary'!$D$14="Yes",IF(COUNTBLANK('Capacity summary'!$H127:$BG127)&lt;52,IF('Capacity summary'!BG127&lt;&gt;"",IF(LOWER('Capacity summary'!BG127)="x",$BI8*BG8,VALUE('Capacity summary'!BG127)),0),BG8*$BI8),BG8*$BI8),0)</f>
        <v>0</v>
      </c>
      <c r="DK8" s="391">
        <f t="shared" si="2"/>
        <v>0</v>
      </c>
      <c r="DL8" s="136">
        <f t="shared" si="3"/>
        <v>0</v>
      </c>
      <c r="DM8" s="311" t="str">
        <f>Capacity!H20</f>
        <v/>
      </c>
      <c r="DQ8" s="5"/>
    </row>
    <row r="9" spans="1:121" x14ac:dyDescent="0.2">
      <c r="A9" s="67">
        <f>IF(Capacity!L21='Capacity summary'!BI128,1,0)</f>
        <v>1</v>
      </c>
      <c r="B9" s="67">
        <f>IF(Capacity!V21='Capacity summary'!BI28,1,0)</f>
        <v>1</v>
      </c>
      <c r="C9" s="67" t="str">
        <f>ROW(A5)&amp;". "&amp;Capacity!B21</f>
        <v xml:space="preserve">5. </v>
      </c>
      <c r="D9" s="67">
        <f>'Capacity setup'!C16</f>
        <v>0</v>
      </c>
      <c r="E9" s="67">
        <f>'Capacity setup'!D16</f>
        <v>0</v>
      </c>
      <c r="F9" s="67">
        <f>'Capacity setup'!E16</f>
        <v>0</v>
      </c>
      <c r="H9" s="67">
        <f ca="1">IF(LOWER(Capacity!$L21)="x",IF(AND(SUMIF(Capacity_Resource,$D9,'Critical resources (hide)'!U$6:U$105)+SUMIF(Capacity_Resource,$E9,'Critical resources (hide)'!U$6:U$105)+SUMIF(Capacity_Resource,$F9,'Critical resources (hide)'!U$6:U$105)&gt;0,$E$1=2),0,1),0)</f>
        <v>1</v>
      </c>
      <c r="I9" s="67">
        <f ca="1">IF(LOWER(Capacity!$L21)="x",IF(AND(SUMIF(Capacity_Resource,$D9,'Critical resources (hide)'!V$6:V$105)+SUMIF(Capacity_Resource,$E9,'Critical resources (hide)'!V$6:V$105)+SUMIF(Capacity_Resource,$F9,'Critical resources (hide)'!V$6:V$105)&gt;0,$E$1=2),0,1),0)</f>
        <v>1</v>
      </c>
      <c r="J9" s="67">
        <f ca="1">IF(LOWER(Capacity!$L21)="x",IF(AND(SUMIF(Capacity_Resource,$D9,'Critical resources (hide)'!W$6:W$105)+SUMIF(Capacity_Resource,$E9,'Critical resources (hide)'!W$6:W$105)+SUMIF(Capacity_Resource,$F9,'Critical resources (hide)'!W$6:W$105)&gt;0,$E$1=2),0,1),0)</f>
        <v>1</v>
      </c>
      <c r="K9" s="67">
        <f ca="1">IF(LOWER(Capacity!$L21)="x",IF(AND(SUMIF(Capacity_Resource,$D9,'Critical resources (hide)'!X$6:X$105)+SUMIF(Capacity_Resource,$E9,'Critical resources (hide)'!X$6:X$105)+SUMIF(Capacity_Resource,$F9,'Critical resources (hide)'!X$6:X$105)&gt;0,$E$1=2),0,1),0)</f>
        <v>1</v>
      </c>
      <c r="L9" s="67">
        <f ca="1">IF(LOWER(Capacity!$L21)="x",IF(AND(SUMIF(Capacity_Resource,$D9,'Critical resources (hide)'!Y$6:Y$105)+SUMIF(Capacity_Resource,$E9,'Critical resources (hide)'!Y$6:Y$105)+SUMIF(Capacity_Resource,$F9,'Critical resources (hide)'!Y$6:Y$105)&gt;0,$E$1=2),0,1),0)</f>
        <v>1</v>
      </c>
      <c r="M9" s="67">
        <f ca="1">IF(LOWER(Capacity!$L21)="x",IF(AND(SUMIF(Capacity_Resource,$D9,'Critical resources (hide)'!Z$6:Z$105)+SUMIF(Capacity_Resource,$E9,'Critical resources (hide)'!Z$6:Z$105)+SUMIF(Capacity_Resource,$F9,'Critical resources (hide)'!Z$6:Z$105)&gt;0,$E$1=2),0,1),0)</f>
        <v>1</v>
      </c>
      <c r="N9" s="67">
        <f ca="1">IF(LOWER(Capacity!$L21)="x",IF(AND(SUMIF(Capacity_Resource,$D9,'Critical resources (hide)'!AA$6:AA$105)+SUMIF(Capacity_Resource,$E9,'Critical resources (hide)'!AA$6:AA$105)+SUMIF(Capacity_Resource,$F9,'Critical resources (hide)'!AA$6:AA$105)&gt;0,$E$1=2),0,1),0)</f>
        <v>1</v>
      </c>
      <c r="O9" s="67">
        <f ca="1">IF(LOWER(Capacity!$L21)="x",IF(AND(SUMIF(Capacity_Resource,$D9,'Critical resources (hide)'!AB$6:AB$105)+SUMIF(Capacity_Resource,$E9,'Critical resources (hide)'!AB$6:AB$105)+SUMIF(Capacity_Resource,$F9,'Critical resources (hide)'!AB$6:AB$105)&gt;0,$E$1=2),0,1),0)</f>
        <v>1</v>
      </c>
      <c r="P9" s="67">
        <f ca="1">IF(LOWER(Capacity!$L21)="x",IF(AND(SUMIF(Capacity_Resource,$D9,'Critical resources (hide)'!AC$6:AC$105)+SUMIF(Capacity_Resource,$E9,'Critical resources (hide)'!AC$6:AC$105)+SUMIF(Capacity_Resource,$F9,'Critical resources (hide)'!AC$6:AC$105)&gt;0,$E$1=2),0,1),0)</f>
        <v>1</v>
      </c>
      <c r="Q9" s="67">
        <f ca="1">IF(LOWER(Capacity!$L21)="x",IF(AND(SUMIF(Capacity_Resource,$D9,'Critical resources (hide)'!AD$6:AD$105)+SUMIF(Capacity_Resource,$E9,'Critical resources (hide)'!AD$6:AD$105)+SUMIF(Capacity_Resource,$F9,'Critical resources (hide)'!AD$6:AD$105)&gt;0,$E$1=2),0,1),0)</f>
        <v>1</v>
      </c>
      <c r="R9" s="67">
        <f ca="1">IF(LOWER(Capacity!$L21)="x",IF(AND(SUMIF(Capacity_Resource,$D9,'Critical resources (hide)'!AE$6:AE$105)+SUMIF(Capacity_Resource,$E9,'Critical resources (hide)'!AE$6:AE$105)+SUMIF(Capacity_Resource,$F9,'Critical resources (hide)'!AE$6:AE$105)&gt;0,$E$1=2),0,1),0)</f>
        <v>1</v>
      </c>
      <c r="S9" s="67">
        <f ca="1">IF(LOWER(Capacity!$L21)="x",IF(AND(SUMIF(Capacity_Resource,$D9,'Critical resources (hide)'!AF$6:AF$105)+SUMIF(Capacity_Resource,$E9,'Critical resources (hide)'!AF$6:AF$105)+SUMIF(Capacity_Resource,$F9,'Critical resources (hide)'!AF$6:AF$105)&gt;0,$E$1=2),0,1),0)</f>
        <v>1</v>
      </c>
      <c r="T9" s="67">
        <f ca="1">IF(LOWER(Capacity!$L21)="x",IF(AND(SUMIF(Capacity_Resource,$D9,'Critical resources (hide)'!AG$6:AG$105)+SUMIF(Capacity_Resource,$E9,'Critical resources (hide)'!AG$6:AG$105)+SUMIF(Capacity_Resource,$F9,'Critical resources (hide)'!AG$6:AG$105)&gt;0,$E$1=2),0,1),0)</f>
        <v>1</v>
      </c>
      <c r="U9" s="67">
        <f ca="1">IF(LOWER(Capacity!$L21)="x",IF(AND(SUMIF(Capacity_Resource,$D9,'Critical resources (hide)'!AH$6:AH$105)+SUMIF(Capacity_Resource,$E9,'Critical resources (hide)'!AH$6:AH$105)+SUMIF(Capacity_Resource,$F9,'Critical resources (hide)'!AH$6:AH$105)&gt;0,$E$1=2),0,1),0)</f>
        <v>1</v>
      </c>
      <c r="V9" s="67">
        <f ca="1">IF(LOWER(Capacity!$L21)="x",IF(AND(SUMIF(Capacity_Resource,$D9,'Critical resources (hide)'!AI$6:AI$105)+SUMIF(Capacity_Resource,$E9,'Critical resources (hide)'!AI$6:AI$105)+SUMIF(Capacity_Resource,$F9,'Critical resources (hide)'!AI$6:AI$105)&gt;0,$E$1=2),0,1),0)</f>
        <v>1</v>
      </c>
      <c r="W9" s="67">
        <f ca="1">IF(LOWER(Capacity!$L21)="x",IF(AND(SUMIF(Capacity_Resource,$D9,'Critical resources (hide)'!AJ$6:AJ$105)+SUMIF(Capacity_Resource,$E9,'Critical resources (hide)'!AJ$6:AJ$105)+SUMIF(Capacity_Resource,$F9,'Critical resources (hide)'!AJ$6:AJ$105)&gt;0,$E$1=2),0,1),0)</f>
        <v>1</v>
      </c>
      <c r="X9" s="67">
        <f ca="1">IF(LOWER(Capacity!$L21)="x",IF(AND(SUMIF(Capacity_Resource,$D9,'Critical resources (hide)'!AK$6:AK$105)+SUMIF(Capacity_Resource,$E9,'Critical resources (hide)'!AK$6:AK$105)+SUMIF(Capacity_Resource,$F9,'Critical resources (hide)'!AK$6:AK$105)&gt;0,$E$1=2),0,1),0)</f>
        <v>1</v>
      </c>
      <c r="Y9" s="67">
        <f ca="1">IF(LOWER(Capacity!$L21)="x",IF(AND(SUMIF(Capacity_Resource,$D9,'Critical resources (hide)'!AL$6:AL$105)+SUMIF(Capacity_Resource,$E9,'Critical resources (hide)'!AL$6:AL$105)+SUMIF(Capacity_Resource,$F9,'Critical resources (hide)'!AL$6:AL$105)&gt;0,$E$1=2),0,1),0)</f>
        <v>1</v>
      </c>
      <c r="Z9" s="67">
        <f ca="1">IF(LOWER(Capacity!$L21)="x",IF(AND(SUMIF(Capacity_Resource,$D9,'Critical resources (hide)'!AM$6:AM$105)+SUMIF(Capacity_Resource,$E9,'Critical resources (hide)'!AM$6:AM$105)+SUMIF(Capacity_Resource,$F9,'Critical resources (hide)'!AM$6:AM$105)&gt;0,$E$1=2),0,1),0)</f>
        <v>1</v>
      </c>
      <c r="AA9" s="67">
        <f ca="1">IF(LOWER(Capacity!$L21)="x",IF(AND(SUMIF(Capacity_Resource,$D9,'Critical resources (hide)'!AN$6:AN$105)+SUMIF(Capacity_Resource,$E9,'Critical resources (hide)'!AN$6:AN$105)+SUMIF(Capacity_Resource,$F9,'Critical resources (hide)'!AN$6:AN$105)&gt;0,$E$1=2),0,1),0)</f>
        <v>1</v>
      </c>
      <c r="AB9" s="67">
        <f ca="1">IF(LOWER(Capacity!$L21)="x",IF(AND(SUMIF(Capacity_Resource,$D9,'Critical resources (hide)'!AO$6:AO$105)+SUMIF(Capacity_Resource,$E9,'Critical resources (hide)'!AO$6:AO$105)+SUMIF(Capacity_Resource,$F9,'Critical resources (hide)'!AO$6:AO$105)&gt;0,$E$1=2),0,1),0)</f>
        <v>1</v>
      </c>
      <c r="AC9" s="67">
        <f ca="1">IF(LOWER(Capacity!$L21)="x",IF(AND(SUMIF(Capacity_Resource,$D9,'Critical resources (hide)'!AP$6:AP$105)+SUMIF(Capacity_Resource,$E9,'Critical resources (hide)'!AP$6:AP$105)+SUMIF(Capacity_Resource,$F9,'Critical resources (hide)'!AP$6:AP$105)&gt;0,$E$1=2),0,1),0)</f>
        <v>1</v>
      </c>
      <c r="AD9" s="67">
        <f ca="1">IF(LOWER(Capacity!$L21)="x",IF(AND(SUMIF(Capacity_Resource,$D9,'Critical resources (hide)'!AQ$6:AQ$105)+SUMIF(Capacity_Resource,$E9,'Critical resources (hide)'!AQ$6:AQ$105)+SUMIF(Capacity_Resource,$F9,'Critical resources (hide)'!AQ$6:AQ$105)&gt;0,$E$1=2),0,1),0)</f>
        <v>1</v>
      </c>
      <c r="AE9" s="67">
        <f ca="1">IF(LOWER(Capacity!$L21)="x",IF(AND(SUMIF(Capacity_Resource,$D9,'Critical resources (hide)'!AR$6:AR$105)+SUMIF(Capacity_Resource,$E9,'Critical resources (hide)'!AR$6:AR$105)+SUMIF(Capacity_Resource,$F9,'Critical resources (hide)'!AR$6:AR$105)&gt;0,$E$1=2),0,1),0)</f>
        <v>1</v>
      </c>
      <c r="AF9" s="67">
        <f ca="1">IF(LOWER(Capacity!$L21)="x",IF(AND(SUMIF(Capacity_Resource,$D9,'Critical resources (hide)'!AS$6:AS$105)+SUMIF(Capacity_Resource,$E9,'Critical resources (hide)'!AS$6:AS$105)+SUMIF(Capacity_Resource,$F9,'Critical resources (hide)'!AS$6:AS$105)&gt;0,$E$1=2),0,1),0)</f>
        <v>1</v>
      </c>
      <c r="AG9" s="67">
        <f ca="1">IF(LOWER(Capacity!$L21)="x",IF(AND(SUMIF(Capacity_Resource,$D9,'Critical resources (hide)'!AT$6:AT$105)+SUMIF(Capacity_Resource,$E9,'Critical resources (hide)'!AT$6:AT$105)+SUMIF(Capacity_Resource,$F9,'Critical resources (hide)'!AT$6:AT$105)&gt;0,$E$1=2),0,1),0)</f>
        <v>1</v>
      </c>
      <c r="AH9" s="67">
        <f ca="1">IF(LOWER(Capacity!$L21)="x",IF(AND(SUMIF(Capacity_Resource,$D9,'Critical resources (hide)'!AU$6:AU$105)+SUMIF(Capacity_Resource,$E9,'Critical resources (hide)'!AU$6:AU$105)+SUMIF(Capacity_Resource,$F9,'Critical resources (hide)'!AU$6:AU$105)&gt;0,$E$1=2),0,1),0)</f>
        <v>1</v>
      </c>
      <c r="AI9" s="67">
        <f ca="1">IF(LOWER(Capacity!$L21)="x",IF(AND(SUMIF(Capacity_Resource,$D9,'Critical resources (hide)'!AV$6:AV$105)+SUMIF(Capacity_Resource,$E9,'Critical resources (hide)'!AV$6:AV$105)+SUMIF(Capacity_Resource,$F9,'Critical resources (hide)'!AV$6:AV$105)&gt;0,$E$1=2),0,1),0)</f>
        <v>1</v>
      </c>
      <c r="AJ9" s="67">
        <f ca="1">IF(LOWER(Capacity!$L21)="x",IF(AND(SUMIF(Capacity_Resource,$D9,'Critical resources (hide)'!AW$6:AW$105)+SUMIF(Capacity_Resource,$E9,'Critical resources (hide)'!AW$6:AW$105)+SUMIF(Capacity_Resource,$F9,'Critical resources (hide)'!AW$6:AW$105)&gt;0,$E$1=2),0,1),0)</f>
        <v>1</v>
      </c>
      <c r="AK9" s="67">
        <f ca="1">IF(LOWER(Capacity!$L21)="x",IF(AND(SUMIF(Capacity_Resource,$D9,'Critical resources (hide)'!AX$6:AX$105)+SUMIF(Capacity_Resource,$E9,'Critical resources (hide)'!AX$6:AX$105)+SUMIF(Capacity_Resource,$F9,'Critical resources (hide)'!AX$6:AX$105)&gt;0,$E$1=2),0,1),0)</f>
        <v>1</v>
      </c>
      <c r="AL9" s="67">
        <f ca="1">IF(LOWER(Capacity!$L21)="x",IF(AND(SUMIF(Capacity_Resource,$D9,'Critical resources (hide)'!AY$6:AY$105)+SUMIF(Capacity_Resource,$E9,'Critical resources (hide)'!AY$6:AY$105)+SUMIF(Capacity_Resource,$F9,'Critical resources (hide)'!AY$6:AY$105)&gt;0,$E$1=2),0,1),0)</f>
        <v>1</v>
      </c>
      <c r="AM9" s="67">
        <f ca="1">IF(LOWER(Capacity!$L21)="x",IF(AND(SUMIF(Capacity_Resource,$D9,'Critical resources (hide)'!AZ$6:AZ$105)+SUMIF(Capacity_Resource,$E9,'Critical resources (hide)'!AZ$6:AZ$105)+SUMIF(Capacity_Resource,$F9,'Critical resources (hide)'!AZ$6:AZ$105)&gt;0,$E$1=2),0,1),0)</f>
        <v>1</v>
      </c>
      <c r="AN9" s="67">
        <f ca="1">IF(LOWER(Capacity!$L21)="x",IF(AND(SUMIF(Capacity_Resource,$D9,'Critical resources (hide)'!BA$6:BA$105)+SUMIF(Capacity_Resource,$E9,'Critical resources (hide)'!BA$6:BA$105)+SUMIF(Capacity_Resource,$F9,'Critical resources (hide)'!BA$6:BA$105)&gt;0,$E$1=2),0,1),0)</f>
        <v>1</v>
      </c>
      <c r="AO9" s="67">
        <f ca="1">IF(LOWER(Capacity!$L21)="x",IF(AND(SUMIF(Capacity_Resource,$D9,'Critical resources (hide)'!BB$6:BB$105)+SUMIF(Capacity_Resource,$E9,'Critical resources (hide)'!BB$6:BB$105)+SUMIF(Capacity_Resource,$F9,'Critical resources (hide)'!BB$6:BB$105)&gt;0,$E$1=2),0,1),0)</f>
        <v>1</v>
      </c>
      <c r="AP9" s="67">
        <f ca="1">IF(LOWER(Capacity!$L21)="x",IF(AND(SUMIF(Capacity_Resource,$D9,'Critical resources (hide)'!BC$6:BC$105)+SUMIF(Capacity_Resource,$E9,'Critical resources (hide)'!BC$6:BC$105)+SUMIF(Capacity_Resource,$F9,'Critical resources (hide)'!BC$6:BC$105)&gt;0,$E$1=2),0,1),0)</f>
        <v>1</v>
      </c>
      <c r="AQ9" s="67">
        <f ca="1">IF(LOWER(Capacity!$L21)="x",IF(AND(SUMIF(Capacity_Resource,$D9,'Critical resources (hide)'!BD$6:BD$105)+SUMIF(Capacity_Resource,$E9,'Critical resources (hide)'!BD$6:BD$105)+SUMIF(Capacity_Resource,$F9,'Critical resources (hide)'!BD$6:BD$105)&gt;0,$E$1=2),0,1),0)</f>
        <v>1</v>
      </c>
      <c r="AR9" s="67">
        <f ca="1">IF(LOWER(Capacity!$L21)="x",IF(AND(SUMIF(Capacity_Resource,$D9,'Critical resources (hide)'!BE$6:BE$105)+SUMIF(Capacity_Resource,$E9,'Critical resources (hide)'!BE$6:BE$105)+SUMIF(Capacity_Resource,$F9,'Critical resources (hide)'!BE$6:BE$105)&gt;0,$E$1=2),0,1),0)</f>
        <v>1</v>
      </c>
      <c r="AS9" s="67">
        <f ca="1">IF(LOWER(Capacity!$L21)="x",IF(AND(SUMIF(Capacity_Resource,$D9,'Critical resources (hide)'!BF$6:BF$105)+SUMIF(Capacity_Resource,$E9,'Critical resources (hide)'!BF$6:BF$105)+SUMIF(Capacity_Resource,$F9,'Critical resources (hide)'!BF$6:BF$105)&gt;0,$E$1=2),0,1),0)</f>
        <v>1</v>
      </c>
      <c r="AT9" s="67">
        <f ca="1">IF(LOWER(Capacity!$L21)="x",IF(AND(SUMIF(Capacity_Resource,$D9,'Critical resources (hide)'!BG$6:BG$105)+SUMIF(Capacity_Resource,$E9,'Critical resources (hide)'!BG$6:BG$105)+SUMIF(Capacity_Resource,$F9,'Critical resources (hide)'!BG$6:BG$105)&gt;0,$E$1=2),0,1),0)</f>
        <v>1</v>
      </c>
      <c r="AU9" s="67">
        <f ca="1">IF(LOWER(Capacity!$L21)="x",IF(AND(SUMIF(Capacity_Resource,$D9,'Critical resources (hide)'!BH$6:BH$105)+SUMIF(Capacity_Resource,$E9,'Critical resources (hide)'!BH$6:BH$105)+SUMIF(Capacity_Resource,$F9,'Critical resources (hide)'!BH$6:BH$105)&gt;0,$E$1=2),0,1),0)</f>
        <v>1</v>
      </c>
      <c r="AV9" s="67">
        <f ca="1">IF(LOWER(Capacity!$L21)="x",IF(AND(SUMIF(Capacity_Resource,$D9,'Critical resources (hide)'!BI$6:BI$105)+SUMIF(Capacity_Resource,$E9,'Critical resources (hide)'!BI$6:BI$105)+SUMIF(Capacity_Resource,$F9,'Critical resources (hide)'!BI$6:BI$105)&gt;0,$E$1=2),0,1),0)</f>
        <v>1</v>
      </c>
      <c r="AW9" s="67">
        <f ca="1">IF(LOWER(Capacity!$L21)="x",IF(AND(SUMIF(Capacity_Resource,$D9,'Critical resources (hide)'!BJ$6:BJ$105)+SUMIF(Capacity_Resource,$E9,'Critical resources (hide)'!BJ$6:BJ$105)+SUMIF(Capacity_Resource,$F9,'Critical resources (hide)'!BJ$6:BJ$105)&gt;0,$E$1=2),0,1),0)</f>
        <v>1</v>
      </c>
      <c r="AX9" s="67">
        <f ca="1">IF(LOWER(Capacity!$L21)="x",IF(AND(SUMIF(Capacity_Resource,$D9,'Critical resources (hide)'!BK$6:BK$105)+SUMIF(Capacity_Resource,$E9,'Critical resources (hide)'!BK$6:BK$105)+SUMIF(Capacity_Resource,$F9,'Critical resources (hide)'!BK$6:BK$105)&gt;0,$E$1=2),0,1),0)</f>
        <v>1</v>
      </c>
      <c r="AY9" s="67">
        <f ca="1">IF(LOWER(Capacity!$L21)="x",IF(AND(SUMIF(Capacity_Resource,$D9,'Critical resources (hide)'!BL$6:BL$105)+SUMIF(Capacity_Resource,$E9,'Critical resources (hide)'!BL$6:BL$105)+SUMIF(Capacity_Resource,$F9,'Critical resources (hide)'!BL$6:BL$105)&gt;0,$E$1=2),0,1),0)</f>
        <v>1</v>
      </c>
      <c r="AZ9" s="67">
        <f ca="1">IF(LOWER(Capacity!$L21)="x",IF(AND(SUMIF(Capacity_Resource,$D9,'Critical resources (hide)'!BM$6:BM$105)+SUMIF(Capacity_Resource,$E9,'Critical resources (hide)'!BM$6:BM$105)+SUMIF(Capacity_Resource,$F9,'Critical resources (hide)'!BM$6:BM$105)&gt;0,$E$1=2),0,1),0)</f>
        <v>1</v>
      </c>
      <c r="BA9" s="67">
        <f ca="1">IF(LOWER(Capacity!$L21)="x",IF(AND(SUMIF(Capacity_Resource,$D9,'Critical resources (hide)'!BN$6:BN$105)+SUMIF(Capacity_Resource,$E9,'Critical resources (hide)'!BN$6:BN$105)+SUMIF(Capacity_Resource,$F9,'Critical resources (hide)'!BN$6:BN$105)&gt;0,$E$1=2),0,1),0)</f>
        <v>1</v>
      </c>
      <c r="BB9" s="67">
        <f ca="1">IF(LOWER(Capacity!$L21)="x",IF(AND(SUMIF(Capacity_Resource,$D9,'Critical resources (hide)'!BO$6:BO$105)+SUMIF(Capacity_Resource,$E9,'Critical resources (hide)'!BO$6:BO$105)+SUMIF(Capacity_Resource,$F9,'Critical resources (hide)'!BO$6:BO$105)&gt;0,$E$1=2),0,1),0)</f>
        <v>1</v>
      </c>
      <c r="BC9" s="67">
        <f ca="1">IF(LOWER(Capacity!$L21)="x",IF(AND(SUMIF(Capacity_Resource,$D9,'Critical resources (hide)'!BP$6:BP$105)+SUMIF(Capacity_Resource,$E9,'Critical resources (hide)'!BP$6:BP$105)+SUMIF(Capacity_Resource,$F9,'Critical resources (hide)'!BP$6:BP$105)&gt;0,$E$1=2),0,1),0)</f>
        <v>1</v>
      </c>
      <c r="BD9" s="67">
        <f ca="1">IF(LOWER(Capacity!$L21)="x",IF(AND(SUMIF(Capacity_Resource,$D9,'Critical resources (hide)'!BQ$6:BQ$105)+SUMIF(Capacity_Resource,$E9,'Critical resources (hide)'!BQ$6:BQ$105)+SUMIF(Capacity_Resource,$F9,'Critical resources (hide)'!BQ$6:BQ$105)&gt;0,$E$1=2),0,1),0)</f>
        <v>1</v>
      </c>
      <c r="BE9" s="67">
        <f ca="1">IF(LOWER(Capacity!$L21)="x",IF(AND(SUMIF(Capacity_Resource,$D9,'Critical resources (hide)'!BR$6:BR$105)+SUMIF(Capacity_Resource,$E9,'Critical resources (hide)'!BR$6:BR$105)+SUMIF(Capacity_Resource,$F9,'Critical resources (hide)'!BR$6:BR$105)&gt;0,$E$1=2),0,1),0)</f>
        <v>1</v>
      </c>
      <c r="BF9" s="67">
        <f ca="1">IF(LOWER(Capacity!$L21)="x",IF(AND(SUMIF(Capacity_Resource,$D9,'Critical resources (hide)'!BS$6:BS$105)+SUMIF(Capacity_Resource,$E9,'Critical resources (hide)'!BS$6:BS$105)+SUMIF(Capacity_Resource,$F9,'Critical resources (hide)'!BS$6:BS$105)&gt;0,$E$1=2),0,1),0)</f>
        <v>1</v>
      </c>
      <c r="BG9" s="67">
        <f ca="1">IF(LOWER(Capacity!$L21)="x",IF(AND(SUMIF(Capacity_Resource,$D9,'Critical resources (hide)'!BT$6:BT$105)+SUMIF(Capacity_Resource,$E9,'Critical resources (hide)'!BT$6:BT$105)+SUMIF(Capacity_Resource,$F9,'Critical resources (hide)'!BT$6:BT$105)&gt;0,$E$1=2),0,1),0)</f>
        <v>1</v>
      </c>
      <c r="BH9" s="67">
        <f>IF(ROW(C5)&lt;=Capacity!$A$16,IF('Capacity summary'!$D$14="No",SUM(H9:BG9),'Capacity summary'!$E128),0)</f>
        <v>0</v>
      </c>
      <c r="BI9" s="5" t="str">
        <f>IF(BH9&gt;0,IF(BH9&lt;Capacity!E21,Capacity!F21,Capacity!H21/'Capacity calculation (hide)'!BH9),"")</f>
        <v/>
      </c>
      <c r="BK9" s="311">
        <f>IF($BI9&lt;&gt;"",IF('Capacity summary'!$D$14="Yes",IF(COUNTBLANK('Capacity summary'!$H128:$BG128)&lt;52,IF('Capacity summary'!H128&lt;&gt;"",IF(LOWER('Capacity summary'!H128)="x",$BI9*H9,VALUE('Capacity summary'!H128)),0),H9*$BI9),H9*$BI9),0)</f>
        <v>0</v>
      </c>
      <c r="BL9" s="311">
        <f>IF($BI9&lt;&gt;"",IF('Capacity summary'!$D$14="Yes",IF(COUNTBLANK('Capacity summary'!$H128:$BG128)&lt;52,IF('Capacity summary'!I128&lt;&gt;"",IF(LOWER('Capacity summary'!I128)="x",$BI9*I9,VALUE('Capacity summary'!I128)),0),I9*$BI9),I9*$BI9),0)</f>
        <v>0</v>
      </c>
      <c r="BM9" s="311">
        <f>IF($BI9&lt;&gt;"",IF('Capacity summary'!$D$14="Yes",IF(COUNTBLANK('Capacity summary'!$H128:$BG128)&lt;52,IF('Capacity summary'!J128&lt;&gt;"",IF(LOWER('Capacity summary'!J128)="x",$BI9*J9,VALUE('Capacity summary'!J128)),0),J9*$BI9),J9*$BI9),0)</f>
        <v>0</v>
      </c>
      <c r="BN9" s="311">
        <f>IF($BI9&lt;&gt;"",IF('Capacity summary'!$D$14="Yes",IF(COUNTBLANK('Capacity summary'!$H128:$BG128)&lt;52,IF('Capacity summary'!K128&lt;&gt;"",IF(LOWER('Capacity summary'!K128)="x",$BI9*K9,VALUE('Capacity summary'!K128)),0),K9*$BI9),K9*$BI9),0)</f>
        <v>0</v>
      </c>
      <c r="BO9" s="311">
        <f>IF($BI9&lt;&gt;"",IF('Capacity summary'!$D$14="Yes",IF(COUNTBLANK('Capacity summary'!$H128:$BG128)&lt;52,IF('Capacity summary'!L128&lt;&gt;"",IF(LOWER('Capacity summary'!L128)="x",$BI9*L9,VALUE('Capacity summary'!L128)),0),L9*$BI9),L9*$BI9),0)</f>
        <v>0</v>
      </c>
      <c r="BP9" s="311">
        <f>IF($BI9&lt;&gt;"",IF('Capacity summary'!$D$14="Yes",IF(COUNTBLANK('Capacity summary'!$H128:$BG128)&lt;52,IF('Capacity summary'!M128&lt;&gt;"",IF(LOWER('Capacity summary'!M128)="x",$BI9*M9,VALUE('Capacity summary'!M128)),0),M9*$BI9),M9*$BI9),0)</f>
        <v>0</v>
      </c>
      <c r="BQ9" s="311">
        <f>IF($BI9&lt;&gt;"",IF('Capacity summary'!$D$14="Yes",IF(COUNTBLANK('Capacity summary'!$H128:$BG128)&lt;52,IF('Capacity summary'!N128&lt;&gt;"",IF(LOWER('Capacity summary'!N128)="x",$BI9*N9,VALUE('Capacity summary'!N128)),0),N9*$BI9),N9*$BI9),0)</f>
        <v>0</v>
      </c>
      <c r="BR9" s="311">
        <f>IF($BI9&lt;&gt;"",IF('Capacity summary'!$D$14="Yes",IF(COUNTBLANK('Capacity summary'!$H128:$BG128)&lt;52,IF('Capacity summary'!O128&lt;&gt;"",IF(LOWER('Capacity summary'!O128)="x",$BI9*O9,VALUE('Capacity summary'!O128)),0),O9*$BI9),O9*$BI9),0)</f>
        <v>0</v>
      </c>
      <c r="BS9" s="311">
        <f>IF($BI9&lt;&gt;"",IF('Capacity summary'!$D$14="Yes",IF(COUNTBLANK('Capacity summary'!$H128:$BG128)&lt;52,IF('Capacity summary'!P128&lt;&gt;"",IF(LOWER('Capacity summary'!P128)="x",$BI9*P9,VALUE('Capacity summary'!P128)),0),P9*$BI9),P9*$BI9),0)</f>
        <v>0</v>
      </c>
      <c r="BT9" s="311">
        <f>IF($BI9&lt;&gt;"",IF('Capacity summary'!$D$14="Yes",IF(COUNTBLANK('Capacity summary'!$H128:$BG128)&lt;52,IF('Capacity summary'!Q128&lt;&gt;"",IF(LOWER('Capacity summary'!Q128)="x",$BI9*Q9,VALUE('Capacity summary'!Q128)),0),Q9*$BI9),Q9*$BI9),0)</f>
        <v>0</v>
      </c>
      <c r="BU9" s="311">
        <f>IF($BI9&lt;&gt;"",IF('Capacity summary'!$D$14="Yes",IF(COUNTBLANK('Capacity summary'!$H128:$BG128)&lt;52,IF('Capacity summary'!R128&lt;&gt;"",IF(LOWER('Capacity summary'!R128)="x",$BI9*R9,VALUE('Capacity summary'!R128)),0),R9*$BI9),R9*$BI9),0)</f>
        <v>0</v>
      </c>
      <c r="BV9" s="311">
        <f>IF($BI9&lt;&gt;"",IF('Capacity summary'!$D$14="Yes",IF(COUNTBLANK('Capacity summary'!$H128:$BG128)&lt;52,IF('Capacity summary'!S128&lt;&gt;"",IF(LOWER('Capacity summary'!S128)="x",$BI9*S9,VALUE('Capacity summary'!S128)),0),S9*$BI9),S9*$BI9),0)</f>
        <v>0</v>
      </c>
      <c r="BW9" s="311">
        <f>IF($BI9&lt;&gt;"",IF('Capacity summary'!$D$14="Yes",IF(COUNTBLANK('Capacity summary'!$H128:$BG128)&lt;52,IF('Capacity summary'!T128&lt;&gt;"",IF(LOWER('Capacity summary'!T128)="x",$BI9*T9,VALUE('Capacity summary'!T128)),0),T9*$BI9),T9*$BI9),0)</f>
        <v>0</v>
      </c>
      <c r="BX9" s="311">
        <f>IF($BI9&lt;&gt;"",IF('Capacity summary'!$D$14="Yes",IF(COUNTBLANK('Capacity summary'!$H128:$BG128)&lt;52,IF('Capacity summary'!U128&lt;&gt;"",IF(LOWER('Capacity summary'!U128)="x",$BI9*U9,VALUE('Capacity summary'!U128)),0),U9*$BI9),U9*$BI9),0)</f>
        <v>0</v>
      </c>
      <c r="BY9" s="311">
        <f>IF($BI9&lt;&gt;"",IF('Capacity summary'!$D$14="Yes",IF(COUNTBLANK('Capacity summary'!$H128:$BG128)&lt;52,IF('Capacity summary'!V128&lt;&gt;"",IF(LOWER('Capacity summary'!V128)="x",$BI9*V9,VALUE('Capacity summary'!V128)),0),V9*$BI9),V9*$BI9),0)</f>
        <v>0</v>
      </c>
      <c r="BZ9" s="311">
        <f>IF($BI9&lt;&gt;"",IF('Capacity summary'!$D$14="Yes",IF(COUNTBLANK('Capacity summary'!$H128:$BG128)&lt;52,IF('Capacity summary'!W128&lt;&gt;"",IF(LOWER('Capacity summary'!W128)="x",$BI9*W9,VALUE('Capacity summary'!W128)),0),W9*$BI9),W9*$BI9),0)</f>
        <v>0</v>
      </c>
      <c r="CA9" s="311">
        <f>IF($BI9&lt;&gt;"",IF('Capacity summary'!$D$14="Yes",IF(COUNTBLANK('Capacity summary'!$H128:$BG128)&lt;52,IF('Capacity summary'!X128&lt;&gt;"",IF(LOWER('Capacity summary'!X128)="x",$BI9*X9,VALUE('Capacity summary'!X128)),0),X9*$BI9),X9*$BI9),0)</f>
        <v>0</v>
      </c>
      <c r="CB9" s="311">
        <f>IF($BI9&lt;&gt;"",IF('Capacity summary'!$D$14="Yes",IF(COUNTBLANK('Capacity summary'!$H128:$BG128)&lt;52,IF('Capacity summary'!Y128&lt;&gt;"",IF(LOWER('Capacity summary'!Y128)="x",$BI9*Y9,VALUE('Capacity summary'!Y128)),0),Y9*$BI9),Y9*$BI9),0)</f>
        <v>0</v>
      </c>
      <c r="CC9" s="311">
        <f>IF($BI9&lt;&gt;"",IF('Capacity summary'!$D$14="Yes",IF(COUNTBLANK('Capacity summary'!$H128:$BG128)&lt;52,IF('Capacity summary'!Z128&lt;&gt;"",IF(LOWER('Capacity summary'!Z128)="x",$BI9*Z9,VALUE('Capacity summary'!Z128)),0),Z9*$BI9),Z9*$BI9),0)</f>
        <v>0</v>
      </c>
      <c r="CD9" s="311">
        <f>IF($BI9&lt;&gt;"",IF('Capacity summary'!$D$14="Yes",IF(COUNTBLANK('Capacity summary'!$H128:$BG128)&lt;52,IF('Capacity summary'!AA128&lt;&gt;"",IF(LOWER('Capacity summary'!AA128)="x",$BI9*AA9,VALUE('Capacity summary'!AA128)),0),AA9*$BI9),AA9*$BI9),0)</f>
        <v>0</v>
      </c>
      <c r="CE9" s="311">
        <f>IF($BI9&lt;&gt;"",IF('Capacity summary'!$D$14="Yes",IF(COUNTBLANK('Capacity summary'!$H128:$BG128)&lt;52,IF('Capacity summary'!AB128&lt;&gt;"",IF(LOWER('Capacity summary'!AB128)="x",$BI9*AB9,VALUE('Capacity summary'!AB128)),0),AB9*$BI9),AB9*$BI9),0)</f>
        <v>0</v>
      </c>
      <c r="CF9" s="311">
        <f>IF($BI9&lt;&gt;"",IF('Capacity summary'!$D$14="Yes",IF(COUNTBLANK('Capacity summary'!$H128:$BG128)&lt;52,IF('Capacity summary'!AC128&lt;&gt;"",IF(LOWER('Capacity summary'!AC128)="x",$BI9*AC9,VALUE('Capacity summary'!AC128)),0),AC9*$BI9),AC9*$BI9),0)</f>
        <v>0</v>
      </c>
      <c r="CG9" s="311">
        <f>IF($BI9&lt;&gt;"",IF('Capacity summary'!$D$14="Yes",IF(COUNTBLANK('Capacity summary'!$H128:$BG128)&lt;52,IF('Capacity summary'!AD128&lt;&gt;"",IF(LOWER('Capacity summary'!AD128)="x",$BI9*AD9,VALUE('Capacity summary'!AD128)),0),AD9*$BI9),AD9*$BI9),0)</f>
        <v>0</v>
      </c>
      <c r="CH9" s="311">
        <f>IF($BI9&lt;&gt;"",IF('Capacity summary'!$D$14="Yes",IF(COUNTBLANK('Capacity summary'!$H128:$BG128)&lt;52,IF('Capacity summary'!AE128&lt;&gt;"",IF(LOWER('Capacity summary'!AE128)="x",$BI9*AE9,VALUE('Capacity summary'!AE128)),0),AE9*$BI9),AE9*$BI9),0)</f>
        <v>0</v>
      </c>
      <c r="CI9" s="311">
        <f>IF($BI9&lt;&gt;"",IF('Capacity summary'!$D$14="Yes",IF(COUNTBLANK('Capacity summary'!$H128:$BG128)&lt;52,IF('Capacity summary'!AF128&lt;&gt;"",IF(LOWER('Capacity summary'!AF128)="x",$BI9*AF9,VALUE('Capacity summary'!AF128)),0),AF9*$BI9),AF9*$BI9),0)</f>
        <v>0</v>
      </c>
      <c r="CJ9" s="311">
        <f>IF($BI9&lt;&gt;"",IF('Capacity summary'!$D$14="Yes",IF(COUNTBLANK('Capacity summary'!$H128:$BG128)&lt;52,IF('Capacity summary'!AG128&lt;&gt;"",IF(LOWER('Capacity summary'!AG128)="x",$BI9*AG9,VALUE('Capacity summary'!AG128)),0),AG9*$BI9),AG9*$BI9),0)</f>
        <v>0</v>
      </c>
      <c r="CK9" s="311">
        <f>IF($BI9&lt;&gt;"",IF('Capacity summary'!$D$14="Yes",IF(COUNTBLANK('Capacity summary'!$H128:$BG128)&lt;52,IF('Capacity summary'!AH128&lt;&gt;"",IF(LOWER('Capacity summary'!AH128)="x",$BI9*AH9,VALUE('Capacity summary'!AH128)),0),AH9*$BI9),AH9*$BI9),0)</f>
        <v>0</v>
      </c>
      <c r="CL9" s="311">
        <f>IF($BI9&lt;&gt;"",IF('Capacity summary'!$D$14="Yes",IF(COUNTBLANK('Capacity summary'!$H128:$BG128)&lt;52,IF('Capacity summary'!AI128&lt;&gt;"",IF(LOWER('Capacity summary'!AI128)="x",$BI9*AI9,VALUE('Capacity summary'!AI128)),0),AI9*$BI9),AI9*$BI9),0)</f>
        <v>0</v>
      </c>
      <c r="CM9" s="311">
        <f>IF($BI9&lt;&gt;"",IF('Capacity summary'!$D$14="Yes",IF(COUNTBLANK('Capacity summary'!$H128:$BG128)&lt;52,IF('Capacity summary'!AJ128&lt;&gt;"",IF(LOWER('Capacity summary'!AJ128)="x",$BI9*AJ9,VALUE('Capacity summary'!AJ128)),0),AJ9*$BI9),AJ9*$BI9),0)</f>
        <v>0</v>
      </c>
      <c r="CN9" s="311">
        <f>IF($BI9&lt;&gt;"",IF('Capacity summary'!$D$14="Yes",IF(COUNTBLANK('Capacity summary'!$H128:$BG128)&lt;52,IF('Capacity summary'!AK128&lt;&gt;"",IF(LOWER('Capacity summary'!AK128)="x",$BI9*AK9,VALUE('Capacity summary'!AK128)),0),AK9*$BI9),AK9*$BI9),0)</f>
        <v>0</v>
      </c>
      <c r="CO9" s="311">
        <f>IF($BI9&lt;&gt;"",IF('Capacity summary'!$D$14="Yes",IF(COUNTBLANK('Capacity summary'!$H128:$BG128)&lt;52,IF('Capacity summary'!AL128&lt;&gt;"",IF(LOWER('Capacity summary'!AL128)="x",$BI9*AL9,VALUE('Capacity summary'!AL128)),0),AL9*$BI9),AL9*$BI9),0)</f>
        <v>0</v>
      </c>
      <c r="CP9" s="311">
        <f>IF($BI9&lt;&gt;"",IF('Capacity summary'!$D$14="Yes",IF(COUNTBLANK('Capacity summary'!$H128:$BG128)&lt;52,IF('Capacity summary'!AM128&lt;&gt;"",IF(LOWER('Capacity summary'!AM128)="x",$BI9*AM9,VALUE('Capacity summary'!AM128)),0),AM9*$BI9),AM9*$BI9),0)</f>
        <v>0</v>
      </c>
      <c r="CQ9" s="311">
        <f>IF($BI9&lt;&gt;"",IF('Capacity summary'!$D$14="Yes",IF(COUNTBLANK('Capacity summary'!$H128:$BG128)&lt;52,IF('Capacity summary'!AN128&lt;&gt;"",IF(LOWER('Capacity summary'!AN128)="x",$BI9*AN9,VALUE('Capacity summary'!AN128)),0),AN9*$BI9),AN9*$BI9),0)</f>
        <v>0</v>
      </c>
      <c r="CR9" s="311">
        <f>IF($BI9&lt;&gt;"",IF('Capacity summary'!$D$14="Yes",IF(COUNTBLANK('Capacity summary'!$H128:$BG128)&lt;52,IF('Capacity summary'!AO128&lt;&gt;"",IF(LOWER('Capacity summary'!AO128)="x",$BI9*AO9,VALUE('Capacity summary'!AO128)),0),AO9*$BI9),AO9*$BI9),0)</f>
        <v>0</v>
      </c>
      <c r="CS9" s="311">
        <f>IF($BI9&lt;&gt;"",IF('Capacity summary'!$D$14="Yes",IF(COUNTBLANK('Capacity summary'!$H128:$BG128)&lt;52,IF('Capacity summary'!AP128&lt;&gt;"",IF(LOWER('Capacity summary'!AP128)="x",$BI9*AP9,VALUE('Capacity summary'!AP128)),0),AP9*$BI9),AP9*$BI9),0)</f>
        <v>0</v>
      </c>
      <c r="CT9" s="311">
        <f>IF($BI9&lt;&gt;"",IF('Capacity summary'!$D$14="Yes",IF(COUNTBLANK('Capacity summary'!$H128:$BG128)&lt;52,IF('Capacity summary'!AQ128&lt;&gt;"",IF(LOWER('Capacity summary'!AQ128)="x",$BI9*AQ9,VALUE('Capacity summary'!AQ128)),0),AQ9*$BI9),AQ9*$BI9),0)</f>
        <v>0</v>
      </c>
      <c r="CU9" s="311">
        <f>IF($BI9&lt;&gt;"",IF('Capacity summary'!$D$14="Yes",IF(COUNTBLANK('Capacity summary'!$H128:$BG128)&lt;52,IF('Capacity summary'!AR128&lt;&gt;"",IF(LOWER('Capacity summary'!AR128)="x",$BI9*AR9,VALUE('Capacity summary'!AR128)),0),AR9*$BI9),AR9*$BI9),0)</f>
        <v>0</v>
      </c>
      <c r="CV9" s="311">
        <f>IF($BI9&lt;&gt;"",IF('Capacity summary'!$D$14="Yes",IF(COUNTBLANK('Capacity summary'!$H128:$BG128)&lt;52,IF('Capacity summary'!AS128&lt;&gt;"",IF(LOWER('Capacity summary'!AS128)="x",$BI9*AS9,VALUE('Capacity summary'!AS128)),0),AS9*$BI9),AS9*$BI9),0)</f>
        <v>0</v>
      </c>
      <c r="CW9" s="311">
        <f>IF($BI9&lt;&gt;"",IF('Capacity summary'!$D$14="Yes",IF(COUNTBLANK('Capacity summary'!$H128:$BG128)&lt;52,IF('Capacity summary'!AT128&lt;&gt;"",IF(LOWER('Capacity summary'!AT128)="x",$BI9*AT9,VALUE('Capacity summary'!AT128)),0),AT9*$BI9),AT9*$BI9),0)</f>
        <v>0</v>
      </c>
      <c r="CX9" s="311">
        <f>IF($BI9&lt;&gt;"",IF('Capacity summary'!$D$14="Yes",IF(COUNTBLANK('Capacity summary'!$H128:$BG128)&lt;52,IF('Capacity summary'!AU128&lt;&gt;"",IF(LOWER('Capacity summary'!AU128)="x",$BI9*AU9,VALUE('Capacity summary'!AU128)),0),AU9*$BI9),AU9*$BI9),0)</f>
        <v>0</v>
      </c>
      <c r="CY9" s="311">
        <f>IF($BI9&lt;&gt;"",IF('Capacity summary'!$D$14="Yes",IF(COUNTBLANK('Capacity summary'!$H128:$BG128)&lt;52,IF('Capacity summary'!AV128&lt;&gt;"",IF(LOWER('Capacity summary'!AV128)="x",$BI9*AV9,VALUE('Capacity summary'!AV128)),0),AV9*$BI9),AV9*$BI9),0)</f>
        <v>0</v>
      </c>
      <c r="CZ9" s="311">
        <f>IF($BI9&lt;&gt;"",IF('Capacity summary'!$D$14="Yes",IF(COUNTBLANK('Capacity summary'!$H128:$BG128)&lt;52,IF('Capacity summary'!AW128&lt;&gt;"",IF(LOWER('Capacity summary'!AW128)="x",$BI9*AW9,VALUE('Capacity summary'!AW128)),0),AW9*$BI9),AW9*$BI9),0)</f>
        <v>0</v>
      </c>
      <c r="DA9" s="311">
        <f>IF($BI9&lt;&gt;"",IF('Capacity summary'!$D$14="Yes",IF(COUNTBLANK('Capacity summary'!$H128:$BG128)&lt;52,IF('Capacity summary'!AX128&lt;&gt;"",IF(LOWER('Capacity summary'!AX128)="x",$BI9*AX9,VALUE('Capacity summary'!AX128)),0),AX9*$BI9),AX9*$BI9),0)</f>
        <v>0</v>
      </c>
      <c r="DB9" s="311">
        <f>IF($BI9&lt;&gt;"",IF('Capacity summary'!$D$14="Yes",IF(COUNTBLANK('Capacity summary'!$H128:$BG128)&lt;52,IF('Capacity summary'!AY128&lt;&gt;"",IF(LOWER('Capacity summary'!AY128)="x",$BI9*AY9,VALUE('Capacity summary'!AY128)),0),AY9*$BI9),AY9*$BI9),0)</f>
        <v>0</v>
      </c>
      <c r="DC9" s="311">
        <f>IF($BI9&lt;&gt;"",IF('Capacity summary'!$D$14="Yes",IF(COUNTBLANK('Capacity summary'!$H128:$BG128)&lt;52,IF('Capacity summary'!AZ128&lt;&gt;"",IF(LOWER('Capacity summary'!AZ128)="x",$BI9*AZ9,VALUE('Capacity summary'!AZ128)),0),AZ9*$BI9),AZ9*$BI9),0)</f>
        <v>0</v>
      </c>
      <c r="DD9" s="311">
        <f>IF($BI9&lt;&gt;"",IF('Capacity summary'!$D$14="Yes",IF(COUNTBLANK('Capacity summary'!$H128:$BG128)&lt;52,IF('Capacity summary'!BA128&lt;&gt;"",IF(LOWER('Capacity summary'!BA128)="x",$BI9*BA9,VALUE('Capacity summary'!BA128)),0),BA9*$BI9),BA9*$BI9),0)</f>
        <v>0</v>
      </c>
      <c r="DE9" s="311">
        <f>IF($BI9&lt;&gt;"",IF('Capacity summary'!$D$14="Yes",IF(COUNTBLANK('Capacity summary'!$H128:$BG128)&lt;52,IF('Capacity summary'!BB128&lt;&gt;"",IF(LOWER('Capacity summary'!BB128)="x",$BI9*BB9,VALUE('Capacity summary'!BB128)),0),BB9*$BI9),BB9*$BI9),0)</f>
        <v>0</v>
      </c>
      <c r="DF9" s="311">
        <f>IF($BI9&lt;&gt;"",IF('Capacity summary'!$D$14="Yes",IF(COUNTBLANK('Capacity summary'!$H128:$BG128)&lt;52,IF('Capacity summary'!BC128&lt;&gt;"",IF(LOWER('Capacity summary'!BC128)="x",$BI9*BC9,VALUE('Capacity summary'!BC128)),0),BC9*$BI9),BC9*$BI9),0)</f>
        <v>0</v>
      </c>
      <c r="DG9" s="311">
        <f>IF($BI9&lt;&gt;"",IF('Capacity summary'!$D$14="Yes",IF(COUNTBLANK('Capacity summary'!$H128:$BG128)&lt;52,IF('Capacity summary'!BD128&lt;&gt;"",IF(LOWER('Capacity summary'!BD128)="x",$BI9*BD9,VALUE('Capacity summary'!BD128)),0),BD9*$BI9),BD9*$BI9),0)</f>
        <v>0</v>
      </c>
      <c r="DH9" s="311">
        <f>IF($BI9&lt;&gt;"",IF('Capacity summary'!$D$14="Yes",IF(COUNTBLANK('Capacity summary'!$H128:$BG128)&lt;52,IF('Capacity summary'!BE128&lt;&gt;"",IF(LOWER('Capacity summary'!BE128)="x",$BI9*BE9,VALUE('Capacity summary'!BE128)),0),BE9*$BI9),BE9*$BI9),0)</f>
        <v>0</v>
      </c>
      <c r="DI9" s="311">
        <f>IF($BI9&lt;&gt;"",IF('Capacity summary'!$D$14="Yes",IF(COUNTBLANK('Capacity summary'!$H128:$BG128)&lt;52,IF('Capacity summary'!BF128&lt;&gt;"",IF(LOWER('Capacity summary'!BF128)="x",$BI9*BF9,VALUE('Capacity summary'!BF128)),0),BF9*$BI9),BF9*$BI9),0)</f>
        <v>0</v>
      </c>
      <c r="DJ9" s="311">
        <f>IF($BI9&lt;&gt;"",IF('Capacity summary'!$D$14="Yes",IF(COUNTBLANK('Capacity summary'!$H128:$BG128)&lt;52,IF('Capacity summary'!BG128&lt;&gt;"",IF(LOWER('Capacity summary'!BG128)="x",$BI9*BG9,VALUE('Capacity summary'!BG128)),0),BG9*$BI9),BG9*$BI9),0)</f>
        <v>0</v>
      </c>
      <c r="DK9" s="391">
        <f t="shared" si="2"/>
        <v>0</v>
      </c>
      <c r="DL9" s="136">
        <f t="shared" si="3"/>
        <v>0</v>
      </c>
      <c r="DM9" s="311" t="str">
        <f>Capacity!H21</f>
        <v/>
      </c>
      <c r="DQ9" s="5"/>
    </row>
    <row r="10" spans="1:121" x14ac:dyDescent="0.2">
      <c r="A10" s="67">
        <f>IF(Capacity!L22='Capacity summary'!BI129,1,0)</f>
        <v>1</v>
      </c>
      <c r="B10" s="67">
        <f>IF(Capacity!V22='Capacity summary'!BI29,1,0)</f>
        <v>1</v>
      </c>
      <c r="C10" s="67" t="str">
        <f>ROW(A6)&amp;". "&amp;Capacity!B22</f>
        <v xml:space="preserve">6. </v>
      </c>
      <c r="D10" s="67">
        <f>'Capacity setup'!C17</f>
        <v>0</v>
      </c>
      <c r="E10" s="67">
        <f>'Capacity setup'!D17</f>
        <v>0</v>
      </c>
      <c r="F10" s="67">
        <f>'Capacity setup'!E17</f>
        <v>0</v>
      </c>
      <c r="H10" s="67">
        <f ca="1">IF(LOWER(Capacity!$L22)="x",IF(AND(SUMIF(Capacity_Resource,$D10,'Critical resources (hide)'!U$6:U$105)+SUMIF(Capacity_Resource,$E10,'Critical resources (hide)'!U$6:U$105)+SUMIF(Capacity_Resource,$F10,'Critical resources (hide)'!U$6:U$105)&gt;0,$E$1=2),0,1),0)</f>
        <v>1</v>
      </c>
      <c r="I10" s="67">
        <f ca="1">IF(LOWER(Capacity!$L22)="x",IF(AND(SUMIF(Capacity_Resource,$D10,'Critical resources (hide)'!V$6:V$105)+SUMIF(Capacity_Resource,$E10,'Critical resources (hide)'!V$6:V$105)+SUMIF(Capacity_Resource,$F10,'Critical resources (hide)'!V$6:V$105)&gt;0,$E$1=2),0,1),0)</f>
        <v>1</v>
      </c>
      <c r="J10" s="67">
        <f ca="1">IF(LOWER(Capacity!$L22)="x",IF(AND(SUMIF(Capacity_Resource,$D10,'Critical resources (hide)'!W$6:W$105)+SUMIF(Capacity_Resource,$E10,'Critical resources (hide)'!W$6:W$105)+SUMIF(Capacity_Resource,$F10,'Critical resources (hide)'!W$6:W$105)&gt;0,$E$1=2),0,1),0)</f>
        <v>1</v>
      </c>
      <c r="K10" s="67">
        <f ca="1">IF(LOWER(Capacity!$L22)="x",IF(AND(SUMIF(Capacity_Resource,$D10,'Critical resources (hide)'!X$6:X$105)+SUMIF(Capacity_Resource,$E10,'Critical resources (hide)'!X$6:X$105)+SUMIF(Capacity_Resource,$F10,'Critical resources (hide)'!X$6:X$105)&gt;0,$E$1=2),0,1),0)</f>
        <v>1</v>
      </c>
      <c r="L10" s="67">
        <f ca="1">IF(LOWER(Capacity!$L22)="x",IF(AND(SUMIF(Capacity_Resource,$D10,'Critical resources (hide)'!Y$6:Y$105)+SUMIF(Capacity_Resource,$E10,'Critical resources (hide)'!Y$6:Y$105)+SUMIF(Capacity_Resource,$F10,'Critical resources (hide)'!Y$6:Y$105)&gt;0,$E$1=2),0,1),0)</f>
        <v>1</v>
      </c>
      <c r="M10" s="67">
        <f ca="1">IF(LOWER(Capacity!$L22)="x",IF(AND(SUMIF(Capacity_Resource,$D10,'Critical resources (hide)'!Z$6:Z$105)+SUMIF(Capacity_Resource,$E10,'Critical resources (hide)'!Z$6:Z$105)+SUMIF(Capacity_Resource,$F10,'Critical resources (hide)'!Z$6:Z$105)&gt;0,$E$1=2),0,1),0)</f>
        <v>1</v>
      </c>
      <c r="N10" s="67">
        <f ca="1">IF(LOWER(Capacity!$L22)="x",IF(AND(SUMIF(Capacity_Resource,$D10,'Critical resources (hide)'!AA$6:AA$105)+SUMIF(Capacity_Resource,$E10,'Critical resources (hide)'!AA$6:AA$105)+SUMIF(Capacity_Resource,$F10,'Critical resources (hide)'!AA$6:AA$105)&gt;0,$E$1=2),0,1),0)</f>
        <v>1</v>
      </c>
      <c r="O10" s="67">
        <f ca="1">IF(LOWER(Capacity!$L22)="x",IF(AND(SUMIF(Capacity_Resource,$D10,'Critical resources (hide)'!AB$6:AB$105)+SUMIF(Capacity_Resource,$E10,'Critical resources (hide)'!AB$6:AB$105)+SUMIF(Capacity_Resource,$F10,'Critical resources (hide)'!AB$6:AB$105)&gt;0,$E$1=2),0,1),0)</f>
        <v>1</v>
      </c>
      <c r="P10" s="67">
        <f ca="1">IF(LOWER(Capacity!$L22)="x",IF(AND(SUMIF(Capacity_Resource,$D10,'Critical resources (hide)'!AC$6:AC$105)+SUMIF(Capacity_Resource,$E10,'Critical resources (hide)'!AC$6:AC$105)+SUMIF(Capacity_Resource,$F10,'Critical resources (hide)'!AC$6:AC$105)&gt;0,$E$1=2),0,1),0)</f>
        <v>1</v>
      </c>
      <c r="Q10" s="67">
        <f ca="1">IF(LOWER(Capacity!$L22)="x",IF(AND(SUMIF(Capacity_Resource,$D10,'Critical resources (hide)'!AD$6:AD$105)+SUMIF(Capacity_Resource,$E10,'Critical resources (hide)'!AD$6:AD$105)+SUMIF(Capacity_Resource,$F10,'Critical resources (hide)'!AD$6:AD$105)&gt;0,$E$1=2),0,1),0)</f>
        <v>1</v>
      </c>
      <c r="R10" s="67">
        <f ca="1">IF(LOWER(Capacity!$L22)="x",IF(AND(SUMIF(Capacity_Resource,$D10,'Critical resources (hide)'!AE$6:AE$105)+SUMIF(Capacity_Resource,$E10,'Critical resources (hide)'!AE$6:AE$105)+SUMIF(Capacity_Resource,$F10,'Critical resources (hide)'!AE$6:AE$105)&gt;0,$E$1=2),0,1),0)</f>
        <v>1</v>
      </c>
      <c r="S10" s="67">
        <f ca="1">IF(LOWER(Capacity!$L22)="x",IF(AND(SUMIF(Capacity_Resource,$D10,'Critical resources (hide)'!AF$6:AF$105)+SUMIF(Capacity_Resource,$E10,'Critical resources (hide)'!AF$6:AF$105)+SUMIF(Capacity_Resource,$F10,'Critical resources (hide)'!AF$6:AF$105)&gt;0,$E$1=2),0,1),0)</f>
        <v>1</v>
      </c>
      <c r="T10" s="67">
        <f ca="1">IF(LOWER(Capacity!$L22)="x",IF(AND(SUMIF(Capacity_Resource,$D10,'Critical resources (hide)'!AG$6:AG$105)+SUMIF(Capacity_Resource,$E10,'Critical resources (hide)'!AG$6:AG$105)+SUMIF(Capacity_Resource,$F10,'Critical resources (hide)'!AG$6:AG$105)&gt;0,$E$1=2),0,1),0)</f>
        <v>1</v>
      </c>
      <c r="U10" s="67">
        <f ca="1">IF(LOWER(Capacity!$L22)="x",IF(AND(SUMIF(Capacity_Resource,$D10,'Critical resources (hide)'!AH$6:AH$105)+SUMIF(Capacity_Resource,$E10,'Critical resources (hide)'!AH$6:AH$105)+SUMIF(Capacity_Resource,$F10,'Critical resources (hide)'!AH$6:AH$105)&gt;0,$E$1=2),0,1),0)</f>
        <v>1</v>
      </c>
      <c r="V10" s="67">
        <f ca="1">IF(LOWER(Capacity!$L22)="x",IF(AND(SUMIF(Capacity_Resource,$D10,'Critical resources (hide)'!AI$6:AI$105)+SUMIF(Capacity_Resource,$E10,'Critical resources (hide)'!AI$6:AI$105)+SUMIF(Capacity_Resource,$F10,'Critical resources (hide)'!AI$6:AI$105)&gt;0,$E$1=2),0,1),0)</f>
        <v>1</v>
      </c>
      <c r="W10" s="67">
        <f ca="1">IF(LOWER(Capacity!$L22)="x",IF(AND(SUMIF(Capacity_Resource,$D10,'Critical resources (hide)'!AJ$6:AJ$105)+SUMIF(Capacity_Resource,$E10,'Critical resources (hide)'!AJ$6:AJ$105)+SUMIF(Capacity_Resource,$F10,'Critical resources (hide)'!AJ$6:AJ$105)&gt;0,$E$1=2),0,1),0)</f>
        <v>1</v>
      </c>
      <c r="X10" s="67">
        <f ca="1">IF(LOWER(Capacity!$L22)="x",IF(AND(SUMIF(Capacity_Resource,$D10,'Critical resources (hide)'!AK$6:AK$105)+SUMIF(Capacity_Resource,$E10,'Critical resources (hide)'!AK$6:AK$105)+SUMIF(Capacity_Resource,$F10,'Critical resources (hide)'!AK$6:AK$105)&gt;0,$E$1=2),0,1),0)</f>
        <v>1</v>
      </c>
      <c r="Y10" s="67">
        <f ca="1">IF(LOWER(Capacity!$L22)="x",IF(AND(SUMIF(Capacity_Resource,$D10,'Critical resources (hide)'!AL$6:AL$105)+SUMIF(Capacity_Resource,$E10,'Critical resources (hide)'!AL$6:AL$105)+SUMIF(Capacity_Resource,$F10,'Critical resources (hide)'!AL$6:AL$105)&gt;0,$E$1=2),0,1),0)</f>
        <v>1</v>
      </c>
      <c r="Z10" s="67">
        <f ca="1">IF(LOWER(Capacity!$L22)="x",IF(AND(SUMIF(Capacity_Resource,$D10,'Critical resources (hide)'!AM$6:AM$105)+SUMIF(Capacity_Resource,$E10,'Critical resources (hide)'!AM$6:AM$105)+SUMIF(Capacity_Resource,$F10,'Critical resources (hide)'!AM$6:AM$105)&gt;0,$E$1=2),0,1),0)</f>
        <v>1</v>
      </c>
      <c r="AA10" s="67">
        <f ca="1">IF(LOWER(Capacity!$L22)="x",IF(AND(SUMIF(Capacity_Resource,$D10,'Critical resources (hide)'!AN$6:AN$105)+SUMIF(Capacity_Resource,$E10,'Critical resources (hide)'!AN$6:AN$105)+SUMIF(Capacity_Resource,$F10,'Critical resources (hide)'!AN$6:AN$105)&gt;0,$E$1=2),0,1),0)</f>
        <v>1</v>
      </c>
      <c r="AB10" s="67">
        <f ca="1">IF(LOWER(Capacity!$L22)="x",IF(AND(SUMIF(Capacity_Resource,$D10,'Critical resources (hide)'!AO$6:AO$105)+SUMIF(Capacity_Resource,$E10,'Critical resources (hide)'!AO$6:AO$105)+SUMIF(Capacity_Resource,$F10,'Critical resources (hide)'!AO$6:AO$105)&gt;0,$E$1=2),0,1),0)</f>
        <v>1</v>
      </c>
      <c r="AC10" s="67">
        <f ca="1">IF(LOWER(Capacity!$L22)="x",IF(AND(SUMIF(Capacity_Resource,$D10,'Critical resources (hide)'!AP$6:AP$105)+SUMIF(Capacity_Resource,$E10,'Critical resources (hide)'!AP$6:AP$105)+SUMIF(Capacity_Resource,$F10,'Critical resources (hide)'!AP$6:AP$105)&gt;0,$E$1=2),0,1),0)</f>
        <v>1</v>
      </c>
      <c r="AD10" s="67">
        <f ca="1">IF(LOWER(Capacity!$L22)="x",IF(AND(SUMIF(Capacity_Resource,$D10,'Critical resources (hide)'!AQ$6:AQ$105)+SUMIF(Capacity_Resource,$E10,'Critical resources (hide)'!AQ$6:AQ$105)+SUMIF(Capacity_Resource,$F10,'Critical resources (hide)'!AQ$6:AQ$105)&gt;0,$E$1=2),0,1),0)</f>
        <v>1</v>
      </c>
      <c r="AE10" s="67">
        <f ca="1">IF(LOWER(Capacity!$L22)="x",IF(AND(SUMIF(Capacity_Resource,$D10,'Critical resources (hide)'!AR$6:AR$105)+SUMIF(Capacity_Resource,$E10,'Critical resources (hide)'!AR$6:AR$105)+SUMIF(Capacity_Resource,$F10,'Critical resources (hide)'!AR$6:AR$105)&gt;0,$E$1=2),0,1),0)</f>
        <v>1</v>
      </c>
      <c r="AF10" s="67">
        <f ca="1">IF(LOWER(Capacity!$L22)="x",IF(AND(SUMIF(Capacity_Resource,$D10,'Critical resources (hide)'!AS$6:AS$105)+SUMIF(Capacity_Resource,$E10,'Critical resources (hide)'!AS$6:AS$105)+SUMIF(Capacity_Resource,$F10,'Critical resources (hide)'!AS$6:AS$105)&gt;0,$E$1=2),0,1),0)</f>
        <v>1</v>
      </c>
      <c r="AG10" s="67">
        <f ca="1">IF(LOWER(Capacity!$L22)="x",IF(AND(SUMIF(Capacity_Resource,$D10,'Critical resources (hide)'!AT$6:AT$105)+SUMIF(Capacity_Resource,$E10,'Critical resources (hide)'!AT$6:AT$105)+SUMIF(Capacity_Resource,$F10,'Critical resources (hide)'!AT$6:AT$105)&gt;0,$E$1=2),0,1),0)</f>
        <v>1</v>
      </c>
      <c r="AH10" s="67">
        <f ca="1">IF(LOWER(Capacity!$L22)="x",IF(AND(SUMIF(Capacity_Resource,$D10,'Critical resources (hide)'!AU$6:AU$105)+SUMIF(Capacity_Resource,$E10,'Critical resources (hide)'!AU$6:AU$105)+SUMIF(Capacity_Resource,$F10,'Critical resources (hide)'!AU$6:AU$105)&gt;0,$E$1=2),0,1),0)</f>
        <v>1</v>
      </c>
      <c r="AI10" s="67">
        <f ca="1">IF(LOWER(Capacity!$L22)="x",IF(AND(SUMIF(Capacity_Resource,$D10,'Critical resources (hide)'!AV$6:AV$105)+SUMIF(Capacity_Resource,$E10,'Critical resources (hide)'!AV$6:AV$105)+SUMIF(Capacity_Resource,$F10,'Critical resources (hide)'!AV$6:AV$105)&gt;0,$E$1=2),0,1),0)</f>
        <v>1</v>
      </c>
      <c r="AJ10" s="67">
        <f ca="1">IF(LOWER(Capacity!$L22)="x",IF(AND(SUMIF(Capacity_Resource,$D10,'Critical resources (hide)'!AW$6:AW$105)+SUMIF(Capacity_Resource,$E10,'Critical resources (hide)'!AW$6:AW$105)+SUMIF(Capacity_Resource,$F10,'Critical resources (hide)'!AW$6:AW$105)&gt;0,$E$1=2),0,1),0)</f>
        <v>1</v>
      </c>
      <c r="AK10" s="67">
        <f ca="1">IF(LOWER(Capacity!$L22)="x",IF(AND(SUMIF(Capacity_Resource,$D10,'Critical resources (hide)'!AX$6:AX$105)+SUMIF(Capacity_Resource,$E10,'Critical resources (hide)'!AX$6:AX$105)+SUMIF(Capacity_Resource,$F10,'Critical resources (hide)'!AX$6:AX$105)&gt;0,$E$1=2),0,1),0)</f>
        <v>1</v>
      </c>
      <c r="AL10" s="67">
        <f ca="1">IF(LOWER(Capacity!$L22)="x",IF(AND(SUMIF(Capacity_Resource,$D10,'Critical resources (hide)'!AY$6:AY$105)+SUMIF(Capacity_Resource,$E10,'Critical resources (hide)'!AY$6:AY$105)+SUMIF(Capacity_Resource,$F10,'Critical resources (hide)'!AY$6:AY$105)&gt;0,$E$1=2),0,1),0)</f>
        <v>1</v>
      </c>
      <c r="AM10" s="67">
        <f ca="1">IF(LOWER(Capacity!$L22)="x",IF(AND(SUMIF(Capacity_Resource,$D10,'Critical resources (hide)'!AZ$6:AZ$105)+SUMIF(Capacity_Resource,$E10,'Critical resources (hide)'!AZ$6:AZ$105)+SUMIF(Capacity_Resource,$F10,'Critical resources (hide)'!AZ$6:AZ$105)&gt;0,$E$1=2),0,1),0)</f>
        <v>1</v>
      </c>
      <c r="AN10" s="67">
        <f ca="1">IF(LOWER(Capacity!$L22)="x",IF(AND(SUMIF(Capacity_Resource,$D10,'Critical resources (hide)'!BA$6:BA$105)+SUMIF(Capacity_Resource,$E10,'Critical resources (hide)'!BA$6:BA$105)+SUMIF(Capacity_Resource,$F10,'Critical resources (hide)'!BA$6:BA$105)&gt;0,$E$1=2),0,1),0)</f>
        <v>1</v>
      </c>
      <c r="AO10" s="67">
        <f ca="1">IF(LOWER(Capacity!$L22)="x",IF(AND(SUMIF(Capacity_Resource,$D10,'Critical resources (hide)'!BB$6:BB$105)+SUMIF(Capacity_Resource,$E10,'Critical resources (hide)'!BB$6:BB$105)+SUMIF(Capacity_Resource,$F10,'Critical resources (hide)'!BB$6:BB$105)&gt;0,$E$1=2),0,1),0)</f>
        <v>1</v>
      </c>
      <c r="AP10" s="67">
        <f ca="1">IF(LOWER(Capacity!$L22)="x",IF(AND(SUMIF(Capacity_Resource,$D10,'Critical resources (hide)'!BC$6:BC$105)+SUMIF(Capacity_Resource,$E10,'Critical resources (hide)'!BC$6:BC$105)+SUMIF(Capacity_Resource,$F10,'Critical resources (hide)'!BC$6:BC$105)&gt;0,$E$1=2),0,1),0)</f>
        <v>1</v>
      </c>
      <c r="AQ10" s="67">
        <f ca="1">IF(LOWER(Capacity!$L22)="x",IF(AND(SUMIF(Capacity_Resource,$D10,'Critical resources (hide)'!BD$6:BD$105)+SUMIF(Capacity_Resource,$E10,'Critical resources (hide)'!BD$6:BD$105)+SUMIF(Capacity_Resource,$F10,'Critical resources (hide)'!BD$6:BD$105)&gt;0,$E$1=2),0,1),0)</f>
        <v>1</v>
      </c>
      <c r="AR10" s="67">
        <f ca="1">IF(LOWER(Capacity!$L22)="x",IF(AND(SUMIF(Capacity_Resource,$D10,'Critical resources (hide)'!BE$6:BE$105)+SUMIF(Capacity_Resource,$E10,'Critical resources (hide)'!BE$6:BE$105)+SUMIF(Capacity_Resource,$F10,'Critical resources (hide)'!BE$6:BE$105)&gt;0,$E$1=2),0,1),0)</f>
        <v>1</v>
      </c>
      <c r="AS10" s="67">
        <f ca="1">IF(LOWER(Capacity!$L22)="x",IF(AND(SUMIF(Capacity_Resource,$D10,'Critical resources (hide)'!BF$6:BF$105)+SUMIF(Capacity_Resource,$E10,'Critical resources (hide)'!BF$6:BF$105)+SUMIF(Capacity_Resource,$F10,'Critical resources (hide)'!BF$6:BF$105)&gt;0,$E$1=2),0,1),0)</f>
        <v>1</v>
      </c>
      <c r="AT10" s="67">
        <f ca="1">IF(LOWER(Capacity!$L22)="x",IF(AND(SUMIF(Capacity_Resource,$D10,'Critical resources (hide)'!BG$6:BG$105)+SUMIF(Capacity_Resource,$E10,'Critical resources (hide)'!BG$6:BG$105)+SUMIF(Capacity_Resource,$F10,'Critical resources (hide)'!BG$6:BG$105)&gt;0,$E$1=2),0,1),0)</f>
        <v>1</v>
      </c>
      <c r="AU10" s="67">
        <f ca="1">IF(LOWER(Capacity!$L22)="x",IF(AND(SUMIF(Capacity_Resource,$D10,'Critical resources (hide)'!BH$6:BH$105)+SUMIF(Capacity_Resource,$E10,'Critical resources (hide)'!BH$6:BH$105)+SUMIF(Capacity_Resource,$F10,'Critical resources (hide)'!BH$6:BH$105)&gt;0,$E$1=2),0,1),0)</f>
        <v>1</v>
      </c>
      <c r="AV10" s="67">
        <f ca="1">IF(LOWER(Capacity!$L22)="x",IF(AND(SUMIF(Capacity_Resource,$D10,'Critical resources (hide)'!BI$6:BI$105)+SUMIF(Capacity_Resource,$E10,'Critical resources (hide)'!BI$6:BI$105)+SUMIF(Capacity_Resource,$F10,'Critical resources (hide)'!BI$6:BI$105)&gt;0,$E$1=2),0,1),0)</f>
        <v>1</v>
      </c>
      <c r="AW10" s="67">
        <f ca="1">IF(LOWER(Capacity!$L22)="x",IF(AND(SUMIF(Capacity_Resource,$D10,'Critical resources (hide)'!BJ$6:BJ$105)+SUMIF(Capacity_Resource,$E10,'Critical resources (hide)'!BJ$6:BJ$105)+SUMIF(Capacity_Resource,$F10,'Critical resources (hide)'!BJ$6:BJ$105)&gt;0,$E$1=2),0,1),0)</f>
        <v>1</v>
      </c>
      <c r="AX10" s="67">
        <f ca="1">IF(LOWER(Capacity!$L22)="x",IF(AND(SUMIF(Capacity_Resource,$D10,'Critical resources (hide)'!BK$6:BK$105)+SUMIF(Capacity_Resource,$E10,'Critical resources (hide)'!BK$6:BK$105)+SUMIF(Capacity_Resource,$F10,'Critical resources (hide)'!BK$6:BK$105)&gt;0,$E$1=2),0,1),0)</f>
        <v>1</v>
      </c>
      <c r="AY10" s="67">
        <f ca="1">IF(LOWER(Capacity!$L22)="x",IF(AND(SUMIF(Capacity_Resource,$D10,'Critical resources (hide)'!BL$6:BL$105)+SUMIF(Capacity_Resource,$E10,'Critical resources (hide)'!BL$6:BL$105)+SUMIF(Capacity_Resource,$F10,'Critical resources (hide)'!BL$6:BL$105)&gt;0,$E$1=2),0,1),0)</f>
        <v>1</v>
      </c>
      <c r="AZ10" s="67">
        <f ca="1">IF(LOWER(Capacity!$L22)="x",IF(AND(SUMIF(Capacity_Resource,$D10,'Critical resources (hide)'!BM$6:BM$105)+SUMIF(Capacity_Resource,$E10,'Critical resources (hide)'!BM$6:BM$105)+SUMIF(Capacity_Resource,$F10,'Critical resources (hide)'!BM$6:BM$105)&gt;0,$E$1=2),0,1),0)</f>
        <v>1</v>
      </c>
      <c r="BA10" s="67">
        <f ca="1">IF(LOWER(Capacity!$L22)="x",IF(AND(SUMIF(Capacity_Resource,$D10,'Critical resources (hide)'!BN$6:BN$105)+SUMIF(Capacity_Resource,$E10,'Critical resources (hide)'!BN$6:BN$105)+SUMIF(Capacity_Resource,$F10,'Critical resources (hide)'!BN$6:BN$105)&gt;0,$E$1=2),0,1),0)</f>
        <v>1</v>
      </c>
      <c r="BB10" s="67">
        <f ca="1">IF(LOWER(Capacity!$L22)="x",IF(AND(SUMIF(Capacity_Resource,$D10,'Critical resources (hide)'!BO$6:BO$105)+SUMIF(Capacity_Resource,$E10,'Critical resources (hide)'!BO$6:BO$105)+SUMIF(Capacity_Resource,$F10,'Critical resources (hide)'!BO$6:BO$105)&gt;0,$E$1=2),0,1),0)</f>
        <v>1</v>
      </c>
      <c r="BC10" s="67">
        <f ca="1">IF(LOWER(Capacity!$L22)="x",IF(AND(SUMIF(Capacity_Resource,$D10,'Critical resources (hide)'!BP$6:BP$105)+SUMIF(Capacity_Resource,$E10,'Critical resources (hide)'!BP$6:BP$105)+SUMIF(Capacity_Resource,$F10,'Critical resources (hide)'!BP$6:BP$105)&gt;0,$E$1=2),0,1),0)</f>
        <v>1</v>
      </c>
      <c r="BD10" s="67">
        <f ca="1">IF(LOWER(Capacity!$L22)="x",IF(AND(SUMIF(Capacity_Resource,$D10,'Critical resources (hide)'!BQ$6:BQ$105)+SUMIF(Capacity_Resource,$E10,'Critical resources (hide)'!BQ$6:BQ$105)+SUMIF(Capacity_Resource,$F10,'Critical resources (hide)'!BQ$6:BQ$105)&gt;0,$E$1=2),0,1),0)</f>
        <v>1</v>
      </c>
      <c r="BE10" s="67">
        <f ca="1">IF(LOWER(Capacity!$L22)="x",IF(AND(SUMIF(Capacity_Resource,$D10,'Critical resources (hide)'!BR$6:BR$105)+SUMIF(Capacity_Resource,$E10,'Critical resources (hide)'!BR$6:BR$105)+SUMIF(Capacity_Resource,$F10,'Critical resources (hide)'!BR$6:BR$105)&gt;0,$E$1=2),0,1),0)</f>
        <v>1</v>
      </c>
      <c r="BF10" s="67">
        <f ca="1">IF(LOWER(Capacity!$L22)="x",IF(AND(SUMIF(Capacity_Resource,$D10,'Critical resources (hide)'!BS$6:BS$105)+SUMIF(Capacity_Resource,$E10,'Critical resources (hide)'!BS$6:BS$105)+SUMIF(Capacity_Resource,$F10,'Critical resources (hide)'!BS$6:BS$105)&gt;0,$E$1=2),0,1),0)</f>
        <v>1</v>
      </c>
      <c r="BG10" s="67">
        <f ca="1">IF(LOWER(Capacity!$L22)="x",IF(AND(SUMIF(Capacity_Resource,$D10,'Critical resources (hide)'!BT$6:BT$105)+SUMIF(Capacity_Resource,$E10,'Critical resources (hide)'!BT$6:BT$105)+SUMIF(Capacity_Resource,$F10,'Critical resources (hide)'!BT$6:BT$105)&gt;0,$E$1=2),0,1),0)</f>
        <v>1</v>
      </c>
      <c r="BH10" s="67">
        <f>IF(ROW(C6)&lt;=Capacity!$A$16,IF('Capacity summary'!$D$14="No",SUM(H10:BG10),'Capacity summary'!$E129),0)</f>
        <v>0</v>
      </c>
      <c r="BI10" s="5" t="str">
        <f>IF(BH10&gt;0,IF(BH10&lt;Capacity!E22,Capacity!F22,Capacity!H22/'Capacity calculation (hide)'!BH10),"")</f>
        <v/>
      </c>
      <c r="BK10" s="311">
        <f>IF($BI10&lt;&gt;"",IF('Capacity summary'!$D$14="Yes",IF(COUNTBLANK('Capacity summary'!$H129:$BG129)&lt;52,IF('Capacity summary'!H129&lt;&gt;"",IF(LOWER('Capacity summary'!H129)="x",$BI10*H10,VALUE('Capacity summary'!H129)),0),H10*$BI10),H10*$BI10),0)</f>
        <v>0</v>
      </c>
      <c r="BL10" s="311">
        <f>IF($BI10&lt;&gt;"",IF('Capacity summary'!$D$14="Yes",IF(COUNTBLANK('Capacity summary'!$H129:$BG129)&lt;52,IF('Capacity summary'!I129&lt;&gt;"",IF(LOWER('Capacity summary'!I129)="x",$BI10*I10,VALUE('Capacity summary'!I129)),0),I10*$BI10),I10*$BI10),0)</f>
        <v>0</v>
      </c>
      <c r="BM10" s="311">
        <f>IF($BI10&lt;&gt;"",IF('Capacity summary'!$D$14="Yes",IF(COUNTBLANK('Capacity summary'!$H129:$BG129)&lt;52,IF('Capacity summary'!J129&lt;&gt;"",IF(LOWER('Capacity summary'!J129)="x",$BI10*J10,VALUE('Capacity summary'!J129)),0),J10*$BI10),J10*$BI10),0)</f>
        <v>0</v>
      </c>
      <c r="BN10" s="311">
        <f>IF($BI10&lt;&gt;"",IF('Capacity summary'!$D$14="Yes",IF(COUNTBLANK('Capacity summary'!$H129:$BG129)&lt;52,IF('Capacity summary'!K129&lt;&gt;"",IF(LOWER('Capacity summary'!K129)="x",$BI10*K10,VALUE('Capacity summary'!K129)),0),K10*$BI10),K10*$BI10),0)</f>
        <v>0</v>
      </c>
      <c r="BO10" s="311">
        <f>IF($BI10&lt;&gt;"",IF('Capacity summary'!$D$14="Yes",IF(COUNTBLANK('Capacity summary'!$H129:$BG129)&lt;52,IF('Capacity summary'!L129&lt;&gt;"",IF(LOWER('Capacity summary'!L129)="x",$BI10*L10,VALUE('Capacity summary'!L129)),0),L10*$BI10),L10*$BI10),0)</f>
        <v>0</v>
      </c>
      <c r="BP10" s="311">
        <f>IF($BI10&lt;&gt;"",IF('Capacity summary'!$D$14="Yes",IF(COUNTBLANK('Capacity summary'!$H129:$BG129)&lt;52,IF('Capacity summary'!M129&lt;&gt;"",IF(LOWER('Capacity summary'!M129)="x",$BI10*M10,VALUE('Capacity summary'!M129)),0),M10*$BI10),M10*$BI10),0)</f>
        <v>0</v>
      </c>
      <c r="BQ10" s="311">
        <f>IF($BI10&lt;&gt;"",IF('Capacity summary'!$D$14="Yes",IF(COUNTBLANK('Capacity summary'!$H129:$BG129)&lt;52,IF('Capacity summary'!N129&lt;&gt;"",IF(LOWER('Capacity summary'!N129)="x",$BI10*N10,VALUE('Capacity summary'!N129)),0),N10*$BI10),N10*$BI10),0)</f>
        <v>0</v>
      </c>
      <c r="BR10" s="311">
        <f>IF($BI10&lt;&gt;"",IF('Capacity summary'!$D$14="Yes",IF(COUNTBLANK('Capacity summary'!$H129:$BG129)&lt;52,IF('Capacity summary'!O129&lt;&gt;"",IF(LOWER('Capacity summary'!O129)="x",$BI10*O10,VALUE('Capacity summary'!O129)),0),O10*$BI10),O10*$BI10),0)</f>
        <v>0</v>
      </c>
      <c r="BS10" s="311">
        <f>IF($BI10&lt;&gt;"",IF('Capacity summary'!$D$14="Yes",IF(COUNTBLANK('Capacity summary'!$H129:$BG129)&lt;52,IF('Capacity summary'!P129&lt;&gt;"",IF(LOWER('Capacity summary'!P129)="x",$BI10*P10,VALUE('Capacity summary'!P129)),0),P10*$BI10),P10*$BI10),0)</f>
        <v>0</v>
      </c>
      <c r="BT10" s="311">
        <f>IF($BI10&lt;&gt;"",IF('Capacity summary'!$D$14="Yes",IF(COUNTBLANK('Capacity summary'!$H129:$BG129)&lt;52,IF('Capacity summary'!Q129&lt;&gt;"",IF(LOWER('Capacity summary'!Q129)="x",$BI10*Q10,VALUE('Capacity summary'!Q129)),0),Q10*$BI10),Q10*$BI10),0)</f>
        <v>0</v>
      </c>
      <c r="BU10" s="311">
        <f>IF($BI10&lt;&gt;"",IF('Capacity summary'!$D$14="Yes",IF(COUNTBLANK('Capacity summary'!$H129:$BG129)&lt;52,IF('Capacity summary'!R129&lt;&gt;"",IF(LOWER('Capacity summary'!R129)="x",$BI10*R10,VALUE('Capacity summary'!R129)),0),R10*$BI10),R10*$BI10),0)</f>
        <v>0</v>
      </c>
      <c r="BV10" s="311">
        <f>IF($BI10&lt;&gt;"",IF('Capacity summary'!$D$14="Yes",IF(COUNTBLANK('Capacity summary'!$H129:$BG129)&lt;52,IF('Capacity summary'!S129&lt;&gt;"",IF(LOWER('Capacity summary'!S129)="x",$BI10*S10,VALUE('Capacity summary'!S129)),0),S10*$BI10),S10*$BI10),0)</f>
        <v>0</v>
      </c>
      <c r="BW10" s="311">
        <f>IF($BI10&lt;&gt;"",IF('Capacity summary'!$D$14="Yes",IF(COUNTBLANK('Capacity summary'!$H129:$BG129)&lt;52,IF('Capacity summary'!T129&lt;&gt;"",IF(LOWER('Capacity summary'!T129)="x",$BI10*T10,VALUE('Capacity summary'!T129)),0),T10*$BI10),T10*$BI10),0)</f>
        <v>0</v>
      </c>
      <c r="BX10" s="311">
        <f>IF($BI10&lt;&gt;"",IF('Capacity summary'!$D$14="Yes",IF(COUNTBLANK('Capacity summary'!$H129:$BG129)&lt;52,IF('Capacity summary'!U129&lt;&gt;"",IF(LOWER('Capacity summary'!U129)="x",$BI10*U10,VALUE('Capacity summary'!U129)),0),U10*$BI10),U10*$BI10),0)</f>
        <v>0</v>
      </c>
      <c r="BY10" s="311">
        <f>IF($BI10&lt;&gt;"",IF('Capacity summary'!$D$14="Yes",IF(COUNTBLANK('Capacity summary'!$H129:$BG129)&lt;52,IF('Capacity summary'!V129&lt;&gt;"",IF(LOWER('Capacity summary'!V129)="x",$BI10*V10,VALUE('Capacity summary'!V129)),0),V10*$BI10),V10*$BI10),0)</f>
        <v>0</v>
      </c>
      <c r="BZ10" s="311">
        <f>IF($BI10&lt;&gt;"",IF('Capacity summary'!$D$14="Yes",IF(COUNTBLANK('Capacity summary'!$H129:$BG129)&lt;52,IF('Capacity summary'!W129&lt;&gt;"",IF(LOWER('Capacity summary'!W129)="x",$BI10*W10,VALUE('Capacity summary'!W129)),0),W10*$BI10),W10*$BI10),0)</f>
        <v>0</v>
      </c>
      <c r="CA10" s="311">
        <f>IF($BI10&lt;&gt;"",IF('Capacity summary'!$D$14="Yes",IF(COUNTBLANK('Capacity summary'!$H129:$BG129)&lt;52,IF('Capacity summary'!X129&lt;&gt;"",IF(LOWER('Capacity summary'!X129)="x",$BI10*X10,VALUE('Capacity summary'!X129)),0),X10*$BI10),X10*$BI10),0)</f>
        <v>0</v>
      </c>
      <c r="CB10" s="311">
        <f>IF($BI10&lt;&gt;"",IF('Capacity summary'!$D$14="Yes",IF(COUNTBLANK('Capacity summary'!$H129:$BG129)&lt;52,IF('Capacity summary'!Y129&lt;&gt;"",IF(LOWER('Capacity summary'!Y129)="x",$BI10*Y10,VALUE('Capacity summary'!Y129)),0),Y10*$BI10),Y10*$BI10),0)</f>
        <v>0</v>
      </c>
      <c r="CC10" s="311">
        <f>IF($BI10&lt;&gt;"",IF('Capacity summary'!$D$14="Yes",IF(COUNTBLANK('Capacity summary'!$H129:$BG129)&lt;52,IF('Capacity summary'!Z129&lt;&gt;"",IF(LOWER('Capacity summary'!Z129)="x",$BI10*Z10,VALUE('Capacity summary'!Z129)),0),Z10*$BI10),Z10*$BI10),0)</f>
        <v>0</v>
      </c>
      <c r="CD10" s="311">
        <f>IF($BI10&lt;&gt;"",IF('Capacity summary'!$D$14="Yes",IF(COUNTBLANK('Capacity summary'!$H129:$BG129)&lt;52,IF('Capacity summary'!AA129&lt;&gt;"",IF(LOWER('Capacity summary'!AA129)="x",$BI10*AA10,VALUE('Capacity summary'!AA129)),0),AA10*$BI10),AA10*$BI10),0)</f>
        <v>0</v>
      </c>
      <c r="CE10" s="311">
        <f>IF($BI10&lt;&gt;"",IF('Capacity summary'!$D$14="Yes",IF(COUNTBLANK('Capacity summary'!$H129:$BG129)&lt;52,IF('Capacity summary'!AB129&lt;&gt;"",IF(LOWER('Capacity summary'!AB129)="x",$BI10*AB10,VALUE('Capacity summary'!AB129)),0),AB10*$BI10),AB10*$BI10),0)</f>
        <v>0</v>
      </c>
      <c r="CF10" s="311">
        <f>IF($BI10&lt;&gt;"",IF('Capacity summary'!$D$14="Yes",IF(COUNTBLANK('Capacity summary'!$H129:$BG129)&lt;52,IF('Capacity summary'!AC129&lt;&gt;"",IF(LOWER('Capacity summary'!AC129)="x",$BI10*AC10,VALUE('Capacity summary'!AC129)),0),AC10*$BI10),AC10*$BI10),0)</f>
        <v>0</v>
      </c>
      <c r="CG10" s="311">
        <f>IF($BI10&lt;&gt;"",IF('Capacity summary'!$D$14="Yes",IF(COUNTBLANK('Capacity summary'!$H129:$BG129)&lt;52,IF('Capacity summary'!AD129&lt;&gt;"",IF(LOWER('Capacity summary'!AD129)="x",$BI10*AD10,VALUE('Capacity summary'!AD129)),0),AD10*$BI10),AD10*$BI10),0)</f>
        <v>0</v>
      </c>
      <c r="CH10" s="311">
        <f>IF($BI10&lt;&gt;"",IF('Capacity summary'!$D$14="Yes",IF(COUNTBLANK('Capacity summary'!$H129:$BG129)&lt;52,IF('Capacity summary'!AE129&lt;&gt;"",IF(LOWER('Capacity summary'!AE129)="x",$BI10*AE10,VALUE('Capacity summary'!AE129)),0),AE10*$BI10),AE10*$BI10),0)</f>
        <v>0</v>
      </c>
      <c r="CI10" s="311">
        <f>IF($BI10&lt;&gt;"",IF('Capacity summary'!$D$14="Yes",IF(COUNTBLANK('Capacity summary'!$H129:$BG129)&lt;52,IF('Capacity summary'!AF129&lt;&gt;"",IF(LOWER('Capacity summary'!AF129)="x",$BI10*AF10,VALUE('Capacity summary'!AF129)),0),AF10*$BI10),AF10*$BI10),0)</f>
        <v>0</v>
      </c>
      <c r="CJ10" s="311">
        <f>IF($BI10&lt;&gt;"",IF('Capacity summary'!$D$14="Yes",IF(COUNTBLANK('Capacity summary'!$H129:$BG129)&lt;52,IF('Capacity summary'!AG129&lt;&gt;"",IF(LOWER('Capacity summary'!AG129)="x",$BI10*AG10,VALUE('Capacity summary'!AG129)),0),AG10*$BI10),AG10*$BI10),0)</f>
        <v>0</v>
      </c>
      <c r="CK10" s="311">
        <f>IF($BI10&lt;&gt;"",IF('Capacity summary'!$D$14="Yes",IF(COUNTBLANK('Capacity summary'!$H129:$BG129)&lt;52,IF('Capacity summary'!AH129&lt;&gt;"",IF(LOWER('Capacity summary'!AH129)="x",$BI10*AH10,VALUE('Capacity summary'!AH129)),0),AH10*$BI10),AH10*$BI10),0)</f>
        <v>0</v>
      </c>
      <c r="CL10" s="311">
        <f>IF($BI10&lt;&gt;"",IF('Capacity summary'!$D$14="Yes",IF(COUNTBLANK('Capacity summary'!$H129:$BG129)&lt;52,IF('Capacity summary'!AI129&lt;&gt;"",IF(LOWER('Capacity summary'!AI129)="x",$BI10*AI10,VALUE('Capacity summary'!AI129)),0),AI10*$BI10),AI10*$BI10),0)</f>
        <v>0</v>
      </c>
      <c r="CM10" s="311">
        <f>IF($BI10&lt;&gt;"",IF('Capacity summary'!$D$14="Yes",IF(COUNTBLANK('Capacity summary'!$H129:$BG129)&lt;52,IF('Capacity summary'!AJ129&lt;&gt;"",IF(LOWER('Capacity summary'!AJ129)="x",$BI10*AJ10,VALUE('Capacity summary'!AJ129)),0),AJ10*$BI10),AJ10*$BI10),0)</f>
        <v>0</v>
      </c>
      <c r="CN10" s="311">
        <f>IF($BI10&lt;&gt;"",IF('Capacity summary'!$D$14="Yes",IF(COUNTBLANK('Capacity summary'!$H129:$BG129)&lt;52,IF('Capacity summary'!AK129&lt;&gt;"",IF(LOWER('Capacity summary'!AK129)="x",$BI10*AK10,VALUE('Capacity summary'!AK129)),0),AK10*$BI10),AK10*$BI10),0)</f>
        <v>0</v>
      </c>
      <c r="CO10" s="311">
        <f>IF($BI10&lt;&gt;"",IF('Capacity summary'!$D$14="Yes",IF(COUNTBLANK('Capacity summary'!$H129:$BG129)&lt;52,IF('Capacity summary'!AL129&lt;&gt;"",IF(LOWER('Capacity summary'!AL129)="x",$BI10*AL10,VALUE('Capacity summary'!AL129)),0),AL10*$BI10),AL10*$BI10),0)</f>
        <v>0</v>
      </c>
      <c r="CP10" s="311">
        <f>IF($BI10&lt;&gt;"",IF('Capacity summary'!$D$14="Yes",IF(COUNTBLANK('Capacity summary'!$H129:$BG129)&lt;52,IF('Capacity summary'!AM129&lt;&gt;"",IF(LOWER('Capacity summary'!AM129)="x",$BI10*AM10,VALUE('Capacity summary'!AM129)),0),AM10*$BI10),AM10*$BI10),0)</f>
        <v>0</v>
      </c>
      <c r="CQ10" s="311">
        <f>IF($BI10&lt;&gt;"",IF('Capacity summary'!$D$14="Yes",IF(COUNTBLANK('Capacity summary'!$H129:$BG129)&lt;52,IF('Capacity summary'!AN129&lt;&gt;"",IF(LOWER('Capacity summary'!AN129)="x",$BI10*AN10,VALUE('Capacity summary'!AN129)),0),AN10*$BI10),AN10*$BI10),0)</f>
        <v>0</v>
      </c>
      <c r="CR10" s="311">
        <f>IF($BI10&lt;&gt;"",IF('Capacity summary'!$D$14="Yes",IF(COUNTBLANK('Capacity summary'!$H129:$BG129)&lt;52,IF('Capacity summary'!AO129&lt;&gt;"",IF(LOWER('Capacity summary'!AO129)="x",$BI10*AO10,VALUE('Capacity summary'!AO129)),0),AO10*$BI10),AO10*$BI10),0)</f>
        <v>0</v>
      </c>
      <c r="CS10" s="311">
        <f>IF($BI10&lt;&gt;"",IF('Capacity summary'!$D$14="Yes",IF(COUNTBLANK('Capacity summary'!$H129:$BG129)&lt;52,IF('Capacity summary'!AP129&lt;&gt;"",IF(LOWER('Capacity summary'!AP129)="x",$BI10*AP10,VALUE('Capacity summary'!AP129)),0),AP10*$BI10),AP10*$BI10),0)</f>
        <v>0</v>
      </c>
      <c r="CT10" s="311">
        <f>IF($BI10&lt;&gt;"",IF('Capacity summary'!$D$14="Yes",IF(COUNTBLANK('Capacity summary'!$H129:$BG129)&lt;52,IF('Capacity summary'!AQ129&lt;&gt;"",IF(LOWER('Capacity summary'!AQ129)="x",$BI10*AQ10,VALUE('Capacity summary'!AQ129)),0),AQ10*$BI10),AQ10*$BI10),0)</f>
        <v>0</v>
      </c>
      <c r="CU10" s="311">
        <f>IF($BI10&lt;&gt;"",IF('Capacity summary'!$D$14="Yes",IF(COUNTBLANK('Capacity summary'!$H129:$BG129)&lt;52,IF('Capacity summary'!AR129&lt;&gt;"",IF(LOWER('Capacity summary'!AR129)="x",$BI10*AR10,VALUE('Capacity summary'!AR129)),0),AR10*$BI10),AR10*$BI10),0)</f>
        <v>0</v>
      </c>
      <c r="CV10" s="311">
        <f>IF($BI10&lt;&gt;"",IF('Capacity summary'!$D$14="Yes",IF(COUNTBLANK('Capacity summary'!$H129:$BG129)&lt;52,IF('Capacity summary'!AS129&lt;&gt;"",IF(LOWER('Capacity summary'!AS129)="x",$BI10*AS10,VALUE('Capacity summary'!AS129)),0),AS10*$BI10),AS10*$BI10),0)</f>
        <v>0</v>
      </c>
      <c r="CW10" s="311">
        <f>IF($BI10&lt;&gt;"",IF('Capacity summary'!$D$14="Yes",IF(COUNTBLANK('Capacity summary'!$H129:$BG129)&lt;52,IF('Capacity summary'!AT129&lt;&gt;"",IF(LOWER('Capacity summary'!AT129)="x",$BI10*AT10,VALUE('Capacity summary'!AT129)),0),AT10*$BI10),AT10*$BI10),0)</f>
        <v>0</v>
      </c>
      <c r="CX10" s="311">
        <f>IF($BI10&lt;&gt;"",IF('Capacity summary'!$D$14="Yes",IF(COUNTBLANK('Capacity summary'!$H129:$BG129)&lt;52,IF('Capacity summary'!AU129&lt;&gt;"",IF(LOWER('Capacity summary'!AU129)="x",$BI10*AU10,VALUE('Capacity summary'!AU129)),0),AU10*$BI10),AU10*$BI10),0)</f>
        <v>0</v>
      </c>
      <c r="CY10" s="311">
        <f>IF($BI10&lt;&gt;"",IF('Capacity summary'!$D$14="Yes",IF(COUNTBLANK('Capacity summary'!$H129:$BG129)&lt;52,IF('Capacity summary'!AV129&lt;&gt;"",IF(LOWER('Capacity summary'!AV129)="x",$BI10*AV10,VALUE('Capacity summary'!AV129)),0),AV10*$BI10),AV10*$BI10),0)</f>
        <v>0</v>
      </c>
      <c r="CZ10" s="311">
        <f>IF($BI10&lt;&gt;"",IF('Capacity summary'!$D$14="Yes",IF(COUNTBLANK('Capacity summary'!$H129:$BG129)&lt;52,IF('Capacity summary'!AW129&lt;&gt;"",IF(LOWER('Capacity summary'!AW129)="x",$BI10*AW10,VALUE('Capacity summary'!AW129)),0),AW10*$BI10),AW10*$BI10),0)</f>
        <v>0</v>
      </c>
      <c r="DA10" s="311">
        <f>IF($BI10&lt;&gt;"",IF('Capacity summary'!$D$14="Yes",IF(COUNTBLANK('Capacity summary'!$H129:$BG129)&lt;52,IF('Capacity summary'!AX129&lt;&gt;"",IF(LOWER('Capacity summary'!AX129)="x",$BI10*AX10,VALUE('Capacity summary'!AX129)),0),AX10*$BI10),AX10*$BI10),0)</f>
        <v>0</v>
      </c>
      <c r="DB10" s="311">
        <f>IF($BI10&lt;&gt;"",IF('Capacity summary'!$D$14="Yes",IF(COUNTBLANK('Capacity summary'!$H129:$BG129)&lt;52,IF('Capacity summary'!AY129&lt;&gt;"",IF(LOWER('Capacity summary'!AY129)="x",$BI10*AY10,VALUE('Capacity summary'!AY129)),0),AY10*$BI10),AY10*$BI10),0)</f>
        <v>0</v>
      </c>
      <c r="DC10" s="311">
        <f>IF($BI10&lt;&gt;"",IF('Capacity summary'!$D$14="Yes",IF(COUNTBLANK('Capacity summary'!$H129:$BG129)&lt;52,IF('Capacity summary'!AZ129&lt;&gt;"",IF(LOWER('Capacity summary'!AZ129)="x",$BI10*AZ10,VALUE('Capacity summary'!AZ129)),0),AZ10*$BI10),AZ10*$BI10),0)</f>
        <v>0</v>
      </c>
      <c r="DD10" s="311">
        <f>IF($BI10&lt;&gt;"",IF('Capacity summary'!$D$14="Yes",IF(COUNTBLANK('Capacity summary'!$H129:$BG129)&lt;52,IF('Capacity summary'!BA129&lt;&gt;"",IF(LOWER('Capacity summary'!BA129)="x",$BI10*BA10,VALUE('Capacity summary'!BA129)),0),BA10*$BI10),BA10*$BI10),0)</f>
        <v>0</v>
      </c>
      <c r="DE10" s="311">
        <f>IF($BI10&lt;&gt;"",IF('Capacity summary'!$D$14="Yes",IF(COUNTBLANK('Capacity summary'!$H129:$BG129)&lt;52,IF('Capacity summary'!BB129&lt;&gt;"",IF(LOWER('Capacity summary'!BB129)="x",$BI10*BB10,VALUE('Capacity summary'!BB129)),0),BB10*$BI10),BB10*$BI10),0)</f>
        <v>0</v>
      </c>
      <c r="DF10" s="311">
        <f>IF($BI10&lt;&gt;"",IF('Capacity summary'!$D$14="Yes",IF(COUNTBLANK('Capacity summary'!$H129:$BG129)&lt;52,IF('Capacity summary'!BC129&lt;&gt;"",IF(LOWER('Capacity summary'!BC129)="x",$BI10*BC10,VALUE('Capacity summary'!BC129)),0),BC10*$BI10),BC10*$BI10),0)</f>
        <v>0</v>
      </c>
      <c r="DG10" s="311">
        <f>IF($BI10&lt;&gt;"",IF('Capacity summary'!$D$14="Yes",IF(COUNTBLANK('Capacity summary'!$H129:$BG129)&lt;52,IF('Capacity summary'!BD129&lt;&gt;"",IF(LOWER('Capacity summary'!BD129)="x",$BI10*BD10,VALUE('Capacity summary'!BD129)),0),BD10*$BI10),BD10*$BI10),0)</f>
        <v>0</v>
      </c>
      <c r="DH10" s="311">
        <f>IF($BI10&lt;&gt;"",IF('Capacity summary'!$D$14="Yes",IF(COUNTBLANK('Capacity summary'!$H129:$BG129)&lt;52,IF('Capacity summary'!BE129&lt;&gt;"",IF(LOWER('Capacity summary'!BE129)="x",$BI10*BE10,VALUE('Capacity summary'!BE129)),0),BE10*$BI10),BE10*$BI10),0)</f>
        <v>0</v>
      </c>
      <c r="DI10" s="311">
        <f>IF($BI10&lt;&gt;"",IF('Capacity summary'!$D$14="Yes",IF(COUNTBLANK('Capacity summary'!$H129:$BG129)&lt;52,IF('Capacity summary'!BF129&lt;&gt;"",IF(LOWER('Capacity summary'!BF129)="x",$BI10*BF10,VALUE('Capacity summary'!BF129)),0),BF10*$BI10),BF10*$BI10),0)</f>
        <v>0</v>
      </c>
      <c r="DJ10" s="311">
        <f>IF($BI10&lt;&gt;"",IF('Capacity summary'!$D$14="Yes",IF(COUNTBLANK('Capacity summary'!$H129:$BG129)&lt;52,IF('Capacity summary'!BG129&lt;&gt;"",IF(LOWER('Capacity summary'!BG129)="x",$BI10*BG10,VALUE('Capacity summary'!BG129)),0),BG10*$BI10),BG10*$BI10),0)</f>
        <v>0</v>
      </c>
      <c r="DK10" s="391">
        <f t="shared" si="2"/>
        <v>0</v>
      </c>
      <c r="DL10" s="136">
        <f t="shared" si="3"/>
        <v>0</v>
      </c>
      <c r="DM10" s="311" t="str">
        <f>Capacity!H22</f>
        <v/>
      </c>
      <c r="DQ10" s="5"/>
    </row>
    <row r="11" spans="1:121" x14ac:dyDescent="0.2">
      <c r="A11" s="67">
        <f>IF(Capacity!L23='Capacity summary'!BI130,1,0)</f>
        <v>1</v>
      </c>
      <c r="B11" s="67">
        <f>IF(Capacity!V23='Capacity summary'!BI30,1,0)</f>
        <v>1</v>
      </c>
      <c r="C11" s="67" t="str">
        <f>ROW(A7)&amp;". "&amp;Capacity!B23</f>
        <v xml:space="preserve">7. </v>
      </c>
      <c r="D11" s="67">
        <f>'Capacity setup'!C18</f>
        <v>0</v>
      </c>
      <c r="E11" s="67">
        <f>'Capacity setup'!D18</f>
        <v>0</v>
      </c>
      <c r="F11" s="67">
        <f>'Capacity setup'!E18</f>
        <v>0</v>
      </c>
      <c r="H11" s="67">
        <f ca="1">IF(LOWER(Capacity!$L23)="x",IF(AND(SUMIF(Capacity_Resource,$D11,'Critical resources (hide)'!U$6:U$105)+SUMIF(Capacity_Resource,$E11,'Critical resources (hide)'!U$6:U$105)+SUMIF(Capacity_Resource,$F11,'Critical resources (hide)'!U$6:U$105)&gt;0,$E$1=2),0,1),0)</f>
        <v>1</v>
      </c>
      <c r="I11" s="67">
        <f ca="1">IF(LOWER(Capacity!$L23)="x",IF(AND(SUMIF(Capacity_Resource,$D11,'Critical resources (hide)'!V$6:V$105)+SUMIF(Capacity_Resource,$E11,'Critical resources (hide)'!V$6:V$105)+SUMIF(Capacity_Resource,$F11,'Critical resources (hide)'!V$6:V$105)&gt;0,$E$1=2),0,1),0)</f>
        <v>1</v>
      </c>
      <c r="J11" s="67">
        <f ca="1">IF(LOWER(Capacity!$L23)="x",IF(AND(SUMIF(Capacity_Resource,$D11,'Critical resources (hide)'!W$6:W$105)+SUMIF(Capacity_Resource,$E11,'Critical resources (hide)'!W$6:W$105)+SUMIF(Capacity_Resource,$F11,'Critical resources (hide)'!W$6:W$105)&gt;0,$E$1=2),0,1),0)</f>
        <v>1</v>
      </c>
      <c r="K11" s="67">
        <f ca="1">IF(LOWER(Capacity!$L23)="x",IF(AND(SUMIF(Capacity_Resource,$D11,'Critical resources (hide)'!X$6:X$105)+SUMIF(Capacity_Resource,$E11,'Critical resources (hide)'!X$6:X$105)+SUMIF(Capacity_Resource,$F11,'Critical resources (hide)'!X$6:X$105)&gt;0,$E$1=2),0,1),0)</f>
        <v>1</v>
      </c>
      <c r="L11" s="67">
        <f ca="1">IF(LOWER(Capacity!$L23)="x",IF(AND(SUMIF(Capacity_Resource,$D11,'Critical resources (hide)'!Y$6:Y$105)+SUMIF(Capacity_Resource,$E11,'Critical resources (hide)'!Y$6:Y$105)+SUMIF(Capacity_Resource,$F11,'Critical resources (hide)'!Y$6:Y$105)&gt;0,$E$1=2),0,1),0)</f>
        <v>1</v>
      </c>
      <c r="M11" s="67">
        <f ca="1">IF(LOWER(Capacity!$L23)="x",IF(AND(SUMIF(Capacity_Resource,$D11,'Critical resources (hide)'!Z$6:Z$105)+SUMIF(Capacity_Resource,$E11,'Critical resources (hide)'!Z$6:Z$105)+SUMIF(Capacity_Resource,$F11,'Critical resources (hide)'!Z$6:Z$105)&gt;0,$E$1=2),0,1),0)</f>
        <v>1</v>
      </c>
      <c r="N11" s="67">
        <f ca="1">IF(LOWER(Capacity!$L23)="x",IF(AND(SUMIF(Capacity_Resource,$D11,'Critical resources (hide)'!AA$6:AA$105)+SUMIF(Capacity_Resource,$E11,'Critical resources (hide)'!AA$6:AA$105)+SUMIF(Capacity_Resource,$F11,'Critical resources (hide)'!AA$6:AA$105)&gt;0,$E$1=2),0,1),0)</f>
        <v>1</v>
      </c>
      <c r="O11" s="67">
        <f ca="1">IF(LOWER(Capacity!$L23)="x",IF(AND(SUMIF(Capacity_Resource,$D11,'Critical resources (hide)'!AB$6:AB$105)+SUMIF(Capacity_Resource,$E11,'Critical resources (hide)'!AB$6:AB$105)+SUMIF(Capacity_Resource,$F11,'Critical resources (hide)'!AB$6:AB$105)&gt;0,$E$1=2),0,1),0)</f>
        <v>1</v>
      </c>
      <c r="P11" s="67">
        <f ca="1">IF(LOWER(Capacity!$L23)="x",IF(AND(SUMIF(Capacity_Resource,$D11,'Critical resources (hide)'!AC$6:AC$105)+SUMIF(Capacity_Resource,$E11,'Critical resources (hide)'!AC$6:AC$105)+SUMIF(Capacity_Resource,$F11,'Critical resources (hide)'!AC$6:AC$105)&gt;0,$E$1=2),0,1),0)</f>
        <v>1</v>
      </c>
      <c r="Q11" s="67">
        <f ca="1">IF(LOWER(Capacity!$L23)="x",IF(AND(SUMIF(Capacity_Resource,$D11,'Critical resources (hide)'!AD$6:AD$105)+SUMIF(Capacity_Resource,$E11,'Critical resources (hide)'!AD$6:AD$105)+SUMIF(Capacity_Resource,$F11,'Critical resources (hide)'!AD$6:AD$105)&gt;0,$E$1=2),0,1),0)</f>
        <v>1</v>
      </c>
      <c r="R11" s="67">
        <f ca="1">IF(LOWER(Capacity!$L23)="x",IF(AND(SUMIF(Capacity_Resource,$D11,'Critical resources (hide)'!AE$6:AE$105)+SUMIF(Capacity_Resource,$E11,'Critical resources (hide)'!AE$6:AE$105)+SUMIF(Capacity_Resource,$F11,'Critical resources (hide)'!AE$6:AE$105)&gt;0,$E$1=2),0,1),0)</f>
        <v>1</v>
      </c>
      <c r="S11" s="67">
        <f ca="1">IF(LOWER(Capacity!$L23)="x",IF(AND(SUMIF(Capacity_Resource,$D11,'Critical resources (hide)'!AF$6:AF$105)+SUMIF(Capacity_Resource,$E11,'Critical resources (hide)'!AF$6:AF$105)+SUMIF(Capacity_Resource,$F11,'Critical resources (hide)'!AF$6:AF$105)&gt;0,$E$1=2),0,1),0)</f>
        <v>1</v>
      </c>
      <c r="T11" s="67">
        <f ca="1">IF(LOWER(Capacity!$L23)="x",IF(AND(SUMIF(Capacity_Resource,$D11,'Critical resources (hide)'!AG$6:AG$105)+SUMIF(Capacity_Resource,$E11,'Critical resources (hide)'!AG$6:AG$105)+SUMIF(Capacity_Resource,$F11,'Critical resources (hide)'!AG$6:AG$105)&gt;0,$E$1=2),0,1),0)</f>
        <v>1</v>
      </c>
      <c r="U11" s="67">
        <f ca="1">IF(LOWER(Capacity!$L23)="x",IF(AND(SUMIF(Capacity_Resource,$D11,'Critical resources (hide)'!AH$6:AH$105)+SUMIF(Capacity_Resource,$E11,'Critical resources (hide)'!AH$6:AH$105)+SUMIF(Capacity_Resource,$F11,'Critical resources (hide)'!AH$6:AH$105)&gt;0,$E$1=2),0,1),0)</f>
        <v>1</v>
      </c>
      <c r="V11" s="67">
        <f ca="1">IF(LOWER(Capacity!$L23)="x",IF(AND(SUMIF(Capacity_Resource,$D11,'Critical resources (hide)'!AI$6:AI$105)+SUMIF(Capacity_Resource,$E11,'Critical resources (hide)'!AI$6:AI$105)+SUMIF(Capacity_Resource,$F11,'Critical resources (hide)'!AI$6:AI$105)&gt;0,$E$1=2),0,1),0)</f>
        <v>1</v>
      </c>
      <c r="W11" s="67">
        <f ca="1">IF(LOWER(Capacity!$L23)="x",IF(AND(SUMIF(Capacity_Resource,$D11,'Critical resources (hide)'!AJ$6:AJ$105)+SUMIF(Capacity_Resource,$E11,'Critical resources (hide)'!AJ$6:AJ$105)+SUMIF(Capacity_Resource,$F11,'Critical resources (hide)'!AJ$6:AJ$105)&gt;0,$E$1=2),0,1),0)</f>
        <v>1</v>
      </c>
      <c r="X11" s="67">
        <f ca="1">IF(LOWER(Capacity!$L23)="x",IF(AND(SUMIF(Capacity_Resource,$D11,'Critical resources (hide)'!AK$6:AK$105)+SUMIF(Capacity_Resource,$E11,'Critical resources (hide)'!AK$6:AK$105)+SUMIF(Capacity_Resource,$F11,'Critical resources (hide)'!AK$6:AK$105)&gt;0,$E$1=2),0,1),0)</f>
        <v>1</v>
      </c>
      <c r="Y11" s="67">
        <f ca="1">IF(LOWER(Capacity!$L23)="x",IF(AND(SUMIF(Capacity_Resource,$D11,'Critical resources (hide)'!AL$6:AL$105)+SUMIF(Capacity_Resource,$E11,'Critical resources (hide)'!AL$6:AL$105)+SUMIF(Capacity_Resource,$F11,'Critical resources (hide)'!AL$6:AL$105)&gt;0,$E$1=2),0,1),0)</f>
        <v>1</v>
      </c>
      <c r="Z11" s="67">
        <f ca="1">IF(LOWER(Capacity!$L23)="x",IF(AND(SUMIF(Capacity_Resource,$D11,'Critical resources (hide)'!AM$6:AM$105)+SUMIF(Capacity_Resource,$E11,'Critical resources (hide)'!AM$6:AM$105)+SUMIF(Capacity_Resource,$F11,'Critical resources (hide)'!AM$6:AM$105)&gt;0,$E$1=2),0,1),0)</f>
        <v>1</v>
      </c>
      <c r="AA11" s="67">
        <f ca="1">IF(LOWER(Capacity!$L23)="x",IF(AND(SUMIF(Capacity_Resource,$D11,'Critical resources (hide)'!AN$6:AN$105)+SUMIF(Capacity_Resource,$E11,'Critical resources (hide)'!AN$6:AN$105)+SUMIF(Capacity_Resource,$F11,'Critical resources (hide)'!AN$6:AN$105)&gt;0,$E$1=2),0,1),0)</f>
        <v>1</v>
      </c>
      <c r="AB11" s="67">
        <f ca="1">IF(LOWER(Capacity!$L23)="x",IF(AND(SUMIF(Capacity_Resource,$D11,'Critical resources (hide)'!AO$6:AO$105)+SUMIF(Capacity_Resource,$E11,'Critical resources (hide)'!AO$6:AO$105)+SUMIF(Capacity_Resource,$F11,'Critical resources (hide)'!AO$6:AO$105)&gt;0,$E$1=2),0,1),0)</f>
        <v>1</v>
      </c>
      <c r="AC11" s="67">
        <f ca="1">IF(LOWER(Capacity!$L23)="x",IF(AND(SUMIF(Capacity_Resource,$D11,'Critical resources (hide)'!AP$6:AP$105)+SUMIF(Capacity_Resource,$E11,'Critical resources (hide)'!AP$6:AP$105)+SUMIF(Capacity_Resource,$F11,'Critical resources (hide)'!AP$6:AP$105)&gt;0,$E$1=2),0,1),0)</f>
        <v>1</v>
      </c>
      <c r="AD11" s="67">
        <f ca="1">IF(LOWER(Capacity!$L23)="x",IF(AND(SUMIF(Capacity_Resource,$D11,'Critical resources (hide)'!AQ$6:AQ$105)+SUMIF(Capacity_Resource,$E11,'Critical resources (hide)'!AQ$6:AQ$105)+SUMIF(Capacity_Resource,$F11,'Critical resources (hide)'!AQ$6:AQ$105)&gt;0,$E$1=2),0,1),0)</f>
        <v>1</v>
      </c>
      <c r="AE11" s="67">
        <f ca="1">IF(LOWER(Capacity!$L23)="x",IF(AND(SUMIF(Capacity_Resource,$D11,'Critical resources (hide)'!AR$6:AR$105)+SUMIF(Capacity_Resource,$E11,'Critical resources (hide)'!AR$6:AR$105)+SUMIF(Capacity_Resource,$F11,'Critical resources (hide)'!AR$6:AR$105)&gt;0,$E$1=2),0,1),0)</f>
        <v>1</v>
      </c>
      <c r="AF11" s="67">
        <f ca="1">IF(LOWER(Capacity!$L23)="x",IF(AND(SUMIF(Capacity_Resource,$D11,'Critical resources (hide)'!AS$6:AS$105)+SUMIF(Capacity_Resource,$E11,'Critical resources (hide)'!AS$6:AS$105)+SUMIF(Capacity_Resource,$F11,'Critical resources (hide)'!AS$6:AS$105)&gt;0,$E$1=2),0,1),0)</f>
        <v>1</v>
      </c>
      <c r="AG11" s="67">
        <f ca="1">IF(LOWER(Capacity!$L23)="x",IF(AND(SUMIF(Capacity_Resource,$D11,'Critical resources (hide)'!AT$6:AT$105)+SUMIF(Capacity_Resource,$E11,'Critical resources (hide)'!AT$6:AT$105)+SUMIF(Capacity_Resource,$F11,'Critical resources (hide)'!AT$6:AT$105)&gt;0,$E$1=2),0,1),0)</f>
        <v>1</v>
      </c>
      <c r="AH11" s="67">
        <f ca="1">IF(LOWER(Capacity!$L23)="x",IF(AND(SUMIF(Capacity_Resource,$D11,'Critical resources (hide)'!AU$6:AU$105)+SUMIF(Capacity_Resource,$E11,'Critical resources (hide)'!AU$6:AU$105)+SUMIF(Capacity_Resource,$F11,'Critical resources (hide)'!AU$6:AU$105)&gt;0,$E$1=2),0,1),0)</f>
        <v>1</v>
      </c>
      <c r="AI11" s="67">
        <f ca="1">IF(LOWER(Capacity!$L23)="x",IF(AND(SUMIF(Capacity_Resource,$D11,'Critical resources (hide)'!AV$6:AV$105)+SUMIF(Capacity_Resource,$E11,'Critical resources (hide)'!AV$6:AV$105)+SUMIF(Capacity_Resource,$F11,'Critical resources (hide)'!AV$6:AV$105)&gt;0,$E$1=2),0,1),0)</f>
        <v>1</v>
      </c>
      <c r="AJ11" s="67">
        <f ca="1">IF(LOWER(Capacity!$L23)="x",IF(AND(SUMIF(Capacity_Resource,$D11,'Critical resources (hide)'!AW$6:AW$105)+SUMIF(Capacity_Resource,$E11,'Critical resources (hide)'!AW$6:AW$105)+SUMIF(Capacity_Resource,$F11,'Critical resources (hide)'!AW$6:AW$105)&gt;0,$E$1=2),0,1),0)</f>
        <v>1</v>
      </c>
      <c r="AK11" s="67">
        <f ca="1">IF(LOWER(Capacity!$L23)="x",IF(AND(SUMIF(Capacity_Resource,$D11,'Critical resources (hide)'!AX$6:AX$105)+SUMIF(Capacity_Resource,$E11,'Critical resources (hide)'!AX$6:AX$105)+SUMIF(Capacity_Resource,$F11,'Critical resources (hide)'!AX$6:AX$105)&gt;0,$E$1=2),0,1),0)</f>
        <v>1</v>
      </c>
      <c r="AL11" s="67">
        <f ca="1">IF(LOWER(Capacity!$L23)="x",IF(AND(SUMIF(Capacity_Resource,$D11,'Critical resources (hide)'!AY$6:AY$105)+SUMIF(Capacity_Resource,$E11,'Critical resources (hide)'!AY$6:AY$105)+SUMIF(Capacity_Resource,$F11,'Critical resources (hide)'!AY$6:AY$105)&gt;0,$E$1=2),0,1),0)</f>
        <v>1</v>
      </c>
      <c r="AM11" s="67">
        <f ca="1">IF(LOWER(Capacity!$L23)="x",IF(AND(SUMIF(Capacity_Resource,$D11,'Critical resources (hide)'!AZ$6:AZ$105)+SUMIF(Capacity_Resource,$E11,'Critical resources (hide)'!AZ$6:AZ$105)+SUMIF(Capacity_Resource,$F11,'Critical resources (hide)'!AZ$6:AZ$105)&gt;0,$E$1=2),0,1),0)</f>
        <v>1</v>
      </c>
      <c r="AN11" s="67">
        <f ca="1">IF(LOWER(Capacity!$L23)="x",IF(AND(SUMIF(Capacity_Resource,$D11,'Critical resources (hide)'!BA$6:BA$105)+SUMIF(Capacity_Resource,$E11,'Critical resources (hide)'!BA$6:BA$105)+SUMIF(Capacity_Resource,$F11,'Critical resources (hide)'!BA$6:BA$105)&gt;0,$E$1=2),0,1),0)</f>
        <v>1</v>
      </c>
      <c r="AO11" s="67">
        <f ca="1">IF(LOWER(Capacity!$L23)="x",IF(AND(SUMIF(Capacity_Resource,$D11,'Critical resources (hide)'!BB$6:BB$105)+SUMIF(Capacity_Resource,$E11,'Critical resources (hide)'!BB$6:BB$105)+SUMIF(Capacity_Resource,$F11,'Critical resources (hide)'!BB$6:BB$105)&gt;0,$E$1=2),0,1),0)</f>
        <v>1</v>
      </c>
      <c r="AP11" s="67">
        <f ca="1">IF(LOWER(Capacity!$L23)="x",IF(AND(SUMIF(Capacity_Resource,$D11,'Critical resources (hide)'!BC$6:BC$105)+SUMIF(Capacity_Resource,$E11,'Critical resources (hide)'!BC$6:BC$105)+SUMIF(Capacity_Resource,$F11,'Critical resources (hide)'!BC$6:BC$105)&gt;0,$E$1=2),0,1),0)</f>
        <v>1</v>
      </c>
      <c r="AQ11" s="67">
        <f ca="1">IF(LOWER(Capacity!$L23)="x",IF(AND(SUMIF(Capacity_Resource,$D11,'Critical resources (hide)'!BD$6:BD$105)+SUMIF(Capacity_Resource,$E11,'Critical resources (hide)'!BD$6:BD$105)+SUMIF(Capacity_Resource,$F11,'Critical resources (hide)'!BD$6:BD$105)&gt;0,$E$1=2),0,1),0)</f>
        <v>1</v>
      </c>
      <c r="AR11" s="67">
        <f ca="1">IF(LOWER(Capacity!$L23)="x",IF(AND(SUMIF(Capacity_Resource,$D11,'Critical resources (hide)'!BE$6:BE$105)+SUMIF(Capacity_Resource,$E11,'Critical resources (hide)'!BE$6:BE$105)+SUMIF(Capacity_Resource,$F11,'Critical resources (hide)'!BE$6:BE$105)&gt;0,$E$1=2),0,1),0)</f>
        <v>1</v>
      </c>
      <c r="AS11" s="67">
        <f ca="1">IF(LOWER(Capacity!$L23)="x",IF(AND(SUMIF(Capacity_Resource,$D11,'Critical resources (hide)'!BF$6:BF$105)+SUMIF(Capacity_Resource,$E11,'Critical resources (hide)'!BF$6:BF$105)+SUMIF(Capacity_Resource,$F11,'Critical resources (hide)'!BF$6:BF$105)&gt;0,$E$1=2),0,1),0)</f>
        <v>1</v>
      </c>
      <c r="AT11" s="67">
        <f ca="1">IF(LOWER(Capacity!$L23)="x",IF(AND(SUMIF(Capacity_Resource,$D11,'Critical resources (hide)'!BG$6:BG$105)+SUMIF(Capacity_Resource,$E11,'Critical resources (hide)'!BG$6:BG$105)+SUMIF(Capacity_Resource,$F11,'Critical resources (hide)'!BG$6:BG$105)&gt;0,$E$1=2),0,1),0)</f>
        <v>1</v>
      </c>
      <c r="AU11" s="67">
        <f ca="1">IF(LOWER(Capacity!$L23)="x",IF(AND(SUMIF(Capacity_Resource,$D11,'Critical resources (hide)'!BH$6:BH$105)+SUMIF(Capacity_Resource,$E11,'Critical resources (hide)'!BH$6:BH$105)+SUMIF(Capacity_Resource,$F11,'Critical resources (hide)'!BH$6:BH$105)&gt;0,$E$1=2),0,1),0)</f>
        <v>1</v>
      </c>
      <c r="AV11" s="67">
        <f ca="1">IF(LOWER(Capacity!$L23)="x",IF(AND(SUMIF(Capacity_Resource,$D11,'Critical resources (hide)'!BI$6:BI$105)+SUMIF(Capacity_Resource,$E11,'Critical resources (hide)'!BI$6:BI$105)+SUMIF(Capacity_Resource,$F11,'Critical resources (hide)'!BI$6:BI$105)&gt;0,$E$1=2),0,1),0)</f>
        <v>1</v>
      </c>
      <c r="AW11" s="67">
        <f ca="1">IF(LOWER(Capacity!$L23)="x",IF(AND(SUMIF(Capacity_Resource,$D11,'Critical resources (hide)'!BJ$6:BJ$105)+SUMIF(Capacity_Resource,$E11,'Critical resources (hide)'!BJ$6:BJ$105)+SUMIF(Capacity_Resource,$F11,'Critical resources (hide)'!BJ$6:BJ$105)&gt;0,$E$1=2),0,1),0)</f>
        <v>1</v>
      </c>
      <c r="AX11" s="67">
        <f ca="1">IF(LOWER(Capacity!$L23)="x",IF(AND(SUMIF(Capacity_Resource,$D11,'Critical resources (hide)'!BK$6:BK$105)+SUMIF(Capacity_Resource,$E11,'Critical resources (hide)'!BK$6:BK$105)+SUMIF(Capacity_Resource,$F11,'Critical resources (hide)'!BK$6:BK$105)&gt;0,$E$1=2),0,1),0)</f>
        <v>1</v>
      </c>
      <c r="AY11" s="67">
        <f ca="1">IF(LOWER(Capacity!$L23)="x",IF(AND(SUMIF(Capacity_Resource,$D11,'Critical resources (hide)'!BL$6:BL$105)+SUMIF(Capacity_Resource,$E11,'Critical resources (hide)'!BL$6:BL$105)+SUMIF(Capacity_Resource,$F11,'Critical resources (hide)'!BL$6:BL$105)&gt;0,$E$1=2),0,1),0)</f>
        <v>1</v>
      </c>
      <c r="AZ11" s="67">
        <f ca="1">IF(LOWER(Capacity!$L23)="x",IF(AND(SUMIF(Capacity_Resource,$D11,'Critical resources (hide)'!BM$6:BM$105)+SUMIF(Capacity_Resource,$E11,'Critical resources (hide)'!BM$6:BM$105)+SUMIF(Capacity_Resource,$F11,'Critical resources (hide)'!BM$6:BM$105)&gt;0,$E$1=2),0,1),0)</f>
        <v>1</v>
      </c>
      <c r="BA11" s="67">
        <f ca="1">IF(LOWER(Capacity!$L23)="x",IF(AND(SUMIF(Capacity_Resource,$D11,'Critical resources (hide)'!BN$6:BN$105)+SUMIF(Capacity_Resource,$E11,'Critical resources (hide)'!BN$6:BN$105)+SUMIF(Capacity_Resource,$F11,'Critical resources (hide)'!BN$6:BN$105)&gt;0,$E$1=2),0,1),0)</f>
        <v>1</v>
      </c>
      <c r="BB11" s="67">
        <f ca="1">IF(LOWER(Capacity!$L23)="x",IF(AND(SUMIF(Capacity_Resource,$D11,'Critical resources (hide)'!BO$6:BO$105)+SUMIF(Capacity_Resource,$E11,'Critical resources (hide)'!BO$6:BO$105)+SUMIF(Capacity_Resource,$F11,'Critical resources (hide)'!BO$6:BO$105)&gt;0,$E$1=2),0,1),0)</f>
        <v>1</v>
      </c>
      <c r="BC11" s="67">
        <f ca="1">IF(LOWER(Capacity!$L23)="x",IF(AND(SUMIF(Capacity_Resource,$D11,'Critical resources (hide)'!BP$6:BP$105)+SUMIF(Capacity_Resource,$E11,'Critical resources (hide)'!BP$6:BP$105)+SUMIF(Capacity_Resource,$F11,'Critical resources (hide)'!BP$6:BP$105)&gt;0,$E$1=2),0,1),0)</f>
        <v>1</v>
      </c>
      <c r="BD11" s="67">
        <f ca="1">IF(LOWER(Capacity!$L23)="x",IF(AND(SUMIF(Capacity_Resource,$D11,'Critical resources (hide)'!BQ$6:BQ$105)+SUMIF(Capacity_Resource,$E11,'Critical resources (hide)'!BQ$6:BQ$105)+SUMIF(Capacity_Resource,$F11,'Critical resources (hide)'!BQ$6:BQ$105)&gt;0,$E$1=2),0,1),0)</f>
        <v>1</v>
      </c>
      <c r="BE11" s="67">
        <f ca="1">IF(LOWER(Capacity!$L23)="x",IF(AND(SUMIF(Capacity_Resource,$D11,'Critical resources (hide)'!BR$6:BR$105)+SUMIF(Capacity_Resource,$E11,'Critical resources (hide)'!BR$6:BR$105)+SUMIF(Capacity_Resource,$F11,'Critical resources (hide)'!BR$6:BR$105)&gt;0,$E$1=2),0,1),0)</f>
        <v>1</v>
      </c>
      <c r="BF11" s="67">
        <f ca="1">IF(LOWER(Capacity!$L23)="x",IF(AND(SUMIF(Capacity_Resource,$D11,'Critical resources (hide)'!BS$6:BS$105)+SUMIF(Capacity_Resource,$E11,'Critical resources (hide)'!BS$6:BS$105)+SUMIF(Capacity_Resource,$F11,'Critical resources (hide)'!BS$6:BS$105)&gt;0,$E$1=2),0,1),0)</f>
        <v>1</v>
      </c>
      <c r="BG11" s="67">
        <f ca="1">IF(LOWER(Capacity!$L23)="x",IF(AND(SUMIF(Capacity_Resource,$D11,'Critical resources (hide)'!BT$6:BT$105)+SUMIF(Capacity_Resource,$E11,'Critical resources (hide)'!BT$6:BT$105)+SUMIF(Capacity_Resource,$F11,'Critical resources (hide)'!BT$6:BT$105)&gt;0,$E$1=2),0,1),0)</f>
        <v>1</v>
      </c>
      <c r="BH11" s="67">
        <f>IF(ROW(C7)&lt;=Capacity!$A$16,IF('Capacity summary'!$D$14="No",SUM(H11:BG11),'Capacity summary'!$E130),0)</f>
        <v>0</v>
      </c>
      <c r="BI11" s="5" t="str">
        <f>IF(BH11&gt;0,IF(BH11&lt;Capacity!E23,Capacity!F23,Capacity!H23/'Capacity calculation (hide)'!BH11),"")</f>
        <v/>
      </c>
      <c r="BK11" s="311">
        <f>IF($BI11&lt;&gt;"",IF('Capacity summary'!$D$14="Yes",IF(COUNTBLANK('Capacity summary'!$H130:$BG130)&lt;52,IF('Capacity summary'!H130&lt;&gt;"",IF(LOWER('Capacity summary'!H130)="x",$BI11*H11,VALUE('Capacity summary'!H130)),0),H11*$BI11),H11*$BI11),0)</f>
        <v>0</v>
      </c>
      <c r="BL11" s="311">
        <f>IF($BI11&lt;&gt;"",IF('Capacity summary'!$D$14="Yes",IF(COUNTBLANK('Capacity summary'!$H130:$BG130)&lt;52,IF('Capacity summary'!I130&lt;&gt;"",IF(LOWER('Capacity summary'!I130)="x",$BI11*I11,VALUE('Capacity summary'!I130)),0),I11*$BI11),I11*$BI11),0)</f>
        <v>0</v>
      </c>
      <c r="BM11" s="311">
        <f>IF($BI11&lt;&gt;"",IF('Capacity summary'!$D$14="Yes",IF(COUNTBLANK('Capacity summary'!$H130:$BG130)&lt;52,IF('Capacity summary'!J130&lt;&gt;"",IF(LOWER('Capacity summary'!J130)="x",$BI11*J11,VALUE('Capacity summary'!J130)),0),J11*$BI11),J11*$BI11),0)</f>
        <v>0</v>
      </c>
      <c r="BN11" s="311">
        <f>IF($BI11&lt;&gt;"",IF('Capacity summary'!$D$14="Yes",IF(COUNTBLANK('Capacity summary'!$H130:$BG130)&lt;52,IF('Capacity summary'!K130&lt;&gt;"",IF(LOWER('Capacity summary'!K130)="x",$BI11*K11,VALUE('Capacity summary'!K130)),0),K11*$BI11),K11*$BI11),0)</f>
        <v>0</v>
      </c>
      <c r="BO11" s="311">
        <f>IF($BI11&lt;&gt;"",IF('Capacity summary'!$D$14="Yes",IF(COUNTBLANK('Capacity summary'!$H130:$BG130)&lt;52,IF('Capacity summary'!L130&lt;&gt;"",IF(LOWER('Capacity summary'!L130)="x",$BI11*L11,VALUE('Capacity summary'!L130)),0),L11*$BI11),L11*$BI11),0)</f>
        <v>0</v>
      </c>
      <c r="BP11" s="311">
        <f>IF($BI11&lt;&gt;"",IF('Capacity summary'!$D$14="Yes",IF(COUNTBLANK('Capacity summary'!$H130:$BG130)&lt;52,IF('Capacity summary'!M130&lt;&gt;"",IF(LOWER('Capacity summary'!M130)="x",$BI11*M11,VALUE('Capacity summary'!M130)),0),M11*$BI11),M11*$BI11),0)</f>
        <v>0</v>
      </c>
      <c r="BQ11" s="311">
        <f>IF($BI11&lt;&gt;"",IF('Capacity summary'!$D$14="Yes",IF(COUNTBLANK('Capacity summary'!$H130:$BG130)&lt;52,IF('Capacity summary'!N130&lt;&gt;"",IF(LOWER('Capacity summary'!N130)="x",$BI11*N11,VALUE('Capacity summary'!N130)),0),N11*$BI11),N11*$BI11),0)</f>
        <v>0</v>
      </c>
      <c r="BR11" s="311">
        <f>IF($BI11&lt;&gt;"",IF('Capacity summary'!$D$14="Yes",IF(COUNTBLANK('Capacity summary'!$H130:$BG130)&lt;52,IF('Capacity summary'!O130&lt;&gt;"",IF(LOWER('Capacity summary'!O130)="x",$BI11*O11,VALUE('Capacity summary'!O130)),0),O11*$BI11),O11*$BI11),0)</f>
        <v>0</v>
      </c>
      <c r="BS11" s="311">
        <f>IF($BI11&lt;&gt;"",IF('Capacity summary'!$D$14="Yes",IF(COUNTBLANK('Capacity summary'!$H130:$BG130)&lt;52,IF('Capacity summary'!P130&lt;&gt;"",IF(LOWER('Capacity summary'!P130)="x",$BI11*P11,VALUE('Capacity summary'!P130)),0),P11*$BI11),P11*$BI11),0)</f>
        <v>0</v>
      </c>
      <c r="BT11" s="311">
        <f>IF($BI11&lt;&gt;"",IF('Capacity summary'!$D$14="Yes",IF(COUNTBLANK('Capacity summary'!$H130:$BG130)&lt;52,IF('Capacity summary'!Q130&lt;&gt;"",IF(LOWER('Capacity summary'!Q130)="x",$BI11*Q11,VALUE('Capacity summary'!Q130)),0),Q11*$BI11),Q11*$BI11),0)</f>
        <v>0</v>
      </c>
      <c r="BU11" s="311">
        <f>IF($BI11&lt;&gt;"",IF('Capacity summary'!$D$14="Yes",IF(COUNTBLANK('Capacity summary'!$H130:$BG130)&lt;52,IF('Capacity summary'!R130&lt;&gt;"",IF(LOWER('Capacity summary'!R130)="x",$BI11*R11,VALUE('Capacity summary'!R130)),0),R11*$BI11),R11*$BI11),0)</f>
        <v>0</v>
      </c>
      <c r="BV11" s="311">
        <f>IF($BI11&lt;&gt;"",IF('Capacity summary'!$D$14="Yes",IF(COUNTBLANK('Capacity summary'!$H130:$BG130)&lt;52,IF('Capacity summary'!S130&lt;&gt;"",IF(LOWER('Capacity summary'!S130)="x",$BI11*S11,VALUE('Capacity summary'!S130)),0),S11*$BI11),S11*$BI11),0)</f>
        <v>0</v>
      </c>
      <c r="BW11" s="311">
        <f>IF($BI11&lt;&gt;"",IF('Capacity summary'!$D$14="Yes",IF(COUNTBLANK('Capacity summary'!$H130:$BG130)&lt;52,IF('Capacity summary'!T130&lt;&gt;"",IF(LOWER('Capacity summary'!T130)="x",$BI11*T11,VALUE('Capacity summary'!T130)),0),T11*$BI11),T11*$BI11),0)</f>
        <v>0</v>
      </c>
      <c r="BX11" s="311">
        <f>IF($BI11&lt;&gt;"",IF('Capacity summary'!$D$14="Yes",IF(COUNTBLANK('Capacity summary'!$H130:$BG130)&lt;52,IF('Capacity summary'!U130&lt;&gt;"",IF(LOWER('Capacity summary'!U130)="x",$BI11*U11,VALUE('Capacity summary'!U130)),0),U11*$BI11),U11*$BI11),0)</f>
        <v>0</v>
      </c>
      <c r="BY11" s="311">
        <f>IF($BI11&lt;&gt;"",IF('Capacity summary'!$D$14="Yes",IF(COUNTBLANK('Capacity summary'!$H130:$BG130)&lt;52,IF('Capacity summary'!V130&lt;&gt;"",IF(LOWER('Capacity summary'!V130)="x",$BI11*V11,VALUE('Capacity summary'!V130)),0),V11*$BI11),V11*$BI11),0)</f>
        <v>0</v>
      </c>
      <c r="BZ11" s="311">
        <f>IF($BI11&lt;&gt;"",IF('Capacity summary'!$D$14="Yes",IF(COUNTBLANK('Capacity summary'!$H130:$BG130)&lt;52,IF('Capacity summary'!W130&lt;&gt;"",IF(LOWER('Capacity summary'!W130)="x",$BI11*W11,VALUE('Capacity summary'!W130)),0),W11*$BI11),W11*$BI11),0)</f>
        <v>0</v>
      </c>
      <c r="CA11" s="311">
        <f>IF($BI11&lt;&gt;"",IF('Capacity summary'!$D$14="Yes",IF(COUNTBLANK('Capacity summary'!$H130:$BG130)&lt;52,IF('Capacity summary'!X130&lt;&gt;"",IF(LOWER('Capacity summary'!X130)="x",$BI11*X11,VALUE('Capacity summary'!X130)),0),X11*$BI11),X11*$BI11),0)</f>
        <v>0</v>
      </c>
      <c r="CB11" s="311">
        <f>IF($BI11&lt;&gt;"",IF('Capacity summary'!$D$14="Yes",IF(COUNTBLANK('Capacity summary'!$H130:$BG130)&lt;52,IF('Capacity summary'!Y130&lt;&gt;"",IF(LOWER('Capacity summary'!Y130)="x",$BI11*Y11,VALUE('Capacity summary'!Y130)),0),Y11*$BI11),Y11*$BI11),0)</f>
        <v>0</v>
      </c>
      <c r="CC11" s="311">
        <f>IF($BI11&lt;&gt;"",IF('Capacity summary'!$D$14="Yes",IF(COUNTBLANK('Capacity summary'!$H130:$BG130)&lt;52,IF('Capacity summary'!Z130&lt;&gt;"",IF(LOWER('Capacity summary'!Z130)="x",$BI11*Z11,VALUE('Capacity summary'!Z130)),0),Z11*$BI11),Z11*$BI11),0)</f>
        <v>0</v>
      </c>
      <c r="CD11" s="311">
        <f>IF($BI11&lt;&gt;"",IF('Capacity summary'!$D$14="Yes",IF(COUNTBLANK('Capacity summary'!$H130:$BG130)&lt;52,IF('Capacity summary'!AA130&lt;&gt;"",IF(LOWER('Capacity summary'!AA130)="x",$BI11*AA11,VALUE('Capacity summary'!AA130)),0),AA11*$BI11),AA11*$BI11),0)</f>
        <v>0</v>
      </c>
      <c r="CE11" s="311">
        <f>IF($BI11&lt;&gt;"",IF('Capacity summary'!$D$14="Yes",IF(COUNTBLANK('Capacity summary'!$H130:$BG130)&lt;52,IF('Capacity summary'!AB130&lt;&gt;"",IF(LOWER('Capacity summary'!AB130)="x",$BI11*AB11,VALUE('Capacity summary'!AB130)),0),AB11*$BI11),AB11*$BI11),0)</f>
        <v>0</v>
      </c>
      <c r="CF11" s="311">
        <f>IF($BI11&lt;&gt;"",IF('Capacity summary'!$D$14="Yes",IF(COUNTBLANK('Capacity summary'!$H130:$BG130)&lt;52,IF('Capacity summary'!AC130&lt;&gt;"",IF(LOWER('Capacity summary'!AC130)="x",$BI11*AC11,VALUE('Capacity summary'!AC130)),0),AC11*$BI11),AC11*$BI11),0)</f>
        <v>0</v>
      </c>
      <c r="CG11" s="311">
        <f>IF($BI11&lt;&gt;"",IF('Capacity summary'!$D$14="Yes",IF(COUNTBLANK('Capacity summary'!$H130:$BG130)&lt;52,IF('Capacity summary'!AD130&lt;&gt;"",IF(LOWER('Capacity summary'!AD130)="x",$BI11*AD11,VALUE('Capacity summary'!AD130)),0),AD11*$BI11),AD11*$BI11),0)</f>
        <v>0</v>
      </c>
      <c r="CH11" s="311">
        <f>IF($BI11&lt;&gt;"",IF('Capacity summary'!$D$14="Yes",IF(COUNTBLANK('Capacity summary'!$H130:$BG130)&lt;52,IF('Capacity summary'!AE130&lt;&gt;"",IF(LOWER('Capacity summary'!AE130)="x",$BI11*AE11,VALUE('Capacity summary'!AE130)),0),AE11*$BI11),AE11*$BI11),0)</f>
        <v>0</v>
      </c>
      <c r="CI11" s="311">
        <f>IF($BI11&lt;&gt;"",IF('Capacity summary'!$D$14="Yes",IF(COUNTBLANK('Capacity summary'!$H130:$BG130)&lt;52,IF('Capacity summary'!AF130&lt;&gt;"",IF(LOWER('Capacity summary'!AF130)="x",$BI11*AF11,VALUE('Capacity summary'!AF130)),0),AF11*$BI11),AF11*$BI11),0)</f>
        <v>0</v>
      </c>
      <c r="CJ11" s="311">
        <f>IF($BI11&lt;&gt;"",IF('Capacity summary'!$D$14="Yes",IF(COUNTBLANK('Capacity summary'!$H130:$BG130)&lt;52,IF('Capacity summary'!AG130&lt;&gt;"",IF(LOWER('Capacity summary'!AG130)="x",$BI11*AG11,VALUE('Capacity summary'!AG130)),0),AG11*$BI11),AG11*$BI11),0)</f>
        <v>0</v>
      </c>
      <c r="CK11" s="311">
        <f>IF($BI11&lt;&gt;"",IF('Capacity summary'!$D$14="Yes",IF(COUNTBLANK('Capacity summary'!$H130:$BG130)&lt;52,IF('Capacity summary'!AH130&lt;&gt;"",IF(LOWER('Capacity summary'!AH130)="x",$BI11*AH11,VALUE('Capacity summary'!AH130)),0),AH11*$BI11),AH11*$BI11),0)</f>
        <v>0</v>
      </c>
      <c r="CL11" s="311">
        <f>IF($BI11&lt;&gt;"",IF('Capacity summary'!$D$14="Yes",IF(COUNTBLANK('Capacity summary'!$H130:$BG130)&lt;52,IF('Capacity summary'!AI130&lt;&gt;"",IF(LOWER('Capacity summary'!AI130)="x",$BI11*AI11,VALUE('Capacity summary'!AI130)),0),AI11*$BI11),AI11*$BI11),0)</f>
        <v>0</v>
      </c>
      <c r="CM11" s="311">
        <f>IF($BI11&lt;&gt;"",IF('Capacity summary'!$D$14="Yes",IF(COUNTBLANK('Capacity summary'!$H130:$BG130)&lt;52,IF('Capacity summary'!AJ130&lt;&gt;"",IF(LOWER('Capacity summary'!AJ130)="x",$BI11*AJ11,VALUE('Capacity summary'!AJ130)),0),AJ11*$BI11),AJ11*$BI11),0)</f>
        <v>0</v>
      </c>
      <c r="CN11" s="311">
        <f>IF($BI11&lt;&gt;"",IF('Capacity summary'!$D$14="Yes",IF(COUNTBLANK('Capacity summary'!$H130:$BG130)&lt;52,IF('Capacity summary'!AK130&lt;&gt;"",IF(LOWER('Capacity summary'!AK130)="x",$BI11*AK11,VALUE('Capacity summary'!AK130)),0),AK11*$BI11),AK11*$BI11),0)</f>
        <v>0</v>
      </c>
      <c r="CO11" s="311">
        <f>IF($BI11&lt;&gt;"",IF('Capacity summary'!$D$14="Yes",IF(COUNTBLANK('Capacity summary'!$H130:$BG130)&lt;52,IF('Capacity summary'!AL130&lt;&gt;"",IF(LOWER('Capacity summary'!AL130)="x",$BI11*AL11,VALUE('Capacity summary'!AL130)),0),AL11*$BI11),AL11*$BI11),0)</f>
        <v>0</v>
      </c>
      <c r="CP11" s="311">
        <f>IF($BI11&lt;&gt;"",IF('Capacity summary'!$D$14="Yes",IF(COUNTBLANK('Capacity summary'!$H130:$BG130)&lt;52,IF('Capacity summary'!AM130&lt;&gt;"",IF(LOWER('Capacity summary'!AM130)="x",$BI11*AM11,VALUE('Capacity summary'!AM130)),0),AM11*$BI11),AM11*$BI11),0)</f>
        <v>0</v>
      </c>
      <c r="CQ11" s="311">
        <f>IF($BI11&lt;&gt;"",IF('Capacity summary'!$D$14="Yes",IF(COUNTBLANK('Capacity summary'!$H130:$BG130)&lt;52,IF('Capacity summary'!AN130&lt;&gt;"",IF(LOWER('Capacity summary'!AN130)="x",$BI11*AN11,VALUE('Capacity summary'!AN130)),0),AN11*$BI11),AN11*$BI11),0)</f>
        <v>0</v>
      </c>
      <c r="CR11" s="311">
        <f>IF($BI11&lt;&gt;"",IF('Capacity summary'!$D$14="Yes",IF(COUNTBLANK('Capacity summary'!$H130:$BG130)&lt;52,IF('Capacity summary'!AO130&lt;&gt;"",IF(LOWER('Capacity summary'!AO130)="x",$BI11*AO11,VALUE('Capacity summary'!AO130)),0),AO11*$BI11),AO11*$BI11),0)</f>
        <v>0</v>
      </c>
      <c r="CS11" s="311">
        <f>IF($BI11&lt;&gt;"",IF('Capacity summary'!$D$14="Yes",IF(COUNTBLANK('Capacity summary'!$H130:$BG130)&lt;52,IF('Capacity summary'!AP130&lt;&gt;"",IF(LOWER('Capacity summary'!AP130)="x",$BI11*AP11,VALUE('Capacity summary'!AP130)),0),AP11*$BI11),AP11*$BI11),0)</f>
        <v>0</v>
      </c>
      <c r="CT11" s="311">
        <f>IF($BI11&lt;&gt;"",IF('Capacity summary'!$D$14="Yes",IF(COUNTBLANK('Capacity summary'!$H130:$BG130)&lt;52,IF('Capacity summary'!AQ130&lt;&gt;"",IF(LOWER('Capacity summary'!AQ130)="x",$BI11*AQ11,VALUE('Capacity summary'!AQ130)),0),AQ11*$BI11),AQ11*$BI11),0)</f>
        <v>0</v>
      </c>
      <c r="CU11" s="311">
        <f>IF($BI11&lt;&gt;"",IF('Capacity summary'!$D$14="Yes",IF(COUNTBLANK('Capacity summary'!$H130:$BG130)&lt;52,IF('Capacity summary'!AR130&lt;&gt;"",IF(LOWER('Capacity summary'!AR130)="x",$BI11*AR11,VALUE('Capacity summary'!AR130)),0),AR11*$BI11),AR11*$BI11),0)</f>
        <v>0</v>
      </c>
      <c r="CV11" s="311">
        <f>IF($BI11&lt;&gt;"",IF('Capacity summary'!$D$14="Yes",IF(COUNTBLANK('Capacity summary'!$H130:$BG130)&lt;52,IF('Capacity summary'!AS130&lt;&gt;"",IF(LOWER('Capacity summary'!AS130)="x",$BI11*AS11,VALUE('Capacity summary'!AS130)),0),AS11*$BI11),AS11*$BI11),0)</f>
        <v>0</v>
      </c>
      <c r="CW11" s="311">
        <f>IF($BI11&lt;&gt;"",IF('Capacity summary'!$D$14="Yes",IF(COUNTBLANK('Capacity summary'!$H130:$BG130)&lt;52,IF('Capacity summary'!AT130&lt;&gt;"",IF(LOWER('Capacity summary'!AT130)="x",$BI11*AT11,VALUE('Capacity summary'!AT130)),0),AT11*$BI11),AT11*$BI11),0)</f>
        <v>0</v>
      </c>
      <c r="CX11" s="311">
        <f>IF($BI11&lt;&gt;"",IF('Capacity summary'!$D$14="Yes",IF(COUNTBLANK('Capacity summary'!$H130:$BG130)&lt;52,IF('Capacity summary'!AU130&lt;&gt;"",IF(LOWER('Capacity summary'!AU130)="x",$BI11*AU11,VALUE('Capacity summary'!AU130)),0),AU11*$BI11),AU11*$BI11),0)</f>
        <v>0</v>
      </c>
      <c r="CY11" s="311">
        <f>IF($BI11&lt;&gt;"",IF('Capacity summary'!$D$14="Yes",IF(COUNTBLANK('Capacity summary'!$H130:$BG130)&lt;52,IF('Capacity summary'!AV130&lt;&gt;"",IF(LOWER('Capacity summary'!AV130)="x",$BI11*AV11,VALUE('Capacity summary'!AV130)),0),AV11*$BI11),AV11*$BI11),0)</f>
        <v>0</v>
      </c>
      <c r="CZ11" s="311">
        <f>IF($BI11&lt;&gt;"",IF('Capacity summary'!$D$14="Yes",IF(COUNTBLANK('Capacity summary'!$H130:$BG130)&lt;52,IF('Capacity summary'!AW130&lt;&gt;"",IF(LOWER('Capacity summary'!AW130)="x",$BI11*AW11,VALUE('Capacity summary'!AW130)),0),AW11*$BI11),AW11*$BI11),0)</f>
        <v>0</v>
      </c>
      <c r="DA11" s="311">
        <f>IF($BI11&lt;&gt;"",IF('Capacity summary'!$D$14="Yes",IF(COUNTBLANK('Capacity summary'!$H130:$BG130)&lt;52,IF('Capacity summary'!AX130&lt;&gt;"",IF(LOWER('Capacity summary'!AX130)="x",$BI11*AX11,VALUE('Capacity summary'!AX130)),0),AX11*$BI11),AX11*$BI11),0)</f>
        <v>0</v>
      </c>
      <c r="DB11" s="311">
        <f>IF($BI11&lt;&gt;"",IF('Capacity summary'!$D$14="Yes",IF(COUNTBLANK('Capacity summary'!$H130:$BG130)&lt;52,IF('Capacity summary'!AY130&lt;&gt;"",IF(LOWER('Capacity summary'!AY130)="x",$BI11*AY11,VALUE('Capacity summary'!AY130)),0),AY11*$BI11),AY11*$BI11),0)</f>
        <v>0</v>
      </c>
      <c r="DC11" s="311">
        <f>IF($BI11&lt;&gt;"",IF('Capacity summary'!$D$14="Yes",IF(COUNTBLANK('Capacity summary'!$H130:$BG130)&lt;52,IF('Capacity summary'!AZ130&lt;&gt;"",IF(LOWER('Capacity summary'!AZ130)="x",$BI11*AZ11,VALUE('Capacity summary'!AZ130)),0),AZ11*$BI11),AZ11*$BI11),0)</f>
        <v>0</v>
      </c>
      <c r="DD11" s="311">
        <f>IF($BI11&lt;&gt;"",IF('Capacity summary'!$D$14="Yes",IF(COUNTBLANK('Capacity summary'!$H130:$BG130)&lt;52,IF('Capacity summary'!BA130&lt;&gt;"",IF(LOWER('Capacity summary'!BA130)="x",$BI11*BA11,VALUE('Capacity summary'!BA130)),0),BA11*$BI11),BA11*$BI11),0)</f>
        <v>0</v>
      </c>
      <c r="DE11" s="311">
        <f>IF($BI11&lt;&gt;"",IF('Capacity summary'!$D$14="Yes",IF(COUNTBLANK('Capacity summary'!$H130:$BG130)&lt;52,IF('Capacity summary'!BB130&lt;&gt;"",IF(LOWER('Capacity summary'!BB130)="x",$BI11*BB11,VALUE('Capacity summary'!BB130)),0),BB11*$BI11),BB11*$BI11),0)</f>
        <v>0</v>
      </c>
      <c r="DF11" s="311">
        <f>IF($BI11&lt;&gt;"",IF('Capacity summary'!$D$14="Yes",IF(COUNTBLANK('Capacity summary'!$H130:$BG130)&lt;52,IF('Capacity summary'!BC130&lt;&gt;"",IF(LOWER('Capacity summary'!BC130)="x",$BI11*BC11,VALUE('Capacity summary'!BC130)),0),BC11*$BI11),BC11*$BI11),0)</f>
        <v>0</v>
      </c>
      <c r="DG11" s="311">
        <f>IF($BI11&lt;&gt;"",IF('Capacity summary'!$D$14="Yes",IF(COUNTBLANK('Capacity summary'!$H130:$BG130)&lt;52,IF('Capacity summary'!BD130&lt;&gt;"",IF(LOWER('Capacity summary'!BD130)="x",$BI11*BD11,VALUE('Capacity summary'!BD130)),0),BD11*$BI11),BD11*$BI11),0)</f>
        <v>0</v>
      </c>
      <c r="DH11" s="311">
        <f>IF($BI11&lt;&gt;"",IF('Capacity summary'!$D$14="Yes",IF(COUNTBLANK('Capacity summary'!$H130:$BG130)&lt;52,IF('Capacity summary'!BE130&lt;&gt;"",IF(LOWER('Capacity summary'!BE130)="x",$BI11*BE11,VALUE('Capacity summary'!BE130)),0),BE11*$BI11),BE11*$BI11),0)</f>
        <v>0</v>
      </c>
      <c r="DI11" s="311">
        <f>IF($BI11&lt;&gt;"",IF('Capacity summary'!$D$14="Yes",IF(COUNTBLANK('Capacity summary'!$H130:$BG130)&lt;52,IF('Capacity summary'!BF130&lt;&gt;"",IF(LOWER('Capacity summary'!BF130)="x",$BI11*BF11,VALUE('Capacity summary'!BF130)),0),BF11*$BI11),BF11*$BI11),0)</f>
        <v>0</v>
      </c>
      <c r="DJ11" s="311">
        <f>IF($BI11&lt;&gt;"",IF('Capacity summary'!$D$14="Yes",IF(COUNTBLANK('Capacity summary'!$H130:$BG130)&lt;52,IF('Capacity summary'!BG130&lt;&gt;"",IF(LOWER('Capacity summary'!BG130)="x",$BI11*BG11,VALUE('Capacity summary'!BG130)),0),BG11*$BI11),BG11*$BI11),0)</f>
        <v>0</v>
      </c>
      <c r="DK11" s="391">
        <f t="shared" si="2"/>
        <v>0</v>
      </c>
      <c r="DL11" s="136">
        <f t="shared" si="3"/>
        <v>0</v>
      </c>
      <c r="DM11" s="311" t="str">
        <f>Capacity!H23</f>
        <v/>
      </c>
      <c r="DQ11" s="5"/>
    </row>
    <row r="12" spans="1:121" x14ac:dyDescent="0.2">
      <c r="A12" s="67">
        <f>IF(Capacity!L24='Capacity summary'!BI131,1,0)</f>
        <v>1</v>
      </c>
      <c r="B12" s="67">
        <f>IF(Capacity!V24='Capacity summary'!BI31,1,0)</f>
        <v>1</v>
      </c>
      <c r="C12" s="67" t="str">
        <f>ROW(A8)&amp;". "&amp;Capacity!B24</f>
        <v xml:space="preserve">8. </v>
      </c>
      <c r="D12" s="67">
        <f>'Capacity setup'!C19</f>
        <v>0</v>
      </c>
      <c r="E12" s="67">
        <f>'Capacity setup'!D19</f>
        <v>0</v>
      </c>
      <c r="F12" s="67">
        <f>'Capacity setup'!E19</f>
        <v>0</v>
      </c>
      <c r="H12" s="67">
        <f ca="1">IF(LOWER(Capacity!$L24)="x",IF(AND(SUMIF(Capacity_Resource,$D12,'Critical resources (hide)'!U$6:U$105)+SUMIF(Capacity_Resource,$E12,'Critical resources (hide)'!U$6:U$105)+SUMIF(Capacity_Resource,$F12,'Critical resources (hide)'!U$6:U$105)&gt;0,$E$1=2),0,1),0)</f>
        <v>1</v>
      </c>
      <c r="I12" s="67">
        <f ca="1">IF(LOWER(Capacity!$L24)="x",IF(AND(SUMIF(Capacity_Resource,$D12,'Critical resources (hide)'!V$6:V$105)+SUMIF(Capacity_Resource,$E12,'Critical resources (hide)'!V$6:V$105)+SUMIF(Capacity_Resource,$F12,'Critical resources (hide)'!V$6:V$105)&gt;0,$E$1=2),0,1),0)</f>
        <v>1</v>
      </c>
      <c r="J12" s="67">
        <f ca="1">IF(LOWER(Capacity!$L24)="x",IF(AND(SUMIF(Capacity_Resource,$D12,'Critical resources (hide)'!W$6:W$105)+SUMIF(Capacity_Resource,$E12,'Critical resources (hide)'!W$6:W$105)+SUMIF(Capacity_Resource,$F12,'Critical resources (hide)'!W$6:W$105)&gt;0,$E$1=2),0,1),0)</f>
        <v>1</v>
      </c>
      <c r="K12" s="67">
        <f ca="1">IF(LOWER(Capacity!$L24)="x",IF(AND(SUMIF(Capacity_Resource,$D12,'Critical resources (hide)'!X$6:X$105)+SUMIF(Capacity_Resource,$E12,'Critical resources (hide)'!X$6:X$105)+SUMIF(Capacity_Resource,$F12,'Critical resources (hide)'!X$6:X$105)&gt;0,$E$1=2),0,1),0)</f>
        <v>1</v>
      </c>
      <c r="L12" s="67">
        <f ca="1">IF(LOWER(Capacity!$L24)="x",IF(AND(SUMIF(Capacity_Resource,$D12,'Critical resources (hide)'!Y$6:Y$105)+SUMIF(Capacity_Resource,$E12,'Critical resources (hide)'!Y$6:Y$105)+SUMIF(Capacity_Resource,$F12,'Critical resources (hide)'!Y$6:Y$105)&gt;0,$E$1=2),0,1),0)</f>
        <v>1</v>
      </c>
      <c r="M12" s="67">
        <f ca="1">IF(LOWER(Capacity!$L24)="x",IF(AND(SUMIF(Capacity_Resource,$D12,'Critical resources (hide)'!Z$6:Z$105)+SUMIF(Capacity_Resource,$E12,'Critical resources (hide)'!Z$6:Z$105)+SUMIF(Capacity_Resource,$F12,'Critical resources (hide)'!Z$6:Z$105)&gt;0,$E$1=2),0,1),0)</f>
        <v>1</v>
      </c>
      <c r="N12" s="67">
        <f ca="1">IF(LOWER(Capacity!$L24)="x",IF(AND(SUMIF(Capacity_Resource,$D12,'Critical resources (hide)'!AA$6:AA$105)+SUMIF(Capacity_Resource,$E12,'Critical resources (hide)'!AA$6:AA$105)+SUMIF(Capacity_Resource,$F12,'Critical resources (hide)'!AA$6:AA$105)&gt;0,$E$1=2),0,1),0)</f>
        <v>1</v>
      </c>
      <c r="O12" s="67">
        <f ca="1">IF(LOWER(Capacity!$L24)="x",IF(AND(SUMIF(Capacity_Resource,$D12,'Critical resources (hide)'!AB$6:AB$105)+SUMIF(Capacity_Resource,$E12,'Critical resources (hide)'!AB$6:AB$105)+SUMIF(Capacity_Resource,$F12,'Critical resources (hide)'!AB$6:AB$105)&gt;0,$E$1=2),0,1),0)</f>
        <v>1</v>
      </c>
      <c r="P12" s="67">
        <f ca="1">IF(LOWER(Capacity!$L24)="x",IF(AND(SUMIF(Capacity_Resource,$D12,'Critical resources (hide)'!AC$6:AC$105)+SUMIF(Capacity_Resource,$E12,'Critical resources (hide)'!AC$6:AC$105)+SUMIF(Capacity_Resource,$F12,'Critical resources (hide)'!AC$6:AC$105)&gt;0,$E$1=2),0,1),0)</f>
        <v>1</v>
      </c>
      <c r="Q12" s="67">
        <f ca="1">IF(LOWER(Capacity!$L24)="x",IF(AND(SUMIF(Capacity_Resource,$D12,'Critical resources (hide)'!AD$6:AD$105)+SUMIF(Capacity_Resource,$E12,'Critical resources (hide)'!AD$6:AD$105)+SUMIF(Capacity_Resource,$F12,'Critical resources (hide)'!AD$6:AD$105)&gt;0,$E$1=2),0,1),0)</f>
        <v>1</v>
      </c>
      <c r="R12" s="67">
        <f ca="1">IF(LOWER(Capacity!$L24)="x",IF(AND(SUMIF(Capacity_Resource,$D12,'Critical resources (hide)'!AE$6:AE$105)+SUMIF(Capacity_Resource,$E12,'Critical resources (hide)'!AE$6:AE$105)+SUMIF(Capacity_Resource,$F12,'Critical resources (hide)'!AE$6:AE$105)&gt;0,$E$1=2),0,1),0)</f>
        <v>1</v>
      </c>
      <c r="S12" s="67">
        <f ca="1">IF(LOWER(Capacity!$L24)="x",IF(AND(SUMIF(Capacity_Resource,$D12,'Critical resources (hide)'!AF$6:AF$105)+SUMIF(Capacity_Resource,$E12,'Critical resources (hide)'!AF$6:AF$105)+SUMIF(Capacity_Resource,$F12,'Critical resources (hide)'!AF$6:AF$105)&gt;0,$E$1=2),0,1),0)</f>
        <v>1</v>
      </c>
      <c r="T12" s="67">
        <f ca="1">IF(LOWER(Capacity!$L24)="x",IF(AND(SUMIF(Capacity_Resource,$D12,'Critical resources (hide)'!AG$6:AG$105)+SUMIF(Capacity_Resource,$E12,'Critical resources (hide)'!AG$6:AG$105)+SUMIF(Capacity_Resource,$F12,'Critical resources (hide)'!AG$6:AG$105)&gt;0,$E$1=2),0,1),0)</f>
        <v>1</v>
      </c>
      <c r="U12" s="67">
        <f ca="1">IF(LOWER(Capacity!$L24)="x",IF(AND(SUMIF(Capacity_Resource,$D12,'Critical resources (hide)'!AH$6:AH$105)+SUMIF(Capacity_Resource,$E12,'Critical resources (hide)'!AH$6:AH$105)+SUMIF(Capacity_Resource,$F12,'Critical resources (hide)'!AH$6:AH$105)&gt;0,$E$1=2),0,1),0)</f>
        <v>1</v>
      </c>
      <c r="V12" s="67">
        <f ca="1">IF(LOWER(Capacity!$L24)="x",IF(AND(SUMIF(Capacity_Resource,$D12,'Critical resources (hide)'!AI$6:AI$105)+SUMIF(Capacity_Resource,$E12,'Critical resources (hide)'!AI$6:AI$105)+SUMIF(Capacity_Resource,$F12,'Critical resources (hide)'!AI$6:AI$105)&gt;0,$E$1=2),0,1),0)</f>
        <v>1</v>
      </c>
      <c r="W12" s="67">
        <f ca="1">IF(LOWER(Capacity!$L24)="x",IF(AND(SUMIF(Capacity_Resource,$D12,'Critical resources (hide)'!AJ$6:AJ$105)+SUMIF(Capacity_Resource,$E12,'Critical resources (hide)'!AJ$6:AJ$105)+SUMIF(Capacity_Resource,$F12,'Critical resources (hide)'!AJ$6:AJ$105)&gt;0,$E$1=2),0,1),0)</f>
        <v>1</v>
      </c>
      <c r="X12" s="67">
        <f ca="1">IF(LOWER(Capacity!$L24)="x",IF(AND(SUMIF(Capacity_Resource,$D12,'Critical resources (hide)'!AK$6:AK$105)+SUMIF(Capacity_Resource,$E12,'Critical resources (hide)'!AK$6:AK$105)+SUMIF(Capacity_Resource,$F12,'Critical resources (hide)'!AK$6:AK$105)&gt;0,$E$1=2),0,1),0)</f>
        <v>1</v>
      </c>
      <c r="Y12" s="67">
        <f ca="1">IF(LOWER(Capacity!$L24)="x",IF(AND(SUMIF(Capacity_Resource,$D12,'Critical resources (hide)'!AL$6:AL$105)+SUMIF(Capacity_Resource,$E12,'Critical resources (hide)'!AL$6:AL$105)+SUMIF(Capacity_Resource,$F12,'Critical resources (hide)'!AL$6:AL$105)&gt;0,$E$1=2),0,1),0)</f>
        <v>1</v>
      </c>
      <c r="Z12" s="67">
        <f ca="1">IF(LOWER(Capacity!$L24)="x",IF(AND(SUMIF(Capacity_Resource,$D12,'Critical resources (hide)'!AM$6:AM$105)+SUMIF(Capacity_Resource,$E12,'Critical resources (hide)'!AM$6:AM$105)+SUMIF(Capacity_Resource,$F12,'Critical resources (hide)'!AM$6:AM$105)&gt;0,$E$1=2),0,1),0)</f>
        <v>1</v>
      </c>
      <c r="AA12" s="67">
        <f ca="1">IF(LOWER(Capacity!$L24)="x",IF(AND(SUMIF(Capacity_Resource,$D12,'Critical resources (hide)'!AN$6:AN$105)+SUMIF(Capacity_Resource,$E12,'Critical resources (hide)'!AN$6:AN$105)+SUMIF(Capacity_Resource,$F12,'Critical resources (hide)'!AN$6:AN$105)&gt;0,$E$1=2),0,1),0)</f>
        <v>1</v>
      </c>
      <c r="AB12" s="67">
        <f ca="1">IF(LOWER(Capacity!$L24)="x",IF(AND(SUMIF(Capacity_Resource,$D12,'Critical resources (hide)'!AO$6:AO$105)+SUMIF(Capacity_Resource,$E12,'Critical resources (hide)'!AO$6:AO$105)+SUMIF(Capacity_Resource,$F12,'Critical resources (hide)'!AO$6:AO$105)&gt;0,$E$1=2),0,1),0)</f>
        <v>1</v>
      </c>
      <c r="AC12" s="67">
        <f ca="1">IF(LOWER(Capacity!$L24)="x",IF(AND(SUMIF(Capacity_Resource,$D12,'Critical resources (hide)'!AP$6:AP$105)+SUMIF(Capacity_Resource,$E12,'Critical resources (hide)'!AP$6:AP$105)+SUMIF(Capacity_Resource,$F12,'Critical resources (hide)'!AP$6:AP$105)&gt;0,$E$1=2),0,1),0)</f>
        <v>1</v>
      </c>
      <c r="AD12" s="67">
        <f ca="1">IF(LOWER(Capacity!$L24)="x",IF(AND(SUMIF(Capacity_Resource,$D12,'Critical resources (hide)'!AQ$6:AQ$105)+SUMIF(Capacity_Resource,$E12,'Critical resources (hide)'!AQ$6:AQ$105)+SUMIF(Capacity_Resource,$F12,'Critical resources (hide)'!AQ$6:AQ$105)&gt;0,$E$1=2),0,1),0)</f>
        <v>1</v>
      </c>
      <c r="AE12" s="67">
        <f ca="1">IF(LOWER(Capacity!$L24)="x",IF(AND(SUMIF(Capacity_Resource,$D12,'Critical resources (hide)'!AR$6:AR$105)+SUMIF(Capacity_Resource,$E12,'Critical resources (hide)'!AR$6:AR$105)+SUMIF(Capacity_Resource,$F12,'Critical resources (hide)'!AR$6:AR$105)&gt;0,$E$1=2),0,1),0)</f>
        <v>1</v>
      </c>
      <c r="AF12" s="67">
        <f ca="1">IF(LOWER(Capacity!$L24)="x",IF(AND(SUMIF(Capacity_Resource,$D12,'Critical resources (hide)'!AS$6:AS$105)+SUMIF(Capacity_Resource,$E12,'Critical resources (hide)'!AS$6:AS$105)+SUMIF(Capacity_Resource,$F12,'Critical resources (hide)'!AS$6:AS$105)&gt;0,$E$1=2),0,1),0)</f>
        <v>1</v>
      </c>
      <c r="AG12" s="67">
        <f ca="1">IF(LOWER(Capacity!$L24)="x",IF(AND(SUMIF(Capacity_Resource,$D12,'Critical resources (hide)'!AT$6:AT$105)+SUMIF(Capacity_Resource,$E12,'Critical resources (hide)'!AT$6:AT$105)+SUMIF(Capacity_Resource,$F12,'Critical resources (hide)'!AT$6:AT$105)&gt;0,$E$1=2),0,1),0)</f>
        <v>1</v>
      </c>
      <c r="AH12" s="67">
        <f ca="1">IF(LOWER(Capacity!$L24)="x",IF(AND(SUMIF(Capacity_Resource,$D12,'Critical resources (hide)'!AU$6:AU$105)+SUMIF(Capacity_Resource,$E12,'Critical resources (hide)'!AU$6:AU$105)+SUMIF(Capacity_Resource,$F12,'Critical resources (hide)'!AU$6:AU$105)&gt;0,$E$1=2),0,1),0)</f>
        <v>1</v>
      </c>
      <c r="AI12" s="67">
        <f ca="1">IF(LOWER(Capacity!$L24)="x",IF(AND(SUMIF(Capacity_Resource,$D12,'Critical resources (hide)'!AV$6:AV$105)+SUMIF(Capacity_Resource,$E12,'Critical resources (hide)'!AV$6:AV$105)+SUMIF(Capacity_Resource,$F12,'Critical resources (hide)'!AV$6:AV$105)&gt;0,$E$1=2),0,1),0)</f>
        <v>1</v>
      </c>
      <c r="AJ12" s="67">
        <f ca="1">IF(LOWER(Capacity!$L24)="x",IF(AND(SUMIF(Capacity_Resource,$D12,'Critical resources (hide)'!AW$6:AW$105)+SUMIF(Capacity_Resource,$E12,'Critical resources (hide)'!AW$6:AW$105)+SUMIF(Capacity_Resource,$F12,'Critical resources (hide)'!AW$6:AW$105)&gt;0,$E$1=2),0,1),0)</f>
        <v>1</v>
      </c>
      <c r="AK12" s="67">
        <f ca="1">IF(LOWER(Capacity!$L24)="x",IF(AND(SUMIF(Capacity_Resource,$D12,'Critical resources (hide)'!AX$6:AX$105)+SUMIF(Capacity_Resource,$E12,'Critical resources (hide)'!AX$6:AX$105)+SUMIF(Capacity_Resource,$F12,'Critical resources (hide)'!AX$6:AX$105)&gt;0,$E$1=2),0,1),0)</f>
        <v>1</v>
      </c>
      <c r="AL12" s="67">
        <f ca="1">IF(LOWER(Capacity!$L24)="x",IF(AND(SUMIF(Capacity_Resource,$D12,'Critical resources (hide)'!AY$6:AY$105)+SUMIF(Capacity_Resource,$E12,'Critical resources (hide)'!AY$6:AY$105)+SUMIF(Capacity_Resource,$F12,'Critical resources (hide)'!AY$6:AY$105)&gt;0,$E$1=2),0,1),0)</f>
        <v>1</v>
      </c>
      <c r="AM12" s="67">
        <f ca="1">IF(LOWER(Capacity!$L24)="x",IF(AND(SUMIF(Capacity_Resource,$D12,'Critical resources (hide)'!AZ$6:AZ$105)+SUMIF(Capacity_Resource,$E12,'Critical resources (hide)'!AZ$6:AZ$105)+SUMIF(Capacity_Resource,$F12,'Critical resources (hide)'!AZ$6:AZ$105)&gt;0,$E$1=2),0,1),0)</f>
        <v>1</v>
      </c>
      <c r="AN12" s="67">
        <f ca="1">IF(LOWER(Capacity!$L24)="x",IF(AND(SUMIF(Capacity_Resource,$D12,'Critical resources (hide)'!BA$6:BA$105)+SUMIF(Capacity_Resource,$E12,'Critical resources (hide)'!BA$6:BA$105)+SUMIF(Capacity_Resource,$F12,'Critical resources (hide)'!BA$6:BA$105)&gt;0,$E$1=2),0,1),0)</f>
        <v>1</v>
      </c>
      <c r="AO12" s="67">
        <f ca="1">IF(LOWER(Capacity!$L24)="x",IF(AND(SUMIF(Capacity_Resource,$D12,'Critical resources (hide)'!BB$6:BB$105)+SUMIF(Capacity_Resource,$E12,'Critical resources (hide)'!BB$6:BB$105)+SUMIF(Capacity_Resource,$F12,'Critical resources (hide)'!BB$6:BB$105)&gt;0,$E$1=2),0,1),0)</f>
        <v>1</v>
      </c>
      <c r="AP12" s="67">
        <f ca="1">IF(LOWER(Capacity!$L24)="x",IF(AND(SUMIF(Capacity_Resource,$D12,'Critical resources (hide)'!BC$6:BC$105)+SUMIF(Capacity_Resource,$E12,'Critical resources (hide)'!BC$6:BC$105)+SUMIF(Capacity_Resource,$F12,'Critical resources (hide)'!BC$6:BC$105)&gt;0,$E$1=2),0,1),0)</f>
        <v>1</v>
      </c>
      <c r="AQ12" s="67">
        <f ca="1">IF(LOWER(Capacity!$L24)="x",IF(AND(SUMIF(Capacity_Resource,$D12,'Critical resources (hide)'!BD$6:BD$105)+SUMIF(Capacity_Resource,$E12,'Critical resources (hide)'!BD$6:BD$105)+SUMIF(Capacity_Resource,$F12,'Critical resources (hide)'!BD$6:BD$105)&gt;0,$E$1=2),0,1),0)</f>
        <v>1</v>
      </c>
      <c r="AR12" s="67">
        <f ca="1">IF(LOWER(Capacity!$L24)="x",IF(AND(SUMIF(Capacity_Resource,$D12,'Critical resources (hide)'!BE$6:BE$105)+SUMIF(Capacity_Resource,$E12,'Critical resources (hide)'!BE$6:BE$105)+SUMIF(Capacity_Resource,$F12,'Critical resources (hide)'!BE$6:BE$105)&gt;0,$E$1=2),0,1),0)</f>
        <v>1</v>
      </c>
      <c r="AS12" s="67">
        <f ca="1">IF(LOWER(Capacity!$L24)="x",IF(AND(SUMIF(Capacity_Resource,$D12,'Critical resources (hide)'!BF$6:BF$105)+SUMIF(Capacity_Resource,$E12,'Critical resources (hide)'!BF$6:BF$105)+SUMIF(Capacity_Resource,$F12,'Critical resources (hide)'!BF$6:BF$105)&gt;0,$E$1=2),0,1),0)</f>
        <v>1</v>
      </c>
      <c r="AT12" s="67">
        <f ca="1">IF(LOWER(Capacity!$L24)="x",IF(AND(SUMIF(Capacity_Resource,$D12,'Critical resources (hide)'!BG$6:BG$105)+SUMIF(Capacity_Resource,$E12,'Critical resources (hide)'!BG$6:BG$105)+SUMIF(Capacity_Resource,$F12,'Critical resources (hide)'!BG$6:BG$105)&gt;0,$E$1=2),0,1),0)</f>
        <v>1</v>
      </c>
      <c r="AU12" s="67">
        <f ca="1">IF(LOWER(Capacity!$L24)="x",IF(AND(SUMIF(Capacity_Resource,$D12,'Critical resources (hide)'!BH$6:BH$105)+SUMIF(Capacity_Resource,$E12,'Critical resources (hide)'!BH$6:BH$105)+SUMIF(Capacity_Resource,$F12,'Critical resources (hide)'!BH$6:BH$105)&gt;0,$E$1=2),0,1),0)</f>
        <v>1</v>
      </c>
      <c r="AV12" s="67">
        <f ca="1">IF(LOWER(Capacity!$L24)="x",IF(AND(SUMIF(Capacity_Resource,$D12,'Critical resources (hide)'!BI$6:BI$105)+SUMIF(Capacity_Resource,$E12,'Critical resources (hide)'!BI$6:BI$105)+SUMIF(Capacity_Resource,$F12,'Critical resources (hide)'!BI$6:BI$105)&gt;0,$E$1=2),0,1),0)</f>
        <v>1</v>
      </c>
      <c r="AW12" s="67">
        <f ca="1">IF(LOWER(Capacity!$L24)="x",IF(AND(SUMIF(Capacity_Resource,$D12,'Critical resources (hide)'!BJ$6:BJ$105)+SUMIF(Capacity_Resource,$E12,'Critical resources (hide)'!BJ$6:BJ$105)+SUMIF(Capacity_Resource,$F12,'Critical resources (hide)'!BJ$6:BJ$105)&gt;0,$E$1=2),0,1),0)</f>
        <v>1</v>
      </c>
      <c r="AX12" s="67">
        <f ca="1">IF(LOWER(Capacity!$L24)="x",IF(AND(SUMIF(Capacity_Resource,$D12,'Critical resources (hide)'!BK$6:BK$105)+SUMIF(Capacity_Resource,$E12,'Critical resources (hide)'!BK$6:BK$105)+SUMIF(Capacity_Resource,$F12,'Critical resources (hide)'!BK$6:BK$105)&gt;0,$E$1=2),0,1),0)</f>
        <v>1</v>
      </c>
      <c r="AY12" s="67">
        <f ca="1">IF(LOWER(Capacity!$L24)="x",IF(AND(SUMIF(Capacity_Resource,$D12,'Critical resources (hide)'!BL$6:BL$105)+SUMIF(Capacity_Resource,$E12,'Critical resources (hide)'!BL$6:BL$105)+SUMIF(Capacity_Resource,$F12,'Critical resources (hide)'!BL$6:BL$105)&gt;0,$E$1=2),0,1),0)</f>
        <v>1</v>
      </c>
      <c r="AZ12" s="67">
        <f ca="1">IF(LOWER(Capacity!$L24)="x",IF(AND(SUMIF(Capacity_Resource,$D12,'Critical resources (hide)'!BM$6:BM$105)+SUMIF(Capacity_Resource,$E12,'Critical resources (hide)'!BM$6:BM$105)+SUMIF(Capacity_Resource,$F12,'Critical resources (hide)'!BM$6:BM$105)&gt;0,$E$1=2),0,1),0)</f>
        <v>1</v>
      </c>
      <c r="BA12" s="67">
        <f ca="1">IF(LOWER(Capacity!$L24)="x",IF(AND(SUMIF(Capacity_Resource,$D12,'Critical resources (hide)'!BN$6:BN$105)+SUMIF(Capacity_Resource,$E12,'Critical resources (hide)'!BN$6:BN$105)+SUMIF(Capacity_Resource,$F12,'Critical resources (hide)'!BN$6:BN$105)&gt;0,$E$1=2),0,1),0)</f>
        <v>1</v>
      </c>
      <c r="BB12" s="67">
        <f ca="1">IF(LOWER(Capacity!$L24)="x",IF(AND(SUMIF(Capacity_Resource,$D12,'Critical resources (hide)'!BO$6:BO$105)+SUMIF(Capacity_Resource,$E12,'Critical resources (hide)'!BO$6:BO$105)+SUMIF(Capacity_Resource,$F12,'Critical resources (hide)'!BO$6:BO$105)&gt;0,$E$1=2),0,1),0)</f>
        <v>1</v>
      </c>
      <c r="BC12" s="67">
        <f ca="1">IF(LOWER(Capacity!$L24)="x",IF(AND(SUMIF(Capacity_Resource,$D12,'Critical resources (hide)'!BP$6:BP$105)+SUMIF(Capacity_Resource,$E12,'Critical resources (hide)'!BP$6:BP$105)+SUMIF(Capacity_Resource,$F12,'Critical resources (hide)'!BP$6:BP$105)&gt;0,$E$1=2),0,1),0)</f>
        <v>1</v>
      </c>
      <c r="BD12" s="67">
        <f ca="1">IF(LOWER(Capacity!$L24)="x",IF(AND(SUMIF(Capacity_Resource,$D12,'Critical resources (hide)'!BQ$6:BQ$105)+SUMIF(Capacity_Resource,$E12,'Critical resources (hide)'!BQ$6:BQ$105)+SUMIF(Capacity_Resource,$F12,'Critical resources (hide)'!BQ$6:BQ$105)&gt;0,$E$1=2),0,1),0)</f>
        <v>1</v>
      </c>
      <c r="BE12" s="67">
        <f ca="1">IF(LOWER(Capacity!$L24)="x",IF(AND(SUMIF(Capacity_Resource,$D12,'Critical resources (hide)'!BR$6:BR$105)+SUMIF(Capacity_Resource,$E12,'Critical resources (hide)'!BR$6:BR$105)+SUMIF(Capacity_Resource,$F12,'Critical resources (hide)'!BR$6:BR$105)&gt;0,$E$1=2),0,1),0)</f>
        <v>1</v>
      </c>
      <c r="BF12" s="67">
        <f ca="1">IF(LOWER(Capacity!$L24)="x",IF(AND(SUMIF(Capacity_Resource,$D12,'Critical resources (hide)'!BS$6:BS$105)+SUMIF(Capacity_Resource,$E12,'Critical resources (hide)'!BS$6:BS$105)+SUMIF(Capacity_Resource,$F12,'Critical resources (hide)'!BS$6:BS$105)&gt;0,$E$1=2),0,1),0)</f>
        <v>1</v>
      </c>
      <c r="BG12" s="67">
        <f ca="1">IF(LOWER(Capacity!$L24)="x",IF(AND(SUMIF(Capacity_Resource,$D12,'Critical resources (hide)'!BT$6:BT$105)+SUMIF(Capacity_Resource,$E12,'Critical resources (hide)'!BT$6:BT$105)+SUMIF(Capacity_Resource,$F12,'Critical resources (hide)'!BT$6:BT$105)&gt;0,$E$1=2),0,1),0)</f>
        <v>1</v>
      </c>
      <c r="BH12" s="67">
        <f>IF(ROW(C8)&lt;=Capacity!$A$16,IF('Capacity summary'!$D$14="No",SUM(H12:BG12),'Capacity summary'!$E131),0)</f>
        <v>0</v>
      </c>
      <c r="BI12" s="5" t="str">
        <f>IF(BH12&gt;0,IF(BH12&lt;Capacity!E24,Capacity!F24,Capacity!H24/'Capacity calculation (hide)'!BH12),"")</f>
        <v/>
      </c>
      <c r="BK12" s="311">
        <f>IF($BI12&lt;&gt;"",IF('Capacity summary'!$D$14="Yes",IF(COUNTBLANK('Capacity summary'!$H131:$BG131)&lt;52,IF('Capacity summary'!H131&lt;&gt;"",IF(LOWER('Capacity summary'!H131)="x",$BI12*H12,VALUE('Capacity summary'!H131)),0),H12*$BI12),H12*$BI12),0)</f>
        <v>0</v>
      </c>
      <c r="BL12" s="311">
        <f>IF($BI12&lt;&gt;"",IF('Capacity summary'!$D$14="Yes",IF(COUNTBLANK('Capacity summary'!$H131:$BG131)&lt;52,IF('Capacity summary'!I131&lt;&gt;"",IF(LOWER('Capacity summary'!I131)="x",$BI12*I12,VALUE('Capacity summary'!I131)),0),I12*$BI12),I12*$BI12),0)</f>
        <v>0</v>
      </c>
      <c r="BM12" s="311">
        <f>IF($BI12&lt;&gt;"",IF('Capacity summary'!$D$14="Yes",IF(COUNTBLANK('Capacity summary'!$H131:$BG131)&lt;52,IF('Capacity summary'!J131&lt;&gt;"",IF(LOWER('Capacity summary'!J131)="x",$BI12*J12,VALUE('Capacity summary'!J131)),0),J12*$BI12),J12*$BI12),0)</f>
        <v>0</v>
      </c>
      <c r="BN12" s="311">
        <f>IF($BI12&lt;&gt;"",IF('Capacity summary'!$D$14="Yes",IF(COUNTBLANK('Capacity summary'!$H131:$BG131)&lt;52,IF('Capacity summary'!K131&lt;&gt;"",IF(LOWER('Capacity summary'!K131)="x",$BI12*K12,VALUE('Capacity summary'!K131)),0),K12*$BI12),K12*$BI12),0)</f>
        <v>0</v>
      </c>
      <c r="BO12" s="311">
        <f>IF($BI12&lt;&gt;"",IF('Capacity summary'!$D$14="Yes",IF(COUNTBLANK('Capacity summary'!$H131:$BG131)&lt;52,IF('Capacity summary'!L131&lt;&gt;"",IF(LOWER('Capacity summary'!L131)="x",$BI12*L12,VALUE('Capacity summary'!L131)),0),L12*$BI12),L12*$BI12),0)</f>
        <v>0</v>
      </c>
      <c r="BP12" s="311">
        <f>IF($BI12&lt;&gt;"",IF('Capacity summary'!$D$14="Yes",IF(COUNTBLANK('Capacity summary'!$H131:$BG131)&lt;52,IF('Capacity summary'!M131&lt;&gt;"",IF(LOWER('Capacity summary'!M131)="x",$BI12*M12,VALUE('Capacity summary'!M131)),0),M12*$BI12),M12*$BI12),0)</f>
        <v>0</v>
      </c>
      <c r="BQ12" s="311">
        <f>IF($BI12&lt;&gt;"",IF('Capacity summary'!$D$14="Yes",IF(COUNTBLANK('Capacity summary'!$H131:$BG131)&lt;52,IF('Capacity summary'!N131&lt;&gt;"",IF(LOWER('Capacity summary'!N131)="x",$BI12*N12,VALUE('Capacity summary'!N131)),0),N12*$BI12),N12*$BI12),0)</f>
        <v>0</v>
      </c>
      <c r="BR12" s="311">
        <f>IF($BI12&lt;&gt;"",IF('Capacity summary'!$D$14="Yes",IF(COUNTBLANK('Capacity summary'!$H131:$BG131)&lt;52,IF('Capacity summary'!O131&lt;&gt;"",IF(LOWER('Capacity summary'!O131)="x",$BI12*O12,VALUE('Capacity summary'!O131)),0),O12*$BI12),O12*$BI12),0)</f>
        <v>0</v>
      </c>
      <c r="BS12" s="311">
        <f>IF($BI12&lt;&gt;"",IF('Capacity summary'!$D$14="Yes",IF(COUNTBLANK('Capacity summary'!$H131:$BG131)&lt;52,IF('Capacity summary'!P131&lt;&gt;"",IF(LOWER('Capacity summary'!P131)="x",$BI12*P12,VALUE('Capacity summary'!P131)),0),P12*$BI12),P12*$BI12),0)</f>
        <v>0</v>
      </c>
      <c r="BT12" s="311">
        <f>IF($BI12&lt;&gt;"",IF('Capacity summary'!$D$14="Yes",IF(COUNTBLANK('Capacity summary'!$H131:$BG131)&lt;52,IF('Capacity summary'!Q131&lt;&gt;"",IF(LOWER('Capacity summary'!Q131)="x",$BI12*Q12,VALUE('Capacity summary'!Q131)),0),Q12*$BI12),Q12*$BI12),0)</f>
        <v>0</v>
      </c>
      <c r="BU12" s="311">
        <f>IF($BI12&lt;&gt;"",IF('Capacity summary'!$D$14="Yes",IF(COUNTBLANK('Capacity summary'!$H131:$BG131)&lt;52,IF('Capacity summary'!R131&lt;&gt;"",IF(LOWER('Capacity summary'!R131)="x",$BI12*R12,VALUE('Capacity summary'!R131)),0),R12*$BI12),R12*$BI12),0)</f>
        <v>0</v>
      </c>
      <c r="BV12" s="311">
        <f>IF($BI12&lt;&gt;"",IF('Capacity summary'!$D$14="Yes",IF(COUNTBLANK('Capacity summary'!$H131:$BG131)&lt;52,IF('Capacity summary'!S131&lt;&gt;"",IF(LOWER('Capacity summary'!S131)="x",$BI12*S12,VALUE('Capacity summary'!S131)),0),S12*$BI12),S12*$BI12),0)</f>
        <v>0</v>
      </c>
      <c r="BW12" s="311">
        <f>IF($BI12&lt;&gt;"",IF('Capacity summary'!$D$14="Yes",IF(COUNTBLANK('Capacity summary'!$H131:$BG131)&lt;52,IF('Capacity summary'!T131&lt;&gt;"",IF(LOWER('Capacity summary'!T131)="x",$BI12*T12,VALUE('Capacity summary'!T131)),0),T12*$BI12),T12*$BI12),0)</f>
        <v>0</v>
      </c>
      <c r="BX12" s="311">
        <f>IF($BI12&lt;&gt;"",IF('Capacity summary'!$D$14="Yes",IF(COUNTBLANK('Capacity summary'!$H131:$BG131)&lt;52,IF('Capacity summary'!U131&lt;&gt;"",IF(LOWER('Capacity summary'!U131)="x",$BI12*U12,VALUE('Capacity summary'!U131)),0),U12*$BI12),U12*$BI12),0)</f>
        <v>0</v>
      </c>
      <c r="BY12" s="311">
        <f>IF($BI12&lt;&gt;"",IF('Capacity summary'!$D$14="Yes",IF(COUNTBLANK('Capacity summary'!$H131:$BG131)&lt;52,IF('Capacity summary'!V131&lt;&gt;"",IF(LOWER('Capacity summary'!V131)="x",$BI12*V12,VALUE('Capacity summary'!V131)),0),V12*$BI12),V12*$BI12),0)</f>
        <v>0</v>
      </c>
      <c r="BZ12" s="311">
        <f>IF($BI12&lt;&gt;"",IF('Capacity summary'!$D$14="Yes",IF(COUNTBLANK('Capacity summary'!$H131:$BG131)&lt;52,IF('Capacity summary'!W131&lt;&gt;"",IF(LOWER('Capacity summary'!W131)="x",$BI12*W12,VALUE('Capacity summary'!W131)),0),W12*$BI12),W12*$BI12),0)</f>
        <v>0</v>
      </c>
      <c r="CA12" s="311">
        <f>IF($BI12&lt;&gt;"",IF('Capacity summary'!$D$14="Yes",IF(COUNTBLANK('Capacity summary'!$H131:$BG131)&lt;52,IF('Capacity summary'!X131&lt;&gt;"",IF(LOWER('Capacity summary'!X131)="x",$BI12*X12,VALUE('Capacity summary'!X131)),0),X12*$BI12),X12*$BI12),0)</f>
        <v>0</v>
      </c>
      <c r="CB12" s="311">
        <f>IF($BI12&lt;&gt;"",IF('Capacity summary'!$D$14="Yes",IF(COUNTBLANK('Capacity summary'!$H131:$BG131)&lt;52,IF('Capacity summary'!Y131&lt;&gt;"",IF(LOWER('Capacity summary'!Y131)="x",$BI12*Y12,VALUE('Capacity summary'!Y131)),0),Y12*$BI12),Y12*$BI12),0)</f>
        <v>0</v>
      </c>
      <c r="CC12" s="311">
        <f>IF($BI12&lt;&gt;"",IF('Capacity summary'!$D$14="Yes",IF(COUNTBLANK('Capacity summary'!$H131:$BG131)&lt;52,IF('Capacity summary'!Z131&lt;&gt;"",IF(LOWER('Capacity summary'!Z131)="x",$BI12*Z12,VALUE('Capacity summary'!Z131)),0),Z12*$BI12),Z12*$BI12),0)</f>
        <v>0</v>
      </c>
      <c r="CD12" s="311">
        <f>IF($BI12&lt;&gt;"",IF('Capacity summary'!$D$14="Yes",IF(COUNTBLANK('Capacity summary'!$H131:$BG131)&lt;52,IF('Capacity summary'!AA131&lt;&gt;"",IF(LOWER('Capacity summary'!AA131)="x",$BI12*AA12,VALUE('Capacity summary'!AA131)),0),AA12*$BI12),AA12*$BI12),0)</f>
        <v>0</v>
      </c>
      <c r="CE12" s="311">
        <f>IF($BI12&lt;&gt;"",IF('Capacity summary'!$D$14="Yes",IF(COUNTBLANK('Capacity summary'!$H131:$BG131)&lt;52,IF('Capacity summary'!AB131&lt;&gt;"",IF(LOWER('Capacity summary'!AB131)="x",$BI12*AB12,VALUE('Capacity summary'!AB131)),0),AB12*$BI12),AB12*$BI12),0)</f>
        <v>0</v>
      </c>
      <c r="CF12" s="311">
        <f>IF($BI12&lt;&gt;"",IF('Capacity summary'!$D$14="Yes",IF(COUNTBLANK('Capacity summary'!$H131:$BG131)&lt;52,IF('Capacity summary'!AC131&lt;&gt;"",IF(LOWER('Capacity summary'!AC131)="x",$BI12*AC12,VALUE('Capacity summary'!AC131)),0),AC12*$BI12),AC12*$BI12),0)</f>
        <v>0</v>
      </c>
      <c r="CG12" s="311">
        <f>IF($BI12&lt;&gt;"",IF('Capacity summary'!$D$14="Yes",IF(COUNTBLANK('Capacity summary'!$H131:$BG131)&lt;52,IF('Capacity summary'!AD131&lt;&gt;"",IF(LOWER('Capacity summary'!AD131)="x",$BI12*AD12,VALUE('Capacity summary'!AD131)),0),AD12*$BI12),AD12*$BI12),0)</f>
        <v>0</v>
      </c>
      <c r="CH12" s="311">
        <f>IF($BI12&lt;&gt;"",IF('Capacity summary'!$D$14="Yes",IF(COUNTBLANK('Capacity summary'!$H131:$BG131)&lt;52,IF('Capacity summary'!AE131&lt;&gt;"",IF(LOWER('Capacity summary'!AE131)="x",$BI12*AE12,VALUE('Capacity summary'!AE131)),0),AE12*$BI12),AE12*$BI12),0)</f>
        <v>0</v>
      </c>
      <c r="CI12" s="311">
        <f>IF($BI12&lt;&gt;"",IF('Capacity summary'!$D$14="Yes",IF(COUNTBLANK('Capacity summary'!$H131:$BG131)&lt;52,IF('Capacity summary'!AF131&lt;&gt;"",IF(LOWER('Capacity summary'!AF131)="x",$BI12*AF12,VALUE('Capacity summary'!AF131)),0),AF12*$BI12),AF12*$BI12),0)</f>
        <v>0</v>
      </c>
      <c r="CJ12" s="311">
        <f>IF($BI12&lt;&gt;"",IF('Capacity summary'!$D$14="Yes",IF(COUNTBLANK('Capacity summary'!$H131:$BG131)&lt;52,IF('Capacity summary'!AG131&lt;&gt;"",IF(LOWER('Capacity summary'!AG131)="x",$BI12*AG12,VALUE('Capacity summary'!AG131)),0),AG12*$BI12),AG12*$BI12),0)</f>
        <v>0</v>
      </c>
      <c r="CK12" s="311">
        <f>IF($BI12&lt;&gt;"",IF('Capacity summary'!$D$14="Yes",IF(COUNTBLANK('Capacity summary'!$H131:$BG131)&lt;52,IF('Capacity summary'!AH131&lt;&gt;"",IF(LOWER('Capacity summary'!AH131)="x",$BI12*AH12,VALUE('Capacity summary'!AH131)),0),AH12*$BI12),AH12*$BI12),0)</f>
        <v>0</v>
      </c>
      <c r="CL12" s="311">
        <f>IF($BI12&lt;&gt;"",IF('Capacity summary'!$D$14="Yes",IF(COUNTBLANK('Capacity summary'!$H131:$BG131)&lt;52,IF('Capacity summary'!AI131&lt;&gt;"",IF(LOWER('Capacity summary'!AI131)="x",$BI12*AI12,VALUE('Capacity summary'!AI131)),0),AI12*$BI12),AI12*$BI12),0)</f>
        <v>0</v>
      </c>
      <c r="CM12" s="311">
        <f>IF($BI12&lt;&gt;"",IF('Capacity summary'!$D$14="Yes",IF(COUNTBLANK('Capacity summary'!$H131:$BG131)&lt;52,IF('Capacity summary'!AJ131&lt;&gt;"",IF(LOWER('Capacity summary'!AJ131)="x",$BI12*AJ12,VALUE('Capacity summary'!AJ131)),0),AJ12*$BI12),AJ12*$BI12),0)</f>
        <v>0</v>
      </c>
      <c r="CN12" s="311">
        <f>IF($BI12&lt;&gt;"",IF('Capacity summary'!$D$14="Yes",IF(COUNTBLANK('Capacity summary'!$H131:$BG131)&lt;52,IF('Capacity summary'!AK131&lt;&gt;"",IF(LOWER('Capacity summary'!AK131)="x",$BI12*AK12,VALUE('Capacity summary'!AK131)),0),AK12*$BI12),AK12*$BI12),0)</f>
        <v>0</v>
      </c>
      <c r="CO12" s="311">
        <f>IF($BI12&lt;&gt;"",IF('Capacity summary'!$D$14="Yes",IF(COUNTBLANK('Capacity summary'!$H131:$BG131)&lt;52,IF('Capacity summary'!AL131&lt;&gt;"",IF(LOWER('Capacity summary'!AL131)="x",$BI12*AL12,VALUE('Capacity summary'!AL131)),0),AL12*$BI12),AL12*$BI12),0)</f>
        <v>0</v>
      </c>
      <c r="CP12" s="311">
        <f>IF($BI12&lt;&gt;"",IF('Capacity summary'!$D$14="Yes",IF(COUNTBLANK('Capacity summary'!$H131:$BG131)&lt;52,IF('Capacity summary'!AM131&lt;&gt;"",IF(LOWER('Capacity summary'!AM131)="x",$BI12*AM12,VALUE('Capacity summary'!AM131)),0),AM12*$BI12),AM12*$BI12),0)</f>
        <v>0</v>
      </c>
      <c r="CQ12" s="311">
        <f>IF($BI12&lt;&gt;"",IF('Capacity summary'!$D$14="Yes",IF(COUNTBLANK('Capacity summary'!$H131:$BG131)&lt;52,IF('Capacity summary'!AN131&lt;&gt;"",IF(LOWER('Capacity summary'!AN131)="x",$BI12*AN12,VALUE('Capacity summary'!AN131)),0),AN12*$BI12),AN12*$BI12),0)</f>
        <v>0</v>
      </c>
      <c r="CR12" s="311">
        <f>IF($BI12&lt;&gt;"",IF('Capacity summary'!$D$14="Yes",IF(COUNTBLANK('Capacity summary'!$H131:$BG131)&lt;52,IF('Capacity summary'!AO131&lt;&gt;"",IF(LOWER('Capacity summary'!AO131)="x",$BI12*AO12,VALUE('Capacity summary'!AO131)),0),AO12*$BI12),AO12*$BI12),0)</f>
        <v>0</v>
      </c>
      <c r="CS12" s="311">
        <f>IF($BI12&lt;&gt;"",IF('Capacity summary'!$D$14="Yes",IF(COUNTBLANK('Capacity summary'!$H131:$BG131)&lt;52,IF('Capacity summary'!AP131&lt;&gt;"",IF(LOWER('Capacity summary'!AP131)="x",$BI12*AP12,VALUE('Capacity summary'!AP131)),0),AP12*$BI12),AP12*$BI12),0)</f>
        <v>0</v>
      </c>
      <c r="CT12" s="311">
        <f>IF($BI12&lt;&gt;"",IF('Capacity summary'!$D$14="Yes",IF(COUNTBLANK('Capacity summary'!$H131:$BG131)&lt;52,IF('Capacity summary'!AQ131&lt;&gt;"",IF(LOWER('Capacity summary'!AQ131)="x",$BI12*AQ12,VALUE('Capacity summary'!AQ131)),0),AQ12*$BI12),AQ12*$BI12),0)</f>
        <v>0</v>
      </c>
      <c r="CU12" s="311">
        <f>IF($BI12&lt;&gt;"",IF('Capacity summary'!$D$14="Yes",IF(COUNTBLANK('Capacity summary'!$H131:$BG131)&lt;52,IF('Capacity summary'!AR131&lt;&gt;"",IF(LOWER('Capacity summary'!AR131)="x",$BI12*AR12,VALUE('Capacity summary'!AR131)),0),AR12*$BI12),AR12*$BI12),0)</f>
        <v>0</v>
      </c>
      <c r="CV12" s="311">
        <f>IF($BI12&lt;&gt;"",IF('Capacity summary'!$D$14="Yes",IF(COUNTBLANK('Capacity summary'!$H131:$BG131)&lt;52,IF('Capacity summary'!AS131&lt;&gt;"",IF(LOWER('Capacity summary'!AS131)="x",$BI12*AS12,VALUE('Capacity summary'!AS131)),0),AS12*$BI12),AS12*$BI12),0)</f>
        <v>0</v>
      </c>
      <c r="CW12" s="311">
        <f>IF($BI12&lt;&gt;"",IF('Capacity summary'!$D$14="Yes",IF(COUNTBLANK('Capacity summary'!$H131:$BG131)&lt;52,IF('Capacity summary'!AT131&lt;&gt;"",IF(LOWER('Capacity summary'!AT131)="x",$BI12*AT12,VALUE('Capacity summary'!AT131)),0),AT12*$BI12),AT12*$BI12),0)</f>
        <v>0</v>
      </c>
      <c r="CX12" s="311">
        <f>IF($BI12&lt;&gt;"",IF('Capacity summary'!$D$14="Yes",IF(COUNTBLANK('Capacity summary'!$H131:$BG131)&lt;52,IF('Capacity summary'!AU131&lt;&gt;"",IF(LOWER('Capacity summary'!AU131)="x",$BI12*AU12,VALUE('Capacity summary'!AU131)),0),AU12*$BI12),AU12*$BI12),0)</f>
        <v>0</v>
      </c>
      <c r="CY12" s="311">
        <f>IF($BI12&lt;&gt;"",IF('Capacity summary'!$D$14="Yes",IF(COUNTBLANK('Capacity summary'!$H131:$BG131)&lt;52,IF('Capacity summary'!AV131&lt;&gt;"",IF(LOWER('Capacity summary'!AV131)="x",$BI12*AV12,VALUE('Capacity summary'!AV131)),0),AV12*$BI12),AV12*$BI12),0)</f>
        <v>0</v>
      </c>
      <c r="CZ12" s="311">
        <f>IF($BI12&lt;&gt;"",IF('Capacity summary'!$D$14="Yes",IF(COUNTBLANK('Capacity summary'!$H131:$BG131)&lt;52,IF('Capacity summary'!AW131&lt;&gt;"",IF(LOWER('Capacity summary'!AW131)="x",$BI12*AW12,VALUE('Capacity summary'!AW131)),0),AW12*$BI12),AW12*$BI12),0)</f>
        <v>0</v>
      </c>
      <c r="DA12" s="311">
        <f>IF($BI12&lt;&gt;"",IF('Capacity summary'!$D$14="Yes",IF(COUNTBLANK('Capacity summary'!$H131:$BG131)&lt;52,IF('Capacity summary'!AX131&lt;&gt;"",IF(LOWER('Capacity summary'!AX131)="x",$BI12*AX12,VALUE('Capacity summary'!AX131)),0),AX12*$BI12),AX12*$BI12),0)</f>
        <v>0</v>
      </c>
      <c r="DB12" s="311">
        <f>IF($BI12&lt;&gt;"",IF('Capacity summary'!$D$14="Yes",IF(COUNTBLANK('Capacity summary'!$H131:$BG131)&lt;52,IF('Capacity summary'!AY131&lt;&gt;"",IF(LOWER('Capacity summary'!AY131)="x",$BI12*AY12,VALUE('Capacity summary'!AY131)),0),AY12*$BI12),AY12*$BI12),0)</f>
        <v>0</v>
      </c>
      <c r="DC12" s="311">
        <f>IF($BI12&lt;&gt;"",IF('Capacity summary'!$D$14="Yes",IF(COUNTBLANK('Capacity summary'!$H131:$BG131)&lt;52,IF('Capacity summary'!AZ131&lt;&gt;"",IF(LOWER('Capacity summary'!AZ131)="x",$BI12*AZ12,VALUE('Capacity summary'!AZ131)),0),AZ12*$BI12),AZ12*$BI12),0)</f>
        <v>0</v>
      </c>
      <c r="DD12" s="311">
        <f>IF($BI12&lt;&gt;"",IF('Capacity summary'!$D$14="Yes",IF(COUNTBLANK('Capacity summary'!$H131:$BG131)&lt;52,IF('Capacity summary'!BA131&lt;&gt;"",IF(LOWER('Capacity summary'!BA131)="x",$BI12*BA12,VALUE('Capacity summary'!BA131)),0),BA12*$BI12),BA12*$BI12),0)</f>
        <v>0</v>
      </c>
      <c r="DE12" s="311">
        <f>IF($BI12&lt;&gt;"",IF('Capacity summary'!$D$14="Yes",IF(COUNTBLANK('Capacity summary'!$H131:$BG131)&lt;52,IF('Capacity summary'!BB131&lt;&gt;"",IF(LOWER('Capacity summary'!BB131)="x",$BI12*BB12,VALUE('Capacity summary'!BB131)),0),BB12*$BI12),BB12*$BI12),0)</f>
        <v>0</v>
      </c>
      <c r="DF12" s="311">
        <f>IF($BI12&lt;&gt;"",IF('Capacity summary'!$D$14="Yes",IF(COUNTBLANK('Capacity summary'!$H131:$BG131)&lt;52,IF('Capacity summary'!BC131&lt;&gt;"",IF(LOWER('Capacity summary'!BC131)="x",$BI12*BC12,VALUE('Capacity summary'!BC131)),0),BC12*$BI12),BC12*$BI12),0)</f>
        <v>0</v>
      </c>
      <c r="DG12" s="311">
        <f>IF($BI12&lt;&gt;"",IF('Capacity summary'!$D$14="Yes",IF(COUNTBLANK('Capacity summary'!$H131:$BG131)&lt;52,IF('Capacity summary'!BD131&lt;&gt;"",IF(LOWER('Capacity summary'!BD131)="x",$BI12*BD12,VALUE('Capacity summary'!BD131)),0),BD12*$BI12),BD12*$BI12),0)</f>
        <v>0</v>
      </c>
      <c r="DH12" s="311">
        <f>IF($BI12&lt;&gt;"",IF('Capacity summary'!$D$14="Yes",IF(COUNTBLANK('Capacity summary'!$H131:$BG131)&lt;52,IF('Capacity summary'!BE131&lt;&gt;"",IF(LOWER('Capacity summary'!BE131)="x",$BI12*BE12,VALUE('Capacity summary'!BE131)),0),BE12*$BI12),BE12*$BI12),0)</f>
        <v>0</v>
      </c>
      <c r="DI12" s="311">
        <f>IF($BI12&lt;&gt;"",IF('Capacity summary'!$D$14="Yes",IF(COUNTBLANK('Capacity summary'!$H131:$BG131)&lt;52,IF('Capacity summary'!BF131&lt;&gt;"",IF(LOWER('Capacity summary'!BF131)="x",$BI12*BF12,VALUE('Capacity summary'!BF131)),0),BF12*$BI12),BF12*$BI12),0)</f>
        <v>0</v>
      </c>
      <c r="DJ12" s="311">
        <f>IF($BI12&lt;&gt;"",IF('Capacity summary'!$D$14="Yes",IF(COUNTBLANK('Capacity summary'!$H131:$BG131)&lt;52,IF('Capacity summary'!BG131&lt;&gt;"",IF(LOWER('Capacity summary'!BG131)="x",$BI12*BG12,VALUE('Capacity summary'!BG131)),0),BG12*$BI12),BG12*$BI12),0)</f>
        <v>0</v>
      </c>
      <c r="DK12" s="391">
        <f t="shared" si="2"/>
        <v>0</v>
      </c>
      <c r="DL12" s="136">
        <f t="shared" si="3"/>
        <v>0</v>
      </c>
      <c r="DM12" s="311" t="str">
        <f>Capacity!H24</f>
        <v/>
      </c>
      <c r="DQ12" s="5"/>
    </row>
    <row r="13" spans="1:121" x14ac:dyDescent="0.2">
      <c r="A13" s="67">
        <f>IF(Capacity!L25='Capacity summary'!BI132,1,0)</f>
        <v>1</v>
      </c>
      <c r="B13" s="67">
        <f>IF(Capacity!V25='Capacity summary'!BI32,1,0)</f>
        <v>1</v>
      </c>
      <c r="C13" s="67" t="str">
        <f>ROW(A9)&amp;". "&amp;Capacity!B25</f>
        <v xml:space="preserve">9. </v>
      </c>
      <c r="D13" s="67">
        <f>'Capacity setup'!C20</f>
        <v>0</v>
      </c>
      <c r="E13" s="67">
        <f>'Capacity setup'!D20</f>
        <v>0</v>
      </c>
      <c r="F13" s="67">
        <f>'Capacity setup'!E20</f>
        <v>0</v>
      </c>
      <c r="H13" s="67">
        <f ca="1">IF(LOWER(Capacity!$L25)="x",IF(AND(SUMIF(Capacity_Resource,$D13,'Critical resources (hide)'!U$6:U$105)+SUMIF(Capacity_Resource,$E13,'Critical resources (hide)'!U$6:U$105)+SUMIF(Capacity_Resource,$F13,'Critical resources (hide)'!U$6:U$105)&gt;0,$E$1=2),0,1),0)</f>
        <v>1</v>
      </c>
      <c r="I13" s="67">
        <f ca="1">IF(LOWER(Capacity!$L25)="x",IF(AND(SUMIF(Capacity_Resource,$D13,'Critical resources (hide)'!V$6:V$105)+SUMIF(Capacity_Resource,$E13,'Critical resources (hide)'!V$6:V$105)+SUMIF(Capacity_Resource,$F13,'Critical resources (hide)'!V$6:V$105)&gt;0,$E$1=2),0,1),0)</f>
        <v>1</v>
      </c>
      <c r="J13" s="67">
        <f ca="1">IF(LOWER(Capacity!$L25)="x",IF(AND(SUMIF(Capacity_Resource,$D13,'Critical resources (hide)'!W$6:W$105)+SUMIF(Capacity_Resource,$E13,'Critical resources (hide)'!W$6:W$105)+SUMIF(Capacity_Resource,$F13,'Critical resources (hide)'!W$6:W$105)&gt;0,$E$1=2),0,1),0)</f>
        <v>1</v>
      </c>
      <c r="K13" s="67">
        <f ca="1">IF(LOWER(Capacity!$L25)="x",IF(AND(SUMIF(Capacity_Resource,$D13,'Critical resources (hide)'!X$6:X$105)+SUMIF(Capacity_Resource,$E13,'Critical resources (hide)'!X$6:X$105)+SUMIF(Capacity_Resource,$F13,'Critical resources (hide)'!X$6:X$105)&gt;0,$E$1=2),0,1),0)</f>
        <v>1</v>
      </c>
      <c r="L13" s="67">
        <f ca="1">IF(LOWER(Capacity!$L25)="x",IF(AND(SUMIF(Capacity_Resource,$D13,'Critical resources (hide)'!Y$6:Y$105)+SUMIF(Capacity_Resource,$E13,'Critical resources (hide)'!Y$6:Y$105)+SUMIF(Capacity_Resource,$F13,'Critical resources (hide)'!Y$6:Y$105)&gt;0,$E$1=2),0,1),0)</f>
        <v>1</v>
      </c>
      <c r="M13" s="67">
        <f ca="1">IF(LOWER(Capacity!$L25)="x",IF(AND(SUMIF(Capacity_Resource,$D13,'Critical resources (hide)'!Z$6:Z$105)+SUMIF(Capacity_Resource,$E13,'Critical resources (hide)'!Z$6:Z$105)+SUMIF(Capacity_Resource,$F13,'Critical resources (hide)'!Z$6:Z$105)&gt;0,$E$1=2),0,1),0)</f>
        <v>1</v>
      </c>
      <c r="N13" s="67">
        <f ca="1">IF(LOWER(Capacity!$L25)="x",IF(AND(SUMIF(Capacity_Resource,$D13,'Critical resources (hide)'!AA$6:AA$105)+SUMIF(Capacity_Resource,$E13,'Critical resources (hide)'!AA$6:AA$105)+SUMIF(Capacity_Resource,$F13,'Critical resources (hide)'!AA$6:AA$105)&gt;0,$E$1=2),0,1),0)</f>
        <v>1</v>
      </c>
      <c r="O13" s="67">
        <f ca="1">IF(LOWER(Capacity!$L25)="x",IF(AND(SUMIF(Capacity_Resource,$D13,'Critical resources (hide)'!AB$6:AB$105)+SUMIF(Capacity_Resource,$E13,'Critical resources (hide)'!AB$6:AB$105)+SUMIF(Capacity_Resource,$F13,'Critical resources (hide)'!AB$6:AB$105)&gt;0,$E$1=2),0,1),0)</f>
        <v>1</v>
      </c>
      <c r="P13" s="67">
        <f ca="1">IF(LOWER(Capacity!$L25)="x",IF(AND(SUMIF(Capacity_Resource,$D13,'Critical resources (hide)'!AC$6:AC$105)+SUMIF(Capacity_Resource,$E13,'Critical resources (hide)'!AC$6:AC$105)+SUMIF(Capacity_Resource,$F13,'Critical resources (hide)'!AC$6:AC$105)&gt;0,$E$1=2),0,1),0)</f>
        <v>1</v>
      </c>
      <c r="Q13" s="67">
        <f ca="1">IF(LOWER(Capacity!$L25)="x",IF(AND(SUMIF(Capacity_Resource,$D13,'Critical resources (hide)'!AD$6:AD$105)+SUMIF(Capacity_Resource,$E13,'Critical resources (hide)'!AD$6:AD$105)+SUMIF(Capacity_Resource,$F13,'Critical resources (hide)'!AD$6:AD$105)&gt;0,$E$1=2),0,1),0)</f>
        <v>1</v>
      </c>
      <c r="R13" s="67">
        <f ca="1">IF(LOWER(Capacity!$L25)="x",IF(AND(SUMIF(Capacity_Resource,$D13,'Critical resources (hide)'!AE$6:AE$105)+SUMIF(Capacity_Resource,$E13,'Critical resources (hide)'!AE$6:AE$105)+SUMIF(Capacity_Resource,$F13,'Critical resources (hide)'!AE$6:AE$105)&gt;0,$E$1=2),0,1),0)</f>
        <v>1</v>
      </c>
      <c r="S13" s="67">
        <f ca="1">IF(LOWER(Capacity!$L25)="x",IF(AND(SUMIF(Capacity_Resource,$D13,'Critical resources (hide)'!AF$6:AF$105)+SUMIF(Capacity_Resource,$E13,'Critical resources (hide)'!AF$6:AF$105)+SUMIF(Capacity_Resource,$F13,'Critical resources (hide)'!AF$6:AF$105)&gt;0,$E$1=2),0,1),0)</f>
        <v>1</v>
      </c>
      <c r="T13" s="67">
        <f ca="1">IF(LOWER(Capacity!$L25)="x",IF(AND(SUMIF(Capacity_Resource,$D13,'Critical resources (hide)'!AG$6:AG$105)+SUMIF(Capacity_Resource,$E13,'Critical resources (hide)'!AG$6:AG$105)+SUMIF(Capacity_Resource,$F13,'Critical resources (hide)'!AG$6:AG$105)&gt;0,$E$1=2),0,1),0)</f>
        <v>1</v>
      </c>
      <c r="U13" s="67">
        <f ca="1">IF(LOWER(Capacity!$L25)="x",IF(AND(SUMIF(Capacity_Resource,$D13,'Critical resources (hide)'!AH$6:AH$105)+SUMIF(Capacity_Resource,$E13,'Critical resources (hide)'!AH$6:AH$105)+SUMIF(Capacity_Resource,$F13,'Critical resources (hide)'!AH$6:AH$105)&gt;0,$E$1=2),0,1),0)</f>
        <v>1</v>
      </c>
      <c r="V13" s="67">
        <f ca="1">IF(LOWER(Capacity!$L25)="x",IF(AND(SUMIF(Capacity_Resource,$D13,'Critical resources (hide)'!AI$6:AI$105)+SUMIF(Capacity_Resource,$E13,'Critical resources (hide)'!AI$6:AI$105)+SUMIF(Capacity_Resource,$F13,'Critical resources (hide)'!AI$6:AI$105)&gt;0,$E$1=2),0,1),0)</f>
        <v>1</v>
      </c>
      <c r="W13" s="67">
        <f ca="1">IF(LOWER(Capacity!$L25)="x",IF(AND(SUMIF(Capacity_Resource,$D13,'Critical resources (hide)'!AJ$6:AJ$105)+SUMIF(Capacity_Resource,$E13,'Critical resources (hide)'!AJ$6:AJ$105)+SUMIF(Capacity_Resource,$F13,'Critical resources (hide)'!AJ$6:AJ$105)&gt;0,$E$1=2),0,1),0)</f>
        <v>1</v>
      </c>
      <c r="X13" s="67">
        <f ca="1">IF(LOWER(Capacity!$L25)="x",IF(AND(SUMIF(Capacity_Resource,$D13,'Critical resources (hide)'!AK$6:AK$105)+SUMIF(Capacity_Resource,$E13,'Critical resources (hide)'!AK$6:AK$105)+SUMIF(Capacity_Resource,$F13,'Critical resources (hide)'!AK$6:AK$105)&gt;0,$E$1=2),0,1),0)</f>
        <v>1</v>
      </c>
      <c r="Y13" s="67">
        <f ca="1">IF(LOWER(Capacity!$L25)="x",IF(AND(SUMIF(Capacity_Resource,$D13,'Critical resources (hide)'!AL$6:AL$105)+SUMIF(Capacity_Resource,$E13,'Critical resources (hide)'!AL$6:AL$105)+SUMIF(Capacity_Resource,$F13,'Critical resources (hide)'!AL$6:AL$105)&gt;0,$E$1=2),0,1),0)</f>
        <v>1</v>
      </c>
      <c r="Z13" s="67">
        <f ca="1">IF(LOWER(Capacity!$L25)="x",IF(AND(SUMIF(Capacity_Resource,$D13,'Critical resources (hide)'!AM$6:AM$105)+SUMIF(Capacity_Resource,$E13,'Critical resources (hide)'!AM$6:AM$105)+SUMIF(Capacity_Resource,$F13,'Critical resources (hide)'!AM$6:AM$105)&gt;0,$E$1=2),0,1),0)</f>
        <v>1</v>
      </c>
      <c r="AA13" s="67">
        <f ca="1">IF(LOWER(Capacity!$L25)="x",IF(AND(SUMIF(Capacity_Resource,$D13,'Critical resources (hide)'!AN$6:AN$105)+SUMIF(Capacity_Resource,$E13,'Critical resources (hide)'!AN$6:AN$105)+SUMIF(Capacity_Resource,$F13,'Critical resources (hide)'!AN$6:AN$105)&gt;0,$E$1=2),0,1),0)</f>
        <v>1</v>
      </c>
      <c r="AB13" s="67">
        <f ca="1">IF(LOWER(Capacity!$L25)="x",IF(AND(SUMIF(Capacity_Resource,$D13,'Critical resources (hide)'!AO$6:AO$105)+SUMIF(Capacity_Resource,$E13,'Critical resources (hide)'!AO$6:AO$105)+SUMIF(Capacity_Resource,$F13,'Critical resources (hide)'!AO$6:AO$105)&gt;0,$E$1=2),0,1),0)</f>
        <v>1</v>
      </c>
      <c r="AC13" s="67">
        <f ca="1">IF(LOWER(Capacity!$L25)="x",IF(AND(SUMIF(Capacity_Resource,$D13,'Critical resources (hide)'!AP$6:AP$105)+SUMIF(Capacity_Resource,$E13,'Critical resources (hide)'!AP$6:AP$105)+SUMIF(Capacity_Resource,$F13,'Critical resources (hide)'!AP$6:AP$105)&gt;0,$E$1=2),0,1),0)</f>
        <v>1</v>
      </c>
      <c r="AD13" s="67">
        <f ca="1">IF(LOWER(Capacity!$L25)="x",IF(AND(SUMIF(Capacity_Resource,$D13,'Critical resources (hide)'!AQ$6:AQ$105)+SUMIF(Capacity_Resource,$E13,'Critical resources (hide)'!AQ$6:AQ$105)+SUMIF(Capacity_Resource,$F13,'Critical resources (hide)'!AQ$6:AQ$105)&gt;0,$E$1=2),0,1),0)</f>
        <v>1</v>
      </c>
      <c r="AE13" s="67">
        <f ca="1">IF(LOWER(Capacity!$L25)="x",IF(AND(SUMIF(Capacity_Resource,$D13,'Critical resources (hide)'!AR$6:AR$105)+SUMIF(Capacity_Resource,$E13,'Critical resources (hide)'!AR$6:AR$105)+SUMIF(Capacity_Resource,$F13,'Critical resources (hide)'!AR$6:AR$105)&gt;0,$E$1=2),0,1),0)</f>
        <v>1</v>
      </c>
      <c r="AF13" s="67">
        <f ca="1">IF(LOWER(Capacity!$L25)="x",IF(AND(SUMIF(Capacity_Resource,$D13,'Critical resources (hide)'!AS$6:AS$105)+SUMIF(Capacity_Resource,$E13,'Critical resources (hide)'!AS$6:AS$105)+SUMIF(Capacity_Resource,$F13,'Critical resources (hide)'!AS$6:AS$105)&gt;0,$E$1=2),0,1),0)</f>
        <v>1</v>
      </c>
      <c r="AG13" s="67">
        <f ca="1">IF(LOWER(Capacity!$L25)="x",IF(AND(SUMIF(Capacity_Resource,$D13,'Critical resources (hide)'!AT$6:AT$105)+SUMIF(Capacity_Resource,$E13,'Critical resources (hide)'!AT$6:AT$105)+SUMIF(Capacity_Resource,$F13,'Critical resources (hide)'!AT$6:AT$105)&gt;0,$E$1=2),0,1),0)</f>
        <v>1</v>
      </c>
      <c r="AH13" s="67">
        <f ca="1">IF(LOWER(Capacity!$L25)="x",IF(AND(SUMIF(Capacity_Resource,$D13,'Critical resources (hide)'!AU$6:AU$105)+SUMIF(Capacity_Resource,$E13,'Critical resources (hide)'!AU$6:AU$105)+SUMIF(Capacity_Resource,$F13,'Critical resources (hide)'!AU$6:AU$105)&gt;0,$E$1=2),0,1),0)</f>
        <v>1</v>
      </c>
      <c r="AI13" s="67">
        <f ca="1">IF(LOWER(Capacity!$L25)="x",IF(AND(SUMIF(Capacity_Resource,$D13,'Critical resources (hide)'!AV$6:AV$105)+SUMIF(Capacity_Resource,$E13,'Critical resources (hide)'!AV$6:AV$105)+SUMIF(Capacity_Resource,$F13,'Critical resources (hide)'!AV$6:AV$105)&gt;0,$E$1=2),0,1),0)</f>
        <v>1</v>
      </c>
      <c r="AJ13" s="67">
        <f ca="1">IF(LOWER(Capacity!$L25)="x",IF(AND(SUMIF(Capacity_Resource,$D13,'Critical resources (hide)'!AW$6:AW$105)+SUMIF(Capacity_Resource,$E13,'Critical resources (hide)'!AW$6:AW$105)+SUMIF(Capacity_Resource,$F13,'Critical resources (hide)'!AW$6:AW$105)&gt;0,$E$1=2),0,1),0)</f>
        <v>1</v>
      </c>
      <c r="AK13" s="67">
        <f ca="1">IF(LOWER(Capacity!$L25)="x",IF(AND(SUMIF(Capacity_Resource,$D13,'Critical resources (hide)'!AX$6:AX$105)+SUMIF(Capacity_Resource,$E13,'Critical resources (hide)'!AX$6:AX$105)+SUMIF(Capacity_Resource,$F13,'Critical resources (hide)'!AX$6:AX$105)&gt;0,$E$1=2),0,1),0)</f>
        <v>1</v>
      </c>
      <c r="AL13" s="67">
        <f ca="1">IF(LOWER(Capacity!$L25)="x",IF(AND(SUMIF(Capacity_Resource,$D13,'Critical resources (hide)'!AY$6:AY$105)+SUMIF(Capacity_Resource,$E13,'Critical resources (hide)'!AY$6:AY$105)+SUMIF(Capacity_Resource,$F13,'Critical resources (hide)'!AY$6:AY$105)&gt;0,$E$1=2),0,1),0)</f>
        <v>1</v>
      </c>
      <c r="AM13" s="67">
        <f ca="1">IF(LOWER(Capacity!$L25)="x",IF(AND(SUMIF(Capacity_Resource,$D13,'Critical resources (hide)'!AZ$6:AZ$105)+SUMIF(Capacity_Resource,$E13,'Critical resources (hide)'!AZ$6:AZ$105)+SUMIF(Capacity_Resource,$F13,'Critical resources (hide)'!AZ$6:AZ$105)&gt;0,$E$1=2),0,1),0)</f>
        <v>1</v>
      </c>
      <c r="AN13" s="67">
        <f ca="1">IF(LOWER(Capacity!$L25)="x",IF(AND(SUMIF(Capacity_Resource,$D13,'Critical resources (hide)'!BA$6:BA$105)+SUMIF(Capacity_Resource,$E13,'Critical resources (hide)'!BA$6:BA$105)+SUMIF(Capacity_Resource,$F13,'Critical resources (hide)'!BA$6:BA$105)&gt;0,$E$1=2),0,1),0)</f>
        <v>1</v>
      </c>
      <c r="AO13" s="67">
        <f ca="1">IF(LOWER(Capacity!$L25)="x",IF(AND(SUMIF(Capacity_Resource,$D13,'Critical resources (hide)'!BB$6:BB$105)+SUMIF(Capacity_Resource,$E13,'Critical resources (hide)'!BB$6:BB$105)+SUMIF(Capacity_Resource,$F13,'Critical resources (hide)'!BB$6:BB$105)&gt;0,$E$1=2),0,1),0)</f>
        <v>1</v>
      </c>
      <c r="AP13" s="67">
        <f ca="1">IF(LOWER(Capacity!$L25)="x",IF(AND(SUMIF(Capacity_Resource,$D13,'Critical resources (hide)'!BC$6:BC$105)+SUMIF(Capacity_Resource,$E13,'Critical resources (hide)'!BC$6:BC$105)+SUMIF(Capacity_Resource,$F13,'Critical resources (hide)'!BC$6:BC$105)&gt;0,$E$1=2),0,1),0)</f>
        <v>1</v>
      </c>
      <c r="AQ13" s="67">
        <f ca="1">IF(LOWER(Capacity!$L25)="x",IF(AND(SUMIF(Capacity_Resource,$D13,'Critical resources (hide)'!BD$6:BD$105)+SUMIF(Capacity_Resource,$E13,'Critical resources (hide)'!BD$6:BD$105)+SUMIF(Capacity_Resource,$F13,'Critical resources (hide)'!BD$6:BD$105)&gt;0,$E$1=2),0,1),0)</f>
        <v>1</v>
      </c>
      <c r="AR13" s="67">
        <f ca="1">IF(LOWER(Capacity!$L25)="x",IF(AND(SUMIF(Capacity_Resource,$D13,'Critical resources (hide)'!BE$6:BE$105)+SUMIF(Capacity_Resource,$E13,'Critical resources (hide)'!BE$6:BE$105)+SUMIF(Capacity_Resource,$F13,'Critical resources (hide)'!BE$6:BE$105)&gt;0,$E$1=2),0,1),0)</f>
        <v>1</v>
      </c>
      <c r="AS13" s="67">
        <f ca="1">IF(LOWER(Capacity!$L25)="x",IF(AND(SUMIF(Capacity_Resource,$D13,'Critical resources (hide)'!BF$6:BF$105)+SUMIF(Capacity_Resource,$E13,'Critical resources (hide)'!BF$6:BF$105)+SUMIF(Capacity_Resource,$F13,'Critical resources (hide)'!BF$6:BF$105)&gt;0,$E$1=2),0,1),0)</f>
        <v>1</v>
      </c>
      <c r="AT13" s="67">
        <f ca="1">IF(LOWER(Capacity!$L25)="x",IF(AND(SUMIF(Capacity_Resource,$D13,'Critical resources (hide)'!BG$6:BG$105)+SUMIF(Capacity_Resource,$E13,'Critical resources (hide)'!BG$6:BG$105)+SUMIF(Capacity_Resource,$F13,'Critical resources (hide)'!BG$6:BG$105)&gt;0,$E$1=2),0,1),0)</f>
        <v>1</v>
      </c>
      <c r="AU13" s="67">
        <f ca="1">IF(LOWER(Capacity!$L25)="x",IF(AND(SUMIF(Capacity_Resource,$D13,'Critical resources (hide)'!BH$6:BH$105)+SUMIF(Capacity_Resource,$E13,'Critical resources (hide)'!BH$6:BH$105)+SUMIF(Capacity_Resource,$F13,'Critical resources (hide)'!BH$6:BH$105)&gt;0,$E$1=2),0,1),0)</f>
        <v>1</v>
      </c>
      <c r="AV13" s="67">
        <f ca="1">IF(LOWER(Capacity!$L25)="x",IF(AND(SUMIF(Capacity_Resource,$D13,'Critical resources (hide)'!BI$6:BI$105)+SUMIF(Capacity_Resource,$E13,'Critical resources (hide)'!BI$6:BI$105)+SUMIF(Capacity_Resource,$F13,'Critical resources (hide)'!BI$6:BI$105)&gt;0,$E$1=2),0,1),0)</f>
        <v>1</v>
      </c>
      <c r="AW13" s="67">
        <f ca="1">IF(LOWER(Capacity!$L25)="x",IF(AND(SUMIF(Capacity_Resource,$D13,'Critical resources (hide)'!BJ$6:BJ$105)+SUMIF(Capacity_Resource,$E13,'Critical resources (hide)'!BJ$6:BJ$105)+SUMIF(Capacity_Resource,$F13,'Critical resources (hide)'!BJ$6:BJ$105)&gt;0,$E$1=2),0,1),0)</f>
        <v>1</v>
      </c>
      <c r="AX13" s="67">
        <f ca="1">IF(LOWER(Capacity!$L25)="x",IF(AND(SUMIF(Capacity_Resource,$D13,'Critical resources (hide)'!BK$6:BK$105)+SUMIF(Capacity_Resource,$E13,'Critical resources (hide)'!BK$6:BK$105)+SUMIF(Capacity_Resource,$F13,'Critical resources (hide)'!BK$6:BK$105)&gt;0,$E$1=2),0,1),0)</f>
        <v>1</v>
      </c>
      <c r="AY13" s="67">
        <f ca="1">IF(LOWER(Capacity!$L25)="x",IF(AND(SUMIF(Capacity_Resource,$D13,'Critical resources (hide)'!BL$6:BL$105)+SUMIF(Capacity_Resource,$E13,'Critical resources (hide)'!BL$6:BL$105)+SUMIF(Capacity_Resource,$F13,'Critical resources (hide)'!BL$6:BL$105)&gt;0,$E$1=2),0,1),0)</f>
        <v>1</v>
      </c>
      <c r="AZ13" s="67">
        <f ca="1">IF(LOWER(Capacity!$L25)="x",IF(AND(SUMIF(Capacity_Resource,$D13,'Critical resources (hide)'!BM$6:BM$105)+SUMIF(Capacity_Resource,$E13,'Critical resources (hide)'!BM$6:BM$105)+SUMIF(Capacity_Resource,$F13,'Critical resources (hide)'!BM$6:BM$105)&gt;0,$E$1=2),0,1),0)</f>
        <v>1</v>
      </c>
      <c r="BA13" s="67">
        <f ca="1">IF(LOWER(Capacity!$L25)="x",IF(AND(SUMIF(Capacity_Resource,$D13,'Critical resources (hide)'!BN$6:BN$105)+SUMIF(Capacity_Resource,$E13,'Critical resources (hide)'!BN$6:BN$105)+SUMIF(Capacity_Resource,$F13,'Critical resources (hide)'!BN$6:BN$105)&gt;0,$E$1=2),0,1),0)</f>
        <v>1</v>
      </c>
      <c r="BB13" s="67">
        <f ca="1">IF(LOWER(Capacity!$L25)="x",IF(AND(SUMIF(Capacity_Resource,$D13,'Critical resources (hide)'!BO$6:BO$105)+SUMIF(Capacity_Resource,$E13,'Critical resources (hide)'!BO$6:BO$105)+SUMIF(Capacity_Resource,$F13,'Critical resources (hide)'!BO$6:BO$105)&gt;0,$E$1=2),0,1),0)</f>
        <v>1</v>
      </c>
      <c r="BC13" s="67">
        <f ca="1">IF(LOWER(Capacity!$L25)="x",IF(AND(SUMIF(Capacity_Resource,$D13,'Critical resources (hide)'!BP$6:BP$105)+SUMIF(Capacity_Resource,$E13,'Critical resources (hide)'!BP$6:BP$105)+SUMIF(Capacity_Resource,$F13,'Critical resources (hide)'!BP$6:BP$105)&gt;0,$E$1=2),0,1),0)</f>
        <v>1</v>
      </c>
      <c r="BD13" s="67">
        <f ca="1">IF(LOWER(Capacity!$L25)="x",IF(AND(SUMIF(Capacity_Resource,$D13,'Critical resources (hide)'!BQ$6:BQ$105)+SUMIF(Capacity_Resource,$E13,'Critical resources (hide)'!BQ$6:BQ$105)+SUMIF(Capacity_Resource,$F13,'Critical resources (hide)'!BQ$6:BQ$105)&gt;0,$E$1=2),0,1),0)</f>
        <v>1</v>
      </c>
      <c r="BE13" s="67">
        <f ca="1">IF(LOWER(Capacity!$L25)="x",IF(AND(SUMIF(Capacity_Resource,$D13,'Critical resources (hide)'!BR$6:BR$105)+SUMIF(Capacity_Resource,$E13,'Critical resources (hide)'!BR$6:BR$105)+SUMIF(Capacity_Resource,$F13,'Critical resources (hide)'!BR$6:BR$105)&gt;0,$E$1=2),0,1),0)</f>
        <v>1</v>
      </c>
      <c r="BF13" s="67">
        <f ca="1">IF(LOWER(Capacity!$L25)="x",IF(AND(SUMIF(Capacity_Resource,$D13,'Critical resources (hide)'!BS$6:BS$105)+SUMIF(Capacity_Resource,$E13,'Critical resources (hide)'!BS$6:BS$105)+SUMIF(Capacity_Resource,$F13,'Critical resources (hide)'!BS$6:BS$105)&gt;0,$E$1=2),0,1),0)</f>
        <v>1</v>
      </c>
      <c r="BG13" s="67">
        <f ca="1">IF(LOWER(Capacity!$L25)="x",IF(AND(SUMIF(Capacity_Resource,$D13,'Critical resources (hide)'!BT$6:BT$105)+SUMIF(Capacity_Resource,$E13,'Critical resources (hide)'!BT$6:BT$105)+SUMIF(Capacity_Resource,$F13,'Critical resources (hide)'!BT$6:BT$105)&gt;0,$E$1=2),0,1),0)</f>
        <v>1</v>
      </c>
      <c r="BH13" s="67">
        <f>IF(ROW(C9)&lt;=Capacity!$A$16,IF('Capacity summary'!$D$14="No",SUM(H13:BG13),'Capacity summary'!$E132),0)</f>
        <v>0</v>
      </c>
      <c r="BI13" s="5" t="str">
        <f>IF(BH13&gt;0,IF(BH13&lt;Capacity!E25,Capacity!F25,Capacity!H25/'Capacity calculation (hide)'!BH13),"")</f>
        <v/>
      </c>
      <c r="BK13" s="311">
        <f>IF($BI13&lt;&gt;"",IF('Capacity summary'!$D$14="Yes",IF(COUNTBLANK('Capacity summary'!$H132:$BG132)&lt;52,IF('Capacity summary'!H132&lt;&gt;"",IF(LOWER('Capacity summary'!H132)="x",$BI13*H13,VALUE('Capacity summary'!H132)),0),H13*$BI13),H13*$BI13),0)</f>
        <v>0</v>
      </c>
      <c r="BL13" s="311">
        <f>IF($BI13&lt;&gt;"",IF('Capacity summary'!$D$14="Yes",IF(COUNTBLANK('Capacity summary'!$H132:$BG132)&lt;52,IF('Capacity summary'!I132&lt;&gt;"",IF(LOWER('Capacity summary'!I132)="x",$BI13*I13,VALUE('Capacity summary'!I132)),0),I13*$BI13),I13*$BI13),0)</f>
        <v>0</v>
      </c>
      <c r="BM13" s="311">
        <f>IF($BI13&lt;&gt;"",IF('Capacity summary'!$D$14="Yes",IF(COUNTBLANK('Capacity summary'!$H132:$BG132)&lt;52,IF('Capacity summary'!J132&lt;&gt;"",IF(LOWER('Capacity summary'!J132)="x",$BI13*J13,VALUE('Capacity summary'!J132)),0),J13*$BI13),J13*$BI13),0)</f>
        <v>0</v>
      </c>
      <c r="BN13" s="311">
        <f>IF($BI13&lt;&gt;"",IF('Capacity summary'!$D$14="Yes",IF(COUNTBLANK('Capacity summary'!$H132:$BG132)&lt;52,IF('Capacity summary'!K132&lt;&gt;"",IF(LOWER('Capacity summary'!K132)="x",$BI13*K13,VALUE('Capacity summary'!K132)),0),K13*$BI13),K13*$BI13),0)</f>
        <v>0</v>
      </c>
      <c r="BO13" s="311">
        <f>IF($BI13&lt;&gt;"",IF('Capacity summary'!$D$14="Yes",IF(COUNTBLANK('Capacity summary'!$H132:$BG132)&lt;52,IF('Capacity summary'!L132&lt;&gt;"",IF(LOWER('Capacity summary'!L132)="x",$BI13*L13,VALUE('Capacity summary'!L132)),0),L13*$BI13),L13*$BI13),0)</f>
        <v>0</v>
      </c>
      <c r="BP13" s="311">
        <f>IF($BI13&lt;&gt;"",IF('Capacity summary'!$D$14="Yes",IF(COUNTBLANK('Capacity summary'!$H132:$BG132)&lt;52,IF('Capacity summary'!M132&lt;&gt;"",IF(LOWER('Capacity summary'!M132)="x",$BI13*M13,VALUE('Capacity summary'!M132)),0),M13*$BI13),M13*$BI13),0)</f>
        <v>0</v>
      </c>
      <c r="BQ13" s="311">
        <f>IF($BI13&lt;&gt;"",IF('Capacity summary'!$D$14="Yes",IF(COUNTBLANK('Capacity summary'!$H132:$BG132)&lt;52,IF('Capacity summary'!N132&lt;&gt;"",IF(LOWER('Capacity summary'!N132)="x",$BI13*N13,VALUE('Capacity summary'!N132)),0),N13*$BI13),N13*$BI13),0)</f>
        <v>0</v>
      </c>
      <c r="BR13" s="311">
        <f>IF($BI13&lt;&gt;"",IF('Capacity summary'!$D$14="Yes",IF(COUNTBLANK('Capacity summary'!$H132:$BG132)&lt;52,IF('Capacity summary'!O132&lt;&gt;"",IF(LOWER('Capacity summary'!O132)="x",$BI13*O13,VALUE('Capacity summary'!O132)),0),O13*$BI13),O13*$BI13),0)</f>
        <v>0</v>
      </c>
      <c r="BS13" s="311">
        <f>IF($BI13&lt;&gt;"",IF('Capacity summary'!$D$14="Yes",IF(COUNTBLANK('Capacity summary'!$H132:$BG132)&lt;52,IF('Capacity summary'!P132&lt;&gt;"",IF(LOWER('Capacity summary'!P132)="x",$BI13*P13,VALUE('Capacity summary'!P132)),0),P13*$BI13),P13*$BI13),0)</f>
        <v>0</v>
      </c>
      <c r="BT13" s="311">
        <f>IF($BI13&lt;&gt;"",IF('Capacity summary'!$D$14="Yes",IF(COUNTBLANK('Capacity summary'!$H132:$BG132)&lt;52,IF('Capacity summary'!Q132&lt;&gt;"",IF(LOWER('Capacity summary'!Q132)="x",$BI13*Q13,VALUE('Capacity summary'!Q132)),0),Q13*$BI13),Q13*$BI13),0)</f>
        <v>0</v>
      </c>
      <c r="BU13" s="311">
        <f>IF($BI13&lt;&gt;"",IF('Capacity summary'!$D$14="Yes",IF(COUNTBLANK('Capacity summary'!$H132:$BG132)&lt;52,IF('Capacity summary'!R132&lt;&gt;"",IF(LOWER('Capacity summary'!R132)="x",$BI13*R13,VALUE('Capacity summary'!R132)),0),R13*$BI13),R13*$BI13),0)</f>
        <v>0</v>
      </c>
      <c r="BV13" s="311">
        <f>IF($BI13&lt;&gt;"",IF('Capacity summary'!$D$14="Yes",IF(COUNTBLANK('Capacity summary'!$H132:$BG132)&lt;52,IF('Capacity summary'!S132&lt;&gt;"",IF(LOWER('Capacity summary'!S132)="x",$BI13*S13,VALUE('Capacity summary'!S132)),0),S13*$BI13),S13*$BI13),0)</f>
        <v>0</v>
      </c>
      <c r="BW13" s="311">
        <f>IF($BI13&lt;&gt;"",IF('Capacity summary'!$D$14="Yes",IF(COUNTBLANK('Capacity summary'!$H132:$BG132)&lt;52,IF('Capacity summary'!T132&lt;&gt;"",IF(LOWER('Capacity summary'!T132)="x",$BI13*T13,VALUE('Capacity summary'!T132)),0),T13*$BI13),T13*$BI13),0)</f>
        <v>0</v>
      </c>
      <c r="BX13" s="311">
        <f>IF($BI13&lt;&gt;"",IF('Capacity summary'!$D$14="Yes",IF(COUNTBLANK('Capacity summary'!$H132:$BG132)&lt;52,IF('Capacity summary'!U132&lt;&gt;"",IF(LOWER('Capacity summary'!U132)="x",$BI13*U13,VALUE('Capacity summary'!U132)),0),U13*$BI13),U13*$BI13),0)</f>
        <v>0</v>
      </c>
      <c r="BY13" s="311">
        <f>IF($BI13&lt;&gt;"",IF('Capacity summary'!$D$14="Yes",IF(COUNTBLANK('Capacity summary'!$H132:$BG132)&lt;52,IF('Capacity summary'!V132&lt;&gt;"",IF(LOWER('Capacity summary'!V132)="x",$BI13*V13,VALUE('Capacity summary'!V132)),0),V13*$BI13),V13*$BI13),0)</f>
        <v>0</v>
      </c>
      <c r="BZ13" s="311">
        <f>IF($BI13&lt;&gt;"",IF('Capacity summary'!$D$14="Yes",IF(COUNTBLANK('Capacity summary'!$H132:$BG132)&lt;52,IF('Capacity summary'!W132&lt;&gt;"",IF(LOWER('Capacity summary'!W132)="x",$BI13*W13,VALUE('Capacity summary'!W132)),0),W13*$BI13),W13*$BI13),0)</f>
        <v>0</v>
      </c>
      <c r="CA13" s="311">
        <f>IF($BI13&lt;&gt;"",IF('Capacity summary'!$D$14="Yes",IF(COUNTBLANK('Capacity summary'!$H132:$BG132)&lt;52,IF('Capacity summary'!X132&lt;&gt;"",IF(LOWER('Capacity summary'!X132)="x",$BI13*X13,VALUE('Capacity summary'!X132)),0),X13*$BI13),X13*$BI13),0)</f>
        <v>0</v>
      </c>
      <c r="CB13" s="311">
        <f>IF($BI13&lt;&gt;"",IF('Capacity summary'!$D$14="Yes",IF(COUNTBLANK('Capacity summary'!$H132:$BG132)&lt;52,IF('Capacity summary'!Y132&lt;&gt;"",IF(LOWER('Capacity summary'!Y132)="x",$BI13*Y13,VALUE('Capacity summary'!Y132)),0),Y13*$BI13),Y13*$BI13),0)</f>
        <v>0</v>
      </c>
      <c r="CC13" s="311">
        <f>IF($BI13&lt;&gt;"",IF('Capacity summary'!$D$14="Yes",IF(COUNTBLANK('Capacity summary'!$H132:$BG132)&lt;52,IF('Capacity summary'!Z132&lt;&gt;"",IF(LOWER('Capacity summary'!Z132)="x",$BI13*Z13,VALUE('Capacity summary'!Z132)),0),Z13*$BI13),Z13*$BI13),0)</f>
        <v>0</v>
      </c>
      <c r="CD13" s="311">
        <f>IF($BI13&lt;&gt;"",IF('Capacity summary'!$D$14="Yes",IF(COUNTBLANK('Capacity summary'!$H132:$BG132)&lt;52,IF('Capacity summary'!AA132&lt;&gt;"",IF(LOWER('Capacity summary'!AA132)="x",$BI13*AA13,VALUE('Capacity summary'!AA132)),0),AA13*$BI13),AA13*$BI13),0)</f>
        <v>0</v>
      </c>
      <c r="CE13" s="311">
        <f>IF($BI13&lt;&gt;"",IF('Capacity summary'!$D$14="Yes",IF(COUNTBLANK('Capacity summary'!$H132:$BG132)&lt;52,IF('Capacity summary'!AB132&lt;&gt;"",IF(LOWER('Capacity summary'!AB132)="x",$BI13*AB13,VALUE('Capacity summary'!AB132)),0),AB13*$BI13),AB13*$BI13),0)</f>
        <v>0</v>
      </c>
      <c r="CF13" s="311">
        <f>IF($BI13&lt;&gt;"",IF('Capacity summary'!$D$14="Yes",IF(COUNTBLANK('Capacity summary'!$H132:$BG132)&lt;52,IF('Capacity summary'!AC132&lt;&gt;"",IF(LOWER('Capacity summary'!AC132)="x",$BI13*AC13,VALUE('Capacity summary'!AC132)),0),AC13*$BI13),AC13*$BI13),0)</f>
        <v>0</v>
      </c>
      <c r="CG13" s="311">
        <f>IF($BI13&lt;&gt;"",IF('Capacity summary'!$D$14="Yes",IF(COUNTBLANK('Capacity summary'!$H132:$BG132)&lt;52,IF('Capacity summary'!AD132&lt;&gt;"",IF(LOWER('Capacity summary'!AD132)="x",$BI13*AD13,VALUE('Capacity summary'!AD132)),0),AD13*$BI13),AD13*$BI13),0)</f>
        <v>0</v>
      </c>
      <c r="CH13" s="311">
        <f>IF($BI13&lt;&gt;"",IF('Capacity summary'!$D$14="Yes",IF(COUNTBLANK('Capacity summary'!$H132:$BG132)&lt;52,IF('Capacity summary'!AE132&lt;&gt;"",IF(LOWER('Capacity summary'!AE132)="x",$BI13*AE13,VALUE('Capacity summary'!AE132)),0),AE13*$BI13),AE13*$BI13),0)</f>
        <v>0</v>
      </c>
      <c r="CI13" s="311">
        <f>IF($BI13&lt;&gt;"",IF('Capacity summary'!$D$14="Yes",IF(COUNTBLANK('Capacity summary'!$H132:$BG132)&lt;52,IF('Capacity summary'!AF132&lt;&gt;"",IF(LOWER('Capacity summary'!AF132)="x",$BI13*AF13,VALUE('Capacity summary'!AF132)),0),AF13*$BI13),AF13*$BI13),0)</f>
        <v>0</v>
      </c>
      <c r="CJ13" s="311">
        <f>IF($BI13&lt;&gt;"",IF('Capacity summary'!$D$14="Yes",IF(COUNTBLANK('Capacity summary'!$H132:$BG132)&lt;52,IF('Capacity summary'!AG132&lt;&gt;"",IF(LOWER('Capacity summary'!AG132)="x",$BI13*AG13,VALUE('Capacity summary'!AG132)),0),AG13*$BI13),AG13*$BI13),0)</f>
        <v>0</v>
      </c>
      <c r="CK13" s="311">
        <f>IF($BI13&lt;&gt;"",IF('Capacity summary'!$D$14="Yes",IF(COUNTBLANK('Capacity summary'!$H132:$BG132)&lt;52,IF('Capacity summary'!AH132&lt;&gt;"",IF(LOWER('Capacity summary'!AH132)="x",$BI13*AH13,VALUE('Capacity summary'!AH132)),0),AH13*$BI13),AH13*$BI13),0)</f>
        <v>0</v>
      </c>
      <c r="CL13" s="311">
        <f>IF($BI13&lt;&gt;"",IF('Capacity summary'!$D$14="Yes",IF(COUNTBLANK('Capacity summary'!$H132:$BG132)&lt;52,IF('Capacity summary'!AI132&lt;&gt;"",IF(LOWER('Capacity summary'!AI132)="x",$BI13*AI13,VALUE('Capacity summary'!AI132)),0),AI13*$BI13),AI13*$BI13),0)</f>
        <v>0</v>
      </c>
      <c r="CM13" s="311">
        <f>IF($BI13&lt;&gt;"",IF('Capacity summary'!$D$14="Yes",IF(COUNTBLANK('Capacity summary'!$H132:$BG132)&lt;52,IF('Capacity summary'!AJ132&lt;&gt;"",IF(LOWER('Capacity summary'!AJ132)="x",$BI13*AJ13,VALUE('Capacity summary'!AJ132)),0),AJ13*$BI13),AJ13*$BI13),0)</f>
        <v>0</v>
      </c>
      <c r="CN13" s="311">
        <f>IF($BI13&lt;&gt;"",IF('Capacity summary'!$D$14="Yes",IF(COUNTBLANK('Capacity summary'!$H132:$BG132)&lt;52,IF('Capacity summary'!AK132&lt;&gt;"",IF(LOWER('Capacity summary'!AK132)="x",$BI13*AK13,VALUE('Capacity summary'!AK132)),0),AK13*$BI13),AK13*$BI13),0)</f>
        <v>0</v>
      </c>
      <c r="CO13" s="311">
        <f>IF($BI13&lt;&gt;"",IF('Capacity summary'!$D$14="Yes",IF(COUNTBLANK('Capacity summary'!$H132:$BG132)&lt;52,IF('Capacity summary'!AL132&lt;&gt;"",IF(LOWER('Capacity summary'!AL132)="x",$BI13*AL13,VALUE('Capacity summary'!AL132)),0),AL13*$BI13),AL13*$BI13),0)</f>
        <v>0</v>
      </c>
      <c r="CP13" s="311">
        <f>IF($BI13&lt;&gt;"",IF('Capacity summary'!$D$14="Yes",IF(COUNTBLANK('Capacity summary'!$H132:$BG132)&lt;52,IF('Capacity summary'!AM132&lt;&gt;"",IF(LOWER('Capacity summary'!AM132)="x",$BI13*AM13,VALUE('Capacity summary'!AM132)),0),AM13*$BI13),AM13*$BI13),0)</f>
        <v>0</v>
      </c>
      <c r="CQ13" s="311">
        <f>IF($BI13&lt;&gt;"",IF('Capacity summary'!$D$14="Yes",IF(COUNTBLANK('Capacity summary'!$H132:$BG132)&lt;52,IF('Capacity summary'!AN132&lt;&gt;"",IF(LOWER('Capacity summary'!AN132)="x",$BI13*AN13,VALUE('Capacity summary'!AN132)),0),AN13*$BI13),AN13*$BI13),0)</f>
        <v>0</v>
      </c>
      <c r="CR13" s="311">
        <f>IF($BI13&lt;&gt;"",IF('Capacity summary'!$D$14="Yes",IF(COUNTBLANK('Capacity summary'!$H132:$BG132)&lt;52,IF('Capacity summary'!AO132&lt;&gt;"",IF(LOWER('Capacity summary'!AO132)="x",$BI13*AO13,VALUE('Capacity summary'!AO132)),0),AO13*$BI13),AO13*$BI13),0)</f>
        <v>0</v>
      </c>
      <c r="CS13" s="311">
        <f>IF($BI13&lt;&gt;"",IF('Capacity summary'!$D$14="Yes",IF(COUNTBLANK('Capacity summary'!$H132:$BG132)&lt;52,IF('Capacity summary'!AP132&lt;&gt;"",IF(LOWER('Capacity summary'!AP132)="x",$BI13*AP13,VALUE('Capacity summary'!AP132)),0),AP13*$BI13),AP13*$BI13),0)</f>
        <v>0</v>
      </c>
      <c r="CT13" s="311">
        <f>IF($BI13&lt;&gt;"",IF('Capacity summary'!$D$14="Yes",IF(COUNTBLANK('Capacity summary'!$H132:$BG132)&lt;52,IF('Capacity summary'!AQ132&lt;&gt;"",IF(LOWER('Capacity summary'!AQ132)="x",$BI13*AQ13,VALUE('Capacity summary'!AQ132)),0),AQ13*$BI13),AQ13*$BI13),0)</f>
        <v>0</v>
      </c>
      <c r="CU13" s="311">
        <f>IF($BI13&lt;&gt;"",IF('Capacity summary'!$D$14="Yes",IF(COUNTBLANK('Capacity summary'!$H132:$BG132)&lt;52,IF('Capacity summary'!AR132&lt;&gt;"",IF(LOWER('Capacity summary'!AR132)="x",$BI13*AR13,VALUE('Capacity summary'!AR132)),0),AR13*$BI13),AR13*$BI13),0)</f>
        <v>0</v>
      </c>
      <c r="CV13" s="311">
        <f>IF($BI13&lt;&gt;"",IF('Capacity summary'!$D$14="Yes",IF(COUNTBLANK('Capacity summary'!$H132:$BG132)&lt;52,IF('Capacity summary'!AS132&lt;&gt;"",IF(LOWER('Capacity summary'!AS132)="x",$BI13*AS13,VALUE('Capacity summary'!AS132)),0),AS13*$BI13),AS13*$BI13),0)</f>
        <v>0</v>
      </c>
      <c r="CW13" s="311">
        <f>IF($BI13&lt;&gt;"",IF('Capacity summary'!$D$14="Yes",IF(COUNTBLANK('Capacity summary'!$H132:$BG132)&lt;52,IF('Capacity summary'!AT132&lt;&gt;"",IF(LOWER('Capacity summary'!AT132)="x",$BI13*AT13,VALUE('Capacity summary'!AT132)),0),AT13*$BI13),AT13*$BI13),0)</f>
        <v>0</v>
      </c>
      <c r="CX13" s="311">
        <f>IF($BI13&lt;&gt;"",IF('Capacity summary'!$D$14="Yes",IF(COUNTBLANK('Capacity summary'!$H132:$BG132)&lt;52,IF('Capacity summary'!AU132&lt;&gt;"",IF(LOWER('Capacity summary'!AU132)="x",$BI13*AU13,VALUE('Capacity summary'!AU132)),0),AU13*$BI13),AU13*$BI13),0)</f>
        <v>0</v>
      </c>
      <c r="CY13" s="311">
        <f>IF($BI13&lt;&gt;"",IF('Capacity summary'!$D$14="Yes",IF(COUNTBLANK('Capacity summary'!$H132:$BG132)&lt;52,IF('Capacity summary'!AV132&lt;&gt;"",IF(LOWER('Capacity summary'!AV132)="x",$BI13*AV13,VALUE('Capacity summary'!AV132)),0),AV13*$BI13),AV13*$BI13),0)</f>
        <v>0</v>
      </c>
      <c r="CZ13" s="311">
        <f>IF($BI13&lt;&gt;"",IF('Capacity summary'!$D$14="Yes",IF(COUNTBLANK('Capacity summary'!$H132:$BG132)&lt;52,IF('Capacity summary'!AW132&lt;&gt;"",IF(LOWER('Capacity summary'!AW132)="x",$BI13*AW13,VALUE('Capacity summary'!AW132)),0),AW13*$BI13),AW13*$BI13),0)</f>
        <v>0</v>
      </c>
      <c r="DA13" s="311">
        <f>IF($BI13&lt;&gt;"",IF('Capacity summary'!$D$14="Yes",IF(COUNTBLANK('Capacity summary'!$H132:$BG132)&lt;52,IF('Capacity summary'!AX132&lt;&gt;"",IF(LOWER('Capacity summary'!AX132)="x",$BI13*AX13,VALUE('Capacity summary'!AX132)),0),AX13*$BI13),AX13*$BI13),0)</f>
        <v>0</v>
      </c>
      <c r="DB13" s="311">
        <f>IF($BI13&lt;&gt;"",IF('Capacity summary'!$D$14="Yes",IF(COUNTBLANK('Capacity summary'!$H132:$BG132)&lt;52,IF('Capacity summary'!AY132&lt;&gt;"",IF(LOWER('Capacity summary'!AY132)="x",$BI13*AY13,VALUE('Capacity summary'!AY132)),0),AY13*$BI13),AY13*$BI13),0)</f>
        <v>0</v>
      </c>
      <c r="DC13" s="311">
        <f>IF($BI13&lt;&gt;"",IF('Capacity summary'!$D$14="Yes",IF(COUNTBLANK('Capacity summary'!$H132:$BG132)&lt;52,IF('Capacity summary'!AZ132&lt;&gt;"",IF(LOWER('Capacity summary'!AZ132)="x",$BI13*AZ13,VALUE('Capacity summary'!AZ132)),0),AZ13*$BI13),AZ13*$BI13),0)</f>
        <v>0</v>
      </c>
      <c r="DD13" s="311">
        <f>IF($BI13&lt;&gt;"",IF('Capacity summary'!$D$14="Yes",IF(COUNTBLANK('Capacity summary'!$H132:$BG132)&lt;52,IF('Capacity summary'!BA132&lt;&gt;"",IF(LOWER('Capacity summary'!BA132)="x",$BI13*BA13,VALUE('Capacity summary'!BA132)),0),BA13*$BI13),BA13*$BI13),0)</f>
        <v>0</v>
      </c>
      <c r="DE13" s="311">
        <f>IF($BI13&lt;&gt;"",IF('Capacity summary'!$D$14="Yes",IF(COUNTBLANK('Capacity summary'!$H132:$BG132)&lt;52,IF('Capacity summary'!BB132&lt;&gt;"",IF(LOWER('Capacity summary'!BB132)="x",$BI13*BB13,VALUE('Capacity summary'!BB132)),0),BB13*$BI13),BB13*$BI13),0)</f>
        <v>0</v>
      </c>
      <c r="DF13" s="311">
        <f>IF($BI13&lt;&gt;"",IF('Capacity summary'!$D$14="Yes",IF(COUNTBLANK('Capacity summary'!$H132:$BG132)&lt;52,IF('Capacity summary'!BC132&lt;&gt;"",IF(LOWER('Capacity summary'!BC132)="x",$BI13*BC13,VALUE('Capacity summary'!BC132)),0),BC13*$BI13),BC13*$BI13),0)</f>
        <v>0</v>
      </c>
      <c r="DG13" s="311">
        <f>IF($BI13&lt;&gt;"",IF('Capacity summary'!$D$14="Yes",IF(COUNTBLANK('Capacity summary'!$H132:$BG132)&lt;52,IF('Capacity summary'!BD132&lt;&gt;"",IF(LOWER('Capacity summary'!BD132)="x",$BI13*BD13,VALUE('Capacity summary'!BD132)),0),BD13*$BI13),BD13*$BI13),0)</f>
        <v>0</v>
      </c>
      <c r="DH13" s="311">
        <f>IF($BI13&lt;&gt;"",IF('Capacity summary'!$D$14="Yes",IF(COUNTBLANK('Capacity summary'!$H132:$BG132)&lt;52,IF('Capacity summary'!BE132&lt;&gt;"",IF(LOWER('Capacity summary'!BE132)="x",$BI13*BE13,VALUE('Capacity summary'!BE132)),0),BE13*$BI13),BE13*$BI13),0)</f>
        <v>0</v>
      </c>
      <c r="DI13" s="311">
        <f>IF($BI13&lt;&gt;"",IF('Capacity summary'!$D$14="Yes",IF(COUNTBLANK('Capacity summary'!$H132:$BG132)&lt;52,IF('Capacity summary'!BF132&lt;&gt;"",IF(LOWER('Capacity summary'!BF132)="x",$BI13*BF13,VALUE('Capacity summary'!BF132)),0),BF13*$BI13),BF13*$BI13),0)</f>
        <v>0</v>
      </c>
      <c r="DJ13" s="311">
        <f>IF($BI13&lt;&gt;"",IF('Capacity summary'!$D$14="Yes",IF(COUNTBLANK('Capacity summary'!$H132:$BG132)&lt;52,IF('Capacity summary'!BG132&lt;&gt;"",IF(LOWER('Capacity summary'!BG132)="x",$BI13*BG13,VALUE('Capacity summary'!BG132)),0),BG13*$BI13),BG13*$BI13),0)</f>
        <v>0</v>
      </c>
      <c r="DK13" s="391">
        <f t="shared" si="2"/>
        <v>0</v>
      </c>
      <c r="DL13" s="136">
        <f t="shared" si="3"/>
        <v>0</v>
      </c>
      <c r="DM13" s="311" t="str">
        <f>Capacity!H25</f>
        <v/>
      </c>
      <c r="DQ13" s="5"/>
    </row>
    <row r="14" spans="1:121" x14ac:dyDescent="0.2">
      <c r="A14" s="67">
        <f>IF(Capacity!L26='Capacity summary'!BI133,1,0)</f>
        <v>1</v>
      </c>
      <c r="B14" s="67">
        <f>IF(Capacity!V26='Capacity summary'!BI33,1,0)</f>
        <v>1</v>
      </c>
      <c r="C14" s="67" t="str">
        <f>ROW(A10)&amp;". "&amp;Capacity!B26</f>
        <v xml:space="preserve">10. </v>
      </c>
      <c r="D14" s="67">
        <f>'Capacity setup'!C21</f>
        <v>0</v>
      </c>
      <c r="E14" s="67">
        <f>'Capacity setup'!D21</f>
        <v>0</v>
      </c>
      <c r="F14" s="67">
        <f>'Capacity setup'!E21</f>
        <v>0</v>
      </c>
      <c r="H14" s="67">
        <f ca="1">IF(LOWER(Capacity!$L26)="x",IF(AND(SUMIF(Capacity_Resource,$D14,'Critical resources (hide)'!U$6:U$105)+SUMIF(Capacity_Resource,$E14,'Critical resources (hide)'!U$6:U$105)+SUMIF(Capacity_Resource,$F14,'Critical resources (hide)'!U$6:U$105)&gt;0,$E$1=2),0,1),0)</f>
        <v>1</v>
      </c>
      <c r="I14" s="67">
        <f ca="1">IF(LOWER(Capacity!$L26)="x",IF(AND(SUMIF(Capacity_Resource,$D14,'Critical resources (hide)'!V$6:V$105)+SUMIF(Capacity_Resource,$E14,'Critical resources (hide)'!V$6:V$105)+SUMIF(Capacity_Resource,$F14,'Critical resources (hide)'!V$6:V$105)&gt;0,$E$1=2),0,1),0)</f>
        <v>1</v>
      </c>
      <c r="J14" s="67">
        <f ca="1">IF(LOWER(Capacity!$L26)="x",IF(AND(SUMIF(Capacity_Resource,$D14,'Critical resources (hide)'!W$6:W$105)+SUMIF(Capacity_Resource,$E14,'Critical resources (hide)'!W$6:W$105)+SUMIF(Capacity_Resource,$F14,'Critical resources (hide)'!W$6:W$105)&gt;0,$E$1=2),0,1),0)</f>
        <v>1</v>
      </c>
      <c r="K14" s="67">
        <f ca="1">IF(LOWER(Capacity!$L26)="x",IF(AND(SUMIF(Capacity_Resource,$D14,'Critical resources (hide)'!X$6:X$105)+SUMIF(Capacity_Resource,$E14,'Critical resources (hide)'!X$6:X$105)+SUMIF(Capacity_Resource,$F14,'Critical resources (hide)'!X$6:X$105)&gt;0,$E$1=2),0,1),0)</f>
        <v>1</v>
      </c>
      <c r="L14" s="67">
        <f ca="1">IF(LOWER(Capacity!$L26)="x",IF(AND(SUMIF(Capacity_Resource,$D14,'Critical resources (hide)'!Y$6:Y$105)+SUMIF(Capacity_Resource,$E14,'Critical resources (hide)'!Y$6:Y$105)+SUMIF(Capacity_Resource,$F14,'Critical resources (hide)'!Y$6:Y$105)&gt;0,$E$1=2),0,1),0)</f>
        <v>1</v>
      </c>
      <c r="M14" s="67">
        <f ca="1">IF(LOWER(Capacity!$L26)="x",IF(AND(SUMIF(Capacity_Resource,$D14,'Critical resources (hide)'!Z$6:Z$105)+SUMIF(Capacity_Resource,$E14,'Critical resources (hide)'!Z$6:Z$105)+SUMIF(Capacity_Resource,$F14,'Critical resources (hide)'!Z$6:Z$105)&gt;0,$E$1=2),0,1),0)</f>
        <v>1</v>
      </c>
      <c r="N14" s="67">
        <f ca="1">IF(LOWER(Capacity!$L26)="x",IF(AND(SUMIF(Capacity_Resource,$D14,'Critical resources (hide)'!AA$6:AA$105)+SUMIF(Capacity_Resource,$E14,'Critical resources (hide)'!AA$6:AA$105)+SUMIF(Capacity_Resource,$F14,'Critical resources (hide)'!AA$6:AA$105)&gt;0,$E$1=2),0,1),0)</f>
        <v>1</v>
      </c>
      <c r="O14" s="67">
        <f ca="1">IF(LOWER(Capacity!$L26)="x",IF(AND(SUMIF(Capacity_Resource,$D14,'Critical resources (hide)'!AB$6:AB$105)+SUMIF(Capacity_Resource,$E14,'Critical resources (hide)'!AB$6:AB$105)+SUMIF(Capacity_Resource,$F14,'Critical resources (hide)'!AB$6:AB$105)&gt;0,$E$1=2),0,1),0)</f>
        <v>1</v>
      </c>
      <c r="P14" s="67">
        <f ca="1">IF(LOWER(Capacity!$L26)="x",IF(AND(SUMIF(Capacity_Resource,$D14,'Critical resources (hide)'!AC$6:AC$105)+SUMIF(Capacity_Resource,$E14,'Critical resources (hide)'!AC$6:AC$105)+SUMIF(Capacity_Resource,$F14,'Critical resources (hide)'!AC$6:AC$105)&gt;0,$E$1=2),0,1),0)</f>
        <v>1</v>
      </c>
      <c r="Q14" s="67">
        <f ca="1">IF(LOWER(Capacity!$L26)="x",IF(AND(SUMIF(Capacity_Resource,$D14,'Critical resources (hide)'!AD$6:AD$105)+SUMIF(Capacity_Resource,$E14,'Critical resources (hide)'!AD$6:AD$105)+SUMIF(Capacity_Resource,$F14,'Critical resources (hide)'!AD$6:AD$105)&gt;0,$E$1=2),0,1),0)</f>
        <v>1</v>
      </c>
      <c r="R14" s="67">
        <f ca="1">IF(LOWER(Capacity!$L26)="x",IF(AND(SUMIF(Capacity_Resource,$D14,'Critical resources (hide)'!AE$6:AE$105)+SUMIF(Capacity_Resource,$E14,'Critical resources (hide)'!AE$6:AE$105)+SUMIF(Capacity_Resource,$F14,'Critical resources (hide)'!AE$6:AE$105)&gt;0,$E$1=2),0,1),0)</f>
        <v>1</v>
      </c>
      <c r="S14" s="67">
        <f ca="1">IF(LOWER(Capacity!$L26)="x",IF(AND(SUMIF(Capacity_Resource,$D14,'Critical resources (hide)'!AF$6:AF$105)+SUMIF(Capacity_Resource,$E14,'Critical resources (hide)'!AF$6:AF$105)+SUMIF(Capacity_Resource,$F14,'Critical resources (hide)'!AF$6:AF$105)&gt;0,$E$1=2),0,1),0)</f>
        <v>1</v>
      </c>
      <c r="T14" s="67">
        <f ca="1">IF(LOWER(Capacity!$L26)="x",IF(AND(SUMIF(Capacity_Resource,$D14,'Critical resources (hide)'!AG$6:AG$105)+SUMIF(Capacity_Resource,$E14,'Critical resources (hide)'!AG$6:AG$105)+SUMIF(Capacity_Resource,$F14,'Critical resources (hide)'!AG$6:AG$105)&gt;0,$E$1=2),0,1),0)</f>
        <v>1</v>
      </c>
      <c r="U14" s="67">
        <f ca="1">IF(LOWER(Capacity!$L26)="x",IF(AND(SUMIF(Capacity_Resource,$D14,'Critical resources (hide)'!AH$6:AH$105)+SUMIF(Capacity_Resource,$E14,'Critical resources (hide)'!AH$6:AH$105)+SUMIF(Capacity_Resource,$F14,'Critical resources (hide)'!AH$6:AH$105)&gt;0,$E$1=2),0,1),0)</f>
        <v>1</v>
      </c>
      <c r="V14" s="67">
        <f ca="1">IF(LOWER(Capacity!$L26)="x",IF(AND(SUMIF(Capacity_Resource,$D14,'Critical resources (hide)'!AI$6:AI$105)+SUMIF(Capacity_Resource,$E14,'Critical resources (hide)'!AI$6:AI$105)+SUMIF(Capacity_Resource,$F14,'Critical resources (hide)'!AI$6:AI$105)&gt;0,$E$1=2),0,1),0)</f>
        <v>1</v>
      </c>
      <c r="W14" s="67">
        <f ca="1">IF(LOWER(Capacity!$L26)="x",IF(AND(SUMIF(Capacity_Resource,$D14,'Critical resources (hide)'!AJ$6:AJ$105)+SUMIF(Capacity_Resource,$E14,'Critical resources (hide)'!AJ$6:AJ$105)+SUMIF(Capacity_Resource,$F14,'Critical resources (hide)'!AJ$6:AJ$105)&gt;0,$E$1=2),0,1),0)</f>
        <v>1</v>
      </c>
      <c r="X14" s="67">
        <f ca="1">IF(LOWER(Capacity!$L26)="x",IF(AND(SUMIF(Capacity_Resource,$D14,'Critical resources (hide)'!AK$6:AK$105)+SUMIF(Capacity_Resource,$E14,'Critical resources (hide)'!AK$6:AK$105)+SUMIF(Capacity_Resource,$F14,'Critical resources (hide)'!AK$6:AK$105)&gt;0,$E$1=2),0,1),0)</f>
        <v>1</v>
      </c>
      <c r="Y14" s="67">
        <f ca="1">IF(LOWER(Capacity!$L26)="x",IF(AND(SUMIF(Capacity_Resource,$D14,'Critical resources (hide)'!AL$6:AL$105)+SUMIF(Capacity_Resource,$E14,'Critical resources (hide)'!AL$6:AL$105)+SUMIF(Capacity_Resource,$F14,'Critical resources (hide)'!AL$6:AL$105)&gt;0,$E$1=2),0,1),0)</f>
        <v>1</v>
      </c>
      <c r="Z14" s="67">
        <f ca="1">IF(LOWER(Capacity!$L26)="x",IF(AND(SUMIF(Capacity_Resource,$D14,'Critical resources (hide)'!AM$6:AM$105)+SUMIF(Capacity_Resource,$E14,'Critical resources (hide)'!AM$6:AM$105)+SUMIF(Capacity_Resource,$F14,'Critical resources (hide)'!AM$6:AM$105)&gt;0,$E$1=2),0,1),0)</f>
        <v>1</v>
      </c>
      <c r="AA14" s="67">
        <f ca="1">IF(LOWER(Capacity!$L26)="x",IF(AND(SUMIF(Capacity_Resource,$D14,'Critical resources (hide)'!AN$6:AN$105)+SUMIF(Capacity_Resource,$E14,'Critical resources (hide)'!AN$6:AN$105)+SUMIF(Capacity_Resource,$F14,'Critical resources (hide)'!AN$6:AN$105)&gt;0,$E$1=2),0,1),0)</f>
        <v>1</v>
      </c>
      <c r="AB14" s="67">
        <f ca="1">IF(LOWER(Capacity!$L26)="x",IF(AND(SUMIF(Capacity_Resource,$D14,'Critical resources (hide)'!AO$6:AO$105)+SUMIF(Capacity_Resource,$E14,'Critical resources (hide)'!AO$6:AO$105)+SUMIF(Capacity_Resource,$F14,'Critical resources (hide)'!AO$6:AO$105)&gt;0,$E$1=2),0,1),0)</f>
        <v>1</v>
      </c>
      <c r="AC14" s="67">
        <f ca="1">IF(LOWER(Capacity!$L26)="x",IF(AND(SUMIF(Capacity_Resource,$D14,'Critical resources (hide)'!AP$6:AP$105)+SUMIF(Capacity_Resource,$E14,'Critical resources (hide)'!AP$6:AP$105)+SUMIF(Capacity_Resource,$F14,'Critical resources (hide)'!AP$6:AP$105)&gt;0,$E$1=2),0,1),0)</f>
        <v>1</v>
      </c>
      <c r="AD14" s="67">
        <f ca="1">IF(LOWER(Capacity!$L26)="x",IF(AND(SUMIF(Capacity_Resource,$D14,'Critical resources (hide)'!AQ$6:AQ$105)+SUMIF(Capacity_Resource,$E14,'Critical resources (hide)'!AQ$6:AQ$105)+SUMIF(Capacity_Resource,$F14,'Critical resources (hide)'!AQ$6:AQ$105)&gt;0,$E$1=2),0,1),0)</f>
        <v>1</v>
      </c>
      <c r="AE14" s="67">
        <f ca="1">IF(LOWER(Capacity!$L26)="x",IF(AND(SUMIF(Capacity_Resource,$D14,'Critical resources (hide)'!AR$6:AR$105)+SUMIF(Capacity_Resource,$E14,'Critical resources (hide)'!AR$6:AR$105)+SUMIF(Capacity_Resource,$F14,'Critical resources (hide)'!AR$6:AR$105)&gt;0,$E$1=2),0,1),0)</f>
        <v>1</v>
      </c>
      <c r="AF14" s="67">
        <f ca="1">IF(LOWER(Capacity!$L26)="x",IF(AND(SUMIF(Capacity_Resource,$D14,'Critical resources (hide)'!AS$6:AS$105)+SUMIF(Capacity_Resource,$E14,'Critical resources (hide)'!AS$6:AS$105)+SUMIF(Capacity_Resource,$F14,'Critical resources (hide)'!AS$6:AS$105)&gt;0,$E$1=2),0,1),0)</f>
        <v>1</v>
      </c>
      <c r="AG14" s="67">
        <f ca="1">IF(LOWER(Capacity!$L26)="x",IF(AND(SUMIF(Capacity_Resource,$D14,'Critical resources (hide)'!AT$6:AT$105)+SUMIF(Capacity_Resource,$E14,'Critical resources (hide)'!AT$6:AT$105)+SUMIF(Capacity_Resource,$F14,'Critical resources (hide)'!AT$6:AT$105)&gt;0,$E$1=2),0,1),0)</f>
        <v>1</v>
      </c>
      <c r="AH14" s="67">
        <f ca="1">IF(LOWER(Capacity!$L26)="x",IF(AND(SUMIF(Capacity_Resource,$D14,'Critical resources (hide)'!AU$6:AU$105)+SUMIF(Capacity_Resource,$E14,'Critical resources (hide)'!AU$6:AU$105)+SUMIF(Capacity_Resource,$F14,'Critical resources (hide)'!AU$6:AU$105)&gt;0,$E$1=2),0,1),0)</f>
        <v>1</v>
      </c>
      <c r="AI14" s="67">
        <f ca="1">IF(LOWER(Capacity!$L26)="x",IF(AND(SUMIF(Capacity_Resource,$D14,'Critical resources (hide)'!AV$6:AV$105)+SUMIF(Capacity_Resource,$E14,'Critical resources (hide)'!AV$6:AV$105)+SUMIF(Capacity_Resource,$F14,'Critical resources (hide)'!AV$6:AV$105)&gt;0,$E$1=2),0,1),0)</f>
        <v>1</v>
      </c>
      <c r="AJ14" s="67">
        <f ca="1">IF(LOWER(Capacity!$L26)="x",IF(AND(SUMIF(Capacity_Resource,$D14,'Critical resources (hide)'!AW$6:AW$105)+SUMIF(Capacity_Resource,$E14,'Critical resources (hide)'!AW$6:AW$105)+SUMIF(Capacity_Resource,$F14,'Critical resources (hide)'!AW$6:AW$105)&gt;0,$E$1=2),0,1),0)</f>
        <v>1</v>
      </c>
      <c r="AK14" s="67">
        <f ca="1">IF(LOWER(Capacity!$L26)="x",IF(AND(SUMIF(Capacity_Resource,$D14,'Critical resources (hide)'!AX$6:AX$105)+SUMIF(Capacity_Resource,$E14,'Critical resources (hide)'!AX$6:AX$105)+SUMIF(Capacity_Resource,$F14,'Critical resources (hide)'!AX$6:AX$105)&gt;0,$E$1=2),0,1),0)</f>
        <v>1</v>
      </c>
      <c r="AL14" s="67">
        <f ca="1">IF(LOWER(Capacity!$L26)="x",IF(AND(SUMIF(Capacity_Resource,$D14,'Critical resources (hide)'!AY$6:AY$105)+SUMIF(Capacity_Resource,$E14,'Critical resources (hide)'!AY$6:AY$105)+SUMIF(Capacity_Resource,$F14,'Critical resources (hide)'!AY$6:AY$105)&gt;0,$E$1=2),0,1),0)</f>
        <v>1</v>
      </c>
      <c r="AM14" s="67">
        <f ca="1">IF(LOWER(Capacity!$L26)="x",IF(AND(SUMIF(Capacity_Resource,$D14,'Critical resources (hide)'!AZ$6:AZ$105)+SUMIF(Capacity_Resource,$E14,'Critical resources (hide)'!AZ$6:AZ$105)+SUMIF(Capacity_Resource,$F14,'Critical resources (hide)'!AZ$6:AZ$105)&gt;0,$E$1=2),0,1),0)</f>
        <v>1</v>
      </c>
      <c r="AN14" s="67">
        <f ca="1">IF(LOWER(Capacity!$L26)="x",IF(AND(SUMIF(Capacity_Resource,$D14,'Critical resources (hide)'!BA$6:BA$105)+SUMIF(Capacity_Resource,$E14,'Critical resources (hide)'!BA$6:BA$105)+SUMIF(Capacity_Resource,$F14,'Critical resources (hide)'!BA$6:BA$105)&gt;0,$E$1=2),0,1),0)</f>
        <v>1</v>
      </c>
      <c r="AO14" s="67">
        <f ca="1">IF(LOWER(Capacity!$L26)="x",IF(AND(SUMIF(Capacity_Resource,$D14,'Critical resources (hide)'!BB$6:BB$105)+SUMIF(Capacity_Resource,$E14,'Critical resources (hide)'!BB$6:BB$105)+SUMIF(Capacity_Resource,$F14,'Critical resources (hide)'!BB$6:BB$105)&gt;0,$E$1=2),0,1),0)</f>
        <v>1</v>
      </c>
      <c r="AP14" s="67">
        <f ca="1">IF(LOWER(Capacity!$L26)="x",IF(AND(SUMIF(Capacity_Resource,$D14,'Critical resources (hide)'!BC$6:BC$105)+SUMIF(Capacity_Resource,$E14,'Critical resources (hide)'!BC$6:BC$105)+SUMIF(Capacity_Resource,$F14,'Critical resources (hide)'!BC$6:BC$105)&gt;0,$E$1=2),0,1),0)</f>
        <v>1</v>
      </c>
      <c r="AQ14" s="67">
        <f ca="1">IF(LOWER(Capacity!$L26)="x",IF(AND(SUMIF(Capacity_Resource,$D14,'Critical resources (hide)'!BD$6:BD$105)+SUMIF(Capacity_Resource,$E14,'Critical resources (hide)'!BD$6:BD$105)+SUMIF(Capacity_Resource,$F14,'Critical resources (hide)'!BD$6:BD$105)&gt;0,$E$1=2),0,1),0)</f>
        <v>1</v>
      </c>
      <c r="AR14" s="67">
        <f ca="1">IF(LOWER(Capacity!$L26)="x",IF(AND(SUMIF(Capacity_Resource,$D14,'Critical resources (hide)'!BE$6:BE$105)+SUMIF(Capacity_Resource,$E14,'Critical resources (hide)'!BE$6:BE$105)+SUMIF(Capacity_Resource,$F14,'Critical resources (hide)'!BE$6:BE$105)&gt;0,$E$1=2),0,1),0)</f>
        <v>1</v>
      </c>
      <c r="AS14" s="67">
        <f ca="1">IF(LOWER(Capacity!$L26)="x",IF(AND(SUMIF(Capacity_Resource,$D14,'Critical resources (hide)'!BF$6:BF$105)+SUMIF(Capacity_Resource,$E14,'Critical resources (hide)'!BF$6:BF$105)+SUMIF(Capacity_Resource,$F14,'Critical resources (hide)'!BF$6:BF$105)&gt;0,$E$1=2),0,1),0)</f>
        <v>1</v>
      </c>
      <c r="AT14" s="67">
        <f ca="1">IF(LOWER(Capacity!$L26)="x",IF(AND(SUMIF(Capacity_Resource,$D14,'Critical resources (hide)'!BG$6:BG$105)+SUMIF(Capacity_Resource,$E14,'Critical resources (hide)'!BG$6:BG$105)+SUMIF(Capacity_Resource,$F14,'Critical resources (hide)'!BG$6:BG$105)&gt;0,$E$1=2),0,1),0)</f>
        <v>1</v>
      </c>
      <c r="AU14" s="67">
        <f ca="1">IF(LOWER(Capacity!$L26)="x",IF(AND(SUMIF(Capacity_Resource,$D14,'Critical resources (hide)'!BH$6:BH$105)+SUMIF(Capacity_Resource,$E14,'Critical resources (hide)'!BH$6:BH$105)+SUMIF(Capacity_Resource,$F14,'Critical resources (hide)'!BH$6:BH$105)&gt;0,$E$1=2),0,1),0)</f>
        <v>1</v>
      </c>
      <c r="AV14" s="67">
        <f ca="1">IF(LOWER(Capacity!$L26)="x",IF(AND(SUMIF(Capacity_Resource,$D14,'Critical resources (hide)'!BI$6:BI$105)+SUMIF(Capacity_Resource,$E14,'Critical resources (hide)'!BI$6:BI$105)+SUMIF(Capacity_Resource,$F14,'Critical resources (hide)'!BI$6:BI$105)&gt;0,$E$1=2),0,1),0)</f>
        <v>1</v>
      </c>
      <c r="AW14" s="67">
        <f ca="1">IF(LOWER(Capacity!$L26)="x",IF(AND(SUMIF(Capacity_Resource,$D14,'Critical resources (hide)'!BJ$6:BJ$105)+SUMIF(Capacity_Resource,$E14,'Critical resources (hide)'!BJ$6:BJ$105)+SUMIF(Capacity_Resource,$F14,'Critical resources (hide)'!BJ$6:BJ$105)&gt;0,$E$1=2),0,1),0)</f>
        <v>1</v>
      </c>
      <c r="AX14" s="67">
        <f ca="1">IF(LOWER(Capacity!$L26)="x",IF(AND(SUMIF(Capacity_Resource,$D14,'Critical resources (hide)'!BK$6:BK$105)+SUMIF(Capacity_Resource,$E14,'Critical resources (hide)'!BK$6:BK$105)+SUMIF(Capacity_Resource,$F14,'Critical resources (hide)'!BK$6:BK$105)&gt;0,$E$1=2),0,1),0)</f>
        <v>1</v>
      </c>
      <c r="AY14" s="67">
        <f ca="1">IF(LOWER(Capacity!$L26)="x",IF(AND(SUMIF(Capacity_Resource,$D14,'Critical resources (hide)'!BL$6:BL$105)+SUMIF(Capacity_Resource,$E14,'Critical resources (hide)'!BL$6:BL$105)+SUMIF(Capacity_Resource,$F14,'Critical resources (hide)'!BL$6:BL$105)&gt;0,$E$1=2),0,1),0)</f>
        <v>1</v>
      </c>
      <c r="AZ14" s="67">
        <f ca="1">IF(LOWER(Capacity!$L26)="x",IF(AND(SUMIF(Capacity_Resource,$D14,'Critical resources (hide)'!BM$6:BM$105)+SUMIF(Capacity_Resource,$E14,'Critical resources (hide)'!BM$6:BM$105)+SUMIF(Capacity_Resource,$F14,'Critical resources (hide)'!BM$6:BM$105)&gt;0,$E$1=2),0,1),0)</f>
        <v>1</v>
      </c>
      <c r="BA14" s="67">
        <f ca="1">IF(LOWER(Capacity!$L26)="x",IF(AND(SUMIF(Capacity_Resource,$D14,'Critical resources (hide)'!BN$6:BN$105)+SUMIF(Capacity_Resource,$E14,'Critical resources (hide)'!BN$6:BN$105)+SUMIF(Capacity_Resource,$F14,'Critical resources (hide)'!BN$6:BN$105)&gt;0,$E$1=2),0,1),0)</f>
        <v>1</v>
      </c>
      <c r="BB14" s="67">
        <f ca="1">IF(LOWER(Capacity!$L26)="x",IF(AND(SUMIF(Capacity_Resource,$D14,'Critical resources (hide)'!BO$6:BO$105)+SUMIF(Capacity_Resource,$E14,'Critical resources (hide)'!BO$6:BO$105)+SUMIF(Capacity_Resource,$F14,'Critical resources (hide)'!BO$6:BO$105)&gt;0,$E$1=2),0,1),0)</f>
        <v>1</v>
      </c>
      <c r="BC14" s="67">
        <f ca="1">IF(LOWER(Capacity!$L26)="x",IF(AND(SUMIF(Capacity_Resource,$D14,'Critical resources (hide)'!BP$6:BP$105)+SUMIF(Capacity_Resource,$E14,'Critical resources (hide)'!BP$6:BP$105)+SUMIF(Capacity_Resource,$F14,'Critical resources (hide)'!BP$6:BP$105)&gt;0,$E$1=2),0,1),0)</f>
        <v>1</v>
      </c>
      <c r="BD14" s="67">
        <f ca="1">IF(LOWER(Capacity!$L26)="x",IF(AND(SUMIF(Capacity_Resource,$D14,'Critical resources (hide)'!BQ$6:BQ$105)+SUMIF(Capacity_Resource,$E14,'Critical resources (hide)'!BQ$6:BQ$105)+SUMIF(Capacity_Resource,$F14,'Critical resources (hide)'!BQ$6:BQ$105)&gt;0,$E$1=2),0,1),0)</f>
        <v>1</v>
      </c>
      <c r="BE14" s="67">
        <f ca="1">IF(LOWER(Capacity!$L26)="x",IF(AND(SUMIF(Capacity_Resource,$D14,'Critical resources (hide)'!BR$6:BR$105)+SUMIF(Capacity_Resource,$E14,'Critical resources (hide)'!BR$6:BR$105)+SUMIF(Capacity_Resource,$F14,'Critical resources (hide)'!BR$6:BR$105)&gt;0,$E$1=2),0,1),0)</f>
        <v>1</v>
      </c>
      <c r="BF14" s="67">
        <f ca="1">IF(LOWER(Capacity!$L26)="x",IF(AND(SUMIF(Capacity_Resource,$D14,'Critical resources (hide)'!BS$6:BS$105)+SUMIF(Capacity_Resource,$E14,'Critical resources (hide)'!BS$6:BS$105)+SUMIF(Capacity_Resource,$F14,'Critical resources (hide)'!BS$6:BS$105)&gt;0,$E$1=2),0,1),0)</f>
        <v>1</v>
      </c>
      <c r="BG14" s="67">
        <f ca="1">IF(LOWER(Capacity!$L26)="x",IF(AND(SUMIF(Capacity_Resource,$D14,'Critical resources (hide)'!BT$6:BT$105)+SUMIF(Capacity_Resource,$E14,'Critical resources (hide)'!BT$6:BT$105)+SUMIF(Capacity_Resource,$F14,'Critical resources (hide)'!BT$6:BT$105)&gt;0,$E$1=2),0,1),0)</f>
        <v>1</v>
      </c>
      <c r="BH14" s="67">
        <f>IF(ROW(C10)&lt;=Capacity!$A$16,IF('Capacity summary'!$D$14="No",SUM(H14:BG14),'Capacity summary'!$E133),0)</f>
        <v>0</v>
      </c>
      <c r="BI14" s="5" t="str">
        <f>IF(BH14&gt;0,IF(BH14&lt;Capacity!E26,Capacity!F26,Capacity!H26/'Capacity calculation (hide)'!BH14),"")</f>
        <v/>
      </c>
      <c r="BK14" s="311">
        <f>IF($BI14&lt;&gt;"",IF('Capacity summary'!$D$14="Yes",IF(COUNTBLANK('Capacity summary'!$H133:$BG133)&lt;52,IF('Capacity summary'!H133&lt;&gt;"",IF(LOWER('Capacity summary'!H133)="x",$BI14*H14,VALUE('Capacity summary'!H133)),0),H14*$BI14),H14*$BI14),0)</f>
        <v>0</v>
      </c>
      <c r="BL14" s="311">
        <f>IF($BI14&lt;&gt;"",IF('Capacity summary'!$D$14="Yes",IF(COUNTBLANK('Capacity summary'!$H133:$BG133)&lt;52,IF('Capacity summary'!I133&lt;&gt;"",IF(LOWER('Capacity summary'!I133)="x",$BI14*I14,VALUE('Capacity summary'!I133)),0),I14*$BI14),I14*$BI14),0)</f>
        <v>0</v>
      </c>
      <c r="BM14" s="311">
        <f>IF($BI14&lt;&gt;"",IF('Capacity summary'!$D$14="Yes",IF(COUNTBLANK('Capacity summary'!$H133:$BG133)&lt;52,IF('Capacity summary'!J133&lt;&gt;"",IF(LOWER('Capacity summary'!J133)="x",$BI14*J14,VALUE('Capacity summary'!J133)),0),J14*$BI14),J14*$BI14),0)</f>
        <v>0</v>
      </c>
      <c r="BN14" s="311">
        <f>IF($BI14&lt;&gt;"",IF('Capacity summary'!$D$14="Yes",IF(COUNTBLANK('Capacity summary'!$H133:$BG133)&lt;52,IF('Capacity summary'!K133&lt;&gt;"",IF(LOWER('Capacity summary'!K133)="x",$BI14*K14,VALUE('Capacity summary'!K133)),0),K14*$BI14),K14*$BI14),0)</f>
        <v>0</v>
      </c>
      <c r="BO14" s="311">
        <f>IF($BI14&lt;&gt;"",IF('Capacity summary'!$D$14="Yes",IF(COUNTBLANK('Capacity summary'!$H133:$BG133)&lt;52,IF('Capacity summary'!L133&lt;&gt;"",IF(LOWER('Capacity summary'!L133)="x",$BI14*L14,VALUE('Capacity summary'!L133)),0),L14*$BI14),L14*$BI14),0)</f>
        <v>0</v>
      </c>
      <c r="BP14" s="311">
        <f>IF($BI14&lt;&gt;"",IF('Capacity summary'!$D$14="Yes",IF(COUNTBLANK('Capacity summary'!$H133:$BG133)&lt;52,IF('Capacity summary'!M133&lt;&gt;"",IF(LOWER('Capacity summary'!M133)="x",$BI14*M14,VALUE('Capacity summary'!M133)),0),M14*$BI14),M14*$BI14),0)</f>
        <v>0</v>
      </c>
      <c r="BQ14" s="311">
        <f>IF($BI14&lt;&gt;"",IF('Capacity summary'!$D$14="Yes",IF(COUNTBLANK('Capacity summary'!$H133:$BG133)&lt;52,IF('Capacity summary'!N133&lt;&gt;"",IF(LOWER('Capacity summary'!N133)="x",$BI14*N14,VALUE('Capacity summary'!N133)),0),N14*$BI14),N14*$BI14),0)</f>
        <v>0</v>
      </c>
      <c r="BR14" s="311">
        <f>IF($BI14&lt;&gt;"",IF('Capacity summary'!$D$14="Yes",IF(COUNTBLANK('Capacity summary'!$H133:$BG133)&lt;52,IF('Capacity summary'!O133&lt;&gt;"",IF(LOWER('Capacity summary'!O133)="x",$BI14*O14,VALUE('Capacity summary'!O133)),0),O14*$BI14),O14*$BI14),0)</f>
        <v>0</v>
      </c>
      <c r="BS14" s="311">
        <f>IF($BI14&lt;&gt;"",IF('Capacity summary'!$D$14="Yes",IF(COUNTBLANK('Capacity summary'!$H133:$BG133)&lt;52,IF('Capacity summary'!P133&lt;&gt;"",IF(LOWER('Capacity summary'!P133)="x",$BI14*P14,VALUE('Capacity summary'!P133)),0),P14*$BI14),P14*$BI14),0)</f>
        <v>0</v>
      </c>
      <c r="BT14" s="311">
        <f>IF($BI14&lt;&gt;"",IF('Capacity summary'!$D$14="Yes",IF(COUNTBLANK('Capacity summary'!$H133:$BG133)&lt;52,IF('Capacity summary'!Q133&lt;&gt;"",IF(LOWER('Capacity summary'!Q133)="x",$BI14*Q14,VALUE('Capacity summary'!Q133)),0),Q14*$BI14),Q14*$BI14),0)</f>
        <v>0</v>
      </c>
      <c r="BU14" s="311">
        <f>IF($BI14&lt;&gt;"",IF('Capacity summary'!$D$14="Yes",IF(COUNTBLANK('Capacity summary'!$H133:$BG133)&lt;52,IF('Capacity summary'!R133&lt;&gt;"",IF(LOWER('Capacity summary'!R133)="x",$BI14*R14,VALUE('Capacity summary'!R133)),0),R14*$BI14),R14*$BI14),0)</f>
        <v>0</v>
      </c>
      <c r="BV14" s="311">
        <f>IF($BI14&lt;&gt;"",IF('Capacity summary'!$D$14="Yes",IF(COUNTBLANK('Capacity summary'!$H133:$BG133)&lt;52,IF('Capacity summary'!S133&lt;&gt;"",IF(LOWER('Capacity summary'!S133)="x",$BI14*S14,VALUE('Capacity summary'!S133)),0),S14*$BI14),S14*$BI14),0)</f>
        <v>0</v>
      </c>
      <c r="BW14" s="311">
        <f>IF($BI14&lt;&gt;"",IF('Capacity summary'!$D$14="Yes",IF(COUNTBLANK('Capacity summary'!$H133:$BG133)&lt;52,IF('Capacity summary'!T133&lt;&gt;"",IF(LOWER('Capacity summary'!T133)="x",$BI14*T14,VALUE('Capacity summary'!T133)),0),T14*$BI14),T14*$BI14),0)</f>
        <v>0</v>
      </c>
      <c r="BX14" s="311">
        <f>IF($BI14&lt;&gt;"",IF('Capacity summary'!$D$14="Yes",IF(COUNTBLANK('Capacity summary'!$H133:$BG133)&lt;52,IF('Capacity summary'!U133&lt;&gt;"",IF(LOWER('Capacity summary'!U133)="x",$BI14*U14,VALUE('Capacity summary'!U133)),0),U14*$BI14),U14*$BI14),0)</f>
        <v>0</v>
      </c>
      <c r="BY14" s="311">
        <f>IF($BI14&lt;&gt;"",IF('Capacity summary'!$D$14="Yes",IF(COUNTBLANK('Capacity summary'!$H133:$BG133)&lt;52,IF('Capacity summary'!V133&lt;&gt;"",IF(LOWER('Capacity summary'!V133)="x",$BI14*V14,VALUE('Capacity summary'!V133)),0),V14*$BI14),V14*$BI14),0)</f>
        <v>0</v>
      </c>
      <c r="BZ14" s="311">
        <f>IF($BI14&lt;&gt;"",IF('Capacity summary'!$D$14="Yes",IF(COUNTBLANK('Capacity summary'!$H133:$BG133)&lt;52,IF('Capacity summary'!W133&lt;&gt;"",IF(LOWER('Capacity summary'!W133)="x",$BI14*W14,VALUE('Capacity summary'!W133)),0),W14*$BI14),W14*$BI14),0)</f>
        <v>0</v>
      </c>
      <c r="CA14" s="311">
        <f>IF($BI14&lt;&gt;"",IF('Capacity summary'!$D$14="Yes",IF(COUNTBLANK('Capacity summary'!$H133:$BG133)&lt;52,IF('Capacity summary'!X133&lt;&gt;"",IF(LOWER('Capacity summary'!X133)="x",$BI14*X14,VALUE('Capacity summary'!X133)),0),X14*$BI14),X14*$BI14),0)</f>
        <v>0</v>
      </c>
      <c r="CB14" s="311">
        <f>IF($BI14&lt;&gt;"",IF('Capacity summary'!$D$14="Yes",IF(COUNTBLANK('Capacity summary'!$H133:$BG133)&lt;52,IF('Capacity summary'!Y133&lt;&gt;"",IF(LOWER('Capacity summary'!Y133)="x",$BI14*Y14,VALUE('Capacity summary'!Y133)),0),Y14*$BI14),Y14*$BI14),0)</f>
        <v>0</v>
      </c>
      <c r="CC14" s="311">
        <f>IF($BI14&lt;&gt;"",IF('Capacity summary'!$D$14="Yes",IF(COUNTBLANK('Capacity summary'!$H133:$BG133)&lt;52,IF('Capacity summary'!Z133&lt;&gt;"",IF(LOWER('Capacity summary'!Z133)="x",$BI14*Z14,VALUE('Capacity summary'!Z133)),0),Z14*$BI14),Z14*$BI14),0)</f>
        <v>0</v>
      </c>
      <c r="CD14" s="311">
        <f>IF($BI14&lt;&gt;"",IF('Capacity summary'!$D$14="Yes",IF(COUNTBLANK('Capacity summary'!$H133:$BG133)&lt;52,IF('Capacity summary'!AA133&lt;&gt;"",IF(LOWER('Capacity summary'!AA133)="x",$BI14*AA14,VALUE('Capacity summary'!AA133)),0),AA14*$BI14),AA14*$BI14),0)</f>
        <v>0</v>
      </c>
      <c r="CE14" s="311">
        <f>IF($BI14&lt;&gt;"",IF('Capacity summary'!$D$14="Yes",IF(COUNTBLANK('Capacity summary'!$H133:$BG133)&lt;52,IF('Capacity summary'!AB133&lt;&gt;"",IF(LOWER('Capacity summary'!AB133)="x",$BI14*AB14,VALUE('Capacity summary'!AB133)),0),AB14*$BI14),AB14*$BI14),0)</f>
        <v>0</v>
      </c>
      <c r="CF14" s="311">
        <f>IF($BI14&lt;&gt;"",IF('Capacity summary'!$D$14="Yes",IF(COUNTBLANK('Capacity summary'!$H133:$BG133)&lt;52,IF('Capacity summary'!AC133&lt;&gt;"",IF(LOWER('Capacity summary'!AC133)="x",$BI14*AC14,VALUE('Capacity summary'!AC133)),0),AC14*$BI14),AC14*$BI14),0)</f>
        <v>0</v>
      </c>
      <c r="CG14" s="311">
        <f>IF($BI14&lt;&gt;"",IF('Capacity summary'!$D$14="Yes",IF(COUNTBLANK('Capacity summary'!$H133:$BG133)&lt;52,IF('Capacity summary'!AD133&lt;&gt;"",IF(LOWER('Capacity summary'!AD133)="x",$BI14*AD14,VALUE('Capacity summary'!AD133)),0),AD14*$BI14),AD14*$BI14),0)</f>
        <v>0</v>
      </c>
      <c r="CH14" s="311">
        <f>IF($BI14&lt;&gt;"",IF('Capacity summary'!$D$14="Yes",IF(COUNTBLANK('Capacity summary'!$H133:$BG133)&lt;52,IF('Capacity summary'!AE133&lt;&gt;"",IF(LOWER('Capacity summary'!AE133)="x",$BI14*AE14,VALUE('Capacity summary'!AE133)),0),AE14*$BI14),AE14*$BI14),0)</f>
        <v>0</v>
      </c>
      <c r="CI14" s="311">
        <f>IF($BI14&lt;&gt;"",IF('Capacity summary'!$D$14="Yes",IF(COUNTBLANK('Capacity summary'!$H133:$BG133)&lt;52,IF('Capacity summary'!AF133&lt;&gt;"",IF(LOWER('Capacity summary'!AF133)="x",$BI14*AF14,VALUE('Capacity summary'!AF133)),0),AF14*$BI14),AF14*$BI14),0)</f>
        <v>0</v>
      </c>
      <c r="CJ14" s="311">
        <f>IF($BI14&lt;&gt;"",IF('Capacity summary'!$D$14="Yes",IF(COUNTBLANK('Capacity summary'!$H133:$BG133)&lt;52,IF('Capacity summary'!AG133&lt;&gt;"",IF(LOWER('Capacity summary'!AG133)="x",$BI14*AG14,VALUE('Capacity summary'!AG133)),0),AG14*$BI14),AG14*$BI14),0)</f>
        <v>0</v>
      </c>
      <c r="CK14" s="311">
        <f>IF($BI14&lt;&gt;"",IF('Capacity summary'!$D$14="Yes",IF(COUNTBLANK('Capacity summary'!$H133:$BG133)&lt;52,IF('Capacity summary'!AH133&lt;&gt;"",IF(LOWER('Capacity summary'!AH133)="x",$BI14*AH14,VALUE('Capacity summary'!AH133)),0),AH14*$BI14),AH14*$BI14),0)</f>
        <v>0</v>
      </c>
      <c r="CL14" s="311">
        <f>IF($BI14&lt;&gt;"",IF('Capacity summary'!$D$14="Yes",IF(COUNTBLANK('Capacity summary'!$H133:$BG133)&lt;52,IF('Capacity summary'!AI133&lt;&gt;"",IF(LOWER('Capacity summary'!AI133)="x",$BI14*AI14,VALUE('Capacity summary'!AI133)),0),AI14*$BI14),AI14*$BI14),0)</f>
        <v>0</v>
      </c>
      <c r="CM14" s="311">
        <f>IF($BI14&lt;&gt;"",IF('Capacity summary'!$D$14="Yes",IF(COUNTBLANK('Capacity summary'!$H133:$BG133)&lt;52,IF('Capacity summary'!AJ133&lt;&gt;"",IF(LOWER('Capacity summary'!AJ133)="x",$BI14*AJ14,VALUE('Capacity summary'!AJ133)),0),AJ14*$BI14),AJ14*$BI14),0)</f>
        <v>0</v>
      </c>
      <c r="CN14" s="311">
        <f>IF($BI14&lt;&gt;"",IF('Capacity summary'!$D$14="Yes",IF(COUNTBLANK('Capacity summary'!$H133:$BG133)&lt;52,IF('Capacity summary'!AK133&lt;&gt;"",IF(LOWER('Capacity summary'!AK133)="x",$BI14*AK14,VALUE('Capacity summary'!AK133)),0),AK14*$BI14),AK14*$BI14),0)</f>
        <v>0</v>
      </c>
      <c r="CO14" s="311">
        <f>IF($BI14&lt;&gt;"",IF('Capacity summary'!$D$14="Yes",IF(COUNTBLANK('Capacity summary'!$H133:$BG133)&lt;52,IF('Capacity summary'!AL133&lt;&gt;"",IF(LOWER('Capacity summary'!AL133)="x",$BI14*AL14,VALUE('Capacity summary'!AL133)),0),AL14*$BI14),AL14*$BI14),0)</f>
        <v>0</v>
      </c>
      <c r="CP14" s="311">
        <f>IF($BI14&lt;&gt;"",IF('Capacity summary'!$D$14="Yes",IF(COUNTBLANK('Capacity summary'!$H133:$BG133)&lt;52,IF('Capacity summary'!AM133&lt;&gt;"",IF(LOWER('Capacity summary'!AM133)="x",$BI14*AM14,VALUE('Capacity summary'!AM133)),0),AM14*$BI14),AM14*$BI14),0)</f>
        <v>0</v>
      </c>
      <c r="CQ14" s="311">
        <f>IF($BI14&lt;&gt;"",IF('Capacity summary'!$D$14="Yes",IF(COUNTBLANK('Capacity summary'!$H133:$BG133)&lt;52,IF('Capacity summary'!AN133&lt;&gt;"",IF(LOWER('Capacity summary'!AN133)="x",$BI14*AN14,VALUE('Capacity summary'!AN133)),0),AN14*$BI14),AN14*$BI14),0)</f>
        <v>0</v>
      </c>
      <c r="CR14" s="311">
        <f>IF($BI14&lt;&gt;"",IF('Capacity summary'!$D$14="Yes",IF(COUNTBLANK('Capacity summary'!$H133:$BG133)&lt;52,IF('Capacity summary'!AO133&lt;&gt;"",IF(LOWER('Capacity summary'!AO133)="x",$BI14*AO14,VALUE('Capacity summary'!AO133)),0),AO14*$BI14),AO14*$BI14),0)</f>
        <v>0</v>
      </c>
      <c r="CS14" s="311">
        <f>IF($BI14&lt;&gt;"",IF('Capacity summary'!$D$14="Yes",IF(COUNTBLANK('Capacity summary'!$H133:$BG133)&lt;52,IF('Capacity summary'!AP133&lt;&gt;"",IF(LOWER('Capacity summary'!AP133)="x",$BI14*AP14,VALUE('Capacity summary'!AP133)),0),AP14*$BI14),AP14*$BI14),0)</f>
        <v>0</v>
      </c>
      <c r="CT14" s="311">
        <f>IF($BI14&lt;&gt;"",IF('Capacity summary'!$D$14="Yes",IF(COUNTBLANK('Capacity summary'!$H133:$BG133)&lt;52,IF('Capacity summary'!AQ133&lt;&gt;"",IF(LOWER('Capacity summary'!AQ133)="x",$BI14*AQ14,VALUE('Capacity summary'!AQ133)),0),AQ14*$BI14),AQ14*$BI14),0)</f>
        <v>0</v>
      </c>
      <c r="CU14" s="311">
        <f>IF($BI14&lt;&gt;"",IF('Capacity summary'!$D$14="Yes",IF(COUNTBLANK('Capacity summary'!$H133:$BG133)&lt;52,IF('Capacity summary'!AR133&lt;&gt;"",IF(LOWER('Capacity summary'!AR133)="x",$BI14*AR14,VALUE('Capacity summary'!AR133)),0),AR14*$BI14),AR14*$BI14),0)</f>
        <v>0</v>
      </c>
      <c r="CV14" s="311">
        <f>IF($BI14&lt;&gt;"",IF('Capacity summary'!$D$14="Yes",IF(COUNTBLANK('Capacity summary'!$H133:$BG133)&lt;52,IF('Capacity summary'!AS133&lt;&gt;"",IF(LOWER('Capacity summary'!AS133)="x",$BI14*AS14,VALUE('Capacity summary'!AS133)),0),AS14*$BI14),AS14*$BI14),0)</f>
        <v>0</v>
      </c>
      <c r="CW14" s="311">
        <f>IF($BI14&lt;&gt;"",IF('Capacity summary'!$D$14="Yes",IF(COUNTBLANK('Capacity summary'!$H133:$BG133)&lt;52,IF('Capacity summary'!AT133&lt;&gt;"",IF(LOWER('Capacity summary'!AT133)="x",$BI14*AT14,VALUE('Capacity summary'!AT133)),0),AT14*$BI14),AT14*$BI14),0)</f>
        <v>0</v>
      </c>
      <c r="CX14" s="311">
        <f>IF($BI14&lt;&gt;"",IF('Capacity summary'!$D$14="Yes",IF(COUNTBLANK('Capacity summary'!$H133:$BG133)&lt;52,IF('Capacity summary'!AU133&lt;&gt;"",IF(LOWER('Capacity summary'!AU133)="x",$BI14*AU14,VALUE('Capacity summary'!AU133)),0),AU14*$BI14),AU14*$BI14),0)</f>
        <v>0</v>
      </c>
      <c r="CY14" s="311">
        <f>IF($BI14&lt;&gt;"",IF('Capacity summary'!$D$14="Yes",IF(COUNTBLANK('Capacity summary'!$H133:$BG133)&lt;52,IF('Capacity summary'!AV133&lt;&gt;"",IF(LOWER('Capacity summary'!AV133)="x",$BI14*AV14,VALUE('Capacity summary'!AV133)),0),AV14*$BI14),AV14*$BI14),0)</f>
        <v>0</v>
      </c>
      <c r="CZ14" s="311">
        <f>IF($BI14&lt;&gt;"",IF('Capacity summary'!$D$14="Yes",IF(COUNTBLANK('Capacity summary'!$H133:$BG133)&lt;52,IF('Capacity summary'!AW133&lt;&gt;"",IF(LOWER('Capacity summary'!AW133)="x",$BI14*AW14,VALUE('Capacity summary'!AW133)),0),AW14*$BI14),AW14*$BI14),0)</f>
        <v>0</v>
      </c>
      <c r="DA14" s="311">
        <f>IF($BI14&lt;&gt;"",IF('Capacity summary'!$D$14="Yes",IF(COUNTBLANK('Capacity summary'!$H133:$BG133)&lt;52,IF('Capacity summary'!AX133&lt;&gt;"",IF(LOWER('Capacity summary'!AX133)="x",$BI14*AX14,VALUE('Capacity summary'!AX133)),0),AX14*$BI14),AX14*$BI14),0)</f>
        <v>0</v>
      </c>
      <c r="DB14" s="311">
        <f>IF($BI14&lt;&gt;"",IF('Capacity summary'!$D$14="Yes",IF(COUNTBLANK('Capacity summary'!$H133:$BG133)&lt;52,IF('Capacity summary'!AY133&lt;&gt;"",IF(LOWER('Capacity summary'!AY133)="x",$BI14*AY14,VALUE('Capacity summary'!AY133)),0),AY14*$BI14),AY14*$BI14),0)</f>
        <v>0</v>
      </c>
      <c r="DC14" s="311">
        <f>IF($BI14&lt;&gt;"",IF('Capacity summary'!$D$14="Yes",IF(COUNTBLANK('Capacity summary'!$H133:$BG133)&lt;52,IF('Capacity summary'!AZ133&lt;&gt;"",IF(LOWER('Capacity summary'!AZ133)="x",$BI14*AZ14,VALUE('Capacity summary'!AZ133)),0),AZ14*$BI14),AZ14*$BI14),0)</f>
        <v>0</v>
      </c>
      <c r="DD14" s="311">
        <f>IF($BI14&lt;&gt;"",IF('Capacity summary'!$D$14="Yes",IF(COUNTBLANK('Capacity summary'!$H133:$BG133)&lt;52,IF('Capacity summary'!BA133&lt;&gt;"",IF(LOWER('Capacity summary'!BA133)="x",$BI14*BA14,VALUE('Capacity summary'!BA133)),0),BA14*$BI14),BA14*$BI14),0)</f>
        <v>0</v>
      </c>
      <c r="DE14" s="311">
        <f>IF($BI14&lt;&gt;"",IF('Capacity summary'!$D$14="Yes",IF(COUNTBLANK('Capacity summary'!$H133:$BG133)&lt;52,IF('Capacity summary'!BB133&lt;&gt;"",IF(LOWER('Capacity summary'!BB133)="x",$BI14*BB14,VALUE('Capacity summary'!BB133)),0),BB14*$BI14),BB14*$BI14),0)</f>
        <v>0</v>
      </c>
      <c r="DF14" s="311">
        <f>IF($BI14&lt;&gt;"",IF('Capacity summary'!$D$14="Yes",IF(COUNTBLANK('Capacity summary'!$H133:$BG133)&lt;52,IF('Capacity summary'!BC133&lt;&gt;"",IF(LOWER('Capacity summary'!BC133)="x",$BI14*BC14,VALUE('Capacity summary'!BC133)),0),BC14*$BI14),BC14*$BI14),0)</f>
        <v>0</v>
      </c>
      <c r="DG14" s="311">
        <f>IF($BI14&lt;&gt;"",IF('Capacity summary'!$D$14="Yes",IF(COUNTBLANK('Capacity summary'!$H133:$BG133)&lt;52,IF('Capacity summary'!BD133&lt;&gt;"",IF(LOWER('Capacity summary'!BD133)="x",$BI14*BD14,VALUE('Capacity summary'!BD133)),0),BD14*$BI14),BD14*$BI14),0)</f>
        <v>0</v>
      </c>
      <c r="DH14" s="311">
        <f>IF($BI14&lt;&gt;"",IF('Capacity summary'!$D$14="Yes",IF(COUNTBLANK('Capacity summary'!$H133:$BG133)&lt;52,IF('Capacity summary'!BE133&lt;&gt;"",IF(LOWER('Capacity summary'!BE133)="x",$BI14*BE14,VALUE('Capacity summary'!BE133)),0),BE14*$BI14),BE14*$BI14),0)</f>
        <v>0</v>
      </c>
      <c r="DI14" s="311">
        <f>IF($BI14&lt;&gt;"",IF('Capacity summary'!$D$14="Yes",IF(COUNTBLANK('Capacity summary'!$H133:$BG133)&lt;52,IF('Capacity summary'!BF133&lt;&gt;"",IF(LOWER('Capacity summary'!BF133)="x",$BI14*BF14,VALUE('Capacity summary'!BF133)),0),BF14*$BI14),BF14*$BI14),0)</f>
        <v>0</v>
      </c>
      <c r="DJ14" s="311">
        <f>IF($BI14&lt;&gt;"",IF('Capacity summary'!$D$14="Yes",IF(COUNTBLANK('Capacity summary'!$H133:$BG133)&lt;52,IF('Capacity summary'!BG133&lt;&gt;"",IF(LOWER('Capacity summary'!BG133)="x",$BI14*BG14,VALUE('Capacity summary'!BG133)),0),BG14*$BI14),BG14*$BI14),0)</f>
        <v>0</v>
      </c>
      <c r="DK14" s="391">
        <f t="shared" si="2"/>
        <v>0</v>
      </c>
      <c r="DL14" s="136">
        <f t="shared" si="3"/>
        <v>0</v>
      </c>
      <c r="DM14" s="311" t="str">
        <f>Capacity!H26</f>
        <v/>
      </c>
      <c r="DQ14" s="5"/>
    </row>
    <row r="15" spans="1:121" x14ac:dyDescent="0.2">
      <c r="A15" s="67">
        <f>IF(Capacity!L27='Capacity summary'!BI134,1,0)</f>
        <v>1</v>
      </c>
      <c r="B15" s="67">
        <f>IF(Capacity!V27='Capacity summary'!BI34,1,0)</f>
        <v>1</v>
      </c>
      <c r="C15" s="67" t="str">
        <f>ROW(A11)&amp;". "&amp;Capacity!B27</f>
        <v xml:space="preserve">11. </v>
      </c>
      <c r="D15" s="67">
        <f>'Capacity setup'!C22</f>
        <v>0</v>
      </c>
      <c r="E15" s="67">
        <f>'Capacity setup'!D22</f>
        <v>0</v>
      </c>
      <c r="F15" s="67">
        <f>'Capacity setup'!E22</f>
        <v>0</v>
      </c>
      <c r="H15" s="67">
        <f ca="1">IF(LOWER(Capacity!$L27)="x",IF(AND(SUMIF(Capacity_Resource,$D15,'Critical resources (hide)'!U$6:U$105)+SUMIF(Capacity_Resource,$E15,'Critical resources (hide)'!U$6:U$105)+SUMIF(Capacity_Resource,$F15,'Critical resources (hide)'!U$6:U$105)&gt;0,$E$1=2),0,1),0)</f>
        <v>1</v>
      </c>
      <c r="I15" s="67">
        <f ca="1">IF(LOWER(Capacity!$L27)="x",IF(AND(SUMIF(Capacity_Resource,$D15,'Critical resources (hide)'!V$6:V$105)+SUMIF(Capacity_Resource,$E15,'Critical resources (hide)'!V$6:V$105)+SUMIF(Capacity_Resource,$F15,'Critical resources (hide)'!V$6:V$105)&gt;0,$E$1=2),0,1),0)</f>
        <v>1</v>
      </c>
      <c r="J15" s="67">
        <f ca="1">IF(LOWER(Capacity!$L27)="x",IF(AND(SUMIF(Capacity_Resource,$D15,'Critical resources (hide)'!W$6:W$105)+SUMIF(Capacity_Resource,$E15,'Critical resources (hide)'!W$6:W$105)+SUMIF(Capacity_Resource,$F15,'Critical resources (hide)'!W$6:W$105)&gt;0,$E$1=2),0,1),0)</f>
        <v>1</v>
      </c>
      <c r="K15" s="67">
        <f ca="1">IF(LOWER(Capacity!$L27)="x",IF(AND(SUMIF(Capacity_Resource,$D15,'Critical resources (hide)'!X$6:X$105)+SUMIF(Capacity_Resource,$E15,'Critical resources (hide)'!X$6:X$105)+SUMIF(Capacity_Resource,$F15,'Critical resources (hide)'!X$6:X$105)&gt;0,$E$1=2),0,1),0)</f>
        <v>1</v>
      </c>
      <c r="L15" s="67">
        <f ca="1">IF(LOWER(Capacity!$L27)="x",IF(AND(SUMIF(Capacity_Resource,$D15,'Critical resources (hide)'!Y$6:Y$105)+SUMIF(Capacity_Resource,$E15,'Critical resources (hide)'!Y$6:Y$105)+SUMIF(Capacity_Resource,$F15,'Critical resources (hide)'!Y$6:Y$105)&gt;0,$E$1=2),0,1),0)</f>
        <v>1</v>
      </c>
      <c r="M15" s="67">
        <f ca="1">IF(LOWER(Capacity!$L27)="x",IF(AND(SUMIF(Capacity_Resource,$D15,'Critical resources (hide)'!Z$6:Z$105)+SUMIF(Capacity_Resource,$E15,'Critical resources (hide)'!Z$6:Z$105)+SUMIF(Capacity_Resource,$F15,'Critical resources (hide)'!Z$6:Z$105)&gt;0,$E$1=2),0,1),0)</f>
        <v>1</v>
      </c>
      <c r="N15" s="67">
        <f ca="1">IF(LOWER(Capacity!$L27)="x",IF(AND(SUMIF(Capacity_Resource,$D15,'Critical resources (hide)'!AA$6:AA$105)+SUMIF(Capacity_Resource,$E15,'Critical resources (hide)'!AA$6:AA$105)+SUMIF(Capacity_Resource,$F15,'Critical resources (hide)'!AA$6:AA$105)&gt;0,$E$1=2),0,1),0)</f>
        <v>1</v>
      </c>
      <c r="O15" s="67">
        <f ca="1">IF(LOWER(Capacity!$L27)="x",IF(AND(SUMIF(Capacity_Resource,$D15,'Critical resources (hide)'!AB$6:AB$105)+SUMIF(Capacity_Resource,$E15,'Critical resources (hide)'!AB$6:AB$105)+SUMIF(Capacity_Resource,$F15,'Critical resources (hide)'!AB$6:AB$105)&gt;0,$E$1=2),0,1),0)</f>
        <v>1</v>
      </c>
      <c r="P15" s="67">
        <f ca="1">IF(LOWER(Capacity!$L27)="x",IF(AND(SUMIF(Capacity_Resource,$D15,'Critical resources (hide)'!AC$6:AC$105)+SUMIF(Capacity_Resource,$E15,'Critical resources (hide)'!AC$6:AC$105)+SUMIF(Capacity_Resource,$F15,'Critical resources (hide)'!AC$6:AC$105)&gt;0,$E$1=2),0,1),0)</f>
        <v>1</v>
      </c>
      <c r="Q15" s="67">
        <f ca="1">IF(LOWER(Capacity!$L27)="x",IF(AND(SUMIF(Capacity_Resource,$D15,'Critical resources (hide)'!AD$6:AD$105)+SUMIF(Capacity_Resource,$E15,'Critical resources (hide)'!AD$6:AD$105)+SUMIF(Capacity_Resource,$F15,'Critical resources (hide)'!AD$6:AD$105)&gt;0,$E$1=2),0,1),0)</f>
        <v>1</v>
      </c>
      <c r="R15" s="67">
        <f ca="1">IF(LOWER(Capacity!$L27)="x",IF(AND(SUMIF(Capacity_Resource,$D15,'Critical resources (hide)'!AE$6:AE$105)+SUMIF(Capacity_Resource,$E15,'Critical resources (hide)'!AE$6:AE$105)+SUMIF(Capacity_Resource,$F15,'Critical resources (hide)'!AE$6:AE$105)&gt;0,$E$1=2),0,1),0)</f>
        <v>1</v>
      </c>
      <c r="S15" s="67">
        <f ca="1">IF(LOWER(Capacity!$L27)="x",IF(AND(SUMIF(Capacity_Resource,$D15,'Critical resources (hide)'!AF$6:AF$105)+SUMIF(Capacity_Resource,$E15,'Critical resources (hide)'!AF$6:AF$105)+SUMIF(Capacity_Resource,$F15,'Critical resources (hide)'!AF$6:AF$105)&gt;0,$E$1=2),0,1),0)</f>
        <v>1</v>
      </c>
      <c r="T15" s="67">
        <f ca="1">IF(LOWER(Capacity!$L27)="x",IF(AND(SUMIF(Capacity_Resource,$D15,'Critical resources (hide)'!AG$6:AG$105)+SUMIF(Capacity_Resource,$E15,'Critical resources (hide)'!AG$6:AG$105)+SUMIF(Capacity_Resource,$F15,'Critical resources (hide)'!AG$6:AG$105)&gt;0,$E$1=2),0,1),0)</f>
        <v>1</v>
      </c>
      <c r="U15" s="67">
        <f ca="1">IF(LOWER(Capacity!$L27)="x",IF(AND(SUMIF(Capacity_Resource,$D15,'Critical resources (hide)'!AH$6:AH$105)+SUMIF(Capacity_Resource,$E15,'Critical resources (hide)'!AH$6:AH$105)+SUMIF(Capacity_Resource,$F15,'Critical resources (hide)'!AH$6:AH$105)&gt;0,$E$1=2),0,1),0)</f>
        <v>1</v>
      </c>
      <c r="V15" s="67">
        <f ca="1">IF(LOWER(Capacity!$L27)="x",IF(AND(SUMIF(Capacity_Resource,$D15,'Critical resources (hide)'!AI$6:AI$105)+SUMIF(Capacity_Resource,$E15,'Critical resources (hide)'!AI$6:AI$105)+SUMIF(Capacity_Resource,$F15,'Critical resources (hide)'!AI$6:AI$105)&gt;0,$E$1=2),0,1),0)</f>
        <v>1</v>
      </c>
      <c r="W15" s="67">
        <f ca="1">IF(LOWER(Capacity!$L27)="x",IF(AND(SUMIF(Capacity_Resource,$D15,'Critical resources (hide)'!AJ$6:AJ$105)+SUMIF(Capacity_Resource,$E15,'Critical resources (hide)'!AJ$6:AJ$105)+SUMIF(Capacity_Resource,$F15,'Critical resources (hide)'!AJ$6:AJ$105)&gt;0,$E$1=2),0,1),0)</f>
        <v>1</v>
      </c>
      <c r="X15" s="67">
        <f ca="1">IF(LOWER(Capacity!$L27)="x",IF(AND(SUMIF(Capacity_Resource,$D15,'Critical resources (hide)'!AK$6:AK$105)+SUMIF(Capacity_Resource,$E15,'Critical resources (hide)'!AK$6:AK$105)+SUMIF(Capacity_Resource,$F15,'Critical resources (hide)'!AK$6:AK$105)&gt;0,$E$1=2),0,1),0)</f>
        <v>1</v>
      </c>
      <c r="Y15" s="67">
        <f ca="1">IF(LOWER(Capacity!$L27)="x",IF(AND(SUMIF(Capacity_Resource,$D15,'Critical resources (hide)'!AL$6:AL$105)+SUMIF(Capacity_Resource,$E15,'Critical resources (hide)'!AL$6:AL$105)+SUMIF(Capacity_Resource,$F15,'Critical resources (hide)'!AL$6:AL$105)&gt;0,$E$1=2),0,1),0)</f>
        <v>1</v>
      </c>
      <c r="Z15" s="67">
        <f ca="1">IF(LOWER(Capacity!$L27)="x",IF(AND(SUMIF(Capacity_Resource,$D15,'Critical resources (hide)'!AM$6:AM$105)+SUMIF(Capacity_Resource,$E15,'Critical resources (hide)'!AM$6:AM$105)+SUMIF(Capacity_Resource,$F15,'Critical resources (hide)'!AM$6:AM$105)&gt;0,$E$1=2),0,1),0)</f>
        <v>1</v>
      </c>
      <c r="AA15" s="67">
        <f ca="1">IF(LOWER(Capacity!$L27)="x",IF(AND(SUMIF(Capacity_Resource,$D15,'Critical resources (hide)'!AN$6:AN$105)+SUMIF(Capacity_Resource,$E15,'Critical resources (hide)'!AN$6:AN$105)+SUMIF(Capacity_Resource,$F15,'Critical resources (hide)'!AN$6:AN$105)&gt;0,$E$1=2),0,1),0)</f>
        <v>1</v>
      </c>
      <c r="AB15" s="67">
        <f ca="1">IF(LOWER(Capacity!$L27)="x",IF(AND(SUMIF(Capacity_Resource,$D15,'Critical resources (hide)'!AO$6:AO$105)+SUMIF(Capacity_Resource,$E15,'Critical resources (hide)'!AO$6:AO$105)+SUMIF(Capacity_Resource,$F15,'Critical resources (hide)'!AO$6:AO$105)&gt;0,$E$1=2),0,1),0)</f>
        <v>1</v>
      </c>
      <c r="AC15" s="67">
        <f ca="1">IF(LOWER(Capacity!$L27)="x",IF(AND(SUMIF(Capacity_Resource,$D15,'Critical resources (hide)'!AP$6:AP$105)+SUMIF(Capacity_Resource,$E15,'Critical resources (hide)'!AP$6:AP$105)+SUMIF(Capacity_Resource,$F15,'Critical resources (hide)'!AP$6:AP$105)&gt;0,$E$1=2),0,1),0)</f>
        <v>1</v>
      </c>
      <c r="AD15" s="67">
        <f ca="1">IF(LOWER(Capacity!$L27)="x",IF(AND(SUMIF(Capacity_Resource,$D15,'Critical resources (hide)'!AQ$6:AQ$105)+SUMIF(Capacity_Resource,$E15,'Critical resources (hide)'!AQ$6:AQ$105)+SUMIF(Capacity_Resource,$F15,'Critical resources (hide)'!AQ$6:AQ$105)&gt;0,$E$1=2),0,1),0)</f>
        <v>1</v>
      </c>
      <c r="AE15" s="67">
        <f ca="1">IF(LOWER(Capacity!$L27)="x",IF(AND(SUMIF(Capacity_Resource,$D15,'Critical resources (hide)'!AR$6:AR$105)+SUMIF(Capacity_Resource,$E15,'Critical resources (hide)'!AR$6:AR$105)+SUMIF(Capacity_Resource,$F15,'Critical resources (hide)'!AR$6:AR$105)&gt;0,$E$1=2),0,1),0)</f>
        <v>1</v>
      </c>
      <c r="AF15" s="67">
        <f ca="1">IF(LOWER(Capacity!$L27)="x",IF(AND(SUMIF(Capacity_Resource,$D15,'Critical resources (hide)'!AS$6:AS$105)+SUMIF(Capacity_Resource,$E15,'Critical resources (hide)'!AS$6:AS$105)+SUMIF(Capacity_Resource,$F15,'Critical resources (hide)'!AS$6:AS$105)&gt;0,$E$1=2),0,1),0)</f>
        <v>1</v>
      </c>
      <c r="AG15" s="67">
        <f ca="1">IF(LOWER(Capacity!$L27)="x",IF(AND(SUMIF(Capacity_Resource,$D15,'Critical resources (hide)'!AT$6:AT$105)+SUMIF(Capacity_Resource,$E15,'Critical resources (hide)'!AT$6:AT$105)+SUMIF(Capacity_Resource,$F15,'Critical resources (hide)'!AT$6:AT$105)&gt;0,$E$1=2),0,1),0)</f>
        <v>1</v>
      </c>
      <c r="AH15" s="67">
        <f ca="1">IF(LOWER(Capacity!$L27)="x",IF(AND(SUMIF(Capacity_Resource,$D15,'Critical resources (hide)'!AU$6:AU$105)+SUMIF(Capacity_Resource,$E15,'Critical resources (hide)'!AU$6:AU$105)+SUMIF(Capacity_Resource,$F15,'Critical resources (hide)'!AU$6:AU$105)&gt;0,$E$1=2),0,1),0)</f>
        <v>1</v>
      </c>
      <c r="AI15" s="67">
        <f ca="1">IF(LOWER(Capacity!$L27)="x",IF(AND(SUMIF(Capacity_Resource,$D15,'Critical resources (hide)'!AV$6:AV$105)+SUMIF(Capacity_Resource,$E15,'Critical resources (hide)'!AV$6:AV$105)+SUMIF(Capacity_Resource,$F15,'Critical resources (hide)'!AV$6:AV$105)&gt;0,$E$1=2),0,1),0)</f>
        <v>1</v>
      </c>
      <c r="AJ15" s="67">
        <f ca="1">IF(LOWER(Capacity!$L27)="x",IF(AND(SUMIF(Capacity_Resource,$D15,'Critical resources (hide)'!AW$6:AW$105)+SUMIF(Capacity_Resource,$E15,'Critical resources (hide)'!AW$6:AW$105)+SUMIF(Capacity_Resource,$F15,'Critical resources (hide)'!AW$6:AW$105)&gt;0,$E$1=2),0,1),0)</f>
        <v>1</v>
      </c>
      <c r="AK15" s="67">
        <f ca="1">IF(LOWER(Capacity!$L27)="x",IF(AND(SUMIF(Capacity_Resource,$D15,'Critical resources (hide)'!AX$6:AX$105)+SUMIF(Capacity_Resource,$E15,'Critical resources (hide)'!AX$6:AX$105)+SUMIF(Capacity_Resource,$F15,'Critical resources (hide)'!AX$6:AX$105)&gt;0,$E$1=2),0,1),0)</f>
        <v>1</v>
      </c>
      <c r="AL15" s="67">
        <f ca="1">IF(LOWER(Capacity!$L27)="x",IF(AND(SUMIF(Capacity_Resource,$D15,'Critical resources (hide)'!AY$6:AY$105)+SUMIF(Capacity_Resource,$E15,'Critical resources (hide)'!AY$6:AY$105)+SUMIF(Capacity_Resource,$F15,'Critical resources (hide)'!AY$6:AY$105)&gt;0,$E$1=2),0,1),0)</f>
        <v>1</v>
      </c>
      <c r="AM15" s="67">
        <f ca="1">IF(LOWER(Capacity!$L27)="x",IF(AND(SUMIF(Capacity_Resource,$D15,'Critical resources (hide)'!AZ$6:AZ$105)+SUMIF(Capacity_Resource,$E15,'Critical resources (hide)'!AZ$6:AZ$105)+SUMIF(Capacity_Resource,$F15,'Critical resources (hide)'!AZ$6:AZ$105)&gt;0,$E$1=2),0,1),0)</f>
        <v>1</v>
      </c>
      <c r="AN15" s="67">
        <f ca="1">IF(LOWER(Capacity!$L27)="x",IF(AND(SUMIF(Capacity_Resource,$D15,'Critical resources (hide)'!BA$6:BA$105)+SUMIF(Capacity_Resource,$E15,'Critical resources (hide)'!BA$6:BA$105)+SUMIF(Capacity_Resource,$F15,'Critical resources (hide)'!BA$6:BA$105)&gt;0,$E$1=2),0,1),0)</f>
        <v>1</v>
      </c>
      <c r="AO15" s="67">
        <f ca="1">IF(LOWER(Capacity!$L27)="x",IF(AND(SUMIF(Capacity_Resource,$D15,'Critical resources (hide)'!BB$6:BB$105)+SUMIF(Capacity_Resource,$E15,'Critical resources (hide)'!BB$6:BB$105)+SUMIF(Capacity_Resource,$F15,'Critical resources (hide)'!BB$6:BB$105)&gt;0,$E$1=2),0,1),0)</f>
        <v>1</v>
      </c>
      <c r="AP15" s="67">
        <f ca="1">IF(LOWER(Capacity!$L27)="x",IF(AND(SUMIF(Capacity_Resource,$D15,'Critical resources (hide)'!BC$6:BC$105)+SUMIF(Capacity_Resource,$E15,'Critical resources (hide)'!BC$6:BC$105)+SUMIF(Capacity_Resource,$F15,'Critical resources (hide)'!BC$6:BC$105)&gt;0,$E$1=2),0,1),0)</f>
        <v>1</v>
      </c>
      <c r="AQ15" s="67">
        <f ca="1">IF(LOWER(Capacity!$L27)="x",IF(AND(SUMIF(Capacity_Resource,$D15,'Critical resources (hide)'!BD$6:BD$105)+SUMIF(Capacity_Resource,$E15,'Critical resources (hide)'!BD$6:BD$105)+SUMIF(Capacity_Resource,$F15,'Critical resources (hide)'!BD$6:BD$105)&gt;0,$E$1=2),0,1),0)</f>
        <v>1</v>
      </c>
      <c r="AR15" s="67">
        <f ca="1">IF(LOWER(Capacity!$L27)="x",IF(AND(SUMIF(Capacity_Resource,$D15,'Critical resources (hide)'!BE$6:BE$105)+SUMIF(Capacity_Resource,$E15,'Critical resources (hide)'!BE$6:BE$105)+SUMIF(Capacity_Resource,$F15,'Critical resources (hide)'!BE$6:BE$105)&gt;0,$E$1=2),0,1),0)</f>
        <v>1</v>
      </c>
      <c r="AS15" s="67">
        <f ca="1">IF(LOWER(Capacity!$L27)="x",IF(AND(SUMIF(Capacity_Resource,$D15,'Critical resources (hide)'!BF$6:BF$105)+SUMIF(Capacity_Resource,$E15,'Critical resources (hide)'!BF$6:BF$105)+SUMIF(Capacity_Resource,$F15,'Critical resources (hide)'!BF$6:BF$105)&gt;0,$E$1=2),0,1),0)</f>
        <v>1</v>
      </c>
      <c r="AT15" s="67">
        <f ca="1">IF(LOWER(Capacity!$L27)="x",IF(AND(SUMIF(Capacity_Resource,$D15,'Critical resources (hide)'!BG$6:BG$105)+SUMIF(Capacity_Resource,$E15,'Critical resources (hide)'!BG$6:BG$105)+SUMIF(Capacity_Resource,$F15,'Critical resources (hide)'!BG$6:BG$105)&gt;0,$E$1=2),0,1),0)</f>
        <v>1</v>
      </c>
      <c r="AU15" s="67">
        <f ca="1">IF(LOWER(Capacity!$L27)="x",IF(AND(SUMIF(Capacity_Resource,$D15,'Critical resources (hide)'!BH$6:BH$105)+SUMIF(Capacity_Resource,$E15,'Critical resources (hide)'!BH$6:BH$105)+SUMIF(Capacity_Resource,$F15,'Critical resources (hide)'!BH$6:BH$105)&gt;0,$E$1=2),0,1),0)</f>
        <v>1</v>
      </c>
      <c r="AV15" s="67">
        <f ca="1">IF(LOWER(Capacity!$L27)="x",IF(AND(SUMIF(Capacity_Resource,$D15,'Critical resources (hide)'!BI$6:BI$105)+SUMIF(Capacity_Resource,$E15,'Critical resources (hide)'!BI$6:BI$105)+SUMIF(Capacity_Resource,$F15,'Critical resources (hide)'!BI$6:BI$105)&gt;0,$E$1=2),0,1),0)</f>
        <v>1</v>
      </c>
      <c r="AW15" s="67">
        <f ca="1">IF(LOWER(Capacity!$L27)="x",IF(AND(SUMIF(Capacity_Resource,$D15,'Critical resources (hide)'!BJ$6:BJ$105)+SUMIF(Capacity_Resource,$E15,'Critical resources (hide)'!BJ$6:BJ$105)+SUMIF(Capacity_Resource,$F15,'Critical resources (hide)'!BJ$6:BJ$105)&gt;0,$E$1=2),0,1),0)</f>
        <v>1</v>
      </c>
      <c r="AX15" s="67">
        <f ca="1">IF(LOWER(Capacity!$L27)="x",IF(AND(SUMIF(Capacity_Resource,$D15,'Critical resources (hide)'!BK$6:BK$105)+SUMIF(Capacity_Resource,$E15,'Critical resources (hide)'!BK$6:BK$105)+SUMIF(Capacity_Resource,$F15,'Critical resources (hide)'!BK$6:BK$105)&gt;0,$E$1=2),0,1),0)</f>
        <v>1</v>
      </c>
      <c r="AY15" s="67">
        <f ca="1">IF(LOWER(Capacity!$L27)="x",IF(AND(SUMIF(Capacity_Resource,$D15,'Critical resources (hide)'!BL$6:BL$105)+SUMIF(Capacity_Resource,$E15,'Critical resources (hide)'!BL$6:BL$105)+SUMIF(Capacity_Resource,$F15,'Critical resources (hide)'!BL$6:BL$105)&gt;0,$E$1=2),0,1),0)</f>
        <v>1</v>
      </c>
      <c r="AZ15" s="67">
        <f ca="1">IF(LOWER(Capacity!$L27)="x",IF(AND(SUMIF(Capacity_Resource,$D15,'Critical resources (hide)'!BM$6:BM$105)+SUMIF(Capacity_Resource,$E15,'Critical resources (hide)'!BM$6:BM$105)+SUMIF(Capacity_Resource,$F15,'Critical resources (hide)'!BM$6:BM$105)&gt;0,$E$1=2),0,1),0)</f>
        <v>1</v>
      </c>
      <c r="BA15" s="67">
        <f ca="1">IF(LOWER(Capacity!$L27)="x",IF(AND(SUMIF(Capacity_Resource,$D15,'Critical resources (hide)'!BN$6:BN$105)+SUMIF(Capacity_Resource,$E15,'Critical resources (hide)'!BN$6:BN$105)+SUMIF(Capacity_Resource,$F15,'Critical resources (hide)'!BN$6:BN$105)&gt;0,$E$1=2),0,1),0)</f>
        <v>1</v>
      </c>
      <c r="BB15" s="67">
        <f ca="1">IF(LOWER(Capacity!$L27)="x",IF(AND(SUMIF(Capacity_Resource,$D15,'Critical resources (hide)'!BO$6:BO$105)+SUMIF(Capacity_Resource,$E15,'Critical resources (hide)'!BO$6:BO$105)+SUMIF(Capacity_Resource,$F15,'Critical resources (hide)'!BO$6:BO$105)&gt;0,$E$1=2),0,1),0)</f>
        <v>1</v>
      </c>
      <c r="BC15" s="67">
        <f ca="1">IF(LOWER(Capacity!$L27)="x",IF(AND(SUMIF(Capacity_Resource,$D15,'Critical resources (hide)'!BP$6:BP$105)+SUMIF(Capacity_Resource,$E15,'Critical resources (hide)'!BP$6:BP$105)+SUMIF(Capacity_Resource,$F15,'Critical resources (hide)'!BP$6:BP$105)&gt;0,$E$1=2),0,1),0)</f>
        <v>1</v>
      </c>
      <c r="BD15" s="67">
        <f ca="1">IF(LOWER(Capacity!$L27)="x",IF(AND(SUMIF(Capacity_Resource,$D15,'Critical resources (hide)'!BQ$6:BQ$105)+SUMIF(Capacity_Resource,$E15,'Critical resources (hide)'!BQ$6:BQ$105)+SUMIF(Capacity_Resource,$F15,'Critical resources (hide)'!BQ$6:BQ$105)&gt;0,$E$1=2),0,1),0)</f>
        <v>1</v>
      </c>
      <c r="BE15" s="67">
        <f ca="1">IF(LOWER(Capacity!$L27)="x",IF(AND(SUMIF(Capacity_Resource,$D15,'Critical resources (hide)'!BR$6:BR$105)+SUMIF(Capacity_Resource,$E15,'Critical resources (hide)'!BR$6:BR$105)+SUMIF(Capacity_Resource,$F15,'Critical resources (hide)'!BR$6:BR$105)&gt;0,$E$1=2),0,1),0)</f>
        <v>1</v>
      </c>
      <c r="BF15" s="67">
        <f ca="1">IF(LOWER(Capacity!$L27)="x",IF(AND(SUMIF(Capacity_Resource,$D15,'Critical resources (hide)'!BS$6:BS$105)+SUMIF(Capacity_Resource,$E15,'Critical resources (hide)'!BS$6:BS$105)+SUMIF(Capacity_Resource,$F15,'Critical resources (hide)'!BS$6:BS$105)&gt;0,$E$1=2),0,1),0)</f>
        <v>1</v>
      </c>
      <c r="BG15" s="67">
        <f ca="1">IF(LOWER(Capacity!$L27)="x",IF(AND(SUMIF(Capacity_Resource,$D15,'Critical resources (hide)'!BT$6:BT$105)+SUMIF(Capacity_Resource,$E15,'Critical resources (hide)'!BT$6:BT$105)+SUMIF(Capacity_Resource,$F15,'Critical resources (hide)'!BT$6:BT$105)&gt;0,$E$1=2),0,1),0)</f>
        <v>1</v>
      </c>
      <c r="BH15" s="67">
        <f>IF(ROW(C11)&lt;=Capacity!$A$16,IF('Capacity summary'!$D$14="No",SUM(H15:BG15),'Capacity summary'!$E134),0)</f>
        <v>0</v>
      </c>
      <c r="BI15" s="5" t="str">
        <f>IF(BH15&gt;0,IF(BH15&lt;Capacity!E27,Capacity!F27,Capacity!H27/'Capacity calculation (hide)'!BH15),"")</f>
        <v/>
      </c>
      <c r="BK15" s="311">
        <f>IF($BI15&lt;&gt;"",IF('Capacity summary'!$D$14="Yes",IF(COUNTBLANK('Capacity summary'!$H134:$BG134)&lt;52,IF('Capacity summary'!H134&lt;&gt;"",IF(LOWER('Capacity summary'!H134)="x",$BI15*H15,VALUE('Capacity summary'!H134)),0),H15*$BI15),H15*$BI15),0)</f>
        <v>0</v>
      </c>
      <c r="BL15" s="311">
        <f>IF($BI15&lt;&gt;"",IF('Capacity summary'!$D$14="Yes",IF(COUNTBLANK('Capacity summary'!$H134:$BG134)&lt;52,IF('Capacity summary'!I134&lt;&gt;"",IF(LOWER('Capacity summary'!I134)="x",$BI15*I15,VALUE('Capacity summary'!I134)),0),I15*$BI15),I15*$BI15),0)</f>
        <v>0</v>
      </c>
      <c r="BM15" s="311">
        <f>IF($BI15&lt;&gt;"",IF('Capacity summary'!$D$14="Yes",IF(COUNTBLANK('Capacity summary'!$H134:$BG134)&lt;52,IF('Capacity summary'!J134&lt;&gt;"",IF(LOWER('Capacity summary'!J134)="x",$BI15*J15,VALUE('Capacity summary'!J134)),0),J15*$BI15),J15*$BI15),0)</f>
        <v>0</v>
      </c>
      <c r="BN15" s="311">
        <f>IF($BI15&lt;&gt;"",IF('Capacity summary'!$D$14="Yes",IF(COUNTBLANK('Capacity summary'!$H134:$BG134)&lt;52,IF('Capacity summary'!K134&lt;&gt;"",IF(LOWER('Capacity summary'!K134)="x",$BI15*K15,VALUE('Capacity summary'!K134)),0),K15*$BI15),K15*$BI15),0)</f>
        <v>0</v>
      </c>
      <c r="BO15" s="311">
        <f>IF($BI15&lt;&gt;"",IF('Capacity summary'!$D$14="Yes",IF(COUNTBLANK('Capacity summary'!$H134:$BG134)&lt;52,IF('Capacity summary'!L134&lt;&gt;"",IF(LOWER('Capacity summary'!L134)="x",$BI15*L15,VALUE('Capacity summary'!L134)),0),L15*$BI15),L15*$BI15),0)</f>
        <v>0</v>
      </c>
      <c r="BP15" s="311">
        <f>IF($BI15&lt;&gt;"",IF('Capacity summary'!$D$14="Yes",IF(COUNTBLANK('Capacity summary'!$H134:$BG134)&lt;52,IF('Capacity summary'!M134&lt;&gt;"",IF(LOWER('Capacity summary'!M134)="x",$BI15*M15,VALUE('Capacity summary'!M134)),0),M15*$BI15),M15*$BI15),0)</f>
        <v>0</v>
      </c>
      <c r="BQ15" s="311">
        <f>IF($BI15&lt;&gt;"",IF('Capacity summary'!$D$14="Yes",IF(COUNTBLANK('Capacity summary'!$H134:$BG134)&lt;52,IF('Capacity summary'!N134&lt;&gt;"",IF(LOWER('Capacity summary'!N134)="x",$BI15*N15,VALUE('Capacity summary'!N134)),0),N15*$BI15),N15*$BI15),0)</f>
        <v>0</v>
      </c>
      <c r="BR15" s="311">
        <f>IF($BI15&lt;&gt;"",IF('Capacity summary'!$D$14="Yes",IF(COUNTBLANK('Capacity summary'!$H134:$BG134)&lt;52,IF('Capacity summary'!O134&lt;&gt;"",IF(LOWER('Capacity summary'!O134)="x",$BI15*O15,VALUE('Capacity summary'!O134)),0),O15*$BI15),O15*$BI15),0)</f>
        <v>0</v>
      </c>
      <c r="BS15" s="311">
        <f>IF($BI15&lt;&gt;"",IF('Capacity summary'!$D$14="Yes",IF(COUNTBLANK('Capacity summary'!$H134:$BG134)&lt;52,IF('Capacity summary'!P134&lt;&gt;"",IF(LOWER('Capacity summary'!P134)="x",$BI15*P15,VALUE('Capacity summary'!P134)),0),P15*$BI15),P15*$BI15),0)</f>
        <v>0</v>
      </c>
      <c r="BT15" s="311">
        <f>IF($BI15&lt;&gt;"",IF('Capacity summary'!$D$14="Yes",IF(COUNTBLANK('Capacity summary'!$H134:$BG134)&lt;52,IF('Capacity summary'!Q134&lt;&gt;"",IF(LOWER('Capacity summary'!Q134)="x",$BI15*Q15,VALUE('Capacity summary'!Q134)),0),Q15*$BI15),Q15*$BI15),0)</f>
        <v>0</v>
      </c>
      <c r="BU15" s="311">
        <f>IF($BI15&lt;&gt;"",IF('Capacity summary'!$D$14="Yes",IF(COUNTBLANK('Capacity summary'!$H134:$BG134)&lt;52,IF('Capacity summary'!R134&lt;&gt;"",IF(LOWER('Capacity summary'!R134)="x",$BI15*R15,VALUE('Capacity summary'!R134)),0),R15*$BI15),R15*$BI15),0)</f>
        <v>0</v>
      </c>
      <c r="BV15" s="311">
        <f>IF($BI15&lt;&gt;"",IF('Capacity summary'!$D$14="Yes",IF(COUNTBLANK('Capacity summary'!$H134:$BG134)&lt;52,IF('Capacity summary'!S134&lt;&gt;"",IF(LOWER('Capacity summary'!S134)="x",$BI15*S15,VALUE('Capacity summary'!S134)),0),S15*$BI15),S15*$BI15),0)</f>
        <v>0</v>
      </c>
      <c r="BW15" s="311">
        <f>IF($BI15&lt;&gt;"",IF('Capacity summary'!$D$14="Yes",IF(COUNTBLANK('Capacity summary'!$H134:$BG134)&lt;52,IF('Capacity summary'!T134&lt;&gt;"",IF(LOWER('Capacity summary'!T134)="x",$BI15*T15,VALUE('Capacity summary'!T134)),0),T15*$BI15),T15*$BI15),0)</f>
        <v>0</v>
      </c>
      <c r="BX15" s="311">
        <f>IF($BI15&lt;&gt;"",IF('Capacity summary'!$D$14="Yes",IF(COUNTBLANK('Capacity summary'!$H134:$BG134)&lt;52,IF('Capacity summary'!U134&lt;&gt;"",IF(LOWER('Capacity summary'!U134)="x",$BI15*U15,VALUE('Capacity summary'!U134)),0),U15*$BI15),U15*$BI15),0)</f>
        <v>0</v>
      </c>
      <c r="BY15" s="311">
        <f>IF($BI15&lt;&gt;"",IF('Capacity summary'!$D$14="Yes",IF(COUNTBLANK('Capacity summary'!$H134:$BG134)&lt;52,IF('Capacity summary'!V134&lt;&gt;"",IF(LOWER('Capacity summary'!V134)="x",$BI15*V15,VALUE('Capacity summary'!V134)),0),V15*$BI15),V15*$BI15),0)</f>
        <v>0</v>
      </c>
      <c r="BZ15" s="311">
        <f>IF($BI15&lt;&gt;"",IF('Capacity summary'!$D$14="Yes",IF(COUNTBLANK('Capacity summary'!$H134:$BG134)&lt;52,IF('Capacity summary'!W134&lt;&gt;"",IF(LOWER('Capacity summary'!W134)="x",$BI15*W15,VALUE('Capacity summary'!W134)),0),W15*$BI15),W15*$BI15),0)</f>
        <v>0</v>
      </c>
      <c r="CA15" s="311">
        <f>IF($BI15&lt;&gt;"",IF('Capacity summary'!$D$14="Yes",IF(COUNTBLANK('Capacity summary'!$H134:$BG134)&lt;52,IF('Capacity summary'!X134&lt;&gt;"",IF(LOWER('Capacity summary'!X134)="x",$BI15*X15,VALUE('Capacity summary'!X134)),0),X15*$BI15),X15*$BI15),0)</f>
        <v>0</v>
      </c>
      <c r="CB15" s="311">
        <f>IF($BI15&lt;&gt;"",IF('Capacity summary'!$D$14="Yes",IF(COUNTBLANK('Capacity summary'!$H134:$BG134)&lt;52,IF('Capacity summary'!Y134&lt;&gt;"",IF(LOWER('Capacity summary'!Y134)="x",$BI15*Y15,VALUE('Capacity summary'!Y134)),0),Y15*$BI15),Y15*$BI15),0)</f>
        <v>0</v>
      </c>
      <c r="CC15" s="311">
        <f>IF($BI15&lt;&gt;"",IF('Capacity summary'!$D$14="Yes",IF(COUNTBLANK('Capacity summary'!$H134:$BG134)&lt;52,IF('Capacity summary'!Z134&lt;&gt;"",IF(LOWER('Capacity summary'!Z134)="x",$BI15*Z15,VALUE('Capacity summary'!Z134)),0),Z15*$BI15),Z15*$BI15),0)</f>
        <v>0</v>
      </c>
      <c r="CD15" s="311">
        <f>IF($BI15&lt;&gt;"",IF('Capacity summary'!$D$14="Yes",IF(COUNTBLANK('Capacity summary'!$H134:$BG134)&lt;52,IF('Capacity summary'!AA134&lt;&gt;"",IF(LOWER('Capacity summary'!AA134)="x",$BI15*AA15,VALUE('Capacity summary'!AA134)),0),AA15*$BI15),AA15*$BI15),0)</f>
        <v>0</v>
      </c>
      <c r="CE15" s="311">
        <f>IF($BI15&lt;&gt;"",IF('Capacity summary'!$D$14="Yes",IF(COUNTBLANK('Capacity summary'!$H134:$BG134)&lt;52,IF('Capacity summary'!AB134&lt;&gt;"",IF(LOWER('Capacity summary'!AB134)="x",$BI15*AB15,VALUE('Capacity summary'!AB134)),0),AB15*$BI15),AB15*$BI15),0)</f>
        <v>0</v>
      </c>
      <c r="CF15" s="311">
        <f>IF($BI15&lt;&gt;"",IF('Capacity summary'!$D$14="Yes",IF(COUNTBLANK('Capacity summary'!$H134:$BG134)&lt;52,IF('Capacity summary'!AC134&lt;&gt;"",IF(LOWER('Capacity summary'!AC134)="x",$BI15*AC15,VALUE('Capacity summary'!AC134)),0),AC15*$BI15),AC15*$BI15),0)</f>
        <v>0</v>
      </c>
      <c r="CG15" s="311">
        <f>IF($BI15&lt;&gt;"",IF('Capacity summary'!$D$14="Yes",IF(COUNTBLANK('Capacity summary'!$H134:$BG134)&lt;52,IF('Capacity summary'!AD134&lt;&gt;"",IF(LOWER('Capacity summary'!AD134)="x",$BI15*AD15,VALUE('Capacity summary'!AD134)),0),AD15*$BI15),AD15*$BI15),0)</f>
        <v>0</v>
      </c>
      <c r="CH15" s="311">
        <f>IF($BI15&lt;&gt;"",IF('Capacity summary'!$D$14="Yes",IF(COUNTBLANK('Capacity summary'!$H134:$BG134)&lt;52,IF('Capacity summary'!AE134&lt;&gt;"",IF(LOWER('Capacity summary'!AE134)="x",$BI15*AE15,VALUE('Capacity summary'!AE134)),0),AE15*$BI15),AE15*$BI15),0)</f>
        <v>0</v>
      </c>
      <c r="CI15" s="311">
        <f>IF($BI15&lt;&gt;"",IF('Capacity summary'!$D$14="Yes",IF(COUNTBLANK('Capacity summary'!$H134:$BG134)&lt;52,IF('Capacity summary'!AF134&lt;&gt;"",IF(LOWER('Capacity summary'!AF134)="x",$BI15*AF15,VALUE('Capacity summary'!AF134)),0),AF15*$BI15),AF15*$BI15),0)</f>
        <v>0</v>
      </c>
      <c r="CJ15" s="311">
        <f>IF($BI15&lt;&gt;"",IF('Capacity summary'!$D$14="Yes",IF(COUNTBLANK('Capacity summary'!$H134:$BG134)&lt;52,IF('Capacity summary'!AG134&lt;&gt;"",IF(LOWER('Capacity summary'!AG134)="x",$BI15*AG15,VALUE('Capacity summary'!AG134)),0),AG15*$BI15),AG15*$BI15),0)</f>
        <v>0</v>
      </c>
      <c r="CK15" s="311">
        <f>IF($BI15&lt;&gt;"",IF('Capacity summary'!$D$14="Yes",IF(COUNTBLANK('Capacity summary'!$H134:$BG134)&lt;52,IF('Capacity summary'!AH134&lt;&gt;"",IF(LOWER('Capacity summary'!AH134)="x",$BI15*AH15,VALUE('Capacity summary'!AH134)),0),AH15*$BI15),AH15*$BI15),0)</f>
        <v>0</v>
      </c>
      <c r="CL15" s="311">
        <f>IF($BI15&lt;&gt;"",IF('Capacity summary'!$D$14="Yes",IF(COUNTBLANK('Capacity summary'!$H134:$BG134)&lt;52,IF('Capacity summary'!AI134&lt;&gt;"",IF(LOWER('Capacity summary'!AI134)="x",$BI15*AI15,VALUE('Capacity summary'!AI134)),0),AI15*$BI15),AI15*$BI15),0)</f>
        <v>0</v>
      </c>
      <c r="CM15" s="311">
        <f>IF($BI15&lt;&gt;"",IF('Capacity summary'!$D$14="Yes",IF(COUNTBLANK('Capacity summary'!$H134:$BG134)&lt;52,IF('Capacity summary'!AJ134&lt;&gt;"",IF(LOWER('Capacity summary'!AJ134)="x",$BI15*AJ15,VALUE('Capacity summary'!AJ134)),0),AJ15*$BI15),AJ15*$BI15),0)</f>
        <v>0</v>
      </c>
      <c r="CN15" s="311">
        <f>IF($BI15&lt;&gt;"",IF('Capacity summary'!$D$14="Yes",IF(COUNTBLANK('Capacity summary'!$H134:$BG134)&lt;52,IF('Capacity summary'!AK134&lt;&gt;"",IF(LOWER('Capacity summary'!AK134)="x",$BI15*AK15,VALUE('Capacity summary'!AK134)),0),AK15*$BI15),AK15*$BI15),0)</f>
        <v>0</v>
      </c>
      <c r="CO15" s="311">
        <f>IF($BI15&lt;&gt;"",IF('Capacity summary'!$D$14="Yes",IF(COUNTBLANK('Capacity summary'!$H134:$BG134)&lt;52,IF('Capacity summary'!AL134&lt;&gt;"",IF(LOWER('Capacity summary'!AL134)="x",$BI15*AL15,VALUE('Capacity summary'!AL134)),0),AL15*$BI15),AL15*$BI15),0)</f>
        <v>0</v>
      </c>
      <c r="CP15" s="311">
        <f>IF($BI15&lt;&gt;"",IF('Capacity summary'!$D$14="Yes",IF(COUNTBLANK('Capacity summary'!$H134:$BG134)&lt;52,IF('Capacity summary'!AM134&lt;&gt;"",IF(LOWER('Capacity summary'!AM134)="x",$BI15*AM15,VALUE('Capacity summary'!AM134)),0),AM15*$BI15),AM15*$BI15),0)</f>
        <v>0</v>
      </c>
      <c r="CQ15" s="311">
        <f>IF($BI15&lt;&gt;"",IF('Capacity summary'!$D$14="Yes",IF(COUNTBLANK('Capacity summary'!$H134:$BG134)&lt;52,IF('Capacity summary'!AN134&lt;&gt;"",IF(LOWER('Capacity summary'!AN134)="x",$BI15*AN15,VALUE('Capacity summary'!AN134)),0),AN15*$BI15),AN15*$BI15),0)</f>
        <v>0</v>
      </c>
      <c r="CR15" s="311">
        <f>IF($BI15&lt;&gt;"",IF('Capacity summary'!$D$14="Yes",IF(COUNTBLANK('Capacity summary'!$H134:$BG134)&lt;52,IF('Capacity summary'!AO134&lt;&gt;"",IF(LOWER('Capacity summary'!AO134)="x",$BI15*AO15,VALUE('Capacity summary'!AO134)),0),AO15*$BI15),AO15*$BI15),0)</f>
        <v>0</v>
      </c>
      <c r="CS15" s="311">
        <f>IF($BI15&lt;&gt;"",IF('Capacity summary'!$D$14="Yes",IF(COUNTBLANK('Capacity summary'!$H134:$BG134)&lt;52,IF('Capacity summary'!AP134&lt;&gt;"",IF(LOWER('Capacity summary'!AP134)="x",$BI15*AP15,VALUE('Capacity summary'!AP134)),0),AP15*$BI15),AP15*$BI15),0)</f>
        <v>0</v>
      </c>
      <c r="CT15" s="311">
        <f>IF($BI15&lt;&gt;"",IF('Capacity summary'!$D$14="Yes",IF(COUNTBLANK('Capacity summary'!$H134:$BG134)&lt;52,IF('Capacity summary'!AQ134&lt;&gt;"",IF(LOWER('Capacity summary'!AQ134)="x",$BI15*AQ15,VALUE('Capacity summary'!AQ134)),0),AQ15*$BI15),AQ15*$BI15),0)</f>
        <v>0</v>
      </c>
      <c r="CU15" s="311">
        <f>IF($BI15&lt;&gt;"",IF('Capacity summary'!$D$14="Yes",IF(COUNTBLANK('Capacity summary'!$H134:$BG134)&lt;52,IF('Capacity summary'!AR134&lt;&gt;"",IF(LOWER('Capacity summary'!AR134)="x",$BI15*AR15,VALUE('Capacity summary'!AR134)),0),AR15*$BI15),AR15*$BI15),0)</f>
        <v>0</v>
      </c>
      <c r="CV15" s="311">
        <f>IF($BI15&lt;&gt;"",IF('Capacity summary'!$D$14="Yes",IF(COUNTBLANK('Capacity summary'!$H134:$BG134)&lt;52,IF('Capacity summary'!AS134&lt;&gt;"",IF(LOWER('Capacity summary'!AS134)="x",$BI15*AS15,VALUE('Capacity summary'!AS134)),0),AS15*$BI15),AS15*$BI15),0)</f>
        <v>0</v>
      </c>
      <c r="CW15" s="311">
        <f>IF($BI15&lt;&gt;"",IF('Capacity summary'!$D$14="Yes",IF(COUNTBLANK('Capacity summary'!$H134:$BG134)&lt;52,IF('Capacity summary'!AT134&lt;&gt;"",IF(LOWER('Capacity summary'!AT134)="x",$BI15*AT15,VALUE('Capacity summary'!AT134)),0),AT15*$BI15),AT15*$BI15),0)</f>
        <v>0</v>
      </c>
      <c r="CX15" s="311">
        <f>IF($BI15&lt;&gt;"",IF('Capacity summary'!$D$14="Yes",IF(COUNTBLANK('Capacity summary'!$H134:$BG134)&lt;52,IF('Capacity summary'!AU134&lt;&gt;"",IF(LOWER('Capacity summary'!AU134)="x",$BI15*AU15,VALUE('Capacity summary'!AU134)),0),AU15*$BI15),AU15*$BI15),0)</f>
        <v>0</v>
      </c>
      <c r="CY15" s="311">
        <f>IF($BI15&lt;&gt;"",IF('Capacity summary'!$D$14="Yes",IF(COUNTBLANK('Capacity summary'!$H134:$BG134)&lt;52,IF('Capacity summary'!AV134&lt;&gt;"",IF(LOWER('Capacity summary'!AV134)="x",$BI15*AV15,VALUE('Capacity summary'!AV134)),0),AV15*$BI15),AV15*$BI15),0)</f>
        <v>0</v>
      </c>
      <c r="CZ15" s="311">
        <f>IF($BI15&lt;&gt;"",IF('Capacity summary'!$D$14="Yes",IF(COUNTBLANK('Capacity summary'!$H134:$BG134)&lt;52,IF('Capacity summary'!AW134&lt;&gt;"",IF(LOWER('Capacity summary'!AW134)="x",$BI15*AW15,VALUE('Capacity summary'!AW134)),0),AW15*$BI15),AW15*$BI15),0)</f>
        <v>0</v>
      </c>
      <c r="DA15" s="311">
        <f>IF($BI15&lt;&gt;"",IF('Capacity summary'!$D$14="Yes",IF(COUNTBLANK('Capacity summary'!$H134:$BG134)&lt;52,IF('Capacity summary'!AX134&lt;&gt;"",IF(LOWER('Capacity summary'!AX134)="x",$BI15*AX15,VALUE('Capacity summary'!AX134)),0),AX15*$BI15),AX15*$BI15),0)</f>
        <v>0</v>
      </c>
      <c r="DB15" s="311">
        <f>IF($BI15&lt;&gt;"",IF('Capacity summary'!$D$14="Yes",IF(COUNTBLANK('Capacity summary'!$H134:$BG134)&lt;52,IF('Capacity summary'!AY134&lt;&gt;"",IF(LOWER('Capacity summary'!AY134)="x",$BI15*AY15,VALUE('Capacity summary'!AY134)),0),AY15*$BI15),AY15*$BI15),0)</f>
        <v>0</v>
      </c>
      <c r="DC15" s="311">
        <f>IF($BI15&lt;&gt;"",IF('Capacity summary'!$D$14="Yes",IF(COUNTBLANK('Capacity summary'!$H134:$BG134)&lt;52,IF('Capacity summary'!AZ134&lt;&gt;"",IF(LOWER('Capacity summary'!AZ134)="x",$BI15*AZ15,VALUE('Capacity summary'!AZ134)),0),AZ15*$BI15),AZ15*$BI15),0)</f>
        <v>0</v>
      </c>
      <c r="DD15" s="311">
        <f>IF($BI15&lt;&gt;"",IF('Capacity summary'!$D$14="Yes",IF(COUNTBLANK('Capacity summary'!$H134:$BG134)&lt;52,IF('Capacity summary'!BA134&lt;&gt;"",IF(LOWER('Capacity summary'!BA134)="x",$BI15*BA15,VALUE('Capacity summary'!BA134)),0),BA15*$BI15),BA15*$BI15),0)</f>
        <v>0</v>
      </c>
      <c r="DE15" s="311">
        <f>IF($BI15&lt;&gt;"",IF('Capacity summary'!$D$14="Yes",IF(COUNTBLANK('Capacity summary'!$H134:$BG134)&lt;52,IF('Capacity summary'!BB134&lt;&gt;"",IF(LOWER('Capacity summary'!BB134)="x",$BI15*BB15,VALUE('Capacity summary'!BB134)),0),BB15*$BI15),BB15*$BI15),0)</f>
        <v>0</v>
      </c>
      <c r="DF15" s="311">
        <f>IF($BI15&lt;&gt;"",IF('Capacity summary'!$D$14="Yes",IF(COUNTBLANK('Capacity summary'!$H134:$BG134)&lt;52,IF('Capacity summary'!BC134&lt;&gt;"",IF(LOWER('Capacity summary'!BC134)="x",$BI15*BC15,VALUE('Capacity summary'!BC134)),0),BC15*$BI15),BC15*$BI15),0)</f>
        <v>0</v>
      </c>
      <c r="DG15" s="311">
        <f>IF($BI15&lt;&gt;"",IF('Capacity summary'!$D$14="Yes",IF(COUNTBLANK('Capacity summary'!$H134:$BG134)&lt;52,IF('Capacity summary'!BD134&lt;&gt;"",IF(LOWER('Capacity summary'!BD134)="x",$BI15*BD15,VALUE('Capacity summary'!BD134)),0),BD15*$BI15),BD15*$BI15),0)</f>
        <v>0</v>
      </c>
      <c r="DH15" s="311">
        <f>IF($BI15&lt;&gt;"",IF('Capacity summary'!$D$14="Yes",IF(COUNTBLANK('Capacity summary'!$H134:$BG134)&lt;52,IF('Capacity summary'!BE134&lt;&gt;"",IF(LOWER('Capacity summary'!BE134)="x",$BI15*BE15,VALUE('Capacity summary'!BE134)),0),BE15*$BI15),BE15*$BI15),0)</f>
        <v>0</v>
      </c>
      <c r="DI15" s="311">
        <f>IF($BI15&lt;&gt;"",IF('Capacity summary'!$D$14="Yes",IF(COUNTBLANK('Capacity summary'!$H134:$BG134)&lt;52,IF('Capacity summary'!BF134&lt;&gt;"",IF(LOWER('Capacity summary'!BF134)="x",$BI15*BF15,VALUE('Capacity summary'!BF134)),0),BF15*$BI15),BF15*$BI15),0)</f>
        <v>0</v>
      </c>
      <c r="DJ15" s="311">
        <f>IF($BI15&lt;&gt;"",IF('Capacity summary'!$D$14="Yes",IF(COUNTBLANK('Capacity summary'!$H134:$BG134)&lt;52,IF('Capacity summary'!BG134&lt;&gt;"",IF(LOWER('Capacity summary'!BG134)="x",$BI15*BG15,VALUE('Capacity summary'!BG134)),0),BG15*$BI15),BG15*$BI15),0)</f>
        <v>0</v>
      </c>
      <c r="DK15" s="391">
        <f t="shared" si="2"/>
        <v>0</v>
      </c>
      <c r="DL15" s="136">
        <f t="shared" si="3"/>
        <v>0</v>
      </c>
      <c r="DM15" s="311" t="str">
        <f>Capacity!H27</f>
        <v/>
      </c>
      <c r="DQ15" s="5"/>
    </row>
    <row r="16" spans="1:121" x14ac:dyDescent="0.2">
      <c r="A16" s="67">
        <f>IF(Capacity!L28='Capacity summary'!BI135,1,0)</f>
        <v>1</v>
      </c>
      <c r="B16" s="67">
        <f>IF(Capacity!V28='Capacity summary'!BI35,1,0)</f>
        <v>1</v>
      </c>
      <c r="C16" s="67" t="str">
        <f>ROW(A12)&amp;". "&amp;Capacity!B28</f>
        <v xml:space="preserve">12. </v>
      </c>
      <c r="D16" s="67">
        <f>'Capacity setup'!C23</f>
        <v>0</v>
      </c>
      <c r="E16" s="67">
        <f>'Capacity setup'!D23</f>
        <v>0</v>
      </c>
      <c r="F16" s="67">
        <f>'Capacity setup'!E23</f>
        <v>0</v>
      </c>
      <c r="H16" s="67">
        <f ca="1">IF(LOWER(Capacity!$L28)="x",IF(AND(SUMIF(Capacity_Resource,$D16,'Critical resources (hide)'!U$6:U$105)+SUMIF(Capacity_Resource,$E16,'Critical resources (hide)'!U$6:U$105)+SUMIF(Capacity_Resource,$F16,'Critical resources (hide)'!U$6:U$105)&gt;0,$E$1=2),0,1),0)</f>
        <v>1</v>
      </c>
      <c r="I16" s="67">
        <f ca="1">IF(LOWER(Capacity!$L28)="x",IF(AND(SUMIF(Capacity_Resource,$D16,'Critical resources (hide)'!V$6:V$105)+SUMIF(Capacity_Resource,$E16,'Critical resources (hide)'!V$6:V$105)+SUMIF(Capacity_Resource,$F16,'Critical resources (hide)'!V$6:V$105)&gt;0,$E$1=2),0,1),0)</f>
        <v>1</v>
      </c>
      <c r="J16" s="67">
        <f ca="1">IF(LOWER(Capacity!$L28)="x",IF(AND(SUMIF(Capacity_Resource,$D16,'Critical resources (hide)'!W$6:W$105)+SUMIF(Capacity_Resource,$E16,'Critical resources (hide)'!W$6:W$105)+SUMIF(Capacity_Resource,$F16,'Critical resources (hide)'!W$6:W$105)&gt;0,$E$1=2),0,1),0)</f>
        <v>1</v>
      </c>
      <c r="K16" s="67">
        <f ca="1">IF(LOWER(Capacity!$L28)="x",IF(AND(SUMIF(Capacity_Resource,$D16,'Critical resources (hide)'!X$6:X$105)+SUMIF(Capacity_Resource,$E16,'Critical resources (hide)'!X$6:X$105)+SUMIF(Capacity_Resource,$F16,'Critical resources (hide)'!X$6:X$105)&gt;0,$E$1=2),0,1),0)</f>
        <v>1</v>
      </c>
      <c r="L16" s="67">
        <f ca="1">IF(LOWER(Capacity!$L28)="x",IF(AND(SUMIF(Capacity_Resource,$D16,'Critical resources (hide)'!Y$6:Y$105)+SUMIF(Capacity_Resource,$E16,'Critical resources (hide)'!Y$6:Y$105)+SUMIF(Capacity_Resource,$F16,'Critical resources (hide)'!Y$6:Y$105)&gt;0,$E$1=2),0,1),0)</f>
        <v>1</v>
      </c>
      <c r="M16" s="67">
        <f ca="1">IF(LOWER(Capacity!$L28)="x",IF(AND(SUMIF(Capacity_Resource,$D16,'Critical resources (hide)'!Z$6:Z$105)+SUMIF(Capacity_Resource,$E16,'Critical resources (hide)'!Z$6:Z$105)+SUMIF(Capacity_Resource,$F16,'Critical resources (hide)'!Z$6:Z$105)&gt;0,$E$1=2),0,1),0)</f>
        <v>1</v>
      </c>
      <c r="N16" s="67">
        <f ca="1">IF(LOWER(Capacity!$L28)="x",IF(AND(SUMIF(Capacity_Resource,$D16,'Critical resources (hide)'!AA$6:AA$105)+SUMIF(Capacity_Resource,$E16,'Critical resources (hide)'!AA$6:AA$105)+SUMIF(Capacity_Resource,$F16,'Critical resources (hide)'!AA$6:AA$105)&gt;0,$E$1=2),0,1),0)</f>
        <v>1</v>
      </c>
      <c r="O16" s="67">
        <f ca="1">IF(LOWER(Capacity!$L28)="x",IF(AND(SUMIF(Capacity_Resource,$D16,'Critical resources (hide)'!AB$6:AB$105)+SUMIF(Capacity_Resource,$E16,'Critical resources (hide)'!AB$6:AB$105)+SUMIF(Capacity_Resource,$F16,'Critical resources (hide)'!AB$6:AB$105)&gt;0,$E$1=2),0,1),0)</f>
        <v>1</v>
      </c>
      <c r="P16" s="67">
        <f ca="1">IF(LOWER(Capacity!$L28)="x",IF(AND(SUMIF(Capacity_Resource,$D16,'Critical resources (hide)'!AC$6:AC$105)+SUMIF(Capacity_Resource,$E16,'Critical resources (hide)'!AC$6:AC$105)+SUMIF(Capacity_Resource,$F16,'Critical resources (hide)'!AC$6:AC$105)&gt;0,$E$1=2),0,1),0)</f>
        <v>1</v>
      </c>
      <c r="Q16" s="67">
        <f ca="1">IF(LOWER(Capacity!$L28)="x",IF(AND(SUMIF(Capacity_Resource,$D16,'Critical resources (hide)'!AD$6:AD$105)+SUMIF(Capacity_Resource,$E16,'Critical resources (hide)'!AD$6:AD$105)+SUMIF(Capacity_Resource,$F16,'Critical resources (hide)'!AD$6:AD$105)&gt;0,$E$1=2),0,1),0)</f>
        <v>1</v>
      </c>
      <c r="R16" s="67">
        <f ca="1">IF(LOWER(Capacity!$L28)="x",IF(AND(SUMIF(Capacity_Resource,$D16,'Critical resources (hide)'!AE$6:AE$105)+SUMIF(Capacity_Resource,$E16,'Critical resources (hide)'!AE$6:AE$105)+SUMIF(Capacity_Resource,$F16,'Critical resources (hide)'!AE$6:AE$105)&gt;0,$E$1=2),0,1),0)</f>
        <v>1</v>
      </c>
      <c r="S16" s="67">
        <f ca="1">IF(LOWER(Capacity!$L28)="x",IF(AND(SUMIF(Capacity_Resource,$D16,'Critical resources (hide)'!AF$6:AF$105)+SUMIF(Capacity_Resource,$E16,'Critical resources (hide)'!AF$6:AF$105)+SUMIF(Capacity_Resource,$F16,'Critical resources (hide)'!AF$6:AF$105)&gt;0,$E$1=2),0,1),0)</f>
        <v>1</v>
      </c>
      <c r="T16" s="67">
        <f ca="1">IF(LOWER(Capacity!$L28)="x",IF(AND(SUMIF(Capacity_Resource,$D16,'Critical resources (hide)'!AG$6:AG$105)+SUMIF(Capacity_Resource,$E16,'Critical resources (hide)'!AG$6:AG$105)+SUMIF(Capacity_Resource,$F16,'Critical resources (hide)'!AG$6:AG$105)&gt;0,$E$1=2),0,1),0)</f>
        <v>1</v>
      </c>
      <c r="U16" s="67">
        <f ca="1">IF(LOWER(Capacity!$L28)="x",IF(AND(SUMIF(Capacity_Resource,$D16,'Critical resources (hide)'!AH$6:AH$105)+SUMIF(Capacity_Resource,$E16,'Critical resources (hide)'!AH$6:AH$105)+SUMIF(Capacity_Resource,$F16,'Critical resources (hide)'!AH$6:AH$105)&gt;0,$E$1=2),0,1),0)</f>
        <v>1</v>
      </c>
      <c r="V16" s="67">
        <f ca="1">IF(LOWER(Capacity!$L28)="x",IF(AND(SUMIF(Capacity_Resource,$D16,'Critical resources (hide)'!AI$6:AI$105)+SUMIF(Capacity_Resource,$E16,'Critical resources (hide)'!AI$6:AI$105)+SUMIF(Capacity_Resource,$F16,'Critical resources (hide)'!AI$6:AI$105)&gt;0,$E$1=2),0,1),0)</f>
        <v>1</v>
      </c>
      <c r="W16" s="67">
        <f ca="1">IF(LOWER(Capacity!$L28)="x",IF(AND(SUMIF(Capacity_Resource,$D16,'Critical resources (hide)'!AJ$6:AJ$105)+SUMIF(Capacity_Resource,$E16,'Critical resources (hide)'!AJ$6:AJ$105)+SUMIF(Capacity_Resource,$F16,'Critical resources (hide)'!AJ$6:AJ$105)&gt;0,$E$1=2),0,1),0)</f>
        <v>1</v>
      </c>
      <c r="X16" s="67">
        <f ca="1">IF(LOWER(Capacity!$L28)="x",IF(AND(SUMIF(Capacity_Resource,$D16,'Critical resources (hide)'!AK$6:AK$105)+SUMIF(Capacity_Resource,$E16,'Critical resources (hide)'!AK$6:AK$105)+SUMIF(Capacity_Resource,$F16,'Critical resources (hide)'!AK$6:AK$105)&gt;0,$E$1=2),0,1),0)</f>
        <v>1</v>
      </c>
      <c r="Y16" s="67">
        <f ca="1">IF(LOWER(Capacity!$L28)="x",IF(AND(SUMIF(Capacity_Resource,$D16,'Critical resources (hide)'!AL$6:AL$105)+SUMIF(Capacity_Resource,$E16,'Critical resources (hide)'!AL$6:AL$105)+SUMIF(Capacity_Resource,$F16,'Critical resources (hide)'!AL$6:AL$105)&gt;0,$E$1=2),0,1),0)</f>
        <v>1</v>
      </c>
      <c r="Z16" s="67">
        <f ca="1">IF(LOWER(Capacity!$L28)="x",IF(AND(SUMIF(Capacity_Resource,$D16,'Critical resources (hide)'!AM$6:AM$105)+SUMIF(Capacity_Resource,$E16,'Critical resources (hide)'!AM$6:AM$105)+SUMIF(Capacity_Resource,$F16,'Critical resources (hide)'!AM$6:AM$105)&gt;0,$E$1=2),0,1),0)</f>
        <v>1</v>
      </c>
      <c r="AA16" s="67">
        <f ca="1">IF(LOWER(Capacity!$L28)="x",IF(AND(SUMIF(Capacity_Resource,$D16,'Critical resources (hide)'!AN$6:AN$105)+SUMIF(Capacity_Resource,$E16,'Critical resources (hide)'!AN$6:AN$105)+SUMIF(Capacity_Resource,$F16,'Critical resources (hide)'!AN$6:AN$105)&gt;0,$E$1=2),0,1),0)</f>
        <v>1</v>
      </c>
      <c r="AB16" s="67">
        <f ca="1">IF(LOWER(Capacity!$L28)="x",IF(AND(SUMIF(Capacity_Resource,$D16,'Critical resources (hide)'!AO$6:AO$105)+SUMIF(Capacity_Resource,$E16,'Critical resources (hide)'!AO$6:AO$105)+SUMIF(Capacity_Resource,$F16,'Critical resources (hide)'!AO$6:AO$105)&gt;0,$E$1=2),0,1),0)</f>
        <v>1</v>
      </c>
      <c r="AC16" s="67">
        <f ca="1">IF(LOWER(Capacity!$L28)="x",IF(AND(SUMIF(Capacity_Resource,$D16,'Critical resources (hide)'!AP$6:AP$105)+SUMIF(Capacity_Resource,$E16,'Critical resources (hide)'!AP$6:AP$105)+SUMIF(Capacity_Resource,$F16,'Critical resources (hide)'!AP$6:AP$105)&gt;0,$E$1=2),0,1),0)</f>
        <v>1</v>
      </c>
      <c r="AD16" s="67">
        <f ca="1">IF(LOWER(Capacity!$L28)="x",IF(AND(SUMIF(Capacity_Resource,$D16,'Critical resources (hide)'!AQ$6:AQ$105)+SUMIF(Capacity_Resource,$E16,'Critical resources (hide)'!AQ$6:AQ$105)+SUMIF(Capacity_Resource,$F16,'Critical resources (hide)'!AQ$6:AQ$105)&gt;0,$E$1=2),0,1),0)</f>
        <v>1</v>
      </c>
      <c r="AE16" s="67">
        <f ca="1">IF(LOWER(Capacity!$L28)="x",IF(AND(SUMIF(Capacity_Resource,$D16,'Critical resources (hide)'!AR$6:AR$105)+SUMIF(Capacity_Resource,$E16,'Critical resources (hide)'!AR$6:AR$105)+SUMIF(Capacity_Resource,$F16,'Critical resources (hide)'!AR$6:AR$105)&gt;0,$E$1=2),0,1),0)</f>
        <v>1</v>
      </c>
      <c r="AF16" s="67">
        <f ca="1">IF(LOWER(Capacity!$L28)="x",IF(AND(SUMIF(Capacity_Resource,$D16,'Critical resources (hide)'!AS$6:AS$105)+SUMIF(Capacity_Resource,$E16,'Critical resources (hide)'!AS$6:AS$105)+SUMIF(Capacity_Resource,$F16,'Critical resources (hide)'!AS$6:AS$105)&gt;0,$E$1=2),0,1),0)</f>
        <v>1</v>
      </c>
      <c r="AG16" s="67">
        <f ca="1">IF(LOWER(Capacity!$L28)="x",IF(AND(SUMIF(Capacity_Resource,$D16,'Critical resources (hide)'!AT$6:AT$105)+SUMIF(Capacity_Resource,$E16,'Critical resources (hide)'!AT$6:AT$105)+SUMIF(Capacity_Resource,$F16,'Critical resources (hide)'!AT$6:AT$105)&gt;0,$E$1=2),0,1),0)</f>
        <v>1</v>
      </c>
      <c r="AH16" s="67">
        <f ca="1">IF(LOWER(Capacity!$L28)="x",IF(AND(SUMIF(Capacity_Resource,$D16,'Critical resources (hide)'!AU$6:AU$105)+SUMIF(Capacity_Resource,$E16,'Critical resources (hide)'!AU$6:AU$105)+SUMIF(Capacity_Resource,$F16,'Critical resources (hide)'!AU$6:AU$105)&gt;0,$E$1=2),0,1),0)</f>
        <v>1</v>
      </c>
      <c r="AI16" s="67">
        <f ca="1">IF(LOWER(Capacity!$L28)="x",IF(AND(SUMIF(Capacity_Resource,$D16,'Critical resources (hide)'!AV$6:AV$105)+SUMIF(Capacity_Resource,$E16,'Critical resources (hide)'!AV$6:AV$105)+SUMIF(Capacity_Resource,$F16,'Critical resources (hide)'!AV$6:AV$105)&gt;0,$E$1=2),0,1),0)</f>
        <v>1</v>
      </c>
      <c r="AJ16" s="67">
        <f ca="1">IF(LOWER(Capacity!$L28)="x",IF(AND(SUMIF(Capacity_Resource,$D16,'Critical resources (hide)'!AW$6:AW$105)+SUMIF(Capacity_Resource,$E16,'Critical resources (hide)'!AW$6:AW$105)+SUMIF(Capacity_Resource,$F16,'Critical resources (hide)'!AW$6:AW$105)&gt;0,$E$1=2),0,1),0)</f>
        <v>1</v>
      </c>
      <c r="AK16" s="67">
        <f ca="1">IF(LOWER(Capacity!$L28)="x",IF(AND(SUMIF(Capacity_Resource,$D16,'Critical resources (hide)'!AX$6:AX$105)+SUMIF(Capacity_Resource,$E16,'Critical resources (hide)'!AX$6:AX$105)+SUMIF(Capacity_Resource,$F16,'Critical resources (hide)'!AX$6:AX$105)&gt;0,$E$1=2),0,1),0)</f>
        <v>1</v>
      </c>
      <c r="AL16" s="67">
        <f ca="1">IF(LOWER(Capacity!$L28)="x",IF(AND(SUMIF(Capacity_Resource,$D16,'Critical resources (hide)'!AY$6:AY$105)+SUMIF(Capacity_Resource,$E16,'Critical resources (hide)'!AY$6:AY$105)+SUMIF(Capacity_Resource,$F16,'Critical resources (hide)'!AY$6:AY$105)&gt;0,$E$1=2),0,1),0)</f>
        <v>1</v>
      </c>
      <c r="AM16" s="67">
        <f ca="1">IF(LOWER(Capacity!$L28)="x",IF(AND(SUMIF(Capacity_Resource,$D16,'Critical resources (hide)'!AZ$6:AZ$105)+SUMIF(Capacity_Resource,$E16,'Critical resources (hide)'!AZ$6:AZ$105)+SUMIF(Capacity_Resource,$F16,'Critical resources (hide)'!AZ$6:AZ$105)&gt;0,$E$1=2),0,1),0)</f>
        <v>1</v>
      </c>
      <c r="AN16" s="67">
        <f ca="1">IF(LOWER(Capacity!$L28)="x",IF(AND(SUMIF(Capacity_Resource,$D16,'Critical resources (hide)'!BA$6:BA$105)+SUMIF(Capacity_Resource,$E16,'Critical resources (hide)'!BA$6:BA$105)+SUMIF(Capacity_Resource,$F16,'Critical resources (hide)'!BA$6:BA$105)&gt;0,$E$1=2),0,1),0)</f>
        <v>1</v>
      </c>
      <c r="AO16" s="67">
        <f ca="1">IF(LOWER(Capacity!$L28)="x",IF(AND(SUMIF(Capacity_Resource,$D16,'Critical resources (hide)'!BB$6:BB$105)+SUMIF(Capacity_Resource,$E16,'Critical resources (hide)'!BB$6:BB$105)+SUMIF(Capacity_Resource,$F16,'Critical resources (hide)'!BB$6:BB$105)&gt;0,$E$1=2),0,1),0)</f>
        <v>1</v>
      </c>
      <c r="AP16" s="67">
        <f ca="1">IF(LOWER(Capacity!$L28)="x",IF(AND(SUMIF(Capacity_Resource,$D16,'Critical resources (hide)'!BC$6:BC$105)+SUMIF(Capacity_Resource,$E16,'Critical resources (hide)'!BC$6:BC$105)+SUMIF(Capacity_Resource,$F16,'Critical resources (hide)'!BC$6:BC$105)&gt;0,$E$1=2),0,1),0)</f>
        <v>1</v>
      </c>
      <c r="AQ16" s="67">
        <f ca="1">IF(LOWER(Capacity!$L28)="x",IF(AND(SUMIF(Capacity_Resource,$D16,'Critical resources (hide)'!BD$6:BD$105)+SUMIF(Capacity_Resource,$E16,'Critical resources (hide)'!BD$6:BD$105)+SUMIF(Capacity_Resource,$F16,'Critical resources (hide)'!BD$6:BD$105)&gt;0,$E$1=2),0,1),0)</f>
        <v>1</v>
      </c>
      <c r="AR16" s="67">
        <f ca="1">IF(LOWER(Capacity!$L28)="x",IF(AND(SUMIF(Capacity_Resource,$D16,'Critical resources (hide)'!BE$6:BE$105)+SUMIF(Capacity_Resource,$E16,'Critical resources (hide)'!BE$6:BE$105)+SUMIF(Capacity_Resource,$F16,'Critical resources (hide)'!BE$6:BE$105)&gt;0,$E$1=2),0,1),0)</f>
        <v>1</v>
      </c>
      <c r="AS16" s="67">
        <f ca="1">IF(LOWER(Capacity!$L28)="x",IF(AND(SUMIF(Capacity_Resource,$D16,'Critical resources (hide)'!BF$6:BF$105)+SUMIF(Capacity_Resource,$E16,'Critical resources (hide)'!BF$6:BF$105)+SUMIF(Capacity_Resource,$F16,'Critical resources (hide)'!BF$6:BF$105)&gt;0,$E$1=2),0,1),0)</f>
        <v>1</v>
      </c>
      <c r="AT16" s="67">
        <f ca="1">IF(LOWER(Capacity!$L28)="x",IF(AND(SUMIF(Capacity_Resource,$D16,'Critical resources (hide)'!BG$6:BG$105)+SUMIF(Capacity_Resource,$E16,'Critical resources (hide)'!BG$6:BG$105)+SUMIF(Capacity_Resource,$F16,'Critical resources (hide)'!BG$6:BG$105)&gt;0,$E$1=2),0,1),0)</f>
        <v>1</v>
      </c>
      <c r="AU16" s="67">
        <f ca="1">IF(LOWER(Capacity!$L28)="x",IF(AND(SUMIF(Capacity_Resource,$D16,'Critical resources (hide)'!BH$6:BH$105)+SUMIF(Capacity_Resource,$E16,'Critical resources (hide)'!BH$6:BH$105)+SUMIF(Capacity_Resource,$F16,'Critical resources (hide)'!BH$6:BH$105)&gt;0,$E$1=2),0,1),0)</f>
        <v>1</v>
      </c>
      <c r="AV16" s="67">
        <f ca="1">IF(LOWER(Capacity!$L28)="x",IF(AND(SUMIF(Capacity_Resource,$D16,'Critical resources (hide)'!BI$6:BI$105)+SUMIF(Capacity_Resource,$E16,'Critical resources (hide)'!BI$6:BI$105)+SUMIF(Capacity_Resource,$F16,'Critical resources (hide)'!BI$6:BI$105)&gt;0,$E$1=2),0,1),0)</f>
        <v>1</v>
      </c>
      <c r="AW16" s="67">
        <f ca="1">IF(LOWER(Capacity!$L28)="x",IF(AND(SUMIF(Capacity_Resource,$D16,'Critical resources (hide)'!BJ$6:BJ$105)+SUMIF(Capacity_Resource,$E16,'Critical resources (hide)'!BJ$6:BJ$105)+SUMIF(Capacity_Resource,$F16,'Critical resources (hide)'!BJ$6:BJ$105)&gt;0,$E$1=2),0,1),0)</f>
        <v>1</v>
      </c>
      <c r="AX16" s="67">
        <f ca="1">IF(LOWER(Capacity!$L28)="x",IF(AND(SUMIF(Capacity_Resource,$D16,'Critical resources (hide)'!BK$6:BK$105)+SUMIF(Capacity_Resource,$E16,'Critical resources (hide)'!BK$6:BK$105)+SUMIF(Capacity_Resource,$F16,'Critical resources (hide)'!BK$6:BK$105)&gt;0,$E$1=2),0,1),0)</f>
        <v>1</v>
      </c>
      <c r="AY16" s="67">
        <f ca="1">IF(LOWER(Capacity!$L28)="x",IF(AND(SUMIF(Capacity_Resource,$D16,'Critical resources (hide)'!BL$6:BL$105)+SUMIF(Capacity_Resource,$E16,'Critical resources (hide)'!BL$6:BL$105)+SUMIF(Capacity_Resource,$F16,'Critical resources (hide)'!BL$6:BL$105)&gt;0,$E$1=2),0,1),0)</f>
        <v>1</v>
      </c>
      <c r="AZ16" s="67">
        <f ca="1">IF(LOWER(Capacity!$L28)="x",IF(AND(SUMIF(Capacity_Resource,$D16,'Critical resources (hide)'!BM$6:BM$105)+SUMIF(Capacity_Resource,$E16,'Critical resources (hide)'!BM$6:BM$105)+SUMIF(Capacity_Resource,$F16,'Critical resources (hide)'!BM$6:BM$105)&gt;0,$E$1=2),0,1),0)</f>
        <v>1</v>
      </c>
      <c r="BA16" s="67">
        <f ca="1">IF(LOWER(Capacity!$L28)="x",IF(AND(SUMIF(Capacity_Resource,$D16,'Critical resources (hide)'!BN$6:BN$105)+SUMIF(Capacity_Resource,$E16,'Critical resources (hide)'!BN$6:BN$105)+SUMIF(Capacity_Resource,$F16,'Critical resources (hide)'!BN$6:BN$105)&gt;0,$E$1=2),0,1),0)</f>
        <v>1</v>
      </c>
      <c r="BB16" s="67">
        <f ca="1">IF(LOWER(Capacity!$L28)="x",IF(AND(SUMIF(Capacity_Resource,$D16,'Critical resources (hide)'!BO$6:BO$105)+SUMIF(Capacity_Resource,$E16,'Critical resources (hide)'!BO$6:BO$105)+SUMIF(Capacity_Resource,$F16,'Critical resources (hide)'!BO$6:BO$105)&gt;0,$E$1=2),0,1),0)</f>
        <v>1</v>
      </c>
      <c r="BC16" s="67">
        <f ca="1">IF(LOWER(Capacity!$L28)="x",IF(AND(SUMIF(Capacity_Resource,$D16,'Critical resources (hide)'!BP$6:BP$105)+SUMIF(Capacity_Resource,$E16,'Critical resources (hide)'!BP$6:BP$105)+SUMIF(Capacity_Resource,$F16,'Critical resources (hide)'!BP$6:BP$105)&gt;0,$E$1=2),0,1),0)</f>
        <v>1</v>
      </c>
      <c r="BD16" s="67">
        <f ca="1">IF(LOWER(Capacity!$L28)="x",IF(AND(SUMIF(Capacity_Resource,$D16,'Critical resources (hide)'!BQ$6:BQ$105)+SUMIF(Capacity_Resource,$E16,'Critical resources (hide)'!BQ$6:BQ$105)+SUMIF(Capacity_Resource,$F16,'Critical resources (hide)'!BQ$6:BQ$105)&gt;0,$E$1=2),0,1),0)</f>
        <v>1</v>
      </c>
      <c r="BE16" s="67">
        <f ca="1">IF(LOWER(Capacity!$L28)="x",IF(AND(SUMIF(Capacity_Resource,$D16,'Critical resources (hide)'!BR$6:BR$105)+SUMIF(Capacity_Resource,$E16,'Critical resources (hide)'!BR$6:BR$105)+SUMIF(Capacity_Resource,$F16,'Critical resources (hide)'!BR$6:BR$105)&gt;0,$E$1=2),0,1),0)</f>
        <v>1</v>
      </c>
      <c r="BF16" s="67">
        <f ca="1">IF(LOWER(Capacity!$L28)="x",IF(AND(SUMIF(Capacity_Resource,$D16,'Critical resources (hide)'!BS$6:BS$105)+SUMIF(Capacity_Resource,$E16,'Critical resources (hide)'!BS$6:BS$105)+SUMIF(Capacity_Resource,$F16,'Critical resources (hide)'!BS$6:BS$105)&gt;0,$E$1=2),0,1),0)</f>
        <v>1</v>
      </c>
      <c r="BG16" s="67">
        <f ca="1">IF(LOWER(Capacity!$L28)="x",IF(AND(SUMIF(Capacity_Resource,$D16,'Critical resources (hide)'!BT$6:BT$105)+SUMIF(Capacity_Resource,$E16,'Critical resources (hide)'!BT$6:BT$105)+SUMIF(Capacity_Resource,$F16,'Critical resources (hide)'!BT$6:BT$105)&gt;0,$E$1=2),0,1),0)</f>
        <v>1</v>
      </c>
      <c r="BH16" s="67">
        <f>IF(ROW(C12)&lt;=Capacity!$A$16,IF('Capacity summary'!$D$14="No",SUM(H16:BG16),'Capacity summary'!$E135),0)</f>
        <v>0</v>
      </c>
      <c r="BI16" s="5" t="str">
        <f>IF(BH16&gt;0,IF(BH16&lt;Capacity!E28,Capacity!F28,Capacity!H28/'Capacity calculation (hide)'!BH16),"")</f>
        <v/>
      </c>
      <c r="BK16" s="311">
        <f>IF($BI16&lt;&gt;"",IF('Capacity summary'!$D$14="Yes",IF(COUNTBLANK('Capacity summary'!$H135:$BG135)&lt;52,IF('Capacity summary'!H135&lt;&gt;"",IF(LOWER('Capacity summary'!H135)="x",$BI16*H16,VALUE('Capacity summary'!H135)),0),H16*$BI16),H16*$BI16),0)</f>
        <v>0</v>
      </c>
      <c r="BL16" s="311">
        <f>IF($BI16&lt;&gt;"",IF('Capacity summary'!$D$14="Yes",IF(COUNTBLANK('Capacity summary'!$H135:$BG135)&lt;52,IF('Capacity summary'!I135&lt;&gt;"",IF(LOWER('Capacity summary'!I135)="x",$BI16*I16,VALUE('Capacity summary'!I135)),0),I16*$BI16),I16*$BI16),0)</f>
        <v>0</v>
      </c>
      <c r="BM16" s="311">
        <f>IF($BI16&lt;&gt;"",IF('Capacity summary'!$D$14="Yes",IF(COUNTBLANK('Capacity summary'!$H135:$BG135)&lt;52,IF('Capacity summary'!J135&lt;&gt;"",IF(LOWER('Capacity summary'!J135)="x",$BI16*J16,VALUE('Capacity summary'!J135)),0),J16*$BI16),J16*$BI16),0)</f>
        <v>0</v>
      </c>
      <c r="BN16" s="311">
        <f>IF($BI16&lt;&gt;"",IF('Capacity summary'!$D$14="Yes",IF(COUNTBLANK('Capacity summary'!$H135:$BG135)&lt;52,IF('Capacity summary'!K135&lt;&gt;"",IF(LOWER('Capacity summary'!K135)="x",$BI16*K16,VALUE('Capacity summary'!K135)),0),K16*$BI16),K16*$BI16),0)</f>
        <v>0</v>
      </c>
      <c r="BO16" s="311">
        <f>IF($BI16&lt;&gt;"",IF('Capacity summary'!$D$14="Yes",IF(COUNTBLANK('Capacity summary'!$H135:$BG135)&lt;52,IF('Capacity summary'!L135&lt;&gt;"",IF(LOWER('Capacity summary'!L135)="x",$BI16*L16,VALUE('Capacity summary'!L135)),0),L16*$BI16),L16*$BI16),0)</f>
        <v>0</v>
      </c>
      <c r="BP16" s="311">
        <f>IF($BI16&lt;&gt;"",IF('Capacity summary'!$D$14="Yes",IF(COUNTBLANK('Capacity summary'!$H135:$BG135)&lt;52,IF('Capacity summary'!M135&lt;&gt;"",IF(LOWER('Capacity summary'!M135)="x",$BI16*M16,VALUE('Capacity summary'!M135)),0),M16*$BI16),M16*$BI16),0)</f>
        <v>0</v>
      </c>
      <c r="BQ16" s="311">
        <f>IF($BI16&lt;&gt;"",IF('Capacity summary'!$D$14="Yes",IF(COUNTBLANK('Capacity summary'!$H135:$BG135)&lt;52,IF('Capacity summary'!N135&lt;&gt;"",IF(LOWER('Capacity summary'!N135)="x",$BI16*N16,VALUE('Capacity summary'!N135)),0),N16*$BI16),N16*$BI16),0)</f>
        <v>0</v>
      </c>
      <c r="BR16" s="311">
        <f>IF($BI16&lt;&gt;"",IF('Capacity summary'!$D$14="Yes",IF(COUNTBLANK('Capacity summary'!$H135:$BG135)&lt;52,IF('Capacity summary'!O135&lt;&gt;"",IF(LOWER('Capacity summary'!O135)="x",$BI16*O16,VALUE('Capacity summary'!O135)),0),O16*$BI16),O16*$BI16),0)</f>
        <v>0</v>
      </c>
      <c r="BS16" s="311">
        <f>IF($BI16&lt;&gt;"",IF('Capacity summary'!$D$14="Yes",IF(COUNTBLANK('Capacity summary'!$H135:$BG135)&lt;52,IF('Capacity summary'!P135&lt;&gt;"",IF(LOWER('Capacity summary'!P135)="x",$BI16*P16,VALUE('Capacity summary'!P135)),0),P16*$BI16),P16*$BI16),0)</f>
        <v>0</v>
      </c>
      <c r="BT16" s="311">
        <f>IF($BI16&lt;&gt;"",IF('Capacity summary'!$D$14="Yes",IF(COUNTBLANK('Capacity summary'!$H135:$BG135)&lt;52,IF('Capacity summary'!Q135&lt;&gt;"",IF(LOWER('Capacity summary'!Q135)="x",$BI16*Q16,VALUE('Capacity summary'!Q135)),0),Q16*$BI16),Q16*$BI16),0)</f>
        <v>0</v>
      </c>
      <c r="BU16" s="311">
        <f>IF($BI16&lt;&gt;"",IF('Capacity summary'!$D$14="Yes",IF(COUNTBLANK('Capacity summary'!$H135:$BG135)&lt;52,IF('Capacity summary'!R135&lt;&gt;"",IF(LOWER('Capacity summary'!R135)="x",$BI16*R16,VALUE('Capacity summary'!R135)),0),R16*$BI16),R16*$BI16),0)</f>
        <v>0</v>
      </c>
      <c r="BV16" s="311">
        <f>IF($BI16&lt;&gt;"",IF('Capacity summary'!$D$14="Yes",IF(COUNTBLANK('Capacity summary'!$H135:$BG135)&lt;52,IF('Capacity summary'!S135&lt;&gt;"",IF(LOWER('Capacity summary'!S135)="x",$BI16*S16,VALUE('Capacity summary'!S135)),0),S16*$BI16),S16*$BI16),0)</f>
        <v>0</v>
      </c>
      <c r="BW16" s="311">
        <f>IF($BI16&lt;&gt;"",IF('Capacity summary'!$D$14="Yes",IF(COUNTBLANK('Capacity summary'!$H135:$BG135)&lt;52,IF('Capacity summary'!T135&lt;&gt;"",IF(LOWER('Capacity summary'!T135)="x",$BI16*T16,VALUE('Capacity summary'!T135)),0),T16*$BI16),T16*$BI16),0)</f>
        <v>0</v>
      </c>
      <c r="BX16" s="311">
        <f>IF($BI16&lt;&gt;"",IF('Capacity summary'!$D$14="Yes",IF(COUNTBLANK('Capacity summary'!$H135:$BG135)&lt;52,IF('Capacity summary'!U135&lt;&gt;"",IF(LOWER('Capacity summary'!U135)="x",$BI16*U16,VALUE('Capacity summary'!U135)),0),U16*$BI16),U16*$BI16),0)</f>
        <v>0</v>
      </c>
      <c r="BY16" s="311">
        <f>IF($BI16&lt;&gt;"",IF('Capacity summary'!$D$14="Yes",IF(COUNTBLANK('Capacity summary'!$H135:$BG135)&lt;52,IF('Capacity summary'!V135&lt;&gt;"",IF(LOWER('Capacity summary'!V135)="x",$BI16*V16,VALUE('Capacity summary'!V135)),0),V16*$BI16),V16*$BI16),0)</f>
        <v>0</v>
      </c>
      <c r="BZ16" s="311">
        <f>IF($BI16&lt;&gt;"",IF('Capacity summary'!$D$14="Yes",IF(COUNTBLANK('Capacity summary'!$H135:$BG135)&lt;52,IF('Capacity summary'!W135&lt;&gt;"",IF(LOWER('Capacity summary'!W135)="x",$BI16*W16,VALUE('Capacity summary'!W135)),0),W16*$BI16),W16*$BI16),0)</f>
        <v>0</v>
      </c>
      <c r="CA16" s="311">
        <f>IF($BI16&lt;&gt;"",IF('Capacity summary'!$D$14="Yes",IF(COUNTBLANK('Capacity summary'!$H135:$BG135)&lt;52,IF('Capacity summary'!X135&lt;&gt;"",IF(LOWER('Capacity summary'!X135)="x",$BI16*X16,VALUE('Capacity summary'!X135)),0),X16*$BI16),X16*$BI16),0)</f>
        <v>0</v>
      </c>
      <c r="CB16" s="311">
        <f>IF($BI16&lt;&gt;"",IF('Capacity summary'!$D$14="Yes",IF(COUNTBLANK('Capacity summary'!$H135:$BG135)&lt;52,IF('Capacity summary'!Y135&lt;&gt;"",IF(LOWER('Capacity summary'!Y135)="x",$BI16*Y16,VALUE('Capacity summary'!Y135)),0),Y16*$BI16),Y16*$BI16),0)</f>
        <v>0</v>
      </c>
      <c r="CC16" s="311">
        <f>IF($BI16&lt;&gt;"",IF('Capacity summary'!$D$14="Yes",IF(COUNTBLANK('Capacity summary'!$H135:$BG135)&lt;52,IF('Capacity summary'!Z135&lt;&gt;"",IF(LOWER('Capacity summary'!Z135)="x",$BI16*Z16,VALUE('Capacity summary'!Z135)),0),Z16*$BI16),Z16*$BI16),0)</f>
        <v>0</v>
      </c>
      <c r="CD16" s="311">
        <f>IF($BI16&lt;&gt;"",IF('Capacity summary'!$D$14="Yes",IF(COUNTBLANK('Capacity summary'!$H135:$BG135)&lt;52,IF('Capacity summary'!AA135&lt;&gt;"",IF(LOWER('Capacity summary'!AA135)="x",$BI16*AA16,VALUE('Capacity summary'!AA135)),0),AA16*$BI16),AA16*$BI16),0)</f>
        <v>0</v>
      </c>
      <c r="CE16" s="311">
        <f>IF($BI16&lt;&gt;"",IF('Capacity summary'!$D$14="Yes",IF(COUNTBLANK('Capacity summary'!$H135:$BG135)&lt;52,IF('Capacity summary'!AB135&lt;&gt;"",IF(LOWER('Capacity summary'!AB135)="x",$BI16*AB16,VALUE('Capacity summary'!AB135)),0),AB16*$BI16),AB16*$BI16),0)</f>
        <v>0</v>
      </c>
      <c r="CF16" s="311">
        <f>IF($BI16&lt;&gt;"",IF('Capacity summary'!$D$14="Yes",IF(COUNTBLANK('Capacity summary'!$H135:$BG135)&lt;52,IF('Capacity summary'!AC135&lt;&gt;"",IF(LOWER('Capacity summary'!AC135)="x",$BI16*AC16,VALUE('Capacity summary'!AC135)),0),AC16*$BI16),AC16*$BI16),0)</f>
        <v>0</v>
      </c>
      <c r="CG16" s="311">
        <f>IF($BI16&lt;&gt;"",IF('Capacity summary'!$D$14="Yes",IF(COUNTBLANK('Capacity summary'!$H135:$BG135)&lt;52,IF('Capacity summary'!AD135&lt;&gt;"",IF(LOWER('Capacity summary'!AD135)="x",$BI16*AD16,VALUE('Capacity summary'!AD135)),0),AD16*$BI16),AD16*$BI16),0)</f>
        <v>0</v>
      </c>
      <c r="CH16" s="311">
        <f>IF($BI16&lt;&gt;"",IF('Capacity summary'!$D$14="Yes",IF(COUNTBLANK('Capacity summary'!$H135:$BG135)&lt;52,IF('Capacity summary'!AE135&lt;&gt;"",IF(LOWER('Capacity summary'!AE135)="x",$BI16*AE16,VALUE('Capacity summary'!AE135)),0),AE16*$BI16),AE16*$BI16),0)</f>
        <v>0</v>
      </c>
      <c r="CI16" s="311">
        <f>IF($BI16&lt;&gt;"",IF('Capacity summary'!$D$14="Yes",IF(COUNTBLANK('Capacity summary'!$H135:$BG135)&lt;52,IF('Capacity summary'!AF135&lt;&gt;"",IF(LOWER('Capacity summary'!AF135)="x",$BI16*AF16,VALUE('Capacity summary'!AF135)),0),AF16*$BI16),AF16*$BI16),0)</f>
        <v>0</v>
      </c>
      <c r="CJ16" s="311">
        <f>IF($BI16&lt;&gt;"",IF('Capacity summary'!$D$14="Yes",IF(COUNTBLANK('Capacity summary'!$H135:$BG135)&lt;52,IF('Capacity summary'!AG135&lt;&gt;"",IF(LOWER('Capacity summary'!AG135)="x",$BI16*AG16,VALUE('Capacity summary'!AG135)),0),AG16*$BI16),AG16*$BI16),0)</f>
        <v>0</v>
      </c>
      <c r="CK16" s="311">
        <f>IF($BI16&lt;&gt;"",IF('Capacity summary'!$D$14="Yes",IF(COUNTBLANK('Capacity summary'!$H135:$BG135)&lt;52,IF('Capacity summary'!AH135&lt;&gt;"",IF(LOWER('Capacity summary'!AH135)="x",$BI16*AH16,VALUE('Capacity summary'!AH135)),0),AH16*$BI16),AH16*$BI16),0)</f>
        <v>0</v>
      </c>
      <c r="CL16" s="311">
        <f>IF($BI16&lt;&gt;"",IF('Capacity summary'!$D$14="Yes",IF(COUNTBLANK('Capacity summary'!$H135:$BG135)&lt;52,IF('Capacity summary'!AI135&lt;&gt;"",IF(LOWER('Capacity summary'!AI135)="x",$BI16*AI16,VALUE('Capacity summary'!AI135)),0),AI16*$BI16),AI16*$BI16),0)</f>
        <v>0</v>
      </c>
      <c r="CM16" s="311">
        <f>IF($BI16&lt;&gt;"",IF('Capacity summary'!$D$14="Yes",IF(COUNTBLANK('Capacity summary'!$H135:$BG135)&lt;52,IF('Capacity summary'!AJ135&lt;&gt;"",IF(LOWER('Capacity summary'!AJ135)="x",$BI16*AJ16,VALUE('Capacity summary'!AJ135)),0),AJ16*$BI16),AJ16*$BI16),0)</f>
        <v>0</v>
      </c>
      <c r="CN16" s="311">
        <f>IF($BI16&lt;&gt;"",IF('Capacity summary'!$D$14="Yes",IF(COUNTBLANK('Capacity summary'!$H135:$BG135)&lt;52,IF('Capacity summary'!AK135&lt;&gt;"",IF(LOWER('Capacity summary'!AK135)="x",$BI16*AK16,VALUE('Capacity summary'!AK135)),0),AK16*$BI16),AK16*$BI16),0)</f>
        <v>0</v>
      </c>
      <c r="CO16" s="311">
        <f>IF($BI16&lt;&gt;"",IF('Capacity summary'!$D$14="Yes",IF(COUNTBLANK('Capacity summary'!$H135:$BG135)&lt;52,IF('Capacity summary'!AL135&lt;&gt;"",IF(LOWER('Capacity summary'!AL135)="x",$BI16*AL16,VALUE('Capacity summary'!AL135)),0),AL16*$BI16),AL16*$BI16),0)</f>
        <v>0</v>
      </c>
      <c r="CP16" s="311">
        <f>IF($BI16&lt;&gt;"",IF('Capacity summary'!$D$14="Yes",IF(COUNTBLANK('Capacity summary'!$H135:$BG135)&lt;52,IF('Capacity summary'!AM135&lt;&gt;"",IF(LOWER('Capacity summary'!AM135)="x",$BI16*AM16,VALUE('Capacity summary'!AM135)),0),AM16*$BI16),AM16*$BI16),0)</f>
        <v>0</v>
      </c>
      <c r="CQ16" s="311">
        <f>IF($BI16&lt;&gt;"",IF('Capacity summary'!$D$14="Yes",IF(COUNTBLANK('Capacity summary'!$H135:$BG135)&lt;52,IF('Capacity summary'!AN135&lt;&gt;"",IF(LOWER('Capacity summary'!AN135)="x",$BI16*AN16,VALUE('Capacity summary'!AN135)),0),AN16*$BI16),AN16*$BI16),0)</f>
        <v>0</v>
      </c>
      <c r="CR16" s="311">
        <f>IF($BI16&lt;&gt;"",IF('Capacity summary'!$D$14="Yes",IF(COUNTBLANK('Capacity summary'!$H135:$BG135)&lt;52,IF('Capacity summary'!AO135&lt;&gt;"",IF(LOWER('Capacity summary'!AO135)="x",$BI16*AO16,VALUE('Capacity summary'!AO135)),0),AO16*$BI16),AO16*$BI16),0)</f>
        <v>0</v>
      </c>
      <c r="CS16" s="311">
        <f>IF($BI16&lt;&gt;"",IF('Capacity summary'!$D$14="Yes",IF(COUNTBLANK('Capacity summary'!$H135:$BG135)&lt;52,IF('Capacity summary'!AP135&lt;&gt;"",IF(LOWER('Capacity summary'!AP135)="x",$BI16*AP16,VALUE('Capacity summary'!AP135)),0),AP16*$BI16),AP16*$BI16),0)</f>
        <v>0</v>
      </c>
      <c r="CT16" s="311">
        <f>IF($BI16&lt;&gt;"",IF('Capacity summary'!$D$14="Yes",IF(COUNTBLANK('Capacity summary'!$H135:$BG135)&lt;52,IF('Capacity summary'!AQ135&lt;&gt;"",IF(LOWER('Capacity summary'!AQ135)="x",$BI16*AQ16,VALUE('Capacity summary'!AQ135)),0),AQ16*$BI16),AQ16*$BI16),0)</f>
        <v>0</v>
      </c>
      <c r="CU16" s="311">
        <f>IF($BI16&lt;&gt;"",IF('Capacity summary'!$D$14="Yes",IF(COUNTBLANK('Capacity summary'!$H135:$BG135)&lt;52,IF('Capacity summary'!AR135&lt;&gt;"",IF(LOWER('Capacity summary'!AR135)="x",$BI16*AR16,VALUE('Capacity summary'!AR135)),0),AR16*$BI16),AR16*$BI16),0)</f>
        <v>0</v>
      </c>
      <c r="CV16" s="311">
        <f>IF($BI16&lt;&gt;"",IF('Capacity summary'!$D$14="Yes",IF(COUNTBLANK('Capacity summary'!$H135:$BG135)&lt;52,IF('Capacity summary'!AS135&lt;&gt;"",IF(LOWER('Capacity summary'!AS135)="x",$BI16*AS16,VALUE('Capacity summary'!AS135)),0),AS16*$BI16),AS16*$BI16),0)</f>
        <v>0</v>
      </c>
      <c r="CW16" s="311">
        <f>IF($BI16&lt;&gt;"",IF('Capacity summary'!$D$14="Yes",IF(COUNTBLANK('Capacity summary'!$H135:$BG135)&lt;52,IF('Capacity summary'!AT135&lt;&gt;"",IF(LOWER('Capacity summary'!AT135)="x",$BI16*AT16,VALUE('Capacity summary'!AT135)),0),AT16*$BI16),AT16*$BI16),0)</f>
        <v>0</v>
      </c>
      <c r="CX16" s="311">
        <f>IF($BI16&lt;&gt;"",IF('Capacity summary'!$D$14="Yes",IF(COUNTBLANK('Capacity summary'!$H135:$BG135)&lt;52,IF('Capacity summary'!AU135&lt;&gt;"",IF(LOWER('Capacity summary'!AU135)="x",$BI16*AU16,VALUE('Capacity summary'!AU135)),0),AU16*$BI16),AU16*$BI16),0)</f>
        <v>0</v>
      </c>
      <c r="CY16" s="311">
        <f>IF($BI16&lt;&gt;"",IF('Capacity summary'!$D$14="Yes",IF(COUNTBLANK('Capacity summary'!$H135:$BG135)&lt;52,IF('Capacity summary'!AV135&lt;&gt;"",IF(LOWER('Capacity summary'!AV135)="x",$BI16*AV16,VALUE('Capacity summary'!AV135)),0),AV16*$BI16),AV16*$BI16),0)</f>
        <v>0</v>
      </c>
      <c r="CZ16" s="311">
        <f>IF($BI16&lt;&gt;"",IF('Capacity summary'!$D$14="Yes",IF(COUNTBLANK('Capacity summary'!$H135:$BG135)&lt;52,IF('Capacity summary'!AW135&lt;&gt;"",IF(LOWER('Capacity summary'!AW135)="x",$BI16*AW16,VALUE('Capacity summary'!AW135)),0),AW16*$BI16),AW16*$BI16),0)</f>
        <v>0</v>
      </c>
      <c r="DA16" s="311">
        <f>IF($BI16&lt;&gt;"",IF('Capacity summary'!$D$14="Yes",IF(COUNTBLANK('Capacity summary'!$H135:$BG135)&lt;52,IF('Capacity summary'!AX135&lt;&gt;"",IF(LOWER('Capacity summary'!AX135)="x",$BI16*AX16,VALUE('Capacity summary'!AX135)),0),AX16*$BI16),AX16*$BI16),0)</f>
        <v>0</v>
      </c>
      <c r="DB16" s="311">
        <f>IF($BI16&lt;&gt;"",IF('Capacity summary'!$D$14="Yes",IF(COUNTBLANK('Capacity summary'!$H135:$BG135)&lt;52,IF('Capacity summary'!AY135&lt;&gt;"",IF(LOWER('Capacity summary'!AY135)="x",$BI16*AY16,VALUE('Capacity summary'!AY135)),0),AY16*$BI16),AY16*$BI16),0)</f>
        <v>0</v>
      </c>
      <c r="DC16" s="311">
        <f>IF($BI16&lt;&gt;"",IF('Capacity summary'!$D$14="Yes",IF(COUNTBLANK('Capacity summary'!$H135:$BG135)&lt;52,IF('Capacity summary'!AZ135&lt;&gt;"",IF(LOWER('Capacity summary'!AZ135)="x",$BI16*AZ16,VALUE('Capacity summary'!AZ135)),0),AZ16*$BI16),AZ16*$BI16),0)</f>
        <v>0</v>
      </c>
      <c r="DD16" s="311">
        <f>IF($BI16&lt;&gt;"",IF('Capacity summary'!$D$14="Yes",IF(COUNTBLANK('Capacity summary'!$H135:$BG135)&lt;52,IF('Capacity summary'!BA135&lt;&gt;"",IF(LOWER('Capacity summary'!BA135)="x",$BI16*BA16,VALUE('Capacity summary'!BA135)),0),BA16*$BI16),BA16*$BI16),0)</f>
        <v>0</v>
      </c>
      <c r="DE16" s="311">
        <f>IF($BI16&lt;&gt;"",IF('Capacity summary'!$D$14="Yes",IF(COUNTBLANK('Capacity summary'!$H135:$BG135)&lt;52,IF('Capacity summary'!BB135&lt;&gt;"",IF(LOWER('Capacity summary'!BB135)="x",$BI16*BB16,VALUE('Capacity summary'!BB135)),0),BB16*$BI16),BB16*$BI16),0)</f>
        <v>0</v>
      </c>
      <c r="DF16" s="311">
        <f>IF($BI16&lt;&gt;"",IF('Capacity summary'!$D$14="Yes",IF(COUNTBLANK('Capacity summary'!$H135:$BG135)&lt;52,IF('Capacity summary'!BC135&lt;&gt;"",IF(LOWER('Capacity summary'!BC135)="x",$BI16*BC16,VALUE('Capacity summary'!BC135)),0),BC16*$BI16),BC16*$BI16),0)</f>
        <v>0</v>
      </c>
      <c r="DG16" s="311">
        <f>IF($BI16&lt;&gt;"",IF('Capacity summary'!$D$14="Yes",IF(COUNTBLANK('Capacity summary'!$H135:$BG135)&lt;52,IF('Capacity summary'!BD135&lt;&gt;"",IF(LOWER('Capacity summary'!BD135)="x",$BI16*BD16,VALUE('Capacity summary'!BD135)),0),BD16*$BI16),BD16*$BI16),0)</f>
        <v>0</v>
      </c>
      <c r="DH16" s="311">
        <f>IF($BI16&lt;&gt;"",IF('Capacity summary'!$D$14="Yes",IF(COUNTBLANK('Capacity summary'!$H135:$BG135)&lt;52,IF('Capacity summary'!BE135&lt;&gt;"",IF(LOWER('Capacity summary'!BE135)="x",$BI16*BE16,VALUE('Capacity summary'!BE135)),0),BE16*$BI16),BE16*$BI16),0)</f>
        <v>0</v>
      </c>
      <c r="DI16" s="311">
        <f>IF($BI16&lt;&gt;"",IF('Capacity summary'!$D$14="Yes",IF(COUNTBLANK('Capacity summary'!$H135:$BG135)&lt;52,IF('Capacity summary'!BF135&lt;&gt;"",IF(LOWER('Capacity summary'!BF135)="x",$BI16*BF16,VALUE('Capacity summary'!BF135)),0),BF16*$BI16),BF16*$BI16),0)</f>
        <v>0</v>
      </c>
      <c r="DJ16" s="311">
        <f>IF($BI16&lt;&gt;"",IF('Capacity summary'!$D$14="Yes",IF(COUNTBLANK('Capacity summary'!$H135:$BG135)&lt;52,IF('Capacity summary'!BG135&lt;&gt;"",IF(LOWER('Capacity summary'!BG135)="x",$BI16*BG16,VALUE('Capacity summary'!BG135)),0),BG16*$BI16),BG16*$BI16),0)</f>
        <v>0</v>
      </c>
      <c r="DK16" s="391">
        <f t="shared" si="2"/>
        <v>0</v>
      </c>
      <c r="DL16" s="136">
        <f t="shared" si="3"/>
        <v>0</v>
      </c>
      <c r="DM16" s="311" t="str">
        <f>Capacity!H28</f>
        <v/>
      </c>
      <c r="DQ16" s="5"/>
    </row>
    <row r="17" spans="1:121" x14ac:dyDescent="0.2">
      <c r="A17" s="67">
        <f>IF(Capacity!L29='Capacity summary'!BI136,1,0)</f>
        <v>1</v>
      </c>
      <c r="B17" s="67">
        <f>IF(Capacity!V29='Capacity summary'!BI36,1,0)</f>
        <v>1</v>
      </c>
      <c r="C17" s="67" t="str">
        <f>ROW(A13)&amp;". "&amp;Capacity!B29</f>
        <v xml:space="preserve">13. </v>
      </c>
      <c r="D17" s="67">
        <f>'Capacity setup'!C24</f>
        <v>0</v>
      </c>
      <c r="E17" s="67">
        <f>'Capacity setup'!D24</f>
        <v>0</v>
      </c>
      <c r="F17" s="67">
        <f>'Capacity setup'!E24</f>
        <v>0</v>
      </c>
      <c r="H17" s="67">
        <f ca="1">IF(LOWER(Capacity!$L29)="x",IF(AND(SUMIF(Capacity_Resource,$D17,'Critical resources (hide)'!U$6:U$105)+SUMIF(Capacity_Resource,$E17,'Critical resources (hide)'!U$6:U$105)+SUMIF(Capacity_Resource,$F17,'Critical resources (hide)'!U$6:U$105)&gt;0,$E$1=2),0,1),0)</f>
        <v>1</v>
      </c>
      <c r="I17" s="67">
        <f ca="1">IF(LOWER(Capacity!$L29)="x",IF(AND(SUMIF(Capacity_Resource,$D17,'Critical resources (hide)'!V$6:V$105)+SUMIF(Capacity_Resource,$E17,'Critical resources (hide)'!V$6:V$105)+SUMIF(Capacity_Resource,$F17,'Critical resources (hide)'!V$6:V$105)&gt;0,$E$1=2),0,1),0)</f>
        <v>1</v>
      </c>
      <c r="J17" s="67">
        <f ca="1">IF(LOWER(Capacity!$L29)="x",IF(AND(SUMIF(Capacity_Resource,$D17,'Critical resources (hide)'!W$6:W$105)+SUMIF(Capacity_Resource,$E17,'Critical resources (hide)'!W$6:W$105)+SUMIF(Capacity_Resource,$F17,'Critical resources (hide)'!W$6:W$105)&gt;0,$E$1=2),0,1),0)</f>
        <v>1</v>
      </c>
      <c r="K17" s="67">
        <f ca="1">IF(LOWER(Capacity!$L29)="x",IF(AND(SUMIF(Capacity_Resource,$D17,'Critical resources (hide)'!X$6:X$105)+SUMIF(Capacity_Resource,$E17,'Critical resources (hide)'!X$6:X$105)+SUMIF(Capacity_Resource,$F17,'Critical resources (hide)'!X$6:X$105)&gt;0,$E$1=2),0,1),0)</f>
        <v>1</v>
      </c>
      <c r="L17" s="67">
        <f ca="1">IF(LOWER(Capacity!$L29)="x",IF(AND(SUMIF(Capacity_Resource,$D17,'Critical resources (hide)'!Y$6:Y$105)+SUMIF(Capacity_Resource,$E17,'Critical resources (hide)'!Y$6:Y$105)+SUMIF(Capacity_Resource,$F17,'Critical resources (hide)'!Y$6:Y$105)&gt;0,$E$1=2),0,1),0)</f>
        <v>1</v>
      </c>
      <c r="M17" s="67">
        <f ca="1">IF(LOWER(Capacity!$L29)="x",IF(AND(SUMIF(Capacity_Resource,$D17,'Critical resources (hide)'!Z$6:Z$105)+SUMIF(Capacity_Resource,$E17,'Critical resources (hide)'!Z$6:Z$105)+SUMIF(Capacity_Resource,$F17,'Critical resources (hide)'!Z$6:Z$105)&gt;0,$E$1=2),0,1),0)</f>
        <v>1</v>
      </c>
      <c r="N17" s="67">
        <f ca="1">IF(LOWER(Capacity!$L29)="x",IF(AND(SUMIF(Capacity_Resource,$D17,'Critical resources (hide)'!AA$6:AA$105)+SUMIF(Capacity_Resource,$E17,'Critical resources (hide)'!AA$6:AA$105)+SUMIF(Capacity_Resource,$F17,'Critical resources (hide)'!AA$6:AA$105)&gt;0,$E$1=2),0,1),0)</f>
        <v>1</v>
      </c>
      <c r="O17" s="67">
        <f ca="1">IF(LOWER(Capacity!$L29)="x",IF(AND(SUMIF(Capacity_Resource,$D17,'Critical resources (hide)'!AB$6:AB$105)+SUMIF(Capacity_Resource,$E17,'Critical resources (hide)'!AB$6:AB$105)+SUMIF(Capacity_Resource,$F17,'Critical resources (hide)'!AB$6:AB$105)&gt;0,$E$1=2),0,1),0)</f>
        <v>1</v>
      </c>
      <c r="P17" s="67">
        <f ca="1">IF(LOWER(Capacity!$L29)="x",IF(AND(SUMIF(Capacity_Resource,$D17,'Critical resources (hide)'!AC$6:AC$105)+SUMIF(Capacity_Resource,$E17,'Critical resources (hide)'!AC$6:AC$105)+SUMIF(Capacity_Resource,$F17,'Critical resources (hide)'!AC$6:AC$105)&gt;0,$E$1=2),0,1),0)</f>
        <v>1</v>
      </c>
      <c r="Q17" s="67">
        <f ca="1">IF(LOWER(Capacity!$L29)="x",IF(AND(SUMIF(Capacity_Resource,$D17,'Critical resources (hide)'!AD$6:AD$105)+SUMIF(Capacity_Resource,$E17,'Critical resources (hide)'!AD$6:AD$105)+SUMIF(Capacity_Resource,$F17,'Critical resources (hide)'!AD$6:AD$105)&gt;0,$E$1=2),0,1),0)</f>
        <v>1</v>
      </c>
      <c r="R17" s="67">
        <f ca="1">IF(LOWER(Capacity!$L29)="x",IF(AND(SUMIF(Capacity_Resource,$D17,'Critical resources (hide)'!AE$6:AE$105)+SUMIF(Capacity_Resource,$E17,'Critical resources (hide)'!AE$6:AE$105)+SUMIF(Capacity_Resource,$F17,'Critical resources (hide)'!AE$6:AE$105)&gt;0,$E$1=2),0,1),0)</f>
        <v>1</v>
      </c>
      <c r="S17" s="67">
        <f ca="1">IF(LOWER(Capacity!$L29)="x",IF(AND(SUMIF(Capacity_Resource,$D17,'Critical resources (hide)'!AF$6:AF$105)+SUMIF(Capacity_Resource,$E17,'Critical resources (hide)'!AF$6:AF$105)+SUMIF(Capacity_Resource,$F17,'Critical resources (hide)'!AF$6:AF$105)&gt;0,$E$1=2),0,1),0)</f>
        <v>1</v>
      </c>
      <c r="T17" s="67">
        <f ca="1">IF(LOWER(Capacity!$L29)="x",IF(AND(SUMIF(Capacity_Resource,$D17,'Critical resources (hide)'!AG$6:AG$105)+SUMIF(Capacity_Resource,$E17,'Critical resources (hide)'!AG$6:AG$105)+SUMIF(Capacity_Resource,$F17,'Critical resources (hide)'!AG$6:AG$105)&gt;0,$E$1=2),0,1),0)</f>
        <v>1</v>
      </c>
      <c r="U17" s="67">
        <f ca="1">IF(LOWER(Capacity!$L29)="x",IF(AND(SUMIF(Capacity_Resource,$D17,'Critical resources (hide)'!AH$6:AH$105)+SUMIF(Capacity_Resource,$E17,'Critical resources (hide)'!AH$6:AH$105)+SUMIF(Capacity_Resource,$F17,'Critical resources (hide)'!AH$6:AH$105)&gt;0,$E$1=2),0,1),0)</f>
        <v>1</v>
      </c>
      <c r="V17" s="67">
        <f ca="1">IF(LOWER(Capacity!$L29)="x",IF(AND(SUMIF(Capacity_Resource,$D17,'Critical resources (hide)'!AI$6:AI$105)+SUMIF(Capacity_Resource,$E17,'Critical resources (hide)'!AI$6:AI$105)+SUMIF(Capacity_Resource,$F17,'Critical resources (hide)'!AI$6:AI$105)&gt;0,$E$1=2),0,1),0)</f>
        <v>1</v>
      </c>
      <c r="W17" s="67">
        <f ca="1">IF(LOWER(Capacity!$L29)="x",IF(AND(SUMIF(Capacity_Resource,$D17,'Critical resources (hide)'!AJ$6:AJ$105)+SUMIF(Capacity_Resource,$E17,'Critical resources (hide)'!AJ$6:AJ$105)+SUMIF(Capacity_Resource,$F17,'Critical resources (hide)'!AJ$6:AJ$105)&gt;0,$E$1=2),0,1),0)</f>
        <v>1</v>
      </c>
      <c r="X17" s="67">
        <f ca="1">IF(LOWER(Capacity!$L29)="x",IF(AND(SUMIF(Capacity_Resource,$D17,'Critical resources (hide)'!AK$6:AK$105)+SUMIF(Capacity_Resource,$E17,'Critical resources (hide)'!AK$6:AK$105)+SUMIF(Capacity_Resource,$F17,'Critical resources (hide)'!AK$6:AK$105)&gt;0,$E$1=2),0,1),0)</f>
        <v>1</v>
      </c>
      <c r="Y17" s="67">
        <f ca="1">IF(LOWER(Capacity!$L29)="x",IF(AND(SUMIF(Capacity_Resource,$D17,'Critical resources (hide)'!AL$6:AL$105)+SUMIF(Capacity_Resource,$E17,'Critical resources (hide)'!AL$6:AL$105)+SUMIF(Capacity_Resource,$F17,'Critical resources (hide)'!AL$6:AL$105)&gt;0,$E$1=2),0,1),0)</f>
        <v>1</v>
      </c>
      <c r="Z17" s="67">
        <f ca="1">IF(LOWER(Capacity!$L29)="x",IF(AND(SUMIF(Capacity_Resource,$D17,'Critical resources (hide)'!AM$6:AM$105)+SUMIF(Capacity_Resource,$E17,'Critical resources (hide)'!AM$6:AM$105)+SUMIF(Capacity_Resource,$F17,'Critical resources (hide)'!AM$6:AM$105)&gt;0,$E$1=2),0,1),0)</f>
        <v>1</v>
      </c>
      <c r="AA17" s="67">
        <f ca="1">IF(LOWER(Capacity!$L29)="x",IF(AND(SUMIF(Capacity_Resource,$D17,'Critical resources (hide)'!AN$6:AN$105)+SUMIF(Capacity_Resource,$E17,'Critical resources (hide)'!AN$6:AN$105)+SUMIF(Capacity_Resource,$F17,'Critical resources (hide)'!AN$6:AN$105)&gt;0,$E$1=2),0,1),0)</f>
        <v>1</v>
      </c>
      <c r="AB17" s="67">
        <f ca="1">IF(LOWER(Capacity!$L29)="x",IF(AND(SUMIF(Capacity_Resource,$D17,'Critical resources (hide)'!AO$6:AO$105)+SUMIF(Capacity_Resource,$E17,'Critical resources (hide)'!AO$6:AO$105)+SUMIF(Capacity_Resource,$F17,'Critical resources (hide)'!AO$6:AO$105)&gt;0,$E$1=2),0,1),0)</f>
        <v>1</v>
      </c>
      <c r="AC17" s="67">
        <f ca="1">IF(LOWER(Capacity!$L29)="x",IF(AND(SUMIF(Capacity_Resource,$D17,'Critical resources (hide)'!AP$6:AP$105)+SUMIF(Capacity_Resource,$E17,'Critical resources (hide)'!AP$6:AP$105)+SUMIF(Capacity_Resource,$F17,'Critical resources (hide)'!AP$6:AP$105)&gt;0,$E$1=2),0,1),0)</f>
        <v>1</v>
      </c>
      <c r="AD17" s="67">
        <f ca="1">IF(LOWER(Capacity!$L29)="x",IF(AND(SUMIF(Capacity_Resource,$D17,'Critical resources (hide)'!AQ$6:AQ$105)+SUMIF(Capacity_Resource,$E17,'Critical resources (hide)'!AQ$6:AQ$105)+SUMIF(Capacity_Resource,$F17,'Critical resources (hide)'!AQ$6:AQ$105)&gt;0,$E$1=2),0,1),0)</f>
        <v>1</v>
      </c>
      <c r="AE17" s="67">
        <f ca="1">IF(LOWER(Capacity!$L29)="x",IF(AND(SUMIF(Capacity_Resource,$D17,'Critical resources (hide)'!AR$6:AR$105)+SUMIF(Capacity_Resource,$E17,'Critical resources (hide)'!AR$6:AR$105)+SUMIF(Capacity_Resource,$F17,'Critical resources (hide)'!AR$6:AR$105)&gt;0,$E$1=2),0,1),0)</f>
        <v>1</v>
      </c>
      <c r="AF17" s="67">
        <f ca="1">IF(LOWER(Capacity!$L29)="x",IF(AND(SUMIF(Capacity_Resource,$D17,'Critical resources (hide)'!AS$6:AS$105)+SUMIF(Capacity_Resource,$E17,'Critical resources (hide)'!AS$6:AS$105)+SUMIF(Capacity_Resource,$F17,'Critical resources (hide)'!AS$6:AS$105)&gt;0,$E$1=2),0,1),0)</f>
        <v>1</v>
      </c>
      <c r="AG17" s="67">
        <f ca="1">IF(LOWER(Capacity!$L29)="x",IF(AND(SUMIF(Capacity_Resource,$D17,'Critical resources (hide)'!AT$6:AT$105)+SUMIF(Capacity_Resource,$E17,'Critical resources (hide)'!AT$6:AT$105)+SUMIF(Capacity_Resource,$F17,'Critical resources (hide)'!AT$6:AT$105)&gt;0,$E$1=2),0,1),0)</f>
        <v>1</v>
      </c>
      <c r="AH17" s="67">
        <f ca="1">IF(LOWER(Capacity!$L29)="x",IF(AND(SUMIF(Capacity_Resource,$D17,'Critical resources (hide)'!AU$6:AU$105)+SUMIF(Capacity_Resource,$E17,'Critical resources (hide)'!AU$6:AU$105)+SUMIF(Capacity_Resource,$F17,'Critical resources (hide)'!AU$6:AU$105)&gt;0,$E$1=2),0,1),0)</f>
        <v>1</v>
      </c>
      <c r="AI17" s="67">
        <f ca="1">IF(LOWER(Capacity!$L29)="x",IF(AND(SUMIF(Capacity_Resource,$D17,'Critical resources (hide)'!AV$6:AV$105)+SUMIF(Capacity_Resource,$E17,'Critical resources (hide)'!AV$6:AV$105)+SUMIF(Capacity_Resource,$F17,'Critical resources (hide)'!AV$6:AV$105)&gt;0,$E$1=2),0,1),0)</f>
        <v>1</v>
      </c>
      <c r="AJ17" s="67">
        <f ca="1">IF(LOWER(Capacity!$L29)="x",IF(AND(SUMIF(Capacity_Resource,$D17,'Critical resources (hide)'!AW$6:AW$105)+SUMIF(Capacity_Resource,$E17,'Critical resources (hide)'!AW$6:AW$105)+SUMIF(Capacity_Resource,$F17,'Critical resources (hide)'!AW$6:AW$105)&gt;0,$E$1=2),0,1),0)</f>
        <v>1</v>
      </c>
      <c r="AK17" s="67">
        <f ca="1">IF(LOWER(Capacity!$L29)="x",IF(AND(SUMIF(Capacity_Resource,$D17,'Critical resources (hide)'!AX$6:AX$105)+SUMIF(Capacity_Resource,$E17,'Critical resources (hide)'!AX$6:AX$105)+SUMIF(Capacity_Resource,$F17,'Critical resources (hide)'!AX$6:AX$105)&gt;0,$E$1=2),0,1),0)</f>
        <v>1</v>
      </c>
      <c r="AL17" s="67">
        <f ca="1">IF(LOWER(Capacity!$L29)="x",IF(AND(SUMIF(Capacity_Resource,$D17,'Critical resources (hide)'!AY$6:AY$105)+SUMIF(Capacity_Resource,$E17,'Critical resources (hide)'!AY$6:AY$105)+SUMIF(Capacity_Resource,$F17,'Critical resources (hide)'!AY$6:AY$105)&gt;0,$E$1=2),0,1),0)</f>
        <v>1</v>
      </c>
      <c r="AM17" s="67">
        <f ca="1">IF(LOWER(Capacity!$L29)="x",IF(AND(SUMIF(Capacity_Resource,$D17,'Critical resources (hide)'!AZ$6:AZ$105)+SUMIF(Capacity_Resource,$E17,'Critical resources (hide)'!AZ$6:AZ$105)+SUMIF(Capacity_Resource,$F17,'Critical resources (hide)'!AZ$6:AZ$105)&gt;0,$E$1=2),0,1),0)</f>
        <v>1</v>
      </c>
      <c r="AN17" s="67">
        <f ca="1">IF(LOWER(Capacity!$L29)="x",IF(AND(SUMIF(Capacity_Resource,$D17,'Critical resources (hide)'!BA$6:BA$105)+SUMIF(Capacity_Resource,$E17,'Critical resources (hide)'!BA$6:BA$105)+SUMIF(Capacity_Resource,$F17,'Critical resources (hide)'!BA$6:BA$105)&gt;0,$E$1=2),0,1),0)</f>
        <v>1</v>
      </c>
      <c r="AO17" s="67">
        <f ca="1">IF(LOWER(Capacity!$L29)="x",IF(AND(SUMIF(Capacity_Resource,$D17,'Critical resources (hide)'!BB$6:BB$105)+SUMIF(Capacity_Resource,$E17,'Critical resources (hide)'!BB$6:BB$105)+SUMIF(Capacity_Resource,$F17,'Critical resources (hide)'!BB$6:BB$105)&gt;0,$E$1=2),0,1),0)</f>
        <v>1</v>
      </c>
      <c r="AP17" s="67">
        <f ca="1">IF(LOWER(Capacity!$L29)="x",IF(AND(SUMIF(Capacity_Resource,$D17,'Critical resources (hide)'!BC$6:BC$105)+SUMIF(Capacity_Resource,$E17,'Critical resources (hide)'!BC$6:BC$105)+SUMIF(Capacity_Resource,$F17,'Critical resources (hide)'!BC$6:BC$105)&gt;0,$E$1=2),0,1),0)</f>
        <v>1</v>
      </c>
      <c r="AQ17" s="67">
        <f ca="1">IF(LOWER(Capacity!$L29)="x",IF(AND(SUMIF(Capacity_Resource,$D17,'Critical resources (hide)'!BD$6:BD$105)+SUMIF(Capacity_Resource,$E17,'Critical resources (hide)'!BD$6:BD$105)+SUMIF(Capacity_Resource,$F17,'Critical resources (hide)'!BD$6:BD$105)&gt;0,$E$1=2),0,1),0)</f>
        <v>1</v>
      </c>
      <c r="AR17" s="67">
        <f ca="1">IF(LOWER(Capacity!$L29)="x",IF(AND(SUMIF(Capacity_Resource,$D17,'Critical resources (hide)'!BE$6:BE$105)+SUMIF(Capacity_Resource,$E17,'Critical resources (hide)'!BE$6:BE$105)+SUMIF(Capacity_Resource,$F17,'Critical resources (hide)'!BE$6:BE$105)&gt;0,$E$1=2),0,1),0)</f>
        <v>1</v>
      </c>
      <c r="AS17" s="67">
        <f ca="1">IF(LOWER(Capacity!$L29)="x",IF(AND(SUMIF(Capacity_Resource,$D17,'Critical resources (hide)'!BF$6:BF$105)+SUMIF(Capacity_Resource,$E17,'Critical resources (hide)'!BF$6:BF$105)+SUMIF(Capacity_Resource,$F17,'Critical resources (hide)'!BF$6:BF$105)&gt;0,$E$1=2),0,1),0)</f>
        <v>1</v>
      </c>
      <c r="AT17" s="67">
        <f ca="1">IF(LOWER(Capacity!$L29)="x",IF(AND(SUMIF(Capacity_Resource,$D17,'Critical resources (hide)'!BG$6:BG$105)+SUMIF(Capacity_Resource,$E17,'Critical resources (hide)'!BG$6:BG$105)+SUMIF(Capacity_Resource,$F17,'Critical resources (hide)'!BG$6:BG$105)&gt;0,$E$1=2),0,1),0)</f>
        <v>1</v>
      </c>
      <c r="AU17" s="67">
        <f ca="1">IF(LOWER(Capacity!$L29)="x",IF(AND(SUMIF(Capacity_Resource,$D17,'Critical resources (hide)'!BH$6:BH$105)+SUMIF(Capacity_Resource,$E17,'Critical resources (hide)'!BH$6:BH$105)+SUMIF(Capacity_Resource,$F17,'Critical resources (hide)'!BH$6:BH$105)&gt;0,$E$1=2),0,1),0)</f>
        <v>1</v>
      </c>
      <c r="AV17" s="67">
        <f ca="1">IF(LOWER(Capacity!$L29)="x",IF(AND(SUMIF(Capacity_Resource,$D17,'Critical resources (hide)'!BI$6:BI$105)+SUMIF(Capacity_Resource,$E17,'Critical resources (hide)'!BI$6:BI$105)+SUMIF(Capacity_Resource,$F17,'Critical resources (hide)'!BI$6:BI$105)&gt;0,$E$1=2),0,1),0)</f>
        <v>1</v>
      </c>
      <c r="AW17" s="67">
        <f ca="1">IF(LOWER(Capacity!$L29)="x",IF(AND(SUMIF(Capacity_Resource,$D17,'Critical resources (hide)'!BJ$6:BJ$105)+SUMIF(Capacity_Resource,$E17,'Critical resources (hide)'!BJ$6:BJ$105)+SUMIF(Capacity_Resource,$F17,'Critical resources (hide)'!BJ$6:BJ$105)&gt;0,$E$1=2),0,1),0)</f>
        <v>1</v>
      </c>
      <c r="AX17" s="67">
        <f ca="1">IF(LOWER(Capacity!$L29)="x",IF(AND(SUMIF(Capacity_Resource,$D17,'Critical resources (hide)'!BK$6:BK$105)+SUMIF(Capacity_Resource,$E17,'Critical resources (hide)'!BK$6:BK$105)+SUMIF(Capacity_Resource,$F17,'Critical resources (hide)'!BK$6:BK$105)&gt;0,$E$1=2),0,1),0)</f>
        <v>1</v>
      </c>
      <c r="AY17" s="67">
        <f ca="1">IF(LOWER(Capacity!$L29)="x",IF(AND(SUMIF(Capacity_Resource,$D17,'Critical resources (hide)'!BL$6:BL$105)+SUMIF(Capacity_Resource,$E17,'Critical resources (hide)'!BL$6:BL$105)+SUMIF(Capacity_Resource,$F17,'Critical resources (hide)'!BL$6:BL$105)&gt;0,$E$1=2),0,1),0)</f>
        <v>1</v>
      </c>
      <c r="AZ17" s="67">
        <f ca="1">IF(LOWER(Capacity!$L29)="x",IF(AND(SUMIF(Capacity_Resource,$D17,'Critical resources (hide)'!BM$6:BM$105)+SUMIF(Capacity_Resource,$E17,'Critical resources (hide)'!BM$6:BM$105)+SUMIF(Capacity_Resource,$F17,'Critical resources (hide)'!BM$6:BM$105)&gt;0,$E$1=2),0,1),0)</f>
        <v>1</v>
      </c>
      <c r="BA17" s="67">
        <f ca="1">IF(LOWER(Capacity!$L29)="x",IF(AND(SUMIF(Capacity_Resource,$D17,'Critical resources (hide)'!BN$6:BN$105)+SUMIF(Capacity_Resource,$E17,'Critical resources (hide)'!BN$6:BN$105)+SUMIF(Capacity_Resource,$F17,'Critical resources (hide)'!BN$6:BN$105)&gt;0,$E$1=2),0,1),0)</f>
        <v>1</v>
      </c>
      <c r="BB17" s="67">
        <f ca="1">IF(LOWER(Capacity!$L29)="x",IF(AND(SUMIF(Capacity_Resource,$D17,'Critical resources (hide)'!BO$6:BO$105)+SUMIF(Capacity_Resource,$E17,'Critical resources (hide)'!BO$6:BO$105)+SUMIF(Capacity_Resource,$F17,'Critical resources (hide)'!BO$6:BO$105)&gt;0,$E$1=2),0,1),0)</f>
        <v>1</v>
      </c>
      <c r="BC17" s="67">
        <f ca="1">IF(LOWER(Capacity!$L29)="x",IF(AND(SUMIF(Capacity_Resource,$D17,'Critical resources (hide)'!BP$6:BP$105)+SUMIF(Capacity_Resource,$E17,'Critical resources (hide)'!BP$6:BP$105)+SUMIF(Capacity_Resource,$F17,'Critical resources (hide)'!BP$6:BP$105)&gt;0,$E$1=2),0,1),0)</f>
        <v>1</v>
      </c>
      <c r="BD17" s="67">
        <f ca="1">IF(LOWER(Capacity!$L29)="x",IF(AND(SUMIF(Capacity_Resource,$D17,'Critical resources (hide)'!BQ$6:BQ$105)+SUMIF(Capacity_Resource,$E17,'Critical resources (hide)'!BQ$6:BQ$105)+SUMIF(Capacity_Resource,$F17,'Critical resources (hide)'!BQ$6:BQ$105)&gt;0,$E$1=2),0,1),0)</f>
        <v>1</v>
      </c>
      <c r="BE17" s="67">
        <f ca="1">IF(LOWER(Capacity!$L29)="x",IF(AND(SUMIF(Capacity_Resource,$D17,'Critical resources (hide)'!BR$6:BR$105)+SUMIF(Capacity_Resource,$E17,'Critical resources (hide)'!BR$6:BR$105)+SUMIF(Capacity_Resource,$F17,'Critical resources (hide)'!BR$6:BR$105)&gt;0,$E$1=2),0,1),0)</f>
        <v>1</v>
      </c>
      <c r="BF17" s="67">
        <f ca="1">IF(LOWER(Capacity!$L29)="x",IF(AND(SUMIF(Capacity_Resource,$D17,'Critical resources (hide)'!BS$6:BS$105)+SUMIF(Capacity_Resource,$E17,'Critical resources (hide)'!BS$6:BS$105)+SUMIF(Capacity_Resource,$F17,'Critical resources (hide)'!BS$6:BS$105)&gt;0,$E$1=2),0,1),0)</f>
        <v>1</v>
      </c>
      <c r="BG17" s="67">
        <f ca="1">IF(LOWER(Capacity!$L29)="x",IF(AND(SUMIF(Capacity_Resource,$D17,'Critical resources (hide)'!BT$6:BT$105)+SUMIF(Capacity_Resource,$E17,'Critical resources (hide)'!BT$6:BT$105)+SUMIF(Capacity_Resource,$F17,'Critical resources (hide)'!BT$6:BT$105)&gt;0,$E$1=2),0,1),0)</f>
        <v>1</v>
      </c>
      <c r="BH17" s="67">
        <f>IF(ROW(C13)&lt;=Capacity!$A$16,IF('Capacity summary'!$D$14="No",SUM(H17:BG17),'Capacity summary'!$E136),0)</f>
        <v>0</v>
      </c>
      <c r="BI17" s="5" t="str">
        <f>IF(BH17&gt;0,IF(BH17&lt;Capacity!E29,Capacity!F29,Capacity!H29/'Capacity calculation (hide)'!BH17),"")</f>
        <v/>
      </c>
      <c r="BK17" s="311">
        <f>IF($BI17&lt;&gt;"",IF('Capacity summary'!$D$14="Yes",IF(COUNTBLANK('Capacity summary'!$H136:$BG136)&lt;52,IF('Capacity summary'!H136&lt;&gt;"",IF(LOWER('Capacity summary'!H136)="x",$BI17*H17,VALUE('Capacity summary'!H136)),0),H17*$BI17),H17*$BI17),0)</f>
        <v>0</v>
      </c>
      <c r="BL17" s="311">
        <f>IF($BI17&lt;&gt;"",IF('Capacity summary'!$D$14="Yes",IF(COUNTBLANK('Capacity summary'!$H136:$BG136)&lt;52,IF('Capacity summary'!I136&lt;&gt;"",IF(LOWER('Capacity summary'!I136)="x",$BI17*I17,VALUE('Capacity summary'!I136)),0),I17*$BI17),I17*$BI17),0)</f>
        <v>0</v>
      </c>
      <c r="BM17" s="311">
        <f>IF($BI17&lt;&gt;"",IF('Capacity summary'!$D$14="Yes",IF(COUNTBLANK('Capacity summary'!$H136:$BG136)&lt;52,IF('Capacity summary'!J136&lt;&gt;"",IF(LOWER('Capacity summary'!J136)="x",$BI17*J17,VALUE('Capacity summary'!J136)),0),J17*$BI17),J17*$BI17),0)</f>
        <v>0</v>
      </c>
      <c r="BN17" s="311">
        <f>IF($BI17&lt;&gt;"",IF('Capacity summary'!$D$14="Yes",IF(COUNTBLANK('Capacity summary'!$H136:$BG136)&lt;52,IF('Capacity summary'!K136&lt;&gt;"",IF(LOWER('Capacity summary'!K136)="x",$BI17*K17,VALUE('Capacity summary'!K136)),0),K17*$BI17),K17*$BI17),0)</f>
        <v>0</v>
      </c>
      <c r="BO17" s="311">
        <f>IF($BI17&lt;&gt;"",IF('Capacity summary'!$D$14="Yes",IF(COUNTBLANK('Capacity summary'!$H136:$BG136)&lt;52,IF('Capacity summary'!L136&lt;&gt;"",IF(LOWER('Capacity summary'!L136)="x",$BI17*L17,VALUE('Capacity summary'!L136)),0),L17*$BI17),L17*$BI17),0)</f>
        <v>0</v>
      </c>
      <c r="BP17" s="311">
        <f>IF($BI17&lt;&gt;"",IF('Capacity summary'!$D$14="Yes",IF(COUNTBLANK('Capacity summary'!$H136:$BG136)&lt;52,IF('Capacity summary'!M136&lt;&gt;"",IF(LOWER('Capacity summary'!M136)="x",$BI17*M17,VALUE('Capacity summary'!M136)),0),M17*$BI17),M17*$BI17),0)</f>
        <v>0</v>
      </c>
      <c r="BQ17" s="311">
        <f>IF($BI17&lt;&gt;"",IF('Capacity summary'!$D$14="Yes",IF(COUNTBLANK('Capacity summary'!$H136:$BG136)&lt;52,IF('Capacity summary'!N136&lt;&gt;"",IF(LOWER('Capacity summary'!N136)="x",$BI17*N17,VALUE('Capacity summary'!N136)),0),N17*$BI17),N17*$BI17),0)</f>
        <v>0</v>
      </c>
      <c r="BR17" s="311">
        <f>IF($BI17&lt;&gt;"",IF('Capacity summary'!$D$14="Yes",IF(COUNTBLANK('Capacity summary'!$H136:$BG136)&lt;52,IF('Capacity summary'!O136&lt;&gt;"",IF(LOWER('Capacity summary'!O136)="x",$BI17*O17,VALUE('Capacity summary'!O136)),0),O17*$BI17),O17*$BI17),0)</f>
        <v>0</v>
      </c>
      <c r="BS17" s="311">
        <f>IF($BI17&lt;&gt;"",IF('Capacity summary'!$D$14="Yes",IF(COUNTBLANK('Capacity summary'!$H136:$BG136)&lt;52,IF('Capacity summary'!P136&lt;&gt;"",IF(LOWER('Capacity summary'!P136)="x",$BI17*P17,VALUE('Capacity summary'!P136)),0),P17*$BI17),P17*$BI17),0)</f>
        <v>0</v>
      </c>
      <c r="BT17" s="311">
        <f>IF($BI17&lt;&gt;"",IF('Capacity summary'!$D$14="Yes",IF(COUNTBLANK('Capacity summary'!$H136:$BG136)&lt;52,IF('Capacity summary'!Q136&lt;&gt;"",IF(LOWER('Capacity summary'!Q136)="x",$BI17*Q17,VALUE('Capacity summary'!Q136)),0),Q17*$BI17),Q17*$BI17),0)</f>
        <v>0</v>
      </c>
      <c r="BU17" s="311">
        <f>IF($BI17&lt;&gt;"",IF('Capacity summary'!$D$14="Yes",IF(COUNTBLANK('Capacity summary'!$H136:$BG136)&lt;52,IF('Capacity summary'!R136&lt;&gt;"",IF(LOWER('Capacity summary'!R136)="x",$BI17*R17,VALUE('Capacity summary'!R136)),0),R17*$BI17),R17*$BI17),0)</f>
        <v>0</v>
      </c>
      <c r="BV17" s="311">
        <f>IF($BI17&lt;&gt;"",IF('Capacity summary'!$D$14="Yes",IF(COUNTBLANK('Capacity summary'!$H136:$BG136)&lt;52,IF('Capacity summary'!S136&lt;&gt;"",IF(LOWER('Capacity summary'!S136)="x",$BI17*S17,VALUE('Capacity summary'!S136)),0),S17*$BI17),S17*$BI17),0)</f>
        <v>0</v>
      </c>
      <c r="BW17" s="311">
        <f>IF($BI17&lt;&gt;"",IF('Capacity summary'!$D$14="Yes",IF(COUNTBLANK('Capacity summary'!$H136:$BG136)&lt;52,IF('Capacity summary'!T136&lt;&gt;"",IF(LOWER('Capacity summary'!T136)="x",$BI17*T17,VALUE('Capacity summary'!T136)),0),T17*$BI17),T17*$BI17),0)</f>
        <v>0</v>
      </c>
      <c r="BX17" s="311">
        <f>IF($BI17&lt;&gt;"",IF('Capacity summary'!$D$14="Yes",IF(COUNTBLANK('Capacity summary'!$H136:$BG136)&lt;52,IF('Capacity summary'!U136&lt;&gt;"",IF(LOWER('Capacity summary'!U136)="x",$BI17*U17,VALUE('Capacity summary'!U136)),0),U17*$BI17),U17*$BI17),0)</f>
        <v>0</v>
      </c>
      <c r="BY17" s="311">
        <f>IF($BI17&lt;&gt;"",IF('Capacity summary'!$D$14="Yes",IF(COUNTBLANK('Capacity summary'!$H136:$BG136)&lt;52,IF('Capacity summary'!V136&lt;&gt;"",IF(LOWER('Capacity summary'!V136)="x",$BI17*V17,VALUE('Capacity summary'!V136)),0),V17*$BI17),V17*$BI17),0)</f>
        <v>0</v>
      </c>
      <c r="BZ17" s="311">
        <f>IF($BI17&lt;&gt;"",IF('Capacity summary'!$D$14="Yes",IF(COUNTBLANK('Capacity summary'!$H136:$BG136)&lt;52,IF('Capacity summary'!W136&lt;&gt;"",IF(LOWER('Capacity summary'!W136)="x",$BI17*W17,VALUE('Capacity summary'!W136)),0),W17*$BI17),W17*$BI17),0)</f>
        <v>0</v>
      </c>
      <c r="CA17" s="311">
        <f>IF($BI17&lt;&gt;"",IF('Capacity summary'!$D$14="Yes",IF(COUNTBLANK('Capacity summary'!$H136:$BG136)&lt;52,IF('Capacity summary'!X136&lt;&gt;"",IF(LOWER('Capacity summary'!X136)="x",$BI17*X17,VALUE('Capacity summary'!X136)),0),X17*$BI17),X17*$BI17),0)</f>
        <v>0</v>
      </c>
      <c r="CB17" s="311">
        <f>IF($BI17&lt;&gt;"",IF('Capacity summary'!$D$14="Yes",IF(COUNTBLANK('Capacity summary'!$H136:$BG136)&lt;52,IF('Capacity summary'!Y136&lt;&gt;"",IF(LOWER('Capacity summary'!Y136)="x",$BI17*Y17,VALUE('Capacity summary'!Y136)),0),Y17*$BI17),Y17*$BI17),0)</f>
        <v>0</v>
      </c>
      <c r="CC17" s="311">
        <f>IF($BI17&lt;&gt;"",IF('Capacity summary'!$D$14="Yes",IF(COUNTBLANK('Capacity summary'!$H136:$BG136)&lt;52,IF('Capacity summary'!Z136&lt;&gt;"",IF(LOWER('Capacity summary'!Z136)="x",$BI17*Z17,VALUE('Capacity summary'!Z136)),0),Z17*$BI17),Z17*$BI17),0)</f>
        <v>0</v>
      </c>
      <c r="CD17" s="311">
        <f>IF($BI17&lt;&gt;"",IF('Capacity summary'!$D$14="Yes",IF(COUNTBLANK('Capacity summary'!$H136:$BG136)&lt;52,IF('Capacity summary'!AA136&lt;&gt;"",IF(LOWER('Capacity summary'!AA136)="x",$BI17*AA17,VALUE('Capacity summary'!AA136)),0),AA17*$BI17),AA17*$BI17),0)</f>
        <v>0</v>
      </c>
      <c r="CE17" s="311">
        <f>IF($BI17&lt;&gt;"",IF('Capacity summary'!$D$14="Yes",IF(COUNTBLANK('Capacity summary'!$H136:$BG136)&lt;52,IF('Capacity summary'!AB136&lt;&gt;"",IF(LOWER('Capacity summary'!AB136)="x",$BI17*AB17,VALUE('Capacity summary'!AB136)),0),AB17*$BI17),AB17*$BI17),0)</f>
        <v>0</v>
      </c>
      <c r="CF17" s="311">
        <f>IF($BI17&lt;&gt;"",IF('Capacity summary'!$D$14="Yes",IF(COUNTBLANK('Capacity summary'!$H136:$BG136)&lt;52,IF('Capacity summary'!AC136&lt;&gt;"",IF(LOWER('Capacity summary'!AC136)="x",$BI17*AC17,VALUE('Capacity summary'!AC136)),0),AC17*$BI17),AC17*$BI17),0)</f>
        <v>0</v>
      </c>
      <c r="CG17" s="311">
        <f>IF($BI17&lt;&gt;"",IF('Capacity summary'!$D$14="Yes",IF(COUNTBLANK('Capacity summary'!$H136:$BG136)&lt;52,IF('Capacity summary'!AD136&lt;&gt;"",IF(LOWER('Capacity summary'!AD136)="x",$BI17*AD17,VALUE('Capacity summary'!AD136)),0),AD17*$BI17),AD17*$BI17),0)</f>
        <v>0</v>
      </c>
      <c r="CH17" s="311">
        <f>IF($BI17&lt;&gt;"",IF('Capacity summary'!$D$14="Yes",IF(COUNTBLANK('Capacity summary'!$H136:$BG136)&lt;52,IF('Capacity summary'!AE136&lt;&gt;"",IF(LOWER('Capacity summary'!AE136)="x",$BI17*AE17,VALUE('Capacity summary'!AE136)),0),AE17*$BI17),AE17*$BI17),0)</f>
        <v>0</v>
      </c>
      <c r="CI17" s="311">
        <f>IF($BI17&lt;&gt;"",IF('Capacity summary'!$D$14="Yes",IF(COUNTBLANK('Capacity summary'!$H136:$BG136)&lt;52,IF('Capacity summary'!AF136&lt;&gt;"",IF(LOWER('Capacity summary'!AF136)="x",$BI17*AF17,VALUE('Capacity summary'!AF136)),0),AF17*$BI17),AF17*$BI17),0)</f>
        <v>0</v>
      </c>
      <c r="CJ17" s="311">
        <f>IF($BI17&lt;&gt;"",IF('Capacity summary'!$D$14="Yes",IF(COUNTBLANK('Capacity summary'!$H136:$BG136)&lt;52,IF('Capacity summary'!AG136&lt;&gt;"",IF(LOWER('Capacity summary'!AG136)="x",$BI17*AG17,VALUE('Capacity summary'!AG136)),0),AG17*$BI17),AG17*$BI17),0)</f>
        <v>0</v>
      </c>
      <c r="CK17" s="311">
        <f>IF($BI17&lt;&gt;"",IF('Capacity summary'!$D$14="Yes",IF(COUNTBLANK('Capacity summary'!$H136:$BG136)&lt;52,IF('Capacity summary'!AH136&lt;&gt;"",IF(LOWER('Capacity summary'!AH136)="x",$BI17*AH17,VALUE('Capacity summary'!AH136)),0),AH17*$BI17),AH17*$BI17),0)</f>
        <v>0</v>
      </c>
      <c r="CL17" s="311">
        <f>IF($BI17&lt;&gt;"",IF('Capacity summary'!$D$14="Yes",IF(COUNTBLANK('Capacity summary'!$H136:$BG136)&lt;52,IF('Capacity summary'!AI136&lt;&gt;"",IF(LOWER('Capacity summary'!AI136)="x",$BI17*AI17,VALUE('Capacity summary'!AI136)),0),AI17*$BI17),AI17*$BI17),0)</f>
        <v>0</v>
      </c>
      <c r="CM17" s="311">
        <f>IF($BI17&lt;&gt;"",IF('Capacity summary'!$D$14="Yes",IF(COUNTBLANK('Capacity summary'!$H136:$BG136)&lt;52,IF('Capacity summary'!AJ136&lt;&gt;"",IF(LOWER('Capacity summary'!AJ136)="x",$BI17*AJ17,VALUE('Capacity summary'!AJ136)),0),AJ17*$BI17),AJ17*$BI17),0)</f>
        <v>0</v>
      </c>
      <c r="CN17" s="311">
        <f>IF($BI17&lt;&gt;"",IF('Capacity summary'!$D$14="Yes",IF(COUNTBLANK('Capacity summary'!$H136:$BG136)&lt;52,IF('Capacity summary'!AK136&lt;&gt;"",IF(LOWER('Capacity summary'!AK136)="x",$BI17*AK17,VALUE('Capacity summary'!AK136)),0),AK17*$BI17),AK17*$BI17),0)</f>
        <v>0</v>
      </c>
      <c r="CO17" s="311">
        <f>IF($BI17&lt;&gt;"",IF('Capacity summary'!$D$14="Yes",IF(COUNTBLANK('Capacity summary'!$H136:$BG136)&lt;52,IF('Capacity summary'!AL136&lt;&gt;"",IF(LOWER('Capacity summary'!AL136)="x",$BI17*AL17,VALUE('Capacity summary'!AL136)),0),AL17*$BI17),AL17*$BI17),0)</f>
        <v>0</v>
      </c>
      <c r="CP17" s="311">
        <f>IF($BI17&lt;&gt;"",IF('Capacity summary'!$D$14="Yes",IF(COUNTBLANK('Capacity summary'!$H136:$BG136)&lt;52,IF('Capacity summary'!AM136&lt;&gt;"",IF(LOWER('Capacity summary'!AM136)="x",$BI17*AM17,VALUE('Capacity summary'!AM136)),0),AM17*$BI17),AM17*$BI17),0)</f>
        <v>0</v>
      </c>
      <c r="CQ17" s="311">
        <f>IF($BI17&lt;&gt;"",IF('Capacity summary'!$D$14="Yes",IF(COUNTBLANK('Capacity summary'!$H136:$BG136)&lt;52,IF('Capacity summary'!AN136&lt;&gt;"",IF(LOWER('Capacity summary'!AN136)="x",$BI17*AN17,VALUE('Capacity summary'!AN136)),0),AN17*$BI17),AN17*$BI17),0)</f>
        <v>0</v>
      </c>
      <c r="CR17" s="311">
        <f>IF($BI17&lt;&gt;"",IF('Capacity summary'!$D$14="Yes",IF(COUNTBLANK('Capacity summary'!$H136:$BG136)&lt;52,IF('Capacity summary'!AO136&lt;&gt;"",IF(LOWER('Capacity summary'!AO136)="x",$BI17*AO17,VALUE('Capacity summary'!AO136)),0),AO17*$BI17),AO17*$BI17),0)</f>
        <v>0</v>
      </c>
      <c r="CS17" s="311">
        <f>IF($BI17&lt;&gt;"",IF('Capacity summary'!$D$14="Yes",IF(COUNTBLANK('Capacity summary'!$H136:$BG136)&lt;52,IF('Capacity summary'!AP136&lt;&gt;"",IF(LOWER('Capacity summary'!AP136)="x",$BI17*AP17,VALUE('Capacity summary'!AP136)),0),AP17*$BI17),AP17*$BI17),0)</f>
        <v>0</v>
      </c>
      <c r="CT17" s="311">
        <f>IF($BI17&lt;&gt;"",IF('Capacity summary'!$D$14="Yes",IF(COUNTBLANK('Capacity summary'!$H136:$BG136)&lt;52,IF('Capacity summary'!AQ136&lt;&gt;"",IF(LOWER('Capacity summary'!AQ136)="x",$BI17*AQ17,VALUE('Capacity summary'!AQ136)),0),AQ17*$BI17),AQ17*$BI17),0)</f>
        <v>0</v>
      </c>
      <c r="CU17" s="311">
        <f>IF($BI17&lt;&gt;"",IF('Capacity summary'!$D$14="Yes",IF(COUNTBLANK('Capacity summary'!$H136:$BG136)&lt;52,IF('Capacity summary'!AR136&lt;&gt;"",IF(LOWER('Capacity summary'!AR136)="x",$BI17*AR17,VALUE('Capacity summary'!AR136)),0),AR17*$BI17),AR17*$BI17),0)</f>
        <v>0</v>
      </c>
      <c r="CV17" s="311">
        <f>IF($BI17&lt;&gt;"",IF('Capacity summary'!$D$14="Yes",IF(COUNTBLANK('Capacity summary'!$H136:$BG136)&lt;52,IF('Capacity summary'!AS136&lt;&gt;"",IF(LOWER('Capacity summary'!AS136)="x",$BI17*AS17,VALUE('Capacity summary'!AS136)),0),AS17*$BI17),AS17*$BI17),0)</f>
        <v>0</v>
      </c>
      <c r="CW17" s="311">
        <f>IF($BI17&lt;&gt;"",IF('Capacity summary'!$D$14="Yes",IF(COUNTBLANK('Capacity summary'!$H136:$BG136)&lt;52,IF('Capacity summary'!AT136&lt;&gt;"",IF(LOWER('Capacity summary'!AT136)="x",$BI17*AT17,VALUE('Capacity summary'!AT136)),0),AT17*$BI17),AT17*$BI17),0)</f>
        <v>0</v>
      </c>
      <c r="CX17" s="311">
        <f>IF($BI17&lt;&gt;"",IF('Capacity summary'!$D$14="Yes",IF(COUNTBLANK('Capacity summary'!$H136:$BG136)&lt;52,IF('Capacity summary'!AU136&lt;&gt;"",IF(LOWER('Capacity summary'!AU136)="x",$BI17*AU17,VALUE('Capacity summary'!AU136)),0),AU17*$BI17),AU17*$BI17),0)</f>
        <v>0</v>
      </c>
      <c r="CY17" s="311">
        <f>IF($BI17&lt;&gt;"",IF('Capacity summary'!$D$14="Yes",IF(COUNTBLANK('Capacity summary'!$H136:$BG136)&lt;52,IF('Capacity summary'!AV136&lt;&gt;"",IF(LOWER('Capacity summary'!AV136)="x",$BI17*AV17,VALUE('Capacity summary'!AV136)),0),AV17*$BI17),AV17*$BI17),0)</f>
        <v>0</v>
      </c>
      <c r="CZ17" s="311">
        <f>IF($BI17&lt;&gt;"",IF('Capacity summary'!$D$14="Yes",IF(COUNTBLANK('Capacity summary'!$H136:$BG136)&lt;52,IF('Capacity summary'!AW136&lt;&gt;"",IF(LOWER('Capacity summary'!AW136)="x",$BI17*AW17,VALUE('Capacity summary'!AW136)),0),AW17*$BI17),AW17*$BI17),0)</f>
        <v>0</v>
      </c>
      <c r="DA17" s="311">
        <f>IF($BI17&lt;&gt;"",IF('Capacity summary'!$D$14="Yes",IF(COUNTBLANK('Capacity summary'!$H136:$BG136)&lt;52,IF('Capacity summary'!AX136&lt;&gt;"",IF(LOWER('Capacity summary'!AX136)="x",$BI17*AX17,VALUE('Capacity summary'!AX136)),0),AX17*$BI17),AX17*$BI17),0)</f>
        <v>0</v>
      </c>
      <c r="DB17" s="311">
        <f>IF($BI17&lt;&gt;"",IF('Capacity summary'!$D$14="Yes",IF(COUNTBLANK('Capacity summary'!$H136:$BG136)&lt;52,IF('Capacity summary'!AY136&lt;&gt;"",IF(LOWER('Capacity summary'!AY136)="x",$BI17*AY17,VALUE('Capacity summary'!AY136)),0),AY17*$BI17),AY17*$BI17),0)</f>
        <v>0</v>
      </c>
      <c r="DC17" s="311">
        <f>IF($BI17&lt;&gt;"",IF('Capacity summary'!$D$14="Yes",IF(COUNTBLANK('Capacity summary'!$H136:$BG136)&lt;52,IF('Capacity summary'!AZ136&lt;&gt;"",IF(LOWER('Capacity summary'!AZ136)="x",$BI17*AZ17,VALUE('Capacity summary'!AZ136)),0),AZ17*$BI17),AZ17*$BI17),0)</f>
        <v>0</v>
      </c>
      <c r="DD17" s="311">
        <f>IF($BI17&lt;&gt;"",IF('Capacity summary'!$D$14="Yes",IF(COUNTBLANK('Capacity summary'!$H136:$BG136)&lt;52,IF('Capacity summary'!BA136&lt;&gt;"",IF(LOWER('Capacity summary'!BA136)="x",$BI17*BA17,VALUE('Capacity summary'!BA136)),0),BA17*$BI17),BA17*$BI17),0)</f>
        <v>0</v>
      </c>
      <c r="DE17" s="311">
        <f>IF($BI17&lt;&gt;"",IF('Capacity summary'!$D$14="Yes",IF(COUNTBLANK('Capacity summary'!$H136:$BG136)&lt;52,IF('Capacity summary'!BB136&lt;&gt;"",IF(LOWER('Capacity summary'!BB136)="x",$BI17*BB17,VALUE('Capacity summary'!BB136)),0),BB17*$BI17),BB17*$BI17),0)</f>
        <v>0</v>
      </c>
      <c r="DF17" s="311">
        <f>IF($BI17&lt;&gt;"",IF('Capacity summary'!$D$14="Yes",IF(COUNTBLANK('Capacity summary'!$H136:$BG136)&lt;52,IF('Capacity summary'!BC136&lt;&gt;"",IF(LOWER('Capacity summary'!BC136)="x",$BI17*BC17,VALUE('Capacity summary'!BC136)),0),BC17*$BI17),BC17*$BI17),0)</f>
        <v>0</v>
      </c>
      <c r="DG17" s="311">
        <f>IF($BI17&lt;&gt;"",IF('Capacity summary'!$D$14="Yes",IF(COUNTBLANK('Capacity summary'!$H136:$BG136)&lt;52,IF('Capacity summary'!BD136&lt;&gt;"",IF(LOWER('Capacity summary'!BD136)="x",$BI17*BD17,VALUE('Capacity summary'!BD136)),0),BD17*$BI17),BD17*$BI17),0)</f>
        <v>0</v>
      </c>
      <c r="DH17" s="311">
        <f>IF($BI17&lt;&gt;"",IF('Capacity summary'!$D$14="Yes",IF(COUNTBLANK('Capacity summary'!$H136:$BG136)&lt;52,IF('Capacity summary'!BE136&lt;&gt;"",IF(LOWER('Capacity summary'!BE136)="x",$BI17*BE17,VALUE('Capacity summary'!BE136)),0),BE17*$BI17),BE17*$BI17),0)</f>
        <v>0</v>
      </c>
      <c r="DI17" s="311">
        <f>IF($BI17&lt;&gt;"",IF('Capacity summary'!$D$14="Yes",IF(COUNTBLANK('Capacity summary'!$H136:$BG136)&lt;52,IF('Capacity summary'!BF136&lt;&gt;"",IF(LOWER('Capacity summary'!BF136)="x",$BI17*BF17,VALUE('Capacity summary'!BF136)),0),BF17*$BI17),BF17*$BI17),0)</f>
        <v>0</v>
      </c>
      <c r="DJ17" s="311">
        <f>IF($BI17&lt;&gt;"",IF('Capacity summary'!$D$14="Yes",IF(COUNTBLANK('Capacity summary'!$H136:$BG136)&lt;52,IF('Capacity summary'!BG136&lt;&gt;"",IF(LOWER('Capacity summary'!BG136)="x",$BI17*BG17,VALUE('Capacity summary'!BG136)),0),BG17*$BI17),BG17*$BI17),0)</f>
        <v>0</v>
      </c>
      <c r="DK17" s="391">
        <f t="shared" si="2"/>
        <v>0</v>
      </c>
      <c r="DL17" s="136">
        <f t="shared" si="3"/>
        <v>0</v>
      </c>
      <c r="DM17" s="311" t="str">
        <f>Capacity!H29</f>
        <v/>
      </c>
      <c r="DQ17" s="5"/>
    </row>
    <row r="18" spans="1:121" x14ac:dyDescent="0.2">
      <c r="A18" s="67">
        <f>IF(Capacity!L30='Capacity summary'!BI137,1,0)</f>
        <v>1</v>
      </c>
      <c r="B18" s="67">
        <f>IF(Capacity!V30='Capacity summary'!BI37,1,0)</f>
        <v>1</v>
      </c>
      <c r="C18" s="67" t="str">
        <f>ROW(A14)&amp;". "&amp;Capacity!B30</f>
        <v xml:space="preserve">14. </v>
      </c>
      <c r="D18" s="67">
        <f>'Capacity setup'!C25</f>
        <v>0</v>
      </c>
      <c r="E18" s="67">
        <f>'Capacity setup'!D25</f>
        <v>0</v>
      </c>
      <c r="F18" s="67">
        <f>'Capacity setup'!E25</f>
        <v>0</v>
      </c>
      <c r="H18" s="67">
        <f ca="1">IF(LOWER(Capacity!$L30)="x",IF(AND(SUMIF(Capacity_Resource,$D18,'Critical resources (hide)'!U$6:U$105)+SUMIF(Capacity_Resource,$E18,'Critical resources (hide)'!U$6:U$105)+SUMIF(Capacity_Resource,$F18,'Critical resources (hide)'!U$6:U$105)&gt;0,$E$1=2),0,1),0)</f>
        <v>1</v>
      </c>
      <c r="I18" s="67">
        <f ca="1">IF(LOWER(Capacity!$L30)="x",IF(AND(SUMIF(Capacity_Resource,$D18,'Critical resources (hide)'!V$6:V$105)+SUMIF(Capacity_Resource,$E18,'Critical resources (hide)'!V$6:V$105)+SUMIF(Capacity_Resource,$F18,'Critical resources (hide)'!V$6:V$105)&gt;0,$E$1=2),0,1),0)</f>
        <v>1</v>
      </c>
      <c r="J18" s="67">
        <f ca="1">IF(LOWER(Capacity!$L30)="x",IF(AND(SUMIF(Capacity_Resource,$D18,'Critical resources (hide)'!W$6:W$105)+SUMIF(Capacity_Resource,$E18,'Critical resources (hide)'!W$6:W$105)+SUMIF(Capacity_Resource,$F18,'Critical resources (hide)'!W$6:W$105)&gt;0,$E$1=2),0,1),0)</f>
        <v>1</v>
      </c>
      <c r="K18" s="67">
        <f ca="1">IF(LOWER(Capacity!$L30)="x",IF(AND(SUMIF(Capacity_Resource,$D18,'Critical resources (hide)'!X$6:X$105)+SUMIF(Capacity_Resource,$E18,'Critical resources (hide)'!X$6:X$105)+SUMIF(Capacity_Resource,$F18,'Critical resources (hide)'!X$6:X$105)&gt;0,$E$1=2),0,1),0)</f>
        <v>1</v>
      </c>
      <c r="L18" s="67">
        <f ca="1">IF(LOWER(Capacity!$L30)="x",IF(AND(SUMIF(Capacity_Resource,$D18,'Critical resources (hide)'!Y$6:Y$105)+SUMIF(Capacity_Resource,$E18,'Critical resources (hide)'!Y$6:Y$105)+SUMIF(Capacity_Resource,$F18,'Critical resources (hide)'!Y$6:Y$105)&gt;0,$E$1=2),0,1),0)</f>
        <v>1</v>
      </c>
      <c r="M18" s="67">
        <f ca="1">IF(LOWER(Capacity!$L30)="x",IF(AND(SUMIF(Capacity_Resource,$D18,'Critical resources (hide)'!Z$6:Z$105)+SUMIF(Capacity_Resource,$E18,'Critical resources (hide)'!Z$6:Z$105)+SUMIF(Capacity_Resource,$F18,'Critical resources (hide)'!Z$6:Z$105)&gt;0,$E$1=2),0,1),0)</f>
        <v>1</v>
      </c>
      <c r="N18" s="67">
        <f ca="1">IF(LOWER(Capacity!$L30)="x",IF(AND(SUMIF(Capacity_Resource,$D18,'Critical resources (hide)'!AA$6:AA$105)+SUMIF(Capacity_Resource,$E18,'Critical resources (hide)'!AA$6:AA$105)+SUMIF(Capacity_Resource,$F18,'Critical resources (hide)'!AA$6:AA$105)&gt;0,$E$1=2),0,1),0)</f>
        <v>1</v>
      </c>
      <c r="O18" s="67">
        <f ca="1">IF(LOWER(Capacity!$L30)="x",IF(AND(SUMIF(Capacity_Resource,$D18,'Critical resources (hide)'!AB$6:AB$105)+SUMIF(Capacity_Resource,$E18,'Critical resources (hide)'!AB$6:AB$105)+SUMIF(Capacity_Resource,$F18,'Critical resources (hide)'!AB$6:AB$105)&gt;0,$E$1=2),0,1),0)</f>
        <v>1</v>
      </c>
      <c r="P18" s="67">
        <f ca="1">IF(LOWER(Capacity!$L30)="x",IF(AND(SUMIF(Capacity_Resource,$D18,'Critical resources (hide)'!AC$6:AC$105)+SUMIF(Capacity_Resource,$E18,'Critical resources (hide)'!AC$6:AC$105)+SUMIF(Capacity_Resource,$F18,'Critical resources (hide)'!AC$6:AC$105)&gt;0,$E$1=2),0,1),0)</f>
        <v>1</v>
      </c>
      <c r="Q18" s="67">
        <f ca="1">IF(LOWER(Capacity!$L30)="x",IF(AND(SUMIF(Capacity_Resource,$D18,'Critical resources (hide)'!AD$6:AD$105)+SUMIF(Capacity_Resource,$E18,'Critical resources (hide)'!AD$6:AD$105)+SUMIF(Capacity_Resource,$F18,'Critical resources (hide)'!AD$6:AD$105)&gt;0,$E$1=2),0,1),0)</f>
        <v>1</v>
      </c>
      <c r="R18" s="67">
        <f ca="1">IF(LOWER(Capacity!$L30)="x",IF(AND(SUMIF(Capacity_Resource,$D18,'Critical resources (hide)'!AE$6:AE$105)+SUMIF(Capacity_Resource,$E18,'Critical resources (hide)'!AE$6:AE$105)+SUMIF(Capacity_Resource,$F18,'Critical resources (hide)'!AE$6:AE$105)&gt;0,$E$1=2),0,1),0)</f>
        <v>1</v>
      </c>
      <c r="S18" s="67">
        <f ca="1">IF(LOWER(Capacity!$L30)="x",IF(AND(SUMIF(Capacity_Resource,$D18,'Critical resources (hide)'!AF$6:AF$105)+SUMIF(Capacity_Resource,$E18,'Critical resources (hide)'!AF$6:AF$105)+SUMIF(Capacity_Resource,$F18,'Critical resources (hide)'!AF$6:AF$105)&gt;0,$E$1=2),0,1),0)</f>
        <v>1</v>
      </c>
      <c r="T18" s="67">
        <f ca="1">IF(LOWER(Capacity!$L30)="x",IF(AND(SUMIF(Capacity_Resource,$D18,'Critical resources (hide)'!AG$6:AG$105)+SUMIF(Capacity_Resource,$E18,'Critical resources (hide)'!AG$6:AG$105)+SUMIF(Capacity_Resource,$F18,'Critical resources (hide)'!AG$6:AG$105)&gt;0,$E$1=2),0,1),0)</f>
        <v>1</v>
      </c>
      <c r="U18" s="67">
        <f ca="1">IF(LOWER(Capacity!$L30)="x",IF(AND(SUMIF(Capacity_Resource,$D18,'Critical resources (hide)'!AH$6:AH$105)+SUMIF(Capacity_Resource,$E18,'Critical resources (hide)'!AH$6:AH$105)+SUMIF(Capacity_Resource,$F18,'Critical resources (hide)'!AH$6:AH$105)&gt;0,$E$1=2),0,1),0)</f>
        <v>1</v>
      </c>
      <c r="V18" s="67">
        <f ca="1">IF(LOWER(Capacity!$L30)="x",IF(AND(SUMIF(Capacity_Resource,$D18,'Critical resources (hide)'!AI$6:AI$105)+SUMIF(Capacity_Resource,$E18,'Critical resources (hide)'!AI$6:AI$105)+SUMIF(Capacity_Resource,$F18,'Critical resources (hide)'!AI$6:AI$105)&gt;0,$E$1=2),0,1),0)</f>
        <v>1</v>
      </c>
      <c r="W18" s="67">
        <f ca="1">IF(LOWER(Capacity!$L30)="x",IF(AND(SUMIF(Capacity_Resource,$D18,'Critical resources (hide)'!AJ$6:AJ$105)+SUMIF(Capacity_Resource,$E18,'Critical resources (hide)'!AJ$6:AJ$105)+SUMIF(Capacity_Resource,$F18,'Critical resources (hide)'!AJ$6:AJ$105)&gt;0,$E$1=2),0,1),0)</f>
        <v>1</v>
      </c>
      <c r="X18" s="67">
        <f ca="1">IF(LOWER(Capacity!$L30)="x",IF(AND(SUMIF(Capacity_Resource,$D18,'Critical resources (hide)'!AK$6:AK$105)+SUMIF(Capacity_Resource,$E18,'Critical resources (hide)'!AK$6:AK$105)+SUMIF(Capacity_Resource,$F18,'Critical resources (hide)'!AK$6:AK$105)&gt;0,$E$1=2),0,1),0)</f>
        <v>1</v>
      </c>
      <c r="Y18" s="67">
        <f ca="1">IF(LOWER(Capacity!$L30)="x",IF(AND(SUMIF(Capacity_Resource,$D18,'Critical resources (hide)'!AL$6:AL$105)+SUMIF(Capacity_Resource,$E18,'Critical resources (hide)'!AL$6:AL$105)+SUMIF(Capacity_Resource,$F18,'Critical resources (hide)'!AL$6:AL$105)&gt;0,$E$1=2),0,1),0)</f>
        <v>1</v>
      </c>
      <c r="Z18" s="67">
        <f ca="1">IF(LOWER(Capacity!$L30)="x",IF(AND(SUMIF(Capacity_Resource,$D18,'Critical resources (hide)'!AM$6:AM$105)+SUMIF(Capacity_Resource,$E18,'Critical resources (hide)'!AM$6:AM$105)+SUMIF(Capacity_Resource,$F18,'Critical resources (hide)'!AM$6:AM$105)&gt;0,$E$1=2),0,1),0)</f>
        <v>1</v>
      </c>
      <c r="AA18" s="67">
        <f ca="1">IF(LOWER(Capacity!$L30)="x",IF(AND(SUMIF(Capacity_Resource,$D18,'Critical resources (hide)'!AN$6:AN$105)+SUMIF(Capacity_Resource,$E18,'Critical resources (hide)'!AN$6:AN$105)+SUMIF(Capacity_Resource,$F18,'Critical resources (hide)'!AN$6:AN$105)&gt;0,$E$1=2),0,1),0)</f>
        <v>1</v>
      </c>
      <c r="AB18" s="67">
        <f ca="1">IF(LOWER(Capacity!$L30)="x",IF(AND(SUMIF(Capacity_Resource,$D18,'Critical resources (hide)'!AO$6:AO$105)+SUMIF(Capacity_Resource,$E18,'Critical resources (hide)'!AO$6:AO$105)+SUMIF(Capacity_Resource,$F18,'Critical resources (hide)'!AO$6:AO$105)&gt;0,$E$1=2),0,1),0)</f>
        <v>1</v>
      </c>
      <c r="AC18" s="67">
        <f ca="1">IF(LOWER(Capacity!$L30)="x",IF(AND(SUMIF(Capacity_Resource,$D18,'Critical resources (hide)'!AP$6:AP$105)+SUMIF(Capacity_Resource,$E18,'Critical resources (hide)'!AP$6:AP$105)+SUMIF(Capacity_Resource,$F18,'Critical resources (hide)'!AP$6:AP$105)&gt;0,$E$1=2),0,1),0)</f>
        <v>1</v>
      </c>
      <c r="AD18" s="67">
        <f ca="1">IF(LOWER(Capacity!$L30)="x",IF(AND(SUMIF(Capacity_Resource,$D18,'Critical resources (hide)'!AQ$6:AQ$105)+SUMIF(Capacity_Resource,$E18,'Critical resources (hide)'!AQ$6:AQ$105)+SUMIF(Capacity_Resource,$F18,'Critical resources (hide)'!AQ$6:AQ$105)&gt;0,$E$1=2),0,1),0)</f>
        <v>1</v>
      </c>
      <c r="AE18" s="67">
        <f ca="1">IF(LOWER(Capacity!$L30)="x",IF(AND(SUMIF(Capacity_Resource,$D18,'Critical resources (hide)'!AR$6:AR$105)+SUMIF(Capacity_Resource,$E18,'Critical resources (hide)'!AR$6:AR$105)+SUMIF(Capacity_Resource,$F18,'Critical resources (hide)'!AR$6:AR$105)&gt;0,$E$1=2),0,1),0)</f>
        <v>1</v>
      </c>
      <c r="AF18" s="67">
        <f ca="1">IF(LOWER(Capacity!$L30)="x",IF(AND(SUMIF(Capacity_Resource,$D18,'Critical resources (hide)'!AS$6:AS$105)+SUMIF(Capacity_Resource,$E18,'Critical resources (hide)'!AS$6:AS$105)+SUMIF(Capacity_Resource,$F18,'Critical resources (hide)'!AS$6:AS$105)&gt;0,$E$1=2),0,1),0)</f>
        <v>1</v>
      </c>
      <c r="AG18" s="67">
        <f ca="1">IF(LOWER(Capacity!$L30)="x",IF(AND(SUMIF(Capacity_Resource,$D18,'Critical resources (hide)'!AT$6:AT$105)+SUMIF(Capacity_Resource,$E18,'Critical resources (hide)'!AT$6:AT$105)+SUMIF(Capacity_Resource,$F18,'Critical resources (hide)'!AT$6:AT$105)&gt;0,$E$1=2),0,1),0)</f>
        <v>1</v>
      </c>
      <c r="AH18" s="67">
        <f ca="1">IF(LOWER(Capacity!$L30)="x",IF(AND(SUMIF(Capacity_Resource,$D18,'Critical resources (hide)'!AU$6:AU$105)+SUMIF(Capacity_Resource,$E18,'Critical resources (hide)'!AU$6:AU$105)+SUMIF(Capacity_Resource,$F18,'Critical resources (hide)'!AU$6:AU$105)&gt;0,$E$1=2),0,1),0)</f>
        <v>1</v>
      </c>
      <c r="AI18" s="67">
        <f ca="1">IF(LOWER(Capacity!$L30)="x",IF(AND(SUMIF(Capacity_Resource,$D18,'Critical resources (hide)'!AV$6:AV$105)+SUMIF(Capacity_Resource,$E18,'Critical resources (hide)'!AV$6:AV$105)+SUMIF(Capacity_Resource,$F18,'Critical resources (hide)'!AV$6:AV$105)&gt;0,$E$1=2),0,1),0)</f>
        <v>1</v>
      </c>
      <c r="AJ18" s="67">
        <f ca="1">IF(LOWER(Capacity!$L30)="x",IF(AND(SUMIF(Capacity_Resource,$D18,'Critical resources (hide)'!AW$6:AW$105)+SUMIF(Capacity_Resource,$E18,'Critical resources (hide)'!AW$6:AW$105)+SUMIF(Capacity_Resource,$F18,'Critical resources (hide)'!AW$6:AW$105)&gt;0,$E$1=2),0,1),0)</f>
        <v>1</v>
      </c>
      <c r="AK18" s="67">
        <f ca="1">IF(LOWER(Capacity!$L30)="x",IF(AND(SUMIF(Capacity_Resource,$D18,'Critical resources (hide)'!AX$6:AX$105)+SUMIF(Capacity_Resource,$E18,'Critical resources (hide)'!AX$6:AX$105)+SUMIF(Capacity_Resource,$F18,'Critical resources (hide)'!AX$6:AX$105)&gt;0,$E$1=2),0,1),0)</f>
        <v>1</v>
      </c>
      <c r="AL18" s="67">
        <f ca="1">IF(LOWER(Capacity!$L30)="x",IF(AND(SUMIF(Capacity_Resource,$D18,'Critical resources (hide)'!AY$6:AY$105)+SUMIF(Capacity_Resource,$E18,'Critical resources (hide)'!AY$6:AY$105)+SUMIF(Capacity_Resource,$F18,'Critical resources (hide)'!AY$6:AY$105)&gt;0,$E$1=2),0,1),0)</f>
        <v>1</v>
      </c>
      <c r="AM18" s="67">
        <f ca="1">IF(LOWER(Capacity!$L30)="x",IF(AND(SUMIF(Capacity_Resource,$D18,'Critical resources (hide)'!AZ$6:AZ$105)+SUMIF(Capacity_Resource,$E18,'Critical resources (hide)'!AZ$6:AZ$105)+SUMIF(Capacity_Resource,$F18,'Critical resources (hide)'!AZ$6:AZ$105)&gt;0,$E$1=2),0,1),0)</f>
        <v>1</v>
      </c>
      <c r="AN18" s="67">
        <f ca="1">IF(LOWER(Capacity!$L30)="x",IF(AND(SUMIF(Capacity_Resource,$D18,'Critical resources (hide)'!BA$6:BA$105)+SUMIF(Capacity_Resource,$E18,'Critical resources (hide)'!BA$6:BA$105)+SUMIF(Capacity_Resource,$F18,'Critical resources (hide)'!BA$6:BA$105)&gt;0,$E$1=2),0,1),0)</f>
        <v>1</v>
      </c>
      <c r="AO18" s="67">
        <f ca="1">IF(LOWER(Capacity!$L30)="x",IF(AND(SUMIF(Capacity_Resource,$D18,'Critical resources (hide)'!BB$6:BB$105)+SUMIF(Capacity_Resource,$E18,'Critical resources (hide)'!BB$6:BB$105)+SUMIF(Capacity_Resource,$F18,'Critical resources (hide)'!BB$6:BB$105)&gt;0,$E$1=2),0,1),0)</f>
        <v>1</v>
      </c>
      <c r="AP18" s="67">
        <f ca="1">IF(LOWER(Capacity!$L30)="x",IF(AND(SUMIF(Capacity_Resource,$D18,'Critical resources (hide)'!BC$6:BC$105)+SUMIF(Capacity_Resource,$E18,'Critical resources (hide)'!BC$6:BC$105)+SUMIF(Capacity_Resource,$F18,'Critical resources (hide)'!BC$6:BC$105)&gt;0,$E$1=2),0,1),0)</f>
        <v>1</v>
      </c>
      <c r="AQ18" s="67">
        <f ca="1">IF(LOWER(Capacity!$L30)="x",IF(AND(SUMIF(Capacity_Resource,$D18,'Critical resources (hide)'!BD$6:BD$105)+SUMIF(Capacity_Resource,$E18,'Critical resources (hide)'!BD$6:BD$105)+SUMIF(Capacity_Resource,$F18,'Critical resources (hide)'!BD$6:BD$105)&gt;0,$E$1=2),0,1),0)</f>
        <v>1</v>
      </c>
      <c r="AR18" s="67">
        <f ca="1">IF(LOWER(Capacity!$L30)="x",IF(AND(SUMIF(Capacity_Resource,$D18,'Critical resources (hide)'!BE$6:BE$105)+SUMIF(Capacity_Resource,$E18,'Critical resources (hide)'!BE$6:BE$105)+SUMIF(Capacity_Resource,$F18,'Critical resources (hide)'!BE$6:BE$105)&gt;0,$E$1=2),0,1),0)</f>
        <v>1</v>
      </c>
      <c r="AS18" s="67">
        <f ca="1">IF(LOWER(Capacity!$L30)="x",IF(AND(SUMIF(Capacity_Resource,$D18,'Critical resources (hide)'!BF$6:BF$105)+SUMIF(Capacity_Resource,$E18,'Critical resources (hide)'!BF$6:BF$105)+SUMIF(Capacity_Resource,$F18,'Critical resources (hide)'!BF$6:BF$105)&gt;0,$E$1=2),0,1),0)</f>
        <v>1</v>
      </c>
      <c r="AT18" s="67">
        <f ca="1">IF(LOWER(Capacity!$L30)="x",IF(AND(SUMIF(Capacity_Resource,$D18,'Critical resources (hide)'!BG$6:BG$105)+SUMIF(Capacity_Resource,$E18,'Critical resources (hide)'!BG$6:BG$105)+SUMIF(Capacity_Resource,$F18,'Critical resources (hide)'!BG$6:BG$105)&gt;0,$E$1=2),0,1),0)</f>
        <v>1</v>
      </c>
      <c r="AU18" s="67">
        <f ca="1">IF(LOWER(Capacity!$L30)="x",IF(AND(SUMIF(Capacity_Resource,$D18,'Critical resources (hide)'!BH$6:BH$105)+SUMIF(Capacity_Resource,$E18,'Critical resources (hide)'!BH$6:BH$105)+SUMIF(Capacity_Resource,$F18,'Critical resources (hide)'!BH$6:BH$105)&gt;0,$E$1=2),0,1),0)</f>
        <v>1</v>
      </c>
      <c r="AV18" s="67">
        <f ca="1">IF(LOWER(Capacity!$L30)="x",IF(AND(SUMIF(Capacity_Resource,$D18,'Critical resources (hide)'!BI$6:BI$105)+SUMIF(Capacity_Resource,$E18,'Critical resources (hide)'!BI$6:BI$105)+SUMIF(Capacity_Resource,$F18,'Critical resources (hide)'!BI$6:BI$105)&gt;0,$E$1=2),0,1),0)</f>
        <v>1</v>
      </c>
      <c r="AW18" s="67">
        <f ca="1">IF(LOWER(Capacity!$L30)="x",IF(AND(SUMIF(Capacity_Resource,$D18,'Critical resources (hide)'!BJ$6:BJ$105)+SUMIF(Capacity_Resource,$E18,'Critical resources (hide)'!BJ$6:BJ$105)+SUMIF(Capacity_Resource,$F18,'Critical resources (hide)'!BJ$6:BJ$105)&gt;0,$E$1=2),0,1),0)</f>
        <v>1</v>
      </c>
      <c r="AX18" s="67">
        <f ca="1">IF(LOWER(Capacity!$L30)="x",IF(AND(SUMIF(Capacity_Resource,$D18,'Critical resources (hide)'!BK$6:BK$105)+SUMIF(Capacity_Resource,$E18,'Critical resources (hide)'!BK$6:BK$105)+SUMIF(Capacity_Resource,$F18,'Critical resources (hide)'!BK$6:BK$105)&gt;0,$E$1=2),0,1),0)</f>
        <v>1</v>
      </c>
      <c r="AY18" s="67">
        <f ca="1">IF(LOWER(Capacity!$L30)="x",IF(AND(SUMIF(Capacity_Resource,$D18,'Critical resources (hide)'!BL$6:BL$105)+SUMIF(Capacity_Resource,$E18,'Critical resources (hide)'!BL$6:BL$105)+SUMIF(Capacity_Resource,$F18,'Critical resources (hide)'!BL$6:BL$105)&gt;0,$E$1=2),0,1),0)</f>
        <v>1</v>
      </c>
      <c r="AZ18" s="67">
        <f ca="1">IF(LOWER(Capacity!$L30)="x",IF(AND(SUMIF(Capacity_Resource,$D18,'Critical resources (hide)'!BM$6:BM$105)+SUMIF(Capacity_Resource,$E18,'Critical resources (hide)'!BM$6:BM$105)+SUMIF(Capacity_Resource,$F18,'Critical resources (hide)'!BM$6:BM$105)&gt;0,$E$1=2),0,1),0)</f>
        <v>1</v>
      </c>
      <c r="BA18" s="67">
        <f ca="1">IF(LOWER(Capacity!$L30)="x",IF(AND(SUMIF(Capacity_Resource,$D18,'Critical resources (hide)'!BN$6:BN$105)+SUMIF(Capacity_Resource,$E18,'Critical resources (hide)'!BN$6:BN$105)+SUMIF(Capacity_Resource,$F18,'Critical resources (hide)'!BN$6:BN$105)&gt;0,$E$1=2),0,1),0)</f>
        <v>1</v>
      </c>
      <c r="BB18" s="67">
        <f ca="1">IF(LOWER(Capacity!$L30)="x",IF(AND(SUMIF(Capacity_Resource,$D18,'Critical resources (hide)'!BO$6:BO$105)+SUMIF(Capacity_Resource,$E18,'Critical resources (hide)'!BO$6:BO$105)+SUMIF(Capacity_Resource,$F18,'Critical resources (hide)'!BO$6:BO$105)&gt;0,$E$1=2),0,1),0)</f>
        <v>1</v>
      </c>
      <c r="BC18" s="67">
        <f ca="1">IF(LOWER(Capacity!$L30)="x",IF(AND(SUMIF(Capacity_Resource,$D18,'Critical resources (hide)'!BP$6:BP$105)+SUMIF(Capacity_Resource,$E18,'Critical resources (hide)'!BP$6:BP$105)+SUMIF(Capacity_Resource,$F18,'Critical resources (hide)'!BP$6:BP$105)&gt;0,$E$1=2),0,1),0)</f>
        <v>1</v>
      </c>
      <c r="BD18" s="67">
        <f ca="1">IF(LOWER(Capacity!$L30)="x",IF(AND(SUMIF(Capacity_Resource,$D18,'Critical resources (hide)'!BQ$6:BQ$105)+SUMIF(Capacity_Resource,$E18,'Critical resources (hide)'!BQ$6:BQ$105)+SUMIF(Capacity_Resource,$F18,'Critical resources (hide)'!BQ$6:BQ$105)&gt;0,$E$1=2),0,1),0)</f>
        <v>1</v>
      </c>
      <c r="BE18" s="67">
        <f ca="1">IF(LOWER(Capacity!$L30)="x",IF(AND(SUMIF(Capacity_Resource,$D18,'Critical resources (hide)'!BR$6:BR$105)+SUMIF(Capacity_Resource,$E18,'Critical resources (hide)'!BR$6:BR$105)+SUMIF(Capacity_Resource,$F18,'Critical resources (hide)'!BR$6:BR$105)&gt;0,$E$1=2),0,1),0)</f>
        <v>1</v>
      </c>
      <c r="BF18" s="67">
        <f ca="1">IF(LOWER(Capacity!$L30)="x",IF(AND(SUMIF(Capacity_Resource,$D18,'Critical resources (hide)'!BS$6:BS$105)+SUMIF(Capacity_Resource,$E18,'Critical resources (hide)'!BS$6:BS$105)+SUMIF(Capacity_Resource,$F18,'Critical resources (hide)'!BS$6:BS$105)&gt;0,$E$1=2),0,1),0)</f>
        <v>1</v>
      </c>
      <c r="BG18" s="67">
        <f ca="1">IF(LOWER(Capacity!$L30)="x",IF(AND(SUMIF(Capacity_Resource,$D18,'Critical resources (hide)'!BT$6:BT$105)+SUMIF(Capacity_Resource,$E18,'Critical resources (hide)'!BT$6:BT$105)+SUMIF(Capacity_Resource,$F18,'Critical resources (hide)'!BT$6:BT$105)&gt;0,$E$1=2),0,1),0)</f>
        <v>1</v>
      </c>
      <c r="BH18" s="67">
        <f>IF(ROW(C14)&lt;=Capacity!$A$16,IF('Capacity summary'!$D$14="No",SUM(H18:BG18),'Capacity summary'!$E137),0)</f>
        <v>0</v>
      </c>
      <c r="BI18" s="5" t="str">
        <f>IF(BH18&gt;0,IF(BH18&lt;Capacity!E30,Capacity!F30,Capacity!H30/'Capacity calculation (hide)'!BH18),"")</f>
        <v/>
      </c>
      <c r="BK18" s="311">
        <f>IF($BI18&lt;&gt;"",IF('Capacity summary'!$D$14="Yes",IF(COUNTBLANK('Capacity summary'!$H137:$BG137)&lt;52,IF('Capacity summary'!H137&lt;&gt;"",IF(LOWER('Capacity summary'!H137)="x",$BI18*H18,VALUE('Capacity summary'!H137)),0),H18*$BI18),H18*$BI18),0)</f>
        <v>0</v>
      </c>
      <c r="BL18" s="311">
        <f>IF($BI18&lt;&gt;"",IF('Capacity summary'!$D$14="Yes",IF(COUNTBLANK('Capacity summary'!$H137:$BG137)&lt;52,IF('Capacity summary'!I137&lt;&gt;"",IF(LOWER('Capacity summary'!I137)="x",$BI18*I18,VALUE('Capacity summary'!I137)),0),I18*$BI18),I18*$BI18),0)</f>
        <v>0</v>
      </c>
      <c r="BM18" s="311">
        <f>IF($BI18&lt;&gt;"",IF('Capacity summary'!$D$14="Yes",IF(COUNTBLANK('Capacity summary'!$H137:$BG137)&lt;52,IF('Capacity summary'!J137&lt;&gt;"",IF(LOWER('Capacity summary'!J137)="x",$BI18*J18,VALUE('Capacity summary'!J137)),0),J18*$BI18),J18*$BI18),0)</f>
        <v>0</v>
      </c>
      <c r="BN18" s="311">
        <f>IF($BI18&lt;&gt;"",IF('Capacity summary'!$D$14="Yes",IF(COUNTBLANK('Capacity summary'!$H137:$BG137)&lt;52,IF('Capacity summary'!K137&lt;&gt;"",IF(LOWER('Capacity summary'!K137)="x",$BI18*K18,VALUE('Capacity summary'!K137)),0),K18*$BI18),K18*$BI18),0)</f>
        <v>0</v>
      </c>
      <c r="BO18" s="311">
        <f>IF($BI18&lt;&gt;"",IF('Capacity summary'!$D$14="Yes",IF(COUNTBLANK('Capacity summary'!$H137:$BG137)&lt;52,IF('Capacity summary'!L137&lt;&gt;"",IF(LOWER('Capacity summary'!L137)="x",$BI18*L18,VALUE('Capacity summary'!L137)),0),L18*$BI18),L18*$BI18),0)</f>
        <v>0</v>
      </c>
      <c r="BP18" s="311">
        <f>IF($BI18&lt;&gt;"",IF('Capacity summary'!$D$14="Yes",IF(COUNTBLANK('Capacity summary'!$H137:$BG137)&lt;52,IF('Capacity summary'!M137&lt;&gt;"",IF(LOWER('Capacity summary'!M137)="x",$BI18*M18,VALUE('Capacity summary'!M137)),0),M18*$BI18),M18*$BI18),0)</f>
        <v>0</v>
      </c>
      <c r="BQ18" s="311">
        <f>IF($BI18&lt;&gt;"",IF('Capacity summary'!$D$14="Yes",IF(COUNTBLANK('Capacity summary'!$H137:$BG137)&lt;52,IF('Capacity summary'!N137&lt;&gt;"",IF(LOWER('Capacity summary'!N137)="x",$BI18*N18,VALUE('Capacity summary'!N137)),0),N18*$BI18),N18*$BI18),0)</f>
        <v>0</v>
      </c>
      <c r="BR18" s="311">
        <f>IF($BI18&lt;&gt;"",IF('Capacity summary'!$D$14="Yes",IF(COUNTBLANK('Capacity summary'!$H137:$BG137)&lt;52,IF('Capacity summary'!O137&lt;&gt;"",IF(LOWER('Capacity summary'!O137)="x",$BI18*O18,VALUE('Capacity summary'!O137)),0),O18*$BI18),O18*$BI18),0)</f>
        <v>0</v>
      </c>
      <c r="BS18" s="311">
        <f>IF($BI18&lt;&gt;"",IF('Capacity summary'!$D$14="Yes",IF(COUNTBLANK('Capacity summary'!$H137:$BG137)&lt;52,IF('Capacity summary'!P137&lt;&gt;"",IF(LOWER('Capacity summary'!P137)="x",$BI18*P18,VALUE('Capacity summary'!P137)),0),P18*$BI18),P18*$BI18),0)</f>
        <v>0</v>
      </c>
      <c r="BT18" s="311">
        <f>IF($BI18&lt;&gt;"",IF('Capacity summary'!$D$14="Yes",IF(COUNTBLANK('Capacity summary'!$H137:$BG137)&lt;52,IF('Capacity summary'!Q137&lt;&gt;"",IF(LOWER('Capacity summary'!Q137)="x",$BI18*Q18,VALUE('Capacity summary'!Q137)),0),Q18*$BI18),Q18*$BI18),0)</f>
        <v>0</v>
      </c>
      <c r="BU18" s="311">
        <f>IF($BI18&lt;&gt;"",IF('Capacity summary'!$D$14="Yes",IF(COUNTBLANK('Capacity summary'!$H137:$BG137)&lt;52,IF('Capacity summary'!R137&lt;&gt;"",IF(LOWER('Capacity summary'!R137)="x",$BI18*R18,VALUE('Capacity summary'!R137)),0),R18*$BI18),R18*$BI18),0)</f>
        <v>0</v>
      </c>
      <c r="BV18" s="311">
        <f>IF($BI18&lt;&gt;"",IF('Capacity summary'!$D$14="Yes",IF(COUNTBLANK('Capacity summary'!$H137:$BG137)&lt;52,IF('Capacity summary'!S137&lt;&gt;"",IF(LOWER('Capacity summary'!S137)="x",$BI18*S18,VALUE('Capacity summary'!S137)),0),S18*$BI18),S18*$BI18),0)</f>
        <v>0</v>
      </c>
      <c r="BW18" s="311">
        <f>IF($BI18&lt;&gt;"",IF('Capacity summary'!$D$14="Yes",IF(COUNTBLANK('Capacity summary'!$H137:$BG137)&lt;52,IF('Capacity summary'!T137&lt;&gt;"",IF(LOWER('Capacity summary'!T137)="x",$BI18*T18,VALUE('Capacity summary'!T137)),0),T18*$BI18),T18*$BI18),0)</f>
        <v>0</v>
      </c>
      <c r="BX18" s="311">
        <f>IF($BI18&lt;&gt;"",IF('Capacity summary'!$D$14="Yes",IF(COUNTBLANK('Capacity summary'!$H137:$BG137)&lt;52,IF('Capacity summary'!U137&lt;&gt;"",IF(LOWER('Capacity summary'!U137)="x",$BI18*U18,VALUE('Capacity summary'!U137)),0),U18*$BI18),U18*$BI18),0)</f>
        <v>0</v>
      </c>
      <c r="BY18" s="311">
        <f>IF($BI18&lt;&gt;"",IF('Capacity summary'!$D$14="Yes",IF(COUNTBLANK('Capacity summary'!$H137:$BG137)&lt;52,IF('Capacity summary'!V137&lt;&gt;"",IF(LOWER('Capacity summary'!V137)="x",$BI18*V18,VALUE('Capacity summary'!V137)),0),V18*$BI18),V18*$BI18),0)</f>
        <v>0</v>
      </c>
      <c r="BZ18" s="311">
        <f>IF($BI18&lt;&gt;"",IF('Capacity summary'!$D$14="Yes",IF(COUNTBLANK('Capacity summary'!$H137:$BG137)&lt;52,IF('Capacity summary'!W137&lt;&gt;"",IF(LOWER('Capacity summary'!W137)="x",$BI18*W18,VALUE('Capacity summary'!W137)),0),W18*$BI18),W18*$BI18),0)</f>
        <v>0</v>
      </c>
      <c r="CA18" s="311">
        <f>IF($BI18&lt;&gt;"",IF('Capacity summary'!$D$14="Yes",IF(COUNTBLANK('Capacity summary'!$H137:$BG137)&lt;52,IF('Capacity summary'!X137&lt;&gt;"",IF(LOWER('Capacity summary'!X137)="x",$BI18*X18,VALUE('Capacity summary'!X137)),0),X18*$BI18),X18*$BI18),0)</f>
        <v>0</v>
      </c>
      <c r="CB18" s="311">
        <f>IF($BI18&lt;&gt;"",IF('Capacity summary'!$D$14="Yes",IF(COUNTBLANK('Capacity summary'!$H137:$BG137)&lt;52,IF('Capacity summary'!Y137&lt;&gt;"",IF(LOWER('Capacity summary'!Y137)="x",$BI18*Y18,VALUE('Capacity summary'!Y137)),0),Y18*$BI18),Y18*$BI18),0)</f>
        <v>0</v>
      </c>
      <c r="CC18" s="311">
        <f>IF($BI18&lt;&gt;"",IF('Capacity summary'!$D$14="Yes",IF(COUNTBLANK('Capacity summary'!$H137:$BG137)&lt;52,IF('Capacity summary'!Z137&lt;&gt;"",IF(LOWER('Capacity summary'!Z137)="x",$BI18*Z18,VALUE('Capacity summary'!Z137)),0),Z18*$BI18),Z18*$BI18),0)</f>
        <v>0</v>
      </c>
      <c r="CD18" s="311">
        <f>IF($BI18&lt;&gt;"",IF('Capacity summary'!$D$14="Yes",IF(COUNTBLANK('Capacity summary'!$H137:$BG137)&lt;52,IF('Capacity summary'!AA137&lt;&gt;"",IF(LOWER('Capacity summary'!AA137)="x",$BI18*AA18,VALUE('Capacity summary'!AA137)),0),AA18*$BI18),AA18*$BI18),0)</f>
        <v>0</v>
      </c>
      <c r="CE18" s="311">
        <f>IF($BI18&lt;&gt;"",IF('Capacity summary'!$D$14="Yes",IF(COUNTBLANK('Capacity summary'!$H137:$BG137)&lt;52,IF('Capacity summary'!AB137&lt;&gt;"",IF(LOWER('Capacity summary'!AB137)="x",$BI18*AB18,VALUE('Capacity summary'!AB137)),0),AB18*$BI18),AB18*$BI18),0)</f>
        <v>0</v>
      </c>
      <c r="CF18" s="311">
        <f>IF($BI18&lt;&gt;"",IF('Capacity summary'!$D$14="Yes",IF(COUNTBLANK('Capacity summary'!$H137:$BG137)&lt;52,IF('Capacity summary'!AC137&lt;&gt;"",IF(LOWER('Capacity summary'!AC137)="x",$BI18*AC18,VALUE('Capacity summary'!AC137)),0),AC18*$BI18),AC18*$BI18),0)</f>
        <v>0</v>
      </c>
      <c r="CG18" s="311">
        <f>IF($BI18&lt;&gt;"",IF('Capacity summary'!$D$14="Yes",IF(COUNTBLANK('Capacity summary'!$H137:$BG137)&lt;52,IF('Capacity summary'!AD137&lt;&gt;"",IF(LOWER('Capacity summary'!AD137)="x",$BI18*AD18,VALUE('Capacity summary'!AD137)),0),AD18*$BI18),AD18*$BI18),0)</f>
        <v>0</v>
      </c>
      <c r="CH18" s="311">
        <f>IF($BI18&lt;&gt;"",IF('Capacity summary'!$D$14="Yes",IF(COUNTBLANK('Capacity summary'!$H137:$BG137)&lt;52,IF('Capacity summary'!AE137&lt;&gt;"",IF(LOWER('Capacity summary'!AE137)="x",$BI18*AE18,VALUE('Capacity summary'!AE137)),0),AE18*$BI18),AE18*$BI18),0)</f>
        <v>0</v>
      </c>
      <c r="CI18" s="311">
        <f>IF($BI18&lt;&gt;"",IF('Capacity summary'!$D$14="Yes",IF(COUNTBLANK('Capacity summary'!$H137:$BG137)&lt;52,IF('Capacity summary'!AF137&lt;&gt;"",IF(LOWER('Capacity summary'!AF137)="x",$BI18*AF18,VALUE('Capacity summary'!AF137)),0),AF18*$BI18),AF18*$BI18),0)</f>
        <v>0</v>
      </c>
      <c r="CJ18" s="311">
        <f>IF($BI18&lt;&gt;"",IF('Capacity summary'!$D$14="Yes",IF(COUNTBLANK('Capacity summary'!$H137:$BG137)&lt;52,IF('Capacity summary'!AG137&lt;&gt;"",IF(LOWER('Capacity summary'!AG137)="x",$BI18*AG18,VALUE('Capacity summary'!AG137)),0),AG18*$BI18),AG18*$BI18),0)</f>
        <v>0</v>
      </c>
      <c r="CK18" s="311">
        <f>IF($BI18&lt;&gt;"",IF('Capacity summary'!$D$14="Yes",IF(COUNTBLANK('Capacity summary'!$H137:$BG137)&lt;52,IF('Capacity summary'!AH137&lt;&gt;"",IF(LOWER('Capacity summary'!AH137)="x",$BI18*AH18,VALUE('Capacity summary'!AH137)),0),AH18*$BI18),AH18*$BI18),0)</f>
        <v>0</v>
      </c>
      <c r="CL18" s="311">
        <f>IF($BI18&lt;&gt;"",IF('Capacity summary'!$D$14="Yes",IF(COUNTBLANK('Capacity summary'!$H137:$BG137)&lt;52,IF('Capacity summary'!AI137&lt;&gt;"",IF(LOWER('Capacity summary'!AI137)="x",$BI18*AI18,VALUE('Capacity summary'!AI137)),0),AI18*$BI18),AI18*$BI18),0)</f>
        <v>0</v>
      </c>
      <c r="CM18" s="311">
        <f>IF($BI18&lt;&gt;"",IF('Capacity summary'!$D$14="Yes",IF(COUNTBLANK('Capacity summary'!$H137:$BG137)&lt;52,IF('Capacity summary'!AJ137&lt;&gt;"",IF(LOWER('Capacity summary'!AJ137)="x",$BI18*AJ18,VALUE('Capacity summary'!AJ137)),0),AJ18*$BI18),AJ18*$BI18),0)</f>
        <v>0</v>
      </c>
      <c r="CN18" s="311">
        <f>IF($BI18&lt;&gt;"",IF('Capacity summary'!$D$14="Yes",IF(COUNTBLANK('Capacity summary'!$H137:$BG137)&lt;52,IF('Capacity summary'!AK137&lt;&gt;"",IF(LOWER('Capacity summary'!AK137)="x",$BI18*AK18,VALUE('Capacity summary'!AK137)),0),AK18*$BI18),AK18*$BI18),0)</f>
        <v>0</v>
      </c>
      <c r="CO18" s="311">
        <f>IF($BI18&lt;&gt;"",IF('Capacity summary'!$D$14="Yes",IF(COUNTBLANK('Capacity summary'!$H137:$BG137)&lt;52,IF('Capacity summary'!AL137&lt;&gt;"",IF(LOWER('Capacity summary'!AL137)="x",$BI18*AL18,VALUE('Capacity summary'!AL137)),0),AL18*$BI18),AL18*$BI18),0)</f>
        <v>0</v>
      </c>
      <c r="CP18" s="311">
        <f>IF($BI18&lt;&gt;"",IF('Capacity summary'!$D$14="Yes",IF(COUNTBLANK('Capacity summary'!$H137:$BG137)&lt;52,IF('Capacity summary'!AM137&lt;&gt;"",IF(LOWER('Capacity summary'!AM137)="x",$BI18*AM18,VALUE('Capacity summary'!AM137)),0),AM18*$BI18),AM18*$BI18),0)</f>
        <v>0</v>
      </c>
      <c r="CQ18" s="311">
        <f>IF($BI18&lt;&gt;"",IF('Capacity summary'!$D$14="Yes",IF(COUNTBLANK('Capacity summary'!$H137:$BG137)&lt;52,IF('Capacity summary'!AN137&lt;&gt;"",IF(LOWER('Capacity summary'!AN137)="x",$BI18*AN18,VALUE('Capacity summary'!AN137)),0),AN18*$BI18),AN18*$BI18),0)</f>
        <v>0</v>
      </c>
      <c r="CR18" s="311">
        <f>IF($BI18&lt;&gt;"",IF('Capacity summary'!$D$14="Yes",IF(COUNTBLANK('Capacity summary'!$H137:$BG137)&lt;52,IF('Capacity summary'!AO137&lt;&gt;"",IF(LOWER('Capacity summary'!AO137)="x",$BI18*AO18,VALUE('Capacity summary'!AO137)),0),AO18*$BI18),AO18*$BI18),0)</f>
        <v>0</v>
      </c>
      <c r="CS18" s="311">
        <f>IF($BI18&lt;&gt;"",IF('Capacity summary'!$D$14="Yes",IF(COUNTBLANK('Capacity summary'!$H137:$BG137)&lt;52,IF('Capacity summary'!AP137&lt;&gt;"",IF(LOWER('Capacity summary'!AP137)="x",$BI18*AP18,VALUE('Capacity summary'!AP137)),0),AP18*$BI18),AP18*$BI18),0)</f>
        <v>0</v>
      </c>
      <c r="CT18" s="311">
        <f>IF($BI18&lt;&gt;"",IF('Capacity summary'!$D$14="Yes",IF(COUNTBLANK('Capacity summary'!$H137:$BG137)&lt;52,IF('Capacity summary'!AQ137&lt;&gt;"",IF(LOWER('Capacity summary'!AQ137)="x",$BI18*AQ18,VALUE('Capacity summary'!AQ137)),0),AQ18*$BI18),AQ18*$BI18),0)</f>
        <v>0</v>
      </c>
      <c r="CU18" s="311">
        <f>IF($BI18&lt;&gt;"",IF('Capacity summary'!$D$14="Yes",IF(COUNTBLANK('Capacity summary'!$H137:$BG137)&lt;52,IF('Capacity summary'!AR137&lt;&gt;"",IF(LOWER('Capacity summary'!AR137)="x",$BI18*AR18,VALUE('Capacity summary'!AR137)),0),AR18*$BI18),AR18*$BI18),0)</f>
        <v>0</v>
      </c>
      <c r="CV18" s="311">
        <f>IF($BI18&lt;&gt;"",IF('Capacity summary'!$D$14="Yes",IF(COUNTBLANK('Capacity summary'!$H137:$BG137)&lt;52,IF('Capacity summary'!AS137&lt;&gt;"",IF(LOWER('Capacity summary'!AS137)="x",$BI18*AS18,VALUE('Capacity summary'!AS137)),0),AS18*$BI18),AS18*$BI18),0)</f>
        <v>0</v>
      </c>
      <c r="CW18" s="311">
        <f>IF($BI18&lt;&gt;"",IF('Capacity summary'!$D$14="Yes",IF(COUNTBLANK('Capacity summary'!$H137:$BG137)&lt;52,IF('Capacity summary'!AT137&lt;&gt;"",IF(LOWER('Capacity summary'!AT137)="x",$BI18*AT18,VALUE('Capacity summary'!AT137)),0),AT18*$BI18),AT18*$BI18),0)</f>
        <v>0</v>
      </c>
      <c r="CX18" s="311">
        <f>IF($BI18&lt;&gt;"",IF('Capacity summary'!$D$14="Yes",IF(COUNTBLANK('Capacity summary'!$H137:$BG137)&lt;52,IF('Capacity summary'!AU137&lt;&gt;"",IF(LOWER('Capacity summary'!AU137)="x",$BI18*AU18,VALUE('Capacity summary'!AU137)),0),AU18*$BI18),AU18*$BI18),0)</f>
        <v>0</v>
      </c>
      <c r="CY18" s="311">
        <f>IF($BI18&lt;&gt;"",IF('Capacity summary'!$D$14="Yes",IF(COUNTBLANK('Capacity summary'!$H137:$BG137)&lt;52,IF('Capacity summary'!AV137&lt;&gt;"",IF(LOWER('Capacity summary'!AV137)="x",$BI18*AV18,VALUE('Capacity summary'!AV137)),0),AV18*$BI18),AV18*$BI18),0)</f>
        <v>0</v>
      </c>
      <c r="CZ18" s="311">
        <f>IF($BI18&lt;&gt;"",IF('Capacity summary'!$D$14="Yes",IF(COUNTBLANK('Capacity summary'!$H137:$BG137)&lt;52,IF('Capacity summary'!AW137&lt;&gt;"",IF(LOWER('Capacity summary'!AW137)="x",$BI18*AW18,VALUE('Capacity summary'!AW137)),0),AW18*$BI18),AW18*$BI18),0)</f>
        <v>0</v>
      </c>
      <c r="DA18" s="311">
        <f>IF($BI18&lt;&gt;"",IF('Capacity summary'!$D$14="Yes",IF(COUNTBLANK('Capacity summary'!$H137:$BG137)&lt;52,IF('Capacity summary'!AX137&lt;&gt;"",IF(LOWER('Capacity summary'!AX137)="x",$BI18*AX18,VALUE('Capacity summary'!AX137)),0),AX18*$BI18),AX18*$BI18),0)</f>
        <v>0</v>
      </c>
      <c r="DB18" s="311">
        <f>IF($BI18&lt;&gt;"",IF('Capacity summary'!$D$14="Yes",IF(COUNTBLANK('Capacity summary'!$H137:$BG137)&lt;52,IF('Capacity summary'!AY137&lt;&gt;"",IF(LOWER('Capacity summary'!AY137)="x",$BI18*AY18,VALUE('Capacity summary'!AY137)),0),AY18*$BI18),AY18*$BI18),0)</f>
        <v>0</v>
      </c>
      <c r="DC18" s="311">
        <f>IF($BI18&lt;&gt;"",IF('Capacity summary'!$D$14="Yes",IF(COUNTBLANK('Capacity summary'!$H137:$BG137)&lt;52,IF('Capacity summary'!AZ137&lt;&gt;"",IF(LOWER('Capacity summary'!AZ137)="x",$BI18*AZ18,VALUE('Capacity summary'!AZ137)),0),AZ18*$BI18),AZ18*$BI18),0)</f>
        <v>0</v>
      </c>
      <c r="DD18" s="311">
        <f>IF($BI18&lt;&gt;"",IF('Capacity summary'!$D$14="Yes",IF(COUNTBLANK('Capacity summary'!$H137:$BG137)&lt;52,IF('Capacity summary'!BA137&lt;&gt;"",IF(LOWER('Capacity summary'!BA137)="x",$BI18*BA18,VALUE('Capacity summary'!BA137)),0),BA18*$BI18),BA18*$BI18),0)</f>
        <v>0</v>
      </c>
      <c r="DE18" s="311">
        <f>IF($BI18&lt;&gt;"",IF('Capacity summary'!$D$14="Yes",IF(COUNTBLANK('Capacity summary'!$H137:$BG137)&lt;52,IF('Capacity summary'!BB137&lt;&gt;"",IF(LOWER('Capacity summary'!BB137)="x",$BI18*BB18,VALUE('Capacity summary'!BB137)),0),BB18*$BI18),BB18*$BI18),0)</f>
        <v>0</v>
      </c>
      <c r="DF18" s="311">
        <f>IF($BI18&lt;&gt;"",IF('Capacity summary'!$D$14="Yes",IF(COUNTBLANK('Capacity summary'!$H137:$BG137)&lt;52,IF('Capacity summary'!BC137&lt;&gt;"",IF(LOWER('Capacity summary'!BC137)="x",$BI18*BC18,VALUE('Capacity summary'!BC137)),0),BC18*$BI18),BC18*$BI18),0)</f>
        <v>0</v>
      </c>
      <c r="DG18" s="311">
        <f>IF($BI18&lt;&gt;"",IF('Capacity summary'!$D$14="Yes",IF(COUNTBLANK('Capacity summary'!$H137:$BG137)&lt;52,IF('Capacity summary'!BD137&lt;&gt;"",IF(LOWER('Capacity summary'!BD137)="x",$BI18*BD18,VALUE('Capacity summary'!BD137)),0),BD18*$BI18),BD18*$BI18),0)</f>
        <v>0</v>
      </c>
      <c r="DH18" s="311">
        <f>IF($BI18&lt;&gt;"",IF('Capacity summary'!$D$14="Yes",IF(COUNTBLANK('Capacity summary'!$H137:$BG137)&lt;52,IF('Capacity summary'!BE137&lt;&gt;"",IF(LOWER('Capacity summary'!BE137)="x",$BI18*BE18,VALUE('Capacity summary'!BE137)),0),BE18*$BI18),BE18*$BI18),0)</f>
        <v>0</v>
      </c>
      <c r="DI18" s="311">
        <f>IF($BI18&lt;&gt;"",IF('Capacity summary'!$D$14="Yes",IF(COUNTBLANK('Capacity summary'!$H137:$BG137)&lt;52,IF('Capacity summary'!BF137&lt;&gt;"",IF(LOWER('Capacity summary'!BF137)="x",$BI18*BF18,VALUE('Capacity summary'!BF137)),0),BF18*$BI18),BF18*$BI18),0)</f>
        <v>0</v>
      </c>
      <c r="DJ18" s="311">
        <f>IF($BI18&lt;&gt;"",IF('Capacity summary'!$D$14="Yes",IF(COUNTBLANK('Capacity summary'!$H137:$BG137)&lt;52,IF('Capacity summary'!BG137&lt;&gt;"",IF(LOWER('Capacity summary'!BG137)="x",$BI18*BG18,VALUE('Capacity summary'!BG137)),0),BG18*$BI18),BG18*$BI18),0)</f>
        <v>0</v>
      </c>
      <c r="DK18" s="391">
        <f t="shared" si="2"/>
        <v>0</v>
      </c>
      <c r="DL18" s="136">
        <f t="shared" si="3"/>
        <v>0</v>
      </c>
      <c r="DM18" s="311" t="str">
        <f>Capacity!H30</f>
        <v/>
      </c>
      <c r="DQ18" s="5"/>
    </row>
    <row r="19" spans="1:121" x14ac:dyDescent="0.2">
      <c r="A19" s="67">
        <f>IF(Capacity!L31='Capacity summary'!BI138,1,0)</f>
        <v>1</v>
      </c>
      <c r="B19" s="67">
        <f>IF(Capacity!V31='Capacity summary'!BI38,1,0)</f>
        <v>1</v>
      </c>
      <c r="C19" s="67" t="str">
        <f>ROW(A15)&amp;". "&amp;Capacity!B31</f>
        <v xml:space="preserve">15. </v>
      </c>
      <c r="D19" s="67">
        <f>'Capacity setup'!C26</f>
        <v>0</v>
      </c>
      <c r="E19" s="67">
        <f>'Capacity setup'!D26</f>
        <v>0</v>
      </c>
      <c r="F19" s="67">
        <f>'Capacity setup'!E26</f>
        <v>0</v>
      </c>
      <c r="H19" s="67">
        <f ca="1">IF(LOWER(Capacity!$L31)="x",IF(AND(SUMIF(Capacity_Resource,$D19,'Critical resources (hide)'!U$6:U$105)+SUMIF(Capacity_Resource,$E19,'Critical resources (hide)'!U$6:U$105)+SUMIF(Capacity_Resource,$F19,'Critical resources (hide)'!U$6:U$105)&gt;0,$E$1=2),0,1),0)</f>
        <v>1</v>
      </c>
      <c r="I19" s="67">
        <f ca="1">IF(LOWER(Capacity!$L31)="x",IF(AND(SUMIF(Capacity_Resource,$D19,'Critical resources (hide)'!V$6:V$105)+SUMIF(Capacity_Resource,$E19,'Critical resources (hide)'!V$6:V$105)+SUMIF(Capacity_Resource,$F19,'Critical resources (hide)'!V$6:V$105)&gt;0,$E$1=2),0,1),0)</f>
        <v>1</v>
      </c>
      <c r="J19" s="67">
        <f ca="1">IF(LOWER(Capacity!$L31)="x",IF(AND(SUMIF(Capacity_Resource,$D19,'Critical resources (hide)'!W$6:W$105)+SUMIF(Capacity_Resource,$E19,'Critical resources (hide)'!W$6:W$105)+SUMIF(Capacity_Resource,$F19,'Critical resources (hide)'!W$6:W$105)&gt;0,$E$1=2),0,1),0)</f>
        <v>1</v>
      </c>
      <c r="K19" s="67">
        <f ca="1">IF(LOWER(Capacity!$L31)="x",IF(AND(SUMIF(Capacity_Resource,$D19,'Critical resources (hide)'!X$6:X$105)+SUMIF(Capacity_Resource,$E19,'Critical resources (hide)'!X$6:X$105)+SUMIF(Capacity_Resource,$F19,'Critical resources (hide)'!X$6:X$105)&gt;0,$E$1=2),0,1),0)</f>
        <v>1</v>
      </c>
      <c r="L19" s="67">
        <f ca="1">IF(LOWER(Capacity!$L31)="x",IF(AND(SUMIF(Capacity_Resource,$D19,'Critical resources (hide)'!Y$6:Y$105)+SUMIF(Capacity_Resource,$E19,'Critical resources (hide)'!Y$6:Y$105)+SUMIF(Capacity_Resource,$F19,'Critical resources (hide)'!Y$6:Y$105)&gt;0,$E$1=2),0,1),0)</f>
        <v>1</v>
      </c>
      <c r="M19" s="67">
        <f ca="1">IF(LOWER(Capacity!$L31)="x",IF(AND(SUMIF(Capacity_Resource,$D19,'Critical resources (hide)'!Z$6:Z$105)+SUMIF(Capacity_Resource,$E19,'Critical resources (hide)'!Z$6:Z$105)+SUMIF(Capacity_Resource,$F19,'Critical resources (hide)'!Z$6:Z$105)&gt;0,$E$1=2),0,1),0)</f>
        <v>1</v>
      </c>
      <c r="N19" s="67">
        <f ca="1">IF(LOWER(Capacity!$L31)="x",IF(AND(SUMIF(Capacity_Resource,$D19,'Critical resources (hide)'!AA$6:AA$105)+SUMIF(Capacity_Resource,$E19,'Critical resources (hide)'!AA$6:AA$105)+SUMIF(Capacity_Resource,$F19,'Critical resources (hide)'!AA$6:AA$105)&gt;0,$E$1=2),0,1),0)</f>
        <v>1</v>
      </c>
      <c r="O19" s="67">
        <f ca="1">IF(LOWER(Capacity!$L31)="x",IF(AND(SUMIF(Capacity_Resource,$D19,'Critical resources (hide)'!AB$6:AB$105)+SUMIF(Capacity_Resource,$E19,'Critical resources (hide)'!AB$6:AB$105)+SUMIF(Capacity_Resource,$F19,'Critical resources (hide)'!AB$6:AB$105)&gt;0,$E$1=2),0,1),0)</f>
        <v>1</v>
      </c>
      <c r="P19" s="67">
        <f ca="1">IF(LOWER(Capacity!$L31)="x",IF(AND(SUMIF(Capacity_Resource,$D19,'Critical resources (hide)'!AC$6:AC$105)+SUMIF(Capacity_Resource,$E19,'Critical resources (hide)'!AC$6:AC$105)+SUMIF(Capacity_Resource,$F19,'Critical resources (hide)'!AC$6:AC$105)&gt;0,$E$1=2),0,1),0)</f>
        <v>1</v>
      </c>
      <c r="Q19" s="67">
        <f ca="1">IF(LOWER(Capacity!$L31)="x",IF(AND(SUMIF(Capacity_Resource,$D19,'Critical resources (hide)'!AD$6:AD$105)+SUMIF(Capacity_Resource,$E19,'Critical resources (hide)'!AD$6:AD$105)+SUMIF(Capacity_Resource,$F19,'Critical resources (hide)'!AD$6:AD$105)&gt;0,$E$1=2),0,1),0)</f>
        <v>1</v>
      </c>
      <c r="R19" s="67">
        <f ca="1">IF(LOWER(Capacity!$L31)="x",IF(AND(SUMIF(Capacity_Resource,$D19,'Critical resources (hide)'!AE$6:AE$105)+SUMIF(Capacity_Resource,$E19,'Critical resources (hide)'!AE$6:AE$105)+SUMIF(Capacity_Resource,$F19,'Critical resources (hide)'!AE$6:AE$105)&gt;0,$E$1=2),0,1),0)</f>
        <v>1</v>
      </c>
      <c r="S19" s="67">
        <f ca="1">IF(LOWER(Capacity!$L31)="x",IF(AND(SUMIF(Capacity_Resource,$D19,'Critical resources (hide)'!AF$6:AF$105)+SUMIF(Capacity_Resource,$E19,'Critical resources (hide)'!AF$6:AF$105)+SUMIF(Capacity_Resource,$F19,'Critical resources (hide)'!AF$6:AF$105)&gt;0,$E$1=2),0,1),0)</f>
        <v>1</v>
      </c>
      <c r="T19" s="67">
        <f ca="1">IF(LOWER(Capacity!$L31)="x",IF(AND(SUMIF(Capacity_Resource,$D19,'Critical resources (hide)'!AG$6:AG$105)+SUMIF(Capacity_Resource,$E19,'Critical resources (hide)'!AG$6:AG$105)+SUMIF(Capacity_Resource,$F19,'Critical resources (hide)'!AG$6:AG$105)&gt;0,$E$1=2),0,1),0)</f>
        <v>1</v>
      </c>
      <c r="U19" s="67">
        <f ca="1">IF(LOWER(Capacity!$L31)="x",IF(AND(SUMIF(Capacity_Resource,$D19,'Critical resources (hide)'!AH$6:AH$105)+SUMIF(Capacity_Resource,$E19,'Critical resources (hide)'!AH$6:AH$105)+SUMIF(Capacity_Resource,$F19,'Critical resources (hide)'!AH$6:AH$105)&gt;0,$E$1=2),0,1),0)</f>
        <v>1</v>
      </c>
      <c r="V19" s="67">
        <f ca="1">IF(LOWER(Capacity!$L31)="x",IF(AND(SUMIF(Capacity_Resource,$D19,'Critical resources (hide)'!AI$6:AI$105)+SUMIF(Capacity_Resource,$E19,'Critical resources (hide)'!AI$6:AI$105)+SUMIF(Capacity_Resource,$F19,'Critical resources (hide)'!AI$6:AI$105)&gt;0,$E$1=2),0,1),0)</f>
        <v>1</v>
      </c>
      <c r="W19" s="67">
        <f ca="1">IF(LOWER(Capacity!$L31)="x",IF(AND(SUMIF(Capacity_Resource,$D19,'Critical resources (hide)'!AJ$6:AJ$105)+SUMIF(Capacity_Resource,$E19,'Critical resources (hide)'!AJ$6:AJ$105)+SUMIF(Capacity_Resource,$F19,'Critical resources (hide)'!AJ$6:AJ$105)&gt;0,$E$1=2),0,1),0)</f>
        <v>1</v>
      </c>
      <c r="X19" s="67">
        <f ca="1">IF(LOWER(Capacity!$L31)="x",IF(AND(SUMIF(Capacity_Resource,$D19,'Critical resources (hide)'!AK$6:AK$105)+SUMIF(Capacity_Resource,$E19,'Critical resources (hide)'!AK$6:AK$105)+SUMIF(Capacity_Resource,$F19,'Critical resources (hide)'!AK$6:AK$105)&gt;0,$E$1=2),0,1),0)</f>
        <v>1</v>
      </c>
      <c r="Y19" s="67">
        <f ca="1">IF(LOWER(Capacity!$L31)="x",IF(AND(SUMIF(Capacity_Resource,$D19,'Critical resources (hide)'!AL$6:AL$105)+SUMIF(Capacity_Resource,$E19,'Critical resources (hide)'!AL$6:AL$105)+SUMIF(Capacity_Resource,$F19,'Critical resources (hide)'!AL$6:AL$105)&gt;0,$E$1=2),0,1),0)</f>
        <v>1</v>
      </c>
      <c r="Z19" s="67">
        <f ca="1">IF(LOWER(Capacity!$L31)="x",IF(AND(SUMIF(Capacity_Resource,$D19,'Critical resources (hide)'!AM$6:AM$105)+SUMIF(Capacity_Resource,$E19,'Critical resources (hide)'!AM$6:AM$105)+SUMIF(Capacity_Resource,$F19,'Critical resources (hide)'!AM$6:AM$105)&gt;0,$E$1=2),0,1),0)</f>
        <v>1</v>
      </c>
      <c r="AA19" s="67">
        <f ca="1">IF(LOWER(Capacity!$L31)="x",IF(AND(SUMIF(Capacity_Resource,$D19,'Critical resources (hide)'!AN$6:AN$105)+SUMIF(Capacity_Resource,$E19,'Critical resources (hide)'!AN$6:AN$105)+SUMIF(Capacity_Resource,$F19,'Critical resources (hide)'!AN$6:AN$105)&gt;0,$E$1=2),0,1),0)</f>
        <v>1</v>
      </c>
      <c r="AB19" s="67">
        <f ca="1">IF(LOWER(Capacity!$L31)="x",IF(AND(SUMIF(Capacity_Resource,$D19,'Critical resources (hide)'!AO$6:AO$105)+SUMIF(Capacity_Resource,$E19,'Critical resources (hide)'!AO$6:AO$105)+SUMIF(Capacity_Resource,$F19,'Critical resources (hide)'!AO$6:AO$105)&gt;0,$E$1=2),0,1),0)</f>
        <v>1</v>
      </c>
      <c r="AC19" s="67">
        <f ca="1">IF(LOWER(Capacity!$L31)="x",IF(AND(SUMIF(Capacity_Resource,$D19,'Critical resources (hide)'!AP$6:AP$105)+SUMIF(Capacity_Resource,$E19,'Critical resources (hide)'!AP$6:AP$105)+SUMIF(Capacity_Resource,$F19,'Critical resources (hide)'!AP$6:AP$105)&gt;0,$E$1=2),0,1),0)</f>
        <v>1</v>
      </c>
      <c r="AD19" s="67">
        <f ca="1">IF(LOWER(Capacity!$L31)="x",IF(AND(SUMIF(Capacity_Resource,$D19,'Critical resources (hide)'!AQ$6:AQ$105)+SUMIF(Capacity_Resource,$E19,'Critical resources (hide)'!AQ$6:AQ$105)+SUMIF(Capacity_Resource,$F19,'Critical resources (hide)'!AQ$6:AQ$105)&gt;0,$E$1=2),0,1),0)</f>
        <v>1</v>
      </c>
      <c r="AE19" s="67">
        <f ca="1">IF(LOWER(Capacity!$L31)="x",IF(AND(SUMIF(Capacity_Resource,$D19,'Critical resources (hide)'!AR$6:AR$105)+SUMIF(Capacity_Resource,$E19,'Critical resources (hide)'!AR$6:AR$105)+SUMIF(Capacity_Resource,$F19,'Critical resources (hide)'!AR$6:AR$105)&gt;0,$E$1=2),0,1),0)</f>
        <v>1</v>
      </c>
      <c r="AF19" s="67">
        <f ca="1">IF(LOWER(Capacity!$L31)="x",IF(AND(SUMIF(Capacity_Resource,$D19,'Critical resources (hide)'!AS$6:AS$105)+SUMIF(Capacity_Resource,$E19,'Critical resources (hide)'!AS$6:AS$105)+SUMIF(Capacity_Resource,$F19,'Critical resources (hide)'!AS$6:AS$105)&gt;0,$E$1=2),0,1),0)</f>
        <v>1</v>
      </c>
      <c r="AG19" s="67">
        <f ca="1">IF(LOWER(Capacity!$L31)="x",IF(AND(SUMIF(Capacity_Resource,$D19,'Critical resources (hide)'!AT$6:AT$105)+SUMIF(Capacity_Resource,$E19,'Critical resources (hide)'!AT$6:AT$105)+SUMIF(Capacity_Resource,$F19,'Critical resources (hide)'!AT$6:AT$105)&gt;0,$E$1=2),0,1),0)</f>
        <v>1</v>
      </c>
      <c r="AH19" s="67">
        <f ca="1">IF(LOWER(Capacity!$L31)="x",IF(AND(SUMIF(Capacity_Resource,$D19,'Critical resources (hide)'!AU$6:AU$105)+SUMIF(Capacity_Resource,$E19,'Critical resources (hide)'!AU$6:AU$105)+SUMIF(Capacity_Resource,$F19,'Critical resources (hide)'!AU$6:AU$105)&gt;0,$E$1=2),0,1),0)</f>
        <v>1</v>
      </c>
      <c r="AI19" s="67">
        <f ca="1">IF(LOWER(Capacity!$L31)="x",IF(AND(SUMIF(Capacity_Resource,$D19,'Critical resources (hide)'!AV$6:AV$105)+SUMIF(Capacity_Resource,$E19,'Critical resources (hide)'!AV$6:AV$105)+SUMIF(Capacity_Resource,$F19,'Critical resources (hide)'!AV$6:AV$105)&gt;0,$E$1=2),0,1),0)</f>
        <v>1</v>
      </c>
      <c r="AJ19" s="67">
        <f ca="1">IF(LOWER(Capacity!$L31)="x",IF(AND(SUMIF(Capacity_Resource,$D19,'Critical resources (hide)'!AW$6:AW$105)+SUMIF(Capacity_Resource,$E19,'Critical resources (hide)'!AW$6:AW$105)+SUMIF(Capacity_Resource,$F19,'Critical resources (hide)'!AW$6:AW$105)&gt;0,$E$1=2),0,1),0)</f>
        <v>1</v>
      </c>
      <c r="AK19" s="67">
        <f ca="1">IF(LOWER(Capacity!$L31)="x",IF(AND(SUMIF(Capacity_Resource,$D19,'Critical resources (hide)'!AX$6:AX$105)+SUMIF(Capacity_Resource,$E19,'Critical resources (hide)'!AX$6:AX$105)+SUMIF(Capacity_Resource,$F19,'Critical resources (hide)'!AX$6:AX$105)&gt;0,$E$1=2),0,1),0)</f>
        <v>1</v>
      </c>
      <c r="AL19" s="67">
        <f ca="1">IF(LOWER(Capacity!$L31)="x",IF(AND(SUMIF(Capacity_Resource,$D19,'Critical resources (hide)'!AY$6:AY$105)+SUMIF(Capacity_Resource,$E19,'Critical resources (hide)'!AY$6:AY$105)+SUMIF(Capacity_Resource,$F19,'Critical resources (hide)'!AY$6:AY$105)&gt;0,$E$1=2),0,1),0)</f>
        <v>1</v>
      </c>
      <c r="AM19" s="67">
        <f ca="1">IF(LOWER(Capacity!$L31)="x",IF(AND(SUMIF(Capacity_Resource,$D19,'Critical resources (hide)'!AZ$6:AZ$105)+SUMIF(Capacity_Resource,$E19,'Critical resources (hide)'!AZ$6:AZ$105)+SUMIF(Capacity_Resource,$F19,'Critical resources (hide)'!AZ$6:AZ$105)&gt;0,$E$1=2),0,1),0)</f>
        <v>1</v>
      </c>
      <c r="AN19" s="67">
        <f ca="1">IF(LOWER(Capacity!$L31)="x",IF(AND(SUMIF(Capacity_Resource,$D19,'Critical resources (hide)'!BA$6:BA$105)+SUMIF(Capacity_Resource,$E19,'Critical resources (hide)'!BA$6:BA$105)+SUMIF(Capacity_Resource,$F19,'Critical resources (hide)'!BA$6:BA$105)&gt;0,$E$1=2),0,1),0)</f>
        <v>1</v>
      </c>
      <c r="AO19" s="67">
        <f ca="1">IF(LOWER(Capacity!$L31)="x",IF(AND(SUMIF(Capacity_Resource,$D19,'Critical resources (hide)'!BB$6:BB$105)+SUMIF(Capacity_Resource,$E19,'Critical resources (hide)'!BB$6:BB$105)+SUMIF(Capacity_Resource,$F19,'Critical resources (hide)'!BB$6:BB$105)&gt;0,$E$1=2),0,1),0)</f>
        <v>1</v>
      </c>
      <c r="AP19" s="67">
        <f ca="1">IF(LOWER(Capacity!$L31)="x",IF(AND(SUMIF(Capacity_Resource,$D19,'Critical resources (hide)'!BC$6:BC$105)+SUMIF(Capacity_Resource,$E19,'Critical resources (hide)'!BC$6:BC$105)+SUMIF(Capacity_Resource,$F19,'Critical resources (hide)'!BC$6:BC$105)&gt;0,$E$1=2),0,1),0)</f>
        <v>1</v>
      </c>
      <c r="AQ19" s="67">
        <f ca="1">IF(LOWER(Capacity!$L31)="x",IF(AND(SUMIF(Capacity_Resource,$D19,'Critical resources (hide)'!BD$6:BD$105)+SUMIF(Capacity_Resource,$E19,'Critical resources (hide)'!BD$6:BD$105)+SUMIF(Capacity_Resource,$F19,'Critical resources (hide)'!BD$6:BD$105)&gt;0,$E$1=2),0,1),0)</f>
        <v>1</v>
      </c>
      <c r="AR19" s="67">
        <f ca="1">IF(LOWER(Capacity!$L31)="x",IF(AND(SUMIF(Capacity_Resource,$D19,'Critical resources (hide)'!BE$6:BE$105)+SUMIF(Capacity_Resource,$E19,'Critical resources (hide)'!BE$6:BE$105)+SUMIF(Capacity_Resource,$F19,'Critical resources (hide)'!BE$6:BE$105)&gt;0,$E$1=2),0,1),0)</f>
        <v>1</v>
      </c>
      <c r="AS19" s="67">
        <f ca="1">IF(LOWER(Capacity!$L31)="x",IF(AND(SUMIF(Capacity_Resource,$D19,'Critical resources (hide)'!BF$6:BF$105)+SUMIF(Capacity_Resource,$E19,'Critical resources (hide)'!BF$6:BF$105)+SUMIF(Capacity_Resource,$F19,'Critical resources (hide)'!BF$6:BF$105)&gt;0,$E$1=2),0,1),0)</f>
        <v>1</v>
      </c>
      <c r="AT19" s="67">
        <f ca="1">IF(LOWER(Capacity!$L31)="x",IF(AND(SUMIF(Capacity_Resource,$D19,'Critical resources (hide)'!BG$6:BG$105)+SUMIF(Capacity_Resource,$E19,'Critical resources (hide)'!BG$6:BG$105)+SUMIF(Capacity_Resource,$F19,'Critical resources (hide)'!BG$6:BG$105)&gt;0,$E$1=2),0,1),0)</f>
        <v>1</v>
      </c>
      <c r="AU19" s="67">
        <f ca="1">IF(LOWER(Capacity!$L31)="x",IF(AND(SUMIF(Capacity_Resource,$D19,'Critical resources (hide)'!BH$6:BH$105)+SUMIF(Capacity_Resource,$E19,'Critical resources (hide)'!BH$6:BH$105)+SUMIF(Capacity_Resource,$F19,'Critical resources (hide)'!BH$6:BH$105)&gt;0,$E$1=2),0,1),0)</f>
        <v>1</v>
      </c>
      <c r="AV19" s="67">
        <f ca="1">IF(LOWER(Capacity!$L31)="x",IF(AND(SUMIF(Capacity_Resource,$D19,'Critical resources (hide)'!BI$6:BI$105)+SUMIF(Capacity_Resource,$E19,'Critical resources (hide)'!BI$6:BI$105)+SUMIF(Capacity_Resource,$F19,'Critical resources (hide)'!BI$6:BI$105)&gt;0,$E$1=2),0,1),0)</f>
        <v>1</v>
      </c>
      <c r="AW19" s="67">
        <f ca="1">IF(LOWER(Capacity!$L31)="x",IF(AND(SUMIF(Capacity_Resource,$D19,'Critical resources (hide)'!BJ$6:BJ$105)+SUMIF(Capacity_Resource,$E19,'Critical resources (hide)'!BJ$6:BJ$105)+SUMIF(Capacity_Resource,$F19,'Critical resources (hide)'!BJ$6:BJ$105)&gt;0,$E$1=2),0,1),0)</f>
        <v>1</v>
      </c>
      <c r="AX19" s="67">
        <f ca="1">IF(LOWER(Capacity!$L31)="x",IF(AND(SUMIF(Capacity_Resource,$D19,'Critical resources (hide)'!BK$6:BK$105)+SUMIF(Capacity_Resource,$E19,'Critical resources (hide)'!BK$6:BK$105)+SUMIF(Capacity_Resource,$F19,'Critical resources (hide)'!BK$6:BK$105)&gt;0,$E$1=2),0,1),0)</f>
        <v>1</v>
      </c>
      <c r="AY19" s="67">
        <f ca="1">IF(LOWER(Capacity!$L31)="x",IF(AND(SUMIF(Capacity_Resource,$D19,'Critical resources (hide)'!BL$6:BL$105)+SUMIF(Capacity_Resource,$E19,'Critical resources (hide)'!BL$6:BL$105)+SUMIF(Capacity_Resource,$F19,'Critical resources (hide)'!BL$6:BL$105)&gt;0,$E$1=2),0,1),0)</f>
        <v>1</v>
      </c>
      <c r="AZ19" s="67">
        <f ca="1">IF(LOWER(Capacity!$L31)="x",IF(AND(SUMIF(Capacity_Resource,$D19,'Critical resources (hide)'!BM$6:BM$105)+SUMIF(Capacity_Resource,$E19,'Critical resources (hide)'!BM$6:BM$105)+SUMIF(Capacity_Resource,$F19,'Critical resources (hide)'!BM$6:BM$105)&gt;0,$E$1=2),0,1),0)</f>
        <v>1</v>
      </c>
      <c r="BA19" s="67">
        <f ca="1">IF(LOWER(Capacity!$L31)="x",IF(AND(SUMIF(Capacity_Resource,$D19,'Critical resources (hide)'!BN$6:BN$105)+SUMIF(Capacity_Resource,$E19,'Critical resources (hide)'!BN$6:BN$105)+SUMIF(Capacity_Resource,$F19,'Critical resources (hide)'!BN$6:BN$105)&gt;0,$E$1=2),0,1),0)</f>
        <v>1</v>
      </c>
      <c r="BB19" s="67">
        <f ca="1">IF(LOWER(Capacity!$L31)="x",IF(AND(SUMIF(Capacity_Resource,$D19,'Critical resources (hide)'!BO$6:BO$105)+SUMIF(Capacity_Resource,$E19,'Critical resources (hide)'!BO$6:BO$105)+SUMIF(Capacity_Resource,$F19,'Critical resources (hide)'!BO$6:BO$105)&gt;0,$E$1=2),0,1),0)</f>
        <v>1</v>
      </c>
      <c r="BC19" s="67">
        <f ca="1">IF(LOWER(Capacity!$L31)="x",IF(AND(SUMIF(Capacity_Resource,$D19,'Critical resources (hide)'!BP$6:BP$105)+SUMIF(Capacity_Resource,$E19,'Critical resources (hide)'!BP$6:BP$105)+SUMIF(Capacity_Resource,$F19,'Critical resources (hide)'!BP$6:BP$105)&gt;0,$E$1=2),0,1),0)</f>
        <v>1</v>
      </c>
      <c r="BD19" s="67">
        <f ca="1">IF(LOWER(Capacity!$L31)="x",IF(AND(SUMIF(Capacity_Resource,$D19,'Critical resources (hide)'!BQ$6:BQ$105)+SUMIF(Capacity_Resource,$E19,'Critical resources (hide)'!BQ$6:BQ$105)+SUMIF(Capacity_Resource,$F19,'Critical resources (hide)'!BQ$6:BQ$105)&gt;0,$E$1=2),0,1),0)</f>
        <v>1</v>
      </c>
      <c r="BE19" s="67">
        <f ca="1">IF(LOWER(Capacity!$L31)="x",IF(AND(SUMIF(Capacity_Resource,$D19,'Critical resources (hide)'!BR$6:BR$105)+SUMIF(Capacity_Resource,$E19,'Critical resources (hide)'!BR$6:BR$105)+SUMIF(Capacity_Resource,$F19,'Critical resources (hide)'!BR$6:BR$105)&gt;0,$E$1=2),0,1),0)</f>
        <v>1</v>
      </c>
      <c r="BF19" s="67">
        <f ca="1">IF(LOWER(Capacity!$L31)="x",IF(AND(SUMIF(Capacity_Resource,$D19,'Critical resources (hide)'!BS$6:BS$105)+SUMIF(Capacity_Resource,$E19,'Critical resources (hide)'!BS$6:BS$105)+SUMIF(Capacity_Resource,$F19,'Critical resources (hide)'!BS$6:BS$105)&gt;0,$E$1=2),0,1),0)</f>
        <v>1</v>
      </c>
      <c r="BG19" s="67">
        <f ca="1">IF(LOWER(Capacity!$L31)="x",IF(AND(SUMIF(Capacity_Resource,$D19,'Critical resources (hide)'!BT$6:BT$105)+SUMIF(Capacity_Resource,$E19,'Critical resources (hide)'!BT$6:BT$105)+SUMIF(Capacity_Resource,$F19,'Critical resources (hide)'!BT$6:BT$105)&gt;0,$E$1=2),0,1),0)</f>
        <v>1</v>
      </c>
      <c r="BH19" s="67">
        <f>IF(ROW(C15)&lt;=Capacity!$A$16,IF('Capacity summary'!$D$14="No",SUM(H19:BG19),'Capacity summary'!$E138),0)</f>
        <v>0</v>
      </c>
      <c r="BI19" s="5" t="str">
        <f>IF(BH19&gt;0,IF(BH19&lt;Capacity!E31,Capacity!F31,Capacity!H31/'Capacity calculation (hide)'!BH19),"")</f>
        <v/>
      </c>
      <c r="BK19" s="311">
        <f>IF($BI19&lt;&gt;"",IF('Capacity summary'!$D$14="Yes",IF(COUNTBLANK('Capacity summary'!$H138:$BG138)&lt;52,IF('Capacity summary'!H138&lt;&gt;"",IF(LOWER('Capacity summary'!H138)="x",$BI19*H19,VALUE('Capacity summary'!H138)),0),H19*$BI19),H19*$BI19),0)</f>
        <v>0</v>
      </c>
      <c r="BL19" s="311">
        <f>IF($BI19&lt;&gt;"",IF('Capacity summary'!$D$14="Yes",IF(COUNTBLANK('Capacity summary'!$H138:$BG138)&lt;52,IF('Capacity summary'!I138&lt;&gt;"",IF(LOWER('Capacity summary'!I138)="x",$BI19*I19,VALUE('Capacity summary'!I138)),0),I19*$BI19),I19*$BI19),0)</f>
        <v>0</v>
      </c>
      <c r="BM19" s="311">
        <f>IF($BI19&lt;&gt;"",IF('Capacity summary'!$D$14="Yes",IF(COUNTBLANK('Capacity summary'!$H138:$BG138)&lt;52,IF('Capacity summary'!J138&lt;&gt;"",IF(LOWER('Capacity summary'!J138)="x",$BI19*J19,VALUE('Capacity summary'!J138)),0),J19*$BI19),J19*$BI19),0)</f>
        <v>0</v>
      </c>
      <c r="BN19" s="311">
        <f>IF($BI19&lt;&gt;"",IF('Capacity summary'!$D$14="Yes",IF(COUNTBLANK('Capacity summary'!$H138:$BG138)&lt;52,IF('Capacity summary'!K138&lt;&gt;"",IF(LOWER('Capacity summary'!K138)="x",$BI19*K19,VALUE('Capacity summary'!K138)),0),K19*$BI19),K19*$BI19),0)</f>
        <v>0</v>
      </c>
      <c r="BO19" s="311">
        <f>IF($BI19&lt;&gt;"",IF('Capacity summary'!$D$14="Yes",IF(COUNTBLANK('Capacity summary'!$H138:$BG138)&lt;52,IF('Capacity summary'!L138&lt;&gt;"",IF(LOWER('Capacity summary'!L138)="x",$BI19*L19,VALUE('Capacity summary'!L138)),0),L19*$BI19),L19*$BI19),0)</f>
        <v>0</v>
      </c>
      <c r="BP19" s="311">
        <f>IF($BI19&lt;&gt;"",IF('Capacity summary'!$D$14="Yes",IF(COUNTBLANK('Capacity summary'!$H138:$BG138)&lt;52,IF('Capacity summary'!M138&lt;&gt;"",IF(LOWER('Capacity summary'!M138)="x",$BI19*M19,VALUE('Capacity summary'!M138)),0),M19*$BI19),M19*$BI19),0)</f>
        <v>0</v>
      </c>
      <c r="BQ19" s="311">
        <f>IF($BI19&lt;&gt;"",IF('Capacity summary'!$D$14="Yes",IF(COUNTBLANK('Capacity summary'!$H138:$BG138)&lt;52,IF('Capacity summary'!N138&lt;&gt;"",IF(LOWER('Capacity summary'!N138)="x",$BI19*N19,VALUE('Capacity summary'!N138)),0),N19*$BI19),N19*$BI19),0)</f>
        <v>0</v>
      </c>
      <c r="BR19" s="311">
        <f>IF($BI19&lt;&gt;"",IF('Capacity summary'!$D$14="Yes",IF(COUNTBLANK('Capacity summary'!$H138:$BG138)&lt;52,IF('Capacity summary'!O138&lt;&gt;"",IF(LOWER('Capacity summary'!O138)="x",$BI19*O19,VALUE('Capacity summary'!O138)),0),O19*$BI19),O19*$BI19),0)</f>
        <v>0</v>
      </c>
      <c r="BS19" s="311">
        <f>IF($BI19&lt;&gt;"",IF('Capacity summary'!$D$14="Yes",IF(COUNTBLANK('Capacity summary'!$H138:$BG138)&lt;52,IF('Capacity summary'!P138&lt;&gt;"",IF(LOWER('Capacity summary'!P138)="x",$BI19*P19,VALUE('Capacity summary'!P138)),0),P19*$BI19),P19*$BI19),0)</f>
        <v>0</v>
      </c>
      <c r="BT19" s="311">
        <f>IF($BI19&lt;&gt;"",IF('Capacity summary'!$D$14="Yes",IF(COUNTBLANK('Capacity summary'!$H138:$BG138)&lt;52,IF('Capacity summary'!Q138&lt;&gt;"",IF(LOWER('Capacity summary'!Q138)="x",$BI19*Q19,VALUE('Capacity summary'!Q138)),0),Q19*$BI19),Q19*$BI19),0)</f>
        <v>0</v>
      </c>
      <c r="BU19" s="311">
        <f>IF($BI19&lt;&gt;"",IF('Capacity summary'!$D$14="Yes",IF(COUNTBLANK('Capacity summary'!$H138:$BG138)&lt;52,IF('Capacity summary'!R138&lt;&gt;"",IF(LOWER('Capacity summary'!R138)="x",$BI19*R19,VALUE('Capacity summary'!R138)),0),R19*$BI19),R19*$BI19),0)</f>
        <v>0</v>
      </c>
      <c r="BV19" s="311">
        <f>IF($BI19&lt;&gt;"",IF('Capacity summary'!$D$14="Yes",IF(COUNTBLANK('Capacity summary'!$H138:$BG138)&lt;52,IF('Capacity summary'!S138&lt;&gt;"",IF(LOWER('Capacity summary'!S138)="x",$BI19*S19,VALUE('Capacity summary'!S138)),0),S19*$BI19),S19*$BI19),0)</f>
        <v>0</v>
      </c>
      <c r="BW19" s="311">
        <f>IF($BI19&lt;&gt;"",IF('Capacity summary'!$D$14="Yes",IF(COUNTBLANK('Capacity summary'!$H138:$BG138)&lt;52,IF('Capacity summary'!T138&lt;&gt;"",IF(LOWER('Capacity summary'!T138)="x",$BI19*T19,VALUE('Capacity summary'!T138)),0),T19*$BI19),T19*$BI19),0)</f>
        <v>0</v>
      </c>
      <c r="BX19" s="311">
        <f>IF($BI19&lt;&gt;"",IF('Capacity summary'!$D$14="Yes",IF(COUNTBLANK('Capacity summary'!$H138:$BG138)&lt;52,IF('Capacity summary'!U138&lt;&gt;"",IF(LOWER('Capacity summary'!U138)="x",$BI19*U19,VALUE('Capacity summary'!U138)),0),U19*$BI19),U19*$BI19),0)</f>
        <v>0</v>
      </c>
      <c r="BY19" s="311">
        <f>IF($BI19&lt;&gt;"",IF('Capacity summary'!$D$14="Yes",IF(COUNTBLANK('Capacity summary'!$H138:$BG138)&lt;52,IF('Capacity summary'!V138&lt;&gt;"",IF(LOWER('Capacity summary'!V138)="x",$BI19*V19,VALUE('Capacity summary'!V138)),0),V19*$BI19),V19*$BI19),0)</f>
        <v>0</v>
      </c>
      <c r="BZ19" s="311">
        <f>IF($BI19&lt;&gt;"",IF('Capacity summary'!$D$14="Yes",IF(COUNTBLANK('Capacity summary'!$H138:$BG138)&lt;52,IF('Capacity summary'!W138&lt;&gt;"",IF(LOWER('Capacity summary'!W138)="x",$BI19*W19,VALUE('Capacity summary'!W138)),0),W19*$BI19),W19*$BI19),0)</f>
        <v>0</v>
      </c>
      <c r="CA19" s="311">
        <f>IF($BI19&lt;&gt;"",IF('Capacity summary'!$D$14="Yes",IF(COUNTBLANK('Capacity summary'!$H138:$BG138)&lt;52,IF('Capacity summary'!X138&lt;&gt;"",IF(LOWER('Capacity summary'!X138)="x",$BI19*X19,VALUE('Capacity summary'!X138)),0),X19*$BI19),X19*$BI19),0)</f>
        <v>0</v>
      </c>
      <c r="CB19" s="311">
        <f>IF($BI19&lt;&gt;"",IF('Capacity summary'!$D$14="Yes",IF(COUNTBLANK('Capacity summary'!$H138:$BG138)&lt;52,IF('Capacity summary'!Y138&lt;&gt;"",IF(LOWER('Capacity summary'!Y138)="x",$BI19*Y19,VALUE('Capacity summary'!Y138)),0),Y19*$BI19),Y19*$BI19),0)</f>
        <v>0</v>
      </c>
      <c r="CC19" s="311">
        <f>IF($BI19&lt;&gt;"",IF('Capacity summary'!$D$14="Yes",IF(COUNTBLANK('Capacity summary'!$H138:$BG138)&lt;52,IF('Capacity summary'!Z138&lt;&gt;"",IF(LOWER('Capacity summary'!Z138)="x",$BI19*Z19,VALUE('Capacity summary'!Z138)),0),Z19*$BI19),Z19*$BI19),0)</f>
        <v>0</v>
      </c>
      <c r="CD19" s="311">
        <f>IF($BI19&lt;&gt;"",IF('Capacity summary'!$D$14="Yes",IF(COUNTBLANK('Capacity summary'!$H138:$BG138)&lt;52,IF('Capacity summary'!AA138&lt;&gt;"",IF(LOWER('Capacity summary'!AA138)="x",$BI19*AA19,VALUE('Capacity summary'!AA138)),0),AA19*$BI19),AA19*$BI19),0)</f>
        <v>0</v>
      </c>
      <c r="CE19" s="311">
        <f>IF($BI19&lt;&gt;"",IF('Capacity summary'!$D$14="Yes",IF(COUNTBLANK('Capacity summary'!$H138:$BG138)&lt;52,IF('Capacity summary'!AB138&lt;&gt;"",IF(LOWER('Capacity summary'!AB138)="x",$BI19*AB19,VALUE('Capacity summary'!AB138)),0),AB19*$BI19),AB19*$BI19),0)</f>
        <v>0</v>
      </c>
      <c r="CF19" s="311">
        <f>IF($BI19&lt;&gt;"",IF('Capacity summary'!$D$14="Yes",IF(COUNTBLANK('Capacity summary'!$H138:$BG138)&lt;52,IF('Capacity summary'!AC138&lt;&gt;"",IF(LOWER('Capacity summary'!AC138)="x",$BI19*AC19,VALUE('Capacity summary'!AC138)),0),AC19*$BI19),AC19*$BI19),0)</f>
        <v>0</v>
      </c>
      <c r="CG19" s="311">
        <f>IF($BI19&lt;&gt;"",IF('Capacity summary'!$D$14="Yes",IF(COUNTBLANK('Capacity summary'!$H138:$BG138)&lt;52,IF('Capacity summary'!AD138&lt;&gt;"",IF(LOWER('Capacity summary'!AD138)="x",$BI19*AD19,VALUE('Capacity summary'!AD138)),0),AD19*$BI19),AD19*$BI19),0)</f>
        <v>0</v>
      </c>
      <c r="CH19" s="311">
        <f>IF($BI19&lt;&gt;"",IF('Capacity summary'!$D$14="Yes",IF(COUNTBLANK('Capacity summary'!$H138:$BG138)&lt;52,IF('Capacity summary'!AE138&lt;&gt;"",IF(LOWER('Capacity summary'!AE138)="x",$BI19*AE19,VALUE('Capacity summary'!AE138)),0),AE19*$BI19),AE19*$BI19),0)</f>
        <v>0</v>
      </c>
      <c r="CI19" s="311">
        <f>IF($BI19&lt;&gt;"",IF('Capacity summary'!$D$14="Yes",IF(COUNTBLANK('Capacity summary'!$H138:$BG138)&lt;52,IF('Capacity summary'!AF138&lt;&gt;"",IF(LOWER('Capacity summary'!AF138)="x",$BI19*AF19,VALUE('Capacity summary'!AF138)),0),AF19*$BI19),AF19*$BI19),0)</f>
        <v>0</v>
      </c>
      <c r="CJ19" s="311">
        <f>IF($BI19&lt;&gt;"",IF('Capacity summary'!$D$14="Yes",IF(COUNTBLANK('Capacity summary'!$H138:$BG138)&lt;52,IF('Capacity summary'!AG138&lt;&gt;"",IF(LOWER('Capacity summary'!AG138)="x",$BI19*AG19,VALUE('Capacity summary'!AG138)),0),AG19*$BI19),AG19*$BI19),0)</f>
        <v>0</v>
      </c>
      <c r="CK19" s="311">
        <f>IF($BI19&lt;&gt;"",IF('Capacity summary'!$D$14="Yes",IF(COUNTBLANK('Capacity summary'!$H138:$BG138)&lt;52,IF('Capacity summary'!AH138&lt;&gt;"",IF(LOWER('Capacity summary'!AH138)="x",$BI19*AH19,VALUE('Capacity summary'!AH138)),0),AH19*$BI19),AH19*$BI19),0)</f>
        <v>0</v>
      </c>
      <c r="CL19" s="311">
        <f>IF($BI19&lt;&gt;"",IF('Capacity summary'!$D$14="Yes",IF(COUNTBLANK('Capacity summary'!$H138:$BG138)&lt;52,IF('Capacity summary'!AI138&lt;&gt;"",IF(LOWER('Capacity summary'!AI138)="x",$BI19*AI19,VALUE('Capacity summary'!AI138)),0),AI19*$BI19),AI19*$BI19),0)</f>
        <v>0</v>
      </c>
      <c r="CM19" s="311">
        <f>IF($BI19&lt;&gt;"",IF('Capacity summary'!$D$14="Yes",IF(COUNTBLANK('Capacity summary'!$H138:$BG138)&lt;52,IF('Capacity summary'!AJ138&lt;&gt;"",IF(LOWER('Capacity summary'!AJ138)="x",$BI19*AJ19,VALUE('Capacity summary'!AJ138)),0),AJ19*$BI19),AJ19*$BI19),0)</f>
        <v>0</v>
      </c>
      <c r="CN19" s="311">
        <f>IF($BI19&lt;&gt;"",IF('Capacity summary'!$D$14="Yes",IF(COUNTBLANK('Capacity summary'!$H138:$BG138)&lt;52,IF('Capacity summary'!AK138&lt;&gt;"",IF(LOWER('Capacity summary'!AK138)="x",$BI19*AK19,VALUE('Capacity summary'!AK138)),0),AK19*$BI19),AK19*$BI19),0)</f>
        <v>0</v>
      </c>
      <c r="CO19" s="311">
        <f>IF($BI19&lt;&gt;"",IF('Capacity summary'!$D$14="Yes",IF(COUNTBLANK('Capacity summary'!$H138:$BG138)&lt;52,IF('Capacity summary'!AL138&lt;&gt;"",IF(LOWER('Capacity summary'!AL138)="x",$BI19*AL19,VALUE('Capacity summary'!AL138)),0),AL19*$BI19),AL19*$BI19),0)</f>
        <v>0</v>
      </c>
      <c r="CP19" s="311">
        <f>IF($BI19&lt;&gt;"",IF('Capacity summary'!$D$14="Yes",IF(COUNTBLANK('Capacity summary'!$H138:$BG138)&lt;52,IF('Capacity summary'!AM138&lt;&gt;"",IF(LOWER('Capacity summary'!AM138)="x",$BI19*AM19,VALUE('Capacity summary'!AM138)),0),AM19*$BI19),AM19*$BI19),0)</f>
        <v>0</v>
      </c>
      <c r="CQ19" s="311">
        <f>IF($BI19&lt;&gt;"",IF('Capacity summary'!$D$14="Yes",IF(COUNTBLANK('Capacity summary'!$H138:$BG138)&lt;52,IF('Capacity summary'!AN138&lt;&gt;"",IF(LOWER('Capacity summary'!AN138)="x",$BI19*AN19,VALUE('Capacity summary'!AN138)),0),AN19*$BI19),AN19*$BI19),0)</f>
        <v>0</v>
      </c>
      <c r="CR19" s="311">
        <f>IF($BI19&lt;&gt;"",IF('Capacity summary'!$D$14="Yes",IF(COUNTBLANK('Capacity summary'!$H138:$BG138)&lt;52,IF('Capacity summary'!AO138&lt;&gt;"",IF(LOWER('Capacity summary'!AO138)="x",$BI19*AO19,VALUE('Capacity summary'!AO138)),0),AO19*$BI19),AO19*$BI19),0)</f>
        <v>0</v>
      </c>
      <c r="CS19" s="311">
        <f>IF($BI19&lt;&gt;"",IF('Capacity summary'!$D$14="Yes",IF(COUNTBLANK('Capacity summary'!$H138:$BG138)&lt;52,IF('Capacity summary'!AP138&lt;&gt;"",IF(LOWER('Capacity summary'!AP138)="x",$BI19*AP19,VALUE('Capacity summary'!AP138)),0),AP19*$BI19),AP19*$BI19),0)</f>
        <v>0</v>
      </c>
      <c r="CT19" s="311">
        <f>IF($BI19&lt;&gt;"",IF('Capacity summary'!$D$14="Yes",IF(COUNTBLANK('Capacity summary'!$H138:$BG138)&lt;52,IF('Capacity summary'!AQ138&lt;&gt;"",IF(LOWER('Capacity summary'!AQ138)="x",$BI19*AQ19,VALUE('Capacity summary'!AQ138)),0),AQ19*$BI19),AQ19*$BI19),0)</f>
        <v>0</v>
      </c>
      <c r="CU19" s="311">
        <f>IF($BI19&lt;&gt;"",IF('Capacity summary'!$D$14="Yes",IF(COUNTBLANK('Capacity summary'!$H138:$BG138)&lt;52,IF('Capacity summary'!AR138&lt;&gt;"",IF(LOWER('Capacity summary'!AR138)="x",$BI19*AR19,VALUE('Capacity summary'!AR138)),0),AR19*$BI19),AR19*$BI19),0)</f>
        <v>0</v>
      </c>
      <c r="CV19" s="311">
        <f>IF($BI19&lt;&gt;"",IF('Capacity summary'!$D$14="Yes",IF(COUNTBLANK('Capacity summary'!$H138:$BG138)&lt;52,IF('Capacity summary'!AS138&lt;&gt;"",IF(LOWER('Capacity summary'!AS138)="x",$BI19*AS19,VALUE('Capacity summary'!AS138)),0),AS19*$BI19),AS19*$BI19),0)</f>
        <v>0</v>
      </c>
      <c r="CW19" s="311">
        <f>IF($BI19&lt;&gt;"",IF('Capacity summary'!$D$14="Yes",IF(COUNTBLANK('Capacity summary'!$H138:$BG138)&lt;52,IF('Capacity summary'!AT138&lt;&gt;"",IF(LOWER('Capacity summary'!AT138)="x",$BI19*AT19,VALUE('Capacity summary'!AT138)),0),AT19*$BI19),AT19*$BI19),0)</f>
        <v>0</v>
      </c>
      <c r="CX19" s="311">
        <f>IF($BI19&lt;&gt;"",IF('Capacity summary'!$D$14="Yes",IF(COUNTBLANK('Capacity summary'!$H138:$BG138)&lt;52,IF('Capacity summary'!AU138&lt;&gt;"",IF(LOWER('Capacity summary'!AU138)="x",$BI19*AU19,VALUE('Capacity summary'!AU138)),0),AU19*$BI19),AU19*$BI19),0)</f>
        <v>0</v>
      </c>
      <c r="CY19" s="311">
        <f>IF($BI19&lt;&gt;"",IF('Capacity summary'!$D$14="Yes",IF(COUNTBLANK('Capacity summary'!$H138:$BG138)&lt;52,IF('Capacity summary'!AV138&lt;&gt;"",IF(LOWER('Capacity summary'!AV138)="x",$BI19*AV19,VALUE('Capacity summary'!AV138)),0),AV19*$BI19),AV19*$BI19),0)</f>
        <v>0</v>
      </c>
      <c r="CZ19" s="311">
        <f>IF($BI19&lt;&gt;"",IF('Capacity summary'!$D$14="Yes",IF(COUNTBLANK('Capacity summary'!$H138:$BG138)&lt;52,IF('Capacity summary'!AW138&lt;&gt;"",IF(LOWER('Capacity summary'!AW138)="x",$BI19*AW19,VALUE('Capacity summary'!AW138)),0),AW19*$BI19),AW19*$BI19),0)</f>
        <v>0</v>
      </c>
      <c r="DA19" s="311">
        <f>IF($BI19&lt;&gt;"",IF('Capacity summary'!$D$14="Yes",IF(COUNTBLANK('Capacity summary'!$H138:$BG138)&lt;52,IF('Capacity summary'!AX138&lt;&gt;"",IF(LOWER('Capacity summary'!AX138)="x",$BI19*AX19,VALUE('Capacity summary'!AX138)),0),AX19*$BI19),AX19*$BI19),0)</f>
        <v>0</v>
      </c>
      <c r="DB19" s="311">
        <f>IF($BI19&lt;&gt;"",IF('Capacity summary'!$D$14="Yes",IF(COUNTBLANK('Capacity summary'!$H138:$BG138)&lt;52,IF('Capacity summary'!AY138&lt;&gt;"",IF(LOWER('Capacity summary'!AY138)="x",$BI19*AY19,VALUE('Capacity summary'!AY138)),0),AY19*$BI19),AY19*$BI19),0)</f>
        <v>0</v>
      </c>
      <c r="DC19" s="311">
        <f>IF($BI19&lt;&gt;"",IF('Capacity summary'!$D$14="Yes",IF(COUNTBLANK('Capacity summary'!$H138:$BG138)&lt;52,IF('Capacity summary'!AZ138&lt;&gt;"",IF(LOWER('Capacity summary'!AZ138)="x",$BI19*AZ19,VALUE('Capacity summary'!AZ138)),0),AZ19*$BI19),AZ19*$BI19),0)</f>
        <v>0</v>
      </c>
      <c r="DD19" s="311">
        <f>IF($BI19&lt;&gt;"",IF('Capacity summary'!$D$14="Yes",IF(COUNTBLANK('Capacity summary'!$H138:$BG138)&lt;52,IF('Capacity summary'!BA138&lt;&gt;"",IF(LOWER('Capacity summary'!BA138)="x",$BI19*BA19,VALUE('Capacity summary'!BA138)),0),BA19*$BI19),BA19*$BI19),0)</f>
        <v>0</v>
      </c>
      <c r="DE19" s="311">
        <f>IF($BI19&lt;&gt;"",IF('Capacity summary'!$D$14="Yes",IF(COUNTBLANK('Capacity summary'!$H138:$BG138)&lt;52,IF('Capacity summary'!BB138&lt;&gt;"",IF(LOWER('Capacity summary'!BB138)="x",$BI19*BB19,VALUE('Capacity summary'!BB138)),0),BB19*$BI19),BB19*$BI19),0)</f>
        <v>0</v>
      </c>
      <c r="DF19" s="311">
        <f>IF($BI19&lt;&gt;"",IF('Capacity summary'!$D$14="Yes",IF(COUNTBLANK('Capacity summary'!$H138:$BG138)&lt;52,IF('Capacity summary'!BC138&lt;&gt;"",IF(LOWER('Capacity summary'!BC138)="x",$BI19*BC19,VALUE('Capacity summary'!BC138)),0),BC19*$BI19),BC19*$BI19),0)</f>
        <v>0</v>
      </c>
      <c r="DG19" s="311">
        <f>IF($BI19&lt;&gt;"",IF('Capacity summary'!$D$14="Yes",IF(COUNTBLANK('Capacity summary'!$H138:$BG138)&lt;52,IF('Capacity summary'!BD138&lt;&gt;"",IF(LOWER('Capacity summary'!BD138)="x",$BI19*BD19,VALUE('Capacity summary'!BD138)),0),BD19*$BI19),BD19*$BI19),0)</f>
        <v>0</v>
      </c>
      <c r="DH19" s="311">
        <f>IF($BI19&lt;&gt;"",IF('Capacity summary'!$D$14="Yes",IF(COUNTBLANK('Capacity summary'!$H138:$BG138)&lt;52,IF('Capacity summary'!BE138&lt;&gt;"",IF(LOWER('Capacity summary'!BE138)="x",$BI19*BE19,VALUE('Capacity summary'!BE138)),0),BE19*$BI19),BE19*$BI19),0)</f>
        <v>0</v>
      </c>
      <c r="DI19" s="311">
        <f>IF($BI19&lt;&gt;"",IF('Capacity summary'!$D$14="Yes",IF(COUNTBLANK('Capacity summary'!$H138:$BG138)&lt;52,IF('Capacity summary'!BF138&lt;&gt;"",IF(LOWER('Capacity summary'!BF138)="x",$BI19*BF19,VALUE('Capacity summary'!BF138)),0),BF19*$BI19),BF19*$BI19),0)</f>
        <v>0</v>
      </c>
      <c r="DJ19" s="311">
        <f>IF($BI19&lt;&gt;"",IF('Capacity summary'!$D$14="Yes",IF(COUNTBLANK('Capacity summary'!$H138:$BG138)&lt;52,IF('Capacity summary'!BG138&lt;&gt;"",IF(LOWER('Capacity summary'!BG138)="x",$BI19*BG19,VALUE('Capacity summary'!BG138)),0),BG19*$BI19),BG19*$BI19),0)</f>
        <v>0</v>
      </c>
      <c r="DK19" s="391">
        <f t="shared" si="2"/>
        <v>0</v>
      </c>
      <c r="DL19" s="136">
        <f t="shared" si="3"/>
        <v>0</v>
      </c>
      <c r="DM19" s="311" t="str">
        <f>Capacity!H31</f>
        <v/>
      </c>
      <c r="DQ19" s="5"/>
    </row>
    <row r="20" spans="1:121" x14ac:dyDescent="0.2">
      <c r="A20" s="67">
        <f>IF(Capacity!L32='Capacity summary'!BI139,1,0)</f>
        <v>1</v>
      </c>
      <c r="B20" s="67">
        <f>IF(Capacity!V32='Capacity summary'!BI39,1,0)</f>
        <v>1</v>
      </c>
      <c r="C20" s="67" t="str">
        <f>ROW(A16)&amp;". "&amp;Capacity!B32</f>
        <v xml:space="preserve">16. </v>
      </c>
      <c r="D20" s="67">
        <f>'Capacity setup'!C27</f>
        <v>0</v>
      </c>
      <c r="E20" s="67">
        <f>'Capacity setup'!D27</f>
        <v>0</v>
      </c>
      <c r="F20" s="67">
        <f>'Capacity setup'!E27</f>
        <v>0</v>
      </c>
      <c r="H20" s="67">
        <f ca="1">IF(LOWER(Capacity!$L32)="x",IF(AND(SUMIF(Capacity_Resource,$D20,'Critical resources (hide)'!U$6:U$105)+SUMIF(Capacity_Resource,$E20,'Critical resources (hide)'!U$6:U$105)+SUMIF(Capacity_Resource,$F20,'Critical resources (hide)'!U$6:U$105)&gt;0,$E$1=2),0,1),0)</f>
        <v>1</v>
      </c>
      <c r="I20" s="67">
        <f ca="1">IF(LOWER(Capacity!$L32)="x",IF(AND(SUMIF(Capacity_Resource,$D20,'Critical resources (hide)'!V$6:V$105)+SUMIF(Capacity_Resource,$E20,'Critical resources (hide)'!V$6:V$105)+SUMIF(Capacity_Resource,$F20,'Critical resources (hide)'!V$6:V$105)&gt;0,$E$1=2),0,1),0)</f>
        <v>1</v>
      </c>
      <c r="J20" s="67">
        <f ca="1">IF(LOWER(Capacity!$L32)="x",IF(AND(SUMIF(Capacity_Resource,$D20,'Critical resources (hide)'!W$6:W$105)+SUMIF(Capacity_Resource,$E20,'Critical resources (hide)'!W$6:W$105)+SUMIF(Capacity_Resource,$F20,'Critical resources (hide)'!W$6:W$105)&gt;0,$E$1=2),0,1),0)</f>
        <v>1</v>
      </c>
      <c r="K20" s="67">
        <f ca="1">IF(LOWER(Capacity!$L32)="x",IF(AND(SUMIF(Capacity_Resource,$D20,'Critical resources (hide)'!X$6:X$105)+SUMIF(Capacity_Resource,$E20,'Critical resources (hide)'!X$6:X$105)+SUMIF(Capacity_Resource,$F20,'Critical resources (hide)'!X$6:X$105)&gt;0,$E$1=2),0,1),0)</f>
        <v>1</v>
      </c>
      <c r="L20" s="67">
        <f ca="1">IF(LOWER(Capacity!$L32)="x",IF(AND(SUMIF(Capacity_Resource,$D20,'Critical resources (hide)'!Y$6:Y$105)+SUMIF(Capacity_Resource,$E20,'Critical resources (hide)'!Y$6:Y$105)+SUMIF(Capacity_Resource,$F20,'Critical resources (hide)'!Y$6:Y$105)&gt;0,$E$1=2),0,1),0)</f>
        <v>1</v>
      </c>
      <c r="M20" s="67">
        <f ca="1">IF(LOWER(Capacity!$L32)="x",IF(AND(SUMIF(Capacity_Resource,$D20,'Critical resources (hide)'!Z$6:Z$105)+SUMIF(Capacity_Resource,$E20,'Critical resources (hide)'!Z$6:Z$105)+SUMIF(Capacity_Resource,$F20,'Critical resources (hide)'!Z$6:Z$105)&gt;0,$E$1=2),0,1),0)</f>
        <v>1</v>
      </c>
      <c r="N20" s="67">
        <f ca="1">IF(LOWER(Capacity!$L32)="x",IF(AND(SUMIF(Capacity_Resource,$D20,'Critical resources (hide)'!AA$6:AA$105)+SUMIF(Capacity_Resource,$E20,'Critical resources (hide)'!AA$6:AA$105)+SUMIF(Capacity_Resource,$F20,'Critical resources (hide)'!AA$6:AA$105)&gt;0,$E$1=2),0,1),0)</f>
        <v>1</v>
      </c>
      <c r="O20" s="67">
        <f ca="1">IF(LOWER(Capacity!$L32)="x",IF(AND(SUMIF(Capacity_Resource,$D20,'Critical resources (hide)'!AB$6:AB$105)+SUMIF(Capacity_Resource,$E20,'Critical resources (hide)'!AB$6:AB$105)+SUMIF(Capacity_Resource,$F20,'Critical resources (hide)'!AB$6:AB$105)&gt;0,$E$1=2),0,1),0)</f>
        <v>1</v>
      </c>
      <c r="P20" s="67">
        <f ca="1">IF(LOWER(Capacity!$L32)="x",IF(AND(SUMIF(Capacity_Resource,$D20,'Critical resources (hide)'!AC$6:AC$105)+SUMIF(Capacity_Resource,$E20,'Critical resources (hide)'!AC$6:AC$105)+SUMIF(Capacity_Resource,$F20,'Critical resources (hide)'!AC$6:AC$105)&gt;0,$E$1=2),0,1),0)</f>
        <v>1</v>
      </c>
      <c r="Q20" s="67">
        <f ca="1">IF(LOWER(Capacity!$L32)="x",IF(AND(SUMIF(Capacity_Resource,$D20,'Critical resources (hide)'!AD$6:AD$105)+SUMIF(Capacity_Resource,$E20,'Critical resources (hide)'!AD$6:AD$105)+SUMIF(Capacity_Resource,$F20,'Critical resources (hide)'!AD$6:AD$105)&gt;0,$E$1=2),0,1),0)</f>
        <v>1</v>
      </c>
      <c r="R20" s="67">
        <f ca="1">IF(LOWER(Capacity!$L32)="x",IF(AND(SUMIF(Capacity_Resource,$D20,'Critical resources (hide)'!AE$6:AE$105)+SUMIF(Capacity_Resource,$E20,'Critical resources (hide)'!AE$6:AE$105)+SUMIF(Capacity_Resource,$F20,'Critical resources (hide)'!AE$6:AE$105)&gt;0,$E$1=2),0,1),0)</f>
        <v>1</v>
      </c>
      <c r="S20" s="67">
        <f ca="1">IF(LOWER(Capacity!$L32)="x",IF(AND(SUMIF(Capacity_Resource,$D20,'Critical resources (hide)'!AF$6:AF$105)+SUMIF(Capacity_Resource,$E20,'Critical resources (hide)'!AF$6:AF$105)+SUMIF(Capacity_Resource,$F20,'Critical resources (hide)'!AF$6:AF$105)&gt;0,$E$1=2),0,1),0)</f>
        <v>1</v>
      </c>
      <c r="T20" s="67">
        <f ca="1">IF(LOWER(Capacity!$L32)="x",IF(AND(SUMIF(Capacity_Resource,$D20,'Critical resources (hide)'!AG$6:AG$105)+SUMIF(Capacity_Resource,$E20,'Critical resources (hide)'!AG$6:AG$105)+SUMIF(Capacity_Resource,$F20,'Critical resources (hide)'!AG$6:AG$105)&gt;0,$E$1=2),0,1),0)</f>
        <v>1</v>
      </c>
      <c r="U20" s="67">
        <f ca="1">IF(LOWER(Capacity!$L32)="x",IF(AND(SUMIF(Capacity_Resource,$D20,'Critical resources (hide)'!AH$6:AH$105)+SUMIF(Capacity_Resource,$E20,'Critical resources (hide)'!AH$6:AH$105)+SUMIF(Capacity_Resource,$F20,'Critical resources (hide)'!AH$6:AH$105)&gt;0,$E$1=2),0,1),0)</f>
        <v>1</v>
      </c>
      <c r="V20" s="67">
        <f ca="1">IF(LOWER(Capacity!$L32)="x",IF(AND(SUMIF(Capacity_Resource,$D20,'Critical resources (hide)'!AI$6:AI$105)+SUMIF(Capacity_Resource,$E20,'Critical resources (hide)'!AI$6:AI$105)+SUMIF(Capacity_Resource,$F20,'Critical resources (hide)'!AI$6:AI$105)&gt;0,$E$1=2),0,1),0)</f>
        <v>1</v>
      </c>
      <c r="W20" s="67">
        <f ca="1">IF(LOWER(Capacity!$L32)="x",IF(AND(SUMIF(Capacity_Resource,$D20,'Critical resources (hide)'!AJ$6:AJ$105)+SUMIF(Capacity_Resource,$E20,'Critical resources (hide)'!AJ$6:AJ$105)+SUMIF(Capacity_Resource,$F20,'Critical resources (hide)'!AJ$6:AJ$105)&gt;0,$E$1=2),0,1),0)</f>
        <v>1</v>
      </c>
      <c r="X20" s="67">
        <f ca="1">IF(LOWER(Capacity!$L32)="x",IF(AND(SUMIF(Capacity_Resource,$D20,'Critical resources (hide)'!AK$6:AK$105)+SUMIF(Capacity_Resource,$E20,'Critical resources (hide)'!AK$6:AK$105)+SUMIF(Capacity_Resource,$F20,'Critical resources (hide)'!AK$6:AK$105)&gt;0,$E$1=2),0,1),0)</f>
        <v>1</v>
      </c>
      <c r="Y20" s="67">
        <f ca="1">IF(LOWER(Capacity!$L32)="x",IF(AND(SUMIF(Capacity_Resource,$D20,'Critical resources (hide)'!AL$6:AL$105)+SUMIF(Capacity_Resource,$E20,'Critical resources (hide)'!AL$6:AL$105)+SUMIF(Capacity_Resource,$F20,'Critical resources (hide)'!AL$6:AL$105)&gt;0,$E$1=2),0,1),0)</f>
        <v>1</v>
      </c>
      <c r="Z20" s="67">
        <f ca="1">IF(LOWER(Capacity!$L32)="x",IF(AND(SUMIF(Capacity_Resource,$D20,'Critical resources (hide)'!AM$6:AM$105)+SUMIF(Capacity_Resource,$E20,'Critical resources (hide)'!AM$6:AM$105)+SUMIF(Capacity_Resource,$F20,'Critical resources (hide)'!AM$6:AM$105)&gt;0,$E$1=2),0,1),0)</f>
        <v>1</v>
      </c>
      <c r="AA20" s="67">
        <f ca="1">IF(LOWER(Capacity!$L32)="x",IF(AND(SUMIF(Capacity_Resource,$D20,'Critical resources (hide)'!AN$6:AN$105)+SUMIF(Capacity_Resource,$E20,'Critical resources (hide)'!AN$6:AN$105)+SUMIF(Capacity_Resource,$F20,'Critical resources (hide)'!AN$6:AN$105)&gt;0,$E$1=2),0,1),0)</f>
        <v>1</v>
      </c>
      <c r="AB20" s="67">
        <f ca="1">IF(LOWER(Capacity!$L32)="x",IF(AND(SUMIF(Capacity_Resource,$D20,'Critical resources (hide)'!AO$6:AO$105)+SUMIF(Capacity_Resource,$E20,'Critical resources (hide)'!AO$6:AO$105)+SUMIF(Capacity_Resource,$F20,'Critical resources (hide)'!AO$6:AO$105)&gt;0,$E$1=2),0,1),0)</f>
        <v>1</v>
      </c>
      <c r="AC20" s="67">
        <f ca="1">IF(LOWER(Capacity!$L32)="x",IF(AND(SUMIF(Capacity_Resource,$D20,'Critical resources (hide)'!AP$6:AP$105)+SUMIF(Capacity_Resource,$E20,'Critical resources (hide)'!AP$6:AP$105)+SUMIF(Capacity_Resource,$F20,'Critical resources (hide)'!AP$6:AP$105)&gt;0,$E$1=2),0,1),0)</f>
        <v>1</v>
      </c>
      <c r="AD20" s="67">
        <f ca="1">IF(LOWER(Capacity!$L32)="x",IF(AND(SUMIF(Capacity_Resource,$D20,'Critical resources (hide)'!AQ$6:AQ$105)+SUMIF(Capacity_Resource,$E20,'Critical resources (hide)'!AQ$6:AQ$105)+SUMIF(Capacity_Resource,$F20,'Critical resources (hide)'!AQ$6:AQ$105)&gt;0,$E$1=2),0,1),0)</f>
        <v>1</v>
      </c>
      <c r="AE20" s="67">
        <f ca="1">IF(LOWER(Capacity!$L32)="x",IF(AND(SUMIF(Capacity_Resource,$D20,'Critical resources (hide)'!AR$6:AR$105)+SUMIF(Capacity_Resource,$E20,'Critical resources (hide)'!AR$6:AR$105)+SUMIF(Capacity_Resource,$F20,'Critical resources (hide)'!AR$6:AR$105)&gt;0,$E$1=2),0,1),0)</f>
        <v>1</v>
      </c>
      <c r="AF20" s="67">
        <f ca="1">IF(LOWER(Capacity!$L32)="x",IF(AND(SUMIF(Capacity_Resource,$D20,'Critical resources (hide)'!AS$6:AS$105)+SUMIF(Capacity_Resource,$E20,'Critical resources (hide)'!AS$6:AS$105)+SUMIF(Capacity_Resource,$F20,'Critical resources (hide)'!AS$6:AS$105)&gt;0,$E$1=2),0,1),0)</f>
        <v>1</v>
      </c>
      <c r="AG20" s="67">
        <f ca="1">IF(LOWER(Capacity!$L32)="x",IF(AND(SUMIF(Capacity_Resource,$D20,'Critical resources (hide)'!AT$6:AT$105)+SUMIF(Capacity_Resource,$E20,'Critical resources (hide)'!AT$6:AT$105)+SUMIF(Capacity_Resource,$F20,'Critical resources (hide)'!AT$6:AT$105)&gt;0,$E$1=2),0,1),0)</f>
        <v>1</v>
      </c>
      <c r="AH20" s="67">
        <f ca="1">IF(LOWER(Capacity!$L32)="x",IF(AND(SUMIF(Capacity_Resource,$D20,'Critical resources (hide)'!AU$6:AU$105)+SUMIF(Capacity_Resource,$E20,'Critical resources (hide)'!AU$6:AU$105)+SUMIF(Capacity_Resource,$F20,'Critical resources (hide)'!AU$6:AU$105)&gt;0,$E$1=2),0,1),0)</f>
        <v>1</v>
      </c>
      <c r="AI20" s="67">
        <f ca="1">IF(LOWER(Capacity!$L32)="x",IF(AND(SUMIF(Capacity_Resource,$D20,'Critical resources (hide)'!AV$6:AV$105)+SUMIF(Capacity_Resource,$E20,'Critical resources (hide)'!AV$6:AV$105)+SUMIF(Capacity_Resource,$F20,'Critical resources (hide)'!AV$6:AV$105)&gt;0,$E$1=2),0,1),0)</f>
        <v>1</v>
      </c>
      <c r="AJ20" s="67">
        <f ca="1">IF(LOWER(Capacity!$L32)="x",IF(AND(SUMIF(Capacity_Resource,$D20,'Critical resources (hide)'!AW$6:AW$105)+SUMIF(Capacity_Resource,$E20,'Critical resources (hide)'!AW$6:AW$105)+SUMIF(Capacity_Resource,$F20,'Critical resources (hide)'!AW$6:AW$105)&gt;0,$E$1=2),0,1),0)</f>
        <v>1</v>
      </c>
      <c r="AK20" s="67">
        <f ca="1">IF(LOWER(Capacity!$L32)="x",IF(AND(SUMIF(Capacity_Resource,$D20,'Critical resources (hide)'!AX$6:AX$105)+SUMIF(Capacity_Resource,$E20,'Critical resources (hide)'!AX$6:AX$105)+SUMIF(Capacity_Resource,$F20,'Critical resources (hide)'!AX$6:AX$105)&gt;0,$E$1=2),0,1),0)</f>
        <v>1</v>
      </c>
      <c r="AL20" s="67">
        <f ca="1">IF(LOWER(Capacity!$L32)="x",IF(AND(SUMIF(Capacity_Resource,$D20,'Critical resources (hide)'!AY$6:AY$105)+SUMIF(Capacity_Resource,$E20,'Critical resources (hide)'!AY$6:AY$105)+SUMIF(Capacity_Resource,$F20,'Critical resources (hide)'!AY$6:AY$105)&gt;0,$E$1=2),0,1),0)</f>
        <v>1</v>
      </c>
      <c r="AM20" s="67">
        <f ca="1">IF(LOWER(Capacity!$L32)="x",IF(AND(SUMIF(Capacity_Resource,$D20,'Critical resources (hide)'!AZ$6:AZ$105)+SUMIF(Capacity_Resource,$E20,'Critical resources (hide)'!AZ$6:AZ$105)+SUMIF(Capacity_Resource,$F20,'Critical resources (hide)'!AZ$6:AZ$105)&gt;0,$E$1=2),0,1),0)</f>
        <v>1</v>
      </c>
      <c r="AN20" s="67">
        <f ca="1">IF(LOWER(Capacity!$L32)="x",IF(AND(SUMIF(Capacity_Resource,$D20,'Critical resources (hide)'!BA$6:BA$105)+SUMIF(Capacity_Resource,$E20,'Critical resources (hide)'!BA$6:BA$105)+SUMIF(Capacity_Resource,$F20,'Critical resources (hide)'!BA$6:BA$105)&gt;0,$E$1=2),0,1),0)</f>
        <v>1</v>
      </c>
      <c r="AO20" s="67">
        <f ca="1">IF(LOWER(Capacity!$L32)="x",IF(AND(SUMIF(Capacity_Resource,$D20,'Critical resources (hide)'!BB$6:BB$105)+SUMIF(Capacity_Resource,$E20,'Critical resources (hide)'!BB$6:BB$105)+SUMIF(Capacity_Resource,$F20,'Critical resources (hide)'!BB$6:BB$105)&gt;0,$E$1=2),0,1),0)</f>
        <v>1</v>
      </c>
      <c r="AP20" s="67">
        <f ca="1">IF(LOWER(Capacity!$L32)="x",IF(AND(SUMIF(Capacity_Resource,$D20,'Critical resources (hide)'!BC$6:BC$105)+SUMIF(Capacity_Resource,$E20,'Critical resources (hide)'!BC$6:BC$105)+SUMIF(Capacity_Resource,$F20,'Critical resources (hide)'!BC$6:BC$105)&gt;0,$E$1=2),0,1),0)</f>
        <v>1</v>
      </c>
      <c r="AQ20" s="67">
        <f ca="1">IF(LOWER(Capacity!$L32)="x",IF(AND(SUMIF(Capacity_Resource,$D20,'Critical resources (hide)'!BD$6:BD$105)+SUMIF(Capacity_Resource,$E20,'Critical resources (hide)'!BD$6:BD$105)+SUMIF(Capacity_Resource,$F20,'Critical resources (hide)'!BD$6:BD$105)&gt;0,$E$1=2),0,1),0)</f>
        <v>1</v>
      </c>
      <c r="AR20" s="67">
        <f ca="1">IF(LOWER(Capacity!$L32)="x",IF(AND(SUMIF(Capacity_Resource,$D20,'Critical resources (hide)'!BE$6:BE$105)+SUMIF(Capacity_Resource,$E20,'Critical resources (hide)'!BE$6:BE$105)+SUMIF(Capacity_Resource,$F20,'Critical resources (hide)'!BE$6:BE$105)&gt;0,$E$1=2),0,1),0)</f>
        <v>1</v>
      </c>
      <c r="AS20" s="67">
        <f ca="1">IF(LOWER(Capacity!$L32)="x",IF(AND(SUMIF(Capacity_Resource,$D20,'Critical resources (hide)'!BF$6:BF$105)+SUMIF(Capacity_Resource,$E20,'Critical resources (hide)'!BF$6:BF$105)+SUMIF(Capacity_Resource,$F20,'Critical resources (hide)'!BF$6:BF$105)&gt;0,$E$1=2),0,1),0)</f>
        <v>1</v>
      </c>
      <c r="AT20" s="67">
        <f ca="1">IF(LOWER(Capacity!$L32)="x",IF(AND(SUMIF(Capacity_Resource,$D20,'Critical resources (hide)'!BG$6:BG$105)+SUMIF(Capacity_Resource,$E20,'Critical resources (hide)'!BG$6:BG$105)+SUMIF(Capacity_Resource,$F20,'Critical resources (hide)'!BG$6:BG$105)&gt;0,$E$1=2),0,1),0)</f>
        <v>1</v>
      </c>
      <c r="AU20" s="67">
        <f ca="1">IF(LOWER(Capacity!$L32)="x",IF(AND(SUMIF(Capacity_Resource,$D20,'Critical resources (hide)'!BH$6:BH$105)+SUMIF(Capacity_Resource,$E20,'Critical resources (hide)'!BH$6:BH$105)+SUMIF(Capacity_Resource,$F20,'Critical resources (hide)'!BH$6:BH$105)&gt;0,$E$1=2),0,1),0)</f>
        <v>1</v>
      </c>
      <c r="AV20" s="67">
        <f ca="1">IF(LOWER(Capacity!$L32)="x",IF(AND(SUMIF(Capacity_Resource,$D20,'Critical resources (hide)'!BI$6:BI$105)+SUMIF(Capacity_Resource,$E20,'Critical resources (hide)'!BI$6:BI$105)+SUMIF(Capacity_Resource,$F20,'Critical resources (hide)'!BI$6:BI$105)&gt;0,$E$1=2),0,1),0)</f>
        <v>1</v>
      </c>
      <c r="AW20" s="67">
        <f ca="1">IF(LOWER(Capacity!$L32)="x",IF(AND(SUMIF(Capacity_Resource,$D20,'Critical resources (hide)'!BJ$6:BJ$105)+SUMIF(Capacity_Resource,$E20,'Critical resources (hide)'!BJ$6:BJ$105)+SUMIF(Capacity_Resource,$F20,'Critical resources (hide)'!BJ$6:BJ$105)&gt;0,$E$1=2),0,1),0)</f>
        <v>1</v>
      </c>
      <c r="AX20" s="67">
        <f ca="1">IF(LOWER(Capacity!$L32)="x",IF(AND(SUMIF(Capacity_Resource,$D20,'Critical resources (hide)'!BK$6:BK$105)+SUMIF(Capacity_Resource,$E20,'Critical resources (hide)'!BK$6:BK$105)+SUMIF(Capacity_Resource,$F20,'Critical resources (hide)'!BK$6:BK$105)&gt;0,$E$1=2),0,1),0)</f>
        <v>1</v>
      </c>
      <c r="AY20" s="67">
        <f ca="1">IF(LOWER(Capacity!$L32)="x",IF(AND(SUMIF(Capacity_Resource,$D20,'Critical resources (hide)'!BL$6:BL$105)+SUMIF(Capacity_Resource,$E20,'Critical resources (hide)'!BL$6:BL$105)+SUMIF(Capacity_Resource,$F20,'Critical resources (hide)'!BL$6:BL$105)&gt;0,$E$1=2),0,1),0)</f>
        <v>1</v>
      </c>
      <c r="AZ20" s="67">
        <f ca="1">IF(LOWER(Capacity!$L32)="x",IF(AND(SUMIF(Capacity_Resource,$D20,'Critical resources (hide)'!BM$6:BM$105)+SUMIF(Capacity_Resource,$E20,'Critical resources (hide)'!BM$6:BM$105)+SUMIF(Capacity_Resource,$F20,'Critical resources (hide)'!BM$6:BM$105)&gt;0,$E$1=2),0,1),0)</f>
        <v>1</v>
      </c>
      <c r="BA20" s="67">
        <f ca="1">IF(LOWER(Capacity!$L32)="x",IF(AND(SUMIF(Capacity_Resource,$D20,'Critical resources (hide)'!BN$6:BN$105)+SUMIF(Capacity_Resource,$E20,'Critical resources (hide)'!BN$6:BN$105)+SUMIF(Capacity_Resource,$F20,'Critical resources (hide)'!BN$6:BN$105)&gt;0,$E$1=2),0,1),0)</f>
        <v>1</v>
      </c>
      <c r="BB20" s="67">
        <f ca="1">IF(LOWER(Capacity!$L32)="x",IF(AND(SUMIF(Capacity_Resource,$D20,'Critical resources (hide)'!BO$6:BO$105)+SUMIF(Capacity_Resource,$E20,'Critical resources (hide)'!BO$6:BO$105)+SUMIF(Capacity_Resource,$F20,'Critical resources (hide)'!BO$6:BO$105)&gt;0,$E$1=2),0,1),0)</f>
        <v>1</v>
      </c>
      <c r="BC20" s="67">
        <f ca="1">IF(LOWER(Capacity!$L32)="x",IF(AND(SUMIF(Capacity_Resource,$D20,'Critical resources (hide)'!BP$6:BP$105)+SUMIF(Capacity_Resource,$E20,'Critical resources (hide)'!BP$6:BP$105)+SUMIF(Capacity_Resource,$F20,'Critical resources (hide)'!BP$6:BP$105)&gt;0,$E$1=2),0,1),0)</f>
        <v>1</v>
      </c>
      <c r="BD20" s="67">
        <f ca="1">IF(LOWER(Capacity!$L32)="x",IF(AND(SUMIF(Capacity_Resource,$D20,'Critical resources (hide)'!BQ$6:BQ$105)+SUMIF(Capacity_Resource,$E20,'Critical resources (hide)'!BQ$6:BQ$105)+SUMIF(Capacity_Resource,$F20,'Critical resources (hide)'!BQ$6:BQ$105)&gt;0,$E$1=2),0,1),0)</f>
        <v>1</v>
      </c>
      <c r="BE20" s="67">
        <f ca="1">IF(LOWER(Capacity!$L32)="x",IF(AND(SUMIF(Capacity_Resource,$D20,'Critical resources (hide)'!BR$6:BR$105)+SUMIF(Capacity_Resource,$E20,'Critical resources (hide)'!BR$6:BR$105)+SUMIF(Capacity_Resource,$F20,'Critical resources (hide)'!BR$6:BR$105)&gt;0,$E$1=2),0,1),0)</f>
        <v>1</v>
      </c>
      <c r="BF20" s="67">
        <f ca="1">IF(LOWER(Capacity!$L32)="x",IF(AND(SUMIF(Capacity_Resource,$D20,'Critical resources (hide)'!BS$6:BS$105)+SUMIF(Capacity_Resource,$E20,'Critical resources (hide)'!BS$6:BS$105)+SUMIF(Capacity_Resource,$F20,'Critical resources (hide)'!BS$6:BS$105)&gt;0,$E$1=2),0,1),0)</f>
        <v>1</v>
      </c>
      <c r="BG20" s="67">
        <f ca="1">IF(LOWER(Capacity!$L32)="x",IF(AND(SUMIF(Capacity_Resource,$D20,'Critical resources (hide)'!BT$6:BT$105)+SUMIF(Capacity_Resource,$E20,'Critical resources (hide)'!BT$6:BT$105)+SUMIF(Capacity_Resource,$F20,'Critical resources (hide)'!BT$6:BT$105)&gt;0,$E$1=2),0,1),0)</f>
        <v>1</v>
      </c>
      <c r="BH20" s="67">
        <f>IF(ROW(C16)&lt;=Capacity!$A$16,IF('Capacity summary'!$D$14="No",SUM(H20:BG20),'Capacity summary'!$E139),0)</f>
        <v>0</v>
      </c>
      <c r="BI20" s="5" t="str">
        <f>IF(BH20&gt;0,IF(BH20&lt;Capacity!E32,Capacity!F32,Capacity!H32/'Capacity calculation (hide)'!BH20),"")</f>
        <v/>
      </c>
      <c r="BK20" s="311">
        <f>IF($BI20&lt;&gt;"",IF('Capacity summary'!$D$14="Yes",IF(COUNTBLANK('Capacity summary'!$H139:$BG139)&lt;52,IF('Capacity summary'!H139&lt;&gt;"",IF(LOWER('Capacity summary'!H139)="x",$BI20*H20,VALUE('Capacity summary'!H139)),0),H20*$BI20),H20*$BI20),0)</f>
        <v>0</v>
      </c>
      <c r="BL20" s="311">
        <f>IF($BI20&lt;&gt;"",IF('Capacity summary'!$D$14="Yes",IF(COUNTBLANK('Capacity summary'!$H139:$BG139)&lt;52,IF('Capacity summary'!I139&lt;&gt;"",IF(LOWER('Capacity summary'!I139)="x",$BI20*I20,VALUE('Capacity summary'!I139)),0),I20*$BI20),I20*$BI20),0)</f>
        <v>0</v>
      </c>
      <c r="BM20" s="311">
        <f>IF($BI20&lt;&gt;"",IF('Capacity summary'!$D$14="Yes",IF(COUNTBLANK('Capacity summary'!$H139:$BG139)&lt;52,IF('Capacity summary'!J139&lt;&gt;"",IF(LOWER('Capacity summary'!J139)="x",$BI20*J20,VALUE('Capacity summary'!J139)),0),J20*$BI20),J20*$BI20),0)</f>
        <v>0</v>
      </c>
      <c r="BN20" s="311">
        <f>IF($BI20&lt;&gt;"",IF('Capacity summary'!$D$14="Yes",IF(COUNTBLANK('Capacity summary'!$H139:$BG139)&lt;52,IF('Capacity summary'!K139&lt;&gt;"",IF(LOWER('Capacity summary'!K139)="x",$BI20*K20,VALUE('Capacity summary'!K139)),0),K20*$BI20),K20*$BI20),0)</f>
        <v>0</v>
      </c>
      <c r="BO20" s="311">
        <f>IF($BI20&lt;&gt;"",IF('Capacity summary'!$D$14="Yes",IF(COUNTBLANK('Capacity summary'!$H139:$BG139)&lt;52,IF('Capacity summary'!L139&lt;&gt;"",IF(LOWER('Capacity summary'!L139)="x",$BI20*L20,VALUE('Capacity summary'!L139)),0),L20*$BI20),L20*$BI20),0)</f>
        <v>0</v>
      </c>
      <c r="BP20" s="311">
        <f>IF($BI20&lt;&gt;"",IF('Capacity summary'!$D$14="Yes",IF(COUNTBLANK('Capacity summary'!$H139:$BG139)&lt;52,IF('Capacity summary'!M139&lt;&gt;"",IF(LOWER('Capacity summary'!M139)="x",$BI20*M20,VALUE('Capacity summary'!M139)),0),M20*$BI20),M20*$BI20),0)</f>
        <v>0</v>
      </c>
      <c r="BQ20" s="311">
        <f>IF($BI20&lt;&gt;"",IF('Capacity summary'!$D$14="Yes",IF(COUNTBLANK('Capacity summary'!$H139:$BG139)&lt;52,IF('Capacity summary'!N139&lt;&gt;"",IF(LOWER('Capacity summary'!N139)="x",$BI20*N20,VALUE('Capacity summary'!N139)),0),N20*$BI20),N20*$BI20),0)</f>
        <v>0</v>
      </c>
      <c r="BR20" s="311">
        <f>IF($BI20&lt;&gt;"",IF('Capacity summary'!$D$14="Yes",IF(COUNTBLANK('Capacity summary'!$H139:$BG139)&lt;52,IF('Capacity summary'!O139&lt;&gt;"",IF(LOWER('Capacity summary'!O139)="x",$BI20*O20,VALUE('Capacity summary'!O139)),0),O20*$BI20),O20*$BI20),0)</f>
        <v>0</v>
      </c>
      <c r="BS20" s="311">
        <f>IF($BI20&lt;&gt;"",IF('Capacity summary'!$D$14="Yes",IF(COUNTBLANK('Capacity summary'!$H139:$BG139)&lt;52,IF('Capacity summary'!P139&lt;&gt;"",IF(LOWER('Capacity summary'!P139)="x",$BI20*P20,VALUE('Capacity summary'!P139)),0),P20*$BI20),P20*$BI20),0)</f>
        <v>0</v>
      </c>
      <c r="BT20" s="311">
        <f>IF($BI20&lt;&gt;"",IF('Capacity summary'!$D$14="Yes",IF(COUNTBLANK('Capacity summary'!$H139:$BG139)&lt;52,IF('Capacity summary'!Q139&lt;&gt;"",IF(LOWER('Capacity summary'!Q139)="x",$BI20*Q20,VALUE('Capacity summary'!Q139)),0),Q20*$BI20),Q20*$BI20),0)</f>
        <v>0</v>
      </c>
      <c r="BU20" s="311">
        <f>IF($BI20&lt;&gt;"",IF('Capacity summary'!$D$14="Yes",IF(COUNTBLANK('Capacity summary'!$H139:$BG139)&lt;52,IF('Capacity summary'!R139&lt;&gt;"",IF(LOWER('Capacity summary'!R139)="x",$BI20*R20,VALUE('Capacity summary'!R139)),0),R20*$BI20),R20*$BI20),0)</f>
        <v>0</v>
      </c>
      <c r="BV20" s="311">
        <f>IF($BI20&lt;&gt;"",IF('Capacity summary'!$D$14="Yes",IF(COUNTBLANK('Capacity summary'!$H139:$BG139)&lt;52,IF('Capacity summary'!S139&lt;&gt;"",IF(LOWER('Capacity summary'!S139)="x",$BI20*S20,VALUE('Capacity summary'!S139)),0),S20*$BI20),S20*$BI20),0)</f>
        <v>0</v>
      </c>
      <c r="BW20" s="311">
        <f>IF($BI20&lt;&gt;"",IF('Capacity summary'!$D$14="Yes",IF(COUNTBLANK('Capacity summary'!$H139:$BG139)&lt;52,IF('Capacity summary'!T139&lt;&gt;"",IF(LOWER('Capacity summary'!T139)="x",$BI20*T20,VALUE('Capacity summary'!T139)),0),T20*$BI20),T20*$BI20),0)</f>
        <v>0</v>
      </c>
      <c r="BX20" s="311">
        <f>IF($BI20&lt;&gt;"",IF('Capacity summary'!$D$14="Yes",IF(COUNTBLANK('Capacity summary'!$H139:$BG139)&lt;52,IF('Capacity summary'!U139&lt;&gt;"",IF(LOWER('Capacity summary'!U139)="x",$BI20*U20,VALUE('Capacity summary'!U139)),0),U20*$BI20),U20*$BI20),0)</f>
        <v>0</v>
      </c>
      <c r="BY20" s="311">
        <f>IF($BI20&lt;&gt;"",IF('Capacity summary'!$D$14="Yes",IF(COUNTBLANK('Capacity summary'!$H139:$BG139)&lt;52,IF('Capacity summary'!V139&lt;&gt;"",IF(LOWER('Capacity summary'!V139)="x",$BI20*V20,VALUE('Capacity summary'!V139)),0),V20*$BI20),V20*$BI20),0)</f>
        <v>0</v>
      </c>
      <c r="BZ20" s="311">
        <f>IF($BI20&lt;&gt;"",IF('Capacity summary'!$D$14="Yes",IF(COUNTBLANK('Capacity summary'!$H139:$BG139)&lt;52,IF('Capacity summary'!W139&lt;&gt;"",IF(LOWER('Capacity summary'!W139)="x",$BI20*W20,VALUE('Capacity summary'!W139)),0),W20*$BI20),W20*$BI20),0)</f>
        <v>0</v>
      </c>
      <c r="CA20" s="311">
        <f>IF($BI20&lt;&gt;"",IF('Capacity summary'!$D$14="Yes",IF(COUNTBLANK('Capacity summary'!$H139:$BG139)&lt;52,IF('Capacity summary'!X139&lt;&gt;"",IF(LOWER('Capacity summary'!X139)="x",$BI20*X20,VALUE('Capacity summary'!X139)),0),X20*$BI20),X20*$BI20),0)</f>
        <v>0</v>
      </c>
      <c r="CB20" s="311">
        <f>IF($BI20&lt;&gt;"",IF('Capacity summary'!$D$14="Yes",IF(COUNTBLANK('Capacity summary'!$H139:$BG139)&lt;52,IF('Capacity summary'!Y139&lt;&gt;"",IF(LOWER('Capacity summary'!Y139)="x",$BI20*Y20,VALUE('Capacity summary'!Y139)),0),Y20*$BI20),Y20*$BI20),0)</f>
        <v>0</v>
      </c>
      <c r="CC20" s="311">
        <f>IF($BI20&lt;&gt;"",IF('Capacity summary'!$D$14="Yes",IF(COUNTBLANK('Capacity summary'!$H139:$BG139)&lt;52,IF('Capacity summary'!Z139&lt;&gt;"",IF(LOWER('Capacity summary'!Z139)="x",$BI20*Z20,VALUE('Capacity summary'!Z139)),0),Z20*$BI20),Z20*$BI20),0)</f>
        <v>0</v>
      </c>
      <c r="CD20" s="311">
        <f>IF($BI20&lt;&gt;"",IF('Capacity summary'!$D$14="Yes",IF(COUNTBLANK('Capacity summary'!$H139:$BG139)&lt;52,IF('Capacity summary'!AA139&lt;&gt;"",IF(LOWER('Capacity summary'!AA139)="x",$BI20*AA20,VALUE('Capacity summary'!AA139)),0),AA20*$BI20),AA20*$BI20),0)</f>
        <v>0</v>
      </c>
      <c r="CE20" s="311">
        <f>IF($BI20&lt;&gt;"",IF('Capacity summary'!$D$14="Yes",IF(COUNTBLANK('Capacity summary'!$H139:$BG139)&lt;52,IF('Capacity summary'!AB139&lt;&gt;"",IF(LOWER('Capacity summary'!AB139)="x",$BI20*AB20,VALUE('Capacity summary'!AB139)),0),AB20*$BI20),AB20*$BI20),0)</f>
        <v>0</v>
      </c>
      <c r="CF20" s="311">
        <f>IF($BI20&lt;&gt;"",IF('Capacity summary'!$D$14="Yes",IF(COUNTBLANK('Capacity summary'!$H139:$BG139)&lt;52,IF('Capacity summary'!AC139&lt;&gt;"",IF(LOWER('Capacity summary'!AC139)="x",$BI20*AC20,VALUE('Capacity summary'!AC139)),0),AC20*$BI20),AC20*$BI20),0)</f>
        <v>0</v>
      </c>
      <c r="CG20" s="311">
        <f>IF($BI20&lt;&gt;"",IF('Capacity summary'!$D$14="Yes",IF(COUNTBLANK('Capacity summary'!$H139:$BG139)&lt;52,IF('Capacity summary'!AD139&lt;&gt;"",IF(LOWER('Capacity summary'!AD139)="x",$BI20*AD20,VALUE('Capacity summary'!AD139)),0),AD20*$BI20),AD20*$BI20),0)</f>
        <v>0</v>
      </c>
      <c r="CH20" s="311">
        <f>IF($BI20&lt;&gt;"",IF('Capacity summary'!$D$14="Yes",IF(COUNTBLANK('Capacity summary'!$H139:$BG139)&lt;52,IF('Capacity summary'!AE139&lt;&gt;"",IF(LOWER('Capacity summary'!AE139)="x",$BI20*AE20,VALUE('Capacity summary'!AE139)),0),AE20*$BI20),AE20*$BI20),0)</f>
        <v>0</v>
      </c>
      <c r="CI20" s="311">
        <f>IF($BI20&lt;&gt;"",IF('Capacity summary'!$D$14="Yes",IF(COUNTBLANK('Capacity summary'!$H139:$BG139)&lt;52,IF('Capacity summary'!AF139&lt;&gt;"",IF(LOWER('Capacity summary'!AF139)="x",$BI20*AF20,VALUE('Capacity summary'!AF139)),0),AF20*$BI20),AF20*$BI20),0)</f>
        <v>0</v>
      </c>
      <c r="CJ20" s="311">
        <f>IF($BI20&lt;&gt;"",IF('Capacity summary'!$D$14="Yes",IF(COUNTBLANK('Capacity summary'!$H139:$BG139)&lt;52,IF('Capacity summary'!AG139&lt;&gt;"",IF(LOWER('Capacity summary'!AG139)="x",$BI20*AG20,VALUE('Capacity summary'!AG139)),0),AG20*$BI20),AG20*$BI20),0)</f>
        <v>0</v>
      </c>
      <c r="CK20" s="311">
        <f>IF($BI20&lt;&gt;"",IF('Capacity summary'!$D$14="Yes",IF(COUNTBLANK('Capacity summary'!$H139:$BG139)&lt;52,IF('Capacity summary'!AH139&lt;&gt;"",IF(LOWER('Capacity summary'!AH139)="x",$BI20*AH20,VALUE('Capacity summary'!AH139)),0),AH20*$BI20),AH20*$BI20),0)</f>
        <v>0</v>
      </c>
      <c r="CL20" s="311">
        <f>IF($BI20&lt;&gt;"",IF('Capacity summary'!$D$14="Yes",IF(COUNTBLANK('Capacity summary'!$H139:$BG139)&lt;52,IF('Capacity summary'!AI139&lt;&gt;"",IF(LOWER('Capacity summary'!AI139)="x",$BI20*AI20,VALUE('Capacity summary'!AI139)),0),AI20*$BI20),AI20*$BI20),0)</f>
        <v>0</v>
      </c>
      <c r="CM20" s="311">
        <f>IF($BI20&lt;&gt;"",IF('Capacity summary'!$D$14="Yes",IF(COUNTBLANK('Capacity summary'!$H139:$BG139)&lt;52,IF('Capacity summary'!AJ139&lt;&gt;"",IF(LOWER('Capacity summary'!AJ139)="x",$BI20*AJ20,VALUE('Capacity summary'!AJ139)),0),AJ20*$BI20),AJ20*$BI20),0)</f>
        <v>0</v>
      </c>
      <c r="CN20" s="311">
        <f>IF($BI20&lt;&gt;"",IF('Capacity summary'!$D$14="Yes",IF(COUNTBLANK('Capacity summary'!$H139:$BG139)&lt;52,IF('Capacity summary'!AK139&lt;&gt;"",IF(LOWER('Capacity summary'!AK139)="x",$BI20*AK20,VALUE('Capacity summary'!AK139)),0),AK20*$BI20),AK20*$BI20),0)</f>
        <v>0</v>
      </c>
      <c r="CO20" s="311">
        <f>IF($BI20&lt;&gt;"",IF('Capacity summary'!$D$14="Yes",IF(COUNTBLANK('Capacity summary'!$H139:$BG139)&lt;52,IF('Capacity summary'!AL139&lt;&gt;"",IF(LOWER('Capacity summary'!AL139)="x",$BI20*AL20,VALUE('Capacity summary'!AL139)),0),AL20*$BI20),AL20*$BI20),0)</f>
        <v>0</v>
      </c>
      <c r="CP20" s="311">
        <f>IF($BI20&lt;&gt;"",IF('Capacity summary'!$D$14="Yes",IF(COUNTBLANK('Capacity summary'!$H139:$BG139)&lt;52,IF('Capacity summary'!AM139&lt;&gt;"",IF(LOWER('Capacity summary'!AM139)="x",$BI20*AM20,VALUE('Capacity summary'!AM139)),0),AM20*$BI20),AM20*$BI20),0)</f>
        <v>0</v>
      </c>
      <c r="CQ20" s="311">
        <f>IF($BI20&lt;&gt;"",IF('Capacity summary'!$D$14="Yes",IF(COUNTBLANK('Capacity summary'!$H139:$BG139)&lt;52,IF('Capacity summary'!AN139&lt;&gt;"",IF(LOWER('Capacity summary'!AN139)="x",$BI20*AN20,VALUE('Capacity summary'!AN139)),0),AN20*$BI20),AN20*$BI20),0)</f>
        <v>0</v>
      </c>
      <c r="CR20" s="311">
        <f>IF($BI20&lt;&gt;"",IF('Capacity summary'!$D$14="Yes",IF(COUNTBLANK('Capacity summary'!$H139:$BG139)&lt;52,IF('Capacity summary'!AO139&lt;&gt;"",IF(LOWER('Capacity summary'!AO139)="x",$BI20*AO20,VALUE('Capacity summary'!AO139)),0),AO20*$BI20),AO20*$BI20),0)</f>
        <v>0</v>
      </c>
      <c r="CS20" s="311">
        <f>IF($BI20&lt;&gt;"",IF('Capacity summary'!$D$14="Yes",IF(COUNTBLANK('Capacity summary'!$H139:$BG139)&lt;52,IF('Capacity summary'!AP139&lt;&gt;"",IF(LOWER('Capacity summary'!AP139)="x",$BI20*AP20,VALUE('Capacity summary'!AP139)),0),AP20*$BI20),AP20*$BI20),0)</f>
        <v>0</v>
      </c>
      <c r="CT20" s="311">
        <f>IF($BI20&lt;&gt;"",IF('Capacity summary'!$D$14="Yes",IF(COUNTBLANK('Capacity summary'!$H139:$BG139)&lt;52,IF('Capacity summary'!AQ139&lt;&gt;"",IF(LOWER('Capacity summary'!AQ139)="x",$BI20*AQ20,VALUE('Capacity summary'!AQ139)),0),AQ20*$BI20),AQ20*$BI20),0)</f>
        <v>0</v>
      </c>
      <c r="CU20" s="311">
        <f>IF($BI20&lt;&gt;"",IF('Capacity summary'!$D$14="Yes",IF(COUNTBLANK('Capacity summary'!$H139:$BG139)&lt;52,IF('Capacity summary'!AR139&lt;&gt;"",IF(LOWER('Capacity summary'!AR139)="x",$BI20*AR20,VALUE('Capacity summary'!AR139)),0),AR20*$BI20),AR20*$BI20),0)</f>
        <v>0</v>
      </c>
      <c r="CV20" s="311">
        <f>IF($BI20&lt;&gt;"",IF('Capacity summary'!$D$14="Yes",IF(COUNTBLANK('Capacity summary'!$H139:$BG139)&lt;52,IF('Capacity summary'!AS139&lt;&gt;"",IF(LOWER('Capacity summary'!AS139)="x",$BI20*AS20,VALUE('Capacity summary'!AS139)),0),AS20*$BI20),AS20*$BI20),0)</f>
        <v>0</v>
      </c>
      <c r="CW20" s="311">
        <f>IF($BI20&lt;&gt;"",IF('Capacity summary'!$D$14="Yes",IF(COUNTBLANK('Capacity summary'!$H139:$BG139)&lt;52,IF('Capacity summary'!AT139&lt;&gt;"",IF(LOWER('Capacity summary'!AT139)="x",$BI20*AT20,VALUE('Capacity summary'!AT139)),0),AT20*$BI20),AT20*$BI20),0)</f>
        <v>0</v>
      </c>
      <c r="CX20" s="311">
        <f>IF($BI20&lt;&gt;"",IF('Capacity summary'!$D$14="Yes",IF(COUNTBLANK('Capacity summary'!$H139:$BG139)&lt;52,IF('Capacity summary'!AU139&lt;&gt;"",IF(LOWER('Capacity summary'!AU139)="x",$BI20*AU20,VALUE('Capacity summary'!AU139)),0),AU20*$BI20),AU20*$BI20),0)</f>
        <v>0</v>
      </c>
      <c r="CY20" s="311">
        <f>IF($BI20&lt;&gt;"",IF('Capacity summary'!$D$14="Yes",IF(COUNTBLANK('Capacity summary'!$H139:$BG139)&lt;52,IF('Capacity summary'!AV139&lt;&gt;"",IF(LOWER('Capacity summary'!AV139)="x",$BI20*AV20,VALUE('Capacity summary'!AV139)),0),AV20*$BI20),AV20*$BI20),0)</f>
        <v>0</v>
      </c>
      <c r="CZ20" s="311">
        <f>IF($BI20&lt;&gt;"",IF('Capacity summary'!$D$14="Yes",IF(COUNTBLANK('Capacity summary'!$H139:$BG139)&lt;52,IF('Capacity summary'!AW139&lt;&gt;"",IF(LOWER('Capacity summary'!AW139)="x",$BI20*AW20,VALUE('Capacity summary'!AW139)),0),AW20*$BI20),AW20*$BI20),0)</f>
        <v>0</v>
      </c>
      <c r="DA20" s="311">
        <f>IF($BI20&lt;&gt;"",IF('Capacity summary'!$D$14="Yes",IF(COUNTBLANK('Capacity summary'!$H139:$BG139)&lt;52,IF('Capacity summary'!AX139&lt;&gt;"",IF(LOWER('Capacity summary'!AX139)="x",$BI20*AX20,VALUE('Capacity summary'!AX139)),0),AX20*$BI20),AX20*$BI20),0)</f>
        <v>0</v>
      </c>
      <c r="DB20" s="311">
        <f>IF($BI20&lt;&gt;"",IF('Capacity summary'!$D$14="Yes",IF(COUNTBLANK('Capacity summary'!$H139:$BG139)&lt;52,IF('Capacity summary'!AY139&lt;&gt;"",IF(LOWER('Capacity summary'!AY139)="x",$BI20*AY20,VALUE('Capacity summary'!AY139)),0),AY20*$BI20),AY20*$BI20),0)</f>
        <v>0</v>
      </c>
      <c r="DC20" s="311">
        <f>IF($BI20&lt;&gt;"",IF('Capacity summary'!$D$14="Yes",IF(COUNTBLANK('Capacity summary'!$H139:$BG139)&lt;52,IF('Capacity summary'!AZ139&lt;&gt;"",IF(LOWER('Capacity summary'!AZ139)="x",$BI20*AZ20,VALUE('Capacity summary'!AZ139)),0),AZ20*$BI20),AZ20*$BI20),0)</f>
        <v>0</v>
      </c>
      <c r="DD20" s="311">
        <f>IF($BI20&lt;&gt;"",IF('Capacity summary'!$D$14="Yes",IF(COUNTBLANK('Capacity summary'!$H139:$BG139)&lt;52,IF('Capacity summary'!BA139&lt;&gt;"",IF(LOWER('Capacity summary'!BA139)="x",$BI20*BA20,VALUE('Capacity summary'!BA139)),0),BA20*$BI20),BA20*$BI20),0)</f>
        <v>0</v>
      </c>
      <c r="DE20" s="311">
        <f>IF($BI20&lt;&gt;"",IF('Capacity summary'!$D$14="Yes",IF(COUNTBLANK('Capacity summary'!$H139:$BG139)&lt;52,IF('Capacity summary'!BB139&lt;&gt;"",IF(LOWER('Capacity summary'!BB139)="x",$BI20*BB20,VALUE('Capacity summary'!BB139)),0),BB20*$BI20),BB20*$BI20),0)</f>
        <v>0</v>
      </c>
      <c r="DF20" s="311">
        <f>IF($BI20&lt;&gt;"",IF('Capacity summary'!$D$14="Yes",IF(COUNTBLANK('Capacity summary'!$H139:$BG139)&lt;52,IF('Capacity summary'!BC139&lt;&gt;"",IF(LOWER('Capacity summary'!BC139)="x",$BI20*BC20,VALUE('Capacity summary'!BC139)),0),BC20*$BI20),BC20*$BI20),0)</f>
        <v>0</v>
      </c>
      <c r="DG20" s="311">
        <f>IF($BI20&lt;&gt;"",IF('Capacity summary'!$D$14="Yes",IF(COUNTBLANK('Capacity summary'!$H139:$BG139)&lt;52,IF('Capacity summary'!BD139&lt;&gt;"",IF(LOWER('Capacity summary'!BD139)="x",$BI20*BD20,VALUE('Capacity summary'!BD139)),0),BD20*$BI20),BD20*$BI20),0)</f>
        <v>0</v>
      </c>
      <c r="DH20" s="311">
        <f>IF($BI20&lt;&gt;"",IF('Capacity summary'!$D$14="Yes",IF(COUNTBLANK('Capacity summary'!$H139:$BG139)&lt;52,IF('Capacity summary'!BE139&lt;&gt;"",IF(LOWER('Capacity summary'!BE139)="x",$BI20*BE20,VALUE('Capacity summary'!BE139)),0),BE20*$BI20),BE20*$BI20),0)</f>
        <v>0</v>
      </c>
      <c r="DI20" s="311">
        <f>IF($BI20&lt;&gt;"",IF('Capacity summary'!$D$14="Yes",IF(COUNTBLANK('Capacity summary'!$H139:$BG139)&lt;52,IF('Capacity summary'!BF139&lt;&gt;"",IF(LOWER('Capacity summary'!BF139)="x",$BI20*BF20,VALUE('Capacity summary'!BF139)),0),BF20*$BI20),BF20*$BI20),0)</f>
        <v>0</v>
      </c>
      <c r="DJ20" s="311">
        <f>IF($BI20&lt;&gt;"",IF('Capacity summary'!$D$14="Yes",IF(COUNTBLANK('Capacity summary'!$H139:$BG139)&lt;52,IF('Capacity summary'!BG139&lt;&gt;"",IF(LOWER('Capacity summary'!BG139)="x",$BI20*BG20,VALUE('Capacity summary'!BG139)),0),BG20*$BI20),BG20*$BI20),0)</f>
        <v>0</v>
      </c>
      <c r="DK20" s="391">
        <f t="shared" si="2"/>
        <v>0</v>
      </c>
      <c r="DL20" s="136">
        <f t="shared" si="3"/>
        <v>0</v>
      </c>
      <c r="DM20" s="311" t="str">
        <f>Capacity!H32</f>
        <v/>
      </c>
      <c r="DQ20" s="5"/>
    </row>
    <row r="21" spans="1:121" x14ac:dyDescent="0.2">
      <c r="A21" s="67">
        <f>IF(Capacity!L33='Capacity summary'!BI140,1,0)</f>
        <v>1</v>
      </c>
      <c r="B21" s="67">
        <f>IF(Capacity!V33='Capacity summary'!BI40,1,0)</f>
        <v>1</v>
      </c>
      <c r="C21" s="67" t="str">
        <f>ROW(A17)&amp;". "&amp;Capacity!B33</f>
        <v xml:space="preserve">17. </v>
      </c>
      <c r="D21" s="67">
        <f>'Capacity setup'!C28</f>
        <v>0</v>
      </c>
      <c r="E21" s="67">
        <f>'Capacity setup'!D28</f>
        <v>0</v>
      </c>
      <c r="F21" s="67">
        <f>'Capacity setup'!E28</f>
        <v>0</v>
      </c>
      <c r="H21" s="67">
        <f ca="1">IF(LOWER(Capacity!$L33)="x",IF(AND(SUMIF(Capacity_Resource,$D21,'Critical resources (hide)'!U$6:U$105)+SUMIF(Capacity_Resource,$E21,'Critical resources (hide)'!U$6:U$105)+SUMIF(Capacity_Resource,$F21,'Critical resources (hide)'!U$6:U$105)&gt;0,$E$1=2),0,1),0)</f>
        <v>1</v>
      </c>
      <c r="I21" s="67">
        <f ca="1">IF(LOWER(Capacity!$L33)="x",IF(AND(SUMIF(Capacity_Resource,$D21,'Critical resources (hide)'!V$6:V$105)+SUMIF(Capacity_Resource,$E21,'Critical resources (hide)'!V$6:V$105)+SUMIF(Capacity_Resource,$F21,'Critical resources (hide)'!V$6:V$105)&gt;0,$E$1=2),0,1),0)</f>
        <v>1</v>
      </c>
      <c r="J21" s="67">
        <f ca="1">IF(LOWER(Capacity!$L33)="x",IF(AND(SUMIF(Capacity_Resource,$D21,'Critical resources (hide)'!W$6:W$105)+SUMIF(Capacity_Resource,$E21,'Critical resources (hide)'!W$6:W$105)+SUMIF(Capacity_Resource,$F21,'Critical resources (hide)'!W$6:W$105)&gt;0,$E$1=2),0,1),0)</f>
        <v>1</v>
      </c>
      <c r="K21" s="67">
        <f ca="1">IF(LOWER(Capacity!$L33)="x",IF(AND(SUMIF(Capacity_Resource,$D21,'Critical resources (hide)'!X$6:X$105)+SUMIF(Capacity_Resource,$E21,'Critical resources (hide)'!X$6:X$105)+SUMIF(Capacity_Resource,$F21,'Critical resources (hide)'!X$6:X$105)&gt;0,$E$1=2),0,1),0)</f>
        <v>1</v>
      </c>
      <c r="L21" s="67">
        <f ca="1">IF(LOWER(Capacity!$L33)="x",IF(AND(SUMIF(Capacity_Resource,$D21,'Critical resources (hide)'!Y$6:Y$105)+SUMIF(Capacity_Resource,$E21,'Critical resources (hide)'!Y$6:Y$105)+SUMIF(Capacity_Resource,$F21,'Critical resources (hide)'!Y$6:Y$105)&gt;0,$E$1=2),0,1),0)</f>
        <v>1</v>
      </c>
      <c r="M21" s="67">
        <f ca="1">IF(LOWER(Capacity!$L33)="x",IF(AND(SUMIF(Capacity_Resource,$D21,'Critical resources (hide)'!Z$6:Z$105)+SUMIF(Capacity_Resource,$E21,'Critical resources (hide)'!Z$6:Z$105)+SUMIF(Capacity_Resource,$F21,'Critical resources (hide)'!Z$6:Z$105)&gt;0,$E$1=2),0,1),0)</f>
        <v>1</v>
      </c>
      <c r="N21" s="67">
        <f ca="1">IF(LOWER(Capacity!$L33)="x",IF(AND(SUMIF(Capacity_Resource,$D21,'Critical resources (hide)'!AA$6:AA$105)+SUMIF(Capacity_Resource,$E21,'Critical resources (hide)'!AA$6:AA$105)+SUMIF(Capacity_Resource,$F21,'Critical resources (hide)'!AA$6:AA$105)&gt;0,$E$1=2),0,1),0)</f>
        <v>1</v>
      </c>
      <c r="O21" s="67">
        <f ca="1">IF(LOWER(Capacity!$L33)="x",IF(AND(SUMIF(Capacity_Resource,$D21,'Critical resources (hide)'!AB$6:AB$105)+SUMIF(Capacity_Resource,$E21,'Critical resources (hide)'!AB$6:AB$105)+SUMIF(Capacity_Resource,$F21,'Critical resources (hide)'!AB$6:AB$105)&gt;0,$E$1=2),0,1),0)</f>
        <v>1</v>
      </c>
      <c r="P21" s="67">
        <f ca="1">IF(LOWER(Capacity!$L33)="x",IF(AND(SUMIF(Capacity_Resource,$D21,'Critical resources (hide)'!AC$6:AC$105)+SUMIF(Capacity_Resource,$E21,'Critical resources (hide)'!AC$6:AC$105)+SUMIF(Capacity_Resource,$F21,'Critical resources (hide)'!AC$6:AC$105)&gt;0,$E$1=2),0,1),0)</f>
        <v>1</v>
      </c>
      <c r="Q21" s="67">
        <f ca="1">IF(LOWER(Capacity!$L33)="x",IF(AND(SUMIF(Capacity_Resource,$D21,'Critical resources (hide)'!AD$6:AD$105)+SUMIF(Capacity_Resource,$E21,'Critical resources (hide)'!AD$6:AD$105)+SUMIF(Capacity_Resource,$F21,'Critical resources (hide)'!AD$6:AD$105)&gt;0,$E$1=2),0,1),0)</f>
        <v>1</v>
      </c>
      <c r="R21" s="67">
        <f ca="1">IF(LOWER(Capacity!$L33)="x",IF(AND(SUMIF(Capacity_Resource,$D21,'Critical resources (hide)'!AE$6:AE$105)+SUMIF(Capacity_Resource,$E21,'Critical resources (hide)'!AE$6:AE$105)+SUMIF(Capacity_Resource,$F21,'Critical resources (hide)'!AE$6:AE$105)&gt;0,$E$1=2),0,1),0)</f>
        <v>1</v>
      </c>
      <c r="S21" s="67">
        <f ca="1">IF(LOWER(Capacity!$L33)="x",IF(AND(SUMIF(Capacity_Resource,$D21,'Critical resources (hide)'!AF$6:AF$105)+SUMIF(Capacity_Resource,$E21,'Critical resources (hide)'!AF$6:AF$105)+SUMIF(Capacity_Resource,$F21,'Critical resources (hide)'!AF$6:AF$105)&gt;0,$E$1=2),0,1),0)</f>
        <v>1</v>
      </c>
      <c r="T21" s="67">
        <f ca="1">IF(LOWER(Capacity!$L33)="x",IF(AND(SUMIF(Capacity_Resource,$D21,'Critical resources (hide)'!AG$6:AG$105)+SUMIF(Capacity_Resource,$E21,'Critical resources (hide)'!AG$6:AG$105)+SUMIF(Capacity_Resource,$F21,'Critical resources (hide)'!AG$6:AG$105)&gt;0,$E$1=2),0,1),0)</f>
        <v>1</v>
      </c>
      <c r="U21" s="67">
        <f ca="1">IF(LOWER(Capacity!$L33)="x",IF(AND(SUMIF(Capacity_Resource,$D21,'Critical resources (hide)'!AH$6:AH$105)+SUMIF(Capacity_Resource,$E21,'Critical resources (hide)'!AH$6:AH$105)+SUMIF(Capacity_Resource,$F21,'Critical resources (hide)'!AH$6:AH$105)&gt;0,$E$1=2),0,1),0)</f>
        <v>1</v>
      </c>
      <c r="V21" s="67">
        <f ca="1">IF(LOWER(Capacity!$L33)="x",IF(AND(SUMIF(Capacity_Resource,$D21,'Critical resources (hide)'!AI$6:AI$105)+SUMIF(Capacity_Resource,$E21,'Critical resources (hide)'!AI$6:AI$105)+SUMIF(Capacity_Resource,$F21,'Critical resources (hide)'!AI$6:AI$105)&gt;0,$E$1=2),0,1),0)</f>
        <v>1</v>
      </c>
      <c r="W21" s="67">
        <f ca="1">IF(LOWER(Capacity!$L33)="x",IF(AND(SUMIF(Capacity_Resource,$D21,'Critical resources (hide)'!AJ$6:AJ$105)+SUMIF(Capacity_Resource,$E21,'Critical resources (hide)'!AJ$6:AJ$105)+SUMIF(Capacity_Resource,$F21,'Critical resources (hide)'!AJ$6:AJ$105)&gt;0,$E$1=2),0,1),0)</f>
        <v>1</v>
      </c>
      <c r="X21" s="67">
        <f ca="1">IF(LOWER(Capacity!$L33)="x",IF(AND(SUMIF(Capacity_Resource,$D21,'Critical resources (hide)'!AK$6:AK$105)+SUMIF(Capacity_Resource,$E21,'Critical resources (hide)'!AK$6:AK$105)+SUMIF(Capacity_Resource,$F21,'Critical resources (hide)'!AK$6:AK$105)&gt;0,$E$1=2),0,1),0)</f>
        <v>1</v>
      </c>
      <c r="Y21" s="67">
        <f ca="1">IF(LOWER(Capacity!$L33)="x",IF(AND(SUMIF(Capacity_Resource,$D21,'Critical resources (hide)'!AL$6:AL$105)+SUMIF(Capacity_Resource,$E21,'Critical resources (hide)'!AL$6:AL$105)+SUMIF(Capacity_Resource,$F21,'Critical resources (hide)'!AL$6:AL$105)&gt;0,$E$1=2),0,1),0)</f>
        <v>1</v>
      </c>
      <c r="Z21" s="67">
        <f ca="1">IF(LOWER(Capacity!$L33)="x",IF(AND(SUMIF(Capacity_Resource,$D21,'Critical resources (hide)'!AM$6:AM$105)+SUMIF(Capacity_Resource,$E21,'Critical resources (hide)'!AM$6:AM$105)+SUMIF(Capacity_Resource,$F21,'Critical resources (hide)'!AM$6:AM$105)&gt;0,$E$1=2),0,1),0)</f>
        <v>1</v>
      </c>
      <c r="AA21" s="67">
        <f ca="1">IF(LOWER(Capacity!$L33)="x",IF(AND(SUMIF(Capacity_Resource,$D21,'Critical resources (hide)'!AN$6:AN$105)+SUMIF(Capacity_Resource,$E21,'Critical resources (hide)'!AN$6:AN$105)+SUMIF(Capacity_Resource,$F21,'Critical resources (hide)'!AN$6:AN$105)&gt;0,$E$1=2),0,1),0)</f>
        <v>1</v>
      </c>
      <c r="AB21" s="67">
        <f ca="1">IF(LOWER(Capacity!$L33)="x",IF(AND(SUMIF(Capacity_Resource,$D21,'Critical resources (hide)'!AO$6:AO$105)+SUMIF(Capacity_Resource,$E21,'Critical resources (hide)'!AO$6:AO$105)+SUMIF(Capacity_Resource,$F21,'Critical resources (hide)'!AO$6:AO$105)&gt;0,$E$1=2),0,1),0)</f>
        <v>1</v>
      </c>
      <c r="AC21" s="67">
        <f ca="1">IF(LOWER(Capacity!$L33)="x",IF(AND(SUMIF(Capacity_Resource,$D21,'Critical resources (hide)'!AP$6:AP$105)+SUMIF(Capacity_Resource,$E21,'Critical resources (hide)'!AP$6:AP$105)+SUMIF(Capacity_Resource,$F21,'Critical resources (hide)'!AP$6:AP$105)&gt;0,$E$1=2),0,1),0)</f>
        <v>1</v>
      </c>
      <c r="AD21" s="67">
        <f ca="1">IF(LOWER(Capacity!$L33)="x",IF(AND(SUMIF(Capacity_Resource,$D21,'Critical resources (hide)'!AQ$6:AQ$105)+SUMIF(Capacity_Resource,$E21,'Critical resources (hide)'!AQ$6:AQ$105)+SUMIF(Capacity_Resource,$F21,'Critical resources (hide)'!AQ$6:AQ$105)&gt;0,$E$1=2),0,1),0)</f>
        <v>1</v>
      </c>
      <c r="AE21" s="67">
        <f ca="1">IF(LOWER(Capacity!$L33)="x",IF(AND(SUMIF(Capacity_Resource,$D21,'Critical resources (hide)'!AR$6:AR$105)+SUMIF(Capacity_Resource,$E21,'Critical resources (hide)'!AR$6:AR$105)+SUMIF(Capacity_Resource,$F21,'Critical resources (hide)'!AR$6:AR$105)&gt;0,$E$1=2),0,1),0)</f>
        <v>1</v>
      </c>
      <c r="AF21" s="67">
        <f ca="1">IF(LOWER(Capacity!$L33)="x",IF(AND(SUMIF(Capacity_Resource,$D21,'Critical resources (hide)'!AS$6:AS$105)+SUMIF(Capacity_Resource,$E21,'Critical resources (hide)'!AS$6:AS$105)+SUMIF(Capacity_Resource,$F21,'Critical resources (hide)'!AS$6:AS$105)&gt;0,$E$1=2),0,1),0)</f>
        <v>1</v>
      </c>
      <c r="AG21" s="67">
        <f ca="1">IF(LOWER(Capacity!$L33)="x",IF(AND(SUMIF(Capacity_Resource,$D21,'Critical resources (hide)'!AT$6:AT$105)+SUMIF(Capacity_Resource,$E21,'Critical resources (hide)'!AT$6:AT$105)+SUMIF(Capacity_Resource,$F21,'Critical resources (hide)'!AT$6:AT$105)&gt;0,$E$1=2),0,1),0)</f>
        <v>1</v>
      </c>
      <c r="AH21" s="67">
        <f ca="1">IF(LOWER(Capacity!$L33)="x",IF(AND(SUMIF(Capacity_Resource,$D21,'Critical resources (hide)'!AU$6:AU$105)+SUMIF(Capacity_Resource,$E21,'Critical resources (hide)'!AU$6:AU$105)+SUMIF(Capacity_Resource,$F21,'Critical resources (hide)'!AU$6:AU$105)&gt;0,$E$1=2),0,1),0)</f>
        <v>1</v>
      </c>
      <c r="AI21" s="67">
        <f ca="1">IF(LOWER(Capacity!$L33)="x",IF(AND(SUMIF(Capacity_Resource,$D21,'Critical resources (hide)'!AV$6:AV$105)+SUMIF(Capacity_Resource,$E21,'Critical resources (hide)'!AV$6:AV$105)+SUMIF(Capacity_Resource,$F21,'Critical resources (hide)'!AV$6:AV$105)&gt;0,$E$1=2),0,1),0)</f>
        <v>1</v>
      </c>
      <c r="AJ21" s="67">
        <f ca="1">IF(LOWER(Capacity!$L33)="x",IF(AND(SUMIF(Capacity_Resource,$D21,'Critical resources (hide)'!AW$6:AW$105)+SUMIF(Capacity_Resource,$E21,'Critical resources (hide)'!AW$6:AW$105)+SUMIF(Capacity_Resource,$F21,'Critical resources (hide)'!AW$6:AW$105)&gt;0,$E$1=2),0,1),0)</f>
        <v>1</v>
      </c>
      <c r="AK21" s="67">
        <f ca="1">IF(LOWER(Capacity!$L33)="x",IF(AND(SUMIF(Capacity_Resource,$D21,'Critical resources (hide)'!AX$6:AX$105)+SUMIF(Capacity_Resource,$E21,'Critical resources (hide)'!AX$6:AX$105)+SUMIF(Capacity_Resource,$F21,'Critical resources (hide)'!AX$6:AX$105)&gt;0,$E$1=2),0,1),0)</f>
        <v>1</v>
      </c>
      <c r="AL21" s="67">
        <f ca="1">IF(LOWER(Capacity!$L33)="x",IF(AND(SUMIF(Capacity_Resource,$D21,'Critical resources (hide)'!AY$6:AY$105)+SUMIF(Capacity_Resource,$E21,'Critical resources (hide)'!AY$6:AY$105)+SUMIF(Capacity_Resource,$F21,'Critical resources (hide)'!AY$6:AY$105)&gt;0,$E$1=2),0,1),0)</f>
        <v>1</v>
      </c>
      <c r="AM21" s="67">
        <f ca="1">IF(LOWER(Capacity!$L33)="x",IF(AND(SUMIF(Capacity_Resource,$D21,'Critical resources (hide)'!AZ$6:AZ$105)+SUMIF(Capacity_Resource,$E21,'Critical resources (hide)'!AZ$6:AZ$105)+SUMIF(Capacity_Resource,$F21,'Critical resources (hide)'!AZ$6:AZ$105)&gt;0,$E$1=2),0,1),0)</f>
        <v>1</v>
      </c>
      <c r="AN21" s="67">
        <f ca="1">IF(LOWER(Capacity!$L33)="x",IF(AND(SUMIF(Capacity_Resource,$D21,'Critical resources (hide)'!BA$6:BA$105)+SUMIF(Capacity_Resource,$E21,'Critical resources (hide)'!BA$6:BA$105)+SUMIF(Capacity_Resource,$F21,'Critical resources (hide)'!BA$6:BA$105)&gt;0,$E$1=2),0,1),0)</f>
        <v>1</v>
      </c>
      <c r="AO21" s="67">
        <f ca="1">IF(LOWER(Capacity!$L33)="x",IF(AND(SUMIF(Capacity_Resource,$D21,'Critical resources (hide)'!BB$6:BB$105)+SUMIF(Capacity_Resource,$E21,'Critical resources (hide)'!BB$6:BB$105)+SUMIF(Capacity_Resource,$F21,'Critical resources (hide)'!BB$6:BB$105)&gt;0,$E$1=2),0,1),0)</f>
        <v>1</v>
      </c>
      <c r="AP21" s="67">
        <f ca="1">IF(LOWER(Capacity!$L33)="x",IF(AND(SUMIF(Capacity_Resource,$D21,'Critical resources (hide)'!BC$6:BC$105)+SUMIF(Capacity_Resource,$E21,'Critical resources (hide)'!BC$6:BC$105)+SUMIF(Capacity_Resource,$F21,'Critical resources (hide)'!BC$6:BC$105)&gt;0,$E$1=2),0,1),0)</f>
        <v>1</v>
      </c>
      <c r="AQ21" s="67">
        <f ca="1">IF(LOWER(Capacity!$L33)="x",IF(AND(SUMIF(Capacity_Resource,$D21,'Critical resources (hide)'!BD$6:BD$105)+SUMIF(Capacity_Resource,$E21,'Critical resources (hide)'!BD$6:BD$105)+SUMIF(Capacity_Resource,$F21,'Critical resources (hide)'!BD$6:BD$105)&gt;0,$E$1=2),0,1),0)</f>
        <v>1</v>
      </c>
      <c r="AR21" s="67">
        <f ca="1">IF(LOWER(Capacity!$L33)="x",IF(AND(SUMIF(Capacity_Resource,$D21,'Critical resources (hide)'!BE$6:BE$105)+SUMIF(Capacity_Resource,$E21,'Critical resources (hide)'!BE$6:BE$105)+SUMIF(Capacity_Resource,$F21,'Critical resources (hide)'!BE$6:BE$105)&gt;0,$E$1=2),0,1),0)</f>
        <v>1</v>
      </c>
      <c r="AS21" s="67">
        <f ca="1">IF(LOWER(Capacity!$L33)="x",IF(AND(SUMIF(Capacity_Resource,$D21,'Critical resources (hide)'!BF$6:BF$105)+SUMIF(Capacity_Resource,$E21,'Critical resources (hide)'!BF$6:BF$105)+SUMIF(Capacity_Resource,$F21,'Critical resources (hide)'!BF$6:BF$105)&gt;0,$E$1=2),0,1),0)</f>
        <v>1</v>
      </c>
      <c r="AT21" s="67">
        <f ca="1">IF(LOWER(Capacity!$L33)="x",IF(AND(SUMIF(Capacity_Resource,$D21,'Critical resources (hide)'!BG$6:BG$105)+SUMIF(Capacity_Resource,$E21,'Critical resources (hide)'!BG$6:BG$105)+SUMIF(Capacity_Resource,$F21,'Critical resources (hide)'!BG$6:BG$105)&gt;0,$E$1=2),0,1),0)</f>
        <v>1</v>
      </c>
      <c r="AU21" s="67">
        <f ca="1">IF(LOWER(Capacity!$L33)="x",IF(AND(SUMIF(Capacity_Resource,$D21,'Critical resources (hide)'!BH$6:BH$105)+SUMIF(Capacity_Resource,$E21,'Critical resources (hide)'!BH$6:BH$105)+SUMIF(Capacity_Resource,$F21,'Critical resources (hide)'!BH$6:BH$105)&gt;0,$E$1=2),0,1),0)</f>
        <v>1</v>
      </c>
      <c r="AV21" s="67">
        <f ca="1">IF(LOWER(Capacity!$L33)="x",IF(AND(SUMIF(Capacity_Resource,$D21,'Critical resources (hide)'!BI$6:BI$105)+SUMIF(Capacity_Resource,$E21,'Critical resources (hide)'!BI$6:BI$105)+SUMIF(Capacity_Resource,$F21,'Critical resources (hide)'!BI$6:BI$105)&gt;0,$E$1=2),0,1),0)</f>
        <v>1</v>
      </c>
      <c r="AW21" s="67">
        <f ca="1">IF(LOWER(Capacity!$L33)="x",IF(AND(SUMIF(Capacity_Resource,$D21,'Critical resources (hide)'!BJ$6:BJ$105)+SUMIF(Capacity_Resource,$E21,'Critical resources (hide)'!BJ$6:BJ$105)+SUMIF(Capacity_Resource,$F21,'Critical resources (hide)'!BJ$6:BJ$105)&gt;0,$E$1=2),0,1),0)</f>
        <v>1</v>
      </c>
      <c r="AX21" s="67">
        <f ca="1">IF(LOWER(Capacity!$L33)="x",IF(AND(SUMIF(Capacity_Resource,$D21,'Critical resources (hide)'!BK$6:BK$105)+SUMIF(Capacity_Resource,$E21,'Critical resources (hide)'!BK$6:BK$105)+SUMIF(Capacity_Resource,$F21,'Critical resources (hide)'!BK$6:BK$105)&gt;0,$E$1=2),0,1),0)</f>
        <v>1</v>
      </c>
      <c r="AY21" s="67">
        <f ca="1">IF(LOWER(Capacity!$L33)="x",IF(AND(SUMIF(Capacity_Resource,$D21,'Critical resources (hide)'!BL$6:BL$105)+SUMIF(Capacity_Resource,$E21,'Critical resources (hide)'!BL$6:BL$105)+SUMIF(Capacity_Resource,$F21,'Critical resources (hide)'!BL$6:BL$105)&gt;0,$E$1=2),0,1),0)</f>
        <v>1</v>
      </c>
      <c r="AZ21" s="67">
        <f ca="1">IF(LOWER(Capacity!$L33)="x",IF(AND(SUMIF(Capacity_Resource,$D21,'Critical resources (hide)'!BM$6:BM$105)+SUMIF(Capacity_Resource,$E21,'Critical resources (hide)'!BM$6:BM$105)+SUMIF(Capacity_Resource,$F21,'Critical resources (hide)'!BM$6:BM$105)&gt;0,$E$1=2),0,1),0)</f>
        <v>1</v>
      </c>
      <c r="BA21" s="67">
        <f ca="1">IF(LOWER(Capacity!$L33)="x",IF(AND(SUMIF(Capacity_Resource,$D21,'Critical resources (hide)'!BN$6:BN$105)+SUMIF(Capacity_Resource,$E21,'Critical resources (hide)'!BN$6:BN$105)+SUMIF(Capacity_Resource,$F21,'Critical resources (hide)'!BN$6:BN$105)&gt;0,$E$1=2),0,1),0)</f>
        <v>1</v>
      </c>
      <c r="BB21" s="67">
        <f ca="1">IF(LOWER(Capacity!$L33)="x",IF(AND(SUMIF(Capacity_Resource,$D21,'Critical resources (hide)'!BO$6:BO$105)+SUMIF(Capacity_Resource,$E21,'Critical resources (hide)'!BO$6:BO$105)+SUMIF(Capacity_Resource,$F21,'Critical resources (hide)'!BO$6:BO$105)&gt;0,$E$1=2),0,1),0)</f>
        <v>1</v>
      </c>
      <c r="BC21" s="67">
        <f ca="1">IF(LOWER(Capacity!$L33)="x",IF(AND(SUMIF(Capacity_Resource,$D21,'Critical resources (hide)'!BP$6:BP$105)+SUMIF(Capacity_Resource,$E21,'Critical resources (hide)'!BP$6:BP$105)+SUMIF(Capacity_Resource,$F21,'Critical resources (hide)'!BP$6:BP$105)&gt;0,$E$1=2),0,1),0)</f>
        <v>1</v>
      </c>
      <c r="BD21" s="67">
        <f ca="1">IF(LOWER(Capacity!$L33)="x",IF(AND(SUMIF(Capacity_Resource,$D21,'Critical resources (hide)'!BQ$6:BQ$105)+SUMIF(Capacity_Resource,$E21,'Critical resources (hide)'!BQ$6:BQ$105)+SUMIF(Capacity_Resource,$F21,'Critical resources (hide)'!BQ$6:BQ$105)&gt;0,$E$1=2),0,1),0)</f>
        <v>1</v>
      </c>
      <c r="BE21" s="67">
        <f ca="1">IF(LOWER(Capacity!$L33)="x",IF(AND(SUMIF(Capacity_Resource,$D21,'Critical resources (hide)'!BR$6:BR$105)+SUMIF(Capacity_Resource,$E21,'Critical resources (hide)'!BR$6:BR$105)+SUMIF(Capacity_Resource,$F21,'Critical resources (hide)'!BR$6:BR$105)&gt;0,$E$1=2),0,1),0)</f>
        <v>1</v>
      </c>
      <c r="BF21" s="67">
        <f ca="1">IF(LOWER(Capacity!$L33)="x",IF(AND(SUMIF(Capacity_Resource,$D21,'Critical resources (hide)'!BS$6:BS$105)+SUMIF(Capacity_Resource,$E21,'Critical resources (hide)'!BS$6:BS$105)+SUMIF(Capacity_Resource,$F21,'Critical resources (hide)'!BS$6:BS$105)&gt;0,$E$1=2),0,1),0)</f>
        <v>1</v>
      </c>
      <c r="BG21" s="67">
        <f ca="1">IF(LOWER(Capacity!$L33)="x",IF(AND(SUMIF(Capacity_Resource,$D21,'Critical resources (hide)'!BT$6:BT$105)+SUMIF(Capacity_Resource,$E21,'Critical resources (hide)'!BT$6:BT$105)+SUMIF(Capacity_Resource,$F21,'Critical resources (hide)'!BT$6:BT$105)&gt;0,$E$1=2),0,1),0)</f>
        <v>1</v>
      </c>
      <c r="BH21" s="67">
        <f>IF(ROW(C17)&lt;=Capacity!$A$16,IF('Capacity summary'!$D$14="No",SUM(H21:BG21),'Capacity summary'!$E140),0)</f>
        <v>0</v>
      </c>
      <c r="BI21" s="5" t="str">
        <f>IF(BH21&gt;0,IF(BH21&lt;Capacity!E33,Capacity!F33,Capacity!H33/'Capacity calculation (hide)'!BH21),"")</f>
        <v/>
      </c>
      <c r="BK21" s="311">
        <f>IF($BI21&lt;&gt;"",IF('Capacity summary'!$D$14="Yes",IF(COUNTBLANK('Capacity summary'!$H140:$BG140)&lt;52,IF('Capacity summary'!H140&lt;&gt;"",IF(LOWER('Capacity summary'!H140)="x",$BI21*H21,VALUE('Capacity summary'!H140)),0),H21*$BI21),H21*$BI21),0)</f>
        <v>0</v>
      </c>
      <c r="BL21" s="311">
        <f>IF($BI21&lt;&gt;"",IF('Capacity summary'!$D$14="Yes",IF(COUNTBLANK('Capacity summary'!$H140:$BG140)&lt;52,IF('Capacity summary'!I140&lt;&gt;"",IF(LOWER('Capacity summary'!I140)="x",$BI21*I21,VALUE('Capacity summary'!I140)),0),I21*$BI21),I21*$BI21),0)</f>
        <v>0</v>
      </c>
      <c r="BM21" s="311">
        <f>IF($BI21&lt;&gt;"",IF('Capacity summary'!$D$14="Yes",IF(COUNTBLANK('Capacity summary'!$H140:$BG140)&lt;52,IF('Capacity summary'!J140&lt;&gt;"",IF(LOWER('Capacity summary'!J140)="x",$BI21*J21,VALUE('Capacity summary'!J140)),0),J21*$BI21),J21*$BI21),0)</f>
        <v>0</v>
      </c>
      <c r="BN21" s="311">
        <f>IF($BI21&lt;&gt;"",IF('Capacity summary'!$D$14="Yes",IF(COUNTBLANK('Capacity summary'!$H140:$BG140)&lt;52,IF('Capacity summary'!K140&lt;&gt;"",IF(LOWER('Capacity summary'!K140)="x",$BI21*K21,VALUE('Capacity summary'!K140)),0),K21*$BI21),K21*$BI21),0)</f>
        <v>0</v>
      </c>
      <c r="BO21" s="311">
        <f>IF($BI21&lt;&gt;"",IF('Capacity summary'!$D$14="Yes",IF(COUNTBLANK('Capacity summary'!$H140:$BG140)&lt;52,IF('Capacity summary'!L140&lt;&gt;"",IF(LOWER('Capacity summary'!L140)="x",$BI21*L21,VALUE('Capacity summary'!L140)),0),L21*$BI21),L21*$BI21),0)</f>
        <v>0</v>
      </c>
      <c r="BP21" s="311">
        <f>IF($BI21&lt;&gt;"",IF('Capacity summary'!$D$14="Yes",IF(COUNTBLANK('Capacity summary'!$H140:$BG140)&lt;52,IF('Capacity summary'!M140&lt;&gt;"",IF(LOWER('Capacity summary'!M140)="x",$BI21*M21,VALUE('Capacity summary'!M140)),0),M21*$BI21),M21*$BI21),0)</f>
        <v>0</v>
      </c>
      <c r="BQ21" s="311">
        <f>IF($BI21&lt;&gt;"",IF('Capacity summary'!$D$14="Yes",IF(COUNTBLANK('Capacity summary'!$H140:$BG140)&lt;52,IF('Capacity summary'!N140&lt;&gt;"",IF(LOWER('Capacity summary'!N140)="x",$BI21*N21,VALUE('Capacity summary'!N140)),0),N21*$BI21),N21*$BI21),0)</f>
        <v>0</v>
      </c>
      <c r="BR21" s="311">
        <f>IF($BI21&lt;&gt;"",IF('Capacity summary'!$D$14="Yes",IF(COUNTBLANK('Capacity summary'!$H140:$BG140)&lt;52,IF('Capacity summary'!O140&lt;&gt;"",IF(LOWER('Capacity summary'!O140)="x",$BI21*O21,VALUE('Capacity summary'!O140)),0),O21*$BI21),O21*$BI21),0)</f>
        <v>0</v>
      </c>
      <c r="BS21" s="311">
        <f>IF($BI21&lt;&gt;"",IF('Capacity summary'!$D$14="Yes",IF(COUNTBLANK('Capacity summary'!$H140:$BG140)&lt;52,IF('Capacity summary'!P140&lt;&gt;"",IF(LOWER('Capacity summary'!P140)="x",$BI21*P21,VALUE('Capacity summary'!P140)),0),P21*$BI21),P21*$BI21),0)</f>
        <v>0</v>
      </c>
      <c r="BT21" s="311">
        <f>IF($BI21&lt;&gt;"",IF('Capacity summary'!$D$14="Yes",IF(COUNTBLANK('Capacity summary'!$H140:$BG140)&lt;52,IF('Capacity summary'!Q140&lt;&gt;"",IF(LOWER('Capacity summary'!Q140)="x",$BI21*Q21,VALUE('Capacity summary'!Q140)),0),Q21*$BI21),Q21*$BI21),0)</f>
        <v>0</v>
      </c>
      <c r="BU21" s="311">
        <f>IF($BI21&lt;&gt;"",IF('Capacity summary'!$D$14="Yes",IF(COUNTBLANK('Capacity summary'!$H140:$BG140)&lt;52,IF('Capacity summary'!R140&lt;&gt;"",IF(LOWER('Capacity summary'!R140)="x",$BI21*R21,VALUE('Capacity summary'!R140)),0),R21*$BI21),R21*$BI21),0)</f>
        <v>0</v>
      </c>
      <c r="BV21" s="311">
        <f>IF($BI21&lt;&gt;"",IF('Capacity summary'!$D$14="Yes",IF(COUNTBLANK('Capacity summary'!$H140:$BG140)&lt;52,IF('Capacity summary'!S140&lt;&gt;"",IF(LOWER('Capacity summary'!S140)="x",$BI21*S21,VALUE('Capacity summary'!S140)),0),S21*$BI21),S21*$BI21),0)</f>
        <v>0</v>
      </c>
      <c r="BW21" s="311">
        <f>IF($BI21&lt;&gt;"",IF('Capacity summary'!$D$14="Yes",IF(COUNTBLANK('Capacity summary'!$H140:$BG140)&lt;52,IF('Capacity summary'!T140&lt;&gt;"",IF(LOWER('Capacity summary'!T140)="x",$BI21*T21,VALUE('Capacity summary'!T140)),0),T21*$BI21),T21*$BI21),0)</f>
        <v>0</v>
      </c>
      <c r="BX21" s="311">
        <f>IF($BI21&lt;&gt;"",IF('Capacity summary'!$D$14="Yes",IF(COUNTBLANK('Capacity summary'!$H140:$BG140)&lt;52,IF('Capacity summary'!U140&lt;&gt;"",IF(LOWER('Capacity summary'!U140)="x",$BI21*U21,VALUE('Capacity summary'!U140)),0),U21*$BI21),U21*$BI21),0)</f>
        <v>0</v>
      </c>
      <c r="BY21" s="311">
        <f>IF($BI21&lt;&gt;"",IF('Capacity summary'!$D$14="Yes",IF(COUNTBLANK('Capacity summary'!$H140:$BG140)&lt;52,IF('Capacity summary'!V140&lt;&gt;"",IF(LOWER('Capacity summary'!V140)="x",$BI21*V21,VALUE('Capacity summary'!V140)),0),V21*$BI21),V21*$BI21),0)</f>
        <v>0</v>
      </c>
      <c r="BZ21" s="311">
        <f>IF($BI21&lt;&gt;"",IF('Capacity summary'!$D$14="Yes",IF(COUNTBLANK('Capacity summary'!$H140:$BG140)&lt;52,IF('Capacity summary'!W140&lt;&gt;"",IF(LOWER('Capacity summary'!W140)="x",$BI21*W21,VALUE('Capacity summary'!W140)),0),W21*$BI21),W21*$BI21),0)</f>
        <v>0</v>
      </c>
      <c r="CA21" s="311">
        <f>IF($BI21&lt;&gt;"",IF('Capacity summary'!$D$14="Yes",IF(COUNTBLANK('Capacity summary'!$H140:$BG140)&lt;52,IF('Capacity summary'!X140&lt;&gt;"",IF(LOWER('Capacity summary'!X140)="x",$BI21*X21,VALUE('Capacity summary'!X140)),0),X21*$BI21),X21*$BI21),0)</f>
        <v>0</v>
      </c>
      <c r="CB21" s="311">
        <f>IF($BI21&lt;&gt;"",IF('Capacity summary'!$D$14="Yes",IF(COUNTBLANK('Capacity summary'!$H140:$BG140)&lt;52,IF('Capacity summary'!Y140&lt;&gt;"",IF(LOWER('Capacity summary'!Y140)="x",$BI21*Y21,VALUE('Capacity summary'!Y140)),0),Y21*$BI21),Y21*$BI21),0)</f>
        <v>0</v>
      </c>
      <c r="CC21" s="311">
        <f>IF($BI21&lt;&gt;"",IF('Capacity summary'!$D$14="Yes",IF(COUNTBLANK('Capacity summary'!$H140:$BG140)&lt;52,IF('Capacity summary'!Z140&lt;&gt;"",IF(LOWER('Capacity summary'!Z140)="x",$BI21*Z21,VALUE('Capacity summary'!Z140)),0),Z21*$BI21),Z21*$BI21),0)</f>
        <v>0</v>
      </c>
      <c r="CD21" s="311">
        <f>IF($BI21&lt;&gt;"",IF('Capacity summary'!$D$14="Yes",IF(COUNTBLANK('Capacity summary'!$H140:$BG140)&lt;52,IF('Capacity summary'!AA140&lt;&gt;"",IF(LOWER('Capacity summary'!AA140)="x",$BI21*AA21,VALUE('Capacity summary'!AA140)),0),AA21*$BI21),AA21*$BI21),0)</f>
        <v>0</v>
      </c>
      <c r="CE21" s="311">
        <f>IF($BI21&lt;&gt;"",IF('Capacity summary'!$D$14="Yes",IF(COUNTBLANK('Capacity summary'!$H140:$BG140)&lt;52,IF('Capacity summary'!AB140&lt;&gt;"",IF(LOWER('Capacity summary'!AB140)="x",$BI21*AB21,VALUE('Capacity summary'!AB140)),0),AB21*$BI21),AB21*$BI21),0)</f>
        <v>0</v>
      </c>
      <c r="CF21" s="311">
        <f>IF($BI21&lt;&gt;"",IF('Capacity summary'!$D$14="Yes",IF(COUNTBLANK('Capacity summary'!$H140:$BG140)&lt;52,IF('Capacity summary'!AC140&lt;&gt;"",IF(LOWER('Capacity summary'!AC140)="x",$BI21*AC21,VALUE('Capacity summary'!AC140)),0),AC21*$BI21),AC21*$BI21),0)</f>
        <v>0</v>
      </c>
      <c r="CG21" s="311">
        <f>IF($BI21&lt;&gt;"",IF('Capacity summary'!$D$14="Yes",IF(COUNTBLANK('Capacity summary'!$H140:$BG140)&lt;52,IF('Capacity summary'!AD140&lt;&gt;"",IF(LOWER('Capacity summary'!AD140)="x",$BI21*AD21,VALUE('Capacity summary'!AD140)),0),AD21*$BI21),AD21*$BI21),0)</f>
        <v>0</v>
      </c>
      <c r="CH21" s="311">
        <f>IF($BI21&lt;&gt;"",IF('Capacity summary'!$D$14="Yes",IF(COUNTBLANK('Capacity summary'!$H140:$BG140)&lt;52,IF('Capacity summary'!AE140&lt;&gt;"",IF(LOWER('Capacity summary'!AE140)="x",$BI21*AE21,VALUE('Capacity summary'!AE140)),0),AE21*$BI21),AE21*$BI21),0)</f>
        <v>0</v>
      </c>
      <c r="CI21" s="311">
        <f>IF($BI21&lt;&gt;"",IF('Capacity summary'!$D$14="Yes",IF(COUNTBLANK('Capacity summary'!$H140:$BG140)&lt;52,IF('Capacity summary'!AF140&lt;&gt;"",IF(LOWER('Capacity summary'!AF140)="x",$BI21*AF21,VALUE('Capacity summary'!AF140)),0),AF21*$BI21),AF21*$BI21),0)</f>
        <v>0</v>
      </c>
      <c r="CJ21" s="311">
        <f>IF($BI21&lt;&gt;"",IF('Capacity summary'!$D$14="Yes",IF(COUNTBLANK('Capacity summary'!$H140:$BG140)&lt;52,IF('Capacity summary'!AG140&lt;&gt;"",IF(LOWER('Capacity summary'!AG140)="x",$BI21*AG21,VALUE('Capacity summary'!AG140)),0),AG21*$BI21),AG21*$BI21),0)</f>
        <v>0</v>
      </c>
      <c r="CK21" s="311">
        <f>IF($BI21&lt;&gt;"",IF('Capacity summary'!$D$14="Yes",IF(COUNTBLANK('Capacity summary'!$H140:$BG140)&lt;52,IF('Capacity summary'!AH140&lt;&gt;"",IF(LOWER('Capacity summary'!AH140)="x",$BI21*AH21,VALUE('Capacity summary'!AH140)),0),AH21*$BI21),AH21*$BI21),0)</f>
        <v>0</v>
      </c>
      <c r="CL21" s="311">
        <f>IF($BI21&lt;&gt;"",IF('Capacity summary'!$D$14="Yes",IF(COUNTBLANK('Capacity summary'!$H140:$BG140)&lt;52,IF('Capacity summary'!AI140&lt;&gt;"",IF(LOWER('Capacity summary'!AI140)="x",$BI21*AI21,VALUE('Capacity summary'!AI140)),0),AI21*$BI21),AI21*$BI21),0)</f>
        <v>0</v>
      </c>
      <c r="CM21" s="311">
        <f>IF($BI21&lt;&gt;"",IF('Capacity summary'!$D$14="Yes",IF(COUNTBLANK('Capacity summary'!$H140:$BG140)&lt;52,IF('Capacity summary'!AJ140&lt;&gt;"",IF(LOWER('Capacity summary'!AJ140)="x",$BI21*AJ21,VALUE('Capacity summary'!AJ140)),0),AJ21*$BI21),AJ21*$BI21),0)</f>
        <v>0</v>
      </c>
      <c r="CN21" s="311">
        <f>IF($BI21&lt;&gt;"",IF('Capacity summary'!$D$14="Yes",IF(COUNTBLANK('Capacity summary'!$H140:$BG140)&lt;52,IF('Capacity summary'!AK140&lt;&gt;"",IF(LOWER('Capacity summary'!AK140)="x",$BI21*AK21,VALUE('Capacity summary'!AK140)),0),AK21*$BI21),AK21*$BI21),0)</f>
        <v>0</v>
      </c>
      <c r="CO21" s="311">
        <f>IF($BI21&lt;&gt;"",IF('Capacity summary'!$D$14="Yes",IF(COUNTBLANK('Capacity summary'!$H140:$BG140)&lt;52,IF('Capacity summary'!AL140&lt;&gt;"",IF(LOWER('Capacity summary'!AL140)="x",$BI21*AL21,VALUE('Capacity summary'!AL140)),0),AL21*$BI21),AL21*$BI21),0)</f>
        <v>0</v>
      </c>
      <c r="CP21" s="311">
        <f>IF($BI21&lt;&gt;"",IF('Capacity summary'!$D$14="Yes",IF(COUNTBLANK('Capacity summary'!$H140:$BG140)&lt;52,IF('Capacity summary'!AM140&lt;&gt;"",IF(LOWER('Capacity summary'!AM140)="x",$BI21*AM21,VALUE('Capacity summary'!AM140)),0),AM21*$BI21),AM21*$BI21),0)</f>
        <v>0</v>
      </c>
      <c r="CQ21" s="311">
        <f>IF($BI21&lt;&gt;"",IF('Capacity summary'!$D$14="Yes",IF(COUNTBLANK('Capacity summary'!$H140:$BG140)&lt;52,IF('Capacity summary'!AN140&lt;&gt;"",IF(LOWER('Capacity summary'!AN140)="x",$BI21*AN21,VALUE('Capacity summary'!AN140)),0),AN21*$BI21),AN21*$BI21),0)</f>
        <v>0</v>
      </c>
      <c r="CR21" s="311">
        <f>IF($BI21&lt;&gt;"",IF('Capacity summary'!$D$14="Yes",IF(COUNTBLANK('Capacity summary'!$H140:$BG140)&lt;52,IF('Capacity summary'!AO140&lt;&gt;"",IF(LOWER('Capacity summary'!AO140)="x",$BI21*AO21,VALUE('Capacity summary'!AO140)),0),AO21*$BI21),AO21*$BI21),0)</f>
        <v>0</v>
      </c>
      <c r="CS21" s="311">
        <f>IF($BI21&lt;&gt;"",IF('Capacity summary'!$D$14="Yes",IF(COUNTBLANK('Capacity summary'!$H140:$BG140)&lt;52,IF('Capacity summary'!AP140&lt;&gt;"",IF(LOWER('Capacity summary'!AP140)="x",$BI21*AP21,VALUE('Capacity summary'!AP140)),0),AP21*$BI21),AP21*$BI21),0)</f>
        <v>0</v>
      </c>
      <c r="CT21" s="311">
        <f>IF($BI21&lt;&gt;"",IF('Capacity summary'!$D$14="Yes",IF(COUNTBLANK('Capacity summary'!$H140:$BG140)&lt;52,IF('Capacity summary'!AQ140&lt;&gt;"",IF(LOWER('Capacity summary'!AQ140)="x",$BI21*AQ21,VALUE('Capacity summary'!AQ140)),0),AQ21*$BI21),AQ21*$BI21),0)</f>
        <v>0</v>
      </c>
      <c r="CU21" s="311">
        <f>IF($BI21&lt;&gt;"",IF('Capacity summary'!$D$14="Yes",IF(COUNTBLANK('Capacity summary'!$H140:$BG140)&lt;52,IF('Capacity summary'!AR140&lt;&gt;"",IF(LOWER('Capacity summary'!AR140)="x",$BI21*AR21,VALUE('Capacity summary'!AR140)),0),AR21*$BI21),AR21*$BI21),0)</f>
        <v>0</v>
      </c>
      <c r="CV21" s="311">
        <f>IF($BI21&lt;&gt;"",IF('Capacity summary'!$D$14="Yes",IF(COUNTBLANK('Capacity summary'!$H140:$BG140)&lt;52,IF('Capacity summary'!AS140&lt;&gt;"",IF(LOWER('Capacity summary'!AS140)="x",$BI21*AS21,VALUE('Capacity summary'!AS140)),0),AS21*$BI21),AS21*$BI21),0)</f>
        <v>0</v>
      </c>
      <c r="CW21" s="311">
        <f>IF($BI21&lt;&gt;"",IF('Capacity summary'!$D$14="Yes",IF(COUNTBLANK('Capacity summary'!$H140:$BG140)&lt;52,IF('Capacity summary'!AT140&lt;&gt;"",IF(LOWER('Capacity summary'!AT140)="x",$BI21*AT21,VALUE('Capacity summary'!AT140)),0),AT21*$BI21),AT21*$BI21),0)</f>
        <v>0</v>
      </c>
      <c r="CX21" s="311">
        <f>IF($BI21&lt;&gt;"",IF('Capacity summary'!$D$14="Yes",IF(COUNTBLANK('Capacity summary'!$H140:$BG140)&lt;52,IF('Capacity summary'!AU140&lt;&gt;"",IF(LOWER('Capacity summary'!AU140)="x",$BI21*AU21,VALUE('Capacity summary'!AU140)),0),AU21*$BI21),AU21*$BI21),0)</f>
        <v>0</v>
      </c>
      <c r="CY21" s="311">
        <f>IF($BI21&lt;&gt;"",IF('Capacity summary'!$D$14="Yes",IF(COUNTBLANK('Capacity summary'!$H140:$BG140)&lt;52,IF('Capacity summary'!AV140&lt;&gt;"",IF(LOWER('Capacity summary'!AV140)="x",$BI21*AV21,VALUE('Capacity summary'!AV140)),0),AV21*$BI21),AV21*$BI21),0)</f>
        <v>0</v>
      </c>
      <c r="CZ21" s="311">
        <f>IF($BI21&lt;&gt;"",IF('Capacity summary'!$D$14="Yes",IF(COUNTBLANK('Capacity summary'!$H140:$BG140)&lt;52,IF('Capacity summary'!AW140&lt;&gt;"",IF(LOWER('Capacity summary'!AW140)="x",$BI21*AW21,VALUE('Capacity summary'!AW140)),0),AW21*$BI21),AW21*$BI21),0)</f>
        <v>0</v>
      </c>
      <c r="DA21" s="311">
        <f>IF($BI21&lt;&gt;"",IF('Capacity summary'!$D$14="Yes",IF(COUNTBLANK('Capacity summary'!$H140:$BG140)&lt;52,IF('Capacity summary'!AX140&lt;&gt;"",IF(LOWER('Capacity summary'!AX140)="x",$BI21*AX21,VALUE('Capacity summary'!AX140)),0),AX21*$BI21),AX21*$BI21),0)</f>
        <v>0</v>
      </c>
      <c r="DB21" s="311">
        <f>IF($BI21&lt;&gt;"",IF('Capacity summary'!$D$14="Yes",IF(COUNTBLANK('Capacity summary'!$H140:$BG140)&lt;52,IF('Capacity summary'!AY140&lt;&gt;"",IF(LOWER('Capacity summary'!AY140)="x",$BI21*AY21,VALUE('Capacity summary'!AY140)),0),AY21*$BI21),AY21*$BI21),0)</f>
        <v>0</v>
      </c>
      <c r="DC21" s="311">
        <f>IF($BI21&lt;&gt;"",IF('Capacity summary'!$D$14="Yes",IF(COUNTBLANK('Capacity summary'!$H140:$BG140)&lt;52,IF('Capacity summary'!AZ140&lt;&gt;"",IF(LOWER('Capacity summary'!AZ140)="x",$BI21*AZ21,VALUE('Capacity summary'!AZ140)),0),AZ21*$BI21),AZ21*$BI21),0)</f>
        <v>0</v>
      </c>
      <c r="DD21" s="311">
        <f>IF($BI21&lt;&gt;"",IF('Capacity summary'!$D$14="Yes",IF(COUNTBLANK('Capacity summary'!$H140:$BG140)&lt;52,IF('Capacity summary'!BA140&lt;&gt;"",IF(LOWER('Capacity summary'!BA140)="x",$BI21*BA21,VALUE('Capacity summary'!BA140)),0),BA21*$BI21),BA21*$BI21),0)</f>
        <v>0</v>
      </c>
      <c r="DE21" s="311">
        <f>IF($BI21&lt;&gt;"",IF('Capacity summary'!$D$14="Yes",IF(COUNTBLANK('Capacity summary'!$H140:$BG140)&lt;52,IF('Capacity summary'!BB140&lt;&gt;"",IF(LOWER('Capacity summary'!BB140)="x",$BI21*BB21,VALUE('Capacity summary'!BB140)),0),BB21*$BI21),BB21*$BI21),0)</f>
        <v>0</v>
      </c>
      <c r="DF21" s="311">
        <f>IF($BI21&lt;&gt;"",IF('Capacity summary'!$D$14="Yes",IF(COUNTBLANK('Capacity summary'!$H140:$BG140)&lt;52,IF('Capacity summary'!BC140&lt;&gt;"",IF(LOWER('Capacity summary'!BC140)="x",$BI21*BC21,VALUE('Capacity summary'!BC140)),0),BC21*$BI21),BC21*$BI21),0)</f>
        <v>0</v>
      </c>
      <c r="DG21" s="311">
        <f>IF($BI21&lt;&gt;"",IF('Capacity summary'!$D$14="Yes",IF(COUNTBLANK('Capacity summary'!$H140:$BG140)&lt;52,IF('Capacity summary'!BD140&lt;&gt;"",IF(LOWER('Capacity summary'!BD140)="x",$BI21*BD21,VALUE('Capacity summary'!BD140)),0),BD21*$BI21),BD21*$BI21),0)</f>
        <v>0</v>
      </c>
      <c r="DH21" s="311">
        <f>IF($BI21&lt;&gt;"",IF('Capacity summary'!$D$14="Yes",IF(COUNTBLANK('Capacity summary'!$H140:$BG140)&lt;52,IF('Capacity summary'!BE140&lt;&gt;"",IF(LOWER('Capacity summary'!BE140)="x",$BI21*BE21,VALUE('Capacity summary'!BE140)),0),BE21*$BI21),BE21*$BI21),0)</f>
        <v>0</v>
      </c>
      <c r="DI21" s="311">
        <f>IF($BI21&lt;&gt;"",IF('Capacity summary'!$D$14="Yes",IF(COUNTBLANK('Capacity summary'!$H140:$BG140)&lt;52,IF('Capacity summary'!BF140&lt;&gt;"",IF(LOWER('Capacity summary'!BF140)="x",$BI21*BF21,VALUE('Capacity summary'!BF140)),0),BF21*$BI21),BF21*$BI21),0)</f>
        <v>0</v>
      </c>
      <c r="DJ21" s="311">
        <f>IF($BI21&lt;&gt;"",IF('Capacity summary'!$D$14="Yes",IF(COUNTBLANK('Capacity summary'!$H140:$BG140)&lt;52,IF('Capacity summary'!BG140&lt;&gt;"",IF(LOWER('Capacity summary'!BG140)="x",$BI21*BG21,VALUE('Capacity summary'!BG140)),0),BG21*$BI21),BG21*$BI21),0)</f>
        <v>0</v>
      </c>
      <c r="DK21" s="391">
        <f t="shared" si="2"/>
        <v>0</v>
      </c>
      <c r="DL21" s="136">
        <f t="shared" si="3"/>
        <v>0</v>
      </c>
      <c r="DM21" s="311" t="str">
        <f>Capacity!H33</f>
        <v/>
      </c>
      <c r="DQ21" s="5"/>
    </row>
    <row r="22" spans="1:121" x14ac:dyDescent="0.2">
      <c r="A22" s="67">
        <f>IF(Capacity!L34='Capacity summary'!BI141,1,0)</f>
        <v>1</v>
      </c>
      <c r="B22" s="67">
        <f>IF(Capacity!V34='Capacity summary'!BI41,1,0)</f>
        <v>1</v>
      </c>
      <c r="C22" s="67" t="str">
        <f>ROW(A18)&amp;". "&amp;Capacity!B34</f>
        <v xml:space="preserve">18. </v>
      </c>
      <c r="D22" s="67">
        <f>'Capacity setup'!C29</f>
        <v>0</v>
      </c>
      <c r="E22" s="67">
        <f>'Capacity setup'!D29</f>
        <v>0</v>
      </c>
      <c r="F22" s="67">
        <f>'Capacity setup'!E29</f>
        <v>0</v>
      </c>
      <c r="H22" s="67">
        <f ca="1">IF(LOWER(Capacity!$L34)="x",IF(AND(SUMIF(Capacity_Resource,$D22,'Critical resources (hide)'!U$6:U$105)+SUMIF(Capacity_Resource,$E22,'Critical resources (hide)'!U$6:U$105)+SUMIF(Capacity_Resource,$F22,'Critical resources (hide)'!U$6:U$105)&gt;0,$E$1=2),0,1),0)</f>
        <v>1</v>
      </c>
      <c r="I22" s="67">
        <f ca="1">IF(LOWER(Capacity!$L34)="x",IF(AND(SUMIF(Capacity_Resource,$D22,'Critical resources (hide)'!V$6:V$105)+SUMIF(Capacity_Resource,$E22,'Critical resources (hide)'!V$6:V$105)+SUMIF(Capacity_Resource,$F22,'Critical resources (hide)'!V$6:V$105)&gt;0,$E$1=2),0,1),0)</f>
        <v>1</v>
      </c>
      <c r="J22" s="67">
        <f ca="1">IF(LOWER(Capacity!$L34)="x",IF(AND(SUMIF(Capacity_Resource,$D22,'Critical resources (hide)'!W$6:W$105)+SUMIF(Capacity_Resource,$E22,'Critical resources (hide)'!W$6:W$105)+SUMIF(Capacity_Resource,$F22,'Critical resources (hide)'!W$6:W$105)&gt;0,$E$1=2),0,1),0)</f>
        <v>1</v>
      </c>
      <c r="K22" s="67">
        <f ca="1">IF(LOWER(Capacity!$L34)="x",IF(AND(SUMIF(Capacity_Resource,$D22,'Critical resources (hide)'!X$6:X$105)+SUMIF(Capacity_Resource,$E22,'Critical resources (hide)'!X$6:X$105)+SUMIF(Capacity_Resource,$F22,'Critical resources (hide)'!X$6:X$105)&gt;0,$E$1=2),0,1),0)</f>
        <v>1</v>
      </c>
      <c r="L22" s="67">
        <f ca="1">IF(LOWER(Capacity!$L34)="x",IF(AND(SUMIF(Capacity_Resource,$D22,'Critical resources (hide)'!Y$6:Y$105)+SUMIF(Capacity_Resource,$E22,'Critical resources (hide)'!Y$6:Y$105)+SUMIF(Capacity_Resource,$F22,'Critical resources (hide)'!Y$6:Y$105)&gt;0,$E$1=2),0,1),0)</f>
        <v>1</v>
      </c>
      <c r="M22" s="67">
        <f ca="1">IF(LOWER(Capacity!$L34)="x",IF(AND(SUMIF(Capacity_Resource,$D22,'Critical resources (hide)'!Z$6:Z$105)+SUMIF(Capacity_Resource,$E22,'Critical resources (hide)'!Z$6:Z$105)+SUMIF(Capacity_Resource,$F22,'Critical resources (hide)'!Z$6:Z$105)&gt;0,$E$1=2),0,1),0)</f>
        <v>1</v>
      </c>
      <c r="N22" s="67">
        <f ca="1">IF(LOWER(Capacity!$L34)="x",IF(AND(SUMIF(Capacity_Resource,$D22,'Critical resources (hide)'!AA$6:AA$105)+SUMIF(Capacity_Resource,$E22,'Critical resources (hide)'!AA$6:AA$105)+SUMIF(Capacity_Resource,$F22,'Critical resources (hide)'!AA$6:AA$105)&gt;0,$E$1=2),0,1),0)</f>
        <v>1</v>
      </c>
      <c r="O22" s="67">
        <f ca="1">IF(LOWER(Capacity!$L34)="x",IF(AND(SUMIF(Capacity_Resource,$D22,'Critical resources (hide)'!AB$6:AB$105)+SUMIF(Capacity_Resource,$E22,'Critical resources (hide)'!AB$6:AB$105)+SUMIF(Capacity_Resource,$F22,'Critical resources (hide)'!AB$6:AB$105)&gt;0,$E$1=2),0,1),0)</f>
        <v>1</v>
      </c>
      <c r="P22" s="67">
        <f ca="1">IF(LOWER(Capacity!$L34)="x",IF(AND(SUMIF(Capacity_Resource,$D22,'Critical resources (hide)'!AC$6:AC$105)+SUMIF(Capacity_Resource,$E22,'Critical resources (hide)'!AC$6:AC$105)+SUMIF(Capacity_Resource,$F22,'Critical resources (hide)'!AC$6:AC$105)&gt;0,$E$1=2),0,1),0)</f>
        <v>1</v>
      </c>
      <c r="Q22" s="67">
        <f ca="1">IF(LOWER(Capacity!$L34)="x",IF(AND(SUMIF(Capacity_Resource,$D22,'Critical resources (hide)'!AD$6:AD$105)+SUMIF(Capacity_Resource,$E22,'Critical resources (hide)'!AD$6:AD$105)+SUMIF(Capacity_Resource,$F22,'Critical resources (hide)'!AD$6:AD$105)&gt;0,$E$1=2),0,1),0)</f>
        <v>1</v>
      </c>
      <c r="R22" s="67">
        <f ca="1">IF(LOWER(Capacity!$L34)="x",IF(AND(SUMIF(Capacity_Resource,$D22,'Critical resources (hide)'!AE$6:AE$105)+SUMIF(Capacity_Resource,$E22,'Critical resources (hide)'!AE$6:AE$105)+SUMIF(Capacity_Resource,$F22,'Critical resources (hide)'!AE$6:AE$105)&gt;0,$E$1=2),0,1),0)</f>
        <v>1</v>
      </c>
      <c r="S22" s="67">
        <f ca="1">IF(LOWER(Capacity!$L34)="x",IF(AND(SUMIF(Capacity_Resource,$D22,'Critical resources (hide)'!AF$6:AF$105)+SUMIF(Capacity_Resource,$E22,'Critical resources (hide)'!AF$6:AF$105)+SUMIF(Capacity_Resource,$F22,'Critical resources (hide)'!AF$6:AF$105)&gt;0,$E$1=2),0,1),0)</f>
        <v>1</v>
      </c>
      <c r="T22" s="67">
        <f ca="1">IF(LOWER(Capacity!$L34)="x",IF(AND(SUMIF(Capacity_Resource,$D22,'Critical resources (hide)'!AG$6:AG$105)+SUMIF(Capacity_Resource,$E22,'Critical resources (hide)'!AG$6:AG$105)+SUMIF(Capacity_Resource,$F22,'Critical resources (hide)'!AG$6:AG$105)&gt;0,$E$1=2),0,1),0)</f>
        <v>1</v>
      </c>
      <c r="U22" s="67">
        <f ca="1">IF(LOWER(Capacity!$L34)="x",IF(AND(SUMIF(Capacity_Resource,$D22,'Critical resources (hide)'!AH$6:AH$105)+SUMIF(Capacity_Resource,$E22,'Critical resources (hide)'!AH$6:AH$105)+SUMIF(Capacity_Resource,$F22,'Critical resources (hide)'!AH$6:AH$105)&gt;0,$E$1=2),0,1),0)</f>
        <v>1</v>
      </c>
      <c r="V22" s="67">
        <f ca="1">IF(LOWER(Capacity!$L34)="x",IF(AND(SUMIF(Capacity_Resource,$D22,'Critical resources (hide)'!AI$6:AI$105)+SUMIF(Capacity_Resource,$E22,'Critical resources (hide)'!AI$6:AI$105)+SUMIF(Capacity_Resource,$F22,'Critical resources (hide)'!AI$6:AI$105)&gt;0,$E$1=2),0,1),0)</f>
        <v>1</v>
      </c>
      <c r="W22" s="67">
        <f ca="1">IF(LOWER(Capacity!$L34)="x",IF(AND(SUMIF(Capacity_Resource,$D22,'Critical resources (hide)'!AJ$6:AJ$105)+SUMIF(Capacity_Resource,$E22,'Critical resources (hide)'!AJ$6:AJ$105)+SUMIF(Capacity_Resource,$F22,'Critical resources (hide)'!AJ$6:AJ$105)&gt;0,$E$1=2),0,1),0)</f>
        <v>1</v>
      </c>
      <c r="X22" s="67">
        <f ca="1">IF(LOWER(Capacity!$L34)="x",IF(AND(SUMIF(Capacity_Resource,$D22,'Critical resources (hide)'!AK$6:AK$105)+SUMIF(Capacity_Resource,$E22,'Critical resources (hide)'!AK$6:AK$105)+SUMIF(Capacity_Resource,$F22,'Critical resources (hide)'!AK$6:AK$105)&gt;0,$E$1=2),0,1),0)</f>
        <v>1</v>
      </c>
      <c r="Y22" s="67">
        <f ca="1">IF(LOWER(Capacity!$L34)="x",IF(AND(SUMIF(Capacity_Resource,$D22,'Critical resources (hide)'!AL$6:AL$105)+SUMIF(Capacity_Resource,$E22,'Critical resources (hide)'!AL$6:AL$105)+SUMIF(Capacity_Resource,$F22,'Critical resources (hide)'!AL$6:AL$105)&gt;0,$E$1=2),0,1),0)</f>
        <v>1</v>
      </c>
      <c r="Z22" s="67">
        <f ca="1">IF(LOWER(Capacity!$L34)="x",IF(AND(SUMIF(Capacity_Resource,$D22,'Critical resources (hide)'!AM$6:AM$105)+SUMIF(Capacity_Resource,$E22,'Critical resources (hide)'!AM$6:AM$105)+SUMIF(Capacity_Resource,$F22,'Critical resources (hide)'!AM$6:AM$105)&gt;0,$E$1=2),0,1),0)</f>
        <v>1</v>
      </c>
      <c r="AA22" s="67">
        <f ca="1">IF(LOWER(Capacity!$L34)="x",IF(AND(SUMIF(Capacity_Resource,$D22,'Critical resources (hide)'!AN$6:AN$105)+SUMIF(Capacity_Resource,$E22,'Critical resources (hide)'!AN$6:AN$105)+SUMIF(Capacity_Resource,$F22,'Critical resources (hide)'!AN$6:AN$105)&gt;0,$E$1=2),0,1),0)</f>
        <v>1</v>
      </c>
      <c r="AB22" s="67">
        <f ca="1">IF(LOWER(Capacity!$L34)="x",IF(AND(SUMIF(Capacity_Resource,$D22,'Critical resources (hide)'!AO$6:AO$105)+SUMIF(Capacity_Resource,$E22,'Critical resources (hide)'!AO$6:AO$105)+SUMIF(Capacity_Resource,$F22,'Critical resources (hide)'!AO$6:AO$105)&gt;0,$E$1=2),0,1),0)</f>
        <v>1</v>
      </c>
      <c r="AC22" s="67">
        <f ca="1">IF(LOWER(Capacity!$L34)="x",IF(AND(SUMIF(Capacity_Resource,$D22,'Critical resources (hide)'!AP$6:AP$105)+SUMIF(Capacity_Resource,$E22,'Critical resources (hide)'!AP$6:AP$105)+SUMIF(Capacity_Resource,$F22,'Critical resources (hide)'!AP$6:AP$105)&gt;0,$E$1=2),0,1),0)</f>
        <v>1</v>
      </c>
      <c r="AD22" s="67">
        <f ca="1">IF(LOWER(Capacity!$L34)="x",IF(AND(SUMIF(Capacity_Resource,$D22,'Critical resources (hide)'!AQ$6:AQ$105)+SUMIF(Capacity_Resource,$E22,'Critical resources (hide)'!AQ$6:AQ$105)+SUMIF(Capacity_Resource,$F22,'Critical resources (hide)'!AQ$6:AQ$105)&gt;0,$E$1=2),0,1),0)</f>
        <v>1</v>
      </c>
      <c r="AE22" s="67">
        <f ca="1">IF(LOWER(Capacity!$L34)="x",IF(AND(SUMIF(Capacity_Resource,$D22,'Critical resources (hide)'!AR$6:AR$105)+SUMIF(Capacity_Resource,$E22,'Critical resources (hide)'!AR$6:AR$105)+SUMIF(Capacity_Resource,$F22,'Critical resources (hide)'!AR$6:AR$105)&gt;0,$E$1=2),0,1),0)</f>
        <v>1</v>
      </c>
      <c r="AF22" s="67">
        <f ca="1">IF(LOWER(Capacity!$L34)="x",IF(AND(SUMIF(Capacity_Resource,$D22,'Critical resources (hide)'!AS$6:AS$105)+SUMIF(Capacity_Resource,$E22,'Critical resources (hide)'!AS$6:AS$105)+SUMIF(Capacity_Resource,$F22,'Critical resources (hide)'!AS$6:AS$105)&gt;0,$E$1=2),0,1),0)</f>
        <v>1</v>
      </c>
      <c r="AG22" s="67">
        <f ca="1">IF(LOWER(Capacity!$L34)="x",IF(AND(SUMIF(Capacity_Resource,$D22,'Critical resources (hide)'!AT$6:AT$105)+SUMIF(Capacity_Resource,$E22,'Critical resources (hide)'!AT$6:AT$105)+SUMIF(Capacity_Resource,$F22,'Critical resources (hide)'!AT$6:AT$105)&gt;0,$E$1=2),0,1),0)</f>
        <v>1</v>
      </c>
      <c r="AH22" s="67">
        <f ca="1">IF(LOWER(Capacity!$L34)="x",IF(AND(SUMIF(Capacity_Resource,$D22,'Critical resources (hide)'!AU$6:AU$105)+SUMIF(Capacity_Resource,$E22,'Critical resources (hide)'!AU$6:AU$105)+SUMIF(Capacity_Resource,$F22,'Critical resources (hide)'!AU$6:AU$105)&gt;0,$E$1=2),0,1),0)</f>
        <v>1</v>
      </c>
      <c r="AI22" s="67">
        <f ca="1">IF(LOWER(Capacity!$L34)="x",IF(AND(SUMIF(Capacity_Resource,$D22,'Critical resources (hide)'!AV$6:AV$105)+SUMIF(Capacity_Resource,$E22,'Critical resources (hide)'!AV$6:AV$105)+SUMIF(Capacity_Resource,$F22,'Critical resources (hide)'!AV$6:AV$105)&gt;0,$E$1=2),0,1),0)</f>
        <v>1</v>
      </c>
      <c r="AJ22" s="67">
        <f ca="1">IF(LOWER(Capacity!$L34)="x",IF(AND(SUMIF(Capacity_Resource,$D22,'Critical resources (hide)'!AW$6:AW$105)+SUMIF(Capacity_Resource,$E22,'Critical resources (hide)'!AW$6:AW$105)+SUMIF(Capacity_Resource,$F22,'Critical resources (hide)'!AW$6:AW$105)&gt;0,$E$1=2),0,1),0)</f>
        <v>1</v>
      </c>
      <c r="AK22" s="67">
        <f ca="1">IF(LOWER(Capacity!$L34)="x",IF(AND(SUMIF(Capacity_Resource,$D22,'Critical resources (hide)'!AX$6:AX$105)+SUMIF(Capacity_Resource,$E22,'Critical resources (hide)'!AX$6:AX$105)+SUMIF(Capacity_Resource,$F22,'Critical resources (hide)'!AX$6:AX$105)&gt;0,$E$1=2),0,1),0)</f>
        <v>1</v>
      </c>
      <c r="AL22" s="67">
        <f ca="1">IF(LOWER(Capacity!$L34)="x",IF(AND(SUMIF(Capacity_Resource,$D22,'Critical resources (hide)'!AY$6:AY$105)+SUMIF(Capacity_Resource,$E22,'Critical resources (hide)'!AY$6:AY$105)+SUMIF(Capacity_Resource,$F22,'Critical resources (hide)'!AY$6:AY$105)&gt;0,$E$1=2),0,1),0)</f>
        <v>1</v>
      </c>
      <c r="AM22" s="67">
        <f ca="1">IF(LOWER(Capacity!$L34)="x",IF(AND(SUMIF(Capacity_Resource,$D22,'Critical resources (hide)'!AZ$6:AZ$105)+SUMIF(Capacity_Resource,$E22,'Critical resources (hide)'!AZ$6:AZ$105)+SUMIF(Capacity_Resource,$F22,'Critical resources (hide)'!AZ$6:AZ$105)&gt;0,$E$1=2),0,1),0)</f>
        <v>1</v>
      </c>
      <c r="AN22" s="67">
        <f ca="1">IF(LOWER(Capacity!$L34)="x",IF(AND(SUMIF(Capacity_Resource,$D22,'Critical resources (hide)'!BA$6:BA$105)+SUMIF(Capacity_Resource,$E22,'Critical resources (hide)'!BA$6:BA$105)+SUMIF(Capacity_Resource,$F22,'Critical resources (hide)'!BA$6:BA$105)&gt;0,$E$1=2),0,1),0)</f>
        <v>1</v>
      </c>
      <c r="AO22" s="67">
        <f ca="1">IF(LOWER(Capacity!$L34)="x",IF(AND(SUMIF(Capacity_Resource,$D22,'Critical resources (hide)'!BB$6:BB$105)+SUMIF(Capacity_Resource,$E22,'Critical resources (hide)'!BB$6:BB$105)+SUMIF(Capacity_Resource,$F22,'Critical resources (hide)'!BB$6:BB$105)&gt;0,$E$1=2),0,1),0)</f>
        <v>1</v>
      </c>
      <c r="AP22" s="67">
        <f ca="1">IF(LOWER(Capacity!$L34)="x",IF(AND(SUMIF(Capacity_Resource,$D22,'Critical resources (hide)'!BC$6:BC$105)+SUMIF(Capacity_Resource,$E22,'Critical resources (hide)'!BC$6:BC$105)+SUMIF(Capacity_Resource,$F22,'Critical resources (hide)'!BC$6:BC$105)&gt;0,$E$1=2),0,1),0)</f>
        <v>1</v>
      </c>
      <c r="AQ22" s="67">
        <f ca="1">IF(LOWER(Capacity!$L34)="x",IF(AND(SUMIF(Capacity_Resource,$D22,'Critical resources (hide)'!BD$6:BD$105)+SUMIF(Capacity_Resource,$E22,'Critical resources (hide)'!BD$6:BD$105)+SUMIF(Capacity_Resource,$F22,'Critical resources (hide)'!BD$6:BD$105)&gt;0,$E$1=2),0,1),0)</f>
        <v>1</v>
      </c>
      <c r="AR22" s="67">
        <f ca="1">IF(LOWER(Capacity!$L34)="x",IF(AND(SUMIF(Capacity_Resource,$D22,'Critical resources (hide)'!BE$6:BE$105)+SUMIF(Capacity_Resource,$E22,'Critical resources (hide)'!BE$6:BE$105)+SUMIF(Capacity_Resource,$F22,'Critical resources (hide)'!BE$6:BE$105)&gt;0,$E$1=2),0,1),0)</f>
        <v>1</v>
      </c>
      <c r="AS22" s="67">
        <f ca="1">IF(LOWER(Capacity!$L34)="x",IF(AND(SUMIF(Capacity_Resource,$D22,'Critical resources (hide)'!BF$6:BF$105)+SUMIF(Capacity_Resource,$E22,'Critical resources (hide)'!BF$6:BF$105)+SUMIF(Capacity_Resource,$F22,'Critical resources (hide)'!BF$6:BF$105)&gt;0,$E$1=2),0,1),0)</f>
        <v>1</v>
      </c>
      <c r="AT22" s="67">
        <f ca="1">IF(LOWER(Capacity!$L34)="x",IF(AND(SUMIF(Capacity_Resource,$D22,'Critical resources (hide)'!BG$6:BG$105)+SUMIF(Capacity_Resource,$E22,'Critical resources (hide)'!BG$6:BG$105)+SUMIF(Capacity_Resource,$F22,'Critical resources (hide)'!BG$6:BG$105)&gt;0,$E$1=2),0,1),0)</f>
        <v>1</v>
      </c>
      <c r="AU22" s="67">
        <f ca="1">IF(LOWER(Capacity!$L34)="x",IF(AND(SUMIF(Capacity_Resource,$D22,'Critical resources (hide)'!BH$6:BH$105)+SUMIF(Capacity_Resource,$E22,'Critical resources (hide)'!BH$6:BH$105)+SUMIF(Capacity_Resource,$F22,'Critical resources (hide)'!BH$6:BH$105)&gt;0,$E$1=2),0,1),0)</f>
        <v>1</v>
      </c>
      <c r="AV22" s="67">
        <f ca="1">IF(LOWER(Capacity!$L34)="x",IF(AND(SUMIF(Capacity_Resource,$D22,'Critical resources (hide)'!BI$6:BI$105)+SUMIF(Capacity_Resource,$E22,'Critical resources (hide)'!BI$6:BI$105)+SUMIF(Capacity_Resource,$F22,'Critical resources (hide)'!BI$6:BI$105)&gt;0,$E$1=2),0,1),0)</f>
        <v>1</v>
      </c>
      <c r="AW22" s="67">
        <f ca="1">IF(LOWER(Capacity!$L34)="x",IF(AND(SUMIF(Capacity_Resource,$D22,'Critical resources (hide)'!BJ$6:BJ$105)+SUMIF(Capacity_Resource,$E22,'Critical resources (hide)'!BJ$6:BJ$105)+SUMIF(Capacity_Resource,$F22,'Critical resources (hide)'!BJ$6:BJ$105)&gt;0,$E$1=2),0,1),0)</f>
        <v>1</v>
      </c>
      <c r="AX22" s="67">
        <f ca="1">IF(LOWER(Capacity!$L34)="x",IF(AND(SUMIF(Capacity_Resource,$D22,'Critical resources (hide)'!BK$6:BK$105)+SUMIF(Capacity_Resource,$E22,'Critical resources (hide)'!BK$6:BK$105)+SUMIF(Capacity_Resource,$F22,'Critical resources (hide)'!BK$6:BK$105)&gt;0,$E$1=2),0,1),0)</f>
        <v>1</v>
      </c>
      <c r="AY22" s="67">
        <f ca="1">IF(LOWER(Capacity!$L34)="x",IF(AND(SUMIF(Capacity_Resource,$D22,'Critical resources (hide)'!BL$6:BL$105)+SUMIF(Capacity_Resource,$E22,'Critical resources (hide)'!BL$6:BL$105)+SUMIF(Capacity_Resource,$F22,'Critical resources (hide)'!BL$6:BL$105)&gt;0,$E$1=2),0,1),0)</f>
        <v>1</v>
      </c>
      <c r="AZ22" s="67">
        <f ca="1">IF(LOWER(Capacity!$L34)="x",IF(AND(SUMIF(Capacity_Resource,$D22,'Critical resources (hide)'!BM$6:BM$105)+SUMIF(Capacity_Resource,$E22,'Critical resources (hide)'!BM$6:BM$105)+SUMIF(Capacity_Resource,$F22,'Critical resources (hide)'!BM$6:BM$105)&gt;0,$E$1=2),0,1),0)</f>
        <v>1</v>
      </c>
      <c r="BA22" s="67">
        <f ca="1">IF(LOWER(Capacity!$L34)="x",IF(AND(SUMIF(Capacity_Resource,$D22,'Critical resources (hide)'!BN$6:BN$105)+SUMIF(Capacity_Resource,$E22,'Critical resources (hide)'!BN$6:BN$105)+SUMIF(Capacity_Resource,$F22,'Critical resources (hide)'!BN$6:BN$105)&gt;0,$E$1=2),0,1),0)</f>
        <v>1</v>
      </c>
      <c r="BB22" s="67">
        <f ca="1">IF(LOWER(Capacity!$L34)="x",IF(AND(SUMIF(Capacity_Resource,$D22,'Critical resources (hide)'!BO$6:BO$105)+SUMIF(Capacity_Resource,$E22,'Critical resources (hide)'!BO$6:BO$105)+SUMIF(Capacity_Resource,$F22,'Critical resources (hide)'!BO$6:BO$105)&gt;0,$E$1=2),0,1),0)</f>
        <v>1</v>
      </c>
      <c r="BC22" s="67">
        <f ca="1">IF(LOWER(Capacity!$L34)="x",IF(AND(SUMIF(Capacity_Resource,$D22,'Critical resources (hide)'!BP$6:BP$105)+SUMIF(Capacity_Resource,$E22,'Critical resources (hide)'!BP$6:BP$105)+SUMIF(Capacity_Resource,$F22,'Critical resources (hide)'!BP$6:BP$105)&gt;0,$E$1=2),0,1),0)</f>
        <v>1</v>
      </c>
      <c r="BD22" s="67">
        <f ca="1">IF(LOWER(Capacity!$L34)="x",IF(AND(SUMIF(Capacity_Resource,$D22,'Critical resources (hide)'!BQ$6:BQ$105)+SUMIF(Capacity_Resource,$E22,'Critical resources (hide)'!BQ$6:BQ$105)+SUMIF(Capacity_Resource,$F22,'Critical resources (hide)'!BQ$6:BQ$105)&gt;0,$E$1=2),0,1),0)</f>
        <v>1</v>
      </c>
      <c r="BE22" s="67">
        <f ca="1">IF(LOWER(Capacity!$L34)="x",IF(AND(SUMIF(Capacity_Resource,$D22,'Critical resources (hide)'!BR$6:BR$105)+SUMIF(Capacity_Resource,$E22,'Critical resources (hide)'!BR$6:BR$105)+SUMIF(Capacity_Resource,$F22,'Critical resources (hide)'!BR$6:BR$105)&gt;0,$E$1=2),0,1),0)</f>
        <v>1</v>
      </c>
      <c r="BF22" s="67">
        <f ca="1">IF(LOWER(Capacity!$L34)="x",IF(AND(SUMIF(Capacity_Resource,$D22,'Critical resources (hide)'!BS$6:BS$105)+SUMIF(Capacity_Resource,$E22,'Critical resources (hide)'!BS$6:BS$105)+SUMIF(Capacity_Resource,$F22,'Critical resources (hide)'!BS$6:BS$105)&gt;0,$E$1=2),0,1),0)</f>
        <v>1</v>
      </c>
      <c r="BG22" s="67">
        <f ca="1">IF(LOWER(Capacity!$L34)="x",IF(AND(SUMIF(Capacity_Resource,$D22,'Critical resources (hide)'!BT$6:BT$105)+SUMIF(Capacity_Resource,$E22,'Critical resources (hide)'!BT$6:BT$105)+SUMIF(Capacity_Resource,$F22,'Critical resources (hide)'!BT$6:BT$105)&gt;0,$E$1=2),0,1),0)</f>
        <v>1</v>
      </c>
      <c r="BH22" s="67">
        <f>IF(ROW(C18)&lt;=Capacity!$A$16,IF('Capacity summary'!$D$14="No",SUM(H22:BG22),'Capacity summary'!$E141),0)</f>
        <v>0</v>
      </c>
      <c r="BI22" s="5" t="str">
        <f>IF(BH22&gt;0,IF(BH22&lt;Capacity!E34,Capacity!F34,Capacity!H34/'Capacity calculation (hide)'!BH22),"")</f>
        <v/>
      </c>
      <c r="BK22" s="311">
        <f>IF($BI22&lt;&gt;"",IF('Capacity summary'!$D$14="Yes",IF(COUNTBLANK('Capacity summary'!$H141:$BG141)&lt;52,IF('Capacity summary'!H141&lt;&gt;"",IF(LOWER('Capacity summary'!H141)="x",$BI22*H22,VALUE('Capacity summary'!H141)),0),H22*$BI22),H22*$BI22),0)</f>
        <v>0</v>
      </c>
      <c r="BL22" s="311">
        <f>IF($BI22&lt;&gt;"",IF('Capacity summary'!$D$14="Yes",IF(COUNTBLANK('Capacity summary'!$H141:$BG141)&lt;52,IF('Capacity summary'!I141&lt;&gt;"",IF(LOWER('Capacity summary'!I141)="x",$BI22*I22,VALUE('Capacity summary'!I141)),0),I22*$BI22),I22*$BI22),0)</f>
        <v>0</v>
      </c>
      <c r="BM22" s="311">
        <f>IF($BI22&lt;&gt;"",IF('Capacity summary'!$D$14="Yes",IF(COUNTBLANK('Capacity summary'!$H141:$BG141)&lt;52,IF('Capacity summary'!J141&lt;&gt;"",IF(LOWER('Capacity summary'!J141)="x",$BI22*J22,VALUE('Capacity summary'!J141)),0),J22*$BI22),J22*$BI22),0)</f>
        <v>0</v>
      </c>
      <c r="BN22" s="311">
        <f>IF($BI22&lt;&gt;"",IF('Capacity summary'!$D$14="Yes",IF(COUNTBLANK('Capacity summary'!$H141:$BG141)&lt;52,IF('Capacity summary'!K141&lt;&gt;"",IF(LOWER('Capacity summary'!K141)="x",$BI22*K22,VALUE('Capacity summary'!K141)),0),K22*$BI22),K22*$BI22),0)</f>
        <v>0</v>
      </c>
      <c r="BO22" s="311">
        <f>IF($BI22&lt;&gt;"",IF('Capacity summary'!$D$14="Yes",IF(COUNTBLANK('Capacity summary'!$H141:$BG141)&lt;52,IF('Capacity summary'!L141&lt;&gt;"",IF(LOWER('Capacity summary'!L141)="x",$BI22*L22,VALUE('Capacity summary'!L141)),0),L22*$BI22),L22*$BI22),0)</f>
        <v>0</v>
      </c>
      <c r="BP22" s="311">
        <f>IF($BI22&lt;&gt;"",IF('Capacity summary'!$D$14="Yes",IF(COUNTBLANK('Capacity summary'!$H141:$BG141)&lt;52,IF('Capacity summary'!M141&lt;&gt;"",IF(LOWER('Capacity summary'!M141)="x",$BI22*M22,VALUE('Capacity summary'!M141)),0),M22*$BI22),M22*$BI22),0)</f>
        <v>0</v>
      </c>
      <c r="BQ22" s="311">
        <f>IF($BI22&lt;&gt;"",IF('Capacity summary'!$D$14="Yes",IF(COUNTBLANK('Capacity summary'!$H141:$BG141)&lt;52,IF('Capacity summary'!N141&lt;&gt;"",IF(LOWER('Capacity summary'!N141)="x",$BI22*N22,VALUE('Capacity summary'!N141)),0),N22*$BI22),N22*$BI22),0)</f>
        <v>0</v>
      </c>
      <c r="BR22" s="311">
        <f>IF($BI22&lt;&gt;"",IF('Capacity summary'!$D$14="Yes",IF(COUNTBLANK('Capacity summary'!$H141:$BG141)&lt;52,IF('Capacity summary'!O141&lt;&gt;"",IF(LOWER('Capacity summary'!O141)="x",$BI22*O22,VALUE('Capacity summary'!O141)),0),O22*$BI22),O22*$BI22),0)</f>
        <v>0</v>
      </c>
      <c r="BS22" s="311">
        <f>IF($BI22&lt;&gt;"",IF('Capacity summary'!$D$14="Yes",IF(COUNTBLANK('Capacity summary'!$H141:$BG141)&lt;52,IF('Capacity summary'!P141&lt;&gt;"",IF(LOWER('Capacity summary'!P141)="x",$BI22*P22,VALUE('Capacity summary'!P141)),0),P22*$BI22),P22*$BI22),0)</f>
        <v>0</v>
      </c>
      <c r="BT22" s="311">
        <f>IF($BI22&lt;&gt;"",IF('Capacity summary'!$D$14="Yes",IF(COUNTBLANK('Capacity summary'!$H141:$BG141)&lt;52,IF('Capacity summary'!Q141&lt;&gt;"",IF(LOWER('Capacity summary'!Q141)="x",$BI22*Q22,VALUE('Capacity summary'!Q141)),0),Q22*$BI22),Q22*$BI22),0)</f>
        <v>0</v>
      </c>
      <c r="BU22" s="311">
        <f>IF($BI22&lt;&gt;"",IF('Capacity summary'!$D$14="Yes",IF(COUNTBLANK('Capacity summary'!$H141:$BG141)&lt;52,IF('Capacity summary'!R141&lt;&gt;"",IF(LOWER('Capacity summary'!R141)="x",$BI22*R22,VALUE('Capacity summary'!R141)),0),R22*$BI22),R22*$BI22),0)</f>
        <v>0</v>
      </c>
      <c r="BV22" s="311">
        <f>IF($BI22&lt;&gt;"",IF('Capacity summary'!$D$14="Yes",IF(COUNTBLANK('Capacity summary'!$H141:$BG141)&lt;52,IF('Capacity summary'!S141&lt;&gt;"",IF(LOWER('Capacity summary'!S141)="x",$BI22*S22,VALUE('Capacity summary'!S141)),0),S22*$BI22),S22*$BI22),0)</f>
        <v>0</v>
      </c>
      <c r="BW22" s="311">
        <f>IF($BI22&lt;&gt;"",IF('Capacity summary'!$D$14="Yes",IF(COUNTBLANK('Capacity summary'!$H141:$BG141)&lt;52,IF('Capacity summary'!T141&lt;&gt;"",IF(LOWER('Capacity summary'!T141)="x",$BI22*T22,VALUE('Capacity summary'!T141)),0),T22*$BI22),T22*$BI22),0)</f>
        <v>0</v>
      </c>
      <c r="BX22" s="311">
        <f>IF($BI22&lt;&gt;"",IF('Capacity summary'!$D$14="Yes",IF(COUNTBLANK('Capacity summary'!$H141:$BG141)&lt;52,IF('Capacity summary'!U141&lt;&gt;"",IF(LOWER('Capacity summary'!U141)="x",$BI22*U22,VALUE('Capacity summary'!U141)),0),U22*$BI22),U22*$BI22),0)</f>
        <v>0</v>
      </c>
      <c r="BY22" s="311">
        <f>IF($BI22&lt;&gt;"",IF('Capacity summary'!$D$14="Yes",IF(COUNTBLANK('Capacity summary'!$H141:$BG141)&lt;52,IF('Capacity summary'!V141&lt;&gt;"",IF(LOWER('Capacity summary'!V141)="x",$BI22*V22,VALUE('Capacity summary'!V141)),0),V22*$BI22),V22*$BI22),0)</f>
        <v>0</v>
      </c>
      <c r="BZ22" s="311">
        <f>IF($BI22&lt;&gt;"",IF('Capacity summary'!$D$14="Yes",IF(COUNTBLANK('Capacity summary'!$H141:$BG141)&lt;52,IF('Capacity summary'!W141&lt;&gt;"",IF(LOWER('Capacity summary'!W141)="x",$BI22*W22,VALUE('Capacity summary'!W141)),0),W22*$BI22),W22*$BI22),0)</f>
        <v>0</v>
      </c>
      <c r="CA22" s="311">
        <f>IF($BI22&lt;&gt;"",IF('Capacity summary'!$D$14="Yes",IF(COUNTBLANK('Capacity summary'!$H141:$BG141)&lt;52,IF('Capacity summary'!X141&lt;&gt;"",IF(LOWER('Capacity summary'!X141)="x",$BI22*X22,VALUE('Capacity summary'!X141)),0),X22*$BI22),X22*$BI22),0)</f>
        <v>0</v>
      </c>
      <c r="CB22" s="311">
        <f>IF($BI22&lt;&gt;"",IF('Capacity summary'!$D$14="Yes",IF(COUNTBLANK('Capacity summary'!$H141:$BG141)&lt;52,IF('Capacity summary'!Y141&lt;&gt;"",IF(LOWER('Capacity summary'!Y141)="x",$BI22*Y22,VALUE('Capacity summary'!Y141)),0),Y22*$BI22),Y22*$BI22),0)</f>
        <v>0</v>
      </c>
      <c r="CC22" s="311">
        <f>IF($BI22&lt;&gt;"",IF('Capacity summary'!$D$14="Yes",IF(COUNTBLANK('Capacity summary'!$H141:$BG141)&lt;52,IF('Capacity summary'!Z141&lt;&gt;"",IF(LOWER('Capacity summary'!Z141)="x",$BI22*Z22,VALUE('Capacity summary'!Z141)),0),Z22*$BI22),Z22*$BI22),0)</f>
        <v>0</v>
      </c>
      <c r="CD22" s="311">
        <f>IF($BI22&lt;&gt;"",IF('Capacity summary'!$D$14="Yes",IF(COUNTBLANK('Capacity summary'!$H141:$BG141)&lt;52,IF('Capacity summary'!AA141&lt;&gt;"",IF(LOWER('Capacity summary'!AA141)="x",$BI22*AA22,VALUE('Capacity summary'!AA141)),0),AA22*$BI22),AA22*$BI22),0)</f>
        <v>0</v>
      </c>
      <c r="CE22" s="311">
        <f>IF($BI22&lt;&gt;"",IF('Capacity summary'!$D$14="Yes",IF(COUNTBLANK('Capacity summary'!$H141:$BG141)&lt;52,IF('Capacity summary'!AB141&lt;&gt;"",IF(LOWER('Capacity summary'!AB141)="x",$BI22*AB22,VALUE('Capacity summary'!AB141)),0),AB22*$BI22),AB22*$BI22),0)</f>
        <v>0</v>
      </c>
      <c r="CF22" s="311">
        <f>IF($BI22&lt;&gt;"",IF('Capacity summary'!$D$14="Yes",IF(COUNTBLANK('Capacity summary'!$H141:$BG141)&lt;52,IF('Capacity summary'!AC141&lt;&gt;"",IF(LOWER('Capacity summary'!AC141)="x",$BI22*AC22,VALUE('Capacity summary'!AC141)),0),AC22*$BI22),AC22*$BI22),0)</f>
        <v>0</v>
      </c>
      <c r="CG22" s="311">
        <f>IF($BI22&lt;&gt;"",IF('Capacity summary'!$D$14="Yes",IF(COUNTBLANK('Capacity summary'!$H141:$BG141)&lt;52,IF('Capacity summary'!AD141&lt;&gt;"",IF(LOWER('Capacity summary'!AD141)="x",$BI22*AD22,VALUE('Capacity summary'!AD141)),0),AD22*$BI22),AD22*$BI22),0)</f>
        <v>0</v>
      </c>
      <c r="CH22" s="311">
        <f>IF($BI22&lt;&gt;"",IF('Capacity summary'!$D$14="Yes",IF(COUNTBLANK('Capacity summary'!$H141:$BG141)&lt;52,IF('Capacity summary'!AE141&lt;&gt;"",IF(LOWER('Capacity summary'!AE141)="x",$BI22*AE22,VALUE('Capacity summary'!AE141)),0),AE22*$BI22),AE22*$BI22),0)</f>
        <v>0</v>
      </c>
      <c r="CI22" s="311">
        <f>IF($BI22&lt;&gt;"",IF('Capacity summary'!$D$14="Yes",IF(COUNTBLANK('Capacity summary'!$H141:$BG141)&lt;52,IF('Capacity summary'!AF141&lt;&gt;"",IF(LOWER('Capacity summary'!AF141)="x",$BI22*AF22,VALUE('Capacity summary'!AF141)),0),AF22*$BI22),AF22*$BI22),0)</f>
        <v>0</v>
      </c>
      <c r="CJ22" s="311">
        <f>IF($BI22&lt;&gt;"",IF('Capacity summary'!$D$14="Yes",IF(COUNTBLANK('Capacity summary'!$H141:$BG141)&lt;52,IF('Capacity summary'!AG141&lt;&gt;"",IF(LOWER('Capacity summary'!AG141)="x",$BI22*AG22,VALUE('Capacity summary'!AG141)),0),AG22*$BI22),AG22*$BI22),0)</f>
        <v>0</v>
      </c>
      <c r="CK22" s="311">
        <f>IF($BI22&lt;&gt;"",IF('Capacity summary'!$D$14="Yes",IF(COUNTBLANK('Capacity summary'!$H141:$BG141)&lt;52,IF('Capacity summary'!AH141&lt;&gt;"",IF(LOWER('Capacity summary'!AH141)="x",$BI22*AH22,VALUE('Capacity summary'!AH141)),0),AH22*$BI22),AH22*$BI22),0)</f>
        <v>0</v>
      </c>
      <c r="CL22" s="311">
        <f>IF($BI22&lt;&gt;"",IF('Capacity summary'!$D$14="Yes",IF(COUNTBLANK('Capacity summary'!$H141:$BG141)&lt;52,IF('Capacity summary'!AI141&lt;&gt;"",IF(LOWER('Capacity summary'!AI141)="x",$BI22*AI22,VALUE('Capacity summary'!AI141)),0),AI22*$BI22),AI22*$BI22),0)</f>
        <v>0</v>
      </c>
      <c r="CM22" s="311">
        <f>IF($BI22&lt;&gt;"",IF('Capacity summary'!$D$14="Yes",IF(COUNTBLANK('Capacity summary'!$H141:$BG141)&lt;52,IF('Capacity summary'!AJ141&lt;&gt;"",IF(LOWER('Capacity summary'!AJ141)="x",$BI22*AJ22,VALUE('Capacity summary'!AJ141)),0),AJ22*$BI22),AJ22*$BI22),0)</f>
        <v>0</v>
      </c>
      <c r="CN22" s="311">
        <f>IF($BI22&lt;&gt;"",IF('Capacity summary'!$D$14="Yes",IF(COUNTBLANK('Capacity summary'!$H141:$BG141)&lt;52,IF('Capacity summary'!AK141&lt;&gt;"",IF(LOWER('Capacity summary'!AK141)="x",$BI22*AK22,VALUE('Capacity summary'!AK141)),0),AK22*$BI22),AK22*$BI22),0)</f>
        <v>0</v>
      </c>
      <c r="CO22" s="311">
        <f>IF($BI22&lt;&gt;"",IF('Capacity summary'!$D$14="Yes",IF(COUNTBLANK('Capacity summary'!$H141:$BG141)&lt;52,IF('Capacity summary'!AL141&lt;&gt;"",IF(LOWER('Capacity summary'!AL141)="x",$BI22*AL22,VALUE('Capacity summary'!AL141)),0),AL22*$BI22),AL22*$BI22),0)</f>
        <v>0</v>
      </c>
      <c r="CP22" s="311">
        <f>IF($BI22&lt;&gt;"",IF('Capacity summary'!$D$14="Yes",IF(COUNTBLANK('Capacity summary'!$H141:$BG141)&lt;52,IF('Capacity summary'!AM141&lt;&gt;"",IF(LOWER('Capacity summary'!AM141)="x",$BI22*AM22,VALUE('Capacity summary'!AM141)),0),AM22*$BI22),AM22*$BI22),0)</f>
        <v>0</v>
      </c>
      <c r="CQ22" s="311">
        <f>IF($BI22&lt;&gt;"",IF('Capacity summary'!$D$14="Yes",IF(COUNTBLANK('Capacity summary'!$H141:$BG141)&lt;52,IF('Capacity summary'!AN141&lt;&gt;"",IF(LOWER('Capacity summary'!AN141)="x",$BI22*AN22,VALUE('Capacity summary'!AN141)),0),AN22*$BI22),AN22*$BI22),0)</f>
        <v>0</v>
      </c>
      <c r="CR22" s="311">
        <f>IF($BI22&lt;&gt;"",IF('Capacity summary'!$D$14="Yes",IF(COUNTBLANK('Capacity summary'!$H141:$BG141)&lt;52,IF('Capacity summary'!AO141&lt;&gt;"",IF(LOWER('Capacity summary'!AO141)="x",$BI22*AO22,VALUE('Capacity summary'!AO141)),0),AO22*$BI22),AO22*$BI22),0)</f>
        <v>0</v>
      </c>
      <c r="CS22" s="311">
        <f>IF($BI22&lt;&gt;"",IF('Capacity summary'!$D$14="Yes",IF(COUNTBLANK('Capacity summary'!$H141:$BG141)&lt;52,IF('Capacity summary'!AP141&lt;&gt;"",IF(LOWER('Capacity summary'!AP141)="x",$BI22*AP22,VALUE('Capacity summary'!AP141)),0),AP22*$BI22),AP22*$BI22),0)</f>
        <v>0</v>
      </c>
      <c r="CT22" s="311">
        <f>IF($BI22&lt;&gt;"",IF('Capacity summary'!$D$14="Yes",IF(COUNTBLANK('Capacity summary'!$H141:$BG141)&lt;52,IF('Capacity summary'!AQ141&lt;&gt;"",IF(LOWER('Capacity summary'!AQ141)="x",$BI22*AQ22,VALUE('Capacity summary'!AQ141)),0),AQ22*$BI22),AQ22*$BI22),0)</f>
        <v>0</v>
      </c>
      <c r="CU22" s="311">
        <f>IF($BI22&lt;&gt;"",IF('Capacity summary'!$D$14="Yes",IF(COUNTBLANK('Capacity summary'!$H141:$BG141)&lt;52,IF('Capacity summary'!AR141&lt;&gt;"",IF(LOWER('Capacity summary'!AR141)="x",$BI22*AR22,VALUE('Capacity summary'!AR141)),0),AR22*$BI22),AR22*$BI22),0)</f>
        <v>0</v>
      </c>
      <c r="CV22" s="311">
        <f>IF($BI22&lt;&gt;"",IF('Capacity summary'!$D$14="Yes",IF(COUNTBLANK('Capacity summary'!$H141:$BG141)&lt;52,IF('Capacity summary'!AS141&lt;&gt;"",IF(LOWER('Capacity summary'!AS141)="x",$BI22*AS22,VALUE('Capacity summary'!AS141)),0),AS22*$BI22),AS22*$BI22),0)</f>
        <v>0</v>
      </c>
      <c r="CW22" s="311">
        <f>IF($BI22&lt;&gt;"",IF('Capacity summary'!$D$14="Yes",IF(COUNTBLANK('Capacity summary'!$H141:$BG141)&lt;52,IF('Capacity summary'!AT141&lt;&gt;"",IF(LOWER('Capacity summary'!AT141)="x",$BI22*AT22,VALUE('Capacity summary'!AT141)),0),AT22*$BI22),AT22*$BI22),0)</f>
        <v>0</v>
      </c>
      <c r="CX22" s="311">
        <f>IF($BI22&lt;&gt;"",IF('Capacity summary'!$D$14="Yes",IF(COUNTBLANK('Capacity summary'!$H141:$BG141)&lt;52,IF('Capacity summary'!AU141&lt;&gt;"",IF(LOWER('Capacity summary'!AU141)="x",$BI22*AU22,VALUE('Capacity summary'!AU141)),0),AU22*$BI22),AU22*$BI22),0)</f>
        <v>0</v>
      </c>
      <c r="CY22" s="311">
        <f>IF($BI22&lt;&gt;"",IF('Capacity summary'!$D$14="Yes",IF(COUNTBLANK('Capacity summary'!$H141:$BG141)&lt;52,IF('Capacity summary'!AV141&lt;&gt;"",IF(LOWER('Capacity summary'!AV141)="x",$BI22*AV22,VALUE('Capacity summary'!AV141)),0),AV22*$BI22),AV22*$BI22),0)</f>
        <v>0</v>
      </c>
      <c r="CZ22" s="311">
        <f>IF($BI22&lt;&gt;"",IF('Capacity summary'!$D$14="Yes",IF(COUNTBLANK('Capacity summary'!$H141:$BG141)&lt;52,IF('Capacity summary'!AW141&lt;&gt;"",IF(LOWER('Capacity summary'!AW141)="x",$BI22*AW22,VALUE('Capacity summary'!AW141)),0),AW22*$BI22),AW22*$BI22),0)</f>
        <v>0</v>
      </c>
      <c r="DA22" s="311">
        <f>IF($BI22&lt;&gt;"",IF('Capacity summary'!$D$14="Yes",IF(COUNTBLANK('Capacity summary'!$H141:$BG141)&lt;52,IF('Capacity summary'!AX141&lt;&gt;"",IF(LOWER('Capacity summary'!AX141)="x",$BI22*AX22,VALUE('Capacity summary'!AX141)),0),AX22*$BI22),AX22*$BI22),0)</f>
        <v>0</v>
      </c>
      <c r="DB22" s="311">
        <f>IF($BI22&lt;&gt;"",IF('Capacity summary'!$D$14="Yes",IF(COUNTBLANK('Capacity summary'!$H141:$BG141)&lt;52,IF('Capacity summary'!AY141&lt;&gt;"",IF(LOWER('Capacity summary'!AY141)="x",$BI22*AY22,VALUE('Capacity summary'!AY141)),0),AY22*$BI22),AY22*$BI22),0)</f>
        <v>0</v>
      </c>
      <c r="DC22" s="311">
        <f>IF($BI22&lt;&gt;"",IF('Capacity summary'!$D$14="Yes",IF(COUNTBLANK('Capacity summary'!$H141:$BG141)&lt;52,IF('Capacity summary'!AZ141&lt;&gt;"",IF(LOWER('Capacity summary'!AZ141)="x",$BI22*AZ22,VALUE('Capacity summary'!AZ141)),0),AZ22*$BI22),AZ22*$BI22),0)</f>
        <v>0</v>
      </c>
      <c r="DD22" s="311">
        <f>IF($BI22&lt;&gt;"",IF('Capacity summary'!$D$14="Yes",IF(COUNTBLANK('Capacity summary'!$H141:$BG141)&lt;52,IF('Capacity summary'!BA141&lt;&gt;"",IF(LOWER('Capacity summary'!BA141)="x",$BI22*BA22,VALUE('Capacity summary'!BA141)),0),BA22*$BI22),BA22*$BI22),0)</f>
        <v>0</v>
      </c>
      <c r="DE22" s="311">
        <f>IF($BI22&lt;&gt;"",IF('Capacity summary'!$D$14="Yes",IF(COUNTBLANK('Capacity summary'!$H141:$BG141)&lt;52,IF('Capacity summary'!BB141&lt;&gt;"",IF(LOWER('Capacity summary'!BB141)="x",$BI22*BB22,VALUE('Capacity summary'!BB141)),0),BB22*$BI22),BB22*$BI22),0)</f>
        <v>0</v>
      </c>
      <c r="DF22" s="311">
        <f>IF($BI22&lt;&gt;"",IF('Capacity summary'!$D$14="Yes",IF(COUNTBLANK('Capacity summary'!$H141:$BG141)&lt;52,IF('Capacity summary'!BC141&lt;&gt;"",IF(LOWER('Capacity summary'!BC141)="x",$BI22*BC22,VALUE('Capacity summary'!BC141)),0),BC22*$BI22),BC22*$BI22),0)</f>
        <v>0</v>
      </c>
      <c r="DG22" s="311">
        <f>IF($BI22&lt;&gt;"",IF('Capacity summary'!$D$14="Yes",IF(COUNTBLANK('Capacity summary'!$H141:$BG141)&lt;52,IF('Capacity summary'!BD141&lt;&gt;"",IF(LOWER('Capacity summary'!BD141)="x",$BI22*BD22,VALUE('Capacity summary'!BD141)),0),BD22*$BI22),BD22*$BI22),0)</f>
        <v>0</v>
      </c>
      <c r="DH22" s="311">
        <f>IF($BI22&lt;&gt;"",IF('Capacity summary'!$D$14="Yes",IF(COUNTBLANK('Capacity summary'!$H141:$BG141)&lt;52,IF('Capacity summary'!BE141&lt;&gt;"",IF(LOWER('Capacity summary'!BE141)="x",$BI22*BE22,VALUE('Capacity summary'!BE141)),0),BE22*$BI22),BE22*$BI22),0)</f>
        <v>0</v>
      </c>
      <c r="DI22" s="311">
        <f>IF($BI22&lt;&gt;"",IF('Capacity summary'!$D$14="Yes",IF(COUNTBLANK('Capacity summary'!$H141:$BG141)&lt;52,IF('Capacity summary'!BF141&lt;&gt;"",IF(LOWER('Capacity summary'!BF141)="x",$BI22*BF22,VALUE('Capacity summary'!BF141)),0),BF22*$BI22),BF22*$BI22),0)</f>
        <v>0</v>
      </c>
      <c r="DJ22" s="311">
        <f>IF($BI22&lt;&gt;"",IF('Capacity summary'!$D$14="Yes",IF(COUNTBLANK('Capacity summary'!$H141:$BG141)&lt;52,IF('Capacity summary'!BG141&lt;&gt;"",IF(LOWER('Capacity summary'!BG141)="x",$BI22*BG22,VALUE('Capacity summary'!BG141)),0),BG22*$BI22),BG22*$BI22),0)</f>
        <v>0</v>
      </c>
      <c r="DK22" s="391">
        <f t="shared" si="2"/>
        <v>0</v>
      </c>
      <c r="DL22" s="136">
        <f t="shared" si="3"/>
        <v>0</v>
      </c>
      <c r="DM22" s="311" t="str">
        <f>Capacity!H34</f>
        <v/>
      </c>
      <c r="DQ22" s="5"/>
    </row>
    <row r="23" spans="1:121" x14ac:dyDescent="0.2">
      <c r="A23" s="67">
        <f>IF(Capacity!L35='Capacity summary'!BI142,1,0)</f>
        <v>1</v>
      </c>
      <c r="B23" s="67">
        <f>IF(Capacity!V35='Capacity summary'!BI42,1,0)</f>
        <v>1</v>
      </c>
      <c r="C23" s="67" t="str">
        <f>ROW(A19)&amp;". "&amp;Capacity!B35</f>
        <v xml:space="preserve">19. </v>
      </c>
      <c r="D23" s="67">
        <f>'Capacity setup'!C30</f>
        <v>0</v>
      </c>
      <c r="E23" s="67">
        <f>'Capacity setup'!D30</f>
        <v>0</v>
      </c>
      <c r="F23" s="67">
        <f>'Capacity setup'!E30</f>
        <v>0</v>
      </c>
      <c r="H23" s="67">
        <f ca="1">IF(LOWER(Capacity!$L35)="x",IF(AND(SUMIF(Capacity_Resource,$D23,'Critical resources (hide)'!U$6:U$105)+SUMIF(Capacity_Resource,$E23,'Critical resources (hide)'!U$6:U$105)+SUMIF(Capacity_Resource,$F23,'Critical resources (hide)'!U$6:U$105)&gt;0,$E$1=2),0,1),0)</f>
        <v>1</v>
      </c>
      <c r="I23" s="67">
        <f ca="1">IF(LOWER(Capacity!$L35)="x",IF(AND(SUMIF(Capacity_Resource,$D23,'Critical resources (hide)'!V$6:V$105)+SUMIF(Capacity_Resource,$E23,'Critical resources (hide)'!V$6:V$105)+SUMIF(Capacity_Resource,$F23,'Critical resources (hide)'!V$6:V$105)&gt;0,$E$1=2),0,1),0)</f>
        <v>1</v>
      </c>
      <c r="J23" s="67">
        <f ca="1">IF(LOWER(Capacity!$L35)="x",IF(AND(SUMIF(Capacity_Resource,$D23,'Critical resources (hide)'!W$6:W$105)+SUMIF(Capacity_Resource,$E23,'Critical resources (hide)'!W$6:W$105)+SUMIF(Capacity_Resource,$F23,'Critical resources (hide)'!W$6:W$105)&gt;0,$E$1=2),0,1),0)</f>
        <v>1</v>
      </c>
      <c r="K23" s="67">
        <f ca="1">IF(LOWER(Capacity!$L35)="x",IF(AND(SUMIF(Capacity_Resource,$D23,'Critical resources (hide)'!X$6:X$105)+SUMIF(Capacity_Resource,$E23,'Critical resources (hide)'!X$6:X$105)+SUMIF(Capacity_Resource,$F23,'Critical resources (hide)'!X$6:X$105)&gt;0,$E$1=2),0,1),0)</f>
        <v>1</v>
      </c>
      <c r="L23" s="67">
        <f ca="1">IF(LOWER(Capacity!$L35)="x",IF(AND(SUMIF(Capacity_Resource,$D23,'Critical resources (hide)'!Y$6:Y$105)+SUMIF(Capacity_Resource,$E23,'Critical resources (hide)'!Y$6:Y$105)+SUMIF(Capacity_Resource,$F23,'Critical resources (hide)'!Y$6:Y$105)&gt;0,$E$1=2),0,1),0)</f>
        <v>1</v>
      </c>
      <c r="M23" s="67">
        <f ca="1">IF(LOWER(Capacity!$L35)="x",IF(AND(SUMIF(Capacity_Resource,$D23,'Critical resources (hide)'!Z$6:Z$105)+SUMIF(Capacity_Resource,$E23,'Critical resources (hide)'!Z$6:Z$105)+SUMIF(Capacity_Resource,$F23,'Critical resources (hide)'!Z$6:Z$105)&gt;0,$E$1=2),0,1),0)</f>
        <v>1</v>
      </c>
      <c r="N23" s="67">
        <f ca="1">IF(LOWER(Capacity!$L35)="x",IF(AND(SUMIF(Capacity_Resource,$D23,'Critical resources (hide)'!AA$6:AA$105)+SUMIF(Capacity_Resource,$E23,'Critical resources (hide)'!AA$6:AA$105)+SUMIF(Capacity_Resource,$F23,'Critical resources (hide)'!AA$6:AA$105)&gt;0,$E$1=2),0,1),0)</f>
        <v>1</v>
      </c>
      <c r="O23" s="67">
        <f ca="1">IF(LOWER(Capacity!$L35)="x",IF(AND(SUMIF(Capacity_Resource,$D23,'Critical resources (hide)'!AB$6:AB$105)+SUMIF(Capacity_Resource,$E23,'Critical resources (hide)'!AB$6:AB$105)+SUMIF(Capacity_Resource,$F23,'Critical resources (hide)'!AB$6:AB$105)&gt;0,$E$1=2),0,1),0)</f>
        <v>1</v>
      </c>
      <c r="P23" s="67">
        <f ca="1">IF(LOWER(Capacity!$L35)="x",IF(AND(SUMIF(Capacity_Resource,$D23,'Critical resources (hide)'!AC$6:AC$105)+SUMIF(Capacity_Resource,$E23,'Critical resources (hide)'!AC$6:AC$105)+SUMIF(Capacity_Resource,$F23,'Critical resources (hide)'!AC$6:AC$105)&gt;0,$E$1=2),0,1),0)</f>
        <v>1</v>
      </c>
      <c r="Q23" s="67">
        <f ca="1">IF(LOWER(Capacity!$L35)="x",IF(AND(SUMIF(Capacity_Resource,$D23,'Critical resources (hide)'!AD$6:AD$105)+SUMIF(Capacity_Resource,$E23,'Critical resources (hide)'!AD$6:AD$105)+SUMIF(Capacity_Resource,$F23,'Critical resources (hide)'!AD$6:AD$105)&gt;0,$E$1=2),0,1),0)</f>
        <v>1</v>
      </c>
      <c r="R23" s="67">
        <f ca="1">IF(LOWER(Capacity!$L35)="x",IF(AND(SUMIF(Capacity_Resource,$D23,'Critical resources (hide)'!AE$6:AE$105)+SUMIF(Capacity_Resource,$E23,'Critical resources (hide)'!AE$6:AE$105)+SUMIF(Capacity_Resource,$F23,'Critical resources (hide)'!AE$6:AE$105)&gt;0,$E$1=2),0,1),0)</f>
        <v>1</v>
      </c>
      <c r="S23" s="67">
        <f ca="1">IF(LOWER(Capacity!$L35)="x",IF(AND(SUMIF(Capacity_Resource,$D23,'Critical resources (hide)'!AF$6:AF$105)+SUMIF(Capacity_Resource,$E23,'Critical resources (hide)'!AF$6:AF$105)+SUMIF(Capacity_Resource,$F23,'Critical resources (hide)'!AF$6:AF$105)&gt;0,$E$1=2),0,1),0)</f>
        <v>1</v>
      </c>
      <c r="T23" s="67">
        <f ca="1">IF(LOWER(Capacity!$L35)="x",IF(AND(SUMIF(Capacity_Resource,$D23,'Critical resources (hide)'!AG$6:AG$105)+SUMIF(Capacity_Resource,$E23,'Critical resources (hide)'!AG$6:AG$105)+SUMIF(Capacity_Resource,$F23,'Critical resources (hide)'!AG$6:AG$105)&gt;0,$E$1=2),0,1),0)</f>
        <v>1</v>
      </c>
      <c r="U23" s="67">
        <f ca="1">IF(LOWER(Capacity!$L35)="x",IF(AND(SUMIF(Capacity_Resource,$D23,'Critical resources (hide)'!AH$6:AH$105)+SUMIF(Capacity_Resource,$E23,'Critical resources (hide)'!AH$6:AH$105)+SUMIF(Capacity_Resource,$F23,'Critical resources (hide)'!AH$6:AH$105)&gt;0,$E$1=2),0,1),0)</f>
        <v>1</v>
      </c>
      <c r="V23" s="67">
        <f ca="1">IF(LOWER(Capacity!$L35)="x",IF(AND(SUMIF(Capacity_Resource,$D23,'Critical resources (hide)'!AI$6:AI$105)+SUMIF(Capacity_Resource,$E23,'Critical resources (hide)'!AI$6:AI$105)+SUMIF(Capacity_Resource,$F23,'Critical resources (hide)'!AI$6:AI$105)&gt;0,$E$1=2),0,1),0)</f>
        <v>1</v>
      </c>
      <c r="W23" s="67">
        <f ca="1">IF(LOWER(Capacity!$L35)="x",IF(AND(SUMIF(Capacity_Resource,$D23,'Critical resources (hide)'!AJ$6:AJ$105)+SUMIF(Capacity_Resource,$E23,'Critical resources (hide)'!AJ$6:AJ$105)+SUMIF(Capacity_Resource,$F23,'Critical resources (hide)'!AJ$6:AJ$105)&gt;0,$E$1=2),0,1),0)</f>
        <v>1</v>
      </c>
      <c r="X23" s="67">
        <f ca="1">IF(LOWER(Capacity!$L35)="x",IF(AND(SUMIF(Capacity_Resource,$D23,'Critical resources (hide)'!AK$6:AK$105)+SUMIF(Capacity_Resource,$E23,'Critical resources (hide)'!AK$6:AK$105)+SUMIF(Capacity_Resource,$F23,'Critical resources (hide)'!AK$6:AK$105)&gt;0,$E$1=2),0,1),0)</f>
        <v>1</v>
      </c>
      <c r="Y23" s="67">
        <f ca="1">IF(LOWER(Capacity!$L35)="x",IF(AND(SUMIF(Capacity_Resource,$D23,'Critical resources (hide)'!AL$6:AL$105)+SUMIF(Capacity_Resource,$E23,'Critical resources (hide)'!AL$6:AL$105)+SUMIF(Capacity_Resource,$F23,'Critical resources (hide)'!AL$6:AL$105)&gt;0,$E$1=2),0,1),0)</f>
        <v>1</v>
      </c>
      <c r="Z23" s="67">
        <f ca="1">IF(LOWER(Capacity!$L35)="x",IF(AND(SUMIF(Capacity_Resource,$D23,'Critical resources (hide)'!AM$6:AM$105)+SUMIF(Capacity_Resource,$E23,'Critical resources (hide)'!AM$6:AM$105)+SUMIF(Capacity_Resource,$F23,'Critical resources (hide)'!AM$6:AM$105)&gt;0,$E$1=2),0,1),0)</f>
        <v>1</v>
      </c>
      <c r="AA23" s="67">
        <f ca="1">IF(LOWER(Capacity!$L35)="x",IF(AND(SUMIF(Capacity_Resource,$D23,'Critical resources (hide)'!AN$6:AN$105)+SUMIF(Capacity_Resource,$E23,'Critical resources (hide)'!AN$6:AN$105)+SUMIF(Capacity_Resource,$F23,'Critical resources (hide)'!AN$6:AN$105)&gt;0,$E$1=2),0,1),0)</f>
        <v>1</v>
      </c>
      <c r="AB23" s="67">
        <f ca="1">IF(LOWER(Capacity!$L35)="x",IF(AND(SUMIF(Capacity_Resource,$D23,'Critical resources (hide)'!AO$6:AO$105)+SUMIF(Capacity_Resource,$E23,'Critical resources (hide)'!AO$6:AO$105)+SUMIF(Capacity_Resource,$F23,'Critical resources (hide)'!AO$6:AO$105)&gt;0,$E$1=2),0,1),0)</f>
        <v>1</v>
      </c>
      <c r="AC23" s="67">
        <f ca="1">IF(LOWER(Capacity!$L35)="x",IF(AND(SUMIF(Capacity_Resource,$D23,'Critical resources (hide)'!AP$6:AP$105)+SUMIF(Capacity_Resource,$E23,'Critical resources (hide)'!AP$6:AP$105)+SUMIF(Capacity_Resource,$F23,'Critical resources (hide)'!AP$6:AP$105)&gt;0,$E$1=2),0,1),0)</f>
        <v>1</v>
      </c>
      <c r="AD23" s="67">
        <f ca="1">IF(LOWER(Capacity!$L35)="x",IF(AND(SUMIF(Capacity_Resource,$D23,'Critical resources (hide)'!AQ$6:AQ$105)+SUMIF(Capacity_Resource,$E23,'Critical resources (hide)'!AQ$6:AQ$105)+SUMIF(Capacity_Resource,$F23,'Critical resources (hide)'!AQ$6:AQ$105)&gt;0,$E$1=2),0,1),0)</f>
        <v>1</v>
      </c>
      <c r="AE23" s="67">
        <f ca="1">IF(LOWER(Capacity!$L35)="x",IF(AND(SUMIF(Capacity_Resource,$D23,'Critical resources (hide)'!AR$6:AR$105)+SUMIF(Capacity_Resource,$E23,'Critical resources (hide)'!AR$6:AR$105)+SUMIF(Capacity_Resource,$F23,'Critical resources (hide)'!AR$6:AR$105)&gt;0,$E$1=2),0,1),0)</f>
        <v>1</v>
      </c>
      <c r="AF23" s="67">
        <f ca="1">IF(LOWER(Capacity!$L35)="x",IF(AND(SUMIF(Capacity_Resource,$D23,'Critical resources (hide)'!AS$6:AS$105)+SUMIF(Capacity_Resource,$E23,'Critical resources (hide)'!AS$6:AS$105)+SUMIF(Capacity_Resource,$F23,'Critical resources (hide)'!AS$6:AS$105)&gt;0,$E$1=2),0,1),0)</f>
        <v>1</v>
      </c>
      <c r="AG23" s="67">
        <f ca="1">IF(LOWER(Capacity!$L35)="x",IF(AND(SUMIF(Capacity_Resource,$D23,'Critical resources (hide)'!AT$6:AT$105)+SUMIF(Capacity_Resource,$E23,'Critical resources (hide)'!AT$6:AT$105)+SUMIF(Capacity_Resource,$F23,'Critical resources (hide)'!AT$6:AT$105)&gt;0,$E$1=2),0,1),0)</f>
        <v>1</v>
      </c>
      <c r="AH23" s="67">
        <f ca="1">IF(LOWER(Capacity!$L35)="x",IF(AND(SUMIF(Capacity_Resource,$D23,'Critical resources (hide)'!AU$6:AU$105)+SUMIF(Capacity_Resource,$E23,'Critical resources (hide)'!AU$6:AU$105)+SUMIF(Capacity_Resource,$F23,'Critical resources (hide)'!AU$6:AU$105)&gt;0,$E$1=2),0,1),0)</f>
        <v>1</v>
      </c>
      <c r="AI23" s="67">
        <f ca="1">IF(LOWER(Capacity!$L35)="x",IF(AND(SUMIF(Capacity_Resource,$D23,'Critical resources (hide)'!AV$6:AV$105)+SUMIF(Capacity_Resource,$E23,'Critical resources (hide)'!AV$6:AV$105)+SUMIF(Capacity_Resource,$F23,'Critical resources (hide)'!AV$6:AV$105)&gt;0,$E$1=2),0,1),0)</f>
        <v>1</v>
      </c>
      <c r="AJ23" s="67">
        <f ca="1">IF(LOWER(Capacity!$L35)="x",IF(AND(SUMIF(Capacity_Resource,$D23,'Critical resources (hide)'!AW$6:AW$105)+SUMIF(Capacity_Resource,$E23,'Critical resources (hide)'!AW$6:AW$105)+SUMIF(Capacity_Resource,$F23,'Critical resources (hide)'!AW$6:AW$105)&gt;0,$E$1=2),0,1),0)</f>
        <v>1</v>
      </c>
      <c r="AK23" s="67">
        <f ca="1">IF(LOWER(Capacity!$L35)="x",IF(AND(SUMIF(Capacity_Resource,$D23,'Critical resources (hide)'!AX$6:AX$105)+SUMIF(Capacity_Resource,$E23,'Critical resources (hide)'!AX$6:AX$105)+SUMIF(Capacity_Resource,$F23,'Critical resources (hide)'!AX$6:AX$105)&gt;0,$E$1=2),0,1),0)</f>
        <v>1</v>
      </c>
      <c r="AL23" s="67">
        <f ca="1">IF(LOWER(Capacity!$L35)="x",IF(AND(SUMIF(Capacity_Resource,$D23,'Critical resources (hide)'!AY$6:AY$105)+SUMIF(Capacity_Resource,$E23,'Critical resources (hide)'!AY$6:AY$105)+SUMIF(Capacity_Resource,$F23,'Critical resources (hide)'!AY$6:AY$105)&gt;0,$E$1=2),0,1),0)</f>
        <v>1</v>
      </c>
      <c r="AM23" s="67">
        <f ca="1">IF(LOWER(Capacity!$L35)="x",IF(AND(SUMIF(Capacity_Resource,$D23,'Critical resources (hide)'!AZ$6:AZ$105)+SUMIF(Capacity_Resource,$E23,'Critical resources (hide)'!AZ$6:AZ$105)+SUMIF(Capacity_Resource,$F23,'Critical resources (hide)'!AZ$6:AZ$105)&gt;0,$E$1=2),0,1),0)</f>
        <v>1</v>
      </c>
      <c r="AN23" s="67">
        <f ca="1">IF(LOWER(Capacity!$L35)="x",IF(AND(SUMIF(Capacity_Resource,$D23,'Critical resources (hide)'!BA$6:BA$105)+SUMIF(Capacity_Resource,$E23,'Critical resources (hide)'!BA$6:BA$105)+SUMIF(Capacity_Resource,$F23,'Critical resources (hide)'!BA$6:BA$105)&gt;0,$E$1=2),0,1),0)</f>
        <v>1</v>
      </c>
      <c r="AO23" s="67">
        <f ca="1">IF(LOWER(Capacity!$L35)="x",IF(AND(SUMIF(Capacity_Resource,$D23,'Critical resources (hide)'!BB$6:BB$105)+SUMIF(Capacity_Resource,$E23,'Critical resources (hide)'!BB$6:BB$105)+SUMIF(Capacity_Resource,$F23,'Critical resources (hide)'!BB$6:BB$105)&gt;0,$E$1=2),0,1),0)</f>
        <v>1</v>
      </c>
      <c r="AP23" s="67">
        <f ca="1">IF(LOWER(Capacity!$L35)="x",IF(AND(SUMIF(Capacity_Resource,$D23,'Critical resources (hide)'!BC$6:BC$105)+SUMIF(Capacity_Resource,$E23,'Critical resources (hide)'!BC$6:BC$105)+SUMIF(Capacity_Resource,$F23,'Critical resources (hide)'!BC$6:BC$105)&gt;0,$E$1=2),0,1),0)</f>
        <v>1</v>
      </c>
      <c r="AQ23" s="67">
        <f ca="1">IF(LOWER(Capacity!$L35)="x",IF(AND(SUMIF(Capacity_Resource,$D23,'Critical resources (hide)'!BD$6:BD$105)+SUMIF(Capacity_Resource,$E23,'Critical resources (hide)'!BD$6:BD$105)+SUMIF(Capacity_Resource,$F23,'Critical resources (hide)'!BD$6:BD$105)&gt;0,$E$1=2),0,1),0)</f>
        <v>1</v>
      </c>
      <c r="AR23" s="67">
        <f ca="1">IF(LOWER(Capacity!$L35)="x",IF(AND(SUMIF(Capacity_Resource,$D23,'Critical resources (hide)'!BE$6:BE$105)+SUMIF(Capacity_Resource,$E23,'Critical resources (hide)'!BE$6:BE$105)+SUMIF(Capacity_Resource,$F23,'Critical resources (hide)'!BE$6:BE$105)&gt;0,$E$1=2),0,1),0)</f>
        <v>1</v>
      </c>
      <c r="AS23" s="67">
        <f ca="1">IF(LOWER(Capacity!$L35)="x",IF(AND(SUMIF(Capacity_Resource,$D23,'Critical resources (hide)'!BF$6:BF$105)+SUMIF(Capacity_Resource,$E23,'Critical resources (hide)'!BF$6:BF$105)+SUMIF(Capacity_Resource,$F23,'Critical resources (hide)'!BF$6:BF$105)&gt;0,$E$1=2),0,1),0)</f>
        <v>1</v>
      </c>
      <c r="AT23" s="67">
        <f ca="1">IF(LOWER(Capacity!$L35)="x",IF(AND(SUMIF(Capacity_Resource,$D23,'Critical resources (hide)'!BG$6:BG$105)+SUMIF(Capacity_Resource,$E23,'Critical resources (hide)'!BG$6:BG$105)+SUMIF(Capacity_Resource,$F23,'Critical resources (hide)'!BG$6:BG$105)&gt;0,$E$1=2),0,1),0)</f>
        <v>1</v>
      </c>
      <c r="AU23" s="67">
        <f ca="1">IF(LOWER(Capacity!$L35)="x",IF(AND(SUMIF(Capacity_Resource,$D23,'Critical resources (hide)'!BH$6:BH$105)+SUMIF(Capacity_Resource,$E23,'Critical resources (hide)'!BH$6:BH$105)+SUMIF(Capacity_Resource,$F23,'Critical resources (hide)'!BH$6:BH$105)&gt;0,$E$1=2),0,1),0)</f>
        <v>1</v>
      </c>
      <c r="AV23" s="67">
        <f ca="1">IF(LOWER(Capacity!$L35)="x",IF(AND(SUMIF(Capacity_Resource,$D23,'Critical resources (hide)'!BI$6:BI$105)+SUMIF(Capacity_Resource,$E23,'Critical resources (hide)'!BI$6:BI$105)+SUMIF(Capacity_Resource,$F23,'Critical resources (hide)'!BI$6:BI$105)&gt;0,$E$1=2),0,1),0)</f>
        <v>1</v>
      </c>
      <c r="AW23" s="67">
        <f ca="1">IF(LOWER(Capacity!$L35)="x",IF(AND(SUMIF(Capacity_Resource,$D23,'Critical resources (hide)'!BJ$6:BJ$105)+SUMIF(Capacity_Resource,$E23,'Critical resources (hide)'!BJ$6:BJ$105)+SUMIF(Capacity_Resource,$F23,'Critical resources (hide)'!BJ$6:BJ$105)&gt;0,$E$1=2),0,1),0)</f>
        <v>1</v>
      </c>
      <c r="AX23" s="67">
        <f ca="1">IF(LOWER(Capacity!$L35)="x",IF(AND(SUMIF(Capacity_Resource,$D23,'Critical resources (hide)'!BK$6:BK$105)+SUMIF(Capacity_Resource,$E23,'Critical resources (hide)'!BK$6:BK$105)+SUMIF(Capacity_Resource,$F23,'Critical resources (hide)'!BK$6:BK$105)&gt;0,$E$1=2),0,1),0)</f>
        <v>1</v>
      </c>
      <c r="AY23" s="67">
        <f ca="1">IF(LOWER(Capacity!$L35)="x",IF(AND(SUMIF(Capacity_Resource,$D23,'Critical resources (hide)'!BL$6:BL$105)+SUMIF(Capacity_Resource,$E23,'Critical resources (hide)'!BL$6:BL$105)+SUMIF(Capacity_Resource,$F23,'Critical resources (hide)'!BL$6:BL$105)&gt;0,$E$1=2),0,1),0)</f>
        <v>1</v>
      </c>
      <c r="AZ23" s="67">
        <f ca="1">IF(LOWER(Capacity!$L35)="x",IF(AND(SUMIF(Capacity_Resource,$D23,'Critical resources (hide)'!BM$6:BM$105)+SUMIF(Capacity_Resource,$E23,'Critical resources (hide)'!BM$6:BM$105)+SUMIF(Capacity_Resource,$F23,'Critical resources (hide)'!BM$6:BM$105)&gt;0,$E$1=2),0,1),0)</f>
        <v>1</v>
      </c>
      <c r="BA23" s="67">
        <f ca="1">IF(LOWER(Capacity!$L35)="x",IF(AND(SUMIF(Capacity_Resource,$D23,'Critical resources (hide)'!BN$6:BN$105)+SUMIF(Capacity_Resource,$E23,'Critical resources (hide)'!BN$6:BN$105)+SUMIF(Capacity_Resource,$F23,'Critical resources (hide)'!BN$6:BN$105)&gt;0,$E$1=2),0,1),0)</f>
        <v>1</v>
      </c>
      <c r="BB23" s="67">
        <f ca="1">IF(LOWER(Capacity!$L35)="x",IF(AND(SUMIF(Capacity_Resource,$D23,'Critical resources (hide)'!BO$6:BO$105)+SUMIF(Capacity_Resource,$E23,'Critical resources (hide)'!BO$6:BO$105)+SUMIF(Capacity_Resource,$F23,'Critical resources (hide)'!BO$6:BO$105)&gt;0,$E$1=2),0,1),0)</f>
        <v>1</v>
      </c>
      <c r="BC23" s="67">
        <f ca="1">IF(LOWER(Capacity!$L35)="x",IF(AND(SUMIF(Capacity_Resource,$D23,'Critical resources (hide)'!BP$6:BP$105)+SUMIF(Capacity_Resource,$E23,'Critical resources (hide)'!BP$6:BP$105)+SUMIF(Capacity_Resource,$F23,'Critical resources (hide)'!BP$6:BP$105)&gt;0,$E$1=2),0,1),0)</f>
        <v>1</v>
      </c>
      <c r="BD23" s="67">
        <f ca="1">IF(LOWER(Capacity!$L35)="x",IF(AND(SUMIF(Capacity_Resource,$D23,'Critical resources (hide)'!BQ$6:BQ$105)+SUMIF(Capacity_Resource,$E23,'Critical resources (hide)'!BQ$6:BQ$105)+SUMIF(Capacity_Resource,$F23,'Critical resources (hide)'!BQ$6:BQ$105)&gt;0,$E$1=2),0,1),0)</f>
        <v>1</v>
      </c>
      <c r="BE23" s="67">
        <f ca="1">IF(LOWER(Capacity!$L35)="x",IF(AND(SUMIF(Capacity_Resource,$D23,'Critical resources (hide)'!BR$6:BR$105)+SUMIF(Capacity_Resource,$E23,'Critical resources (hide)'!BR$6:BR$105)+SUMIF(Capacity_Resource,$F23,'Critical resources (hide)'!BR$6:BR$105)&gt;0,$E$1=2),0,1),0)</f>
        <v>1</v>
      </c>
      <c r="BF23" s="67">
        <f ca="1">IF(LOWER(Capacity!$L35)="x",IF(AND(SUMIF(Capacity_Resource,$D23,'Critical resources (hide)'!BS$6:BS$105)+SUMIF(Capacity_Resource,$E23,'Critical resources (hide)'!BS$6:BS$105)+SUMIF(Capacity_Resource,$F23,'Critical resources (hide)'!BS$6:BS$105)&gt;0,$E$1=2),0,1),0)</f>
        <v>1</v>
      </c>
      <c r="BG23" s="67">
        <f ca="1">IF(LOWER(Capacity!$L35)="x",IF(AND(SUMIF(Capacity_Resource,$D23,'Critical resources (hide)'!BT$6:BT$105)+SUMIF(Capacity_Resource,$E23,'Critical resources (hide)'!BT$6:BT$105)+SUMIF(Capacity_Resource,$F23,'Critical resources (hide)'!BT$6:BT$105)&gt;0,$E$1=2),0,1),0)</f>
        <v>1</v>
      </c>
      <c r="BH23" s="67">
        <f>IF(ROW(C19)&lt;=Capacity!$A$16,IF('Capacity summary'!$D$14="No",SUM(H23:BG23),'Capacity summary'!$E142),0)</f>
        <v>0</v>
      </c>
      <c r="BI23" s="5" t="str">
        <f>IF(BH23&gt;0,IF(BH23&lt;Capacity!E35,Capacity!F35,Capacity!H35/'Capacity calculation (hide)'!BH23),"")</f>
        <v/>
      </c>
      <c r="BK23" s="311">
        <f>IF($BI23&lt;&gt;"",IF('Capacity summary'!$D$14="Yes",IF(COUNTBLANK('Capacity summary'!$H142:$BG142)&lt;52,IF('Capacity summary'!H142&lt;&gt;"",IF(LOWER('Capacity summary'!H142)="x",$BI23*H23,VALUE('Capacity summary'!H142)),0),H23*$BI23),H23*$BI23),0)</f>
        <v>0</v>
      </c>
      <c r="BL23" s="311">
        <f>IF($BI23&lt;&gt;"",IF('Capacity summary'!$D$14="Yes",IF(COUNTBLANK('Capacity summary'!$H142:$BG142)&lt;52,IF('Capacity summary'!I142&lt;&gt;"",IF(LOWER('Capacity summary'!I142)="x",$BI23*I23,VALUE('Capacity summary'!I142)),0),I23*$BI23),I23*$BI23),0)</f>
        <v>0</v>
      </c>
      <c r="BM23" s="311">
        <f>IF($BI23&lt;&gt;"",IF('Capacity summary'!$D$14="Yes",IF(COUNTBLANK('Capacity summary'!$H142:$BG142)&lt;52,IF('Capacity summary'!J142&lt;&gt;"",IF(LOWER('Capacity summary'!J142)="x",$BI23*J23,VALUE('Capacity summary'!J142)),0),J23*$BI23),J23*$BI23),0)</f>
        <v>0</v>
      </c>
      <c r="BN23" s="311">
        <f>IF($BI23&lt;&gt;"",IF('Capacity summary'!$D$14="Yes",IF(COUNTBLANK('Capacity summary'!$H142:$BG142)&lt;52,IF('Capacity summary'!K142&lt;&gt;"",IF(LOWER('Capacity summary'!K142)="x",$BI23*K23,VALUE('Capacity summary'!K142)),0),K23*$BI23),K23*$BI23),0)</f>
        <v>0</v>
      </c>
      <c r="BO23" s="311">
        <f>IF($BI23&lt;&gt;"",IF('Capacity summary'!$D$14="Yes",IF(COUNTBLANK('Capacity summary'!$H142:$BG142)&lt;52,IF('Capacity summary'!L142&lt;&gt;"",IF(LOWER('Capacity summary'!L142)="x",$BI23*L23,VALUE('Capacity summary'!L142)),0),L23*$BI23),L23*$BI23),0)</f>
        <v>0</v>
      </c>
      <c r="BP23" s="311">
        <f>IF($BI23&lt;&gt;"",IF('Capacity summary'!$D$14="Yes",IF(COUNTBLANK('Capacity summary'!$H142:$BG142)&lt;52,IF('Capacity summary'!M142&lt;&gt;"",IF(LOWER('Capacity summary'!M142)="x",$BI23*M23,VALUE('Capacity summary'!M142)),0),M23*$BI23),M23*$BI23),0)</f>
        <v>0</v>
      </c>
      <c r="BQ23" s="311">
        <f>IF($BI23&lt;&gt;"",IF('Capacity summary'!$D$14="Yes",IF(COUNTBLANK('Capacity summary'!$H142:$BG142)&lt;52,IF('Capacity summary'!N142&lt;&gt;"",IF(LOWER('Capacity summary'!N142)="x",$BI23*N23,VALUE('Capacity summary'!N142)),0),N23*$BI23),N23*$BI23),0)</f>
        <v>0</v>
      </c>
      <c r="BR23" s="311">
        <f>IF($BI23&lt;&gt;"",IF('Capacity summary'!$D$14="Yes",IF(COUNTBLANK('Capacity summary'!$H142:$BG142)&lt;52,IF('Capacity summary'!O142&lt;&gt;"",IF(LOWER('Capacity summary'!O142)="x",$BI23*O23,VALUE('Capacity summary'!O142)),0),O23*$BI23),O23*$BI23),0)</f>
        <v>0</v>
      </c>
      <c r="BS23" s="311">
        <f>IF($BI23&lt;&gt;"",IF('Capacity summary'!$D$14="Yes",IF(COUNTBLANK('Capacity summary'!$H142:$BG142)&lt;52,IF('Capacity summary'!P142&lt;&gt;"",IF(LOWER('Capacity summary'!P142)="x",$BI23*P23,VALUE('Capacity summary'!P142)),0),P23*$BI23),P23*$BI23),0)</f>
        <v>0</v>
      </c>
      <c r="BT23" s="311">
        <f>IF($BI23&lt;&gt;"",IF('Capacity summary'!$D$14="Yes",IF(COUNTBLANK('Capacity summary'!$H142:$BG142)&lt;52,IF('Capacity summary'!Q142&lt;&gt;"",IF(LOWER('Capacity summary'!Q142)="x",$BI23*Q23,VALUE('Capacity summary'!Q142)),0),Q23*$BI23),Q23*$BI23),0)</f>
        <v>0</v>
      </c>
      <c r="BU23" s="311">
        <f>IF($BI23&lt;&gt;"",IF('Capacity summary'!$D$14="Yes",IF(COUNTBLANK('Capacity summary'!$H142:$BG142)&lt;52,IF('Capacity summary'!R142&lt;&gt;"",IF(LOWER('Capacity summary'!R142)="x",$BI23*R23,VALUE('Capacity summary'!R142)),0),R23*$BI23),R23*$BI23),0)</f>
        <v>0</v>
      </c>
      <c r="BV23" s="311">
        <f>IF($BI23&lt;&gt;"",IF('Capacity summary'!$D$14="Yes",IF(COUNTBLANK('Capacity summary'!$H142:$BG142)&lt;52,IF('Capacity summary'!S142&lt;&gt;"",IF(LOWER('Capacity summary'!S142)="x",$BI23*S23,VALUE('Capacity summary'!S142)),0),S23*$BI23),S23*$BI23),0)</f>
        <v>0</v>
      </c>
      <c r="BW23" s="311">
        <f>IF($BI23&lt;&gt;"",IF('Capacity summary'!$D$14="Yes",IF(COUNTBLANK('Capacity summary'!$H142:$BG142)&lt;52,IF('Capacity summary'!T142&lt;&gt;"",IF(LOWER('Capacity summary'!T142)="x",$BI23*T23,VALUE('Capacity summary'!T142)),0),T23*$BI23),T23*$BI23),0)</f>
        <v>0</v>
      </c>
      <c r="BX23" s="311">
        <f>IF($BI23&lt;&gt;"",IF('Capacity summary'!$D$14="Yes",IF(COUNTBLANK('Capacity summary'!$H142:$BG142)&lt;52,IF('Capacity summary'!U142&lt;&gt;"",IF(LOWER('Capacity summary'!U142)="x",$BI23*U23,VALUE('Capacity summary'!U142)),0),U23*$BI23),U23*$BI23),0)</f>
        <v>0</v>
      </c>
      <c r="BY23" s="311">
        <f>IF($BI23&lt;&gt;"",IF('Capacity summary'!$D$14="Yes",IF(COUNTBLANK('Capacity summary'!$H142:$BG142)&lt;52,IF('Capacity summary'!V142&lt;&gt;"",IF(LOWER('Capacity summary'!V142)="x",$BI23*V23,VALUE('Capacity summary'!V142)),0),V23*$BI23),V23*$BI23),0)</f>
        <v>0</v>
      </c>
      <c r="BZ23" s="311">
        <f>IF($BI23&lt;&gt;"",IF('Capacity summary'!$D$14="Yes",IF(COUNTBLANK('Capacity summary'!$H142:$BG142)&lt;52,IF('Capacity summary'!W142&lt;&gt;"",IF(LOWER('Capacity summary'!W142)="x",$BI23*W23,VALUE('Capacity summary'!W142)),0),W23*$BI23),W23*$BI23),0)</f>
        <v>0</v>
      </c>
      <c r="CA23" s="311">
        <f>IF($BI23&lt;&gt;"",IF('Capacity summary'!$D$14="Yes",IF(COUNTBLANK('Capacity summary'!$H142:$BG142)&lt;52,IF('Capacity summary'!X142&lt;&gt;"",IF(LOWER('Capacity summary'!X142)="x",$BI23*X23,VALUE('Capacity summary'!X142)),0),X23*$BI23),X23*$BI23),0)</f>
        <v>0</v>
      </c>
      <c r="CB23" s="311">
        <f>IF($BI23&lt;&gt;"",IF('Capacity summary'!$D$14="Yes",IF(COUNTBLANK('Capacity summary'!$H142:$BG142)&lt;52,IF('Capacity summary'!Y142&lt;&gt;"",IF(LOWER('Capacity summary'!Y142)="x",$BI23*Y23,VALUE('Capacity summary'!Y142)),0),Y23*$BI23),Y23*$BI23),0)</f>
        <v>0</v>
      </c>
      <c r="CC23" s="311">
        <f>IF($BI23&lt;&gt;"",IF('Capacity summary'!$D$14="Yes",IF(COUNTBLANK('Capacity summary'!$H142:$BG142)&lt;52,IF('Capacity summary'!Z142&lt;&gt;"",IF(LOWER('Capacity summary'!Z142)="x",$BI23*Z23,VALUE('Capacity summary'!Z142)),0),Z23*$BI23),Z23*$BI23),0)</f>
        <v>0</v>
      </c>
      <c r="CD23" s="311">
        <f>IF($BI23&lt;&gt;"",IF('Capacity summary'!$D$14="Yes",IF(COUNTBLANK('Capacity summary'!$H142:$BG142)&lt;52,IF('Capacity summary'!AA142&lt;&gt;"",IF(LOWER('Capacity summary'!AA142)="x",$BI23*AA23,VALUE('Capacity summary'!AA142)),0),AA23*$BI23),AA23*$BI23),0)</f>
        <v>0</v>
      </c>
      <c r="CE23" s="311">
        <f>IF($BI23&lt;&gt;"",IF('Capacity summary'!$D$14="Yes",IF(COUNTBLANK('Capacity summary'!$H142:$BG142)&lt;52,IF('Capacity summary'!AB142&lt;&gt;"",IF(LOWER('Capacity summary'!AB142)="x",$BI23*AB23,VALUE('Capacity summary'!AB142)),0),AB23*$BI23),AB23*$BI23),0)</f>
        <v>0</v>
      </c>
      <c r="CF23" s="311">
        <f>IF($BI23&lt;&gt;"",IF('Capacity summary'!$D$14="Yes",IF(COUNTBLANK('Capacity summary'!$H142:$BG142)&lt;52,IF('Capacity summary'!AC142&lt;&gt;"",IF(LOWER('Capacity summary'!AC142)="x",$BI23*AC23,VALUE('Capacity summary'!AC142)),0),AC23*$BI23),AC23*$BI23),0)</f>
        <v>0</v>
      </c>
      <c r="CG23" s="311">
        <f>IF($BI23&lt;&gt;"",IF('Capacity summary'!$D$14="Yes",IF(COUNTBLANK('Capacity summary'!$H142:$BG142)&lt;52,IF('Capacity summary'!AD142&lt;&gt;"",IF(LOWER('Capacity summary'!AD142)="x",$BI23*AD23,VALUE('Capacity summary'!AD142)),0),AD23*$BI23),AD23*$BI23),0)</f>
        <v>0</v>
      </c>
      <c r="CH23" s="311">
        <f>IF($BI23&lt;&gt;"",IF('Capacity summary'!$D$14="Yes",IF(COUNTBLANK('Capacity summary'!$H142:$BG142)&lt;52,IF('Capacity summary'!AE142&lt;&gt;"",IF(LOWER('Capacity summary'!AE142)="x",$BI23*AE23,VALUE('Capacity summary'!AE142)),0),AE23*$BI23),AE23*$BI23),0)</f>
        <v>0</v>
      </c>
      <c r="CI23" s="311">
        <f>IF($BI23&lt;&gt;"",IF('Capacity summary'!$D$14="Yes",IF(COUNTBLANK('Capacity summary'!$H142:$BG142)&lt;52,IF('Capacity summary'!AF142&lt;&gt;"",IF(LOWER('Capacity summary'!AF142)="x",$BI23*AF23,VALUE('Capacity summary'!AF142)),0),AF23*$BI23),AF23*$BI23),0)</f>
        <v>0</v>
      </c>
      <c r="CJ23" s="311">
        <f>IF($BI23&lt;&gt;"",IF('Capacity summary'!$D$14="Yes",IF(COUNTBLANK('Capacity summary'!$H142:$BG142)&lt;52,IF('Capacity summary'!AG142&lt;&gt;"",IF(LOWER('Capacity summary'!AG142)="x",$BI23*AG23,VALUE('Capacity summary'!AG142)),0),AG23*$BI23),AG23*$BI23),0)</f>
        <v>0</v>
      </c>
      <c r="CK23" s="311">
        <f>IF($BI23&lt;&gt;"",IF('Capacity summary'!$D$14="Yes",IF(COUNTBLANK('Capacity summary'!$H142:$BG142)&lt;52,IF('Capacity summary'!AH142&lt;&gt;"",IF(LOWER('Capacity summary'!AH142)="x",$BI23*AH23,VALUE('Capacity summary'!AH142)),0),AH23*$BI23),AH23*$BI23),0)</f>
        <v>0</v>
      </c>
      <c r="CL23" s="311">
        <f>IF($BI23&lt;&gt;"",IF('Capacity summary'!$D$14="Yes",IF(COUNTBLANK('Capacity summary'!$H142:$BG142)&lt;52,IF('Capacity summary'!AI142&lt;&gt;"",IF(LOWER('Capacity summary'!AI142)="x",$BI23*AI23,VALUE('Capacity summary'!AI142)),0),AI23*$BI23),AI23*$BI23),0)</f>
        <v>0</v>
      </c>
      <c r="CM23" s="311">
        <f>IF($BI23&lt;&gt;"",IF('Capacity summary'!$D$14="Yes",IF(COUNTBLANK('Capacity summary'!$H142:$BG142)&lt;52,IF('Capacity summary'!AJ142&lt;&gt;"",IF(LOWER('Capacity summary'!AJ142)="x",$BI23*AJ23,VALUE('Capacity summary'!AJ142)),0),AJ23*$BI23),AJ23*$BI23),0)</f>
        <v>0</v>
      </c>
      <c r="CN23" s="311">
        <f>IF($BI23&lt;&gt;"",IF('Capacity summary'!$D$14="Yes",IF(COUNTBLANK('Capacity summary'!$H142:$BG142)&lt;52,IF('Capacity summary'!AK142&lt;&gt;"",IF(LOWER('Capacity summary'!AK142)="x",$BI23*AK23,VALUE('Capacity summary'!AK142)),0),AK23*$BI23),AK23*$BI23),0)</f>
        <v>0</v>
      </c>
      <c r="CO23" s="311">
        <f>IF($BI23&lt;&gt;"",IF('Capacity summary'!$D$14="Yes",IF(COUNTBLANK('Capacity summary'!$H142:$BG142)&lt;52,IF('Capacity summary'!AL142&lt;&gt;"",IF(LOWER('Capacity summary'!AL142)="x",$BI23*AL23,VALUE('Capacity summary'!AL142)),0),AL23*$BI23),AL23*$BI23),0)</f>
        <v>0</v>
      </c>
      <c r="CP23" s="311">
        <f>IF($BI23&lt;&gt;"",IF('Capacity summary'!$D$14="Yes",IF(COUNTBLANK('Capacity summary'!$H142:$BG142)&lt;52,IF('Capacity summary'!AM142&lt;&gt;"",IF(LOWER('Capacity summary'!AM142)="x",$BI23*AM23,VALUE('Capacity summary'!AM142)),0),AM23*$BI23),AM23*$BI23),0)</f>
        <v>0</v>
      </c>
      <c r="CQ23" s="311">
        <f>IF($BI23&lt;&gt;"",IF('Capacity summary'!$D$14="Yes",IF(COUNTBLANK('Capacity summary'!$H142:$BG142)&lt;52,IF('Capacity summary'!AN142&lt;&gt;"",IF(LOWER('Capacity summary'!AN142)="x",$BI23*AN23,VALUE('Capacity summary'!AN142)),0),AN23*$BI23),AN23*$BI23),0)</f>
        <v>0</v>
      </c>
      <c r="CR23" s="311">
        <f>IF($BI23&lt;&gt;"",IF('Capacity summary'!$D$14="Yes",IF(COUNTBLANK('Capacity summary'!$H142:$BG142)&lt;52,IF('Capacity summary'!AO142&lt;&gt;"",IF(LOWER('Capacity summary'!AO142)="x",$BI23*AO23,VALUE('Capacity summary'!AO142)),0),AO23*$BI23),AO23*$BI23),0)</f>
        <v>0</v>
      </c>
      <c r="CS23" s="311">
        <f>IF($BI23&lt;&gt;"",IF('Capacity summary'!$D$14="Yes",IF(COUNTBLANK('Capacity summary'!$H142:$BG142)&lt;52,IF('Capacity summary'!AP142&lt;&gt;"",IF(LOWER('Capacity summary'!AP142)="x",$BI23*AP23,VALUE('Capacity summary'!AP142)),0),AP23*$BI23),AP23*$BI23),0)</f>
        <v>0</v>
      </c>
      <c r="CT23" s="311">
        <f>IF($BI23&lt;&gt;"",IF('Capacity summary'!$D$14="Yes",IF(COUNTBLANK('Capacity summary'!$H142:$BG142)&lt;52,IF('Capacity summary'!AQ142&lt;&gt;"",IF(LOWER('Capacity summary'!AQ142)="x",$BI23*AQ23,VALUE('Capacity summary'!AQ142)),0),AQ23*$BI23),AQ23*$BI23),0)</f>
        <v>0</v>
      </c>
      <c r="CU23" s="311">
        <f>IF($BI23&lt;&gt;"",IF('Capacity summary'!$D$14="Yes",IF(COUNTBLANK('Capacity summary'!$H142:$BG142)&lt;52,IF('Capacity summary'!AR142&lt;&gt;"",IF(LOWER('Capacity summary'!AR142)="x",$BI23*AR23,VALUE('Capacity summary'!AR142)),0),AR23*$BI23),AR23*$BI23),0)</f>
        <v>0</v>
      </c>
      <c r="CV23" s="311">
        <f>IF($BI23&lt;&gt;"",IF('Capacity summary'!$D$14="Yes",IF(COUNTBLANK('Capacity summary'!$H142:$BG142)&lt;52,IF('Capacity summary'!AS142&lt;&gt;"",IF(LOWER('Capacity summary'!AS142)="x",$BI23*AS23,VALUE('Capacity summary'!AS142)),0),AS23*$BI23),AS23*$BI23),0)</f>
        <v>0</v>
      </c>
      <c r="CW23" s="311">
        <f>IF($BI23&lt;&gt;"",IF('Capacity summary'!$D$14="Yes",IF(COUNTBLANK('Capacity summary'!$H142:$BG142)&lt;52,IF('Capacity summary'!AT142&lt;&gt;"",IF(LOWER('Capacity summary'!AT142)="x",$BI23*AT23,VALUE('Capacity summary'!AT142)),0),AT23*$BI23),AT23*$BI23),0)</f>
        <v>0</v>
      </c>
      <c r="CX23" s="311">
        <f>IF($BI23&lt;&gt;"",IF('Capacity summary'!$D$14="Yes",IF(COUNTBLANK('Capacity summary'!$H142:$BG142)&lt;52,IF('Capacity summary'!AU142&lt;&gt;"",IF(LOWER('Capacity summary'!AU142)="x",$BI23*AU23,VALUE('Capacity summary'!AU142)),0),AU23*$BI23),AU23*$BI23),0)</f>
        <v>0</v>
      </c>
      <c r="CY23" s="311">
        <f>IF($BI23&lt;&gt;"",IF('Capacity summary'!$D$14="Yes",IF(COUNTBLANK('Capacity summary'!$H142:$BG142)&lt;52,IF('Capacity summary'!AV142&lt;&gt;"",IF(LOWER('Capacity summary'!AV142)="x",$BI23*AV23,VALUE('Capacity summary'!AV142)),0),AV23*$BI23),AV23*$BI23),0)</f>
        <v>0</v>
      </c>
      <c r="CZ23" s="311">
        <f>IF($BI23&lt;&gt;"",IF('Capacity summary'!$D$14="Yes",IF(COUNTBLANK('Capacity summary'!$H142:$BG142)&lt;52,IF('Capacity summary'!AW142&lt;&gt;"",IF(LOWER('Capacity summary'!AW142)="x",$BI23*AW23,VALUE('Capacity summary'!AW142)),0),AW23*$BI23),AW23*$BI23),0)</f>
        <v>0</v>
      </c>
      <c r="DA23" s="311">
        <f>IF($BI23&lt;&gt;"",IF('Capacity summary'!$D$14="Yes",IF(COUNTBLANK('Capacity summary'!$H142:$BG142)&lt;52,IF('Capacity summary'!AX142&lt;&gt;"",IF(LOWER('Capacity summary'!AX142)="x",$BI23*AX23,VALUE('Capacity summary'!AX142)),0),AX23*$BI23),AX23*$BI23),0)</f>
        <v>0</v>
      </c>
      <c r="DB23" s="311">
        <f>IF($BI23&lt;&gt;"",IF('Capacity summary'!$D$14="Yes",IF(COUNTBLANK('Capacity summary'!$H142:$BG142)&lt;52,IF('Capacity summary'!AY142&lt;&gt;"",IF(LOWER('Capacity summary'!AY142)="x",$BI23*AY23,VALUE('Capacity summary'!AY142)),0),AY23*$BI23),AY23*$BI23),0)</f>
        <v>0</v>
      </c>
      <c r="DC23" s="311">
        <f>IF($BI23&lt;&gt;"",IF('Capacity summary'!$D$14="Yes",IF(COUNTBLANK('Capacity summary'!$H142:$BG142)&lt;52,IF('Capacity summary'!AZ142&lt;&gt;"",IF(LOWER('Capacity summary'!AZ142)="x",$BI23*AZ23,VALUE('Capacity summary'!AZ142)),0),AZ23*$BI23),AZ23*$BI23),0)</f>
        <v>0</v>
      </c>
      <c r="DD23" s="311">
        <f>IF($BI23&lt;&gt;"",IF('Capacity summary'!$D$14="Yes",IF(COUNTBLANK('Capacity summary'!$H142:$BG142)&lt;52,IF('Capacity summary'!BA142&lt;&gt;"",IF(LOWER('Capacity summary'!BA142)="x",$BI23*BA23,VALUE('Capacity summary'!BA142)),0),BA23*$BI23),BA23*$BI23),0)</f>
        <v>0</v>
      </c>
      <c r="DE23" s="311">
        <f>IF($BI23&lt;&gt;"",IF('Capacity summary'!$D$14="Yes",IF(COUNTBLANK('Capacity summary'!$H142:$BG142)&lt;52,IF('Capacity summary'!BB142&lt;&gt;"",IF(LOWER('Capacity summary'!BB142)="x",$BI23*BB23,VALUE('Capacity summary'!BB142)),0),BB23*$BI23),BB23*$BI23),0)</f>
        <v>0</v>
      </c>
      <c r="DF23" s="311">
        <f>IF($BI23&lt;&gt;"",IF('Capacity summary'!$D$14="Yes",IF(COUNTBLANK('Capacity summary'!$H142:$BG142)&lt;52,IF('Capacity summary'!BC142&lt;&gt;"",IF(LOWER('Capacity summary'!BC142)="x",$BI23*BC23,VALUE('Capacity summary'!BC142)),0),BC23*$BI23),BC23*$BI23),0)</f>
        <v>0</v>
      </c>
      <c r="DG23" s="311">
        <f>IF($BI23&lt;&gt;"",IF('Capacity summary'!$D$14="Yes",IF(COUNTBLANK('Capacity summary'!$H142:$BG142)&lt;52,IF('Capacity summary'!BD142&lt;&gt;"",IF(LOWER('Capacity summary'!BD142)="x",$BI23*BD23,VALUE('Capacity summary'!BD142)),0),BD23*$BI23),BD23*$BI23),0)</f>
        <v>0</v>
      </c>
      <c r="DH23" s="311">
        <f>IF($BI23&lt;&gt;"",IF('Capacity summary'!$D$14="Yes",IF(COUNTBLANK('Capacity summary'!$H142:$BG142)&lt;52,IF('Capacity summary'!BE142&lt;&gt;"",IF(LOWER('Capacity summary'!BE142)="x",$BI23*BE23,VALUE('Capacity summary'!BE142)),0),BE23*$BI23),BE23*$BI23),0)</f>
        <v>0</v>
      </c>
      <c r="DI23" s="311">
        <f>IF($BI23&lt;&gt;"",IF('Capacity summary'!$D$14="Yes",IF(COUNTBLANK('Capacity summary'!$H142:$BG142)&lt;52,IF('Capacity summary'!BF142&lt;&gt;"",IF(LOWER('Capacity summary'!BF142)="x",$BI23*BF23,VALUE('Capacity summary'!BF142)),0),BF23*$BI23),BF23*$BI23),0)</f>
        <v>0</v>
      </c>
      <c r="DJ23" s="311">
        <f>IF($BI23&lt;&gt;"",IF('Capacity summary'!$D$14="Yes",IF(COUNTBLANK('Capacity summary'!$H142:$BG142)&lt;52,IF('Capacity summary'!BG142&lt;&gt;"",IF(LOWER('Capacity summary'!BG142)="x",$BI23*BG23,VALUE('Capacity summary'!BG142)),0),BG23*$BI23),BG23*$BI23),0)</f>
        <v>0</v>
      </c>
      <c r="DK23" s="391">
        <f t="shared" si="2"/>
        <v>0</v>
      </c>
      <c r="DL23" s="136">
        <f t="shared" si="3"/>
        <v>0</v>
      </c>
      <c r="DM23" s="311" t="str">
        <f>Capacity!H35</f>
        <v/>
      </c>
      <c r="DQ23" s="5"/>
    </row>
    <row r="24" spans="1:121" x14ac:dyDescent="0.2">
      <c r="A24" s="67">
        <f>IF(Capacity!L36='Capacity summary'!BI143,1,0)</f>
        <v>1</v>
      </c>
      <c r="B24" s="67">
        <f>IF(Capacity!V36='Capacity summary'!BI43,1,0)</f>
        <v>1</v>
      </c>
      <c r="C24" s="67" t="str">
        <f>ROW(A20)&amp;". "&amp;Capacity!B36</f>
        <v xml:space="preserve">20. </v>
      </c>
      <c r="D24" s="67">
        <f>'Capacity setup'!C31</f>
        <v>0</v>
      </c>
      <c r="E24" s="67">
        <f>'Capacity setup'!D31</f>
        <v>0</v>
      </c>
      <c r="F24" s="67">
        <f>'Capacity setup'!E31</f>
        <v>0</v>
      </c>
      <c r="H24" s="67">
        <f ca="1">IF(LOWER(Capacity!$L36)="x",IF(AND(SUMIF(Capacity_Resource,$D24,'Critical resources (hide)'!U$6:U$105)+SUMIF(Capacity_Resource,$E24,'Critical resources (hide)'!U$6:U$105)+SUMIF(Capacity_Resource,$F24,'Critical resources (hide)'!U$6:U$105)&gt;0,$E$1=2),0,1),0)</f>
        <v>1</v>
      </c>
      <c r="I24" s="67">
        <f ca="1">IF(LOWER(Capacity!$L36)="x",IF(AND(SUMIF(Capacity_Resource,$D24,'Critical resources (hide)'!V$6:V$105)+SUMIF(Capacity_Resource,$E24,'Critical resources (hide)'!V$6:V$105)+SUMIF(Capacity_Resource,$F24,'Critical resources (hide)'!V$6:V$105)&gt;0,$E$1=2),0,1),0)</f>
        <v>1</v>
      </c>
      <c r="J24" s="67">
        <f ca="1">IF(LOWER(Capacity!$L36)="x",IF(AND(SUMIF(Capacity_Resource,$D24,'Critical resources (hide)'!W$6:W$105)+SUMIF(Capacity_Resource,$E24,'Critical resources (hide)'!W$6:W$105)+SUMIF(Capacity_Resource,$F24,'Critical resources (hide)'!W$6:W$105)&gt;0,$E$1=2),0,1),0)</f>
        <v>1</v>
      </c>
      <c r="K24" s="67">
        <f ca="1">IF(LOWER(Capacity!$L36)="x",IF(AND(SUMIF(Capacity_Resource,$D24,'Critical resources (hide)'!X$6:X$105)+SUMIF(Capacity_Resource,$E24,'Critical resources (hide)'!X$6:X$105)+SUMIF(Capacity_Resource,$F24,'Critical resources (hide)'!X$6:X$105)&gt;0,$E$1=2),0,1),0)</f>
        <v>1</v>
      </c>
      <c r="L24" s="67">
        <f ca="1">IF(LOWER(Capacity!$L36)="x",IF(AND(SUMIF(Capacity_Resource,$D24,'Critical resources (hide)'!Y$6:Y$105)+SUMIF(Capacity_Resource,$E24,'Critical resources (hide)'!Y$6:Y$105)+SUMIF(Capacity_Resource,$F24,'Critical resources (hide)'!Y$6:Y$105)&gt;0,$E$1=2),0,1),0)</f>
        <v>1</v>
      </c>
      <c r="M24" s="67">
        <f ca="1">IF(LOWER(Capacity!$L36)="x",IF(AND(SUMIF(Capacity_Resource,$D24,'Critical resources (hide)'!Z$6:Z$105)+SUMIF(Capacity_Resource,$E24,'Critical resources (hide)'!Z$6:Z$105)+SUMIF(Capacity_Resource,$F24,'Critical resources (hide)'!Z$6:Z$105)&gt;0,$E$1=2),0,1),0)</f>
        <v>1</v>
      </c>
      <c r="N24" s="67">
        <f ca="1">IF(LOWER(Capacity!$L36)="x",IF(AND(SUMIF(Capacity_Resource,$D24,'Critical resources (hide)'!AA$6:AA$105)+SUMIF(Capacity_Resource,$E24,'Critical resources (hide)'!AA$6:AA$105)+SUMIF(Capacity_Resource,$F24,'Critical resources (hide)'!AA$6:AA$105)&gt;0,$E$1=2),0,1),0)</f>
        <v>1</v>
      </c>
      <c r="O24" s="67">
        <f ca="1">IF(LOWER(Capacity!$L36)="x",IF(AND(SUMIF(Capacity_Resource,$D24,'Critical resources (hide)'!AB$6:AB$105)+SUMIF(Capacity_Resource,$E24,'Critical resources (hide)'!AB$6:AB$105)+SUMIF(Capacity_Resource,$F24,'Critical resources (hide)'!AB$6:AB$105)&gt;0,$E$1=2),0,1),0)</f>
        <v>1</v>
      </c>
      <c r="P24" s="67">
        <f ca="1">IF(LOWER(Capacity!$L36)="x",IF(AND(SUMIF(Capacity_Resource,$D24,'Critical resources (hide)'!AC$6:AC$105)+SUMIF(Capacity_Resource,$E24,'Critical resources (hide)'!AC$6:AC$105)+SUMIF(Capacity_Resource,$F24,'Critical resources (hide)'!AC$6:AC$105)&gt;0,$E$1=2),0,1),0)</f>
        <v>1</v>
      </c>
      <c r="Q24" s="67">
        <f ca="1">IF(LOWER(Capacity!$L36)="x",IF(AND(SUMIF(Capacity_Resource,$D24,'Critical resources (hide)'!AD$6:AD$105)+SUMIF(Capacity_Resource,$E24,'Critical resources (hide)'!AD$6:AD$105)+SUMIF(Capacity_Resource,$F24,'Critical resources (hide)'!AD$6:AD$105)&gt;0,$E$1=2),0,1),0)</f>
        <v>1</v>
      </c>
      <c r="R24" s="67">
        <f ca="1">IF(LOWER(Capacity!$L36)="x",IF(AND(SUMIF(Capacity_Resource,$D24,'Critical resources (hide)'!AE$6:AE$105)+SUMIF(Capacity_Resource,$E24,'Critical resources (hide)'!AE$6:AE$105)+SUMIF(Capacity_Resource,$F24,'Critical resources (hide)'!AE$6:AE$105)&gt;0,$E$1=2),0,1),0)</f>
        <v>1</v>
      </c>
      <c r="S24" s="67">
        <f ca="1">IF(LOWER(Capacity!$L36)="x",IF(AND(SUMIF(Capacity_Resource,$D24,'Critical resources (hide)'!AF$6:AF$105)+SUMIF(Capacity_Resource,$E24,'Critical resources (hide)'!AF$6:AF$105)+SUMIF(Capacity_Resource,$F24,'Critical resources (hide)'!AF$6:AF$105)&gt;0,$E$1=2),0,1),0)</f>
        <v>1</v>
      </c>
      <c r="T24" s="67">
        <f ca="1">IF(LOWER(Capacity!$L36)="x",IF(AND(SUMIF(Capacity_Resource,$D24,'Critical resources (hide)'!AG$6:AG$105)+SUMIF(Capacity_Resource,$E24,'Critical resources (hide)'!AG$6:AG$105)+SUMIF(Capacity_Resource,$F24,'Critical resources (hide)'!AG$6:AG$105)&gt;0,$E$1=2),0,1),0)</f>
        <v>1</v>
      </c>
      <c r="U24" s="67">
        <f ca="1">IF(LOWER(Capacity!$L36)="x",IF(AND(SUMIF(Capacity_Resource,$D24,'Critical resources (hide)'!AH$6:AH$105)+SUMIF(Capacity_Resource,$E24,'Critical resources (hide)'!AH$6:AH$105)+SUMIF(Capacity_Resource,$F24,'Critical resources (hide)'!AH$6:AH$105)&gt;0,$E$1=2),0,1),0)</f>
        <v>1</v>
      </c>
      <c r="V24" s="67">
        <f ca="1">IF(LOWER(Capacity!$L36)="x",IF(AND(SUMIF(Capacity_Resource,$D24,'Critical resources (hide)'!AI$6:AI$105)+SUMIF(Capacity_Resource,$E24,'Critical resources (hide)'!AI$6:AI$105)+SUMIF(Capacity_Resource,$F24,'Critical resources (hide)'!AI$6:AI$105)&gt;0,$E$1=2),0,1),0)</f>
        <v>1</v>
      </c>
      <c r="W24" s="67">
        <f ca="1">IF(LOWER(Capacity!$L36)="x",IF(AND(SUMIF(Capacity_Resource,$D24,'Critical resources (hide)'!AJ$6:AJ$105)+SUMIF(Capacity_Resource,$E24,'Critical resources (hide)'!AJ$6:AJ$105)+SUMIF(Capacity_Resource,$F24,'Critical resources (hide)'!AJ$6:AJ$105)&gt;0,$E$1=2),0,1),0)</f>
        <v>1</v>
      </c>
      <c r="X24" s="67">
        <f ca="1">IF(LOWER(Capacity!$L36)="x",IF(AND(SUMIF(Capacity_Resource,$D24,'Critical resources (hide)'!AK$6:AK$105)+SUMIF(Capacity_Resource,$E24,'Critical resources (hide)'!AK$6:AK$105)+SUMIF(Capacity_Resource,$F24,'Critical resources (hide)'!AK$6:AK$105)&gt;0,$E$1=2),0,1),0)</f>
        <v>1</v>
      </c>
      <c r="Y24" s="67">
        <f ca="1">IF(LOWER(Capacity!$L36)="x",IF(AND(SUMIF(Capacity_Resource,$D24,'Critical resources (hide)'!AL$6:AL$105)+SUMIF(Capacity_Resource,$E24,'Critical resources (hide)'!AL$6:AL$105)+SUMIF(Capacity_Resource,$F24,'Critical resources (hide)'!AL$6:AL$105)&gt;0,$E$1=2),0,1),0)</f>
        <v>1</v>
      </c>
      <c r="Z24" s="67">
        <f ca="1">IF(LOWER(Capacity!$L36)="x",IF(AND(SUMIF(Capacity_Resource,$D24,'Critical resources (hide)'!AM$6:AM$105)+SUMIF(Capacity_Resource,$E24,'Critical resources (hide)'!AM$6:AM$105)+SUMIF(Capacity_Resource,$F24,'Critical resources (hide)'!AM$6:AM$105)&gt;0,$E$1=2),0,1),0)</f>
        <v>1</v>
      </c>
      <c r="AA24" s="67">
        <f ca="1">IF(LOWER(Capacity!$L36)="x",IF(AND(SUMIF(Capacity_Resource,$D24,'Critical resources (hide)'!AN$6:AN$105)+SUMIF(Capacity_Resource,$E24,'Critical resources (hide)'!AN$6:AN$105)+SUMIF(Capacity_Resource,$F24,'Critical resources (hide)'!AN$6:AN$105)&gt;0,$E$1=2),0,1),0)</f>
        <v>1</v>
      </c>
      <c r="AB24" s="67">
        <f ca="1">IF(LOWER(Capacity!$L36)="x",IF(AND(SUMIF(Capacity_Resource,$D24,'Critical resources (hide)'!AO$6:AO$105)+SUMIF(Capacity_Resource,$E24,'Critical resources (hide)'!AO$6:AO$105)+SUMIF(Capacity_Resource,$F24,'Critical resources (hide)'!AO$6:AO$105)&gt;0,$E$1=2),0,1),0)</f>
        <v>1</v>
      </c>
      <c r="AC24" s="67">
        <f ca="1">IF(LOWER(Capacity!$L36)="x",IF(AND(SUMIF(Capacity_Resource,$D24,'Critical resources (hide)'!AP$6:AP$105)+SUMIF(Capacity_Resource,$E24,'Critical resources (hide)'!AP$6:AP$105)+SUMIF(Capacity_Resource,$F24,'Critical resources (hide)'!AP$6:AP$105)&gt;0,$E$1=2),0,1),0)</f>
        <v>1</v>
      </c>
      <c r="AD24" s="67">
        <f ca="1">IF(LOWER(Capacity!$L36)="x",IF(AND(SUMIF(Capacity_Resource,$D24,'Critical resources (hide)'!AQ$6:AQ$105)+SUMIF(Capacity_Resource,$E24,'Critical resources (hide)'!AQ$6:AQ$105)+SUMIF(Capacity_Resource,$F24,'Critical resources (hide)'!AQ$6:AQ$105)&gt;0,$E$1=2),0,1),0)</f>
        <v>1</v>
      </c>
      <c r="AE24" s="67">
        <f ca="1">IF(LOWER(Capacity!$L36)="x",IF(AND(SUMIF(Capacity_Resource,$D24,'Critical resources (hide)'!AR$6:AR$105)+SUMIF(Capacity_Resource,$E24,'Critical resources (hide)'!AR$6:AR$105)+SUMIF(Capacity_Resource,$F24,'Critical resources (hide)'!AR$6:AR$105)&gt;0,$E$1=2),0,1),0)</f>
        <v>1</v>
      </c>
      <c r="AF24" s="67">
        <f ca="1">IF(LOWER(Capacity!$L36)="x",IF(AND(SUMIF(Capacity_Resource,$D24,'Critical resources (hide)'!AS$6:AS$105)+SUMIF(Capacity_Resource,$E24,'Critical resources (hide)'!AS$6:AS$105)+SUMIF(Capacity_Resource,$F24,'Critical resources (hide)'!AS$6:AS$105)&gt;0,$E$1=2),0,1),0)</f>
        <v>1</v>
      </c>
      <c r="AG24" s="67">
        <f ca="1">IF(LOWER(Capacity!$L36)="x",IF(AND(SUMIF(Capacity_Resource,$D24,'Critical resources (hide)'!AT$6:AT$105)+SUMIF(Capacity_Resource,$E24,'Critical resources (hide)'!AT$6:AT$105)+SUMIF(Capacity_Resource,$F24,'Critical resources (hide)'!AT$6:AT$105)&gt;0,$E$1=2),0,1),0)</f>
        <v>1</v>
      </c>
      <c r="AH24" s="67">
        <f ca="1">IF(LOWER(Capacity!$L36)="x",IF(AND(SUMIF(Capacity_Resource,$D24,'Critical resources (hide)'!AU$6:AU$105)+SUMIF(Capacity_Resource,$E24,'Critical resources (hide)'!AU$6:AU$105)+SUMIF(Capacity_Resource,$F24,'Critical resources (hide)'!AU$6:AU$105)&gt;0,$E$1=2),0,1),0)</f>
        <v>1</v>
      </c>
      <c r="AI24" s="67">
        <f ca="1">IF(LOWER(Capacity!$L36)="x",IF(AND(SUMIF(Capacity_Resource,$D24,'Critical resources (hide)'!AV$6:AV$105)+SUMIF(Capacity_Resource,$E24,'Critical resources (hide)'!AV$6:AV$105)+SUMIF(Capacity_Resource,$F24,'Critical resources (hide)'!AV$6:AV$105)&gt;0,$E$1=2),0,1),0)</f>
        <v>1</v>
      </c>
      <c r="AJ24" s="67">
        <f ca="1">IF(LOWER(Capacity!$L36)="x",IF(AND(SUMIF(Capacity_Resource,$D24,'Critical resources (hide)'!AW$6:AW$105)+SUMIF(Capacity_Resource,$E24,'Critical resources (hide)'!AW$6:AW$105)+SUMIF(Capacity_Resource,$F24,'Critical resources (hide)'!AW$6:AW$105)&gt;0,$E$1=2),0,1),0)</f>
        <v>1</v>
      </c>
      <c r="AK24" s="67">
        <f ca="1">IF(LOWER(Capacity!$L36)="x",IF(AND(SUMIF(Capacity_Resource,$D24,'Critical resources (hide)'!AX$6:AX$105)+SUMIF(Capacity_Resource,$E24,'Critical resources (hide)'!AX$6:AX$105)+SUMIF(Capacity_Resource,$F24,'Critical resources (hide)'!AX$6:AX$105)&gt;0,$E$1=2),0,1),0)</f>
        <v>1</v>
      </c>
      <c r="AL24" s="67">
        <f ca="1">IF(LOWER(Capacity!$L36)="x",IF(AND(SUMIF(Capacity_Resource,$D24,'Critical resources (hide)'!AY$6:AY$105)+SUMIF(Capacity_Resource,$E24,'Critical resources (hide)'!AY$6:AY$105)+SUMIF(Capacity_Resource,$F24,'Critical resources (hide)'!AY$6:AY$105)&gt;0,$E$1=2),0,1),0)</f>
        <v>1</v>
      </c>
      <c r="AM24" s="67">
        <f ca="1">IF(LOWER(Capacity!$L36)="x",IF(AND(SUMIF(Capacity_Resource,$D24,'Critical resources (hide)'!AZ$6:AZ$105)+SUMIF(Capacity_Resource,$E24,'Critical resources (hide)'!AZ$6:AZ$105)+SUMIF(Capacity_Resource,$F24,'Critical resources (hide)'!AZ$6:AZ$105)&gt;0,$E$1=2),0,1),0)</f>
        <v>1</v>
      </c>
      <c r="AN24" s="67">
        <f ca="1">IF(LOWER(Capacity!$L36)="x",IF(AND(SUMIF(Capacity_Resource,$D24,'Critical resources (hide)'!BA$6:BA$105)+SUMIF(Capacity_Resource,$E24,'Critical resources (hide)'!BA$6:BA$105)+SUMIF(Capacity_Resource,$F24,'Critical resources (hide)'!BA$6:BA$105)&gt;0,$E$1=2),0,1),0)</f>
        <v>1</v>
      </c>
      <c r="AO24" s="67">
        <f ca="1">IF(LOWER(Capacity!$L36)="x",IF(AND(SUMIF(Capacity_Resource,$D24,'Critical resources (hide)'!BB$6:BB$105)+SUMIF(Capacity_Resource,$E24,'Critical resources (hide)'!BB$6:BB$105)+SUMIF(Capacity_Resource,$F24,'Critical resources (hide)'!BB$6:BB$105)&gt;0,$E$1=2),0,1),0)</f>
        <v>1</v>
      </c>
      <c r="AP24" s="67">
        <f ca="1">IF(LOWER(Capacity!$L36)="x",IF(AND(SUMIF(Capacity_Resource,$D24,'Critical resources (hide)'!BC$6:BC$105)+SUMIF(Capacity_Resource,$E24,'Critical resources (hide)'!BC$6:BC$105)+SUMIF(Capacity_Resource,$F24,'Critical resources (hide)'!BC$6:BC$105)&gt;0,$E$1=2),0,1),0)</f>
        <v>1</v>
      </c>
      <c r="AQ24" s="67">
        <f ca="1">IF(LOWER(Capacity!$L36)="x",IF(AND(SUMIF(Capacity_Resource,$D24,'Critical resources (hide)'!BD$6:BD$105)+SUMIF(Capacity_Resource,$E24,'Critical resources (hide)'!BD$6:BD$105)+SUMIF(Capacity_Resource,$F24,'Critical resources (hide)'!BD$6:BD$105)&gt;0,$E$1=2),0,1),0)</f>
        <v>1</v>
      </c>
      <c r="AR24" s="67">
        <f ca="1">IF(LOWER(Capacity!$L36)="x",IF(AND(SUMIF(Capacity_Resource,$D24,'Critical resources (hide)'!BE$6:BE$105)+SUMIF(Capacity_Resource,$E24,'Critical resources (hide)'!BE$6:BE$105)+SUMIF(Capacity_Resource,$F24,'Critical resources (hide)'!BE$6:BE$105)&gt;0,$E$1=2),0,1),0)</f>
        <v>1</v>
      </c>
      <c r="AS24" s="67">
        <f ca="1">IF(LOWER(Capacity!$L36)="x",IF(AND(SUMIF(Capacity_Resource,$D24,'Critical resources (hide)'!BF$6:BF$105)+SUMIF(Capacity_Resource,$E24,'Critical resources (hide)'!BF$6:BF$105)+SUMIF(Capacity_Resource,$F24,'Critical resources (hide)'!BF$6:BF$105)&gt;0,$E$1=2),0,1),0)</f>
        <v>1</v>
      </c>
      <c r="AT24" s="67">
        <f ca="1">IF(LOWER(Capacity!$L36)="x",IF(AND(SUMIF(Capacity_Resource,$D24,'Critical resources (hide)'!BG$6:BG$105)+SUMIF(Capacity_Resource,$E24,'Critical resources (hide)'!BG$6:BG$105)+SUMIF(Capacity_Resource,$F24,'Critical resources (hide)'!BG$6:BG$105)&gt;0,$E$1=2),0,1),0)</f>
        <v>1</v>
      </c>
      <c r="AU24" s="67">
        <f ca="1">IF(LOWER(Capacity!$L36)="x",IF(AND(SUMIF(Capacity_Resource,$D24,'Critical resources (hide)'!BH$6:BH$105)+SUMIF(Capacity_Resource,$E24,'Critical resources (hide)'!BH$6:BH$105)+SUMIF(Capacity_Resource,$F24,'Critical resources (hide)'!BH$6:BH$105)&gt;0,$E$1=2),0,1),0)</f>
        <v>1</v>
      </c>
      <c r="AV24" s="67">
        <f ca="1">IF(LOWER(Capacity!$L36)="x",IF(AND(SUMIF(Capacity_Resource,$D24,'Critical resources (hide)'!BI$6:BI$105)+SUMIF(Capacity_Resource,$E24,'Critical resources (hide)'!BI$6:BI$105)+SUMIF(Capacity_Resource,$F24,'Critical resources (hide)'!BI$6:BI$105)&gt;0,$E$1=2),0,1),0)</f>
        <v>1</v>
      </c>
      <c r="AW24" s="67">
        <f ca="1">IF(LOWER(Capacity!$L36)="x",IF(AND(SUMIF(Capacity_Resource,$D24,'Critical resources (hide)'!BJ$6:BJ$105)+SUMIF(Capacity_Resource,$E24,'Critical resources (hide)'!BJ$6:BJ$105)+SUMIF(Capacity_Resource,$F24,'Critical resources (hide)'!BJ$6:BJ$105)&gt;0,$E$1=2),0,1),0)</f>
        <v>1</v>
      </c>
      <c r="AX24" s="67">
        <f ca="1">IF(LOWER(Capacity!$L36)="x",IF(AND(SUMIF(Capacity_Resource,$D24,'Critical resources (hide)'!BK$6:BK$105)+SUMIF(Capacity_Resource,$E24,'Critical resources (hide)'!BK$6:BK$105)+SUMIF(Capacity_Resource,$F24,'Critical resources (hide)'!BK$6:BK$105)&gt;0,$E$1=2),0,1),0)</f>
        <v>1</v>
      </c>
      <c r="AY24" s="67">
        <f ca="1">IF(LOWER(Capacity!$L36)="x",IF(AND(SUMIF(Capacity_Resource,$D24,'Critical resources (hide)'!BL$6:BL$105)+SUMIF(Capacity_Resource,$E24,'Critical resources (hide)'!BL$6:BL$105)+SUMIF(Capacity_Resource,$F24,'Critical resources (hide)'!BL$6:BL$105)&gt;0,$E$1=2),0,1),0)</f>
        <v>1</v>
      </c>
      <c r="AZ24" s="67">
        <f ca="1">IF(LOWER(Capacity!$L36)="x",IF(AND(SUMIF(Capacity_Resource,$D24,'Critical resources (hide)'!BM$6:BM$105)+SUMIF(Capacity_Resource,$E24,'Critical resources (hide)'!BM$6:BM$105)+SUMIF(Capacity_Resource,$F24,'Critical resources (hide)'!BM$6:BM$105)&gt;0,$E$1=2),0,1),0)</f>
        <v>1</v>
      </c>
      <c r="BA24" s="67">
        <f ca="1">IF(LOWER(Capacity!$L36)="x",IF(AND(SUMIF(Capacity_Resource,$D24,'Critical resources (hide)'!BN$6:BN$105)+SUMIF(Capacity_Resource,$E24,'Critical resources (hide)'!BN$6:BN$105)+SUMIF(Capacity_Resource,$F24,'Critical resources (hide)'!BN$6:BN$105)&gt;0,$E$1=2),0,1),0)</f>
        <v>1</v>
      </c>
      <c r="BB24" s="67">
        <f ca="1">IF(LOWER(Capacity!$L36)="x",IF(AND(SUMIF(Capacity_Resource,$D24,'Critical resources (hide)'!BO$6:BO$105)+SUMIF(Capacity_Resource,$E24,'Critical resources (hide)'!BO$6:BO$105)+SUMIF(Capacity_Resource,$F24,'Critical resources (hide)'!BO$6:BO$105)&gt;0,$E$1=2),0,1),0)</f>
        <v>1</v>
      </c>
      <c r="BC24" s="67">
        <f ca="1">IF(LOWER(Capacity!$L36)="x",IF(AND(SUMIF(Capacity_Resource,$D24,'Critical resources (hide)'!BP$6:BP$105)+SUMIF(Capacity_Resource,$E24,'Critical resources (hide)'!BP$6:BP$105)+SUMIF(Capacity_Resource,$F24,'Critical resources (hide)'!BP$6:BP$105)&gt;0,$E$1=2),0,1),0)</f>
        <v>1</v>
      </c>
      <c r="BD24" s="67">
        <f ca="1">IF(LOWER(Capacity!$L36)="x",IF(AND(SUMIF(Capacity_Resource,$D24,'Critical resources (hide)'!BQ$6:BQ$105)+SUMIF(Capacity_Resource,$E24,'Critical resources (hide)'!BQ$6:BQ$105)+SUMIF(Capacity_Resource,$F24,'Critical resources (hide)'!BQ$6:BQ$105)&gt;0,$E$1=2),0,1),0)</f>
        <v>1</v>
      </c>
      <c r="BE24" s="67">
        <f ca="1">IF(LOWER(Capacity!$L36)="x",IF(AND(SUMIF(Capacity_Resource,$D24,'Critical resources (hide)'!BR$6:BR$105)+SUMIF(Capacity_Resource,$E24,'Critical resources (hide)'!BR$6:BR$105)+SUMIF(Capacity_Resource,$F24,'Critical resources (hide)'!BR$6:BR$105)&gt;0,$E$1=2),0,1),0)</f>
        <v>1</v>
      </c>
      <c r="BF24" s="67">
        <f ca="1">IF(LOWER(Capacity!$L36)="x",IF(AND(SUMIF(Capacity_Resource,$D24,'Critical resources (hide)'!BS$6:BS$105)+SUMIF(Capacity_Resource,$E24,'Critical resources (hide)'!BS$6:BS$105)+SUMIF(Capacity_Resource,$F24,'Critical resources (hide)'!BS$6:BS$105)&gt;0,$E$1=2),0,1),0)</f>
        <v>1</v>
      </c>
      <c r="BG24" s="67">
        <f ca="1">IF(LOWER(Capacity!$L36)="x",IF(AND(SUMIF(Capacity_Resource,$D24,'Critical resources (hide)'!BT$6:BT$105)+SUMIF(Capacity_Resource,$E24,'Critical resources (hide)'!BT$6:BT$105)+SUMIF(Capacity_Resource,$F24,'Critical resources (hide)'!BT$6:BT$105)&gt;0,$E$1=2),0,1),0)</f>
        <v>1</v>
      </c>
      <c r="BH24" s="67">
        <f>IF(ROW(C20)&lt;=Capacity!$A$16,IF('Capacity summary'!$D$14="No",SUM(H24:BG24),'Capacity summary'!$E143),0)</f>
        <v>0</v>
      </c>
      <c r="BI24" s="5" t="str">
        <f>IF(BH24&gt;0,IF(BH24&lt;Capacity!E36,Capacity!F36,Capacity!H36/'Capacity calculation (hide)'!BH24),"")</f>
        <v/>
      </c>
      <c r="BK24" s="311">
        <f>IF($BI24&lt;&gt;"",IF('Capacity summary'!$D$14="Yes",IF(COUNTBLANK('Capacity summary'!$H143:$BG143)&lt;52,IF('Capacity summary'!H143&lt;&gt;"",IF(LOWER('Capacity summary'!H143)="x",$BI24*H24,VALUE('Capacity summary'!H143)),0),H24*$BI24),H24*$BI24),0)</f>
        <v>0</v>
      </c>
      <c r="BL24" s="311">
        <f>IF($BI24&lt;&gt;"",IF('Capacity summary'!$D$14="Yes",IF(COUNTBLANK('Capacity summary'!$H143:$BG143)&lt;52,IF('Capacity summary'!I143&lt;&gt;"",IF(LOWER('Capacity summary'!I143)="x",$BI24*I24,VALUE('Capacity summary'!I143)),0),I24*$BI24),I24*$BI24),0)</f>
        <v>0</v>
      </c>
      <c r="BM24" s="311">
        <f>IF($BI24&lt;&gt;"",IF('Capacity summary'!$D$14="Yes",IF(COUNTBLANK('Capacity summary'!$H143:$BG143)&lt;52,IF('Capacity summary'!J143&lt;&gt;"",IF(LOWER('Capacity summary'!J143)="x",$BI24*J24,VALUE('Capacity summary'!J143)),0),J24*$BI24),J24*$BI24),0)</f>
        <v>0</v>
      </c>
      <c r="BN24" s="311">
        <f>IF($BI24&lt;&gt;"",IF('Capacity summary'!$D$14="Yes",IF(COUNTBLANK('Capacity summary'!$H143:$BG143)&lt;52,IF('Capacity summary'!K143&lt;&gt;"",IF(LOWER('Capacity summary'!K143)="x",$BI24*K24,VALUE('Capacity summary'!K143)),0),K24*$BI24),K24*$BI24),0)</f>
        <v>0</v>
      </c>
      <c r="BO24" s="311">
        <f>IF($BI24&lt;&gt;"",IF('Capacity summary'!$D$14="Yes",IF(COUNTBLANK('Capacity summary'!$H143:$BG143)&lt;52,IF('Capacity summary'!L143&lt;&gt;"",IF(LOWER('Capacity summary'!L143)="x",$BI24*L24,VALUE('Capacity summary'!L143)),0),L24*$BI24),L24*$BI24),0)</f>
        <v>0</v>
      </c>
      <c r="BP24" s="311">
        <f>IF($BI24&lt;&gt;"",IF('Capacity summary'!$D$14="Yes",IF(COUNTBLANK('Capacity summary'!$H143:$BG143)&lt;52,IF('Capacity summary'!M143&lt;&gt;"",IF(LOWER('Capacity summary'!M143)="x",$BI24*M24,VALUE('Capacity summary'!M143)),0),M24*$BI24),M24*$BI24),0)</f>
        <v>0</v>
      </c>
      <c r="BQ24" s="311">
        <f>IF($BI24&lt;&gt;"",IF('Capacity summary'!$D$14="Yes",IF(COUNTBLANK('Capacity summary'!$H143:$BG143)&lt;52,IF('Capacity summary'!N143&lt;&gt;"",IF(LOWER('Capacity summary'!N143)="x",$BI24*N24,VALUE('Capacity summary'!N143)),0),N24*$BI24),N24*$BI24),0)</f>
        <v>0</v>
      </c>
      <c r="BR24" s="311">
        <f>IF($BI24&lt;&gt;"",IF('Capacity summary'!$D$14="Yes",IF(COUNTBLANK('Capacity summary'!$H143:$BG143)&lt;52,IF('Capacity summary'!O143&lt;&gt;"",IF(LOWER('Capacity summary'!O143)="x",$BI24*O24,VALUE('Capacity summary'!O143)),0),O24*$BI24),O24*$BI24),0)</f>
        <v>0</v>
      </c>
      <c r="BS24" s="311">
        <f>IF($BI24&lt;&gt;"",IF('Capacity summary'!$D$14="Yes",IF(COUNTBLANK('Capacity summary'!$H143:$BG143)&lt;52,IF('Capacity summary'!P143&lt;&gt;"",IF(LOWER('Capacity summary'!P143)="x",$BI24*P24,VALUE('Capacity summary'!P143)),0),P24*$BI24),P24*$BI24),0)</f>
        <v>0</v>
      </c>
      <c r="BT24" s="311">
        <f>IF($BI24&lt;&gt;"",IF('Capacity summary'!$D$14="Yes",IF(COUNTBLANK('Capacity summary'!$H143:$BG143)&lt;52,IF('Capacity summary'!Q143&lt;&gt;"",IF(LOWER('Capacity summary'!Q143)="x",$BI24*Q24,VALUE('Capacity summary'!Q143)),0),Q24*$BI24),Q24*$BI24),0)</f>
        <v>0</v>
      </c>
      <c r="BU24" s="311">
        <f>IF($BI24&lt;&gt;"",IF('Capacity summary'!$D$14="Yes",IF(COUNTBLANK('Capacity summary'!$H143:$BG143)&lt;52,IF('Capacity summary'!R143&lt;&gt;"",IF(LOWER('Capacity summary'!R143)="x",$BI24*R24,VALUE('Capacity summary'!R143)),0),R24*$BI24),R24*$BI24),0)</f>
        <v>0</v>
      </c>
      <c r="BV24" s="311">
        <f>IF($BI24&lt;&gt;"",IF('Capacity summary'!$D$14="Yes",IF(COUNTBLANK('Capacity summary'!$H143:$BG143)&lt;52,IF('Capacity summary'!S143&lt;&gt;"",IF(LOWER('Capacity summary'!S143)="x",$BI24*S24,VALUE('Capacity summary'!S143)),0),S24*$BI24),S24*$BI24),0)</f>
        <v>0</v>
      </c>
      <c r="BW24" s="311">
        <f>IF($BI24&lt;&gt;"",IF('Capacity summary'!$D$14="Yes",IF(COUNTBLANK('Capacity summary'!$H143:$BG143)&lt;52,IF('Capacity summary'!T143&lt;&gt;"",IF(LOWER('Capacity summary'!T143)="x",$BI24*T24,VALUE('Capacity summary'!T143)),0),T24*$BI24),T24*$BI24),0)</f>
        <v>0</v>
      </c>
      <c r="BX24" s="311">
        <f>IF($BI24&lt;&gt;"",IF('Capacity summary'!$D$14="Yes",IF(COUNTBLANK('Capacity summary'!$H143:$BG143)&lt;52,IF('Capacity summary'!U143&lt;&gt;"",IF(LOWER('Capacity summary'!U143)="x",$BI24*U24,VALUE('Capacity summary'!U143)),0),U24*$BI24),U24*$BI24),0)</f>
        <v>0</v>
      </c>
      <c r="BY24" s="311">
        <f>IF($BI24&lt;&gt;"",IF('Capacity summary'!$D$14="Yes",IF(COUNTBLANK('Capacity summary'!$H143:$BG143)&lt;52,IF('Capacity summary'!V143&lt;&gt;"",IF(LOWER('Capacity summary'!V143)="x",$BI24*V24,VALUE('Capacity summary'!V143)),0),V24*$BI24),V24*$BI24),0)</f>
        <v>0</v>
      </c>
      <c r="BZ24" s="311">
        <f>IF($BI24&lt;&gt;"",IF('Capacity summary'!$D$14="Yes",IF(COUNTBLANK('Capacity summary'!$H143:$BG143)&lt;52,IF('Capacity summary'!W143&lt;&gt;"",IF(LOWER('Capacity summary'!W143)="x",$BI24*W24,VALUE('Capacity summary'!W143)),0),W24*$BI24),W24*$BI24),0)</f>
        <v>0</v>
      </c>
      <c r="CA24" s="311">
        <f>IF($BI24&lt;&gt;"",IF('Capacity summary'!$D$14="Yes",IF(COUNTBLANK('Capacity summary'!$H143:$BG143)&lt;52,IF('Capacity summary'!X143&lt;&gt;"",IF(LOWER('Capacity summary'!X143)="x",$BI24*X24,VALUE('Capacity summary'!X143)),0),X24*$BI24),X24*$BI24),0)</f>
        <v>0</v>
      </c>
      <c r="CB24" s="311">
        <f>IF($BI24&lt;&gt;"",IF('Capacity summary'!$D$14="Yes",IF(COUNTBLANK('Capacity summary'!$H143:$BG143)&lt;52,IF('Capacity summary'!Y143&lt;&gt;"",IF(LOWER('Capacity summary'!Y143)="x",$BI24*Y24,VALUE('Capacity summary'!Y143)),0),Y24*$BI24),Y24*$BI24),0)</f>
        <v>0</v>
      </c>
      <c r="CC24" s="311">
        <f>IF($BI24&lt;&gt;"",IF('Capacity summary'!$D$14="Yes",IF(COUNTBLANK('Capacity summary'!$H143:$BG143)&lt;52,IF('Capacity summary'!Z143&lt;&gt;"",IF(LOWER('Capacity summary'!Z143)="x",$BI24*Z24,VALUE('Capacity summary'!Z143)),0),Z24*$BI24),Z24*$BI24),0)</f>
        <v>0</v>
      </c>
      <c r="CD24" s="311">
        <f>IF($BI24&lt;&gt;"",IF('Capacity summary'!$D$14="Yes",IF(COUNTBLANK('Capacity summary'!$H143:$BG143)&lt;52,IF('Capacity summary'!AA143&lt;&gt;"",IF(LOWER('Capacity summary'!AA143)="x",$BI24*AA24,VALUE('Capacity summary'!AA143)),0),AA24*$BI24),AA24*$BI24),0)</f>
        <v>0</v>
      </c>
      <c r="CE24" s="311">
        <f>IF($BI24&lt;&gt;"",IF('Capacity summary'!$D$14="Yes",IF(COUNTBLANK('Capacity summary'!$H143:$BG143)&lt;52,IF('Capacity summary'!AB143&lt;&gt;"",IF(LOWER('Capacity summary'!AB143)="x",$BI24*AB24,VALUE('Capacity summary'!AB143)),0),AB24*$BI24),AB24*$BI24),0)</f>
        <v>0</v>
      </c>
      <c r="CF24" s="311">
        <f>IF($BI24&lt;&gt;"",IF('Capacity summary'!$D$14="Yes",IF(COUNTBLANK('Capacity summary'!$H143:$BG143)&lt;52,IF('Capacity summary'!AC143&lt;&gt;"",IF(LOWER('Capacity summary'!AC143)="x",$BI24*AC24,VALUE('Capacity summary'!AC143)),0),AC24*$BI24),AC24*$BI24),0)</f>
        <v>0</v>
      </c>
      <c r="CG24" s="311">
        <f>IF($BI24&lt;&gt;"",IF('Capacity summary'!$D$14="Yes",IF(COUNTBLANK('Capacity summary'!$H143:$BG143)&lt;52,IF('Capacity summary'!AD143&lt;&gt;"",IF(LOWER('Capacity summary'!AD143)="x",$BI24*AD24,VALUE('Capacity summary'!AD143)),0),AD24*$BI24),AD24*$BI24),0)</f>
        <v>0</v>
      </c>
      <c r="CH24" s="311">
        <f>IF($BI24&lt;&gt;"",IF('Capacity summary'!$D$14="Yes",IF(COUNTBLANK('Capacity summary'!$H143:$BG143)&lt;52,IF('Capacity summary'!AE143&lt;&gt;"",IF(LOWER('Capacity summary'!AE143)="x",$BI24*AE24,VALUE('Capacity summary'!AE143)),0),AE24*$BI24),AE24*$BI24),0)</f>
        <v>0</v>
      </c>
      <c r="CI24" s="311">
        <f>IF($BI24&lt;&gt;"",IF('Capacity summary'!$D$14="Yes",IF(COUNTBLANK('Capacity summary'!$H143:$BG143)&lt;52,IF('Capacity summary'!AF143&lt;&gt;"",IF(LOWER('Capacity summary'!AF143)="x",$BI24*AF24,VALUE('Capacity summary'!AF143)),0),AF24*$BI24),AF24*$BI24),0)</f>
        <v>0</v>
      </c>
      <c r="CJ24" s="311">
        <f>IF($BI24&lt;&gt;"",IF('Capacity summary'!$D$14="Yes",IF(COUNTBLANK('Capacity summary'!$H143:$BG143)&lt;52,IF('Capacity summary'!AG143&lt;&gt;"",IF(LOWER('Capacity summary'!AG143)="x",$BI24*AG24,VALUE('Capacity summary'!AG143)),0),AG24*$BI24),AG24*$BI24),0)</f>
        <v>0</v>
      </c>
      <c r="CK24" s="311">
        <f>IF($BI24&lt;&gt;"",IF('Capacity summary'!$D$14="Yes",IF(COUNTBLANK('Capacity summary'!$H143:$BG143)&lt;52,IF('Capacity summary'!AH143&lt;&gt;"",IF(LOWER('Capacity summary'!AH143)="x",$BI24*AH24,VALUE('Capacity summary'!AH143)),0),AH24*$BI24),AH24*$BI24),0)</f>
        <v>0</v>
      </c>
      <c r="CL24" s="311">
        <f>IF($BI24&lt;&gt;"",IF('Capacity summary'!$D$14="Yes",IF(COUNTBLANK('Capacity summary'!$H143:$BG143)&lt;52,IF('Capacity summary'!AI143&lt;&gt;"",IF(LOWER('Capacity summary'!AI143)="x",$BI24*AI24,VALUE('Capacity summary'!AI143)),0),AI24*$BI24),AI24*$BI24),0)</f>
        <v>0</v>
      </c>
      <c r="CM24" s="311">
        <f>IF($BI24&lt;&gt;"",IF('Capacity summary'!$D$14="Yes",IF(COUNTBLANK('Capacity summary'!$H143:$BG143)&lt;52,IF('Capacity summary'!AJ143&lt;&gt;"",IF(LOWER('Capacity summary'!AJ143)="x",$BI24*AJ24,VALUE('Capacity summary'!AJ143)),0),AJ24*$BI24),AJ24*$BI24),0)</f>
        <v>0</v>
      </c>
      <c r="CN24" s="311">
        <f>IF($BI24&lt;&gt;"",IF('Capacity summary'!$D$14="Yes",IF(COUNTBLANK('Capacity summary'!$H143:$BG143)&lt;52,IF('Capacity summary'!AK143&lt;&gt;"",IF(LOWER('Capacity summary'!AK143)="x",$BI24*AK24,VALUE('Capacity summary'!AK143)),0),AK24*$BI24),AK24*$BI24),0)</f>
        <v>0</v>
      </c>
      <c r="CO24" s="311">
        <f>IF($BI24&lt;&gt;"",IF('Capacity summary'!$D$14="Yes",IF(COUNTBLANK('Capacity summary'!$H143:$BG143)&lt;52,IF('Capacity summary'!AL143&lt;&gt;"",IF(LOWER('Capacity summary'!AL143)="x",$BI24*AL24,VALUE('Capacity summary'!AL143)),0),AL24*$BI24),AL24*$BI24),0)</f>
        <v>0</v>
      </c>
      <c r="CP24" s="311">
        <f>IF($BI24&lt;&gt;"",IF('Capacity summary'!$D$14="Yes",IF(COUNTBLANK('Capacity summary'!$H143:$BG143)&lt;52,IF('Capacity summary'!AM143&lt;&gt;"",IF(LOWER('Capacity summary'!AM143)="x",$BI24*AM24,VALUE('Capacity summary'!AM143)),0),AM24*$BI24),AM24*$BI24),0)</f>
        <v>0</v>
      </c>
      <c r="CQ24" s="311">
        <f>IF($BI24&lt;&gt;"",IF('Capacity summary'!$D$14="Yes",IF(COUNTBLANK('Capacity summary'!$H143:$BG143)&lt;52,IF('Capacity summary'!AN143&lt;&gt;"",IF(LOWER('Capacity summary'!AN143)="x",$BI24*AN24,VALUE('Capacity summary'!AN143)),0),AN24*$BI24),AN24*$BI24),0)</f>
        <v>0</v>
      </c>
      <c r="CR24" s="311">
        <f>IF($BI24&lt;&gt;"",IF('Capacity summary'!$D$14="Yes",IF(COUNTBLANK('Capacity summary'!$H143:$BG143)&lt;52,IF('Capacity summary'!AO143&lt;&gt;"",IF(LOWER('Capacity summary'!AO143)="x",$BI24*AO24,VALUE('Capacity summary'!AO143)),0),AO24*$BI24),AO24*$BI24),0)</f>
        <v>0</v>
      </c>
      <c r="CS24" s="311">
        <f>IF($BI24&lt;&gt;"",IF('Capacity summary'!$D$14="Yes",IF(COUNTBLANK('Capacity summary'!$H143:$BG143)&lt;52,IF('Capacity summary'!AP143&lt;&gt;"",IF(LOWER('Capacity summary'!AP143)="x",$BI24*AP24,VALUE('Capacity summary'!AP143)),0),AP24*$BI24),AP24*$BI24),0)</f>
        <v>0</v>
      </c>
      <c r="CT24" s="311">
        <f>IF($BI24&lt;&gt;"",IF('Capacity summary'!$D$14="Yes",IF(COUNTBLANK('Capacity summary'!$H143:$BG143)&lt;52,IF('Capacity summary'!AQ143&lt;&gt;"",IF(LOWER('Capacity summary'!AQ143)="x",$BI24*AQ24,VALUE('Capacity summary'!AQ143)),0),AQ24*$BI24),AQ24*$BI24),0)</f>
        <v>0</v>
      </c>
      <c r="CU24" s="311">
        <f>IF($BI24&lt;&gt;"",IF('Capacity summary'!$D$14="Yes",IF(COUNTBLANK('Capacity summary'!$H143:$BG143)&lt;52,IF('Capacity summary'!AR143&lt;&gt;"",IF(LOWER('Capacity summary'!AR143)="x",$BI24*AR24,VALUE('Capacity summary'!AR143)),0),AR24*$BI24),AR24*$BI24),0)</f>
        <v>0</v>
      </c>
      <c r="CV24" s="311">
        <f>IF($BI24&lt;&gt;"",IF('Capacity summary'!$D$14="Yes",IF(COUNTBLANK('Capacity summary'!$H143:$BG143)&lt;52,IF('Capacity summary'!AS143&lt;&gt;"",IF(LOWER('Capacity summary'!AS143)="x",$BI24*AS24,VALUE('Capacity summary'!AS143)),0),AS24*$BI24),AS24*$BI24),0)</f>
        <v>0</v>
      </c>
      <c r="CW24" s="311">
        <f>IF($BI24&lt;&gt;"",IF('Capacity summary'!$D$14="Yes",IF(COUNTBLANK('Capacity summary'!$H143:$BG143)&lt;52,IF('Capacity summary'!AT143&lt;&gt;"",IF(LOWER('Capacity summary'!AT143)="x",$BI24*AT24,VALUE('Capacity summary'!AT143)),0),AT24*$BI24),AT24*$BI24),0)</f>
        <v>0</v>
      </c>
      <c r="CX24" s="311">
        <f>IF($BI24&lt;&gt;"",IF('Capacity summary'!$D$14="Yes",IF(COUNTBLANK('Capacity summary'!$H143:$BG143)&lt;52,IF('Capacity summary'!AU143&lt;&gt;"",IF(LOWER('Capacity summary'!AU143)="x",$BI24*AU24,VALUE('Capacity summary'!AU143)),0),AU24*$BI24),AU24*$BI24),0)</f>
        <v>0</v>
      </c>
      <c r="CY24" s="311">
        <f>IF($BI24&lt;&gt;"",IF('Capacity summary'!$D$14="Yes",IF(COUNTBLANK('Capacity summary'!$H143:$BG143)&lt;52,IF('Capacity summary'!AV143&lt;&gt;"",IF(LOWER('Capacity summary'!AV143)="x",$BI24*AV24,VALUE('Capacity summary'!AV143)),0),AV24*$BI24),AV24*$BI24),0)</f>
        <v>0</v>
      </c>
      <c r="CZ24" s="311">
        <f>IF($BI24&lt;&gt;"",IF('Capacity summary'!$D$14="Yes",IF(COUNTBLANK('Capacity summary'!$H143:$BG143)&lt;52,IF('Capacity summary'!AW143&lt;&gt;"",IF(LOWER('Capacity summary'!AW143)="x",$BI24*AW24,VALUE('Capacity summary'!AW143)),0),AW24*$BI24),AW24*$BI24),0)</f>
        <v>0</v>
      </c>
      <c r="DA24" s="311">
        <f>IF($BI24&lt;&gt;"",IF('Capacity summary'!$D$14="Yes",IF(COUNTBLANK('Capacity summary'!$H143:$BG143)&lt;52,IF('Capacity summary'!AX143&lt;&gt;"",IF(LOWER('Capacity summary'!AX143)="x",$BI24*AX24,VALUE('Capacity summary'!AX143)),0),AX24*$BI24),AX24*$BI24),0)</f>
        <v>0</v>
      </c>
      <c r="DB24" s="311">
        <f>IF($BI24&lt;&gt;"",IF('Capacity summary'!$D$14="Yes",IF(COUNTBLANK('Capacity summary'!$H143:$BG143)&lt;52,IF('Capacity summary'!AY143&lt;&gt;"",IF(LOWER('Capacity summary'!AY143)="x",$BI24*AY24,VALUE('Capacity summary'!AY143)),0),AY24*$BI24),AY24*$BI24),0)</f>
        <v>0</v>
      </c>
      <c r="DC24" s="311">
        <f>IF($BI24&lt;&gt;"",IF('Capacity summary'!$D$14="Yes",IF(COUNTBLANK('Capacity summary'!$H143:$BG143)&lt;52,IF('Capacity summary'!AZ143&lt;&gt;"",IF(LOWER('Capacity summary'!AZ143)="x",$BI24*AZ24,VALUE('Capacity summary'!AZ143)),0),AZ24*$BI24),AZ24*$BI24),0)</f>
        <v>0</v>
      </c>
      <c r="DD24" s="311">
        <f>IF($BI24&lt;&gt;"",IF('Capacity summary'!$D$14="Yes",IF(COUNTBLANK('Capacity summary'!$H143:$BG143)&lt;52,IF('Capacity summary'!BA143&lt;&gt;"",IF(LOWER('Capacity summary'!BA143)="x",$BI24*BA24,VALUE('Capacity summary'!BA143)),0),BA24*$BI24),BA24*$BI24),0)</f>
        <v>0</v>
      </c>
      <c r="DE24" s="311">
        <f>IF($BI24&lt;&gt;"",IF('Capacity summary'!$D$14="Yes",IF(COUNTBLANK('Capacity summary'!$H143:$BG143)&lt;52,IF('Capacity summary'!BB143&lt;&gt;"",IF(LOWER('Capacity summary'!BB143)="x",$BI24*BB24,VALUE('Capacity summary'!BB143)),0),BB24*$BI24),BB24*$BI24),0)</f>
        <v>0</v>
      </c>
      <c r="DF24" s="311">
        <f>IF($BI24&lt;&gt;"",IF('Capacity summary'!$D$14="Yes",IF(COUNTBLANK('Capacity summary'!$H143:$BG143)&lt;52,IF('Capacity summary'!BC143&lt;&gt;"",IF(LOWER('Capacity summary'!BC143)="x",$BI24*BC24,VALUE('Capacity summary'!BC143)),0),BC24*$BI24),BC24*$BI24),0)</f>
        <v>0</v>
      </c>
      <c r="DG24" s="311">
        <f>IF($BI24&lt;&gt;"",IF('Capacity summary'!$D$14="Yes",IF(COUNTBLANK('Capacity summary'!$H143:$BG143)&lt;52,IF('Capacity summary'!BD143&lt;&gt;"",IF(LOWER('Capacity summary'!BD143)="x",$BI24*BD24,VALUE('Capacity summary'!BD143)),0),BD24*$BI24),BD24*$BI24),0)</f>
        <v>0</v>
      </c>
      <c r="DH24" s="311">
        <f>IF($BI24&lt;&gt;"",IF('Capacity summary'!$D$14="Yes",IF(COUNTBLANK('Capacity summary'!$H143:$BG143)&lt;52,IF('Capacity summary'!BE143&lt;&gt;"",IF(LOWER('Capacity summary'!BE143)="x",$BI24*BE24,VALUE('Capacity summary'!BE143)),0),BE24*$BI24),BE24*$BI24),0)</f>
        <v>0</v>
      </c>
      <c r="DI24" s="311">
        <f>IF($BI24&lt;&gt;"",IF('Capacity summary'!$D$14="Yes",IF(COUNTBLANK('Capacity summary'!$H143:$BG143)&lt;52,IF('Capacity summary'!BF143&lt;&gt;"",IF(LOWER('Capacity summary'!BF143)="x",$BI24*BF24,VALUE('Capacity summary'!BF143)),0),BF24*$BI24),BF24*$BI24),0)</f>
        <v>0</v>
      </c>
      <c r="DJ24" s="311">
        <f>IF($BI24&lt;&gt;"",IF('Capacity summary'!$D$14="Yes",IF(COUNTBLANK('Capacity summary'!$H143:$BG143)&lt;52,IF('Capacity summary'!BG143&lt;&gt;"",IF(LOWER('Capacity summary'!BG143)="x",$BI24*BG24,VALUE('Capacity summary'!BG143)),0),BG24*$BI24),BG24*$BI24),0)</f>
        <v>0</v>
      </c>
      <c r="DK24" s="391">
        <f t="shared" si="2"/>
        <v>0</v>
      </c>
      <c r="DL24" s="136">
        <f t="shared" si="3"/>
        <v>0</v>
      </c>
      <c r="DM24" s="311" t="str">
        <f>Capacity!H36</f>
        <v/>
      </c>
      <c r="DQ24" s="5"/>
    </row>
    <row r="25" spans="1:121" x14ac:dyDescent="0.2">
      <c r="A25" s="67">
        <f>IF(Capacity!L37='Capacity summary'!BI144,1,0)</f>
        <v>1</v>
      </c>
      <c r="B25" s="67">
        <f>IF(Capacity!V37='Capacity summary'!BI44,1,0)</f>
        <v>1</v>
      </c>
      <c r="C25" s="67" t="str">
        <f>ROW(A21)&amp;". "&amp;Capacity!B37</f>
        <v xml:space="preserve">21. </v>
      </c>
      <c r="D25" s="67">
        <f>'Capacity setup'!C32</f>
        <v>0</v>
      </c>
      <c r="E25" s="67">
        <f>'Capacity setup'!D32</f>
        <v>0</v>
      </c>
      <c r="F25" s="67">
        <f>'Capacity setup'!E32</f>
        <v>0</v>
      </c>
      <c r="H25" s="67">
        <f ca="1">IF(LOWER(Capacity!$L37)="x",IF(AND(SUMIF(Capacity_Resource,$D25,'Critical resources (hide)'!U$6:U$105)+SUMIF(Capacity_Resource,$E25,'Critical resources (hide)'!U$6:U$105)+SUMIF(Capacity_Resource,$F25,'Critical resources (hide)'!U$6:U$105)&gt;0,$E$1=2),0,1),0)</f>
        <v>1</v>
      </c>
      <c r="I25" s="67">
        <f ca="1">IF(LOWER(Capacity!$L37)="x",IF(AND(SUMIF(Capacity_Resource,$D25,'Critical resources (hide)'!V$6:V$105)+SUMIF(Capacity_Resource,$E25,'Critical resources (hide)'!V$6:V$105)+SUMIF(Capacity_Resource,$F25,'Critical resources (hide)'!V$6:V$105)&gt;0,$E$1=2),0,1),0)</f>
        <v>1</v>
      </c>
      <c r="J25" s="67">
        <f ca="1">IF(LOWER(Capacity!$L37)="x",IF(AND(SUMIF(Capacity_Resource,$D25,'Critical resources (hide)'!W$6:W$105)+SUMIF(Capacity_Resource,$E25,'Critical resources (hide)'!W$6:W$105)+SUMIF(Capacity_Resource,$F25,'Critical resources (hide)'!W$6:W$105)&gt;0,$E$1=2),0,1),0)</f>
        <v>1</v>
      </c>
      <c r="K25" s="67">
        <f ca="1">IF(LOWER(Capacity!$L37)="x",IF(AND(SUMIF(Capacity_Resource,$D25,'Critical resources (hide)'!X$6:X$105)+SUMIF(Capacity_Resource,$E25,'Critical resources (hide)'!X$6:X$105)+SUMIF(Capacity_Resource,$F25,'Critical resources (hide)'!X$6:X$105)&gt;0,$E$1=2),0,1),0)</f>
        <v>1</v>
      </c>
      <c r="L25" s="67">
        <f ca="1">IF(LOWER(Capacity!$L37)="x",IF(AND(SUMIF(Capacity_Resource,$D25,'Critical resources (hide)'!Y$6:Y$105)+SUMIF(Capacity_Resource,$E25,'Critical resources (hide)'!Y$6:Y$105)+SUMIF(Capacity_Resource,$F25,'Critical resources (hide)'!Y$6:Y$105)&gt;0,$E$1=2),0,1),0)</f>
        <v>1</v>
      </c>
      <c r="M25" s="67">
        <f ca="1">IF(LOWER(Capacity!$L37)="x",IF(AND(SUMIF(Capacity_Resource,$D25,'Critical resources (hide)'!Z$6:Z$105)+SUMIF(Capacity_Resource,$E25,'Critical resources (hide)'!Z$6:Z$105)+SUMIF(Capacity_Resource,$F25,'Critical resources (hide)'!Z$6:Z$105)&gt;0,$E$1=2),0,1),0)</f>
        <v>1</v>
      </c>
      <c r="N25" s="67">
        <f ca="1">IF(LOWER(Capacity!$L37)="x",IF(AND(SUMIF(Capacity_Resource,$D25,'Critical resources (hide)'!AA$6:AA$105)+SUMIF(Capacity_Resource,$E25,'Critical resources (hide)'!AA$6:AA$105)+SUMIF(Capacity_Resource,$F25,'Critical resources (hide)'!AA$6:AA$105)&gt;0,$E$1=2),0,1),0)</f>
        <v>1</v>
      </c>
      <c r="O25" s="67">
        <f ca="1">IF(LOWER(Capacity!$L37)="x",IF(AND(SUMIF(Capacity_Resource,$D25,'Critical resources (hide)'!AB$6:AB$105)+SUMIF(Capacity_Resource,$E25,'Critical resources (hide)'!AB$6:AB$105)+SUMIF(Capacity_Resource,$F25,'Critical resources (hide)'!AB$6:AB$105)&gt;0,$E$1=2),0,1),0)</f>
        <v>1</v>
      </c>
      <c r="P25" s="67">
        <f ca="1">IF(LOWER(Capacity!$L37)="x",IF(AND(SUMIF(Capacity_Resource,$D25,'Critical resources (hide)'!AC$6:AC$105)+SUMIF(Capacity_Resource,$E25,'Critical resources (hide)'!AC$6:AC$105)+SUMIF(Capacity_Resource,$F25,'Critical resources (hide)'!AC$6:AC$105)&gt;0,$E$1=2),0,1),0)</f>
        <v>1</v>
      </c>
      <c r="Q25" s="67">
        <f ca="1">IF(LOWER(Capacity!$L37)="x",IF(AND(SUMIF(Capacity_Resource,$D25,'Critical resources (hide)'!AD$6:AD$105)+SUMIF(Capacity_Resource,$E25,'Critical resources (hide)'!AD$6:AD$105)+SUMIF(Capacity_Resource,$F25,'Critical resources (hide)'!AD$6:AD$105)&gt;0,$E$1=2),0,1),0)</f>
        <v>1</v>
      </c>
      <c r="R25" s="67">
        <f ca="1">IF(LOWER(Capacity!$L37)="x",IF(AND(SUMIF(Capacity_Resource,$D25,'Critical resources (hide)'!AE$6:AE$105)+SUMIF(Capacity_Resource,$E25,'Critical resources (hide)'!AE$6:AE$105)+SUMIF(Capacity_Resource,$F25,'Critical resources (hide)'!AE$6:AE$105)&gt;0,$E$1=2),0,1),0)</f>
        <v>1</v>
      </c>
      <c r="S25" s="67">
        <f ca="1">IF(LOWER(Capacity!$L37)="x",IF(AND(SUMIF(Capacity_Resource,$D25,'Critical resources (hide)'!AF$6:AF$105)+SUMIF(Capacity_Resource,$E25,'Critical resources (hide)'!AF$6:AF$105)+SUMIF(Capacity_Resource,$F25,'Critical resources (hide)'!AF$6:AF$105)&gt;0,$E$1=2),0,1),0)</f>
        <v>1</v>
      </c>
      <c r="T25" s="67">
        <f ca="1">IF(LOWER(Capacity!$L37)="x",IF(AND(SUMIF(Capacity_Resource,$D25,'Critical resources (hide)'!AG$6:AG$105)+SUMIF(Capacity_Resource,$E25,'Critical resources (hide)'!AG$6:AG$105)+SUMIF(Capacity_Resource,$F25,'Critical resources (hide)'!AG$6:AG$105)&gt;0,$E$1=2),0,1),0)</f>
        <v>1</v>
      </c>
      <c r="U25" s="67">
        <f ca="1">IF(LOWER(Capacity!$L37)="x",IF(AND(SUMIF(Capacity_Resource,$D25,'Critical resources (hide)'!AH$6:AH$105)+SUMIF(Capacity_Resource,$E25,'Critical resources (hide)'!AH$6:AH$105)+SUMIF(Capacity_Resource,$F25,'Critical resources (hide)'!AH$6:AH$105)&gt;0,$E$1=2),0,1),0)</f>
        <v>1</v>
      </c>
      <c r="V25" s="67">
        <f ca="1">IF(LOWER(Capacity!$L37)="x",IF(AND(SUMIF(Capacity_Resource,$D25,'Critical resources (hide)'!AI$6:AI$105)+SUMIF(Capacity_Resource,$E25,'Critical resources (hide)'!AI$6:AI$105)+SUMIF(Capacity_Resource,$F25,'Critical resources (hide)'!AI$6:AI$105)&gt;0,$E$1=2),0,1),0)</f>
        <v>1</v>
      </c>
      <c r="W25" s="67">
        <f ca="1">IF(LOWER(Capacity!$L37)="x",IF(AND(SUMIF(Capacity_Resource,$D25,'Critical resources (hide)'!AJ$6:AJ$105)+SUMIF(Capacity_Resource,$E25,'Critical resources (hide)'!AJ$6:AJ$105)+SUMIF(Capacity_Resource,$F25,'Critical resources (hide)'!AJ$6:AJ$105)&gt;0,$E$1=2),0,1),0)</f>
        <v>1</v>
      </c>
      <c r="X25" s="67">
        <f ca="1">IF(LOWER(Capacity!$L37)="x",IF(AND(SUMIF(Capacity_Resource,$D25,'Critical resources (hide)'!AK$6:AK$105)+SUMIF(Capacity_Resource,$E25,'Critical resources (hide)'!AK$6:AK$105)+SUMIF(Capacity_Resource,$F25,'Critical resources (hide)'!AK$6:AK$105)&gt;0,$E$1=2),0,1),0)</f>
        <v>1</v>
      </c>
      <c r="Y25" s="67">
        <f ca="1">IF(LOWER(Capacity!$L37)="x",IF(AND(SUMIF(Capacity_Resource,$D25,'Critical resources (hide)'!AL$6:AL$105)+SUMIF(Capacity_Resource,$E25,'Critical resources (hide)'!AL$6:AL$105)+SUMIF(Capacity_Resource,$F25,'Critical resources (hide)'!AL$6:AL$105)&gt;0,$E$1=2),0,1),0)</f>
        <v>1</v>
      </c>
      <c r="Z25" s="67">
        <f ca="1">IF(LOWER(Capacity!$L37)="x",IF(AND(SUMIF(Capacity_Resource,$D25,'Critical resources (hide)'!AM$6:AM$105)+SUMIF(Capacity_Resource,$E25,'Critical resources (hide)'!AM$6:AM$105)+SUMIF(Capacity_Resource,$F25,'Critical resources (hide)'!AM$6:AM$105)&gt;0,$E$1=2),0,1),0)</f>
        <v>1</v>
      </c>
      <c r="AA25" s="67">
        <f ca="1">IF(LOWER(Capacity!$L37)="x",IF(AND(SUMIF(Capacity_Resource,$D25,'Critical resources (hide)'!AN$6:AN$105)+SUMIF(Capacity_Resource,$E25,'Critical resources (hide)'!AN$6:AN$105)+SUMIF(Capacity_Resource,$F25,'Critical resources (hide)'!AN$6:AN$105)&gt;0,$E$1=2),0,1),0)</f>
        <v>1</v>
      </c>
      <c r="AB25" s="67">
        <f ca="1">IF(LOWER(Capacity!$L37)="x",IF(AND(SUMIF(Capacity_Resource,$D25,'Critical resources (hide)'!AO$6:AO$105)+SUMIF(Capacity_Resource,$E25,'Critical resources (hide)'!AO$6:AO$105)+SUMIF(Capacity_Resource,$F25,'Critical resources (hide)'!AO$6:AO$105)&gt;0,$E$1=2),0,1),0)</f>
        <v>1</v>
      </c>
      <c r="AC25" s="67">
        <f ca="1">IF(LOWER(Capacity!$L37)="x",IF(AND(SUMIF(Capacity_Resource,$D25,'Critical resources (hide)'!AP$6:AP$105)+SUMIF(Capacity_Resource,$E25,'Critical resources (hide)'!AP$6:AP$105)+SUMIF(Capacity_Resource,$F25,'Critical resources (hide)'!AP$6:AP$105)&gt;0,$E$1=2),0,1),0)</f>
        <v>1</v>
      </c>
      <c r="AD25" s="67">
        <f ca="1">IF(LOWER(Capacity!$L37)="x",IF(AND(SUMIF(Capacity_Resource,$D25,'Critical resources (hide)'!AQ$6:AQ$105)+SUMIF(Capacity_Resource,$E25,'Critical resources (hide)'!AQ$6:AQ$105)+SUMIF(Capacity_Resource,$F25,'Critical resources (hide)'!AQ$6:AQ$105)&gt;0,$E$1=2),0,1),0)</f>
        <v>1</v>
      </c>
      <c r="AE25" s="67">
        <f ca="1">IF(LOWER(Capacity!$L37)="x",IF(AND(SUMIF(Capacity_Resource,$D25,'Critical resources (hide)'!AR$6:AR$105)+SUMIF(Capacity_Resource,$E25,'Critical resources (hide)'!AR$6:AR$105)+SUMIF(Capacity_Resource,$F25,'Critical resources (hide)'!AR$6:AR$105)&gt;0,$E$1=2),0,1),0)</f>
        <v>1</v>
      </c>
      <c r="AF25" s="67">
        <f ca="1">IF(LOWER(Capacity!$L37)="x",IF(AND(SUMIF(Capacity_Resource,$D25,'Critical resources (hide)'!AS$6:AS$105)+SUMIF(Capacity_Resource,$E25,'Critical resources (hide)'!AS$6:AS$105)+SUMIF(Capacity_Resource,$F25,'Critical resources (hide)'!AS$6:AS$105)&gt;0,$E$1=2),0,1),0)</f>
        <v>1</v>
      </c>
      <c r="AG25" s="67">
        <f ca="1">IF(LOWER(Capacity!$L37)="x",IF(AND(SUMIF(Capacity_Resource,$D25,'Critical resources (hide)'!AT$6:AT$105)+SUMIF(Capacity_Resource,$E25,'Critical resources (hide)'!AT$6:AT$105)+SUMIF(Capacity_Resource,$F25,'Critical resources (hide)'!AT$6:AT$105)&gt;0,$E$1=2),0,1),0)</f>
        <v>1</v>
      </c>
      <c r="AH25" s="67">
        <f ca="1">IF(LOWER(Capacity!$L37)="x",IF(AND(SUMIF(Capacity_Resource,$D25,'Critical resources (hide)'!AU$6:AU$105)+SUMIF(Capacity_Resource,$E25,'Critical resources (hide)'!AU$6:AU$105)+SUMIF(Capacity_Resource,$F25,'Critical resources (hide)'!AU$6:AU$105)&gt;0,$E$1=2),0,1),0)</f>
        <v>1</v>
      </c>
      <c r="AI25" s="67">
        <f ca="1">IF(LOWER(Capacity!$L37)="x",IF(AND(SUMIF(Capacity_Resource,$D25,'Critical resources (hide)'!AV$6:AV$105)+SUMIF(Capacity_Resource,$E25,'Critical resources (hide)'!AV$6:AV$105)+SUMIF(Capacity_Resource,$F25,'Critical resources (hide)'!AV$6:AV$105)&gt;0,$E$1=2),0,1),0)</f>
        <v>1</v>
      </c>
      <c r="AJ25" s="67">
        <f ca="1">IF(LOWER(Capacity!$L37)="x",IF(AND(SUMIF(Capacity_Resource,$D25,'Critical resources (hide)'!AW$6:AW$105)+SUMIF(Capacity_Resource,$E25,'Critical resources (hide)'!AW$6:AW$105)+SUMIF(Capacity_Resource,$F25,'Critical resources (hide)'!AW$6:AW$105)&gt;0,$E$1=2),0,1),0)</f>
        <v>1</v>
      </c>
      <c r="AK25" s="67">
        <f ca="1">IF(LOWER(Capacity!$L37)="x",IF(AND(SUMIF(Capacity_Resource,$D25,'Critical resources (hide)'!AX$6:AX$105)+SUMIF(Capacity_Resource,$E25,'Critical resources (hide)'!AX$6:AX$105)+SUMIF(Capacity_Resource,$F25,'Critical resources (hide)'!AX$6:AX$105)&gt;0,$E$1=2),0,1),0)</f>
        <v>1</v>
      </c>
      <c r="AL25" s="67">
        <f ca="1">IF(LOWER(Capacity!$L37)="x",IF(AND(SUMIF(Capacity_Resource,$D25,'Critical resources (hide)'!AY$6:AY$105)+SUMIF(Capacity_Resource,$E25,'Critical resources (hide)'!AY$6:AY$105)+SUMIF(Capacity_Resource,$F25,'Critical resources (hide)'!AY$6:AY$105)&gt;0,$E$1=2),0,1),0)</f>
        <v>1</v>
      </c>
      <c r="AM25" s="67">
        <f ca="1">IF(LOWER(Capacity!$L37)="x",IF(AND(SUMIF(Capacity_Resource,$D25,'Critical resources (hide)'!AZ$6:AZ$105)+SUMIF(Capacity_Resource,$E25,'Critical resources (hide)'!AZ$6:AZ$105)+SUMIF(Capacity_Resource,$F25,'Critical resources (hide)'!AZ$6:AZ$105)&gt;0,$E$1=2),0,1),0)</f>
        <v>1</v>
      </c>
      <c r="AN25" s="67">
        <f ca="1">IF(LOWER(Capacity!$L37)="x",IF(AND(SUMIF(Capacity_Resource,$D25,'Critical resources (hide)'!BA$6:BA$105)+SUMIF(Capacity_Resource,$E25,'Critical resources (hide)'!BA$6:BA$105)+SUMIF(Capacity_Resource,$F25,'Critical resources (hide)'!BA$6:BA$105)&gt;0,$E$1=2),0,1),0)</f>
        <v>1</v>
      </c>
      <c r="AO25" s="67">
        <f ca="1">IF(LOWER(Capacity!$L37)="x",IF(AND(SUMIF(Capacity_Resource,$D25,'Critical resources (hide)'!BB$6:BB$105)+SUMIF(Capacity_Resource,$E25,'Critical resources (hide)'!BB$6:BB$105)+SUMIF(Capacity_Resource,$F25,'Critical resources (hide)'!BB$6:BB$105)&gt;0,$E$1=2),0,1),0)</f>
        <v>1</v>
      </c>
      <c r="AP25" s="67">
        <f ca="1">IF(LOWER(Capacity!$L37)="x",IF(AND(SUMIF(Capacity_Resource,$D25,'Critical resources (hide)'!BC$6:BC$105)+SUMIF(Capacity_Resource,$E25,'Critical resources (hide)'!BC$6:BC$105)+SUMIF(Capacity_Resource,$F25,'Critical resources (hide)'!BC$6:BC$105)&gt;0,$E$1=2),0,1),0)</f>
        <v>1</v>
      </c>
      <c r="AQ25" s="67">
        <f ca="1">IF(LOWER(Capacity!$L37)="x",IF(AND(SUMIF(Capacity_Resource,$D25,'Critical resources (hide)'!BD$6:BD$105)+SUMIF(Capacity_Resource,$E25,'Critical resources (hide)'!BD$6:BD$105)+SUMIF(Capacity_Resource,$F25,'Critical resources (hide)'!BD$6:BD$105)&gt;0,$E$1=2),0,1),0)</f>
        <v>1</v>
      </c>
      <c r="AR25" s="67">
        <f ca="1">IF(LOWER(Capacity!$L37)="x",IF(AND(SUMIF(Capacity_Resource,$D25,'Critical resources (hide)'!BE$6:BE$105)+SUMIF(Capacity_Resource,$E25,'Critical resources (hide)'!BE$6:BE$105)+SUMIF(Capacity_Resource,$F25,'Critical resources (hide)'!BE$6:BE$105)&gt;0,$E$1=2),0,1),0)</f>
        <v>1</v>
      </c>
      <c r="AS25" s="67">
        <f ca="1">IF(LOWER(Capacity!$L37)="x",IF(AND(SUMIF(Capacity_Resource,$D25,'Critical resources (hide)'!BF$6:BF$105)+SUMIF(Capacity_Resource,$E25,'Critical resources (hide)'!BF$6:BF$105)+SUMIF(Capacity_Resource,$F25,'Critical resources (hide)'!BF$6:BF$105)&gt;0,$E$1=2),0,1),0)</f>
        <v>1</v>
      </c>
      <c r="AT25" s="67">
        <f ca="1">IF(LOWER(Capacity!$L37)="x",IF(AND(SUMIF(Capacity_Resource,$D25,'Critical resources (hide)'!BG$6:BG$105)+SUMIF(Capacity_Resource,$E25,'Critical resources (hide)'!BG$6:BG$105)+SUMIF(Capacity_Resource,$F25,'Critical resources (hide)'!BG$6:BG$105)&gt;0,$E$1=2),0,1),0)</f>
        <v>1</v>
      </c>
      <c r="AU25" s="67">
        <f ca="1">IF(LOWER(Capacity!$L37)="x",IF(AND(SUMIF(Capacity_Resource,$D25,'Critical resources (hide)'!BH$6:BH$105)+SUMIF(Capacity_Resource,$E25,'Critical resources (hide)'!BH$6:BH$105)+SUMIF(Capacity_Resource,$F25,'Critical resources (hide)'!BH$6:BH$105)&gt;0,$E$1=2),0,1),0)</f>
        <v>1</v>
      </c>
      <c r="AV25" s="67">
        <f ca="1">IF(LOWER(Capacity!$L37)="x",IF(AND(SUMIF(Capacity_Resource,$D25,'Critical resources (hide)'!BI$6:BI$105)+SUMIF(Capacity_Resource,$E25,'Critical resources (hide)'!BI$6:BI$105)+SUMIF(Capacity_Resource,$F25,'Critical resources (hide)'!BI$6:BI$105)&gt;0,$E$1=2),0,1),0)</f>
        <v>1</v>
      </c>
      <c r="AW25" s="67">
        <f ca="1">IF(LOWER(Capacity!$L37)="x",IF(AND(SUMIF(Capacity_Resource,$D25,'Critical resources (hide)'!BJ$6:BJ$105)+SUMIF(Capacity_Resource,$E25,'Critical resources (hide)'!BJ$6:BJ$105)+SUMIF(Capacity_Resource,$F25,'Critical resources (hide)'!BJ$6:BJ$105)&gt;0,$E$1=2),0,1),0)</f>
        <v>1</v>
      </c>
      <c r="AX25" s="67">
        <f ca="1">IF(LOWER(Capacity!$L37)="x",IF(AND(SUMIF(Capacity_Resource,$D25,'Critical resources (hide)'!BK$6:BK$105)+SUMIF(Capacity_Resource,$E25,'Critical resources (hide)'!BK$6:BK$105)+SUMIF(Capacity_Resource,$F25,'Critical resources (hide)'!BK$6:BK$105)&gt;0,$E$1=2),0,1),0)</f>
        <v>1</v>
      </c>
      <c r="AY25" s="67">
        <f ca="1">IF(LOWER(Capacity!$L37)="x",IF(AND(SUMIF(Capacity_Resource,$D25,'Critical resources (hide)'!BL$6:BL$105)+SUMIF(Capacity_Resource,$E25,'Critical resources (hide)'!BL$6:BL$105)+SUMIF(Capacity_Resource,$F25,'Critical resources (hide)'!BL$6:BL$105)&gt;0,$E$1=2),0,1),0)</f>
        <v>1</v>
      </c>
      <c r="AZ25" s="67">
        <f ca="1">IF(LOWER(Capacity!$L37)="x",IF(AND(SUMIF(Capacity_Resource,$D25,'Critical resources (hide)'!BM$6:BM$105)+SUMIF(Capacity_Resource,$E25,'Critical resources (hide)'!BM$6:BM$105)+SUMIF(Capacity_Resource,$F25,'Critical resources (hide)'!BM$6:BM$105)&gt;0,$E$1=2),0,1),0)</f>
        <v>1</v>
      </c>
      <c r="BA25" s="67">
        <f ca="1">IF(LOWER(Capacity!$L37)="x",IF(AND(SUMIF(Capacity_Resource,$D25,'Critical resources (hide)'!BN$6:BN$105)+SUMIF(Capacity_Resource,$E25,'Critical resources (hide)'!BN$6:BN$105)+SUMIF(Capacity_Resource,$F25,'Critical resources (hide)'!BN$6:BN$105)&gt;0,$E$1=2),0,1),0)</f>
        <v>1</v>
      </c>
      <c r="BB25" s="67">
        <f ca="1">IF(LOWER(Capacity!$L37)="x",IF(AND(SUMIF(Capacity_Resource,$D25,'Critical resources (hide)'!BO$6:BO$105)+SUMIF(Capacity_Resource,$E25,'Critical resources (hide)'!BO$6:BO$105)+SUMIF(Capacity_Resource,$F25,'Critical resources (hide)'!BO$6:BO$105)&gt;0,$E$1=2),0,1),0)</f>
        <v>1</v>
      </c>
      <c r="BC25" s="67">
        <f ca="1">IF(LOWER(Capacity!$L37)="x",IF(AND(SUMIF(Capacity_Resource,$D25,'Critical resources (hide)'!BP$6:BP$105)+SUMIF(Capacity_Resource,$E25,'Critical resources (hide)'!BP$6:BP$105)+SUMIF(Capacity_Resource,$F25,'Critical resources (hide)'!BP$6:BP$105)&gt;0,$E$1=2),0,1),0)</f>
        <v>1</v>
      </c>
      <c r="BD25" s="67">
        <f ca="1">IF(LOWER(Capacity!$L37)="x",IF(AND(SUMIF(Capacity_Resource,$D25,'Critical resources (hide)'!BQ$6:BQ$105)+SUMIF(Capacity_Resource,$E25,'Critical resources (hide)'!BQ$6:BQ$105)+SUMIF(Capacity_Resource,$F25,'Critical resources (hide)'!BQ$6:BQ$105)&gt;0,$E$1=2),0,1),0)</f>
        <v>1</v>
      </c>
      <c r="BE25" s="67">
        <f ca="1">IF(LOWER(Capacity!$L37)="x",IF(AND(SUMIF(Capacity_Resource,$D25,'Critical resources (hide)'!BR$6:BR$105)+SUMIF(Capacity_Resource,$E25,'Critical resources (hide)'!BR$6:BR$105)+SUMIF(Capacity_Resource,$F25,'Critical resources (hide)'!BR$6:BR$105)&gt;0,$E$1=2),0,1),0)</f>
        <v>1</v>
      </c>
      <c r="BF25" s="67">
        <f ca="1">IF(LOWER(Capacity!$L37)="x",IF(AND(SUMIF(Capacity_Resource,$D25,'Critical resources (hide)'!BS$6:BS$105)+SUMIF(Capacity_Resource,$E25,'Critical resources (hide)'!BS$6:BS$105)+SUMIF(Capacity_Resource,$F25,'Critical resources (hide)'!BS$6:BS$105)&gt;0,$E$1=2),0,1),0)</f>
        <v>1</v>
      </c>
      <c r="BG25" s="67">
        <f ca="1">IF(LOWER(Capacity!$L37)="x",IF(AND(SUMIF(Capacity_Resource,$D25,'Critical resources (hide)'!BT$6:BT$105)+SUMIF(Capacity_Resource,$E25,'Critical resources (hide)'!BT$6:BT$105)+SUMIF(Capacity_Resource,$F25,'Critical resources (hide)'!BT$6:BT$105)&gt;0,$E$1=2),0,1),0)</f>
        <v>1</v>
      </c>
      <c r="BH25" s="67">
        <f>IF(ROW(C21)&lt;=Capacity!$A$16,IF('Capacity summary'!$D$14="No",SUM(H25:BG25),'Capacity summary'!$E144),0)</f>
        <v>0</v>
      </c>
      <c r="BI25" s="5" t="str">
        <f>IF(BH25&gt;0,IF(BH25&lt;Capacity!E37,Capacity!F37,Capacity!H37/'Capacity calculation (hide)'!BH25),"")</f>
        <v/>
      </c>
      <c r="BK25" s="311">
        <f>IF($BI25&lt;&gt;"",IF('Capacity summary'!$D$14="Yes",IF(COUNTBLANK('Capacity summary'!$H144:$BG144)&lt;52,IF('Capacity summary'!H144&lt;&gt;"",IF(LOWER('Capacity summary'!H144)="x",$BI25*H25,VALUE('Capacity summary'!H144)),0),H25*$BI25),H25*$BI25),0)</f>
        <v>0</v>
      </c>
      <c r="BL25" s="311">
        <f>IF($BI25&lt;&gt;"",IF('Capacity summary'!$D$14="Yes",IF(COUNTBLANK('Capacity summary'!$H144:$BG144)&lt;52,IF('Capacity summary'!I144&lt;&gt;"",IF(LOWER('Capacity summary'!I144)="x",$BI25*I25,VALUE('Capacity summary'!I144)),0),I25*$BI25),I25*$BI25),0)</f>
        <v>0</v>
      </c>
      <c r="BM25" s="311">
        <f>IF($BI25&lt;&gt;"",IF('Capacity summary'!$D$14="Yes",IF(COUNTBLANK('Capacity summary'!$H144:$BG144)&lt;52,IF('Capacity summary'!J144&lt;&gt;"",IF(LOWER('Capacity summary'!J144)="x",$BI25*J25,VALUE('Capacity summary'!J144)),0),J25*$BI25),J25*$BI25),0)</f>
        <v>0</v>
      </c>
      <c r="BN25" s="311">
        <f>IF($BI25&lt;&gt;"",IF('Capacity summary'!$D$14="Yes",IF(COUNTBLANK('Capacity summary'!$H144:$BG144)&lt;52,IF('Capacity summary'!K144&lt;&gt;"",IF(LOWER('Capacity summary'!K144)="x",$BI25*K25,VALUE('Capacity summary'!K144)),0),K25*$BI25),K25*$BI25),0)</f>
        <v>0</v>
      </c>
      <c r="BO25" s="311">
        <f>IF($BI25&lt;&gt;"",IF('Capacity summary'!$D$14="Yes",IF(COUNTBLANK('Capacity summary'!$H144:$BG144)&lt;52,IF('Capacity summary'!L144&lt;&gt;"",IF(LOWER('Capacity summary'!L144)="x",$BI25*L25,VALUE('Capacity summary'!L144)),0),L25*$BI25),L25*$BI25),0)</f>
        <v>0</v>
      </c>
      <c r="BP25" s="311">
        <f>IF($BI25&lt;&gt;"",IF('Capacity summary'!$D$14="Yes",IF(COUNTBLANK('Capacity summary'!$H144:$BG144)&lt;52,IF('Capacity summary'!M144&lt;&gt;"",IF(LOWER('Capacity summary'!M144)="x",$BI25*M25,VALUE('Capacity summary'!M144)),0),M25*$BI25),M25*$BI25),0)</f>
        <v>0</v>
      </c>
      <c r="BQ25" s="311">
        <f>IF($BI25&lt;&gt;"",IF('Capacity summary'!$D$14="Yes",IF(COUNTBLANK('Capacity summary'!$H144:$BG144)&lt;52,IF('Capacity summary'!N144&lt;&gt;"",IF(LOWER('Capacity summary'!N144)="x",$BI25*N25,VALUE('Capacity summary'!N144)),0),N25*$BI25),N25*$BI25),0)</f>
        <v>0</v>
      </c>
      <c r="BR25" s="311">
        <f>IF($BI25&lt;&gt;"",IF('Capacity summary'!$D$14="Yes",IF(COUNTBLANK('Capacity summary'!$H144:$BG144)&lt;52,IF('Capacity summary'!O144&lt;&gt;"",IF(LOWER('Capacity summary'!O144)="x",$BI25*O25,VALUE('Capacity summary'!O144)),0),O25*$BI25),O25*$BI25),0)</f>
        <v>0</v>
      </c>
      <c r="BS25" s="311">
        <f>IF($BI25&lt;&gt;"",IF('Capacity summary'!$D$14="Yes",IF(COUNTBLANK('Capacity summary'!$H144:$BG144)&lt;52,IF('Capacity summary'!P144&lt;&gt;"",IF(LOWER('Capacity summary'!P144)="x",$BI25*P25,VALUE('Capacity summary'!P144)),0),P25*$BI25),P25*$BI25),0)</f>
        <v>0</v>
      </c>
      <c r="BT25" s="311">
        <f>IF($BI25&lt;&gt;"",IF('Capacity summary'!$D$14="Yes",IF(COUNTBLANK('Capacity summary'!$H144:$BG144)&lt;52,IF('Capacity summary'!Q144&lt;&gt;"",IF(LOWER('Capacity summary'!Q144)="x",$BI25*Q25,VALUE('Capacity summary'!Q144)),0),Q25*$BI25),Q25*$BI25),0)</f>
        <v>0</v>
      </c>
      <c r="BU25" s="311">
        <f>IF($BI25&lt;&gt;"",IF('Capacity summary'!$D$14="Yes",IF(COUNTBLANK('Capacity summary'!$H144:$BG144)&lt;52,IF('Capacity summary'!R144&lt;&gt;"",IF(LOWER('Capacity summary'!R144)="x",$BI25*R25,VALUE('Capacity summary'!R144)),0),R25*$BI25),R25*$BI25),0)</f>
        <v>0</v>
      </c>
      <c r="BV25" s="311">
        <f>IF($BI25&lt;&gt;"",IF('Capacity summary'!$D$14="Yes",IF(COUNTBLANK('Capacity summary'!$H144:$BG144)&lt;52,IF('Capacity summary'!S144&lt;&gt;"",IF(LOWER('Capacity summary'!S144)="x",$BI25*S25,VALUE('Capacity summary'!S144)),0),S25*$BI25),S25*$BI25),0)</f>
        <v>0</v>
      </c>
      <c r="BW25" s="311">
        <f>IF($BI25&lt;&gt;"",IF('Capacity summary'!$D$14="Yes",IF(COUNTBLANK('Capacity summary'!$H144:$BG144)&lt;52,IF('Capacity summary'!T144&lt;&gt;"",IF(LOWER('Capacity summary'!T144)="x",$BI25*T25,VALUE('Capacity summary'!T144)),0),T25*$BI25),T25*$BI25),0)</f>
        <v>0</v>
      </c>
      <c r="BX25" s="311">
        <f>IF($BI25&lt;&gt;"",IF('Capacity summary'!$D$14="Yes",IF(COUNTBLANK('Capacity summary'!$H144:$BG144)&lt;52,IF('Capacity summary'!U144&lt;&gt;"",IF(LOWER('Capacity summary'!U144)="x",$BI25*U25,VALUE('Capacity summary'!U144)),0),U25*$BI25),U25*$BI25),0)</f>
        <v>0</v>
      </c>
      <c r="BY25" s="311">
        <f>IF($BI25&lt;&gt;"",IF('Capacity summary'!$D$14="Yes",IF(COUNTBLANK('Capacity summary'!$H144:$BG144)&lt;52,IF('Capacity summary'!V144&lt;&gt;"",IF(LOWER('Capacity summary'!V144)="x",$BI25*V25,VALUE('Capacity summary'!V144)),0),V25*$BI25),V25*$BI25),0)</f>
        <v>0</v>
      </c>
      <c r="BZ25" s="311">
        <f>IF($BI25&lt;&gt;"",IF('Capacity summary'!$D$14="Yes",IF(COUNTBLANK('Capacity summary'!$H144:$BG144)&lt;52,IF('Capacity summary'!W144&lt;&gt;"",IF(LOWER('Capacity summary'!W144)="x",$BI25*W25,VALUE('Capacity summary'!W144)),0),W25*$BI25),W25*$BI25),0)</f>
        <v>0</v>
      </c>
      <c r="CA25" s="311">
        <f>IF($BI25&lt;&gt;"",IF('Capacity summary'!$D$14="Yes",IF(COUNTBLANK('Capacity summary'!$H144:$BG144)&lt;52,IF('Capacity summary'!X144&lt;&gt;"",IF(LOWER('Capacity summary'!X144)="x",$BI25*X25,VALUE('Capacity summary'!X144)),0),X25*$BI25),X25*$BI25),0)</f>
        <v>0</v>
      </c>
      <c r="CB25" s="311">
        <f>IF($BI25&lt;&gt;"",IF('Capacity summary'!$D$14="Yes",IF(COUNTBLANK('Capacity summary'!$H144:$BG144)&lt;52,IF('Capacity summary'!Y144&lt;&gt;"",IF(LOWER('Capacity summary'!Y144)="x",$BI25*Y25,VALUE('Capacity summary'!Y144)),0),Y25*$BI25),Y25*$BI25),0)</f>
        <v>0</v>
      </c>
      <c r="CC25" s="311">
        <f>IF($BI25&lt;&gt;"",IF('Capacity summary'!$D$14="Yes",IF(COUNTBLANK('Capacity summary'!$H144:$BG144)&lt;52,IF('Capacity summary'!Z144&lt;&gt;"",IF(LOWER('Capacity summary'!Z144)="x",$BI25*Z25,VALUE('Capacity summary'!Z144)),0),Z25*$BI25),Z25*$BI25),0)</f>
        <v>0</v>
      </c>
      <c r="CD25" s="311">
        <f>IF($BI25&lt;&gt;"",IF('Capacity summary'!$D$14="Yes",IF(COUNTBLANK('Capacity summary'!$H144:$BG144)&lt;52,IF('Capacity summary'!AA144&lt;&gt;"",IF(LOWER('Capacity summary'!AA144)="x",$BI25*AA25,VALUE('Capacity summary'!AA144)),0),AA25*$BI25),AA25*$BI25),0)</f>
        <v>0</v>
      </c>
      <c r="CE25" s="311">
        <f>IF($BI25&lt;&gt;"",IF('Capacity summary'!$D$14="Yes",IF(COUNTBLANK('Capacity summary'!$H144:$BG144)&lt;52,IF('Capacity summary'!AB144&lt;&gt;"",IF(LOWER('Capacity summary'!AB144)="x",$BI25*AB25,VALUE('Capacity summary'!AB144)),0),AB25*$BI25),AB25*$BI25),0)</f>
        <v>0</v>
      </c>
      <c r="CF25" s="311">
        <f>IF($BI25&lt;&gt;"",IF('Capacity summary'!$D$14="Yes",IF(COUNTBLANK('Capacity summary'!$H144:$BG144)&lt;52,IF('Capacity summary'!AC144&lt;&gt;"",IF(LOWER('Capacity summary'!AC144)="x",$BI25*AC25,VALUE('Capacity summary'!AC144)),0),AC25*$BI25),AC25*$BI25),0)</f>
        <v>0</v>
      </c>
      <c r="CG25" s="311">
        <f>IF($BI25&lt;&gt;"",IF('Capacity summary'!$D$14="Yes",IF(COUNTBLANK('Capacity summary'!$H144:$BG144)&lt;52,IF('Capacity summary'!AD144&lt;&gt;"",IF(LOWER('Capacity summary'!AD144)="x",$BI25*AD25,VALUE('Capacity summary'!AD144)),0),AD25*$BI25),AD25*$BI25),0)</f>
        <v>0</v>
      </c>
      <c r="CH25" s="311">
        <f>IF($BI25&lt;&gt;"",IF('Capacity summary'!$D$14="Yes",IF(COUNTBLANK('Capacity summary'!$H144:$BG144)&lt;52,IF('Capacity summary'!AE144&lt;&gt;"",IF(LOWER('Capacity summary'!AE144)="x",$BI25*AE25,VALUE('Capacity summary'!AE144)),0),AE25*$BI25),AE25*$BI25),0)</f>
        <v>0</v>
      </c>
      <c r="CI25" s="311">
        <f>IF($BI25&lt;&gt;"",IF('Capacity summary'!$D$14="Yes",IF(COUNTBLANK('Capacity summary'!$H144:$BG144)&lt;52,IF('Capacity summary'!AF144&lt;&gt;"",IF(LOWER('Capacity summary'!AF144)="x",$BI25*AF25,VALUE('Capacity summary'!AF144)),0),AF25*$BI25),AF25*$BI25),0)</f>
        <v>0</v>
      </c>
      <c r="CJ25" s="311">
        <f>IF($BI25&lt;&gt;"",IF('Capacity summary'!$D$14="Yes",IF(COUNTBLANK('Capacity summary'!$H144:$BG144)&lt;52,IF('Capacity summary'!AG144&lt;&gt;"",IF(LOWER('Capacity summary'!AG144)="x",$BI25*AG25,VALUE('Capacity summary'!AG144)),0),AG25*$BI25),AG25*$BI25),0)</f>
        <v>0</v>
      </c>
      <c r="CK25" s="311">
        <f>IF($BI25&lt;&gt;"",IF('Capacity summary'!$D$14="Yes",IF(COUNTBLANK('Capacity summary'!$H144:$BG144)&lt;52,IF('Capacity summary'!AH144&lt;&gt;"",IF(LOWER('Capacity summary'!AH144)="x",$BI25*AH25,VALUE('Capacity summary'!AH144)),0),AH25*$BI25),AH25*$BI25),0)</f>
        <v>0</v>
      </c>
      <c r="CL25" s="311">
        <f>IF($BI25&lt;&gt;"",IF('Capacity summary'!$D$14="Yes",IF(COUNTBLANK('Capacity summary'!$H144:$BG144)&lt;52,IF('Capacity summary'!AI144&lt;&gt;"",IF(LOWER('Capacity summary'!AI144)="x",$BI25*AI25,VALUE('Capacity summary'!AI144)),0),AI25*$BI25),AI25*$BI25),0)</f>
        <v>0</v>
      </c>
      <c r="CM25" s="311">
        <f>IF($BI25&lt;&gt;"",IF('Capacity summary'!$D$14="Yes",IF(COUNTBLANK('Capacity summary'!$H144:$BG144)&lt;52,IF('Capacity summary'!AJ144&lt;&gt;"",IF(LOWER('Capacity summary'!AJ144)="x",$BI25*AJ25,VALUE('Capacity summary'!AJ144)),0),AJ25*$BI25),AJ25*$BI25),0)</f>
        <v>0</v>
      </c>
      <c r="CN25" s="311">
        <f>IF($BI25&lt;&gt;"",IF('Capacity summary'!$D$14="Yes",IF(COUNTBLANK('Capacity summary'!$H144:$BG144)&lt;52,IF('Capacity summary'!AK144&lt;&gt;"",IF(LOWER('Capacity summary'!AK144)="x",$BI25*AK25,VALUE('Capacity summary'!AK144)),0),AK25*$BI25),AK25*$BI25),0)</f>
        <v>0</v>
      </c>
      <c r="CO25" s="311">
        <f>IF($BI25&lt;&gt;"",IF('Capacity summary'!$D$14="Yes",IF(COUNTBLANK('Capacity summary'!$H144:$BG144)&lt;52,IF('Capacity summary'!AL144&lt;&gt;"",IF(LOWER('Capacity summary'!AL144)="x",$BI25*AL25,VALUE('Capacity summary'!AL144)),0),AL25*$BI25),AL25*$BI25),0)</f>
        <v>0</v>
      </c>
      <c r="CP25" s="311">
        <f>IF($BI25&lt;&gt;"",IF('Capacity summary'!$D$14="Yes",IF(COUNTBLANK('Capacity summary'!$H144:$BG144)&lt;52,IF('Capacity summary'!AM144&lt;&gt;"",IF(LOWER('Capacity summary'!AM144)="x",$BI25*AM25,VALUE('Capacity summary'!AM144)),0),AM25*$BI25),AM25*$BI25),0)</f>
        <v>0</v>
      </c>
      <c r="CQ25" s="311">
        <f>IF($BI25&lt;&gt;"",IF('Capacity summary'!$D$14="Yes",IF(COUNTBLANK('Capacity summary'!$H144:$BG144)&lt;52,IF('Capacity summary'!AN144&lt;&gt;"",IF(LOWER('Capacity summary'!AN144)="x",$BI25*AN25,VALUE('Capacity summary'!AN144)),0),AN25*$BI25),AN25*$BI25),0)</f>
        <v>0</v>
      </c>
      <c r="CR25" s="311">
        <f>IF($BI25&lt;&gt;"",IF('Capacity summary'!$D$14="Yes",IF(COUNTBLANK('Capacity summary'!$H144:$BG144)&lt;52,IF('Capacity summary'!AO144&lt;&gt;"",IF(LOWER('Capacity summary'!AO144)="x",$BI25*AO25,VALUE('Capacity summary'!AO144)),0),AO25*$BI25),AO25*$BI25),0)</f>
        <v>0</v>
      </c>
      <c r="CS25" s="311">
        <f>IF($BI25&lt;&gt;"",IF('Capacity summary'!$D$14="Yes",IF(COUNTBLANK('Capacity summary'!$H144:$BG144)&lt;52,IF('Capacity summary'!AP144&lt;&gt;"",IF(LOWER('Capacity summary'!AP144)="x",$BI25*AP25,VALUE('Capacity summary'!AP144)),0),AP25*$BI25),AP25*$BI25),0)</f>
        <v>0</v>
      </c>
      <c r="CT25" s="311">
        <f>IF($BI25&lt;&gt;"",IF('Capacity summary'!$D$14="Yes",IF(COUNTBLANK('Capacity summary'!$H144:$BG144)&lt;52,IF('Capacity summary'!AQ144&lt;&gt;"",IF(LOWER('Capacity summary'!AQ144)="x",$BI25*AQ25,VALUE('Capacity summary'!AQ144)),0),AQ25*$BI25),AQ25*$BI25),0)</f>
        <v>0</v>
      </c>
      <c r="CU25" s="311">
        <f>IF($BI25&lt;&gt;"",IF('Capacity summary'!$D$14="Yes",IF(COUNTBLANK('Capacity summary'!$H144:$BG144)&lt;52,IF('Capacity summary'!AR144&lt;&gt;"",IF(LOWER('Capacity summary'!AR144)="x",$BI25*AR25,VALUE('Capacity summary'!AR144)),0),AR25*$BI25),AR25*$BI25),0)</f>
        <v>0</v>
      </c>
      <c r="CV25" s="311">
        <f>IF($BI25&lt;&gt;"",IF('Capacity summary'!$D$14="Yes",IF(COUNTBLANK('Capacity summary'!$H144:$BG144)&lt;52,IF('Capacity summary'!AS144&lt;&gt;"",IF(LOWER('Capacity summary'!AS144)="x",$BI25*AS25,VALUE('Capacity summary'!AS144)),0),AS25*$BI25),AS25*$BI25),0)</f>
        <v>0</v>
      </c>
      <c r="CW25" s="311">
        <f>IF($BI25&lt;&gt;"",IF('Capacity summary'!$D$14="Yes",IF(COUNTBLANK('Capacity summary'!$H144:$BG144)&lt;52,IF('Capacity summary'!AT144&lt;&gt;"",IF(LOWER('Capacity summary'!AT144)="x",$BI25*AT25,VALUE('Capacity summary'!AT144)),0),AT25*$BI25),AT25*$BI25),0)</f>
        <v>0</v>
      </c>
      <c r="CX25" s="311">
        <f>IF($BI25&lt;&gt;"",IF('Capacity summary'!$D$14="Yes",IF(COUNTBLANK('Capacity summary'!$H144:$BG144)&lt;52,IF('Capacity summary'!AU144&lt;&gt;"",IF(LOWER('Capacity summary'!AU144)="x",$BI25*AU25,VALUE('Capacity summary'!AU144)),0),AU25*$BI25),AU25*$BI25),0)</f>
        <v>0</v>
      </c>
      <c r="CY25" s="311">
        <f>IF($BI25&lt;&gt;"",IF('Capacity summary'!$D$14="Yes",IF(COUNTBLANK('Capacity summary'!$H144:$BG144)&lt;52,IF('Capacity summary'!AV144&lt;&gt;"",IF(LOWER('Capacity summary'!AV144)="x",$BI25*AV25,VALUE('Capacity summary'!AV144)),0),AV25*$BI25),AV25*$BI25),0)</f>
        <v>0</v>
      </c>
      <c r="CZ25" s="311">
        <f>IF($BI25&lt;&gt;"",IF('Capacity summary'!$D$14="Yes",IF(COUNTBLANK('Capacity summary'!$H144:$BG144)&lt;52,IF('Capacity summary'!AW144&lt;&gt;"",IF(LOWER('Capacity summary'!AW144)="x",$BI25*AW25,VALUE('Capacity summary'!AW144)),0),AW25*$BI25),AW25*$BI25),0)</f>
        <v>0</v>
      </c>
      <c r="DA25" s="311">
        <f>IF($BI25&lt;&gt;"",IF('Capacity summary'!$D$14="Yes",IF(COUNTBLANK('Capacity summary'!$H144:$BG144)&lt;52,IF('Capacity summary'!AX144&lt;&gt;"",IF(LOWER('Capacity summary'!AX144)="x",$BI25*AX25,VALUE('Capacity summary'!AX144)),0),AX25*$BI25),AX25*$BI25),0)</f>
        <v>0</v>
      </c>
      <c r="DB25" s="311">
        <f>IF($BI25&lt;&gt;"",IF('Capacity summary'!$D$14="Yes",IF(COUNTBLANK('Capacity summary'!$H144:$BG144)&lt;52,IF('Capacity summary'!AY144&lt;&gt;"",IF(LOWER('Capacity summary'!AY144)="x",$BI25*AY25,VALUE('Capacity summary'!AY144)),0),AY25*$BI25),AY25*$BI25),0)</f>
        <v>0</v>
      </c>
      <c r="DC25" s="311">
        <f>IF($BI25&lt;&gt;"",IF('Capacity summary'!$D$14="Yes",IF(COUNTBLANK('Capacity summary'!$H144:$BG144)&lt;52,IF('Capacity summary'!AZ144&lt;&gt;"",IF(LOWER('Capacity summary'!AZ144)="x",$BI25*AZ25,VALUE('Capacity summary'!AZ144)),0),AZ25*$BI25),AZ25*$BI25),0)</f>
        <v>0</v>
      </c>
      <c r="DD25" s="311">
        <f>IF($BI25&lt;&gt;"",IF('Capacity summary'!$D$14="Yes",IF(COUNTBLANK('Capacity summary'!$H144:$BG144)&lt;52,IF('Capacity summary'!BA144&lt;&gt;"",IF(LOWER('Capacity summary'!BA144)="x",$BI25*BA25,VALUE('Capacity summary'!BA144)),0),BA25*$BI25),BA25*$BI25),0)</f>
        <v>0</v>
      </c>
      <c r="DE25" s="311">
        <f>IF($BI25&lt;&gt;"",IF('Capacity summary'!$D$14="Yes",IF(COUNTBLANK('Capacity summary'!$H144:$BG144)&lt;52,IF('Capacity summary'!BB144&lt;&gt;"",IF(LOWER('Capacity summary'!BB144)="x",$BI25*BB25,VALUE('Capacity summary'!BB144)),0),BB25*$BI25),BB25*$BI25),0)</f>
        <v>0</v>
      </c>
      <c r="DF25" s="311">
        <f>IF($BI25&lt;&gt;"",IF('Capacity summary'!$D$14="Yes",IF(COUNTBLANK('Capacity summary'!$H144:$BG144)&lt;52,IF('Capacity summary'!BC144&lt;&gt;"",IF(LOWER('Capacity summary'!BC144)="x",$BI25*BC25,VALUE('Capacity summary'!BC144)),0),BC25*$BI25),BC25*$BI25),0)</f>
        <v>0</v>
      </c>
      <c r="DG25" s="311">
        <f>IF($BI25&lt;&gt;"",IF('Capacity summary'!$D$14="Yes",IF(COUNTBLANK('Capacity summary'!$H144:$BG144)&lt;52,IF('Capacity summary'!BD144&lt;&gt;"",IF(LOWER('Capacity summary'!BD144)="x",$BI25*BD25,VALUE('Capacity summary'!BD144)),0),BD25*$BI25),BD25*$BI25),0)</f>
        <v>0</v>
      </c>
      <c r="DH25" s="311">
        <f>IF($BI25&lt;&gt;"",IF('Capacity summary'!$D$14="Yes",IF(COUNTBLANK('Capacity summary'!$H144:$BG144)&lt;52,IF('Capacity summary'!BE144&lt;&gt;"",IF(LOWER('Capacity summary'!BE144)="x",$BI25*BE25,VALUE('Capacity summary'!BE144)),0),BE25*$BI25),BE25*$BI25),0)</f>
        <v>0</v>
      </c>
      <c r="DI25" s="311">
        <f>IF($BI25&lt;&gt;"",IF('Capacity summary'!$D$14="Yes",IF(COUNTBLANK('Capacity summary'!$H144:$BG144)&lt;52,IF('Capacity summary'!BF144&lt;&gt;"",IF(LOWER('Capacity summary'!BF144)="x",$BI25*BF25,VALUE('Capacity summary'!BF144)),0),BF25*$BI25),BF25*$BI25),0)</f>
        <v>0</v>
      </c>
      <c r="DJ25" s="311">
        <f>IF($BI25&lt;&gt;"",IF('Capacity summary'!$D$14="Yes",IF(COUNTBLANK('Capacity summary'!$H144:$BG144)&lt;52,IF('Capacity summary'!BG144&lt;&gt;"",IF(LOWER('Capacity summary'!BG144)="x",$BI25*BG25,VALUE('Capacity summary'!BG144)),0),BG25*$BI25),BG25*$BI25),0)</f>
        <v>0</v>
      </c>
      <c r="DK25" s="391">
        <f t="shared" si="2"/>
        <v>0</v>
      </c>
      <c r="DL25" s="136">
        <f t="shared" si="3"/>
        <v>0</v>
      </c>
      <c r="DM25" s="311" t="str">
        <f>Capacity!H37</f>
        <v/>
      </c>
      <c r="DQ25" s="5"/>
    </row>
    <row r="26" spans="1:121" x14ac:dyDescent="0.2">
      <c r="A26" s="67">
        <f>IF(Capacity!L38='Capacity summary'!BI145,1,0)</f>
        <v>1</v>
      </c>
      <c r="B26" s="67">
        <f>IF(Capacity!V38='Capacity summary'!BI45,1,0)</f>
        <v>1</v>
      </c>
      <c r="C26" s="67" t="str">
        <f>ROW(A22)&amp;". "&amp;Capacity!B38</f>
        <v xml:space="preserve">22. </v>
      </c>
      <c r="D26" s="67">
        <f>'Capacity setup'!C33</f>
        <v>0</v>
      </c>
      <c r="E26" s="67">
        <f>'Capacity setup'!D33</f>
        <v>0</v>
      </c>
      <c r="F26" s="67">
        <f>'Capacity setup'!E33</f>
        <v>0</v>
      </c>
      <c r="H26" s="67">
        <f ca="1">IF(LOWER(Capacity!$L38)="x",IF(AND(SUMIF(Capacity_Resource,$D26,'Critical resources (hide)'!U$6:U$105)+SUMIF(Capacity_Resource,$E26,'Critical resources (hide)'!U$6:U$105)+SUMIF(Capacity_Resource,$F26,'Critical resources (hide)'!U$6:U$105)&gt;0,$E$1=2),0,1),0)</f>
        <v>1</v>
      </c>
      <c r="I26" s="67">
        <f ca="1">IF(LOWER(Capacity!$L38)="x",IF(AND(SUMIF(Capacity_Resource,$D26,'Critical resources (hide)'!V$6:V$105)+SUMIF(Capacity_Resource,$E26,'Critical resources (hide)'!V$6:V$105)+SUMIF(Capacity_Resource,$F26,'Critical resources (hide)'!V$6:V$105)&gt;0,$E$1=2),0,1),0)</f>
        <v>1</v>
      </c>
      <c r="J26" s="67">
        <f ca="1">IF(LOWER(Capacity!$L38)="x",IF(AND(SUMIF(Capacity_Resource,$D26,'Critical resources (hide)'!W$6:W$105)+SUMIF(Capacity_Resource,$E26,'Critical resources (hide)'!W$6:W$105)+SUMIF(Capacity_Resource,$F26,'Critical resources (hide)'!W$6:W$105)&gt;0,$E$1=2),0,1),0)</f>
        <v>1</v>
      </c>
      <c r="K26" s="67">
        <f ca="1">IF(LOWER(Capacity!$L38)="x",IF(AND(SUMIF(Capacity_Resource,$D26,'Critical resources (hide)'!X$6:X$105)+SUMIF(Capacity_Resource,$E26,'Critical resources (hide)'!X$6:X$105)+SUMIF(Capacity_Resource,$F26,'Critical resources (hide)'!X$6:X$105)&gt;0,$E$1=2),0,1),0)</f>
        <v>1</v>
      </c>
      <c r="L26" s="67">
        <f ca="1">IF(LOWER(Capacity!$L38)="x",IF(AND(SUMIF(Capacity_Resource,$D26,'Critical resources (hide)'!Y$6:Y$105)+SUMIF(Capacity_Resource,$E26,'Critical resources (hide)'!Y$6:Y$105)+SUMIF(Capacity_Resource,$F26,'Critical resources (hide)'!Y$6:Y$105)&gt;0,$E$1=2),0,1),0)</f>
        <v>1</v>
      </c>
      <c r="M26" s="67">
        <f ca="1">IF(LOWER(Capacity!$L38)="x",IF(AND(SUMIF(Capacity_Resource,$D26,'Critical resources (hide)'!Z$6:Z$105)+SUMIF(Capacity_Resource,$E26,'Critical resources (hide)'!Z$6:Z$105)+SUMIF(Capacity_Resource,$F26,'Critical resources (hide)'!Z$6:Z$105)&gt;0,$E$1=2),0,1),0)</f>
        <v>1</v>
      </c>
      <c r="N26" s="67">
        <f ca="1">IF(LOWER(Capacity!$L38)="x",IF(AND(SUMIF(Capacity_Resource,$D26,'Critical resources (hide)'!AA$6:AA$105)+SUMIF(Capacity_Resource,$E26,'Critical resources (hide)'!AA$6:AA$105)+SUMIF(Capacity_Resource,$F26,'Critical resources (hide)'!AA$6:AA$105)&gt;0,$E$1=2),0,1),0)</f>
        <v>1</v>
      </c>
      <c r="O26" s="67">
        <f ca="1">IF(LOWER(Capacity!$L38)="x",IF(AND(SUMIF(Capacity_Resource,$D26,'Critical resources (hide)'!AB$6:AB$105)+SUMIF(Capacity_Resource,$E26,'Critical resources (hide)'!AB$6:AB$105)+SUMIF(Capacity_Resource,$F26,'Critical resources (hide)'!AB$6:AB$105)&gt;0,$E$1=2),0,1),0)</f>
        <v>1</v>
      </c>
      <c r="P26" s="67">
        <f ca="1">IF(LOWER(Capacity!$L38)="x",IF(AND(SUMIF(Capacity_Resource,$D26,'Critical resources (hide)'!AC$6:AC$105)+SUMIF(Capacity_Resource,$E26,'Critical resources (hide)'!AC$6:AC$105)+SUMIF(Capacity_Resource,$F26,'Critical resources (hide)'!AC$6:AC$105)&gt;0,$E$1=2),0,1),0)</f>
        <v>1</v>
      </c>
      <c r="Q26" s="67">
        <f ca="1">IF(LOWER(Capacity!$L38)="x",IF(AND(SUMIF(Capacity_Resource,$D26,'Critical resources (hide)'!AD$6:AD$105)+SUMIF(Capacity_Resource,$E26,'Critical resources (hide)'!AD$6:AD$105)+SUMIF(Capacity_Resource,$F26,'Critical resources (hide)'!AD$6:AD$105)&gt;0,$E$1=2),0,1),0)</f>
        <v>1</v>
      </c>
      <c r="R26" s="67">
        <f ca="1">IF(LOWER(Capacity!$L38)="x",IF(AND(SUMIF(Capacity_Resource,$D26,'Critical resources (hide)'!AE$6:AE$105)+SUMIF(Capacity_Resource,$E26,'Critical resources (hide)'!AE$6:AE$105)+SUMIF(Capacity_Resource,$F26,'Critical resources (hide)'!AE$6:AE$105)&gt;0,$E$1=2),0,1),0)</f>
        <v>1</v>
      </c>
      <c r="S26" s="67">
        <f ca="1">IF(LOWER(Capacity!$L38)="x",IF(AND(SUMIF(Capacity_Resource,$D26,'Critical resources (hide)'!AF$6:AF$105)+SUMIF(Capacity_Resource,$E26,'Critical resources (hide)'!AF$6:AF$105)+SUMIF(Capacity_Resource,$F26,'Critical resources (hide)'!AF$6:AF$105)&gt;0,$E$1=2),0,1),0)</f>
        <v>1</v>
      </c>
      <c r="T26" s="67">
        <f ca="1">IF(LOWER(Capacity!$L38)="x",IF(AND(SUMIF(Capacity_Resource,$D26,'Critical resources (hide)'!AG$6:AG$105)+SUMIF(Capacity_Resource,$E26,'Critical resources (hide)'!AG$6:AG$105)+SUMIF(Capacity_Resource,$F26,'Critical resources (hide)'!AG$6:AG$105)&gt;0,$E$1=2),0,1),0)</f>
        <v>1</v>
      </c>
      <c r="U26" s="67">
        <f ca="1">IF(LOWER(Capacity!$L38)="x",IF(AND(SUMIF(Capacity_Resource,$D26,'Critical resources (hide)'!AH$6:AH$105)+SUMIF(Capacity_Resource,$E26,'Critical resources (hide)'!AH$6:AH$105)+SUMIF(Capacity_Resource,$F26,'Critical resources (hide)'!AH$6:AH$105)&gt;0,$E$1=2),0,1),0)</f>
        <v>1</v>
      </c>
      <c r="V26" s="67">
        <f ca="1">IF(LOWER(Capacity!$L38)="x",IF(AND(SUMIF(Capacity_Resource,$D26,'Critical resources (hide)'!AI$6:AI$105)+SUMIF(Capacity_Resource,$E26,'Critical resources (hide)'!AI$6:AI$105)+SUMIF(Capacity_Resource,$F26,'Critical resources (hide)'!AI$6:AI$105)&gt;0,$E$1=2),0,1),0)</f>
        <v>1</v>
      </c>
      <c r="W26" s="67">
        <f ca="1">IF(LOWER(Capacity!$L38)="x",IF(AND(SUMIF(Capacity_Resource,$D26,'Critical resources (hide)'!AJ$6:AJ$105)+SUMIF(Capacity_Resource,$E26,'Critical resources (hide)'!AJ$6:AJ$105)+SUMIF(Capacity_Resource,$F26,'Critical resources (hide)'!AJ$6:AJ$105)&gt;0,$E$1=2),0,1),0)</f>
        <v>1</v>
      </c>
      <c r="X26" s="67">
        <f ca="1">IF(LOWER(Capacity!$L38)="x",IF(AND(SUMIF(Capacity_Resource,$D26,'Critical resources (hide)'!AK$6:AK$105)+SUMIF(Capacity_Resource,$E26,'Critical resources (hide)'!AK$6:AK$105)+SUMIF(Capacity_Resource,$F26,'Critical resources (hide)'!AK$6:AK$105)&gt;0,$E$1=2),0,1),0)</f>
        <v>1</v>
      </c>
      <c r="Y26" s="67">
        <f ca="1">IF(LOWER(Capacity!$L38)="x",IF(AND(SUMIF(Capacity_Resource,$D26,'Critical resources (hide)'!AL$6:AL$105)+SUMIF(Capacity_Resource,$E26,'Critical resources (hide)'!AL$6:AL$105)+SUMIF(Capacity_Resource,$F26,'Critical resources (hide)'!AL$6:AL$105)&gt;0,$E$1=2),0,1),0)</f>
        <v>1</v>
      </c>
      <c r="Z26" s="67">
        <f ca="1">IF(LOWER(Capacity!$L38)="x",IF(AND(SUMIF(Capacity_Resource,$D26,'Critical resources (hide)'!AM$6:AM$105)+SUMIF(Capacity_Resource,$E26,'Critical resources (hide)'!AM$6:AM$105)+SUMIF(Capacity_Resource,$F26,'Critical resources (hide)'!AM$6:AM$105)&gt;0,$E$1=2),0,1),0)</f>
        <v>1</v>
      </c>
      <c r="AA26" s="67">
        <f ca="1">IF(LOWER(Capacity!$L38)="x",IF(AND(SUMIF(Capacity_Resource,$D26,'Critical resources (hide)'!AN$6:AN$105)+SUMIF(Capacity_Resource,$E26,'Critical resources (hide)'!AN$6:AN$105)+SUMIF(Capacity_Resource,$F26,'Critical resources (hide)'!AN$6:AN$105)&gt;0,$E$1=2),0,1),0)</f>
        <v>1</v>
      </c>
      <c r="AB26" s="67">
        <f ca="1">IF(LOWER(Capacity!$L38)="x",IF(AND(SUMIF(Capacity_Resource,$D26,'Critical resources (hide)'!AO$6:AO$105)+SUMIF(Capacity_Resource,$E26,'Critical resources (hide)'!AO$6:AO$105)+SUMIF(Capacity_Resource,$F26,'Critical resources (hide)'!AO$6:AO$105)&gt;0,$E$1=2),0,1),0)</f>
        <v>1</v>
      </c>
      <c r="AC26" s="67">
        <f ca="1">IF(LOWER(Capacity!$L38)="x",IF(AND(SUMIF(Capacity_Resource,$D26,'Critical resources (hide)'!AP$6:AP$105)+SUMIF(Capacity_Resource,$E26,'Critical resources (hide)'!AP$6:AP$105)+SUMIF(Capacity_Resource,$F26,'Critical resources (hide)'!AP$6:AP$105)&gt;0,$E$1=2),0,1),0)</f>
        <v>1</v>
      </c>
      <c r="AD26" s="67">
        <f ca="1">IF(LOWER(Capacity!$L38)="x",IF(AND(SUMIF(Capacity_Resource,$D26,'Critical resources (hide)'!AQ$6:AQ$105)+SUMIF(Capacity_Resource,$E26,'Critical resources (hide)'!AQ$6:AQ$105)+SUMIF(Capacity_Resource,$F26,'Critical resources (hide)'!AQ$6:AQ$105)&gt;0,$E$1=2),0,1),0)</f>
        <v>1</v>
      </c>
      <c r="AE26" s="67">
        <f ca="1">IF(LOWER(Capacity!$L38)="x",IF(AND(SUMIF(Capacity_Resource,$D26,'Critical resources (hide)'!AR$6:AR$105)+SUMIF(Capacity_Resource,$E26,'Critical resources (hide)'!AR$6:AR$105)+SUMIF(Capacity_Resource,$F26,'Critical resources (hide)'!AR$6:AR$105)&gt;0,$E$1=2),0,1),0)</f>
        <v>1</v>
      </c>
      <c r="AF26" s="67">
        <f ca="1">IF(LOWER(Capacity!$L38)="x",IF(AND(SUMIF(Capacity_Resource,$D26,'Critical resources (hide)'!AS$6:AS$105)+SUMIF(Capacity_Resource,$E26,'Critical resources (hide)'!AS$6:AS$105)+SUMIF(Capacity_Resource,$F26,'Critical resources (hide)'!AS$6:AS$105)&gt;0,$E$1=2),0,1),0)</f>
        <v>1</v>
      </c>
      <c r="AG26" s="67">
        <f ca="1">IF(LOWER(Capacity!$L38)="x",IF(AND(SUMIF(Capacity_Resource,$D26,'Critical resources (hide)'!AT$6:AT$105)+SUMIF(Capacity_Resource,$E26,'Critical resources (hide)'!AT$6:AT$105)+SUMIF(Capacity_Resource,$F26,'Critical resources (hide)'!AT$6:AT$105)&gt;0,$E$1=2),0,1),0)</f>
        <v>1</v>
      </c>
      <c r="AH26" s="67">
        <f ca="1">IF(LOWER(Capacity!$L38)="x",IF(AND(SUMIF(Capacity_Resource,$D26,'Critical resources (hide)'!AU$6:AU$105)+SUMIF(Capacity_Resource,$E26,'Critical resources (hide)'!AU$6:AU$105)+SUMIF(Capacity_Resource,$F26,'Critical resources (hide)'!AU$6:AU$105)&gt;0,$E$1=2),0,1),0)</f>
        <v>1</v>
      </c>
      <c r="AI26" s="67">
        <f ca="1">IF(LOWER(Capacity!$L38)="x",IF(AND(SUMIF(Capacity_Resource,$D26,'Critical resources (hide)'!AV$6:AV$105)+SUMIF(Capacity_Resource,$E26,'Critical resources (hide)'!AV$6:AV$105)+SUMIF(Capacity_Resource,$F26,'Critical resources (hide)'!AV$6:AV$105)&gt;0,$E$1=2),0,1),0)</f>
        <v>1</v>
      </c>
      <c r="AJ26" s="67">
        <f ca="1">IF(LOWER(Capacity!$L38)="x",IF(AND(SUMIF(Capacity_Resource,$D26,'Critical resources (hide)'!AW$6:AW$105)+SUMIF(Capacity_Resource,$E26,'Critical resources (hide)'!AW$6:AW$105)+SUMIF(Capacity_Resource,$F26,'Critical resources (hide)'!AW$6:AW$105)&gt;0,$E$1=2),0,1),0)</f>
        <v>1</v>
      </c>
      <c r="AK26" s="67">
        <f ca="1">IF(LOWER(Capacity!$L38)="x",IF(AND(SUMIF(Capacity_Resource,$D26,'Critical resources (hide)'!AX$6:AX$105)+SUMIF(Capacity_Resource,$E26,'Critical resources (hide)'!AX$6:AX$105)+SUMIF(Capacity_Resource,$F26,'Critical resources (hide)'!AX$6:AX$105)&gt;0,$E$1=2),0,1),0)</f>
        <v>1</v>
      </c>
      <c r="AL26" s="67">
        <f ca="1">IF(LOWER(Capacity!$L38)="x",IF(AND(SUMIF(Capacity_Resource,$D26,'Critical resources (hide)'!AY$6:AY$105)+SUMIF(Capacity_Resource,$E26,'Critical resources (hide)'!AY$6:AY$105)+SUMIF(Capacity_Resource,$F26,'Critical resources (hide)'!AY$6:AY$105)&gt;0,$E$1=2),0,1),0)</f>
        <v>1</v>
      </c>
      <c r="AM26" s="67">
        <f ca="1">IF(LOWER(Capacity!$L38)="x",IF(AND(SUMIF(Capacity_Resource,$D26,'Critical resources (hide)'!AZ$6:AZ$105)+SUMIF(Capacity_Resource,$E26,'Critical resources (hide)'!AZ$6:AZ$105)+SUMIF(Capacity_Resource,$F26,'Critical resources (hide)'!AZ$6:AZ$105)&gt;0,$E$1=2),0,1),0)</f>
        <v>1</v>
      </c>
      <c r="AN26" s="67">
        <f ca="1">IF(LOWER(Capacity!$L38)="x",IF(AND(SUMIF(Capacity_Resource,$D26,'Critical resources (hide)'!BA$6:BA$105)+SUMIF(Capacity_Resource,$E26,'Critical resources (hide)'!BA$6:BA$105)+SUMIF(Capacity_Resource,$F26,'Critical resources (hide)'!BA$6:BA$105)&gt;0,$E$1=2),0,1),0)</f>
        <v>1</v>
      </c>
      <c r="AO26" s="67">
        <f ca="1">IF(LOWER(Capacity!$L38)="x",IF(AND(SUMIF(Capacity_Resource,$D26,'Critical resources (hide)'!BB$6:BB$105)+SUMIF(Capacity_Resource,$E26,'Critical resources (hide)'!BB$6:BB$105)+SUMIF(Capacity_Resource,$F26,'Critical resources (hide)'!BB$6:BB$105)&gt;0,$E$1=2),0,1),0)</f>
        <v>1</v>
      </c>
      <c r="AP26" s="67">
        <f ca="1">IF(LOWER(Capacity!$L38)="x",IF(AND(SUMIF(Capacity_Resource,$D26,'Critical resources (hide)'!BC$6:BC$105)+SUMIF(Capacity_Resource,$E26,'Critical resources (hide)'!BC$6:BC$105)+SUMIF(Capacity_Resource,$F26,'Critical resources (hide)'!BC$6:BC$105)&gt;0,$E$1=2),0,1),0)</f>
        <v>1</v>
      </c>
      <c r="AQ26" s="67">
        <f ca="1">IF(LOWER(Capacity!$L38)="x",IF(AND(SUMIF(Capacity_Resource,$D26,'Critical resources (hide)'!BD$6:BD$105)+SUMIF(Capacity_Resource,$E26,'Critical resources (hide)'!BD$6:BD$105)+SUMIF(Capacity_Resource,$F26,'Critical resources (hide)'!BD$6:BD$105)&gt;0,$E$1=2),0,1),0)</f>
        <v>1</v>
      </c>
      <c r="AR26" s="67">
        <f ca="1">IF(LOWER(Capacity!$L38)="x",IF(AND(SUMIF(Capacity_Resource,$D26,'Critical resources (hide)'!BE$6:BE$105)+SUMIF(Capacity_Resource,$E26,'Critical resources (hide)'!BE$6:BE$105)+SUMIF(Capacity_Resource,$F26,'Critical resources (hide)'!BE$6:BE$105)&gt;0,$E$1=2),0,1),0)</f>
        <v>1</v>
      </c>
      <c r="AS26" s="67">
        <f ca="1">IF(LOWER(Capacity!$L38)="x",IF(AND(SUMIF(Capacity_Resource,$D26,'Critical resources (hide)'!BF$6:BF$105)+SUMIF(Capacity_Resource,$E26,'Critical resources (hide)'!BF$6:BF$105)+SUMIF(Capacity_Resource,$F26,'Critical resources (hide)'!BF$6:BF$105)&gt;0,$E$1=2),0,1),0)</f>
        <v>1</v>
      </c>
      <c r="AT26" s="67">
        <f ca="1">IF(LOWER(Capacity!$L38)="x",IF(AND(SUMIF(Capacity_Resource,$D26,'Critical resources (hide)'!BG$6:BG$105)+SUMIF(Capacity_Resource,$E26,'Critical resources (hide)'!BG$6:BG$105)+SUMIF(Capacity_Resource,$F26,'Critical resources (hide)'!BG$6:BG$105)&gt;0,$E$1=2),0,1),0)</f>
        <v>1</v>
      </c>
      <c r="AU26" s="67">
        <f ca="1">IF(LOWER(Capacity!$L38)="x",IF(AND(SUMIF(Capacity_Resource,$D26,'Critical resources (hide)'!BH$6:BH$105)+SUMIF(Capacity_Resource,$E26,'Critical resources (hide)'!BH$6:BH$105)+SUMIF(Capacity_Resource,$F26,'Critical resources (hide)'!BH$6:BH$105)&gt;0,$E$1=2),0,1),0)</f>
        <v>1</v>
      </c>
      <c r="AV26" s="67">
        <f ca="1">IF(LOWER(Capacity!$L38)="x",IF(AND(SUMIF(Capacity_Resource,$D26,'Critical resources (hide)'!BI$6:BI$105)+SUMIF(Capacity_Resource,$E26,'Critical resources (hide)'!BI$6:BI$105)+SUMIF(Capacity_Resource,$F26,'Critical resources (hide)'!BI$6:BI$105)&gt;0,$E$1=2),0,1),0)</f>
        <v>1</v>
      </c>
      <c r="AW26" s="67">
        <f ca="1">IF(LOWER(Capacity!$L38)="x",IF(AND(SUMIF(Capacity_Resource,$D26,'Critical resources (hide)'!BJ$6:BJ$105)+SUMIF(Capacity_Resource,$E26,'Critical resources (hide)'!BJ$6:BJ$105)+SUMIF(Capacity_Resource,$F26,'Critical resources (hide)'!BJ$6:BJ$105)&gt;0,$E$1=2),0,1),0)</f>
        <v>1</v>
      </c>
      <c r="AX26" s="67">
        <f ca="1">IF(LOWER(Capacity!$L38)="x",IF(AND(SUMIF(Capacity_Resource,$D26,'Critical resources (hide)'!BK$6:BK$105)+SUMIF(Capacity_Resource,$E26,'Critical resources (hide)'!BK$6:BK$105)+SUMIF(Capacity_Resource,$F26,'Critical resources (hide)'!BK$6:BK$105)&gt;0,$E$1=2),0,1),0)</f>
        <v>1</v>
      </c>
      <c r="AY26" s="67">
        <f ca="1">IF(LOWER(Capacity!$L38)="x",IF(AND(SUMIF(Capacity_Resource,$D26,'Critical resources (hide)'!BL$6:BL$105)+SUMIF(Capacity_Resource,$E26,'Critical resources (hide)'!BL$6:BL$105)+SUMIF(Capacity_Resource,$F26,'Critical resources (hide)'!BL$6:BL$105)&gt;0,$E$1=2),0,1),0)</f>
        <v>1</v>
      </c>
      <c r="AZ26" s="67">
        <f ca="1">IF(LOWER(Capacity!$L38)="x",IF(AND(SUMIF(Capacity_Resource,$D26,'Critical resources (hide)'!BM$6:BM$105)+SUMIF(Capacity_Resource,$E26,'Critical resources (hide)'!BM$6:BM$105)+SUMIF(Capacity_Resource,$F26,'Critical resources (hide)'!BM$6:BM$105)&gt;0,$E$1=2),0,1),0)</f>
        <v>1</v>
      </c>
      <c r="BA26" s="67">
        <f ca="1">IF(LOWER(Capacity!$L38)="x",IF(AND(SUMIF(Capacity_Resource,$D26,'Critical resources (hide)'!BN$6:BN$105)+SUMIF(Capacity_Resource,$E26,'Critical resources (hide)'!BN$6:BN$105)+SUMIF(Capacity_Resource,$F26,'Critical resources (hide)'!BN$6:BN$105)&gt;0,$E$1=2),0,1),0)</f>
        <v>1</v>
      </c>
      <c r="BB26" s="67">
        <f ca="1">IF(LOWER(Capacity!$L38)="x",IF(AND(SUMIF(Capacity_Resource,$D26,'Critical resources (hide)'!BO$6:BO$105)+SUMIF(Capacity_Resource,$E26,'Critical resources (hide)'!BO$6:BO$105)+SUMIF(Capacity_Resource,$F26,'Critical resources (hide)'!BO$6:BO$105)&gt;0,$E$1=2),0,1),0)</f>
        <v>1</v>
      </c>
      <c r="BC26" s="67">
        <f ca="1">IF(LOWER(Capacity!$L38)="x",IF(AND(SUMIF(Capacity_Resource,$D26,'Critical resources (hide)'!BP$6:BP$105)+SUMIF(Capacity_Resource,$E26,'Critical resources (hide)'!BP$6:BP$105)+SUMIF(Capacity_Resource,$F26,'Critical resources (hide)'!BP$6:BP$105)&gt;0,$E$1=2),0,1),0)</f>
        <v>1</v>
      </c>
      <c r="BD26" s="67">
        <f ca="1">IF(LOWER(Capacity!$L38)="x",IF(AND(SUMIF(Capacity_Resource,$D26,'Critical resources (hide)'!BQ$6:BQ$105)+SUMIF(Capacity_Resource,$E26,'Critical resources (hide)'!BQ$6:BQ$105)+SUMIF(Capacity_Resource,$F26,'Critical resources (hide)'!BQ$6:BQ$105)&gt;0,$E$1=2),0,1),0)</f>
        <v>1</v>
      </c>
      <c r="BE26" s="67">
        <f ca="1">IF(LOWER(Capacity!$L38)="x",IF(AND(SUMIF(Capacity_Resource,$D26,'Critical resources (hide)'!BR$6:BR$105)+SUMIF(Capacity_Resource,$E26,'Critical resources (hide)'!BR$6:BR$105)+SUMIF(Capacity_Resource,$F26,'Critical resources (hide)'!BR$6:BR$105)&gt;0,$E$1=2),0,1),0)</f>
        <v>1</v>
      </c>
      <c r="BF26" s="67">
        <f ca="1">IF(LOWER(Capacity!$L38)="x",IF(AND(SUMIF(Capacity_Resource,$D26,'Critical resources (hide)'!BS$6:BS$105)+SUMIF(Capacity_Resource,$E26,'Critical resources (hide)'!BS$6:BS$105)+SUMIF(Capacity_Resource,$F26,'Critical resources (hide)'!BS$6:BS$105)&gt;0,$E$1=2),0,1),0)</f>
        <v>1</v>
      </c>
      <c r="BG26" s="67">
        <f ca="1">IF(LOWER(Capacity!$L38)="x",IF(AND(SUMIF(Capacity_Resource,$D26,'Critical resources (hide)'!BT$6:BT$105)+SUMIF(Capacity_Resource,$E26,'Critical resources (hide)'!BT$6:BT$105)+SUMIF(Capacity_Resource,$F26,'Critical resources (hide)'!BT$6:BT$105)&gt;0,$E$1=2),0,1),0)</f>
        <v>1</v>
      </c>
      <c r="BH26" s="67">
        <f>IF(ROW(C22)&lt;=Capacity!$A$16,IF('Capacity summary'!$D$14="No",SUM(H26:BG26),'Capacity summary'!$E145),0)</f>
        <v>0</v>
      </c>
      <c r="BI26" s="5" t="str">
        <f>IF(BH26&gt;0,IF(BH26&lt;Capacity!E38,Capacity!F38,Capacity!H38/'Capacity calculation (hide)'!BH26),"")</f>
        <v/>
      </c>
      <c r="BK26" s="311">
        <f>IF($BI26&lt;&gt;"",IF('Capacity summary'!$D$14="Yes",IF(COUNTBLANK('Capacity summary'!$H145:$BG145)&lt;52,IF('Capacity summary'!H145&lt;&gt;"",IF(LOWER('Capacity summary'!H145)="x",$BI26*H26,VALUE('Capacity summary'!H145)),0),H26*$BI26),H26*$BI26),0)</f>
        <v>0</v>
      </c>
      <c r="BL26" s="311">
        <f>IF($BI26&lt;&gt;"",IF('Capacity summary'!$D$14="Yes",IF(COUNTBLANK('Capacity summary'!$H145:$BG145)&lt;52,IF('Capacity summary'!I145&lt;&gt;"",IF(LOWER('Capacity summary'!I145)="x",$BI26*I26,VALUE('Capacity summary'!I145)),0),I26*$BI26),I26*$BI26),0)</f>
        <v>0</v>
      </c>
      <c r="BM26" s="311">
        <f>IF($BI26&lt;&gt;"",IF('Capacity summary'!$D$14="Yes",IF(COUNTBLANK('Capacity summary'!$H145:$BG145)&lt;52,IF('Capacity summary'!J145&lt;&gt;"",IF(LOWER('Capacity summary'!J145)="x",$BI26*J26,VALUE('Capacity summary'!J145)),0),J26*$BI26),J26*$BI26),0)</f>
        <v>0</v>
      </c>
      <c r="BN26" s="311">
        <f>IF($BI26&lt;&gt;"",IF('Capacity summary'!$D$14="Yes",IF(COUNTBLANK('Capacity summary'!$H145:$BG145)&lt;52,IF('Capacity summary'!K145&lt;&gt;"",IF(LOWER('Capacity summary'!K145)="x",$BI26*K26,VALUE('Capacity summary'!K145)),0),K26*$BI26),K26*$BI26),0)</f>
        <v>0</v>
      </c>
      <c r="BO26" s="311">
        <f>IF($BI26&lt;&gt;"",IF('Capacity summary'!$D$14="Yes",IF(COUNTBLANK('Capacity summary'!$H145:$BG145)&lt;52,IF('Capacity summary'!L145&lt;&gt;"",IF(LOWER('Capacity summary'!L145)="x",$BI26*L26,VALUE('Capacity summary'!L145)),0),L26*$BI26),L26*$BI26),0)</f>
        <v>0</v>
      </c>
      <c r="BP26" s="311">
        <f>IF($BI26&lt;&gt;"",IF('Capacity summary'!$D$14="Yes",IF(COUNTBLANK('Capacity summary'!$H145:$BG145)&lt;52,IF('Capacity summary'!M145&lt;&gt;"",IF(LOWER('Capacity summary'!M145)="x",$BI26*M26,VALUE('Capacity summary'!M145)),0),M26*$BI26),M26*$BI26),0)</f>
        <v>0</v>
      </c>
      <c r="BQ26" s="311">
        <f>IF($BI26&lt;&gt;"",IF('Capacity summary'!$D$14="Yes",IF(COUNTBLANK('Capacity summary'!$H145:$BG145)&lt;52,IF('Capacity summary'!N145&lt;&gt;"",IF(LOWER('Capacity summary'!N145)="x",$BI26*N26,VALUE('Capacity summary'!N145)),0),N26*$BI26),N26*$BI26),0)</f>
        <v>0</v>
      </c>
      <c r="BR26" s="311">
        <f>IF($BI26&lt;&gt;"",IF('Capacity summary'!$D$14="Yes",IF(COUNTBLANK('Capacity summary'!$H145:$BG145)&lt;52,IF('Capacity summary'!O145&lt;&gt;"",IF(LOWER('Capacity summary'!O145)="x",$BI26*O26,VALUE('Capacity summary'!O145)),0),O26*$BI26),O26*$BI26),0)</f>
        <v>0</v>
      </c>
      <c r="BS26" s="311">
        <f>IF($BI26&lt;&gt;"",IF('Capacity summary'!$D$14="Yes",IF(COUNTBLANK('Capacity summary'!$H145:$BG145)&lt;52,IF('Capacity summary'!P145&lt;&gt;"",IF(LOWER('Capacity summary'!P145)="x",$BI26*P26,VALUE('Capacity summary'!P145)),0),P26*$BI26),P26*$BI26),0)</f>
        <v>0</v>
      </c>
      <c r="BT26" s="311">
        <f>IF($BI26&lt;&gt;"",IF('Capacity summary'!$D$14="Yes",IF(COUNTBLANK('Capacity summary'!$H145:$BG145)&lt;52,IF('Capacity summary'!Q145&lt;&gt;"",IF(LOWER('Capacity summary'!Q145)="x",$BI26*Q26,VALUE('Capacity summary'!Q145)),0),Q26*$BI26),Q26*$BI26),0)</f>
        <v>0</v>
      </c>
      <c r="BU26" s="311">
        <f>IF($BI26&lt;&gt;"",IF('Capacity summary'!$D$14="Yes",IF(COUNTBLANK('Capacity summary'!$H145:$BG145)&lt;52,IF('Capacity summary'!R145&lt;&gt;"",IF(LOWER('Capacity summary'!R145)="x",$BI26*R26,VALUE('Capacity summary'!R145)),0),R26*$BI26),R26*$BI26),0)</f>
        <v>0</v>
      </c>
      <c r="BV26" s="311">
        <f>IF($BI26&lt;&gt;"",IF('Capacity summary'!$D$14="Yes",IF(COUNTBLANK('Capacity summary'!$H145:$BG145)&lt;52,IF('Capacity summary'!S145&lt;&gt;"",IF(LOWER('Capacity summary'!S145)="x",$BI26*S26,VALUE('Capacity summary'!S145)),0),S26*$BI26),S26*$BI26),0)</f>
        <v>0</v>
      </c>
      <c r="BW26" s="311">
        <f>IF($BI26&lt;&gt;"",IF('Capacity summary'!$D$14="Yes",IF(COUNTBLANK('Capacity summary'!$H145:$BG145)&lt;52,IF('Capacity summary'!T145&lt;&gt;"",IF(LOWER('Capacity summary'!T145)="x",$BI26*T26,VALUE('Capacity summary'!T145)),0),T26*$BI26),T26*$BI26),0)</f>
        <v>0</v>
      </c>
      <c r="BX26" s="311">
        <f>IF($BI26&lt;&gt;"",IF('Capacity summary'!$D$14="Yes",IF(COUNTBLANK('Capacity summary'!$H145:$BG145)&lt;52,IF('Capacity summary'!U145&lt;&gt;"",IF(LOWER('Capacity summary'!U145)="x",$BI26*U26,VALUE('Capacity summary'!U145)),0),U26*$BI26),U26*$BI26),0)</f>
        <v>0</v>
      </c>
      <c r="BY26" s="311">
        <f>IF($BI26&lt;&gt;"",IF('Capacity summary'!$D$14="Yes",IF(COUNTBLANK('Capacity summary'!$H145:$BG145)&lt;52,IF('Capacity summary'!V145&lt;&gt;"",IF(LOWER('Capacity summary'!V145)="x",$BI26*V26,VALUE('Capacity summary'!V145)),0),V26*$BI26),V26*$BI26),0)</f>
        <v>0</v>
      </c>
      <c r="BZ26" s="311">
        <f>IF($BI26&lt;&gt;"",IF('Capacity summary'!$D$14="Yes",IF(COUNTBLANK('Capacity summary'!$H145:$BG145)&lt;52,IF('Capacity summary'!W145&lt;&gt;"",IF(LOWER('Capacity summary'!W145)="x",$BI26*W26,VALUE('Capacity summary'!W145)),0),W26*$BI26),W26*$BI26),0)</f>
        <v>0</v>
      </c>
      <c r="CA26" s="311">
        <f>IF($BI26&lt;&gt;"",IF('Capacity summary'!$D$14="Yes",IF(COUNTBLANK('Capacity summary'!$H145:$BG145)&lt;52,IF('Capacity summary'!X145&lt;&gt;"",IF(LOWER('Capacity summary'!X145)="x",$BI26*X26,VALUE('Capacity summary'!X145)),0),X26*$BI26),X26*$BI26),0)</f>
        <v>0</v>
      </c>
      <c r="CB26" s="311">
        <f>IF($BI26&lt;&gt;"",IF('Capacity summary'!$D$14="Yes",IF(COUNTBLANK('Capacity summary'!$H145:$BG145)&lt;52,IF('Capacity summary'!Y145&lt;&gt;"",IF(LOWER('Capacity summary'!Y145)="x",$BI26*Y26,VALUE('Capacity summary'!Y145)),0),Y26*$BI26),Y26*$BI26),0)</f>
        <v>0</v>
      </c>
      <c r="CC26" s="311">
        <f>IF($BI26&lt;&gt;"",IF('Capacity summary'!$D$14="Yes",IF(COUNTBLANK('Capacity summary'!$H145:$BG145)&lt;52,IF('Capacity summary'!Z145&lt;&gt;"",IF(LOWER('Capacity summary'!Z145)="x",$BI26*Z26,VALUE('Capacity summary'!Z145)),0),Z26*$BI26),Z26*$BI26),0)</f>
        <v>0</v>
      </c>
      <c r="CD26" s="311">
        <f>IF($BI26&lt;&gt;"",IF('Capacity summary'!$D$14="Yes",IF(COUNTBLANK('Capacity summary'!$H145:$BG145)&lt;52,IF('Capacity summary'!AA145&lt;&gt;"",IF(LOWER('Capacity summary'!AA145)="x",$BI26*AA26,VALUE('Capacity summary'!AA145)),0),AA26*$BI26),AA26*$BI26),0)</f>
        <v>0</v>
      </c>
      <c r="CE26" s="311">
        <f>IF($BI26&lt;&gt;"",IF('Capacity summary'!$D$14="Yes",IF(COUNTBLANK('Capacity summary'!$H145:$BG145)&lt;52,IF('Capacity summary'!AB145&lt;&gt;"",IF(LOWER('Capacity summary'!AB145)="x",$BI26*AB26,VALUE('Capacity summary'!AB145)),0),AB26*$BI26),AB26*$BI26),0)</f>
        <v>0</v>
      </c>
      <c r="CF26" s="311">
        <f>IF($BI26&lt;&gt;"",IF('Capacity summary'!$D$14="Yes",IF(COUNTBLANK('Capacity summary'!$H145:$BG145)&lt;52,IF('Capacity summary'!AC145&lt;&gt;"",IF(LOWER('Capacity summary'!AC145)="x",$BI26*AC26,VALUE('Capacity summary'!AC145)),0),AC26*$BI26),AC26*$BI26),0)</f>
        <v>0</v>
      </c>
      <c r="CG26" s="311">
        <f>IF($BI26&lt;&gt;"",IF('Capacity summary'!$D$14="Yes",IF(COUNTBLANK('Capacity summary'!$H145:$BG145)&lt;52,IF('Capacity summary'!AD145&lt;&gt;"",IF(LOWER('Capacity summary'!AD145)="x",$BI26*AD26,VALUE('Capacity summary'!AD145)),0),AD26*$BI26),AD26*$BI26),0)</f>
        <v>0</v>
      </c>
      <c r="CH26" s="311">
        <f>IF($BI26&lt;&gt;"",IF('Capacity summary'!$D$14="Yes",IF(COUNTBLANK('Capacity summary'!$H145:$BG145)&lt;52,IF('Capacity summary'!AE145&lt;&gt;"",IF(LOWER('Capacity summary'!AE145)="x",$BI26*AE26,VALUE('Capacity summary'!AE145)),0),AE26*$BI26),AE26*$BI26),0)</f>
        <v>0</v>
      </c>
      <c r="CI26" s="311">
        <f>IF($BI26&lt;&gt;"",IF('Capacity summary'!$D$14="Yes",IF(COUNTBLANK('Capacity summary'!$H145:$BG145)&lt;52,IF('Capacity summary'!AF145&lt;&gt;"",IF(LOWER('Capacity summary'!AF145)="x",$BI26*AF26,VALUE('Capacity summary'!AF145)),0),AF26*$BI26),AF26*$BI26),0)</f>
        <v>0</v>
      </c>
      <c r="CJ26" s="311">
        <f>IF($BI26&lt;&gt;"",IF('Capacity summary'!$D$14="Yes",IF(COUNTBLANK('Capacity summary'!$H145:$BG145)&lt;52,IF('Capacity summary'!AG145&lt;&gt;"",IF(LOWER('Capacity summary'!AG145)="x",$BI26*AG26,VALUE('Capacity summary'!AG145)),0),AG26*$BI26),AG26*$BI26),0)</f>
        <v>0</v>
      </c>
      <c r="CK26" s="311">
        <f>IF($BI26&lt;&gt;"",IF('Capacity summary'!$D$14="Yes",IF(COUNTBLANK('Capacity summary'!$H145:$BG145)&lt;52,IF('Capacity summary'!AH145&lt;&gt;"",IF(LOWER('Capacity summary'!AH145)="x",$BI26*AH26,VALUE('Capacity summary'!AH145)),0),AH26*$BI26),AH26*$BI26),0)</f>
        <v>0</v>
      </c>
      <c r="CL26" s="311">
        <f>IF($BI26&lt;&gt;"",IF('Capacity summary'!$D$14="Yes",IF(COUNTBLANK('Capacity summary'!$H145:$BG145)&lt;52,IF('Capacity summary'!AI145&lt;&gt;"",IF(LOWER('Capacity summary'!AI145)="x",$BI26*AI26,VALUE('Capacity summary'!AI145)),0),AI26*$BI26),AI26*$BI26),0)</f>
        <v>0</v>
      </c>
      <c r="CM26" s="311">
        <f>IF($BI26&lt;&gt;"",IF('Capacity summary'!$D$14="Yes",IF(COUNTBLANK('Capacity summary'!$H145:$BG145)&lt;52,IF('Capacity summary'!AJ145&lt;&gt;"",IF(LOWER('Capacity summary'!AJ145)="x",$BI26*AJ26,VALUE('Capacity summary'!AJ145)),0),AJ26*$BI26),AJ26*$BI26),0)</f>
        <v>0</v>
      </c>
      <c r="CN26" s="311">
        <f>IF($BI26&lt;&gt;"",IF('Capacity summary'!$D$14="Yes",IF(COUNTBLANK('Capacity summary'!$H145:$BG145)&lt;52,IF('Capacity summary'!AK145&lt;&gt;"",IF(LOWER('Capacity summary'!AK145)="x",$BI26*AK26,VALUE('Capacity summary'!AK145)),0),AK26*$BI26),AK26*$BI26),0)</f>
        <v>0</v>
      </c>
      <c r="CO26" s="311">
        <f>IF($BI26&lt;&gt;"",IF('Capacity summary'!$D$14="Yes",IF(COUNTBLANK('Capacity summary'!$H145:$BG145)&lt;52,IF('Capacity summary'!AL145&lt;&gt;"",IF(LOWER('Capacity summary'!AL145)="x",$BI26*AL26,VALUE('Capacity summary'!AL145)),0),AL26*$BI26),AL26*$BI26),0)</f>
        <v>0</v>
      </c>
      <c r="CP26" s="311">
        <f>IF($BI26&lt;&gt;"",IF('Capacity summary'!$D$14="Yes",IF(COUNTBLANK('Capacity summary'!$H145:$BG145)&lt;52,IF('Capacity summary'!AM145&lt;&gt;"",IF(LOWER('Capacity summary'!AM145)="x",$BI26*AM26,VALUE('Capacity summary'!AM145)),0),AM26*$BI26),AM26*$BI26),0)</f>
        <v>0</v>
      </c>
      <c r="CQ26" s="311">
        <f>IF($BI26&lt;&gt;"",IF('Capacity summary'!$D$14="Yes",IF(COUNTBLANK('Capacity summary'!$H145:$BG145)&lt;52,IF('Capacity summary'!AN145&lt;&gt;"",IF(LOWER('Capacity summary'!AN145)="x",$BI26*AN26,VALUE('Capacity summary'!AN145)),0),AN26*$BI26),AN26*$BI26),0)</f>
        <v>0</v>
      </c>
      <c r="CR26" s="311">
        <f>IF($BI26&lt;&gt;"",IF('Capacity summary'!$D$14="Yes",IF(COUNTBLANK('Capacity summary'!$H145:$BG145)&lt;52,IF('Capacity summary'!AO145&lt;&gt;"",IF(LOWER('Capacity summary'!AO145)="x",$BI26*AO26,VALUE('Capacity summary'!AO145)),0),AO26*$BI26),AO26*$BI26),0)</f>
        <v>0</v>
      </c>
      <c r="CS26" s="311">
        <f>IF($BI26&lt;&gt;"",IF('Capacity summary'!$D$14="Yes",IF(COUNTBLANK('Capacity summary'!$H145:$BG145)&lt;52,IF('Capacity summary'!AP145&lt;&gt;"",IF(LOWER('Capacity summary'!AP145)="x",$BI26*AP26,VALUE('Capacity summary'!AP145)),0),AP26*$BI26),AP26*$BI26),0)</f>
        <v>0</v>
      </c>
      <c r="CT26" s="311">
        <f>IF($BI26&lt;&gt;"",IF('Capacity summary'!$D$14="Yes",IF(COUNTBLANK('Capacity summary'!$H145:$BG145)&lt;52,IF('Capacity summary'!AQ145&lt;&gt;"",IF(LOWER('Capacity summary'!AQ145)="x",$BI26*AQ26,VALUE('Capacity summary'!AQ145)),0),AQ26*$BI26),AQ26*$BI26),0)</f>
        <v>0</v>
      </c>
      <c r="CU26" s="311">
        <f>IF($BI26&lt;&gt;"",IF('Capacity summary'!$D$14="Yes",IF(COUNTBLANK('Capacity summary'!$H145:$BG145)&lt;52,IF('Capacity summary'!AR145&lt;&gt;"",IF(LOWER('Capacity summary'!AR145)="x",$BI26*AR26,VALUE('Capacity summary'!AR145)),0),AR26*$BI26),AR26*$BI26),0)</f>
        <v>0</v>
      </c>
      <c r="CV26" s="311">
        <f>IF($BI26&lt;&gt;"",IF('Capacity summary'!$D$14="Yes",IF(COUNTBLANK('Capacity summary'!$H145:$BG145)&lt;52,IF('Capacity summary'!AS145&lt;&gt;"",IF(LOWER('Capacity summary'!AS145)="x",$BI26*AS26,VALUE('Capacity summary'!AS145)),0),AS26*$BI26),AS26*$BI26),0)</f>
        <v>0</v>
      </c>
      <c r="CW26" s="311">
        <f>IF($BI26&lt;&gt;"",IF('Capacity summary'!$D$14="Yes",IF(COUNTBLANK('Capacity summary'!$H145:$BG145)&lt;52,IF('Capacity summary'!AT145&lt;&gt;"",IF(LOWER('Capacity summary'!AT145)="x",$BI26*AT26,VALUE('Capacity summary'!AT145)),0),AT26*$BI26),AT26*$BI26),0)</f>
        <v>0</v>
      </c>
      <c r="CX26" s="311">
        <f>IF($BI26&lt;&gt;"",IF('Capacity summary'!$D$14="Yes",IF(COUNTBLANK('Capacity summary'!$H145:$BG145)&lt;52,IF('Capacity summary'!AU145&lt;&gt;"",IF(LOWER('Capacity summary'!AU145)="x",$BI26*AU26,VALUE('Capacity summary'!AU145)),0),AU26*$BI26),AU26*$BI26),0)</f>
        <v>0</v>
      </c>
      <c r="CY26" s="311">
        <f>IF($BI26&lt;&gt;"",IF('Capacity summary'!$D$14="Yes",IF(COUNTBLANK('Capacity summary'!$H145:$BG145)&lt;52,IF('Capacity summary'!AV145&lt;&gt;"",IF(LOWER('Capacity summary'!AV145)="x",$BI26*AV26,VALUE('Capacity summary'!AV145)),0),AV26*$BI26),AV26*$BI26),0)</f>
        <v>0</v>
      </c>
      <c r="CZ26" s="311">
        <f>IF($BI26&lt;&gt;"",IF('Capacity summary'!$D$14="Yes",IF(COUNTBLANK('Capacity summary'!$H145:$BG145)&lt;52,IF('Capacity summary'!AW145&lt;&gt;"",IF(LOWER('Capacity summary'!AW145)="x",$BI26*AW26,VALUE('Capacity summary'!AW145)),0),AW26*$BI26),AW26*$BI26),0)</f>
        <v>0</v>
      </c>
      <c r="DA26" s="311">
        <f>IF($BI26&lt;&gt;"",IF('Capacity summary'!$D$14="Yes",IF(COUNTBLANK('Capacity summary'!$H145:$BG145)&lt;52,IF('Capacity summary'!AX145&lt;&gt;"",IF(LOWER('Capacity summary'!AX145)="x",$BI26*AX26,VALUE('Capacity summary'!AX145)),0),AX26*$BI26),AX26*$BI26),0)</f>
        <v>0</v>
      </c>
      <c r="DB26" s="311">
        <f>IF($BI26&lt;&gt;"",IF('Capacity summary'!$D$14="Yes",IF(COUNTBLANK('Capacity summary'!$H145:$BG145)&lt;52,IF('Capacity summary'!AY145&lt;&gt;"",IF(LOWER('Capacity summary'!AY145)="x",$BI26*AY26,VALUE('Capacity summary'!AY145)),0),AY26*$BI26),AY26*$BI26),0)</f>
        <v>0</v>
      </c>
      <c r="DC26" s="311">
        <f>IF($BI26&lt;&gt;"",IF('Capacity summary'!$D$14="Yes",IF(COUNTBLANK('Capacity summary'!$H145:$BG145)&lt;52,IF('Capacity summary'!AZ145&lt;&gt;"",IF(LOWER('Capacity summary'!AZ145)="x",$BI26*AZ26,VALUE('Capacity summary'!AZ145)),0),AZ26*$BI26),AZ26*$BI26),0)</f>
        <v>0</v>
      </c>
      <c r="DD26" s="311">
        <f>IF($BI26&lt;&gt;"",IF('Capacity summary'!$D$14="Yes",IF(COUNTBLANK('Capacity summary'!$H145:$BG145)&lt;52,IF('Capacity summary'!BA145&lt;&gt;"",IF(LOWER('Capacity summary'!BA145)="x",$BI26*BA26,VALUE('Capacity summary'!BA145)),0),BA26*$BI26),BA26*$BI26),0)</f>
        <v>0</v>
      </c>
      <c r="DE26" s="311">
        <f>IF($BI26&lt;&gt;"",IF('Capacity summary'!$D$14="Yes",IF(COUNTBLANK('Capacity summary'!$H145:$BG145)&lt;52,IF('Capacity summary'!BB145&lt;&gt;"",IF(LOWER('Capacity summary'!BB145)="x",$BI26*BB26,VALUE('Capacity summary'!BB145)),0),BB26*$BI26),BB26*$BI26),0)</f>
        <v>0</v>
      </c>
      <c r="DF26" s="311">
        <f>IF($BI26&lt;&gt;"",IF('Capacity summary'!$D$14="Yes",IF(COUNTBLANK('Capacity summary'!$H145:$BG145)&lt;52,IF('Capacity summary'!BC145&lt;&gt;"",IF(LOWER('Capacity summary'!BC145)="x",$BI26*BC26,VALUE('Capacity summary'!BC145)),0),BC26*$BI26),BC26*$BI26),0)</f>
        <v>0</v>
      </c>
      <c r="DG26" s="311">
        <f>IF($BI26&lt;&gt;"",IF('Capacity summary'!$D$14="Yes",IF(COUNTBLANK('Capacity summary'!$H145:$BG145)&lt;52,IF('Capacity summary'!BD145&lt;&gt;"",IF(LOWER('Capacity summary'!BD145)="x",$BI26*BD26,VALUE('Capacity summary'!BD145)),0),BD26*$BI26),BD26*$BI26),0)</f>
        <v>0</v>
      </c>
      <c r="DH26" s="311">
        <f>IF($BI26&lt;&gt;"",IF('Capacity summary'!$D$14="Yes",IF(COUNTBLANK('Capacity summary'!$H145:$BG145)&lt;52,IF('Capacity summary'!BE145&lt;&gt;"",IF(LOWER('Capacity summary'!BE145)="x",$BI26*BE26,VALUE('Capacity summary'!BE145)),0),BE26*$BI26),BE26*$BI26),0)</f>
        <v>0</v>
      </c>
      <c r="DI26" s="311">
        <f>IF($BI26&lt;&gt;"",IF('Capacity summary'!$D$14="Yes",IF(COUNTBLANK('Capacity summary'!$H145:$BG145)&lt;52,IF('Capacity summary'!BF145&lt;&gt;"",IF(LOWER('Capacity summary'!BF145)="x",$BI26*BF26,VALUE('Capacity summary'!BF145)),0),BF26*$BI26),BF26*$BI26),0)</f>
        <v>0</v>
      </c>
      <c r="DJ26" s="311">
        <f>IF($BI26&lt;&gt;"",IF('Capacity summary'!$D$14="Yes",IF(COUNTBLANK('Capacity summary'!$H145:$BG145)&lt;52,IF('Capacity summary'!BG145&lt;&gt;"",IF(LOWER('Capacity summary'!BG145)="x",$BI26*BG26,VALUE('Capacity summary'!BG145)),0),BG26*$BI26),BG26*$BI26),0)</f>
        <v>0</v>
      </c>
      <c r="DK26" s="391">
        <f t="shared" si="2"/>
        <v>0</v>
      </c>
      <c r="DL26" s="136">
        <f t="shared" si="3"/>
        <v>0</v>
      </c>
      <c r="DM26" s="311" t="str">
        <f>Capacity!H38</f>
        <v/>
      </c>
      <c r="DQ26" s="5"/>
    </row>
    <row r="27" spans="1:121" x14ac:dyDescent="0.2">
      <c r="A27" s="67">
        <f>IF(Capacity!L39='Capacity summary'!BI146,1,0)</f>
        <v>1</v>
      </c>
      <c r="B27" s="67">
        <f>IF(Capacity!V39='Capacity summary'!BI46,1,0)</f>
        <v>1</v>
      </c>
      <c r="C27" s="67" t="str">
        <f>ROW(A23)&amp;". "&amp;Capacity!B39</f>
        <v xml:space="preserve">23. </v>
      </c>
      <c r="D27" s="67">
        <f>'Capacity setup'!C34</f>
        <v>0</v>
      </c>
      <c r="E27" s="67">
        <f>'Capacity setup'!D34</f>
        <v>0</v>
      </c>
      <c r="F27" s="67">
        <f>'Capacity setup'!E34</f>
        <v>0</v>
      </c>
      <c r="H27" s="67">
        <f ca="1">IF(LOWER(Capacity!$L39)="x",IF(AND(SUMIF(Capacity_Resource,$D27,'Critical resources (hide)'!U$6:U$105)+SUMIF(Capacity_Resource,$E27,'Critical resources (hide)'!U$6:U$105)+SUMIF(Capacity_Resource,$F27,'Critical resources (hide)'!U$6:U$105)&gt;0,$E$1=2),0,1),0)</f>
        <v>1</v>
      </c>
      <c r="I27" s="67">
        <f ca="1">IF(LOWER(Capacity!$L39)="x",IF(AND(SUMIF(Capacity_Resource,$D27,'Critical resources (hide)'!V$6:V$105)+SUMIF(Capacity_Resource,$E27,'Critical resources (hide)'!V$6:V$105)+SUMIF(Capacity_Resource,$F27,'Critical resources (hide)'!V$6:V$105)&gt;0,$E$1=2),0,1),0)</f>
        <v>1</v>
      </c>
      <c r="J27" s="67">
        <f ca="1">IF(LOWER(Capacity!$L39)="x",IF(AND(SUMIF(Capacity_Resource,$D27,'Critical resources (hide)'!W$6:W$105)+SUMIF(Capacity_Resource,$E27,'Critical resources (hide)'!W$6:W$105)+SUMIF(Capacity_Resource,$F27,'Critical resources (hide)'!W$6:W$105)&gt;0,$E$1=2),0,1),0)</f>
        <v>1</v>
      </c>
      <c r="K27" s="67">
        <f ca="1">IF(LOWER(Capacity!$L39)="x",IF(AND(SUMIF(Capacity_Resource,$D27,'Critical resources (hide)'!X$6:X$105)+SUMIF(Capacity_Resource,$E27,'Critical resources (hide)'!X$6:X$105)+SUMIF(Capacity_Resource,$F27,'Critical resources (hide)'!X$6:X$105)&gt;0,$E$1=2),0,1),0)</f>
        <v>1</v>
      </c>
      <c r="L27" s="67">
        <f ca="1">IF(LOWER(Capacity!$L39)="x",IF(AND(SUMIF(Capacity_Resource,$D27,'Critical resources (hide)'!Y$6:Y$105)+SUMIF(Capacity_Resource,$E27,'Critical resources (hide)'!Y$6:Y$105)+SUMIF(Capacity_Resource,$F27,'Critical resources (hide)'!Y$6:Y$105)&gt;0,$E$1=2),0,1),0)</f>
        <v>1</v>
      </c>
      <c r="M27" s="67">
        <f ca="1">IF(LOWER(Capacity!$L39)="x",IF(AND(SUMIF(Capacity_Resource,$D27,'Critical resources (hide)'!Z$6:Z$105)+SUMIF(Capacity_Resource,$E27,'Critical resources (hide)'!Z$6:Z$105)+SUMIF(Capacity_Resource,$F27,'Critical resources (hide)'!Z$6:Z$105)&gt;0,$E$1=2),0,1),0)</f>
        <v>1</v>
      </c>
      <c r="N27" s="67">
        <f ca="1">IF(LOWER(Capacity!$L39)="x",IF(AND(SUMIF(Capacity_Resource,$D27,'Critical resources (hide)'!AA$6:AA$105)+SUMIF(Capacity_Resource,$E27,'Critical resources (hide)'!AA$6:AA$105)+SUMIF(Capacity_Resource,$F27,'Critical resources (hide)'!AA$6:AA$105)&gt;0,$E$1=2),0,1),0)</f>
        <v>1</v>
      </c>
      <c r="O27" s="67">
        <f ca="1">IF(LOWER(Capacity!$L39)="x",IF(AND(SUMIF(Capacity_Resource,$D27,'Critical resources (hide)'!AB$6:AB$105)+SUMIF(Capacity_Resource,$E27,'Critical resources (hide)'!AB$6:AB$105)+SUMIF(Capacity_Resource,$F27,'Critical resources (hide)'!AB$6:AB$105)&gt;0,$E$1=2),0,1),0)</f>
        <v>1</v>
      </c>
      <c r="P27" s="67">
        <f ca="1">IF(LOWER(Capacity!$L39)="x",IF(AND(SUMIF(Capacity_Resource,$D27,'Critical resources (hide)'!AC$6:AC$105)+SUMIF(Capacity_Resource,$E27,'Critical resources (hide)'!AC$6:AC$105)+SUMIF(Capacity_Resource,$F27,'Critical resources (hide)'!AC$6:AC$105)&gt;0,$E$1=2),0,1),0)</f>
        <v>1</v>
      </c>
      <c r="Q27" s="67">
        <f ca="1">IF(LOWER(Capacity!$L39)="x",IF(AND(SUMIF(Capacity_Resource,$D27,'Critical resources (hide)'!AD$6:AD$105)+SUMIF(Capacity_Resource,$E27,'Critical resources (hide)'!AD$6:AD$105)+SUMIF(Capacity_Resource,$F27,'Critical resources (hide)'!AD$6:AD$105)&gt;0,$E$1=2),0,1),0)</f>
        <v>1</v>
      </c>
      <c r="R27" s="67">
        <f ca="1">IF(LOWER(Capacity!$L39)="x",IF(AND(SUMIF(Capacity_Resource,$D27,'Critical resources (hide)'!AE$6:AE$105)+SUMIF(Capacity_Resource,$E27,'Critical resources (hide)'!AE$6:AE$105)+SUMIF(Capacity_Resource,$F27,'Critical resources (hide)'!AE$6:AE$105)&gt;0,$E$1=2),0,1),0)</f>
        <v>1</v>
      </c>
      <c r="S27" s="67">
        <f ca="1">IF(LOWER(Capacity!$L39)="x",IF(AND(SUMIF(Capacity_Resource,$D27,'Critical resources (hide)'!AF$6:AF$105)+SUMIF(Capacity_Resource,$E27,'Critical resources (hide)'!AF$6:AF$105)+SUMIF(Capacity_Resource,$F27,'Critical resources (hide)'!AF$6:AF$105)&gt;0,$E$1=2),0,1),0)</f>
        <v>1</v>
      </c>
      <c r="T27" s="67">
        <f ca="1">IF(LOWER(Capacity!$L39)="x",IF(AND(SUMIF(Capacity_Resource,$D27,'Critical resources (hide)'!AG$6:AG$105)+SUMIF(Capacity_Resource,$E27,'Critical resources (hide)'!AG$6:AG$105)+SUMIF(Capacity_Resource,$F27,'Critical resources (hide)'!AG$6:AG$105)&gt;0,$E$1=2),0,1),0)</f>
        <v>1</v>
      </c>
      <c r="U27" s="67">
        <f ca="1">IF(LOWER(Capacity!$L39)="x",IF(AND(SUMIF(Capacity_Resource,$D27,'Critical resources (hide)'!AH$6:AH$105)+SUMIF(Capacity_Resource,$E27,'Critical resources (hide)'!AH$6:AH$105)+SUMIF(Capacity_Resource,$F27,'Critical resources (hide)'!AH$6:AH$105)&gt;0,$E$1=2),0,1),0)</f>
        <v>1</v>
      </c>
      <c r="V27" s="67">
        <f ca="1">IF(LOWER(Capacity!$L39)="x",IF(AND(SUMIF(Capacity_Resource,$D27,'Critical resources (hide)'!AI$6:AI$105)+SUMIF(Capacity_Resource,$E27,'Critical resources (hide)'!AI$6:AI$105)+SUMIF(Capacity_Resource,$F27,'Critical resources (hide)'!AI$6:AI$105)&gt;0,$E$1=2),0,1),0)</f>
        <v>1</v>
      </c>
      <c r="W27" s="67">
        <f ca="1">IF(LOWER(Capacity!$L39)="x",IF(AND(SUMIF(Capacity_Resource,$D27,'Critical resources (hide)'!AJ$6:AJ$105)+SUMIF(Capacity_Resource,$E27,'Critical resources (hide)'!AJ$6:AJ$105)+SUMIF(Capacity_Resource,$F27,'Critical resources (hide)'!AJ$6:AJ$105)&gt;0,$E$1=2),0,1),0)</f>
        <v>1</v>
      </c>
      <c r="X27" s="67">
        <f ca="1">IF(LOWER(Capacity!$L39)="x",IF(AND(SUMIF(Capacity_Resource,$D27,'Critical resources (hide)'!AK$6:AK$105)+SUMIF(Capacity_Resource,$E27,'Critical resources (hide)'!AK$6:AK$105)+SUMIF(Capacity_Resource,$F27,'Critical resources (hide)'!AK$6:AK$105)&gt;0,$E$1=2),0,1),0)</f>
        <v>1</v>
      </c>
      <c r="Y27" s="67">
        <f ca="1">IF(LOWER(Capacity!$L39)="x",IF(AND(SUMIF(Capacity_Resource,$D27,'Critical resources (hide)'!AL$6:AL$105)+SUMIF(Capacity_Resource,$E27,'Critical resources (hide)'!AL$6:AL$105)+SUMIF(Capacity_Resource,$F27,'Critical resources (hide)'!AL$6:AL$105)&gt;0,$E$1=2),0,1),0)</f>
        <v>1</v>
      </c>
      <c r="Z27" s="67">
        <f ca="1">IF(LOWER(Capacity!$L39)="x",IF(AND(SUMIF(Capacity_Resource,$D27,'Critical resources (hide)'!AM$6:AM$105)+SUMIF(Capacity_Resource,$E27,'Critical resources (hide)'!AM$6:AM$105)+SUMIF(Capacity_Resource,$F27,'Critical resources (hide)'!AM$6:AM$105)&gt;0,$E$1=2),0,1),0)</f>
        <v>1</v>
      </c>
      <c r="AA27" s="67">
        <f ca="1">IF(LOWER(Capacity!$L39)="x",IF(AND(SUMIF(Capacity_Resource,$D27,'Critical resources (hide)'!AN$6:AN$105)+SUMIF(Capacity_Resource,$E27,'Critical resources (hide)'!AN$6:AN$105)+SUMIF(Capacity_Resource,$F27,'Critical resources (hide)'!AN$6:AN$105)&gt;0,$E$1=2),0,1),0)</f>
        <v>1</v>
      </c>
      <c r="AB27" s="67">
        <f ca="1">IF(LOWER(Capacity!$L39)="x",IF(AND(SUMIF(Capacity_Resource,$D27,'Critical resources (hide)'!AO$6:AO$105)+SUMIF(Capacity_Resource,$E27,'Critical resources (hide)'!AO$6:AO$105)+SUMIF(Capacity_Resource,$F27,'Critical resources (hide)'!AO$6:AO$105)&gt;0,$E$1=2),0,1),0)</f>
        <v>1</v>
      </c>
      <c r="AC27" s="67">
        <f ca="1">IF(LOWER(Capacity!$L39)="x",IF(AND(SUMIF(Capacity_Resource,$D27,'Critical resources (hide)'!AP$6:AP$105)+SUMIF(Capacity_Resource,$E27,'Critical resources (hide)'!AP$6:AP$105)+SUMIF(Capacity_Resource,$F27,'Critical resources (hide)'!AP$6:AP$105)&gt;0,$E$1=2),0,1),0)</f>
        <v>1</v>
      </c>
      <c r="AD27" s="67">
        <f ca="1">IF(LOWER(Capacity!$L39)="x",IF(AND(SUMIF(Capacity_Resource,$D27,'Critical resources (hide)'!AQ$6:AQ$105)+SUMIF(Capacity_Resource,$E27,'Critical resources (hide)'!AQ$6:AQ$105)+SUMIF(Capacity_Resource,$F27,'Critical resources (hide)'!AQ$6:AQ$105)&gt;0,$E$1=2),0,1),0)</f>
        <v>1</v>
      </c>
      <c r="AE27" s="67">
        <f ca="1">IF(LOWER(Capacity!$L39)="x",IF(AND(SUMIF(Capacity_Resource,$D27,'Critical resources (hide)'!AR$6:AR$105)+SUMIF(Capacity_Resource,$E27,'Critical resources (hide)'!AR$6:AR$105)+SUMIF(Capacity_Resource,$F27,'Critical resources (hide)'!AR$6:AR$105)&gt;0,$E$1=2),0,1),0)</f>
        <v>1</v>
      </c>
      <c r="AF27" s="67">
        <f ca="1">IF(LOWER(Capacity!$L39)="x",IF(AND(SUMIF(Capacity_Resource,$D27,'Critical resources (hide)'!AS$6:AS$105)+SUMIF(Capacity_Resource,$E27,'Critical resources (hide)'!AS$6:AS$105)+SUMIF(Capacity_Resource,$F27,'Critical resources (hide)'!AS$6:AS$105)&gt;0,$E$1=2),0,1),0)</f>
        <v>1</v>
      </c>
      <c r="AG27" s="67">
        <f ca="1">IF(LOWER(Capacity!$L39)="x",IF(AND(SUMIF(Capacity_Resource,$D27,'Critical resources (hide)'!AT$6:AT$105)+SUMIF(Capacity_Resource,$E27,'Critical resources (hide)'!AT$6:AT$105)+SUMIF(Capacity_Resource,$F27,'Critical resources (hide)'!AT$6:AT$105)&gt;0,$E$1=2),0,1),0)</f>
        <v>1</v>
      </c>
      <c r="AH27" s="67">
        <f ca="1">IF(LOWER(Capacity!$L39)="x",IF(AND(SUMIF(Capacity_Resource,$D27,'Critical resources (hide)'!AU$6:AU$105)+SUMIF(Capacity_Resource,$E27,'Critical resources (hide)'!AU$6:AU$105)+SUMIF(Capacity_Resource,$F27,'Critical resources (hide)'!AU$6:AU$105)&gt;0,$E$1=2),0,1),0)</f>
        <v>1</v>
      </c>
      <c r="AI27" s="67">
        <f ca="1">IF(LOWER(Capacity!$L39)="x",IF(AND(SUMIF(Capacity_Resource,$D27,'Critical resources (hide)'!AV$6:AV$105)+SUMIF(Capacity_Resource,$E27,'Critical resources (hide)'!AV$6:AV$105)+SUMIF(Capacity_Resource,$F27,'Critical resources (hide)'!AV$6:AV$105)&gt;0,$E$1=2),0,1),0)</f>
        <v>1</v>
      </c>
      <c r="AJ27" s="67">
        <f ca="1">IF(LOWER(Capacity!$L39)="x",IF(AND(SUMIF(Capacity_Resource,$D27,'Critical resources (hide)'!AW$6:AW$105)+SUMIF(Capacity_Resource,$E27,'Critical resources (hide)'!AW$6:AW$105)+SUMIF(Capacity_Resource,$F27,'Critical resources (hide)'!AW$6:AW$105)&gt;0,$E$1=2),0,1),0)</f>
        <v>1</v>
      </c>
      <c r="AK27" s="67">
        <f ca="1">IF(LOWER(Capacity!$L39)="x",IF(AND(SUMIF(Capacity_Resource,$D27,'Critical resources (hide)'!AX$6:AX$105)+SUMIF(Capacity_Resource,$E27,'Critical resources (hide)'!AX$6:AX$105)+SUMIF(Capacity_Resource,$F27,'Critical resources (hide)'!AX$6:AX$105)&gt;0,$E$1=2),0,1),0)</f>
        <v>1</v>
      </c>
      <c r="AL27" s="67">
        <f ca="1">IF(LOWER(Capacity!$L39)="x",IF(AND(SUMIF(Capacity_Resource,$D27,'Critical resources (hide)'!AY$6:AY$105)+SUMIF(Capacity_Resource,$E27,'Critical resources (hide)'!AY$6:AY$105)+SUMIF(Capacity_Resource,$F27,'Critical resources (hide)'!AY$6:AY$105)&gt;0,$E$1=2),0,1),0)</f>
        <v>1</v>
      </c>
      <c r="AM27" s="67">
        <f ca="1">IF(LOWER(Capacity!$L39)="x",IF(AND(SUMIF(Capacity_Resource,$D27,'Critical resources (hide)'!AZ$6:AZ$105)+SUMIF(Capacity_Resource,$E27,'Critical resources (hide)'!AZ$6:AZ$105)+SUMIF(Capacity_Resource,$F27,'Critical resources (hide)'!AZ$6:AZ$105)&gt;0,$E$1=2),0,1),0)</f>
        <v>1</v>
      </c>
      <c r="AN27" s="67">
        <f ca="1">IF(LOWER(Capacity!$L39)="x",IF(AND(SUMIF(Capacity_Resource,$D27,'Critical resources (hide)'!BA$6:BA$105)+SUMIF(Capacity_Resource,$E27,'Critical resources (hide)'!BA$6:BA$105)+SUMIF(Capacity_Resource,$F27,'Critical resources (hide)'!BA$6:BA$105)&gt;0,$E$1=2),0,1),0)</f>
        <v>1</v>
      </c>
      <c r="AO27" s="67">
        <f ca="1">IF(LOWER(Capacity!$L39)="x",IF(AND(SUMIF(Capacity_Resource,$D27,'Critical resources (hide)'!BB$6:BB$105)+SUMIF(Capacity_Resource,$E27,'Critical resources (hide)'!BB$6:BB$105)+SUMIF(Capacity_Resource,$F27,'Critical resources (hide)'!BB$6:BB$105)&gt;0,$E$1=2),0,1),0)</f>
        <v>1</v>
      </c>
      <c r="AP27" s="67">
        <f ca="1">IF(LOWER(Capacity!$L39)="x",IF(AND(SUMIF(Capacity_Resource,$D27,'Critical resources (hide)'!BC$6:BC$105)+SUMIF(Capacity_Resource,$E27,'Critical resources (hide)'!BC$6:BC$105)+SUMIF(Capacity_Resource,$F27,'Critical resources (hide)'!BC$6:BC$105)&gt;0,$E$1=2),0,1),0)</f>
        <v>1</v>
      </c>
      <c r="AQ27" s="67">
        <f ca="1">IF(LOWER(Capacity!$L39)="x",IF(AND(SUMIF(Capacity_Resource,$D27,'Critical resources (hide)'!BD$6:BD$105)+SUMIF(Capacity_Resource,$E27,'Critical resources (hide)'!BD$6:BD$105)+SUMIF(Capacity_Resource,$F27,'Critical resources (hide)'!BD$6:BD$105)&gt;0,$E$1=2),0,1),0)</f>
        <v>1</v>
      </c>
      <c r="AR27" s="67">
        <f ca="1">IF(LOWER(Capacity!$L39)="x",IF(AND(SUMIF(Capacity_Resource,$D27,'Critical resources (hide)'!BE$6:BE$105)+SUMIF(Capacity_Resource,$E27,'Critical resources (hide)'!BE$6:BE$105)+SUMIF(Capacity_Resource,$F27,'Critical resources (hide)'!BE$6:BE$105)&gt;0,$E$1=2),0,1),0)</f>
        <v>1</v>
      </c>
      <c r="AS27" s="67">
        <f ca="1">IF(LOWER(Capacity!$L39)="x",IF(AND(SUMIF(Capacity_Resource,$D27,'Critical resources (hide)'!BF$6:BF$105)+SUMIF(Capacity_Resource,$E27,'Critical resources (hide)'!BF$6:BF$105)+SUMIF(Capacity_Resource,$F27,'Critical resources (hide)'!BF$6:BF$105)&gt;0,$E$1=2),0,1),0)</f>
        <v>1</v>
      </c>
      <c r="AT27" s="67">
        <f ca="1">IF(LOWER(Capacity!$L39)="x",IF(AND(SUMIF(Capacity_Resource,$D27,'Critical resources (hide)'!BG$6:BG$105)+SUMIF(Capacity_Resource,$E27,'Critical resources (hide)'!BG$6:BG$105)+SUMIF(Capacity_Resource,$F27,'Critical resources (hide)'!BG$6:BG$105)&gt;0,$E$1=2),0,1),0)</f>
        <v>1</v>
      </c>
      <c r="AU27" s="67">
        <f ca="1">IF(LOWER(Capacity!$L39)="x",IF(AND(SUMIF(Capacity_Resource,$D27,'Critical resources (hide)'!BH$6:BH$105)+SUMIF(Capacity_Resource,$E27,'Critical resources (hide)'!BH$6:BH$105)+SUMIF(Capacity_Resource,$F27,'Critical resources (hide)'!BH$6:BH$105)&gt;0,$E$1=2),0,1),0)</f>
        <v>1</v>
      </c>
      <c r="AV27" s="67">
        <f ca="1">IF(LOWER(Capacity!$L39)="x",IF(AND(SUMIF(Capacity_Resource,$D27,'Critical resources (hide)'!BI$6:BI$105)+SUMIF(Capacity_Resource,$E27,'Critical resources (hide)'!BI$6:BI$105)+SUMIF(Capacity_Resource,$F27,'Critical resources (hide)'!BI$6:BI$105)&gt;0,$E$1=2),0,1),0)</f>
        <v>1</v>
      </c>
      <c r="AW27" s="67">
        <f ca="1">IF(LOWER(Capacity!$L39)="x",IF(AND(SUMIF(Capacity_Resource,$D27,'Critical resources (hide)'!BJ$6:BJ$105)+SUMIF(Capacity_Resource,$E27,'Critical resources (hide)'!BJ$6:BJ$105)+SUMIF(Capacity_Resource,$F27,'Critical resources (hide)'!BJ$6:BJ$105)&gt;0,$E$1=2),0,1),0)</f>
        <v>1</v>
      </c>
      <c r="AX27" s="67">
        <f ca="1">IF(LOWER(Capacity!$L39)="x",IF(AND(SUMIF(Capacity_Resource,$D27,'Critical resources (hide)'!BK$6:BK$105)+SUMIF(Capacity_Resource,$E27,'Critical resources (hide)'!BK$6:BK$105)+SUMIF(Capacity_Resource,$F27,'Critical resources (hide)'!BK$6:BK$105)&gt;0,$E$1=2),0,1),0)</f>
        <v>1</v>
      </c>
      <c r="AY27" s="67">
        <f ca="1">IF(LOWER(Capacity!$L39)="x",IF(AND(SUMIF(Capacity_Resource,$D27,'Critical resources (hide)'!BL$6:BL$105)+SUMIF(Capacity_Resource,$E27,'Critical resources (hide)'!BL$6:BL$105)+SUMIF(Capacity_Resource,$F27,'Critical resources (hide)'!BL$6:BL$105)&gt;0,$E$1=2),0,1),0)</f>
        <v>1</v>
      </c>
      <c r="AZ27" s="67">
        <f ca="1">IF(LOWER(Capacity!$L39)="x",IF(AND(SUMIF(Capacity_Resource,$D27,'Critical resources (hide)'!BM$6:BM$105)+SUMIF(Capacity_Resource,$E27,'Critical resources (hide)'!BM$6:BM$105)+SUMIF(Capacity_Resource,$F27,'Critical resources (hide)'!BM$6:BM$105)&gt;0,$E$1=2),0,1),0)</f>
        <v>1</v>
      </c>
      <c r="BA27" s="67">
        <f ca="1">IF(LOWER(Capacity!$L39)="x",IF(AND(SUMIF(Capacity_Resource,$D27,'Critical resources (hide)'!BN$6:BN$105)+SUMIF(Capacity_Resource,$E27,'Critical resources (hide)'!BN$6:BN$105)+SUMIF(Capacity_Resource,$F27,'Critical resources (hide)'!BN$6:BN$105)&gt;0,$E$1=2),0,1),0)</f>
        <v>1</v>
      </c>
      <c r="BB27" s="67">
        <f ca="1">IF(LOWER(Capacity!$L39)="x",IF(AND(SUMIF(Capacity_Resource,$D27,'Critical resources (hide)'!BO$6:BO$105)+SUMIF(Capacity_Resource,$E27,'Critical resources (hide)'!BO$6:BO$105)+SUMIF(Capacity_Resource,$F27,'Critical resources (hide)'!BO$6:BO$105)&gt;0,$E$1=2),0,1),0)</f>
        <v>1</v>
      </c>
      <c r="BC27" s="67">
        <f ca="1">IF(LOWER(Capacity!$L39)="x",IF(AND(SUMIF(Capacity_Resource,$D27,'Critical resources (hide)'!BP$6:BP$105)+SUMIF(Capacity_Resource,$E27,'Critical resources (hide)'!BP$6:BP$105)+SUMIF(Capacity_Resource,$F27,'Critical resources (hide)'!BP$6:BP$105)&gt;0,$E$1=2),0,1),0)</f>
        <v>1</v>
      </c>
      <c r="BD27" s="67">
        <f ca="1">IF(LOWER(Capacity!$L39)="x",IF(AND(SUMIF(Capacity_Resource,$D27,'Critical resources (hide)'!BQ$6:BQ$105)+SUMIF(Capacity_Resource,$E27,'Critical resources (hide)'!BQ$6:BQ$105)+SUMIF(Capacity_Resource,$F27,'Critical resources (hide)'!BQ$6:BQ$105)&gt;0,$E$1=2),0,1),0)</f>
        <v>1</v>
      </c>
      <c r="BE27" s="67">
        <f ca="1">IF(LOWER(Capacity!$L39)="x",IF(AND(SUMIF(Capacity_Resource,$D27,'Critical resources (hide)'!BR$6:BR$105)+SUMIF(Capacity_Resource,$E27,'Critical resources (hide)'!BR$6:BR$105)+SUMIF(Capacity_Resource,$F27,'Critical resources (hide)'!BR$6:BR$105)&gt;0,$E$1=2),0,1),0)</f>
        <v>1</v>
      </c>
      <c r="BF27" s="67">
        <f ca="1">IF(LOWER(Capacity!$L39)="x",IF(AND(SUMIF(Capacity_Resource,$D27,'Critical resources (hide)'!BS$6:BS$105)+SUMIF(Capacity_Resource,$E27,'Critical resources (hide)'!BS$6:BS$105)+SUMIF(Capacity_Resource,$F27,'Critical resources (hide)'!BS$6:BS$105)&gt;0,$E$1=2),0,1),0)</f>
        <v>1</v>
      </c>
      <c r="BG27" s="67">
        <f ca="1">IF(LOWER(Capacity!$L39)="x",IF(AND(SUMIF(Capacity_Resource,$D27,'Critical resources (hide)'!BT$6:BT$105)+SUMIF(Capacity_Resource,$E27,'Critical resources (hide)'!BT$6:BT$105)+SUMIF(Capacity_Resource,$F27,'Critical resources (hide)'!BT$6:BT$105)&gt;0,$E$1=2),0,1),0)</f>
        <v>1</v>
      </c>
      <c r="BH27" s="67">
        <f>IF(ROW(C23)&lt;=Capacity!$A$16,IF('Capacity summary'!$D$14="No",SUM(H27:BG27),'Capacity summary'!$E146),0)</f>
        <v>0</v>
      </c>
      <c r="BI27" s="5" t="str">
        <f>IF(BH27&gt;0,IF(BH27&lt;Capacity!E39,Capacity!F39,Capacity!H39/'Capacity calculation (hide)'!BH27),"")</f>
        <v/>
      </c>
      <c r="BK27" s="311">
        <f>IF($BI27&lt;&gt;"",IF('Capacity summary'!$D$14="Yes",IF(COUNTBLANK('Capacity summary'!$H146:$BG146)&lt;52,IF('Capacity summary'!H146&lt;&gt;"",IF(LOWER('Capacity summary'!H146)="x",$BI27*H27,VALUE('Capacity summary'!H146)),0),H27*$BI27),H27*$BI27),0)</f>
        <v>0</v>
      </c>
      <c r="BL27" s="311">
        <f>IF($BI27&lt;&gt;"",IF('Capacity summary'!$D$14="Yes",IF(COUNTBLANK('Capacity summary'!$H146:$BG146)&lt;52,IF('Capacity summary'!I146&lt;&gt;"",IF(LOWER('Capacity summary'!I146)="x",$BI27*I27,VALUE('Capacity summary'!I146)),0),I27*$BI27),I27*$BI27),0)</f>
        <v>0</v>
      </c>
      <c r="BM27" s="311">
        <f>IF($BI27&lt;&gt;"",IF('Capacity summary'!$D$14="Yes",IF(COUNTBLANK('Capacity summary'!$H146:$BG146)&lt;52,IF('Capacity summary'!J146&lt;&gt;"",IF(LOWER('Capacity summary'!J146)="x",$BI27*J27,VALUE('Capacity summary'!J146)),0),J27*$BI27),J27*$BI27),0)</f>
        <v>0</v>
      </c>
      <c r="BN27" s="311">
        <f>IF($BI27&lt;&gt;"",IF('Capacity summary'!$D$14="Yes",IF(COUNTBLANK('Capacity summary'!$H146:$BG146)&lt;52,IF('Capacity summary'!K146&lt;&gt;"",IF(LOWER('Capacity summary'!K146)="x",$BI27*K27,VALUE('Capacity summary'!K146)),0),K27*$BI27),K27*$BI27),0)</f>
        <v>0</v>
      </c>
      <c r="BO27" s="311">
        <f>IF($BI27&lt;&gt;"",IF('Capacity summary'!$D$14="Yes",IF(COUNTBLANK('Capacity summary'!$H146:$BG146)&lt;52,IF('Capacity summary'!L146&lt;&gt;"",IF(LOWER('Capacity summary'!L146)="x",$BI27*L27,VALUE('Capacity summary'!L146)),0),L27*$BI27),L27*$BI27),0)</f>
        <v>0</v>
      </c>
      <c r="BP27" s="311">
        <f>IF($BI27&lt;&gt;"",IF('Capacity summary'!$D$14="Yes",IF(COUNTBLANK('Capacity summary'!$H146:$BG146)&lt;52,IF('Capacity summary'!M146&lt;&gt;"",IF(LOWER('Capacity summary'!M146)="x",$BI27*M27,VALUE('Capacity summary'!M146)),0),M27*$BI27),M27*$BI27),0)</f>
        <v>0</v>
      </c>
      <c r="BQ27" s="311">
        <f>IF($BI27&lt;&gt;"",IF('Capacity summary'!$D$14="Yes",IF(COUNTBLANK('Capacity summary'!$H146:$BG146)&lt;52,IF('Capacity summary'!N146&lt;&gt;"",IF(LOWER('Capacity summary'!N146)="x",$BI27*N27,VALUE('Capacity summary'!N146)),0),N27*$BI27),N27*$BI27),0)</f>
        <v>0</v>
      </c>
      <c r="BR27" s="311">
        <f>IF($BI27&lt;&gt;"",IF('Capacity summary'!$D$14="Yes",IF(COUNTBLANK('Capacity summary'!$H146:$BG146)&lt;52,IF('Capacity summary'!O146&lt;&gt;"",IF(LOWER('Capacity summary'!O146)="x",$BI27*O27,VALUE('Capacity summary'!O146)),0),O27*$BI27),O27*$BI27),0)</f>
        <v>0</v>
      </c>
      <c r="BS27" s="311">
        <f>IF($BI27&lt;&gt;"",IF('Capacity summary'!$D$14="Yes",IF(COUNTBLANK('Capacity summary'!$H146:$BG146)&lt;52,IF('Capacity summary'!P146&lt;&gt;"",IF(LOWER('Capacity summary'!P146)="x",$BI27*P27,VALUE('Capacity summary'!P146)),0),P27*$BI27),P27*$BI27),0)</f>
        <v>0</v>
      </c>
      <c r="BT27" s="311">
        <f>IF($BI27&lt;&gt;"",IF('Capacity summary'!$D$14="Yes",IF(COUNTBLANK('Capacity summary'!$H146:$BG146)&lt;52,IF('Capacity summary'!Q146&lt;&gt;"",IF(LOWER('Capacity summary'!Q146)="x",$BI27*Q27,VALUE('Capacity summary'!Q146)),0),Q27*$BI27),Q27*$BI27),0)</f>
        <v>0</v>
      </c>
      <c r="BU27" s="311">
        <f>IF($BI27&lt;&gt;"",IF('Capacity summary'!$D$14="Yes",IF(COUNTBLANK('Capacity summary'!$H146:$BG146)&lt;52,IF('Capacity summary'!R146&lt;&gt;"",IF(LOWER('Capacity summary'!R146)="x",$BI27*R27,VALUE('Capacity summary'!R146)),0),R27*$BI27),R27*$BI27),0)</f>
        <v>0</v>
      </c>
      <c r="BV27" s="311">
        <f>IF($BI27&lt;&gt;"",IF('Capacity summary'!$D$14="Yes",IF(COUNTBLANK('Capacity summary'!$H146:$BG146)&lt;52,IF('Capacity summary'!S146&lt;&gt;"",IF(LOWER('Capacity summary'!S146)="x",$BI27*S27,VALUE('Capacity summary'!S146)),0),S27*$BI27),S27*$BI27),0)</f>
        <v>0</v>
      </c>
      <c r="BW27" s="311">
        <f>IF($BI27&lt;&gt;"",IF('Capacity summary'!$D$14="Yes",IF(COUNTBLANK('Capacity summary'!$H146:$BG146)&lt;52,IF('Capacity summary'!T146&lt;&gt;"",IF(LOWER('Capacity summary'!T146)="x",$BI27*T27,VALUE('Capacity summary'!T146)),0),T27*$BI27),T27*$BI27),0)</f>
        <v>0</v>
      </c>
      <c r="BX27" s="311">
        <f>IF($BI27&lt;&gt;"",IF('Capacity summary'!$D$14="Yes",IF(COUNTBLANK('Capacity summary'!$H146:$BG146)&lt;52,IF('Capacity summary'!U146&lt;&gt;"",IF(LOWER('Capacity summary'!U146)="x",$BI27*U27,VALUE('Capacity summary'!U146)),0),U27*$BI27),U27*$BI27),0)</f>
        <v>0</v>
      </c>
      <c r="BY27" s="311">
        <f>IF($BI27&lt;&gt;"",IF('Capacity summary'!$D$14="Yes",IF(COUNTBLANK('Capacity summary'!$H146:$BG146)&lt;52,IF('Capacity summary'!V146&lt;&gt;"",IF(LOWER('Capacity summary'!V146)="x",$BI27*V27,VALUE('Capacity summary'!V146)),0),V27*$BI27),V27*$BI27),0)</f>
        <v>0</v>
      </c>
      <c r="BZ27" s="311">
        <f>IF($BI27&lt;&gt;"",IF('Capacity summary'!$D$14="Yes",IF(COUNTBLANK('Capacity summary'!$H146:$BG146)&lt;52,IF('Capacity summary'!W146&lt;&gt;"",IF(LOWER('Capacity summary'!W146)="x",$BI27*W27,VALUE('Capacity summary'!W146)),0),W27*$BI27),W27*$BI27),0)</f>
        <v>0</v>
      </c>
      <c r="CA27" s="311">
        <f>IF($BI27&lt;&gt;"",IF('Capacity summary'!$D$14="Yes",IF(COUNTBLANK('Capacity summary'!$H146:$BG146)&lt;52,IF('Capacity summary'!X146&lt;&gt;"",IF(LOWER('Capacity summary'!X146)="x",$BI27*X27,VALUE('Capacity summary'!X146)),0),X27*$BI27),X27*$BI27),0)</f>
        <v>0</v>
      </c>
      <c r="CB27" s="311">
        <f>IF($BI27&lt;&gt;"",IF('Capacity summary'!$D$14="Yes",IF(COUNTBLANK('Capacity summary'!$H146:$BG146)&lt;52,IF('Capacity summary'!Y146&lt;&gt;"",IF(LOWER('Capacity summary'!Y146)="x",$BI27*Y27,VALUE('Capacity summary'!Y146)),0),Y27*$BI27),Y27*$BI27),0)</f>
        <v>0</v>
      </c>
      <c r="CC27" s="311">
        <f>IF($BI27&lt;&gt;"",IF('Capacity summary'!$D$14="Yes",IF(COUNTBLANK('Capacity summary'!$H146:$BG146)&lt;52,IF('Capacity summary'!Z146&lt;&gt;"",IF(LOWER('Capacity summary'!Z146)="x",$BI27*Z27,VALUE('Capacity summary'!Z146)),0),Z27*$BI27),Z27*$BI27),0)</f>
        <v>0</v>
      </c>
      <c r="CD27" s="311">
        <f>IF($BI27&lt;&gt;"",IF('Capacity summary'!$D$14="Yes",IF(COUNTBLANK('Capacity summary'!$H146:$BG146)&lt;52,IF('Capacity summary'!AA146&lt;&gt;"",IF(LOWER('Capacity summary'!AA146)="x",$BI27*AA27,VALUE('Capacity summary'!AA146)),0),AA27*$BI27),AA27*$BI27),0)</f>
        <v>0</v>
      </c>
      <c r="CE27" s="311">
        <f>IF($BI27&lt;&gt;"",IF('Capacity summary'!$D$14="Yes",IF(COUNTBLANK('Capacity summary'!$H146:$BG146)&lt;52,IF('Capacity summary'!AB146&lt;&gt;"",IF(LOWER('Capacity summary'!AB146)="x",$BI27*AB27,VALUE('Capacity summary'!AB146)),0),AB27*$BI27),AB27*$BI27),0)</f>
        <v>0</v>
      </c>
      <c r="CF27" s="311">
        <f>IF($BI27&lt;&gt;"",IF('Capacity summary'!$D$14="Yes",IF(COUNTBLANK('Capacity summary'!$H146:$BG146)&lt;52,IF('Capacity summary'!AC146&lt;&gt;"",IF(LOWER('Capacity summary'!AC146)="x",$BI27*AC27,VALUE('Capacity summary'!AC146)),0),AC27*$BI27),AC27*$BI27),0)</f>
        <v>0</v>
      </c>
      <c r="CG27" s="311">
        <f>IF($BI27&lt;&gt;"",IF('Capacity summary'!$D$14="Yes",IF(COUNTBLANK('Capacity summary'!$H146:$BG146)&lt;52,IF('Capacity summary'!AD146&lt;&gt;"",IF(LOWER('Capacity summary'!AD146)="x",$BI27*AD27,VALUE('Capacity summary'!AD146)),0),AD27*$BI27),AD27*$BI27),0)</f>
        <v>0</v>
      </c>
      <c r="CH27" s="311">
        <f>IF($BI27&lt;&gt;"",IF('Capacity summary'!$D$14="Yes",IF(COUNTBLANK('Capacity summary'!$H146:$BG146)&lt;52,IF('Capacity summary'!AE146&lt;&gt;"",IF(LOWER('Capacity summary'!AE146)="x",$BI27*AE27,VALUE('Capacity summary'!AE146)),0),AE27*$BI27),AE27*$BI27),0)</f>
        <v>0</v>
      </c>
      <c r="CI27" s="311">
        <f>IF($BI27&lt;&gt;"",IF('Capacity summary'!$D$14="Yes",IF(COUNTBLANK('Capacity summary'!$H146:$BG146)&lt;52,IF('Capacity summary'!AF146&lt;&gt;"",IF(LOWER('Capacity summary'!AF146)="x",$BI27*AF27,VALUE('Capacity summary'!AF146)),0),AF27*$BI27),AF27*$BI27),0)</f>
        <v>0</v>
      </c>
      <c r="CJ27" s="311">
        <f>IF($BI27&lt;&gt;"",IF('Capacity summary'!$D$14="Yes",IF(COUNTBLANK('Capacity summary'!$H146:$BG146)&lt;52,IF('Capacity summary'!AG146&lt;&gt;"",IF(LOWER('Capacity summary'!AG146)="x",$BI27*AG27,VALUE('Capacity summary'!AG146)),0),AG27*$BI27),AG27*$BI27),0)</f>
        <v>0</v>
      </c>
      <c r="CK27" s="311">
        <f>IF($BI27&lt;&gt;"",IF('Capacity summary'!$D$14="Yes",IF(COUNTBLANK('Capacity summary'!$H146:$BG146)&lt;52,IF('Capacity summary'!AH146&lt;&gt;"",IF(LOWER('Capacity summary'!AH146)="x",$BI27*AH27,VALUE('Capacity summary'!AH146)),0),AH27*$BI27),AH27*$BI27),0)</f>
        <v>0</v>
      </c>
      <c r="CL27" s="311">
        <f>IF($BI27&lt;&gt;"",IF('Capacity summary'!$D$14="Yes",IF(COUNTBLANK('Capacity summary'!$H146:$BG146)&lt;52,IF('Capacity summary'!AI146&lt;&gt;"",IF(LOWER('Capacity summary'!AI146)="x",$BI27*AI27,VALUE('Capacity summary'!AI146)),0),AI27*$BI27),AI27*$BI27),0)</f>
        <v>0</v>
      </c>
      <c r="CM27" s="311">
        <f>IF($BI27&lt;&gt;"",IF('Capacity summary'!$D$14="Yes",IF(COUNTBLANK('Capacity summary'!$H146:$BG146)&lt;52,IF('Capacity summary'!AJ146&lt;&gt;"",IF(LOWER('Capacity summary'!AJ146)="x",$BI27*AJ27,VALUE('Capacity summary'!AJ146)),0),AJ27*$BI27),AJ27*$BI27),0)</f>
        <v>0</v>
      </c>
      <c r="CN27" s="311">
        <f>IF($BI27&lt;&gt;"",IF('Capacity summary'!$D$14="Yes",IF(COUNTBLANK('Capacity summary'!$H146:$BG146)&lt;52,IF('Capacity summary'!AK146&lt;&gt;"",IF(LOWER('Capacity summary'!AK146)="x",$BI27*AK27,VALUE('Capacity summary'!AK146)),0),AK27*$BI27),AK27*$BI27),0)</f>
        <v>0</v>
      </c>
      <c r="CO27" s="311">
        <f>IF($BI27&lt;&gt;"",IF('Capacity summary'!$D$14="Yes",IF(COUNTBLANK('Capacity summary'!$H146:$BG146)&lt;52,IF('Capacity summary'!AL146&lt;&gt;"",IF(LOWER('Capacity summary'!AL146)="x",$BI27*AL27,VALUE('Capacity summary'!AL146)),0),AL27*$BI27),AL27*$BI27),0)</f>
        <v>0</v>
      </c>
      <c r="CP27" s="311">
        <f>IF($BI27&lt;&gt;"",IF('Capacity summary'!$D$14="Yes",IF(COUNTBLANK('Capacity summary'!$H146:$BG146)&lt;52,IF('Capacity summary'!AM146&lt;&gt;"",IF(LOWER('Capacity summary'!AM146)="x",$BI27*AM27,VALUE('Capacity summary'!AM146)),0),AM27*$BI27),AM27*$BI27),0)</f>
        <v>0</v>
      </c>
      <c r="CQ27" s="311">
        <f>IF($BI27&lt;&gt;"",IF('Capacity summary'!$D$14="Yes",IF(COUNTBLANK('Capacity summary'!$H146:$BG146)&lt;52,IF('Capacity summary'!AN146&lt;&gt;"",IF(LOWER('Capacity summary'!AN146)="x",$BI27*AN27,VALUE('Capacity summary'!AN146)),0),AN27*$BI27),AN27*$BI27),0)</f>
        <v>0</v>
      </c>
      <c r="CR27" s="311">
        <f>IF($BI27&lt;&gt;"",IF('Capacity summary'!$D$14="Yes",IF(COUNTBLANK('Capacity summary'!$H146:$BG146)&lt;52,IF('Capacity summary'!AO146&lt;&gt;"",IF(LOWER('Capacity summary'!AO146)="x",$BI27*AO27,VALUE('Capacity summary'!AO146)),0),AO27*$BI27),AO27*$BI27),0)</f>
        <v>0</v>
      </c>
      <c r="CS27" s="311">
        <f>IF($BI27&lt;&gt;"",IF('Capacity summary'!$D$14="Yes",IF(COUNTBLANK('Capacity summary'!$H146:$BG146)&lt;52,IF('Capacity summary'!AP146&lt;&gt;"",IF(LOWER('Capacity summary'!AP146)="x",$BI27*AP27,VALUE('Capacity summary'!AP146)),0),AP27*$BI27),AP27*$BI27),0)</f>
        <v>0</v>
      </c>
      <c r="CT27" s="311">
        <f>IF($BI27&lt;&gt;"",IF('Capacity summary'!$D$14="Yes",IF(COUNTBLANK('Capacity summary'!$H146:$BG146)&lt;52,IF('Capacity summary'!AQ146&lt;&gt;"",IF(LOWER('Capacity summary'!AQ146)="x",$BI27*AQ27,VALUE('Capacity summary'!AQ146)),0),AQ27*$BI27),AQ27*$BI27),0)</f>
        <v>0</v>
      </c>
      <c r="CU27" s="311">
        <f>IF($BI27&lt;&gt;"",IF('Capacity summary'!$D$14="Yes",IF(COUNTBLANK('Capacity summary'!$H146:$BG146)&lt;52,IF('Capacity summary'!AR146&lt;&gt;"",IF(LOWER('Capacity summary'!AR146)="x",$BI27*AR27,VALUE('Capacity summary'!AR146)),0),AR27*$BI27),AR27*$BI27),0)</f>
        <v>0</v>
      </c>
      <c r="CV27" s="311">
        <f>IF($BI27&lt;&gt;"",IF('Capacity summary'!$D$14="Yes",IF(COUNTBLANK('Capacity summary'!$H146:$BG146)&lt;52,IF('Capacity summary'!AS146&lt;&gt;"",IF(LOWER('Capacity summary'!AS146)="x",$BI27*AS27,VALUE('Capacity summary'!AS146)),0),AS27*$BI27),AS27*$BI27),0)</f>
        <v>0</v>
      </c>
      <c r="CW27" s="311">
        <f>IF($BI27&lt;&gt;"",IF('Capacity summary'!$D$14="Yes",IF(COUNTBLANK('Capacity summary'!$H146:$BG146)&lt;52,IF('Capacity summary'!AT146&lt;&gt;"",IF(LOWER('Capacity summary'!AT146)="x",$BI27*AT27,VALUE('Capacity summary'!AT146)),0),AT27*$BI27),AT27*$BI27),0)</f>
        <v>0</v>
      </c>
      <c r="CX27" s="311">
        <f>IF($BI27&lt;&gt;"",IF('Capacity summary'!$D$14="Yes",IF(COUNTBLANK('Capacity summary'!$H146:$BG146)&lt;52,IF('Capacity summary'!AU146&lt;&gt;"",IF(LOWER('Capacity summary'!AU146)="x",$BI27*AU27,VALUE('Capacity summary'!AU146)),0),AU27*$BI27),AU27*$BI27),0)</f>
        <v>0</v>
      </c>
      <c r="CY27" s="311">
        <f>IF($BI27&lt;&gt;"",IF('Capacity summary'!$D$14="Yes",IF(COUNTBLANK('Capacity summary'!$H146:$BG146)&lt;52,IF('Capacity summary'!AV146&lt;&gt;"",IF(LOWER('Capacity summary'!AV146)="x",$BI27*AV27,VALUE('Capacity summary'!AV146)),0),AV27*$BI27),AV27*$BI27),0)</f>
        <v>0</v>
      </c>
      <c r="CZ27" s="311">
        <f>IF($BI27&lt;&gt;"",IF('Capacity summary'!$D$14="Yes",IF(COUNTBLANK('Capacity summary'!$H146:$BG146)&lt;52,IF('Capacity summary'!AW146&lt;&gt;"",IF(LOWER('Capacity summary'!AW146)="x",$BI27*AW27,VALUE('Capacity summary'!AW146)),0),AW27*$BI27),AW27*$BI27),0)</f>
        <v>0</v>
      </c>
      <c r="DA27" s="311">
        <f>IF($BI27&lt;&gt;"",IF('Capacity summary'!$D$14="Yes",IF(COUNTBLANK('Capacity summary'!$H146:$BG146)&lt;52,IF('Capacity summary'!AX146&lt;&gt;"",IF(LOWER('Capacity summary'!AX146)="x",$BI27*AX27,VALUE('Capacity summary'!AX146)),0),AX27*$BI27),AX27*$BI27),0)</f>
        <v>0</v>
      </c>
      <c r="DB27" s="311">
        <f>IF($BI27&lt;&gt;"",IF('Capacity summary'!$D$14="Yes",IF(COUNTBLANK('Capacity summary'!$H146:$BG146)&lt;52,IF('Capacity summary'!AY146&lt;&gt;"",IF(LOWER('Capacity summary'!AY146)="x",$BI27*AY27,VALUE('Capacity summary'!AY146)),0),AY27*$BI27),AY27*$BI27),0)</f>
        <v>0</v>
      </c>
      <c r="DC27" s="311">
        <f>IF($BI27&lt;&gt;"",IF('Capacity summary'!$D$14="Yes",IF(COUNTBLANK('Capacity summary'!$H146:$BG146)&lt;52,IF('Capacity summary'!AZ146&lt;&gt;"",IF(LOWER('Capacity summary'!AZ146)="x",$BI27*AZ27,VALUE('Capacity summary'!AZ146)),0),AZ27*$BI27),AZ27*$BI27),0)</f>
        <v>0</v>
      </c>
      <c r="DD27" s="311">
        <f>IF($BI27&lt;&gt;"",IF('Capacity summary'!$D$14="Yes",IF(COUNTBLANK('Capacity summary'!$H146:$BG146)&lt;52,IF('Capacity summary'!BA146&lt;&gt;"",IF(LOWER('Capacity summary'!BA146)="x",$BI27*BA27,VALUE('Capacity summary'!BA146)),0),BA27*$BI27),BA27*$BI27),0)</f>
        <v>0</v>
      </c>
      <c r="DE27" s="311">
        <f>IF($BI27&lt;&gt;"",IF('Capacity summary'!$D$14="Yes",IF(COUNTBLANK('Capacity summary'!$H146:$BG146)&lt;52,IF('Capacity summary'!BB146&lt;&gt;"",IF(LOWER('Capacity summary'!BB146)="x",$BI27*BB27,VALUE('Capacity summary'!BB146)),0),BB27*$BI27),BB27*$BI27),0)</f>
        <v>0</v>
      </c>
      <c r="DF27" s="311">
        <f>IF($BI27&lt;&gt;"",IF('Capacity summary'!$D$14="Yes",IF(COUNTBLANK('Capacity summary'!$H146:$BG146)&lt;52,IF('Capacity summary'!BC146&lt;&gt;"",IF(LOWER('Capacity summary'!BC146)="x",$BI27*BC27,VALUE('Capacity summary'!BC146)),0),BC27*$BI27),BC27*$BI27),0)</f>
        <v>0</v>
      </c>
      <c r="DG27" s="311">
        <f>IF($BI27&lt;&gt;"",IF('Capacity summary'!$D$14="Yes",IF(COUNTBLANK('Capacity summary'!$H146:$BG146)&lt;52,IF('Capacity summary'!BD146&lt;&gt;"",IF(LOWER('Capacity summary'!BD146)="x",$BI27*BD27,VALUE('Capacity summary'!BD146)),0),BD27*$BI27),BD27*$BI27),0)</f>
        <v>0</v>
      </c>
      <c r="DH27" s="311">
        <f>IF($BI27&lt;&gt;"",IF('Capacity summary'!$D$14="Yes",IF(COUNTBLANK('Capacity summary'!$H146:$BG146)&lt;52,IF('Capacity summary'!BE146&lt;&gt;"",IF(LOWER('Capacity summary'!BE146)="x",$BI27*BE27,VALUE('Capacity summary'!BE146)),0),BE27*$BI27),BE27*$BI27),0)</f>
        <v>0</v>
      </c>
      <c r="DI27" s="311">
        <f>IF($BI27&lt;&gt;"",IF('Capacity summary'!$D$14="Yes",IF(COUNTBLANK('Capacity summary'!$H146:$BG146)&lt;52,IF('Capacity summary'!BF146&lt;&gt;"",IF(LOWER('Capacity summary'!BF146)="x",$BI27*BF27,VALUE('Capacity summary'!BF146)),0),BF27*$BI27),BF27*$BI27),0)</f>
        <v>0</v>
      </c>
      <c r="DJ27" s="311">
        <f>IF($BI27&lt;&gt;"",IF('Capacity summary'!$D$14="Yes",IF(COUNTBLANK('Capacity summary'!$H146:$BG146)&lt;52,IF('Capacity summary'!BG146&lt;&gt;"",IF(LOWER('Capacity summary'!BG146)="x",$BI27*BG27,VALUE('Capacity summary'!BG146)),0),BG27*$BI27),BG27*$BI27),0)</f>
        <v>0</v>
      </c>
      <c r="DK27" s="391">
        <f t="shared" si="2"/>
        <v>0</v>
      </c>
      <c r="DL27" s="136">
        <f t="shared" si="3"/>
        <v>0</v>
      </c>
      <c r="DM27" s="311" t="str">
        <f>Capacity!H39</f>
        <v/>
      </c>
      <c r="DQ27" s="5"/>
    </row>
    <row r="28" spans="1:121" x14ac:dyDescent="0.2">
      <c r="A28" s="67">
        <f>IF(Capacity!L40='Capacity summary'!BI147,1,0)</f>
        <v>1</v>
      </c>
      <c r="B28" s="67">
        <f>IF(Capacity!V40='Capacity summary'!BI47,1,0)</f>
        <v>1</v>
      </c>
      <c r="C28" s="67" t="str">
        <f>ROW(A24)&amp;". "&amp;Capacity!B40</f>
        <v xml:space="preserve">24. </v>
      </c>
      <c r="D28" s="67">
        <f>'Capacity setup'!C35</f>
        <v>0</v>
      </c>
      <c r="E28" s="67">
        <f>'Capacity setup'!D35</f>
        <v>0</v>
      </c>
      <c r="F28" s="67">
        <f>'Capacity setup'!E35</f>
        <v>0</v>
      </c>
      <c r="H28" s="67">
        <f ca="1">IF(LOWER(Capacity!$L40)="x",IF(AND(SUMIF(Capacity_Resource,$D28,'Critical resources (hide)'!U$6:U$105)+SUMIF(Capacity_Resource,$E28,'Critical resources (hide)'!U$6:U$105)+SUMIF(Capacity_Resource,$F28,'Critical resources (hide)'!U$6:U$105)&gt;0,$E$1=2),0,1),0)</f>
        <v>1</v>
      </c>
      <c r="I28" s="67">
        <f ca="1">IF(LOWER(Capacity!$L40)="x",IF(AND(SUMIF(Capacity_Resource,$D28,'Critical resources (hide)'!V$6:V$105)+SUMIF(Capacity_Resource,$E28,'Critical resources (hide)'!V$6:V$105)+SUMIF(Capacity_Resource,$F28,'Critical resources (hide)'!V$6:V$105)&gt;0,$E$1=2),0,1),0)</f>
        <v>1</v>
      </c>
      <c r="J28" s="67">
        <f ca="1">IF(LOWER(Capacity!$L40)="x",IF(AND(SUMIF(Capacity_Resource,$D28,'Critical resources (hide)'!W$6:W$105)+SUMIF(Capacity_Resource,$E28,'Critical resources (hide)'!W$6:W$105)+SUMIF(Capacity_Resource,$F28,'Critical resources (hide)'!W$6:W$105)&gt;0,$E$1=2),0,1),0)</f>
        <v>1</v>
      </c>
      <c r="K28" s="67">
        <f ca="1">IF(LOWER(Capacity!$L40)="x",IF(AND(SUMIF(Capacity_Resource,$D28,'Critical resources (hide)'!X$6:X$105)+SUMIF(Capacity_Resource,$E28,'Critical resources (hide)'!X$6:X$105)+SUMIF(Capacity_Resource,$F28,'Critical resources (hide)'!X$6:X$105)&gt;0,$E$1=2),0,1),0)</f>
        <v>1</v>
      </c>
      <c r="L28" s="67">
        <f ca="1">IF(LOWER(Capacity!$L40)="x",IF(AND(SUMIF(Capacity_Resource,$D28,'Critical resources (hide)'!Y$6:Y$105)+SUMIF(Capacity_Resource,$E28,'Critical resources (hide)'!Y$6:Y$105)+SUMIF(Capacity_Resource,$F28,'Critical resources (hide)'!Y$6:Y$105)&gt;0,$E$1=2),0,1),0)</f>
        <v>1</v>
      </c>
      <c r="M28" s="67">
        <f ca="1">IF(LOWER(Capacity!$L40)="x",IF(AND(SUMIF(Capacity_Resource,$D28,'Critical resources (hide)'!Z$6:Z$105)+SUMIF(Capacity_Resource,$E28,'Critical resources (hide)'!Z$6:Z$105)+SUMIF(Capacity_Resource,$F28,'Critical resources (hide)'!Z$6:Z$105)&gt;0,$E$1=2),0,1),0)</f>
        <v>1</v>
      </c>
      <c r="N28" s="67">
        <f ca="1">IF(LOWER(Capacity!$L40)="x",IF(AND(SUMIF(Capacity_Resource,$D28,'Critical resources (hide)'!AA$6:AA$105)+SUMIF(Capacity_Resource,$E28,'Critical resources (hide)'!AA$6:AA$105)+SUMIF(Capacity_Resource,$F28,'Critical resources (hide)'!AA$6:AA$105)&gt;0,$E$1=2),0,1),0)</f>
        <v>1</v>
      </c>
      <c r="O28" s="67">
        <f ca="1">IF(LOWER(Capacity!$L40)="x",IF(AND(SUMIF(Capacity_Resource,$D28,'Critical resources (hide)'!AB$6:AB$105)+SUMIF(Capacity_Resource,$E28,'Critical resources (hide)'!AB$6:AB$105)+SUMIF(Capacity_Resource,$F28,'Critical resources (hide)'!AB$6:AB$105)&gt;0,$E$1=2),0,1),0)</f>
        <v>1</v>
      </c>
      <c r="P28" s="67">
        <f ca="1">IF(LOWER(Capacity!$L40)="x",IF(AND(SUMIF(Capacity_Resource,$D28,'Critical resources (hide)'!AC$6:AC$105)+SUMIF(Capacity_Resource,$E28,'Critical resources (hide)'!AC$6:AC$105)+SUMIF(Capacity_Resource,$F28,'Critical resources (hide)'!AC$6:AC$105)&gt;0,$E$1=2),0,1),0)</f>
        <v>1</v>
      </c>
      <c r="Q28" s="67">
        <f ca="1">IF(LOWER(Capacity!$L40)="x",IF(AND(SUMIF(Capacity_Resource,$D28,'Critical resources (hide)'!AD$6:AD$105)+SUMIF(Capacity_Resource,$E28,'Critical resources (hide)'!AD$6:AD$105)+SUMIF(Capacity_Resource,$F28,'Critical resources (hide)'!AD$6:AD$105)&gt;0,$E$1=2),0,1),0)</f>
        <v>1</v>
      </c>
      <c r="R28" s="67">
        <f ca="1">IF(LOWER(Capacity!$L40)="x",IF(AND(SUMIF(Capacity_Resource,$D28,'Critical resources (hide)'!AE$6:AE$105)+SUMIF(Capacity_Resource,$E28,'Critical resources (hide)'!AE$6:AE$105)+SUMIF(Capacity_Resource,$F28,'Critical resources (hide)'!AE$6:AE$105)&gt;0,$E$1=2),0,1),0)</f>
        <v>1</v>
      </c>
      <c r="S28" s="67">
        <f ca="1">IF(LOWER(Capacity!$L40)="x",IF(AND(SUMIF(Capacity_Resource,$D28,'Critical resources (hide)'!AF$6:AF$105)+SUMIF(Capacity_Resource,$E28,'Critical resources (hide)'!AF$6:AF$105)+SUMIF(Capacity_Resource,$F28,'Critical resources (hide)'!AF$6:AF$105)&gt;0,$E$1=2),0,1),0)</f>
        <v>1</v>
      </c>
      <c r="T28" s="67">
        <f ca="1">IF(LOWER(Capacity!$L40)="x",IF(AND(SUMIF(Capacity_Resource,$D28,'Critical resources (hide)'!AG$6:AG$105)+SUMIF(Capacity_Resource,$E28,'Critical resources (hide)'!AG$6:AG$105)+SUMIF(Capacity_Resource,$F28,'Critical resources (hide)'!AG$6:AG$105)&gt;0,$E$1=2),0,1),0)</f>
        <v>1</v>
      </c>
      <c r="U28" s="67">
        <f ca="1">IF(LOWER(Capacity!$L40)="x",IF(AND(SUMIF(Capacity_Resource,$D28,'Critical resources (hide)'!AH$6:AH$105)+SUMIF(Capacity_Resource,$E28,'Critical resources (hide)'!AH$6:AH$105)+SUMIF(Capacity_Resource,$F28,'Critical resources (hide)'!AH$6:AH$105)&gt;0,$E$1=2),0,1),0)</f>
        <v>1</v>
      </c>
      <c r="V28" s="67">
        <f ca="1">IF(LOWER(Capacity!$L40)="x",IF(AND(SUMIF(Capacity_Resource,$D28,'Critical resources (hide)'!AI$6:AI$105)+SUMIF(Capacity_Resource,$E28,'Critical resources (hide)'!AI$6:AI$105)+SUMIF(Capacity_Resource,$F28,'Critical resources (hide)'!AI$6:AI$105)&gt;0,$E$1=2),0,1),0)</f>
        <v>1</v>
      </c>
      <c r="W28" s="67">
        <f ca="1">IF(LOWER(Capacity!$L40)="x",IF(AND(SUMIF(Capacity_Resource,$D28,'Critical resources (hide)'!AJ$6:AJ$105)+SUMIF(Capacity_Resource,$E28,'Critical resources (hide)'!AJ$6:AJ$105)+SUMIF(Capacity_Resource,$F28,'Critical resources (hide)'!AJ$6:AJ$105)&gt;0,$E$1=2),0,1),0)</f>
        <v>1</v>
      </c>
      <c r="X28" s="67">
        <f ca="1">IF(LOWER(Capacity!$L40)="x",IF(AND(SUMIF(Capacity_Resource,$D28,'Critical resources (hide)'!AK$6:AK$105)+SUMIF(Capacity_Resource,$E28,'Critical resources (hide)'!AK$6:AK$105)+SUMIF(Capacity_Resource,$F28,'Critical resources (hide)'!AK$6:AK$105)&gt;0,$E$1=2),0,1),0)</f>
        <v>1</v>
      </c>
      <c r="Y28" s="67">
        <f ca="1">IF(LOWER(Capacity!$L40)="x",IF(AND(SUMIF(Capacity_Resource,$D28,'Critical resources (hide)'!AL$6:AL$105)+SUMIF(Capacity_Resource,$E28,'Critical resources (hide)'!AL$6:AL$105)+SUMIF(Capacity_Resource,$F28,'Critical resources (hide)'!AL$6:AL$105)&gt;0,$E$1=2),0,1),0)</f>
        <v>1</v>
      </c>
      <c r="Z28" s="67">
        <f ca="1">IF(LOWER(Capacity!$L40)="x",IF(AND(SUMIF(Capacity_Resource,$D28,'Critical resources (hide)'!AM$6:AM$105)+SUMIF(Capacity_Resource,$E28,'Critical resources (hide)'!AM$6:AM$105)+SUMIF(Capacity_Resource,$F28,'Critical resources (hide)'!AM$6:AM$105)&gt;0,$E$1=2),0,1),0)</f>
        <v>1</v>
      </c>
      <c r="AA28" s="67">
        <f ca="1">IF(LOWER(Capacity!$L40)="x",IF(AND(SUMIF(Capacity_Resource,$D28,'Critical resources (hide)'!AN$6:AN$105)+SUMIF(Capacity_Resource,$E28,'Critical resources (hide)'!AN$6:AN$105)+SUMIF(Capacity_Resource,$F28,'Critical resources (hide)'!AN$6:AN$105)&gt;0,$E$1=2),0,1),0)</f>
        <v>1</v>
      </c>
      <c r="AB28" s="67">
        <f ca="1">IF(LOWER(Capacity!$L40)="x",IF(AND(SUMIF(Capacity_Resource,$D28,'Critical resources (hide)'!AO$6:AO$105)+SUMIF(Capacity_Resource,$E28,'Critical resources (hide)'!AO$6:AO$105)+SUMIF(Capacity_Resource,$F28,'Critical resources (hide)'!AO$6:AO$105)&gt;0,$E$1=2),0,1),0)</f>
        <v>1</v>
      </c>
      <c r="AC28" s="67">
        <f ca="1">IF(LOWER(Capacity!$L40)="x",IF(AND(SUMIF(Capacity_Resource,$D28,'Critical resources (hide)'!AP$6:AP$105)+SUMIF(Capacity_Resource,$E28,'Critical resources (hide)'!AP$6:AP$105)+SUMIF(Capacity_Resource,$F28,'Critical resources (hide)'!AP$6:AP$105)&gt;0,$E$1=2),0,1),0)</f>
        <v>1</v>
      </c>
      <c r="AD28" s="67">
        <f ca="1">IF(LOWER(Capacity!$L40)="x",IF(AND(SUMIF(Capacity_Resource,$D28,'Critical resources (hide)'!AQ$6:AQ$105)+SUMIF(Capacity_Resource,$E28,'Critical resources (hide)'!AQ$6:AQ$105)+SUMIF(Capacity_Resource,$F28,'Critical resources (hide)'!AQ$6:AQ$105)&gt;0,$E$1=2),0,1),0)</f>
        <v>1</v>
      </c>
      <c r="AE28" s="67">
        <f ca="1">IF(LOWER(Capacity!$L40)="x",IF(AND(SUMIF(Capacity_Resource,$D28,'Critical resources (hide)'!AR$6:AR$105)+SUMIF(Capacity_Resource,$E28,'Critical resources (hide)'!AR$6:AR$105)+SUMIF(Capacity_Resource,$F28,'Critical resources (hide)'!AR$6:AR$105)&gt;0,$E$1=2),0,1),0)</f>
        <v>1</v>
      </c>
      <c r="AF28" s="67">
        <f ca="1">IF(LOWER(Capacity!$L40)="x",IF(AND(SUMIF(Capacity_Resource,$D28,'Critical resources (hide)'!AS$6:AS$105)+SUMIF(Capacity_Resource,$E28,'Critical resources (hide)'!AS$6:AS$105)+SUMIF(Capacity_Resource,$F28,'Critical resources (hide)'!AS$6:AS$105)&gt;0,$E$1=2),0,1),0)</f>
        <v>1</v>
      </c>
      <c r="AG28" s="67">
        <f ca="1">IF(LOWER(Capacity!$L40)="x",IF(AND(SUMIF(Capacity_Resource,$D28,'Critical resources (hide)'!AT$6:AT$105)+SUMIF(Capacity_Resource,$E28,'Critical resources (hide)'!AT$6:AT$105)+SUMIF(Capacity_Resource,$F28,'Critical resources (hide)'!AT$6:AT$105)&gt;0,$E$1=2),0,1),0)</f>
        <v>1</v>
      </c>
      <c r="AH28" s="67">
        <f ca="1">IF(LOWER(Capacity!$L40)="x",IF(AND(SUMIF(Capacity_Resource,$D28,'Critical resources (hide)'!AU$6:AU$105)+SUMIF(Capacity_Resource,$E28,'Critical resources (hide)'!AU$6:AU$105)+SUMIF(Capacity_Resource,$F28,'Critical resources (hide)'!AU$6:AU$105)&gt;0,$E$1=2),0,1),0)</f>
        <v>1</v>
      </c>
      <c r="AI28" s="67">
        <f ca="1">IF(LOWER(Capacity!$L40)="x",IF(AND(SUMIF(Capacity_Resource,$D28,'Critical resources (hide)'!AV$6:AV$105)+SUMIF(Capacity_Resource,$E28,'Critical resources (hide)'!AV$6:AV$105)+SUMIF(Capacity_Resource,$F28,'Critical resources (hide)'!AV$6:AV$105)&gt;0,$E$1=2),0,1),0)</f>
        <v>1</v>
      </c>
      <c r="AJ28" s="67">
        <f ca="1">IF(LOWER(Capacity!$L40)="x",IF(AND(SUMIF(Capacity_Resource,$D28,'Critical resources (hide)'!AW$6:AW$105)+SUMIF(Capacity_Resource,$E28,'Critical resources (hide)'!AW$6:AW$105)+SUMIF(Capacity_Resource,$F28,'Critical resources (hide)'!AW$6:AW$105)&gt;0,$E$1=2),0,1),0)</f>
        <v>1</v>
      </c>
      <c r="AK28" s="67">
        <f ca="1">IF(LOWER(Capacity!$L40)="x",IF(AND(SUMIF(Capacity_Resource,$D28,'Critical resources (hide)'!AX$6:AX$105)+SUMIF(Capacity_Resource,$E28,'Critical resources (hide)'!AX$6:AX$105)+SUMIF(Capacity_Resource,$F28,'Critical resources (hide)'!AX$6:AX$105)&gt;0,$E$1=2),0,1),0)</f>
        <v>1</v>
      </c>
      <c r="AL28" s="67">
        <f ca="1">IF(LOWER(Capacity!$L40)="x",IF(AND(SUMIF(Capacity_Resource,$D28,'Critical resources (hide)'!AY$6:AY$105)+SUMIF(Capacity_Resource,$E28,'Critical resources (hide)'!AY$6:AY$105)+SUMIF(Capacity_Resource,$F28,'Critical resources (hide)'!AY$6:AY$105)&gt;0,$E$1=2),0,1),0)</f>
        <v>1</v>
      </c>
      <c r="AM28" s="67">
        <f ca="1">IF(LOWER(Capacity!$L40)="x",IF(AND(SUMIF(Capacity_Resource,$D28,'Critical resources (hide)'!AZ$6:AZ$105)+SUMIF(Capacity_Resource,$E28,'Critical resources (hide)'!AZ$6:AZ$105)+SUMIF(Capacity_Resource,$F28,'Critical resources (hide)'!AZ$6:AZ$105)&gt;0,$E$1=2),0,1),0)</f>
        <v>1</v>
      </c>
      <c r="AN28" s="67">
        <f ca="1">IF(LOWER(Capacity!$L40)="x",IF(AND(SUMIF(Capacity_Resource,$D28,'Critical resources (hide)'!BA$6:BA$105)+SUMIF(Capacity_Resource,$E28,'Critical resources (hide)'!BA$6:BA$105)+SUMIF(Capacity_Resource,$F28,'Critical resources (hide)'!BA$6:BA$105)&gt;0,$E$1=2),0,1),0)</f>
        <v>1</v>
      </c>
      <c r="AO28" s="67">
        <f ca="1">IF(LOWER(Capacity!$L40)="x",IF(AND(SUMIF(Capacity_Resource,$D28,'Critical resources (hide)'!BB$6:BB$105)+SUMIF(Capacity_Resource,$E28,'Critical resources (hide)'!BB$6:BB$105)+SUMIF(Capacity_Resource,$F28,'Critical resources (hide)'!BB$6:BB$105)&gt;0,$E$1=2),0,1),0)</f>
        <v>1</v>
      </c>
      <c r="AP28" s="67">
        <f ca="1">IF(LOWER(Capacity!$L40)="x",IF(AND(SUMIF(Capacity_Resource,$D28,'Critical resources (hide)'!BC$6:BC$105)+SUMIF(Capacity_Resource,$E28,'Critical resources (hide)'!BC$6:BC$105)+SUMIF(Capacity_Resource,$F28,'Critical resources (hide)'!BC$6:BC$105)&gt;0,$E$1=2),0,1),0)</f>
        <v>1</v>
      </c>
      <c r="AQ28" s="67">
        <f ca="1">IF(LOWER(Capacity!$L40)="x",IF(AND(SUMIF(Capacity_Resource,$D28,'Critical resources (hide)'!BD$6:BD$105)+SUMIF(Capacity_Resource,$E28,'Critical resources (hide)'!BD$6:BD$105)+SUMIF(Capacity_Resource,$F28,'Critical resources (hide)'!BD$6:BD$105)&gt;0,$E$1=2),0,1),0)</f>
        <v>1</v>
      </c>
      <c r="AR28" s="67">
        <f ca="1">IF(LOWER(Capacity!$L40)="x",IF(AND(SUMIF(Capacity_Resource,$D28,'Critical resources (hide)'!BE$6:BE$105)+SUMIF(Capacity_Resource,$E28,'Critical resources (hide)'!BE$6:BE$105)+SUMIF(Capacity_Resource,$F28,'Critical resources (hide)'!BE$6:BE$105)&gt;0,$E$1=2),0,1),0)</f>
        <v>1</v>
      </c>
      <c r="AS28" s="67">
        <f ca="1">IF(LOWER(Capacity!$L40)="x",IF(AND(SUMIF(Capacity_Resource,$D28,'Critical resources (hide)'!BF$6:BF$105)+SUMIF(Capacity_Resource,$E28,'Critical resources (hide)'!BF$6:BF$105)+SUMIF(Capacity_Resource,$F28,'Critical resources (hide)'!BF$6:BF$105)&gt;0,$E$1=2),0,1),0)</f>
        <v>1</v>
      </c>
      <c r="AT28" s="67">
        <f ca="1">IF(LOWER(Capacity!$L40)="x",IF(AND(SUMIF(Capacity_Resource,$D28,'Critical resources (hide)'!BG$6:BG$105)+SUMIF(Capacity_Resource,$E28,'Critical resources (hide)'!BG$6:BG$105)+SUMIF(Capacity_Resource,$F28,'Critical resources (hide)'!BG$6:BG$105)&gt;0,$E$1=2),0,1),0)</f>
        <v>1</v>
      </c>
      <c r="AU28" s="67">
        <f ca="1">IF(LOWER(Capacity!$L40)="x",IF(AND(SUMIF(Capacity_Resource,$D28,'Critical resources (hide)'!BH$6:BH$105)+SUMIF(Capacity_Resource,$E28,'Critical resources (hide)'!BH$6:BH$105)+SUMIF(Capacity_Resource,$F28,'Critical resources (hide)'!BH$6:BH$105)&gt;0,$E$1=2),0,1),0)</f>
        <v>1</v>
      </c>
      <c r="AV28" s="67">
        <f ca="1">IF(LOWER(Capacity!$L40)="x",IF(AND(SUMIF(Capacity_Resource,$D28,'Critical resources (hide)'!BI$6:BI$105)+SUMIF(Capacity_Resource,$E28,'Critical resources (hide)'!BI$6:BI$105)+SUMIF(Capacity_Resource,$F28,'Critical resources (hide)'!BI$6:BI$105)&gt;0,$E$1=2),0,1),0)</f>
        <v>1</v>
      </c>
      <c r="AW28" s="67">
        <f ca="1">IF(LOWER(Capacity!$L40)="x",IF(AND(SUMIF(Capacity_Resource,$D28,'Critical resources (hide)'!BJ$6:BJ$105)+SUMIF(Capacity_Resource,$E28,'Critical resources (hide)'!BJ$6:BJ$105)+SUMIF(Capacity_Resource,$F28,'Critical resources (hide)'!BJ$6:BJ$105)&gt;0,$E$1=2),0,1),0)</f>
        <v>1</v>
      </c>
      <c r="AX28" s="67">
        <f ca="1">IF(LOWER(Capacity!$L40)="x",IF(AND(SUMIF(Capacity_Resource,$D28,'Critical resources (hide)'!BK$6:BK$105)+SUMIF(Capacity_Resource,$E28,'Critical resources (hide)'!BK$6:BK$105)+SUMIF(Capacity_Resource,$F28,'Critical resources (hide)'!BK$6:BK$105)&gt;0,$E$1=2),0,1),0)</f>
        <v>1</v>
      </c>
      <c r="AY28" s="67">
        <f ca="1">IF(LOWER(Capacity!$L40)="x",IF(AND(SUMIF(Capacity_Resource,$D28,'Critical resources (hide)'!BL$6:BL$105)+SUMIF(Capacity_Resource,$E28,'Critical resources (hide)'!BL$6:BL$105)+SUMIF(Capacity_Resource,$F28,'Critical resources (hide)'!BL$6:BL$105)&gt;0,$E$1=2),0,1),0)</f>
        <v>1</v>
      </c>
      <c r="AZ28" s="67">
        <f ca="1">IF(LOWER(Capacity!$L40)="x",IF(AND(SUMIF(Capacity_Resource,$D28,'Critical resources (hide)'!BM$6:BM$105)+SUMIF(Capacity_Resource,$E28,'Critical resources (hide)'!BM$6:BM$105)+SUMIF(Capacity_Resource,$F28,'Critical resources (hide)'!BM$6:BM$105)&gt;0,$E$1=2),0,1),0)</f>
        <v>1</v>
      </c>
      <c r="BA28" s="67">
        <f ca="1">IF(LOWER(Capacity!$L40)="x",IF(AND(SUMIF(Capacity_Resource,$D28,'Critical resources (hide)'!BN$6:BN$105)+SUMIF(Capacity_Resource,$E28,'Critical resources (hide)'!BN$6:BN$105)+SUMIF(Capacity_Resource,$F28,'Critical resources (hide)'!BN$6:BN$105)&gt;0,$E$1=2),0,1),0)</f>
        <v>1</v>
      </c>
      <c r="BB28" s="67">
        <f ca="1">IF(LOWER(Capacity!$L40)="x",IF(AND(SUMIF(Capacity_Resource,$D28,'Critical resources (hide)'!BO$6:BO$105)+SUMIF(Capacity_Resource,$E28,'Critical resources (hide)'!BO$6:BO$105)+SUMIF(Capacity_Resource,$F28,'Critical resources (hide)'!BO$6:BO$105)&gt;0,$E$1=2),0,1),0)</f>
        <v>1</v>
      </c>
      <c r="BC28" s="67">
        <f ca="1">IF(LOWER(Capacity!$L40)="x",IF(AND(SUMIF(Capacity_Resource,$D28,'Critical resources (hide)'!BP$6:BP$105)+SUMIF(Capacity_Resource,$E28,'Critical resources (hide)'!BP$6:BP$105)+SUMIF(Capacity_Resource,$F28,'Critical resources (hide)'!BP$6:BP$105)&gt;0,$E$1=2),0,1),0)</f>
        <v>1</v>
      </c>
      <c r="BD28" s="67">
        <f ca="1">IF(LOWER(Capacity!$L40)="x",IF(AND(SUMIF(Capacity_Resource,$D28,'Critical resources (hide)'!BQ$6:BQ$105)+SUMIF(Capacity_Resource,$E28,'Critical resources (hide)'!BQ$6:BQ$105)+SUMIF(Capacity_Resource,$F28,'Critical resources (hide)'!BQ$6:BQ$105)&gt;0,$E$1=2),0,1),0)</f>
        <v>1</v>
      </c>
      <c r="BE28" s="67">
        <f ca="1">IF(LOWER(Capacity!$L40)="x",IF(AND(SUMIF(Capacity_Resource,$D28,'Critical resources (hide)'!BR$6:BR$105)+SUMIF(Capacity_Resource,$E28,'Critical resources (hide)'!BR$6:BR$105)+SUMIF(Capacity_Resource,$F28,'Critical resources (hide)'!BR$6:BR$105)&gt;0,$E$1=2),0,1),0)</f>
        <v>1</v>
      </c>
      <c r="BF28" s="67">
        <f ca="1">IF(LOWER(Capacity!$L40)="x",IF(AND(SUMIF(Capacity_Resource,$D28,'Critical resources (hide)'!BS$6:BS$105)+SUMIF(Capacity_Resource,$E28,'Critical resources (hide)'!BS$6:BS$105)+SUMIF(Capacity_Resource,$F28,'Critical resources (hide)'!BS$6:BS$105)&gt;0,$E$1=2),0,1),0)</f>
        <v>1</v>
      </c>
      <c r="BG28" s="67">
        <f ca="1">IF(LOWER(Capacity!$L40)="x",IF(AND(SUMIF(Capacity_Resource,$D28,'Critical resources (hide)'!BT$6:BT$105)+SUMIF(Capacity_Resource,$E28,'Critical resources (hide)'!BT$6:BT$105)+SUMIF(Capacity_Resource,$F28,'Critical resources (hide)'!BT$6:BT$105)&gt;0,$E$1=2),0,1),0)</f>
        <v>1</v>
      </c>
      <c r="BH28" s="67">
        <f>IF(ROW(C24)&lt;=Capacity!$A$16,IF('Capacity summary'!$D$14="No",SUM(H28:BG28),'Capacity summary'!$E147),0)</f>
        <v>0</v>
      </c>
      <c r="BI28" s="5" t="str">
        <f>IF(BH28&gt;0,IF(BH28&lt;Capacity!E40,Capacity!F40,Capacity!H40/'Capacity calculation (hide)'!BH28),"")</f>
        <v/>
      </c>
      <c r="BK28" s="311">
        <f>IF($BI28&lt;&gt;"",IF('Capacity summary'!$D$14="Yes",IF(COUNTBLANK('Capacity summary'!$H147:$BG147)&lt;52,IF('Capacity summary'!H147&lt;&gt;"",IF(LOWER('Capacity summary'!H147)="x",$BI28*H28,VALUE('Capacity summary'!H147)),0),H28*$BI28),H28*$BI28),0)</f>
        <v>0</v>
      </c>
      <c r="BL28" s="311">
        <f>IF($BI28&lt;&gt;"",IF('Capacity summary'!$D$14="Yes",IF(COUNTBLANK('Capacity summary'!$H147:$BG147)&lt;52,IF('Capacity summary'!I147&lt;&gt;"",IF(LOWER('Capacity summary'!I147)="x",$BI28*I28,VALUE('Capacity summary'!I147)),0),I28*$BI28),I28*$BI28),0)</f>
        <v>0</v>
      </c>
      <c r="BM28" s="311">
        <f>IF($BI28&lt;&gt;"",IF('Capacity summary'!$D$14="Yes",IF(COUNTBLANK('Capacity summary'!$H147:$BG147)&lt;52,IF('Capacity summary'!J147&lt;&gt;"",IF(LOWER('Capacity summary'!J147)="x",$BI28*J28,VALUE('Capacity summary'!J147)),0),J28*$BI28),J28*$BI28),0)</f>
        <v>0</v>
      </c>
      <c r="BN28" s="311">
        <f>IF($BI28&lt;&gt;"",IF('Capacity summary'!$D$14="Yes",IF(COUNTBLANK('Capacity summary'!$H147:$BG147)&lt;52,IF('Capacity summary'!K147&lt;&gt;"",IF(LOWER('Capacity summary'!K147)="x",$BI28*K28,VALUE('Capacity summary'!K147)),0),K28*$BI28),K28*$BI28),0)</f>
        <v>0</v>
      </c>
      <c r="BO28" s="311">
        <f>IF($BI28&lt;&gt;"",IF('Capacity summary'!$D$14="Yes",IF(COUNTBLANK('Capacity summary'!$H147:$BG147)&lt;52,IF('Capacity summary'!L147&lt;&gt;"",IF(LOWER('Capacity summary'!L147)="x",$BI28*L28,VALUE('Capacity summary'!L147)),0),L28*$BI28),L28*$BI28),0)</f>
        <v>0</v>
      </c>
      <c r="BP28" s="311">
        <f>IF($BI28&lt;&gt;"",IF('Capacity summary'!$D$14="Yes",IF(COUNTBLANK('Capacity summary'!$H147:$BG147)&lt;52,IF('Capacity summary'!M147&lt;&gt;"",IF(LOWER('Capacity summary'!M147)="x",$BI28*M28,VALUE('Capacity summary'!M147)),0),M28*$BI28),M28*$BI28),0)</f>
        <v>0</v>
      </c>
      <c r="BQ28" s="311">
        <f>IF($BI28&lt;&gt;"",IF('Capacity summary'!$D$14="Yes",IF(COUNTBLANK('Capacity summary'!$H147:$BG147)&lt;52,IF('Capacity summary'!N147&lt;&gt;"",IF(LOWER('Capacity summary'!N147)="x",$BI28*N28,VALUE('Capacity summary'!N147)),0),N28*$BI28),N28*$BI28),0)</f>
        <v>0</v>
      </c>
      <c r="BR28" s="311">
        <f>IF($BI28&lt;&gt;"",IF('Capacity summary'!$D$14="Yes",IF(COUNTBLANK('Capacity summary'!$H147:$BG147)&lt;52,IF('Capacity summary'!O147&lt;&gt;"",IF(LOWER('Capacity summary'!O147)="x",$BI28*O28,VALUE('Capacity summary'!O147)),0),O28*$BI28),O28*$BI28),0)</f>
        <v>0</v>
      </c>
      <c r="BS28" s="311">
        <f>IF($BI28&lt;&gt;"",IF('Capacity summary'!$D$14="Yes",IF(COUNTBLANK('Capacity summary'!$H147:$BG147)&lt;52,IF('Capacity summary'!P147&lt;&gt;"",IF(LOWER('Capacity summary'!P147)="x",$BI28*P28,VALUE('Capacity summary'!P147)),0),P28*$BI28),P28*$BI28),0)</f>
        <v>0</v>
      </c>
      <c r="BT28" s="311">
        <f>IF($BI28&lt;&gt;"",IF('Capacity summary'!$D$14="Yes",IF(COUNTBLANK('Capacity summary'!$H147:$BG147)&lt;52,IF('Capacity summary'!Q147&lt;&gt;"",IF(LOWER('Capacity summary'!Q147)="x",$BI28*Q28,VALUE('Capacity summary'!Q147)),0),Q28*$BI28),Q28*$BI28),0)</f>
        <v>0</v>
      </c>
      <c r="BU28" s="311">
        <f>IF($BI28&lt;&gt;"",IF('Capacity summary'!$D$14="Yes",IF(COUNTBLANK('Capacity summary'!$H147:$BG147)&lt;52,IF('Capacity summary'!R147&lt;&gt;"",IF(LOWER('Capacity summary'!R147)="x",$BI28*R28,VALUE('Capacity summary'!R147)),0),R28*$BI28),R28*$BI28),0)</f>
        <v>0</v>
      </c>
      <c r="BV28" s="311">
        <f>IF($BI28&lt;&gt;"",IF('Capacity summary'!$D$14="Yes",IF(COUNTBLANK('Capacity summary'!$H147:$BG147)&lt;52,IF('Capacity summary'!S147&lt;&gt;"",IF(LOWER('Capacity summary'!S147)="x",$BI28*S28,VALUE('Capacity summary'!S147)),0),S28*$BI28),S28*$BI28),0)</f>
        <v>0</v>
      </c>
      <c r="BW28" s="311">
        <f>IF($BI28&lt;&gt;"",IF('Capacity summary'!$D$14="Yes",IF(COUNTBLANK('Capacity summary'!$H147:$BG147)&lt;52,IF('Capacity summary'!T147&lt;&gt;"",IF(LOWER('Capacity summary'!T147)="x",$BI28*T28,VALUE('Capacity summary'!T147)),0),T28*$BI28),T28*$BI28),0)</f>
        <v>0</v>
      </c>
      <c r="BX28" s="311">
        <f>IF($BI28&lt;&gt;"",IF('Capacity summary'!$D$14="Yes",IF(COUNTBLANK('Capacity summary'!$H147:$BG147)&lt;52,IF('Capacity summary'!U147&lt;&gt;"",IF(LOWER('Capacity summary'!U147)="x",$BI28*U28,VALUE('Capacity summary'!U147)),0),U28*$BI28),U28*$BI28),0)</f>
        <v>0</v>
      </c>
      <c r="BY28" s="311">
        <f>IF($BI28&lt;&gt;"",IF('Capacity summary'!$D$14="Yes",IF(COUNTBLANK('Capacity summary'!$H147:$BG147)&lt;52,IF('Capacity summary'!V147&lt;&gt;"",IF(LOWER('Capacity summary'!V147)="x",$BI28*V28,VALUE('Capacity summary'!V147)),0),V28*$BI28),V28*$BI28),0)</f>
        <v>0</v>
      </c>
      <c r="BZ28" s="311">
        <f>IF($BI28&lt;&gt;"",IF('Capacity summary'!$D$14="Yes",IF(COUNTBLANK('Capacity summary'!$H147:$BG147)&lt;52,IF('Capacity summary'!W147&lt;&gt;"",IF(LOWER('Capacity summary'!W147)="x",$BI28*W28,VALUE('Capacity summary'!W147)),0),W28*$BI28),W28*$BI28),0)</f>
        <v>0</v>
      </c>
      <c r="CA28" s="311">
        <f>IF($BI28&lt;&gt;"",IF('Capacity summary'!$D$14="Yes",IF(COUNTBLANK('Capacity summary'!$H147:$BG147)&lt;52,IF('Capacity summary'!X147&lt;&gt;"",IF(LOWER('Capacity summary'!X147)="x",$BI28*X28,VALUE('Capacity summary'!X147)),0),X28*$BI28),X28*$BI28),0)</f>
        <v>0</v>
      </c>
      <c r="CB28" s="311">
        <f>IF($BI28&lt;&gt;"",IF('Capacity summary'!$D$14="Yes",IF(COUNTBLANK('Capacity summary'!$H147:$BG147)&lt;52,IF('Capacity summary'!Y147&lt;&gt;"",IF(LOWER('Capacity summary'!Y147)="x",$BI28*Y28,VALUE('Capacity summary'!Y147)),0),Y28*$BI28),Y28*$BI28),0)</f>
        <v>0</v>
      </c>
      <c r="CC28" s="311">
        <f>IF($BI28&lt;&gt;"",IF('Capacity summary'!$D$14="Yes",IF(COUNTBLANK('Capacity summary'!$H147:$BG147)&lt;52,IF('Capacity summary'!Z147&lt;&gt;"",IF(LOWER('Capacity summary'!Z147)="x",$BI28*Z28,VALUE('Capacity summary'!Z147)),0),Z28*$BI28),Z28*$BI28),0)</f>
        <v>0</v>
      </c>
      <c r="CD28" s="311">
        <f>IF($BI28&lt;&gt;"",IF('Capacity summary'!$D$14="Yes",IF(COUNTBLANK('Capacity summary'!$H147:$BG147)&lt;52,IF('Capacity summary'!AA147&lt;&gt;"",IF(LOWER('Capacity summary'!AA147)="x",$BI28*AA28,VALUE('Capacity summary'!AA147)),0),AA28*$BI28),AA28*$BI28),0)</f>
        <v>0</v>
      </c>
      <c r="CE28" s="311">
        <f>IF($BI28&lt;&gt;"",IF('Capacity summary'!$D$14="Yes",IF(COUNTBLANK('Capacity summary'!$H147:$BG147)&lt;52,IF('Capacity summary'!AB147&lt;&gt;"",IF(LOWER('Capacity summary'!AB147)="x",$BI28*AB28,VALUE('Capacity summary'!AB147)),0),AB28*$BI28),AB28*$BI28),0)</f>
        <v>0</v>
      </c>
      <c r="CF28" s="311">
        <f>IF($BI28&lt;&gt;"",IF('Capacity summary'!$D$14="Yes",IF(COUNTBLANK('Capacity summary'!$H147:$BG147)&lt;52,IF('Capacity summary'!AC147&lt;&gt;"",IF(LOWER('Capacity summary'!AC147)="x",$BI28*AC28,VALUE('Capacity summary'!AC147)),0),AC28*$BI28),AC28*$BI28),0)</f>
        <v>0</v>
      </c>
      <c r="CG28" s="311">
        <f>IF($BI28&lt;&gt;"",IF('Capacity summary'!$D$14="Yes",IF(COUNTBLANK('Capacity summary'!$H147:$BG147)&lt;52,IF('Capacity summary'!AD147&lt;&gt;"",IF(LOWER('Capacity summary'!AD147)="x",$BI28*AD28,VALUE('Capacity summary'!AD147)),0),AD28*$BI28),AD28*$BI28),0)</f>
        <v>0</v>
      </c>
      <c r="CH28" s="311">
        <f>IF($BI28&lt;&gt;"",IF('Capacity summary'!$D$14="Yes",IF(COUNTBLANK('Capacity summary'!$H147:$BG147)&lt;52,IF('Capacity summary'!AE147&lt;&gt;"",IF(LOWER('Capacity summary'!AE147)="x",$BI28*AE28,VALUE('Capacity summary'!AE147)),0),AE28*$BI28),AE28*$BI28),0)</f>
        <v>0</v>
      </c>
      <c r="CI28" s="311">
        <f>IF($BI28&lt;&gt;"",IF('Capacity summary'!$D$14="Yes",IF(COUNTBLANK('Capacity summary'!$H147:$BG147)&lt;52,IF('Capacity summary'!AF147&lt;&gt;"",IF(LOWER('Capacity summary'!AF147)="x",$BI28*AF28,VALUE('Capacity summary'!AF147)),0),AF28*$BI28),AF28*$BI28),0)</f>
        <v>0</v>
      </c>
      <c r="CJ28" s="311">
        <f>IF($BI28&lt;&gt;"",IF('Capacity summary'!$D$14="Yes",IF(COUNTBLANK('Capacity summary'!$H147:$BG147)&lt;52,IF('Capacity summary'!AG147&lt;&gt;"",IF(LOWER('Capacity summary'!AG147)="x",$BI28*AG28,VALUE('Capacity summary'!AG147)),0),AG28*$BI28),AG28*$BI28),0)</f>
        <v>0</v>
      </c>
      <c r="CK28" s="311">
        <f>IF($BI28&lt;&gt;"",IF('Capacity summary'!$D$14="Yes",IF(COUNTBLANK('Capacity summary'!$H147:$BG147)&lt;52,IF('Capacity summary'!AH147&lt;&gt;"",IF(LOWER('Capacity summary'!AH147)="x",$BI28*AH28,VALUE('Capacity summary'!AH147)),0),AH28*$BI28),AH28*$BI28),0)</f>
        <v>0</v>
      </c>
      <c r="CL28" s="311">
        <f>IF($BI28&lt;&gt;"",IF('Capacity summary'!$D$14="Yes",IF(COUNTBLANK('Capacity summary'!$H147:$BG147)&lt;52,IF('Capacity summary'!AI147&lt;&gt;"",IF(LOWER('Capacity summary'!AI147)="x",$BI28*AI28,VALUE('Capacity summary'!AI147)),0),AI28*$BI28),AI28*$BI28),0)</f>
        <v>0</v>
      </c>
      <c r="CM28" s="311">
        <f>IF($BI28&lt;&gt;"",IF('Capacity summary'!$D$14="Yes",IF(COUNTBLANK('Capacity summary'!$H147:$BG147)&lt;52,IF('Capacity summary'!AJ147&lt;&gt;"",IF(LOWER('Capacity summary'!AJ147)="x",$BI28*AJ28,VALUE('Capacity summary'!AJ147)),0),AJ28*$BI28),AJ28*$BI28),0)</f>
        <v>0</v>
      </c>
      <c r="CN28" s="311">
        <f>IF($BI28&lt;&gt;"",IF('Capacity summary'!$D$14="Yes",IF(COUNTBLANK('Capacity summary'!$H147:$BG147)&lt;52,IF('Capacity summary'!AK147&lt;&gt;"",IF(LOWER('Capacity summary'!AK147)="x",$BI28*AK28,VALUE('Capacity summary'!AK147)),0),AK28*$BI28),AK28*$BI28),0)</f>
        <v>0</v>
      </c>
      <c r="CO28" s="311">
        <f>IF($BI28&lt;&gt;"",IF('Capacity summary'!$D$14="Yes",IF(COUNTBLANK('Capacity summary'!$H147:$BG147)&lt;52,IF('Capacity summary'!AL147&lt;&gt;"",IF(LOWER('Capacity summary'!AL147)="x",$BI28*AL28,VALUE('Capacity summary'!AL147)),0),AL28*$BI28),AL28*$BI28),0)</f>
        <v>0</v>
      </c>
      <c r="CP28" s="311">
        <f>IF($BI28&lt;&gt;"",IF('Capacity summary'!$D$14="Yes",IF(COUNTBLANK('Capacity summary'!$H147:$BG147)&lt;52,IF('Capacity summary'!AM147&lt;&gt;"",IF(LOWER('Capacity summary'!AM147)="x",$BI28*AM28,VALUE('Capacity summary'!AM147)),0),AM28*$BI28),AM28*$BI28),0)</f>
        <v>0</v>
      </c>
      <c r="CQ28" s="311">
        <f>IF($BI28&lt;&gt;"",IF('Capacity summary'!$D$14="Yes",IF(COUNTBLANK('Capacity summary'!$H147:$BG147)&lt;52,IF('Capacity summary'!AN147&lt;&gt;"",IF(LOWER('Capacity summary'!AN147)="x",$BI28*AN28,VALUE('Capacity summary'!AN147)),0),AN28*$BI28),AN28*$BI28),0)</f>
        <v>0</v>
      </c>
      <c r="CR28" s="311">
        <f>IF($BI28&lt;&gt;"",IF('Capacity summary'!$D$14="Yes",IF(COUNTBLANK('Capacity summary'!$H147:$BG147)&lt;52,IF('Capacity summary'!AO147&lt;&gt;"",IF(LOWER('Capacity summary'!AO147)="x",$BI28*AO28,VALUE('Capacity summary'!AO147)),0),AO28*$BI28),AO28*$BI28),0)</f>
        <v>0</v>
      </c>
      <c r="CS28" s="311">
        <f>IF($BI28&lt;&gt;"",IF('Capacity summary'!$D$14="Yes",IF(COUNTBLANK('Capacity summary'!$H147:$BG147)&lt;52,IF('Capacity summary'!AP147&lt;&gt;"",IF(LOWER('Capacity summary'!AP147)="x",$BI28*AP28,VALUE('Capacity summary'!AP147)),0),AP28*$BI28),AP28*$BI28),0)</f>
        <v>0</v>
      </c>
      <c r="CT28" s="311">
        <f>IF($BI28&lt;&gt;"",IF('Capacity summary'!$D$14="Yes",IF(COUNTBLANK('Capacity summary'!$H147:$BG147)&lt;52,IF('Capacity summary'!AQ147&lt;&gt;"",IF(LOWER('Capacity summary'!AQ147)="x",$BI28*AQ28,VALUE('Capacity summary'!AQ147)),0),AQ28*$BI28),AQ28*$BI28),0)</f>
        <v>0</v>
      </c>
      <c r="CU28" s="311">
        <f>IF($BI28&lt;&gt;"",IF('Capacity summary'!$D$14="Yes",IF(COUNTBLANK('Capacity summary'!$H147:$BG147)&lt;52,IF('Capacity summary'!AR147&lt;&gt;"",IF(LOWER('Capacity summary'!AR147)="x",$BI28*AR28,VALUE('Capacity summary'!AR147)),0),AR28*$BI28),AR28*$BI28),0)</f>
        <v>0</v>
      </c>
      <c r="CV28" s="311">
        <f>IF($BI28&lt;&gt;"",IF('Capacity summary'!$D$14="Yes",IF(COUNTBLANK('Capacity summary'!$H147:$BG147)&lt;52,IF('Capacity summary'!AS147&lt;&gt;"",IF(LOWER('Capacity summary'!AS147)="x",$BI28*AS28,VALUE('Capacity summary'!AS147)),0),AS28*$BI28),AS28*$BI28),0)</f>
        <v>0</v>
      </c>
      <c r="CW28" s="311">
        <f>IF($BI28&lt;&gt;"",IF('Capacity summary'!$D$14="Yes",IF(COUNTBLANK('Capacity summary'!$H147:$BG147)&lt;52,IF('Capacity summary'!AT147&lt;&gt;"",IF(LOWER('Capacity summary'!AT147)="x",$BI28*AT28,VALUE('Capacity summary'!AT147)),0),AT28*$BI28),AT28*$BI28),0)</f>
        <v>0</v>
      </c>
      <c r="CX28" s="311">
        <f>IF($BI28&lt;&gt;"",IF('Capacity summary'!$D$14="Yes",IF(COUNTBLANK('Capacity summary'!$H147:$BG147)&lt;52,IF('Capacity summary'!AU147&lt;&gt;"",IF(LOWER('Capacity summary'!AU147)="x",$BI28*AU28,VALUE('Capacity summary'!AU147)),0),AU28*$BI28),AU28*$BI28),0)</f>
        <v>0</v>
      </c>
      <c r="CY28" s="311">
        <f>IF($BI28&lt;&gt;"",IF('Capacity summary'!$D$14="Yes",IF(COUNTBLANK('Capacity summary'!$H147:$BG147)&lt;52,IF('Capacity summary'!AV147&lt;&gt;"",IF(LOWER('Capacity summary'!AV147)="x",$BI28*AV28,VALUE('Capacity summary'!AV147)),0),AV28*$BI28),AV28*$BI28),0)</f>
        <v>0</v>
      </c>
      <c r="CZ28" s="311">
        <f>IF($BI28&lt;&gt;"",IF('Capacity summary'!$D$14="Yes",IF(COUNTBLANK('Capacity summary'!$H147:$BG147)&lt;52,IF('Capacity summary'!AW147&lt;&gt;"",IF(LOWER('Capacity summary'!AW147)="x",$BI28*AW28,VALUE('Capacity summary'!AW147)),0),AW28*$BI28),AW28*$BI28),0)</f>
        <v>0</v>
      </c>
      <c r="DA28" s="311">
        <f>IF($BI28&lt;&gt;"",IF('Capacity summary'!$D$14="Yes",IF(COUNTBLANK('Capacity summary'!$H147:$BG147)&lt;52,IF('Capacity summary'!AX147&lt;&gt;"",IF(LOWER('Capacity summary'!AX147)="x",$BI28*AX28,VALUE('Capacity summary'!AX147)),0),AX28*$BI28),AX28*$BI28),0)</f>
        <v>0</v>
      </c>
      <c r="DB28" s="311">
        <f>IF($BI28&lt;&gt;"",IF('Capacity summary'!$D$14="Yes",IF(COUNTBLANK('Capacity summary'!$H147:$BG147)&lt;52,IF('Capacity summary'!AY147&lt;&gt;"",IF(LOWER('Capacity summary'!AY147)="x",$BI28*AY28,VALUE('Capacity summary'!AY147)),0),AY28*$BI28),AY28*$BI28),0)</f>
        <v>0</v>
      </c>
      <c r="DC28" s="311">
        <f>IF($BI28&lt;&gt;"",IF('Capacity summary'!$D$14="Yes",IF(COUNTBLANK('Capacity summary'!$H147:$BG147)&lt;52,IF('Capacity summary'!AZ147&lt;&gt;"",IF(LOWER('Capacity summary'!AZ147)="x",$BI28*AZ28,VALUE('Capacity summary'!AZ147)),0),AZ28*$BI28),AZ28*$BI28),0)</f>
        <v>0</v>
      </c>
      <c r="DD28" s="311">
        <f>IF($BI28&lt;&gt;"",IF('Capacity summary'!$D$14="Yes",IF(COUNTBLANK('Capacity summary'!$H147:$BG147)&lt;52,IF('Capacity summary'!BA147&lt;&gt;"",IF(LOWER('Capacity summary'!BA147)="x",$BI28*BA28,VALUE('Capacity summary'!BA147)),0),BA28*$BI28),BA28*$BI28),0)</f>
        <v>0</v>
      </c>
      <c r="DE28" s="311">
        <f>IF($BI28&lt;&gt;"",IF('Capacity summary'!$D$14="Yes",IF(COUNTBLANK('Capacity summary'!$H147:$BG147)&lt;52,IF('Capacity summary'!BB147&lt;&gt;"",IF(LOWER('Capacity summary'!BB147)="x",$BI28*BB28,VALUE('Capacity summary'!BB147)),0),BB28*$BI28),BB28*$BI28),0)</f>
        <v>0</v>
      </c>
      <c r="DF28" s="311">
        <f>IF($BI28&lt;&gt;"",IF('Capacity summary'!$D$14="Yes",IF(COUNTBLANK('Capacity summary'!$H147:$BG147)&lt;52,IF('Capacity summary'!BC147&lt;&gt;"",IF(LOWER('Capacity summary'!BC147)="x",$BI28*BC28,VALUE('Capacity summary'!BC147)),0),BC28*$BI28),BC28*$BI28),0)</f>
        <v>0</v>
      </c>
      <c r="DG28" s="311">
        <f>IF($BI28&lt;&gt;"",IF('Capacity summary'!$D$14="Yes",IF(COUNTBLANK('Capacity summary'!$H147:$BG147)&lt;52,IF('Capacity summary'!BD147&lt;&gt;"",IF(LOWER('Capacity summary'!BD147)="x",$BI28*BD28,VALUE('Capacity summary'!BD147)),0),BD28*$BI28),BD28*$BI28),0)</f>
        <v>0</v>
      </c>
      <c r="DH28" s="311">
        <f>IF($BI28&lt;&gt;"",IF('Capacity summary'!$D$14="Yes",IF(COUNTBLANK('Capacity summary'!$H147:$BG147)&lt;52,IF('Capacity summary'!BE147&lt;&gt;"",IF(LOWER('Capacity summary'!BE147)="x",$BI28*BE28,VALUE('Capacity summary'!BE147)),0),BE28*$BI28),BE28*$BI28),0)</f>
        <v>0</v>
      </c>
      <c r="DI28" s="311">
        <f>IF($BI28&lt;&gt;"",IF('Capacity summary'!$D$14="Yes",IF(COUNTBLANK('Capacity summary'!$H147:$BG147)&lt;52,IF('Capacity summary'!BF147&lt;&gt;"",IF(LOWER('Capacity summary'!BF147)="x",$BI28*BF28,VALUE('Capacity summary'!BF147)),0),BF28*$BI28),BF28*$BI28),0)</f>
        <v>0</v>
      </c>
      <c r="DJ28" s="311">
        <f>IF($BI28&lt;&gt;"",IF('Capacity summary'!$D$14="Yes",IF(COUNTBLANK('Capacity summary'!$H147:$BG147)&lt;52,IF('Capacity summary'!BG147&lt;&gt;"",IF(LOWER('Capacity summary'!BG147)="x",$BI28*BG28,VALUE('Capacity summary'!BG147)),0),BG28*$BI28),BG28*$BI28),0)</f>
        <v>0</v>
      </c>
      <c r="DK28" s="391">
        <f t="shared" si="2"/>
        <v>0</v>
      </c>
      <c r="DL28" s="136">
        <f t="shared" si="3"/>
        <v>0</v>
      </c>
      <c r="DM28" s="311" t="str">
        <f>Capacity!H40</f>
        <v/>
      </c>
      <c r="DQ28" s="5"/>
    </row>
    <row r="29" spans="1:121" x14ac:dyDescent="0.2">
      <c r="A29" s="67">
        <f>IF(Capacity!L41='Capacity summary'!BI148,1,0)</f>
        <v>1</v>
      </c>
      <c r="B29" s="67">
        <f>IF(Capacity!V41='Capacity summary'!BI48,1,0)</f>
        <v>1</v>
      </c>
      <c r="C29" s="67" t="str">
        <f>ROW(A25)&amp;". "&amp;Capacity!B41</f>
        <v xml:space="preserve">25. </v>
      </c>
      <c r="D29" s="67">
        <f>'Capacity setup'!C36</f>
        <v>0</v>
      </c>
      <c r="E29" s="67">
        <f>'Capacity setup'!D36</f>
        <v>0</v>
      </c>
      <c r="F29" s="67">
        <f>'Capacity setup'!E36</f>
        <v>0</v>
      </c>
      <c r="H29" s="67">
        <f ca="1">IF(LOWER(Capacity!$L41)="x",IF(AND(SUMIF(Capacity_Resource,$D29,'Critical resources (hide)'!U$6:U$105)+SUMIF(Capacity_Resource,$E29,'Critical resources (hide)'!U$6:U$105)+SUMIF(Capacity_Resource,$F29,'Critical resources (hide)'!U$6:U$105)&gt;0,$E$1=2),0,1),0)</f>
        <v>1</v>
      </c>
      <c r="I29" s="67">
        <f ca="1">IF(LOWER(Capacity!$L41)="x",IF(AND(SUMIF(Capacity_Resource,$D29,'Critical resources (hide)'!V$6:V$105)+SUMIF(Capacity_Resource,$E29,'Critical resources (hide)'!V$6:V$105)+SUMIF(Capacity_Resource,$F29,'Critical resources (hide)'!V$6:V$105)&gt;0,$E$1=2),0,1),0)</f>
        <v>1</v>
      </c>
      <c r="J29" s="67">
        <f ca="1">IF(LOWER(Capacity!$L41)="x",IF(AND(SUMIF(Capacity_Resource,$D29,'Critical resources (hide)'!W$6:W$105)+SUMIF(Capacity_Resource,$E29,'Critical resources (hide)'!W$6:W$105)+SUMIF(Capacity_Resource,$F29,'Critical resources (hide)'!W$6:W$105)&gt;0,$E$1=2),0,1),0)</f>
        <v>1</v>
      </c>
      <c r="K29" s="67">
        <f ca="1">IF(LOWER(Capacity!$L41)="x",IF(AND(SUMIF(Capacity_Resource,$D29,'Critical resources (hide)'!X$6:X$105)+SUMIF(Capacity_Resource,$E29,'Critical resources (hide)'!X$6:X$105)+SUMIF(Capacity_Resource,$F29,'Critical resources (hide)'!X$6:X$105)&gt;0,$E$1=2),0,1),0)</f>
        <v>1</v>
      </c>
      <c r="L29" s="67">
        <f ca="1">IF(LOWER(Capacity!$L41)="x",IF(AND(SUMIF(Capacity_Resource,$D29,'Critical resources (hide)'!Y$6:Y$105)+SUMIF(Capacity_Resource,$E29,'Critical resources (hide)'!Y$6:Y$105)+SUMIF(Capacity_Resource,$F29,'Critical resources (hide)'!Y$6:Y$105)&gt;0,$E$1=2),0,1),0)</f>
        <v>1</v>
      </c>
      <c r="M29" s="67">
        <f ca="1">IF(LOWER(Capacity!$L41)="x",IF(AND(SUMIF(Capacity_Resource,$D29,'Critical resources (hide)'!Z$6:Z$105)+SUMIF(Capacity_Resource,$E29,'Critical resources (hide)'!Z$6:Z$105)+SUMIF(Capacity_Resource,$F29,'Critical resources (hide)'!Z$6:Z$105)&gt;0,$E$1=2),0,1),0)</f>
        <v>1</v>
      </c>
      <c r="N29" s="67">
        <f ca="1">IF(LOWER(Capacity!$L41)="x",IF(AND(SUMIF(Capacity_Resource,$D29,'Critical resources (hide)'!AA$6:AA$105)+SUMIF(Capacity_Resource,$E29,'Critical resources (hide)'!AA$6:AA$105)+SUMIF(Capacity_Resource,$F29,'Critical resources (hide)'!AA$6:AA$105)&gt;0,$E$1=2),0,1),0)</f>
        <v>1</v>
      </c>
      <c r="O29" s="67">
        <f ca="1">IF(LOWER(Capacity!$L41)="x",IF(AND(SUMIF(Capacity_Resource,$D29,'Critical resources (hide)'!AB$6:AB$105)+SUMIF(Capacity_Resource,$E29,'Critical resources (hide)'!AB$6:AB$105)+SUMIF(Capacity_Resource,$F29,'Critical resources (hide)'!AB$6:AB$105)&gt;0,$E$1=2),0,1),0)</f>
        <v>1</v>
      </c>
      <c r="P29" s="67">
        <f ca="1">IF(LOWER(Capacity!$L41)="x",IF(AND(SUMIF(Capacity_Resource,$D29,'Critical resources (hide)'!AC$6:AC$105)+SUMIF(Capacity_Resource,$E29,'Critical resources (hide)'!AC$6:AC$105)+SUMIF(Capacity_Resource,$F29,'Critical resources (hide)'!AC$6:AC$105)&gt;0,$E$1=2),0,1),0)</f>
        <v>1</v>
      </c>
      <c r="Q29" s="67">
        <f ca="1">IF(LOWER(Capacity!$L41)="x",IF(AND(SUMIF(Capacity_Resource,$D29,'Critical resources (hide)'!AD$6:AD$105)+SUMIF(Capacity_Resource,$E29,'Critical resources (hide)'!AD$6:AD$105)+SUMIF(Capacity_Resource,$F29,'Critical resources (hide)'!AD$6:AD$105)&gt;0,$E$1=2),0,1),0)</f>
        <v>1</v>
      </c>
      <c r="R29" s="67">
        <f ca="1">IF(LOWER(Capacity!$L41)="x",IF(AND(SUMIF(Capacity_Resource,$D29,'Critical resources (hide)'!AE$6:AE$105)+SUMIF(Capacity_Resource,$E29,'Critical resources (hide)'!AE$6:AE$105)+SUMIF(Capacity_Resource,$F29,'Critical resources (hide)'!AE$6:AE$105)&gt;0,$E$1=2),0,1),0)</f>
        <v>1</v>
      </c>
      <c r="S29" s="67">
        <f ca="1">IF(LOWER(Capacity!$L41)="x",IF(AND(SUMIF(Capacity_Resource,$D29,'Critical resources (hide)'!AF$6:AF$105)+SUMIF(Capacity_Resource,$E29,'Critical resources (hide)'!AF$6:AF$105)+SUMIF(Capacity_Resource,$F29,'Critical resources (hide)'!AF$6:AF$105)&gt;0,$E$1=2),0,1),0)</f>
        <v>1</v>
      </c>
      <c r="T29" s="67">
        <f ca="1">IF(LOWER(Capacity!$L41)="x",IF(AND(SUMIF(Capacity_Resource,$D29,'Critical resources (hide)'!AG$6:AG$105)+SUMIF(Capacity_Resource,$E29,'Critical resources (hide)'!AG$6:AG$105)+SUMIF(Capacity_Resource,$F29,'Critical resources (hide)'!AG$6:AG$105)&gt;0,$E$1=2),0,1),0)</f>
        <v>1</v>
      </c>
      <c r="U29" s="67">
        <f ca="1">IF(LOWER(Capacity!$L41)="x",IF(AND(SUMIF(Capacity_Resource,$D29,'Critical resources (hide)'!AH$6:AH$105)+SUMIF(Capacity_Resource,$E29,'Critical resources (hide)'!AH$6:AH$105)+SUMIF(Capacity_Resource,$F29,'Critical resources (hide)'!AH$6:AH$105)&gt;0,$E$1=2),0,1),0)</f>
        <v>1</v>
      </c>
      <c r="V29" s="67">
        <f ca="1">IF(LOWER(Capacity!$L41)="x",IF(AND(SUMIF(Capacity_Resource,$D29,'Critical resources (hide)'!AI$6:AI$105)+SUMIF(Capacity_Resource,$E29,'Critical resources (hide)'!AI$6:AI$105)+SUMIF(Capacity_Resource,$F29,'Critical resources (hide)'!AI$6:AI$105)&gt;0,$E$1=2),0,1),0)</f>
        <v>1</v>
      </c>
      <c r="W29" s="67">
        <f ca="1">IF(LOWER(Capacity!$L41)="x",IF(AND(SUMIF(Capacity_Resource,$D29,'Critical resources (hide)'!AJ$6:AJ$105)+SUMIF(Capacity_Resource,$E29,'Critical resources (hide)'!AJ$6:AJ$105)+SUMIF(Capacity_Resource,$F29,'Critical resources (hide)'!AJ$6:AJ$105)&gt;0,$E$1=2),0,1),0)</f>
        <v>1</v>
      </c>
      <c r="X29" s="67">
        <f ca="1">IF(LOWER(Capacity!$L41)="x",IF(AND(SUMIF(Capacity_Resource,$D29,'Critical resources (hide)'!AK$6:AK$105)+SUMIF(Capacity_Resource,$E29,'Critical resources (hide)'!AK$6:AK$105)+SUMIF(Capacity_Resource,$F29,'Critical resources (hide)'!AK$6:AK$105)&gt;0,$E$1=2),0,1),0)</f>
        <v>1</v>
      </c>
      <c r="Y29" s="67">
        <f ca="1">IF(LOWER(Capacity!$L41)="x",IF(AND(SUMIF(Capacity_Resource,$D29,'Critical resources (hide)'!AL$6:AL$105)+SUMIF(Capacity_Resource,$E29,'Critical resources (hide)'!AL$6:AL$105)+SUMIF(Capacity_Resource,$F29,'Critical resources (hide)'!AL$6:AL$105)&gt;0,$E$1=2),0,1),0)</f>
        <v>1</v>
      </c>
      <c r="Z29" s="67">
        <f ca="1">IF(LOWER(Capacity!$L41)="x",IF(AND(SUMIF(Capacity_Resource,$D29,'Critical resources (hide)'!AM$6:AM$105)+SUMIF(Capacity_Resource,$E29,'Critical resources (hide)'!AM$6:AM$105)+SUMIF(Capacity_Resource,$F29,'Critical resources (hide)'!AM$6:AM$105)&gt;0,$E$1=2),0,1),0)</f>
        <v>1</v>
      </c>
      <c r="AA29" s="67">
        <f ca="1">IF(LOWER(Capacity!$L41)="x",IF(AND(SUMIF(Capacity_Resource,$D29,'Critical resources (hide)'!AN$6:AN$105)+SUMIF(Capacity_Resource,$E29,'Critical resources (hide)'!AN$6:AN$105)+SUMIF(Capacity_Resource,$F29,'Critical resources (hide)'!AN$6:AN$105)&gt;0,$E$1=2),0,1),0)</f>
        <v>1</v>
      </c>
      <c r="AB29" s="67">
        <f ca="1">IF(LOWER(Capacity!$L41)="x",IF(AND(SUMIF(Capacity_Resource,$D29,'Critical resources (hide)'!AO$6:AO$105)+SUMIF(Capacity_Resource,$E29,'Critical resources (hide)'!AO$6:AO$105)+SUMIF(Capacity_Resource,$F29,'Critical resources (hide)'!AO$6:AO$105)&gt;0,$E$1=2),0,1),0)</f>
        <v>1</v>
      </c>
      <c r="AC29" s="67">
        <f ca="1">IF(LOWER(Capacity!$L41)="x",IF(AND(SUMIF(Capacity_Resource,$D29,'Critical resources (hide)'!AP$6:AP$105)+SUMIF(Capacity_Resource,$E29,'Critical resources (hide)'!AP$6:AP$105)+SUMIF(Capacity_Resource,$F29,'Critical resources (hide)'!AP$6:AP$105)&gt;0,$E$1=2),0,1),0)</f>
        <v>1</v>
      </c>
      <c r="AD29" s="67">
        <f ca="1">IF(LOWER(Capacity!$L41)="x",IF(AND(SUMIF(Capacity_Resource,$D29,'Critical resources (hide)'!AQ$6:AQ$105)+SUMIF(Capacity_Resource,$E29,'Critical resources (hide)'!AQ$6:AQ$105)+SUMIF(Capacity_Resource,$F29,'Critical resources (hide)'!AQ$6:AQ$105)&gt;0,$E$1=2),0,1),0)</f>
        <v>1</v>
      </c>
      <c r="AE29" s="67">
        <f ca="1">IF(LOWER(Capacity!$L41)="x",IF(AND(SUMIF(Capacity_Resource,$D29,'Critical resources (hide)'!AR$6:AR$105)+SUMIF(Capacity_Resource,$E29,'Critical resources (hide)'!AR$6:AR$105)+SUMIF(Capacity_Resource,$F29,'Critical resources (hide)'!AR$6:AR$105)&gt;0,$E$1=2),0,1),0)</f>
        <v>1</v>
      </c>
      <c r="AF29" s="67">
        <f ca="1">IF(LOWER(Capacity!$L41)="x",IF(AND(SUMIF(Capacity_Resource,$D29,'Critical resources (hide)'!AS$6:AS$105)+SUMIF(Capacity_Resource,$E29,'Critical resources (hide)'!AS$6:AS$105)+SUMIF(Capacity_Resource,$F29,'Critical resources (hide)'!AS$6:AS$105)&gt;0,$E$1=2),0,1),0)</f>
        <v>1</v>
      </c>
      <c r="AG29" s="67">
        <f ca="1">IF(LOWER(Capacity!$L41)="x",IF(AND(SUMIF(Capacity_Resource,$D29,'Critical resources (hide)'!AT$6:AT$105)+SUMIF(Capacity_Resource,$E29,'Critical resources (hide)'!AT$6:AT$105)+SUMIF(Capacity_Resource,$F29,'Critical resources (hide)'!AT$6:AT$105)&gt;0,$E$1=2),0,1),0)</f>
        <v>1</v>
      </c>
      <c r="AH29" s="67">
        <f ca="1">IF(LOWER(Capacity!$L41)="x",IF(AND(SUMIF(Capacity_Resource,$D29,'Critical resources (hide)'!AU$6:AU$105)+SUMIF(Capacity_Resource,$E29,'Critical resources (hide)'!AU$6:AU$105)+SUMIF(Capacity_Resource,$F29,'Critical resources (hide)'!AU$6:AU$105)&gt;0,$E$1=2),0,1),0)</f>
        <v>1</v>
      </c>
      <c r="AI29" s="67">
        <f ca="1">IF(LOWER(Capacity!$L41)="x",IF(AND(SUMIF(Capacity_Resource,$D29,'Critical resources (hide)'!AV$6:AV$105)+SUMIF(Capacity_Resource,$E29,'Critical resources (hide)'!AV$6:AV$105)+SUMIF(Capacity_Resource,$F29,'Critical resources (hide)'!AV$6:AV$105)&gt;0,$E$1=2),0,1),0)</f>
        <v>1</v>
      </c>
      <c r="AJ29" s="67">
        <f ca="1">IF(LOWER(Capacity!$L41)="x",IF(AND(SUMIF(Capacity_Resource,$D29,'Critical resources (hide)'!AW$6:AW$105)+SUMIF(Capacity_Resource,$E29,'Critical resources (hide)'!AW$6:AW$105)+SUMIF(Capacity_Resource,$F29,'Critical resources (hide)'!AW$6:AW$105)&gt;0,$E$1=2),0,1),0)</f>
        <v>1</v>
      </c>
      <c r="AK29" s="67">
        <f ca="1">IF(LOWER(Capacity!$L41)="x",IF(AND(SUMIF(Capacity_Resource,$D29,'Critical resources (hide)'!AX$6:AX$105)+SUMIF(Capacity_Resource,$E29,'Critical resources (hide)'!AX$6:AX$105)+SUMIF(Capacity_Resource,$F29,'Critical resources (hide)'!AX$6:AX$105)&gt;0,$E$1=2),0,1),0)</f>
        <v>1</v>
      </c>
      <c r="AL29" s="67">
        <f ca="1">IF(LOWER(Capacity!$L41)="x",IF(AND(SUMIF(Capacity_Resource,$D29,'Critical resources (hide)'!AY$6:AY$105)+SUMIF(Capacity_Resource,$E29,'Critical resources (hide)'!AY$6:AY$105)+SUMIF(Capacity_Resource,$F29,'Critical resources (hide)'!AY$6:AY$105)&gt;0,$E$1=2),0,1),0)</f>
        <v>1</v>
      </c>
      <c r="AM29" s="67">
        <f ca="1">IF(LOWER(Capacity!$L41)="x",IF(AND(SUMIF(Capacity_Resource,$D29,'Critical resources (hide)'!AZ$6:AZ$105)+SUMIF(Capacity_Resource,$E29,'Critical resources (hide)'!AZ$6:AZ$105)+SUMIF(Capacity_Resource,$F29,'Critical resources (hide)'!AZ$6:AZ$105)&gt;0,$E$1=2),0,1),0)</f>
        <v>1</v>
      </c>
      <c r="AN29" s="67">
        <f ca="1">IF(LOWER(Capacity!$L41)="x",IF(AND(SUMIF(Capacity_Resource,$D29,'Critical resources (hide)'!BA$6:BA$105)+SUMIF(Capacity_Resource,$E29,'Critical resources (hide)'!BA$6:BA$105)+SUMIF(Capacity_Resource,$F29,'Critical resources (hide)'!BA$6:BA$105)&gt;0,$E$1=2),0,1),0)</f>
        <v>1</v>
      </c>
      <c r="AO29" s="67">
        <f ca="1">IF(LOWER(Capacity!$L41)="x",IF(AND(SUMIF(Capacity_Resource,$D29,'Critical resources (hide)'!BB$6:BB$105)+SUMIF(Capacity_Resource,$E29,'Critical resources (hide)'!BB$6:BB$105)+SUMIF(Capacity_Resource,$F29,'Critical resources (hide)'!BB$6:BB$105)&gt;0,$E$1=2),0,1),0)</f>
        <v>1</v>
      </c>
      <c r="AP29" s="67">
        <f ca="1">IF(LOWER(Capacity!$L41)="x",IF(AND(SUMIF(Capacity_Resource,$D29,'Critical resources (hide)'!BC$6:BC$105)+SUMIF(Capacity_Resource,$E29,'Critical resources (hide)'!BC$6:BC$105)+SUMIF(Capacity_Resource,$F29,'Critical resources (hide)'!BC$6:BC$105)&gt;0,$E$1=2),0,1),0)</f>
        <v>1</v>
      </c>
      <c r="AQ29" s="67">
        <f ca="1">IF(LOWER(Capacity!$L41)="x",IF(AND(SUMIF(Capacity_Resource,$D29,'Critical resources (hide)'!BD$6:BD$105)+SUMIF(Capacity_Resource,$E29,'Critical resources (hide)'!BD$6:BD$105)+SUMIF(Capacity_Resource,$F29,'Critical resources (hide)'!BD$6:BD$105)&gt;0,$E$1=2),0,1),0)</f>
        <v>1</v>
      </c>
      <c r="AR29" s="67">
        <f ca="1">IF(LOWER(Capacity!$L41)="x",IF(AND(SUMIF(Capacity_Resource,$D29,'Critical resources (hide)'!BE$6:BE$105)+SUMIF(Capacity_Resource,$E29,'Critical resources (hide)'!BE$6:BE$105)+SUMIF(Capacity_Resource,$F29,'Critical resources (hide)'!BE$6:BE$105)&gt;0,$E$1=2),0,1),0)</f>
        <v>1</v>
      </c>
      <c r="AS29" s="67">
        <f ca="1">IF(LOWER(Capacity!$L41)="x",IF(AND(SUMIF(Capacity_Resource,$D29,'Critical resources (hide)'!BF$6:BF$105)+SUMIF(Capacity_Resource,$E29,'Critical resources (hide)'!BF$6:BF$105)+SUMIF(Capacity_Resource,$F29,'Critical resources (hide)'!BF$6:BF$105)&gt;0,$E$1=2),0,1),0)</f>
        <v>1</v>
      </c>
      <c r="AT29" s="67">
        <f ca="1">IF(LOWER(Capacity!$L41)="x",IF(AND(SUMIF(Capacity_Resource,$D29,'Critical resources (hide)'!BG$6:BG$105)+SUMIF(Capacity_Resource,$E29,'Critical resources (hide)'!BG$6:BG$105)+SUMIF(Capacity_Resource,$F29,'Critical resources (hide)'!BG$6:BG$105)&gt;0,$E$1=2),0,1),0)</f>
        <v>1</v>
      </c>
      <c r="AU29" s="67">
        <f ca="1">IF(LOWER(Capacity!$L41)="x",IF(AND(SUMIF(Capacity_Resource,$D29,'Critical resources (hide)'!BH$6:BH$105)+SUMIF(Capacity_Resource,$E29,'Critical resources (hide)'!BH$6:BH$105)+SUMIF(Capacity_Resource,$F29,'Critical resources (hide)'!BH$6:BH$105)&gt;0,$E$1=2),0,1),0)</f>
        <v>1</v>
      </c>
      <c r="AV29" s="67">
        <f ca="1">IF(LOWER(Capacity!$L41)="x",IF(AND(SUMIF(Capacity_Resource,$D29,'Critical resources (hide)'!BI$6:BI$105)+SUMIF(Capacity_Resource,$E29,'Critical resources (hide)'!BI$6:BI$105)+SUMIF(Capacity_Resource,$F29,'Critical resources (hide)'!BI$6:BI$105)&gt;0,$E$1=2),0,1),0)</f>
        <v>1</v>
      </c>
      <c r="AW29" s="67">
        <f ca="1">IF(LOWER(Capacity!$L41)="x",IF(AND(SUMIF(Capacity_Resource,$D29,'Critical resources (hide)'!BJ$6:BJ$105)+SUMIF(Capacity_Resource,$E29,'Critical resources (hide)'!BJ$6:BJ$105)+SUMIF(Capacity_Resource,$F29,'Critical resources (hide)'!BJ$6:BJ$105)&gt;0,$E$1=2),0,1),0)</f>
        <v>1</v>
      </c>
      <c r="AX29" s="67">
        <f ca="1">IF(LOWER(Capacity!$L41)="x",IF(AND(SUMIF(Capacity_Resource,$D29,'Critical resources (hide)'!BK$6:BK$105)+SUMIF(Capacity_Resource,$E29,'Critical resources (hide)'!BK$6:BK$105)+SUMIF(Capacity_Resource,$F29,'Critical resources (hide)'!BK$6:BK$105)&gt;0,$E$1=2),0,1),0)</f>
        <v>1</v>
      </c>
      <c r="AY29" s="67">
        <f ca="1">IF(LOWER(Capacity!$L41)="x",IF(AND(SUMIF(Capacity_Resource,$D29,'Critical resources (hide)'!BL$6:BL$105)+SUMIF(Capacity_Resource,$E29,'Critical resources (hide)'!BL$6:BL$105)+SUMIF(Capacity_Resource,$F29,'Critical resources (hide)'!BL$6:BL$105)&gt;0,$E$1=2),0,1),0)</f>
        <v>1</v>
      </c>
      <c r="AZ29" s="67">
        <f ca="1">IF(LOWER(Capacity!$L41)="x",IF(AND(SUMIF(Capacity_Resource,$D29,'Critical resources (hide)'!BM$6:BM$105)+SUMIF(Capacity_Resource,$E29,'Critical resources (hide)'!BM$6:BM$105)+SUMIF(Capacity_Resource,$F29,'Critical resources (hide)'!BM$6:BM$105)&gt;0,$E$1=2),0,1),0)</f>
        <v>1</v>
      </c>
      <c r="BA29" s="67">
        <f ca="1">IF(LOWER(Capacity!$L41)="x",IF(AND(SUMIF(Capacity_Resource,$D29,'Critical resources (hide)'!BN$6:BN$105)+SUMIF(Capacity_Resource,$E29,'Critical resources (hide)'!BN$6:BN$105)+SUMIF(Capacity_Resource,$F29,'Critical resources (hide)'!BN$6:BN$105)&gt;0,$E$1=2),0,1),0)</f>
        <v>1</v>
      </c>
      <c r="BB29" s="67">
        <f ca="1">IF(LOWER(Capacity!$L41)="x",IF(AND(SUMIF(Capacity_Resource,$D29,'Critical resources (hide)'!BO$6:BO$105)+SUMIF(Capacity_Resource,$E29,'Critical resources (hide)'!BO$6:BO$105)+SUMIF(Capacity_Resource,$F29,'Critical resources (hide)'!BO$6:BO$105)&gt;0,$E$1=2),0,1),0)</f>
        <v>1</v>
      </c>
      <c r="BC29" s="67">
        <f ca="1">IF(LOWER(Capacity!$L41)="x",IF(AND(SUMIF(Capacity_Resource,$D29,'Critical resources (hide)'!BP$6:BP$105)+SUMIF(Capacity_Resource,$E29,'Critical resources (hide)'!BP$6:BP$105)+SUMIF(Capacity_Resource,$F29,'Critical resources (hide)'!BP$6:BP$105)&gt;0,$E$1=2),0,1),0)</f>
        <v>1</v>
      </c>
      <c r="BD29" s="67">
        <f ca="1">IF(LOWER(Capacity!$L41)="x",IF(AND(SUMIF(Capacity_Resource,$D29,'Critical resources (hide)'!BQ$6:BQ$105)+SUMIF(Capacity_Resource,$E29,'Critical resources (hide)'!BQ$6:BQ$105)+SUMIF(Capacity_Resource,$F29,'Critical resources (hide)'!BQ$6:BQ$105)&gt;0,$E$1=2),0,1),0)</f>
        <v>1</v>
      </c>
      <c r="BE29" s="67">
        <f ca="1">IF(LOWER(Capacity!$L41)="x",IF(AND(SUMIF(Capacity_Resource,$D29,'Critical resources (hide)'!BR$6:BR$105)+SUMIF(Capacity_Resource,$E29,'Critical resources (hide)'!BR$6:BR$105)+SUMIF(Capacity_Resource,$F29,'Critical resources (hide)'!BR$6:BR$105)&gt;0,$E$1=2),0,1),0)</f>
        <v>1</v>
      </c>
      <c r="BF29" s="67">
        <f ca="1">IF(LOWER(Capacity!$L41)="x",IF(AND(SUMIF(Capacity_Resource,$D29,'Critical resources (hide)'!BS$6:BS$105)+SUMIF(Capacity_Resource,$E29,'Critical resources (hide)'!BS$6:BS$105)+SUMIF(Capacity_Resource,$F29,'Critical resources (hide)'!BS$6:BS$105)&gt;0,$E$1=2),0,1),0)</f>
        <v>1</v>
      </c>
      <c r="BG29" s="67">
        <f ca="1">IF(LOWER(Capacity!$L41)="x",IF(AND(SUMIF(Capacity_Resource,$D29,'Critical resources (hide)'!BT$6:BT$105)+SUMIF(Capacity_Resource,$E29,'Critical resources (hide)'!BT$6:BT$105)+SUMIF(Capacity_Resource,$F29,'Critical resources (hide)'!BT$6:BT$105)&gt;0,$E$1=2),0,1),0)</f>
        <v>1</v>
      </c>
      <c r="BH29" s="67">
        <f>IF(ROW(C25)&lt;=Capacity!$A$16,IF('Capacity summary'!$D$14="No",SUM(H29:BG29),'Capacity summary'!$E148),0)</f>
        <v>0</v>
      </c>
      <c r="BI29" s="5" t="str">
        <f>IF(BH29&gt;0,IF(BH29&lt;Capacity!E41,Capacity!F41,Capacity!H41/'Capacity calculation (hide)'!BH29),"")</f>
        <v/>
      </c>
      <c r="BK29" s="311">
        <f>IF($BI29&lt;&gt;"",IF('Capacity summary'!$D$14="Yes",IF(COUNTBLANK('Capacity summary'!$H148:$BG148)&lt;52,IF('Capacity summary'!H148&lt;&gt;"",IF(LOWER('Capacity summary'!H148)="x",$BI29*H29,VALUE('Capacity summary'!H148)),0),H29*$BI29),H29*$BI29),0)</f>
        <v>0</v>
      </c>
      <c r="BL29" s="311">
        <f>IF($BI29&lt;&gt;"",IF('Capacity summary'!$D$14="Yes",IF(COUNTBLANK('Capacity summary'!$H148:$BG148)&lt;52,IF('Capacity summary'!I148&lt;&gt;"",IF(LOWER('Capacity summary'!I148)="x",$BI29*I29,VALUE('Capacity summary'!I148)),0),I29*$BI29),I29*$BI29),0)</f>
        <v>0</v>
      </c>
      <c r="BM29" s="311">
        <f>IF($BI29&lt;&gt;"",IF('Capacity summary'!$D$14="Yes",IF(COUNTBLANK('Capacity summary'!$H148:$BG148)&lt;52,IF('Capacity summary'!J148&lt;&gt;"",IF(LOWER('Capacity summary'!J148)="x",$BI29*J29,VALUE('Capacity summary'!J148)),0),J29*$BI29),J29*$BI29),0)</f>
        <v>0</v>
      </c>
      <c r="BN29" s="311">
        <f>IF($BI29&lt;&gt;"",IF('Capacity summary'!$D$14="Yes",IF(COUNTBLANK('Capacity summary'!$H148:$BG148)&lt;52,IF('Capacity summary'!K148&lt;&gt;"",IF(LOWER('Capacity summary'!K148)="x",$BI29*K29,VALUE('Capacity summary'!K148)),0),K29*$BI29),K29*$BI29),0)</f>
        <v>0</v>
      </c>
      <c r="BO29" s="311">
        <f>IF($BI29&lt;&gt;"",IF('Capacity summary'!$D$14="Yes",IF(COUNTBLANK('Capacity summary'!$H148:$BG148)&lt;52,IF('Capacity summary'!L148&lt;&gt;"",IF(LOWER('Capacity summary'!L148)="x",$BI29*L29,VALUE('Capacity summary'!L148)),0),L29*$BI29),L29*$BI29),0)</f>
        <v>0</v>
      </c>
      <c r="BP29" s="311">
        <f>IF($BI29&lt;&gt;"",IF('Capacity summary'!$D$14="Yes",IF(COUNTBLANK('Capacity summary'!$H148:$BG148)&lt;52,IF('Capacity summary'!M148&lt;&gt;"",IF(LOWER('Capacity summary'!M148)="x",$BI29*M29,VALUE('Capacity summary'!M148)),0),M29*$BI29),M29*$BI29),0)</f>
        <v>0</v>
      </c>
      <c r="BQ29" s="311">
        <f>IF($BI29&lt;&gt;"",IF('Capacity summary'!$D$14="Yes",IF(COUNTBLANK('Capacity summary'!$H148:$BG148)&lt;52,IF('Capacity summary'!N148&lt;&gt;"",IF(LOWER('Capacity summary'!N148)="x",$BI29*N29,VALUE('Capacity summary'!N148)),0),N29*$BI29),N29*$BI29),0)</f>
        <v>0</v>
      </c>
      <c r="BR29" s="311">
        <f>IF($BI29&lt;&gt;"",IF('Capacity summary'!$D$14="Yes",IF(COUNTBLANK('Capacity summary'!$H148:$BG148)&lt;52,IF('Capacity summary'!O148&lt;&gt;"",IF(LOWER('Capacity summary'!O148)="x",$BI29*O29,VALUE('Capacity summary'!O148)),0),O29*$BI29),O29*$BI29),0)</f>
        <v>0</v>
      </c>
      <c r="BS29" s="311">
        <f>IF($BI29&lt;&gt;"",IF('Capacity summary'!$D$14="Yes",IF(COUNTBLANK('Capacity summary'!$H148:$BG148)&lt;52,IF('Capacity summary'!P148&lt;&gt;"",IF(LOWER('Capacity summary'!P148)="x",$BI29*P29,VALUE('Capacity summary'!P148)),0),P29*$BI29),P29*$BI29),0)</f>
        <v>0</v>
      </c>
      <c r="BT29" s="311">
        <f>IF($BI29&lt;&gt;"",IF('Capacity summary'!$D$14="Yes",IF(COUNTBLANK('Capacity summary'!$H148:$BG148)&lt;52,IF('Capacity summary'!Q148&lt;&gt;"",IF(LOWER('Capacity summary'!Q148)="x",$BI29*Q29,VALUE('Capacity summary'!Q148)),0),Q29*$BI29),Q29*$BI29),0)</f>
        <v>0</v>
      </c>
      <c r="BU29" s="311">
        <f>IF($BI29&lt;&gt;"",IF('Capacity summary'!$D$14="Yes",IF(COUNTBLANK('Capacity summary'!$H148:$BG148)&lt;52,IF('Capacity summary'!R148&lt;&gt;"",IF(LOWER('Capacity summary'!R148)="x",$BI29*R29,VALUE('Capacity summary'!R148)),0),R29*$BI29),R29*$BI29),0)</f>
        <v>0</v>
      </c>
      <c r="BV29" s="311">
        <f>IF($BI29&lt;&gt;"",IF('Capacity summary'!$D$14="Yes",IF(COUNTBLANK('Capacity summary'!$H148:$BG148)&lt;52,IF('Capacity summary'!S148&lt;&gt;"",IF(LOWER('Capacity summary'!S148)="x",$BI29*S29,VALUE('Capacity summary'!S148)),0),S29*$BI29),S29*$BI29),0)</f>
        <v>0</v>
      </c>
      <c r="BW29" s="311">
        <f>IF($BI29&lt;&gt;"",IF('Capacity summary'!$D$14="Yes",IF(COUNTBLANK('Capacity summary'!$H148:$BG148)&lt;52,IF('Capacity summary'!T148&lt;&gt;"",IF(LOWER('Capacity summary'!T148)="x",$BI29*T29,VALUE('Capacity summary'!T148)),0),T29*$BI29),T29*$BI29),0)</f>
        <v>0</v>
      </c>
      <c r="BX29" s="311">
        <f>IF($BI29&lt;&gt;"",IF('Capacity summary'!$D$14="Yes",IF(COUNTBLANK('Capacity summary'!$H148:$BG148)&lt;52,IF('Capacity summary'!U148&lt;&gt;"",IF(LOWER('Capacity summary'!U148)="x",$BI29*U29,VALUE('Capacity summary'!U148)),0),U29*$BI29),U29*$BI29),0)</f>
        <v>0</v>
      </c>
      <c r="BY29" s="311">
        <f>IF($BI29&lt;&gt;"",IF('Capacity summary'!$D$14="Yes",IF(COUNTBLANK('Capacity summary'!$H148:$BG148)&lt;52,IF('Capacity summary'!V148&lt;&gt;"",IF(LOWER('Capacity summary'!V148)="x",$BI29*V29,VALUE('Capacity summary'!V148)),0),V29*$BI29),V29*$BI29),0)</f>
        <v>0</v>
      </c>
      <c r="BZ29" s="311">
        <f>IF($BI29&lt;&gt;"",IF('Capacity summary'!$D$14="Yes",IF(COUNTBLANK('Capacity summary'!$H148:$BG148)&lt;52,IF('Capacity summary'!W148&lt;&gt;"",IF(LOWER('Capacity summary'!W148)="x",$BI29*W29,VALUE('Capacity summary'!W148)),0),W29*$BI29),W29*$BI29),0)</f>
        <v>0</v>
      </c>
      <c r="CA29" s="311">
        <f>IF($BI29&lt;&gt;"",IF('Capacity summary'!$D$14="Yes",IF(COUNTBLANK('Capacity summary'!$H148:$BG148)&lt;52,IF('Capacity summary'!X148&lt;&gt;"",IF(LOWER('Capacity summary'!X148)="x",$BI29*X29,VALUE('Capacity summary'!X148)),0),X29*$BI29),X29*$BI29),0)</f>
        <v>0</v>
      </c>
      <c r="CB29" s="311">
        <f>IF($BI29&lt;&gt;"",IF('Capacity summary'!$D$14="Yes",IF(COUNTBLANK('Capacity summary'!$H148:$BG148)&lt;52,IF('Capacity summary'!Y148&lt;&gt;"",IF(LOWER('Capacity summary'!Y148)="x",$BI29*Y29,VALUE('Capacity summary'!Y148)),0),Y29*$BI29),Y29*$BI29),0)</f>
        <v>0</v>
      </c>
      <c r="CC29" s="311">
        <f>IF($BI29&lt;&gt;"",IF('Capacity summary'!$D$14="Yes",IF(COUNTBLANK('Capacity summary'!$H148:$BG148)&lt;52,IF('Capacity summary'!Z148&lt;&gt;"",IF(LOWER('Capacity summary'!Z148)="x",$BI29*Z29,VALUE('Capacity summary'!Z148)),0),Z29*$BI29),Z29*$BI29),0)</f>
        <v>0</v>
      </c>
      <c r="CD29" s="311">
        <f>IF($BI29&lt;&gt;"",IF('Capacity summary'!$D$14="Yes",IF(COUNTBLANK('Capacity summary'!$H148:$BG148)&lt;52,IF('Capacity summary'!AA148&lt;&gt;"",IF(LOWER('Capacity summary'!AA148)="x",$BI29*AA29,VALUE('Capacity summary'!AA148)),0),AA29*$BI29),AA29*$BI29),0)</f>
        <v>0</v>
      </c>
      <c r="CE29" s="311">
        <f>IF($BI29&lt;&gt;"",IF('Capacity summary'!$D$14="Yes",IF(COUNTBLANK('Capacity summary'!$H148:$BG148)&lt;52,IF('Capacity summary'!AB148&lt;&gt;"",IF(LOWER('Capacity summary'!AB148)="x",$BI29*AB29,VALUE('Capacity summary'!AB148)),0),AB29*$BI29),AB29*$BI29),0)</f>
        <v>0</v>
      </c>
      <c r="CF29" s="311">
        <f>IF($BI29&lt;&gt;"",IF('Capacity summary'!$D$14="Yes",IF(COUNTBLANK('Capacity summary'!$H148:$BG148)&lt;52,IF('Capacity summary'!AC148&lt;&gt;"",IF(LOWER('Capacity summary'!AC148)="x",$BI29*AC29,VALUE('Capacity summary'!AC148)),0),AC29*$BI29),AC29*$BI29),0)</f>
        <v>0</v>
      </c>
      <c r="CG29" s="311">
        <f>IF($BI29&lt;&gt;"",IF('Capacity summary'!$D$14="Yes",IF(COUNTBLANK('Capacity summary'!$H148:$BG148)&lt;52,IF('Capacity summary'!AD148&lt;&gt;"",IF(LOWER('Capacity summary'!AD148)="x",$BI29*AD29,VALUE('Capacity summary'!AD148)),0),AD29*$BI29),AD29*$BI29),0)</f>
        <v>0</v>
      </c>
      <c r="CH29" s="311">
        <f>IF($BI29&lt;&gt;"",IF('Capacity summary'!$D$14="Yes",IF(COUNTBLANK('Capacity summary'!$H148:$BG148)&lt;52,IF('Capacity summary'!AE148&lt;&gt;"",IF(LOWER('Capacity summary'!AE148)="x",$BI29*AE29,VALUE('Capacity summary'!AE148)),0),AE29*$BI29),AE29*$BI29),0)</f>
        <v>0</v>
      </c>
      <c r="CI29" s="311">
        <f>IF($BI29&lt;&gt;"",IF('Capacity summary'!$D$14="Yes",IF(COUNTBLANK('Capacity summary'!$H148:$BG148)&lt;52,IF('Capacity summary'!AF148&lt;&gt;"",IF(LOWER('Capacity summary'!AF148)="x",$BI29*AF29,VALUE('Capacity summary'!AF148)),0),AF29*$BI29),AF29*$BI29),0)</f>
        <v>0</v>
      </c>
      <c r="CJ29" s="311">
        <f>IF($BI29&lt;&gt;"",IF('Capacity summary'!$D$14="Yes",IF(COUNTBLANK('Capacity summary'!$H148:$BG148)&lt;52,IF('Capacity summary'!AG148&lt;&gt;"",IF(LOWER('Capacity summary'!AG148)="x",$BI29*AG29,VALUE('Capacity summary'!AG148)),0),AG29*$BI29),AG29*$BI29),0)</f>
        <v>0</v>
      </c>
      <c r="CK29" s="311">
        <f>IF($BI29&lt;&gt;"",IF('Capacity summary'!$D$14="Yes",IF(COUNTBLANK('Capacity summary'!$H148:$BG148)&lt;52,IF('Capacity summary'!AH148&lt;&gt;"",IF(LOWER('Capacity summary'!AH148)="x",$BI29*AH29,VALUE('Capacity summary'!AH148)),0),AH29*$BI29),AH29*$BI29),0)</f>
        <v>0</v>
      </c>
      <c r="CL29" s="311">
        <f>IF($BI29&lt;&gt;"",IF('Capacity summary'!$D$14="Yes",IF(COUNTBLANK('Capacity summary'!$H148:$BG148)&lt;52,IF('Capacity summary'!AI148&lt;&gt;"",IF(LOWER('Capacity summary'!AI148)="x",$BI29*AI29,VALUE('Capacity summary'!AI148)),0),AI29*$BI29),AI29*$BI29),0)</f>
        <v>0</v>
      </c>
      <c r="CM29" s="311">
        <f>IF($BI29&lt;&gt;"",IF('Capacity summary'!$D$14="Yes",IF(COUNTBLANK('Capacity summary'!$H148:$BG148)&lt;52,IF('Capacity summary'!AJ148&lt;&gt;"",IF(LOWER('Capacity summary'!AJ148)="x",$BI29*AJ29,VALUE('Capacity summary'!AJ148)),0),AJ29*$BI29),AJ29*$BI29),0)</f>
        <v>0</v>
      </c>
      <c r="CN29" s="311">
        <f>IF($BI29&lt;&gt;"",IF('Capacity summary'!$D$14="Yes",IF(COUNTBLANK('Capacity summary'!$H148:$BG148)&lt;52,IF('Capacity summary'!AK148&lt;&gt;"",IF(LOWER('Capacity summary'!AK148)="x",$BI29*AK29,VALUE('Capacity summary'!AK148)),0),AK29*$BI29),AK29*$BI29),0)</f>
        <v>0</v>
      </c>
      <c r="CO29" s="311">
        <f>IF($BI29&lt;&gt;"",IF('Capacity summary'!$D$14="Yes",IF(COUNTBLANK('Capacity summary'!$H148:$BG148)&lt;52,IF('Capacity summary'!AL148&lt;&gt;"",IF(LOWER('Capacity summary'!AL148)="x",$BI29*AL29,VALUE('Capacity summary'!AL148)),0),AL29*$BI29),AL29*$BI29),0)</f>
        <v>0</v>
      </c>
      <c r="CP29" s="311">
        <f>IF($BI29&lt;&gt;"",IF('Capacity summary'!$D$14="Yes",IF(COUNTBLANK('Capacity summary'!$H148:$BG148)&lt;52,IF('Capacity summary'!AM148&lt;&gt;"",IF(LOWER('Capacity summary'!AM148)="x",$BI29*AM29,VALUE('Capacity summary'!AM148)),0),AM29*$BI29),AM29*$BI29),0)</f>
        <v>0</v>
      </c>
      <c r="CQ29" s="311">
        <f>IF($BI29&lt;&gt;"",IF('Capacity summary'!$D$14="Yes",IF(COUNTBLANK('Capacity summary'!$H148:$BG148)&lt;52,IF('Capacity summary'!AN148&lt;&gt;"",IF(LOWER('Capacity summary'!AN148)="x",$BI29*AN29,VALUE('Capacity summary'!AN148)),0),AN29*$BI29),AN29*$BI29),0)</f>
        <v>0</v>
      </c>
      <c r="CR29" s="311">
        <f>IF($BI29&lt;&gt;"",IF('Capacity summary'!$D$14="Yes",IF(COUNTBLANK('Capacity summary'!$H148:$BG148)&lt;52,IF('Capacity summary'!AO148&lt;&gt;"",IF(LOWER('Capacity summary'!AO148)="x",$BI29*AO29,VALUE('Capacity summary'!AO148)),0),AO29*$BI29),AO29*$BI29),0)</f>
        <v>0</v>
      </c>
      <c r="CS29" s="311">
        <f>IF($BI29&lt;&gt;"",IF('Capacity summary'!$D$14="Yes",IF(COUNTBLANK('Capacity summary'!$H148:$BG148)&lt;52,IF('Capacity summary'!AP148&lt;&gt;"",IF(LOWER('Capacity summary'!AP148)="x",$BI29*AP29,VALUE('Capacity summary'!AP148)),0),AP29*$BI29),AP29*$BI29),0)</f>
        <v>0</v>
      </c>
      <c r="CT29" s="311">
        <f>IF($BI29&lt;&gt;"",IF('Capacity summary'!$D$14="Yes",IF(COUNTBLANK('Capacity summary'!$H148:$BG148)&lt;52,IF('Capacity summary'!AQ148&lt;&gt;"",IF(LOWER('Capacity summary'!AQ148)="x",$BI29*AQ29,VALUE('Capacity summary'!AQ148)),0),AQ29*$BI29),AQ29*$BI29),0)</f>
        <v>0</v>
      </c>
      <c r="CU29" s="311">
        <f>IF($BI29&lt;&gt;"",IF('Capacity summary'!$D$14="Yes",IF(COUNTBLANK('Capacity summary'!$H148:$BG148)&lt;52,IF('Capacity summary'!AR148&lt;&gt;"",IF(LOWER('Capacity summary'!AR148)="x",$BI29*AR29,VALUE('Capacity summary'!AR148)),0),AR29*$BI29),AR29*$BI29),0)</f>
        <v>0</v>
      </c>
      <c r="CV29" s="311">
        <f>IF($BI29&lt;&gt;"",IF('Capacity summary'!$D$14="Yes",IF(COUNTBLANK('Capacity summary'!$H148:$BG148)&lt;52,IF('Capacity summary'!AS148&lt;&gt;"",IF(LOWER('Capacity summary'!AS148)="x",$BI29*AS29,VALUE('Capacity summary'!AS148)),0),AS29*$BI29),AS29*$BI29),0)</f>
        <v>0</v>
      </c>
      <c r="CW29" s="311">
        <f>IF($BI29&lt;&gt;"",IF('Capacity summary'!$D$14="Yes",IF(COUNTBLANK('Capacity summary'!$H148:$BG148)&lt;52,IF('Capacity summary'!AT148&lt;&gt;"",IF(LOWER('Capacity summary'!AT148)="x",$BI29*AT29,VALUE('Capacity summary'!AT148)),0),AT29*$BI29),AT29*$BI29),0)</f>
        <v>0</v>
      </c>
      <c r="CX29" s="311">
        <f>IF($BI29&lt;&gt;"",IF('Capacity summary'!$D$14="Yes",IF(COUNTBLANK('Capacity summary'!$H148:$BG148)&lt;52,IF('Capacity summary'!AU148&lt;&gt;"",IF(LOWER('Capacity summary'!AU148)="x",$BI29*AU29,VALUE('Capacity summary'!AU148)),0),AU29*$BI29),AU29*$BI29),0)</f>
        <v>0</v>
      </c>
      <c r="CY29" s="311">
        <f>IF($BI29&lt;&gt;"",IF('Capacity summary'!$D$14="Yes",IF(COUNTBLANK('Capacity summary'!$H148:$BG148)&lt;52,IF('Capacity summary'!AV148&lt;&gt;"",IF(LOWER('Capacity summary'!AV148)="x",$BI29*AV29,VALUE('Capacity summary'!AV148)),0),AV29*$BI29),AV29*$BI29),0)</f>
        <v>0</v>
      </c>
      <c r="CZ29" s="311">
        <f>IF($BI29&lt;&gt;"",IF('Capacity summary'!$D$14="Yes",IF(COUNTBLANK('Capacity summary'!$H148:$BG148)&lt;52,IF('Capacity summary'!AW148&lt;&gt;"",IF(LOWER('Capacity summary'!AW148)="x",$BI29*AW29,VALUE('Capacity summary'!AW148)),0),AW29*$BI29),AW29*$BI29),0)</f>
        <v>0</v>
      </c>
      <c r="DA29" s="311">
        <f>IF($BI29&lt;&gt;"",IF('Capacity summary'!$D$14="Yes",IF(COUNTBLANK('Capacity summary'!$H148:$BG148)&lt;52,IF('Capacity summary'!AX148&lt;&gt;"",IF(LOWER('Capacity summary'!AX148)="x",$BI29*AX29,VALUE('Capacity summary'!AX148)),0),AX29*$BI29),AX29*$BI29),0)</f>
        <v>0</v>
      </c>
      <c r="DB29" s="311">
        <f>IF($BI29&lt;&gt;"",IF('Capacity summary'!$D$14="Yes",IF(COUNTBLANK('Capacity summary'!$H148:$BG148)&lt;52,IF('Capacity summary'!AY148&lt;&gt;"",IF(LOWER('Capacity summary'!AY148)="x",$BI29*AY29,VALUE('Capacity summary'!AY148)),0),AY29*$BI29),AY29*$BI29),0)</f>
        <v>0</v>
      </c>
      <c r="DC29" s="311">
        <f>IF($BI29&lt;&gt;"",IF('Capacity summary'!$D$14="Yes",IF(COUNTBLANK('Capacity summary'!$H148:$BG148)&lt;52,IF('Capacity summary'!AZ148&lt;&gt;"",IF(LOWER('Capacity summary'!AZ148)="x",$BI29*AZ29,VALUE('Capacity summary'!AZ148)),0),AZ29*$BI29),AZ29*$BI29),0)</f>
        <v>0</v>
      </c>
      <c r="DD29" s="311">
        <f>IF($BI29&lt;&gt;"",IF('Capacity summary'!$D$14="Yes",IF(COUNTBLANK('Capacity summary'!$H148:$BG148)&lt;52,IF('Capacity summary'!BA148&lt;&gt;"",IF(LOWER('Capacity summary'!BA148)="x",$BI29*BA29,VALUE('Capacity summary'!BA148)),0),BA29*$BI29),BA29*$BI29),0)</f>
        <v>0</v>
      </c>
      <c r="DE29" s="311">
        <f>IF($BI29&lt;&gt;"",IF('Capacity summary'!$D$14="Yes",IF(COUNTBLANK('Capacity summary'!$H148:$BG148)&lt;52,IF('Capacity summary'!BB148&lt;&gt;"",IF(LOWER('Capacity summary'!BB148)="x",$BI29*BB29,VALUE('Capacity summary'!BB148)),0),BB29*$BI29),BB29*$BI29),0)</f>
        <v>0</v>
      </c>
      <c r="DF29" s="311">
        <f>IF($BI29&lt;&gt;"",IF('Capacity summary'!$D$14="Yes",IF(COUNTBLANK('Capacity summary'!$H148:$BG148)&lt;52,IF('Capacity summary'!BC148&lt;&gt;"",IF(LOWER('Capacity summary'!BC148)="x",$BI29*BC29,VALUE('Capacity summary'!BC148)),0),BC29*$BI29),BC29*$BI29),0)</f>
        <v>0</v>
      </c>
      <c r="DG29" s="311">
        <f>IF($BI29&lt;&gt;"",IF('Capacity summary'!$D$14="Yes",IF(COUNTBLANK('Capacity summary'!$H148:$BG148)&lt;52,IF('Capacity summary'!BD148&lt;&gt;"",IF(LOWER('Capacity summary'!BD148)="x",$BI29*BD29,VALUE('Capacity summary'!BD148)),0),BD29*$BI29),BD29*$BI29),0)</f>
        <v>0</v>
      </c>
      <c r="DH29" s="311">
        <f>IF($BI29&lt;&gt;"",IF('Capacity summary'!$D$14="Yes",IF(COUNTBLANK('Capacity summary'!$H148:$BG148)&lt;52,IF('Capacity summary'!BE148&lt;&gt;"",IF(LOWER('Capacity summary'!BE148)="x",$BI29*BE29,VALUE('Capacity summary'!BE148)),0),BE29*$BI29),BE29*$BI29),0)</f>
        <v>0</v>
      </c>
      <c r="DI29" s="311">
        <f>IF($BI29&lt;&gt;"",IF('Capacity summary'!$D$14="Yes",IF(COUNTBLANK('Capacity summary'!$H148:$BG148)&lt;52,IF('Capacity summary'!BF148&lt;&gt;"",IF(LOWER('Capacity summary'!BF148)="x",$BI29*BF29,VALUE('Capacity summary'!BF148)),0),BF29*$BI29),BF29*$BI29),0)</f>
        <v>0</v>
      </c>
      <c r="DJ29" s="311">
        <f>IF($BI29&lt;&gt;"",IF('Capacity summary'!$D$14="Yes",IF(COUNTBLANK('Capacity summary'!$H148:$BG148)&lt;52,IF('Capacity summary'!BG148&lt;&gt;"",IF(LOWER('Capacity summary'!BG148)="x",$BI29*BG29,VALUE('Capacity summary'!BG148)),0),BG29*$BI29),BG29*$BI29),0)</f>
        <v>0</v>
      </c>
      <c r="DK29" s="391">
        <f t="shared" si="2"/>
        <v>0</v>
      </c>
      <c r="DL29" s="136">
        <f t="shared" si="3"/>
        <v>0</v>
      </c>
      <c r="DM29" s="311" t="str">
        <f>Capacity!H41</f>
        <v/>
      </c>
      <c r="DQ29" s="5"/>
    </row>
    <row r="30" spans="1:121" x14ac:dyDescent="0.2">
      <c r="A30" s="67">
        <f>IF(Capacity!L42='Capacity summary'!BI149,1,0)</f>
        <v>1</v>
      </c>
      <c r="B30" s="67">
        <f>IF(Capacity!V42='Capacity summary'!BI49,1,0)</f>
        <v>1</v>
      </c>
      <c r="C30" s="67" t="str">
        <f>ROW(A26)&amp;". "&amp;Capacity!B42</f>
        <v xml:space="preserve">26. </v>
      </c>
      <c r="D30" s="67">
        <f>'Capacity setup'!C37</f>
        <v>0</v>
      </c>
      <c r="E30" s="67">
        <f>'Capacity setup'!D37</f>
        <v>0</v>
      </c>
      <c r="F30" s="67">
        <f>'Capacity setup'!E37</f>
        <v>0</v>
      </c>
      <c r="H30" s="67">
        <f ca="1">IF(LOWER(Capacity!$L42)="x",IF(AND(SUMIF(Capacity_Resource,$D30,'Critical resources (hide)'!U$6:U$105)+SUMIF(Capacity_Resource,$E30,'Critical resources (hide)'!U$6:U$105)+SUMIF(Capacity_Resource,$F30,'Critical resources (hide)'!U$6:U$105)&gt;0,$E$1=2),0,1),0)</f>
        <v>1</v>
      </c>
      <c r="I30" s="67">
        <f ca="1">IF(LOWER(Capacity!$L42)="x",IF(AND(SUMIF(Capacity_Resource,$D30,'Critical resources (hide)'!V$6:V$105)+SUMIF(Capacity_Resource,$E30,'Critical resources (hide)'!V$6:V$105)+SUMIF(Capacity_Resource,$F30,'Critical resources (hide)'!V$6:V$105)&gt;0,$E$1=2),0,1),0)</f>
        <v>1</v>
      </c>
      <c r="J30" s="67">
        <f ca="1">IF(LOWER(Capacity!$L42)="x",IF(AND(SUMIF(Capacity_Resource,$D30,'Critical resources (hide)'!W$6:W$105)+SUMIF(Capacity_Resource,$E30,'Critical resources (hide)'!W$6:W$105)+SUMIF(Capacity_Resource,$F30,'Critical resources (hide)'!W$6:W$105)&gt;0,$E$1=2),0,1),0)</f>
        <v>1</v>
      </c>
      <c r="K30" s="67">
        <f ca="1">IF(LOWER(Capacity!$L42)="x",IF(AND(SUMIF(Capacity_Resource,$D30,'Critical resources (hide)'!X$6:X$105)+SUMIF(Capacity_Resource,$E30,'Critical resources (hide)'!X$6:X$105)+SUMIF(Capacity_Resource,$F30,'Critical resources (hide)'!X$6:X$105)&gt;0,$E$1=2),0,1),0)</f>
        <v>1</v>
      </c>
      <c r="L30" s="67">
        <f ca="1">IF(LOWER(Capacity!$L42)="x",IF(AND(SUMIF(Capacity_Resource,$D30,'Critical resources (hide)'!Y$6:Y$105)+SUMIF(Capacity_Resource,$E30,'Critical resources (hide)'!Y$6:Y$105)+SUMIF(Capacity_Resource,$F30,'Critical resources (hide)'!Y$6:Y$105)&gt;0,$E$1=2),0,1),0)</f>
        <v>1</v>
      </c>
      <c r="M30" s="67">
        <f ca="1">IF(LOWER(Capacity!$L42)="x",IF(AND(SUMIF(Capacity_Resource,$D30,'Critical resources (hide)'!Z$6:Z$105)+SUMIF(Capacity_Resource,$E30,'Critical resources (hide)'!Z$6:Z$105)+SUMIF(Capacity_Resource,$F30,'Critical resources (hide)'!Z$6:Z$105)&gt;0,$E$1=2),0,1),0)</f>
        <v>1</v>
      </c>
      <c r="N30" s="67">
        <f ca="1">IF(LOWER(Capacity!$L42)="x",IF(AND(SUMIF(Capacity_Resource,$D30,'Critical resources (hide)'!AA$6:AA$105)+SUMIF(Capacity_Resource,$E30,'Critical resources (hide)'!AA$6:AA$105)+SUMIF(Capacity_Resource,$F30,'Critical resources (hide)'!AA$6:AA$105)&gt;0,$E$1=2),0,1),0)</f>
        <v>1</v>
      </c>
      <c r="O30" s="67">
        <f ca="1">IF(LOWER(Capacity!$L42)="x",IF(AND(SUMIF(Capacity_Resource,$D30,'Critical resources (hide)'!AB$6:AB$105)+SUMIF(Capacity_Resource,$E30,'Critical resources (hide)'!AB$6:AB$105)+SUMIF(Capacity_Resource,$F30,'Critical resources (hide)'!AB$6:AB$105)&gt;0,$E$1=2),0,1),0)</f>
        <v>1</v>
      </c>
      <c r="P30" s="67">
        <f ca="1">IF(LOWER(Capacity!$L42)="x",IF(AND(SUMIF(Capacity_Resource,$D30,'Critical resources (hide)'!AC$6:AC$105)+SUMIF(Capacity_Resource,$E30,'Critical resources (hide)'!AC$6:AC$105)+SUMIF(Capacity_Resource,$F30,'Critical resources (hide)'!AC$6:AC$105)&gt;0,$E$1=2),0,1),0)</f>
        <v>1</v>
      </c>
      <c r="Q30" s="67">
        <f ca="1">IF(LOWER(Capacity!$L42)="x",IF(AND(SUMIF(Capacity_Resource,$D30,'Critical resources (hide)'!AD$6:AD$105)+SUMIF(Capacity_Resource,$E30,'Critical resources (hide)'!AD$6:AD$105)+SUMIF(Capacity_Resource,$F30,'Critical resources (hide)'!AD$6:AD$105)&gt;0,$E$1=2),0,1),0)</f>
        <v>1</v>
      </c>
      <c r="R30" s="67">
        <f ca="1">IF(LOWER(Capacity!$L42)="x",IF(AND(SUMIF(Capacity_Resource,$D30,'Critical resources (hide)'!AE$6:AE$105)+SUMIF(Capacity_Resource,$E30,'Critical resources (hide)'!AE$6:AE$105)+SUMIF(Capacity_Resource,$F30,'Critical resources (hide)'!AE$6:AE$105)&gt;0,$E$1=2),0,1),0)</f>
        <v>1</v>
      </c>
      <c r="S30" s="67">
        <f ca="1">IF(LOWER(Capacity!$L42)="x",IF(AND(SUMIF(Capacity_Resource,$D30,'Critical resources (hide)'!AF$6:AF$105)+SUMIF(Capacity_Resource,$E30,'Critical resources (hide)'!AF$6:AF$105)+SUMIF(Capacity_Resource,$F30,'Critical resources (hide)'!AF$6:AF$105)&gt;0,$E$1=2),0,1),0)</f>
        <v>1</v>
      </c>
      <c r="T30" s="67">
        <f ca="1">IF(LOWER(Capacity!$L42)="x",IF(AND(SUMIF(Capacity_Resource,$D30,'Critical resources (hide)'!AG$6:AG$105)+SUMIF(Capacity_Resource,$E30,'Critical resources (hide)'!AG$6:AG$105)+SUMIF(Capacity_Resource,$F30,'Critical resources (hide)'!AG$6:AG$105)&gt;0,$E$1=2),0,1),0)</f>
        <v>1</v>
      </c>
      <c r="U30" s="67">
        <f ca="1">IF(LOWER(Capacity!$L42)="x",IF(AND(SUMIF(Capacity_Resource,$D30,'Critical resources (hide)'!AH$6:AH$105)+SUMIF(Capacity_Resource,$E30,'Critical resources (hide)'!AH$6:AH$105)+SUMIF(Capacity_Resource,$F30,'Critical resources (hide)'!AH$6:AH$105)&gt;0,$E$1=2),0,1),0)</f>
        <v>1</v>
      </c>
      <c r="V30" s="67">
        <f ca="1">IF(LOWER(Capacity!$L42)="x",IF(AND(SUMIF(Capacity_Resource,$D30,'Critical resources (hide)'!AI$6:AI$105)+SUMIF(Capacity_Resource,$E30,'Critical resources (hide)'!AI$6:AI$105)+SUMIF(Capacity_Resource,$F30,'Critical resources (hide)'!AI$6:AI$105)&gt;0,$E$1=2),0,1),0)</f>
        <v>1</v>
      </c>
      <c r="W30" s="67">
        <f ca="1">IF(LOWER(Capacity!$L42)="x",IF(AND(SUMIF(Capacity_Resource,$D30,'Critical resources (hide)'!AJ$6:AJ$105)+SUMIF(Capacity_Resource,$E30,'Critical resources (hide)'!AJ$6:AJ$105)+SUMIF(Capacity_Resource,$F30,'Critical resources (hide)'!AJ$6:AJ$105)&gt;0,$E$1=2),0,1),0)</f>
        <v>1</v>
      </c>
      <c r="X30" s="67">
        <f ca="1">IF(LOWER(Capacity!$L42)="x",IF(AND(SUMIF(Capacity_Resource,$D30,'Critical resources (hide)'!AK$6:AK$105)+SUMIF(Capacity_Resource,$E30,'Critical resources (hide)'!AK$6:AK$105)+SUMIF(Capacity_Resource,$F30,'Critical resources (hide)'!AK$6:AK$105)&gt;0,$E$1=2),0,1),0)</f>
        <v>1</v>
      </c>
      <c r="Y30" s="67">
        <f ca="1">IF(LOWER(Capacity!$L42)="x",IF(AND(SUMIF(Capacity_Resource,$D30,'Critical resources (hide)'!AL$6:AL$105)+SUMIF(Capacity_Resource,$E30,'Critical resources (hide)'!AL$6:AL$105)+SUMIF(Capacity_Resource,$F30,'Critical resources (hide)'!AL$6:AL$105)&gt;0,$E$1=2),0,1),0)</f>
        <v>1</v>
      </c>
      <c r="Z30" s="67">
        <f ca="1">IF(LOWER(Capacity!$L42)="x",IF(AND(SUMIF(Capacity_Resource,$D30,'Critical resources (hide)'!AM$6:AM$105)+SUMIF(Capacity_Resource,$E30,'Critical resources (hide)'!AM$6:AM$105)+SUMIF(Capacity_Resource,$F30,'Critical resources (hide)'!AM$6:AM$105)&gt;0,$E$1=2),0,1),0)</f>
        <v>1</v>
      </c>
      <c r="AA30" s="67">
        <f ca="1">IF(LOWER(Capacity!$L42)="x",IF(AND(SUMIF(Capacity_Resource,$D30,'Critical resources (hide)'!AN$6:AN$105)+SUMIF(Capacity_Resource,$E30,'Critical resources (hide)'!AN$6:AN$105)+SUMIF(Capacity_Resource,$F30,'Critical resources (hide)'!AN$6:AN$105)&gt;0,$E$1=2),0,1),0)</f>
        <v>1</v>
      </c>
      <c r="AB30" s="67">
        <f ca="1">IF(LOWER(Capacity!$L42)="x",IF(AND(SUMIF(Capacity_Resource,$D30,'Critical resources (hide)'!AO$6:AO$105)+SUMIF(Capacity_Resource,$E30,'Critical resources (hide)'!AO$6:AO$105)+SUMIF(Capacity_Resource,$F30,'Critical resources (hide)'!AO$6:AO$105)&gt;0,$E$1=2),0,1),0)</f>
        <v>1</v>
      </c>
      <c r="AC30" s="67">
        <f ca="1">IF(LOWER(Capacity!$L42)="x",IF(AND(SUMIF(Capacity_Resource,$D30,'Critical resources (hide)'!AP$6:AP$105)+SUMIF(Capacity_Resource,$E30,'Critical resources (hide)'!AP$6:AP$105)+SUMIF(Capacity_Resource,$F30,'Critical resources (hide)'!AP$6:AP$105)&gt;0,$E$1=2),0,1),0)</f>
        <v>1</v>
      </c>
      <c r="AD30" s="67">
        <f ca="1">IF(LOWER(Capacity!$L42)="x",IF(AND(SUMIF(Capacity_Resource,$D30,'Critical resources (hide)'!AQ$6:AQ$105)+SUMIF(Capacity_Resource,$E30,'Critical resources (hide)'!AQ$6:AQ$105)+SUMIF(Capacity_Resource,$F30,'Critical resources (hide)'!AQ$6:AQ$105)&gt;0,$E$1=2),0,1),0)</f>
        <v>1</v>
      </c>
      <c r="AE30" s="67">
        <f ca="1">IF(LOWER(Capacity!$L42)="x",IF(AND(SUMIF(Capacity_Resource,$D30,'Critical resources (hide)'!AR$6:AR$105)+SUMIF(Capacity_Resource,$E30,'Critical resources (hide)'!AR$6:AR$105)+SUMIF(Capacity_Resource,$F30,'Critical resources (hide)'!AR$6:AR$105)&gt;0,$E$1=2),0,1),0)</f>
        <v>1</v>
      </c>
      <c r="AF30" s="67">
        <f ca="1">IF(LOWER(Capacity!$L42)="x",IF(AND(SUMIF(Capacity_Resource,$D30,'Critical resources (hide)'!AS$6:AS$105)+SUMIF(Capacity_Resource,$E30,'Critical resources (hide)'!AS$6:AS$105)+SUMIF(Capacity_Resource,$F30,'Critical resources (hide)'!AS$6:AS$105)&gt;0,$E$1=2),0,1),0)</f>
        <v>1</v>
      </c>
      <c r="AG30" s="67">
        <f ca="1">IF(LOWER(Capacity!$L42)="x",IF(AND(SUMIF(Capacity_Resource,$D30,'Critical resources (hide)'!AT$6:AT$105)+SUMIF(Capacity_Resource,$E30,'Critical resources (hide)'!AT$6:AT$105)+SUMIF(Capacity_Resource,$F30,'Critical resources (hide)'!AT$6:AT$105)&gt;0,$E$1=2),0,1),0)</f>
        <v>1</v>
      </c>
      <c r="AH30" s="67">
        <f ca="1">IF(LOWER(Capacity!$L42)="x",IF(AND(SUMIF(Capacity_Resource,$D30,'Critical resources (hide)'!AU$6:AU$105)+SUMIF(Capacity_Resource,$E30,'Critical resources (hide)'!AU$6:AU$105)+SUMIF(Capacity_Resource,$F30,'Critical resources (hide)'!AU$6:AU$105)&gt;0,$E$1=2),0,1),0)</f>
        <v>1</v>
      </c>
      <c r="AI30" s="67">
        <f ca="1">IF(LOWER(Capacity!$L42)="x",IF(AND(SUMIF(Capacity_Resource,$D30,'Critical resources (hide)'!AV$6:AV$105)+SUMIF(Capacity_Resource,$E30,'Critical resources (hide)'!AV$6:AV$105)+SUMIF(Capacity_Resource,$F30,'Critical resources (hide)'!AV$6:AV$105)&gt;0,$E$1=2),0,1),0)</f>
        <v>1</v>
      </c>
      <c r="AJ30" s="67">
        <f ca="1">IF(LOWER(Capacity!$L42)="x",IF(AND(SUMIF(Capacity_Resource,$D30,'Critical resources (hide)'!AW$6:AW$105)+SUMIF(Capacity_Resource,$E30,'Critical resources (hide)'!AW$6:AW$105)+SUMIF(Capacity_Resource,$F30,'Critical resources (hide)'!AW$6:AW$105)&gt;0,$E$1=2),0,1),0)</f>
        <v>1</v>
      </c>
      <c r="AK30" s="67">
        <f ca="1">IF(LOWER(Capacity!$L42)="x",IF(AND(SUMIF(Capacity_Resource,$D30,'Critical resources (hide)'!AX$6:AX$105)+SUMIF(Capacity_Resource,$E30,'Critical resources (hide)'!AX$6:AX$105)+SUMIF(Capacity_Resource,$F30,'Critical resources (hide)'!AX$6:AX$105)&gt;0,$E$1=2),0,1),0)</f>
        <v>1</v>
      </c>
      <c r="AL30" s="67">
        <f ca="1">IF(LOWER(Capacity!$L42)="x",IF(AND(SUMIF(Capacity_Resource,$D30,'Critical resources (hide)'!AY$6:AY$105)+SUMIF(Capacity_Resource,$E30,'Critical resources (hide)'!AY$6:AY$105)+SUMIF(Capacity_Resource,$F30,'Critical resources (hide)'!AY$6:AY$105)&gt;0,$E$1=2),0,1),0)</f>
        <v>1</v>
      </c>
      <c r="AM30" s="67">
        <f ca="1">IF(LOWER(Capacity!$L42)="x",IF(AND(SUMIF(Capacity_Resource,$D30,'Critical resources (hide)'!AZ$6:AZ$105)+SUMIF(Capacity_Resource,$E30,'Critical resources (hide)'!AZ$6:AZ$105)+SUMIF(Capacity_Resource,$F30,'Critical resources (hide)'!AZ$6:AZ$105)&gt;0,$E$1=2),0,1),0)</f>
        <v>1</v>
      </c>
      <c r="AN30" s="67">
        <f ca="1">IF(LOWER(Capacity!$L42)="x",IF(AND(SUMIF(Capacity_Resource,$D30,'Critical resources (hide)'!BA$6:BA$105)+SUMIF(Capacity_Resource,$E30,'Critical resources (hide)'!BA$6:BA$105)+SUMIF(Capacity_Resource,$F30,'Critical resources (hide)'!BA$6:BA$105)&gt;0,$E$1=2),0,1),0)</f>
        <v>1</v>
      </c>
      <c r="AO30" s="67">
        <f ca="1">IF(LOWER(Capacity!$L42)="x",IF(AND(SUMIF(Capacity_Resource,$D30,'Critical resources (hide)'!BB$6:BB$105)+SUMIF(Capacity_Resource,$E30,'Critical resources (hide)'!BB$6:BB$105)+SUMIF(Capacity_Resource,$F30,'Critical resources (hide)'!BB$6:BB$105)&gt;0,$E$1=2),0,1),0)</f>
        <v>1</v>
      </c>
      <c r="AP30" s="67">
        <f ca="1">IF(LOWER(Capacity!$L42)="x",IF(AND(SUMIF(Capacity_Resource,$D30,'Critical resources (hide)'!BC$6:BC$105)+SUMIF(Capacity_Resource,$E30,'Critical resources (hide)'!BC$6:BC$105)+SUMIF(Capacity_Resource,$F30,'Critical resources (hide)'!BC$6:BC$105)&gt;0,$E$1=2),0,1),0)</f>
        <v>1</v>
      </c>
      <c r="AQ30" s="67">
        <f ca="1">IF(LOWER(Capacity!$L42)="x",IF(AND(SUMIF(Capacity_Resource,$D30,'Critical resources (hide)'!BD$6:BD$105)+SUMIF(Capacity_Resource,$E30,'Critical resources (hide)'!BD$6:BD$105)+SUMIF(Capacity_Resource,$F30,'Critical resources (hide)'!BD$6:BD$105)&gt;0,$E$1=2),0,1),0)</f>
        <v>1</v>
      </c>
      <c r="AR30" s="67">
        <f ca="1">IF(LOWER(Capacity!$L42)="x",IF(AND(SUMIF(Capacity_Resource,$D30,'Critical resources (hide)'!BE$6:BE$105)+SUMIF(Capacity_Resource,$E30,'Critical resources (hide)'!BE$6:BE$105)+SUMIF(Capacity_Resource,$F30,'Critical resources (hide)'!BE$6:BE$105)&gt;0,$E$1=2),0,1),0)</f>
        <v>1</v>
      </c>
      <c r="AS30" s="67">
        <f ca="1">IF(LOWER(Capacity!$L42)="x",IF(AND(SUMIF(Capacity_Resource,$D30,'Critical resources (hide)'!BF$6:BF$105)+SUMIF(Capacity_Resource,$E30,'Critical resources (hide)'!BF$6:BF$105)+SUMIF(Capacity_Resource,$F30,'Critical resources (hide)'!BF$6:BF$105)&gt;0,$E$1=2),0,1),0)</f>
        <v>1</v>
      </c>
      <c r="AT30" s="67">
        <f ca="1">IF(LOWER(Capacity!$L42)="x",IF(AND(SUMIF(Capacity_Resource,$D30,'Critical resources (hide)'!BG$6:BG$105)+SUMIF(Capacity_Resource,$E30,'Critical resources (hide)'!BG$6:BG$105)+SUMIF(Capacity_Resource,$F30,'Critical resources (hide)'!BG$6:BG$105)&gt;0,$E$1=2),0,1),0)</f>
        <v>1</v>
      </c>
      <c r="AU30" s="67">
        <f ca="1">IF(LOWER(Capacity!$L42)="x",IF(AND(SUMIF(Capacity_Resource,$D30,'Critical resources (hide)'!BH$6:BH$105)+SUMIF(Capacity_Resource,$E30,'Critical resources (hide)'!BH$6:BH$105)+SUMIF(Capacity_Resource,$F30,'Critical resources (hide)'!BH$6:BH$105)&gt;0,$E$1=2),0,1),0)</f>
        <v>1</v>
      </c>
      <c r="AV30" s="67">
        <f ca="1">IF(LOWER(Capacity!$L42)="x",IF(AND(SUMIF(Capacity_Resource,$D30,'Critical resources (hide)'!BI$6:BI$105)+SUMIF(Capacity_Resource,$E30,'Critical resources (hide)'!BI$6:BI$105)+SUMIF(Capacity_Resource,$F30,'Critical resources (hide)'!BI$6:BI$105)&gt;0,$E$1=2),0,1),0)</f>
        <v>1</v>
      </c>
      <c r="AW30" s="67">
        <f ca="1">IF(LOWER(Capacity!$L42)="x",IF(AND(SUMIF(Capacity_Resource,$D30,'Critical resources (hide)'!BJ$6:BJ$105)+SUMIF(Capacity_Resource,$E30,'Critical resources (hide)'!BJ$6:BJ$105)+SUMIF(Capacity_Resource,$F30,'Critical resources (hide)'!BJ$6:BJ$105)&gt;0,$E$1=2),0,1),0)</f>
        <v>1</v>
      </c>
      <c r="AX30" s="67">
        <f ca="1">IF(LOWER(Capacity!$L42)="x",IF(AND(SUMIF(Capacity_Resource,$D30,'Critical resources (hide)'!BK$6:BK$105)+SUMIF(Capacity_Resource,$E30,'Critical resources (hide)'!BK$6:BK$105)+SUMIF(Capacity_Resource,$F30,'Critical resources (hide)'!BK$6:BK$105)&gt;0,$E$1=2),0,1),0)</f>
        <v>1</v>
      </c>
      <c r="AY30" s="67">
        <f ca="1">IF(LOWER(Capacity!$L42)="x",IF(AND(SUMIF(Capacity_Resource,$D30,'Critical resources (hide)'!BL$6:BL$105)+SUMIF(Capacity_Resource,$E30,'Critical resources (hide)'!BL$6:BL$105)+SUMIF(Capacity_Resource,$F30,'Critical resources (hide)'!BL$6:BL$105)&gt;0,$E$1=2),0,1),0)</f>
        <v>1</v>
      </c>
      <c r="AZ30" s="67">
        <f ca="1">IF(LOWER(Capacity!$L42)="x",IF(AND(SUMIF(Capacity_Resource,$D30,'Critical resources (hide)'!BM$6:BM$105)+SUMIF(Capacity_Resource,$E30,'Critical resources (hide)'!BM$6:BM$105)+SUMIF(Capacity_Resource,$F30,'Critical resources (hide)'!BM$6:BM$105)&gt;0,$E$1=2),0,1),0)</f>
        <v>1</v>
      </c>
      <c r="BA30" s="67">
        <f ca="1">IF(LOWER(Capacity!$L42)="x",IF(AND(SUMIF(Capacity_Resource,$D30,'Critical resources (hide)'!BN$6:BN$105)+SUMIF(Capacity_Resource,$E30,'Critical resources (hide)'!BN$6:BN$105)+SUMIF(Capacity_Resource,$F30,'Critical resources (hide)'!BN$6:BN$105)&gt;0,$E$1=2),0,1),0)</f>
        <v>1</v>
      </c>
      <c r="BB30" s="67">
        <f ca="1">IF(LOWER(Capacity!$L42)="x",IF(AND(SUMIF(Capacity_Resource,$D30,'Critical resources (hide)'!BO$6:BO$105)+SUMIF(Capacity_Resource,$E30,'Critical resources (hide)'!BO$6:BO$105)+SUMIF(Capacity_Resource,$F30,'Critical resources (hide)'!BO$6:BO$105)&gt;0,$E$1=2),0,1),0)</f>
        <v>1</v>
      </c>
      <c r="BC30" s="67">
        <f ca="1">IF(LOWER(Capacity!$L42)="x",IF(AND(SUMIF(Capacity_Resource,$D30,'Critical resources (hide)'!BP$6:BP$105)+SUMIF(Capacity_Resource,$E30,'Critical resources (hide)'!BP$6:BP$105)+SUMIF(Capacity_Resource,$F30,'Critical resources (hide)'!BP$6:BP$105)&gt;0,$E$1=2),0,1),0)</f>
        <v>1</v>
      </c>
      <c r="BD30" s="67">
        <f ca="1">IF(LOWER(Capacity!$L42)="x",IF(AND(SUMIF(Capacity_Resource,$D30,'Critical resources (hide)'!BQ$6:BQ$105)+SUMIF(Capacity_Resource,$E30,'Critical resources (hide)'!BQ$6:BQ$105)+SUMIF(Capacity_Resource,$F30,'Critical resources (hide)'!BQ$6:BQ$105)&gt;0,$E$1=2),0,1),0)</f>
        <v>1</v>
      </c>
      <c r="BE30" s="67">
        <f ca="1">IF(LOWER(Capacity!$L42)="x",IF(AND(SUMIF(Capacity_Resource,$D30,'Critical resources (hide)'!BR$6:BR$105)+SUMIF(Capacity_Resource,$E30,'Critical resources (hide)'!BR$6:BR$105)+SUMIF(Capacity_Resource,$F30,'Critical resources (hide)'!BR$6:BR$105)&gt;0,$E$1=2),0,1),0)</f>
        <v>1</v>
      </c>
      <c r="BF30" s="67">
        <f ca="1">IF(LOWER(Capacity!$L42)="x",IF(AND(SUMIF(Capacity_Resource,$D30,'Critical resources (hide)'!BS$6:BS$105)+SUMIF(Capacity_Resource,$E30,'Critical resources (hide)'!BS$6:BS$105)+SUMIF(Capacity_Resource,$F30,'Critical resources (hide)'!BS$6:BS$105)&gt;0,$E$1=2),0,1),0)</f>
        <v>1</v>
      </c>
      <c r="BG30" s="67">
        <f ca="1">IF(LOWER(Capacity!$L42)="x",IF(AND(SUMIF(Capacity_Resource,$D30,'Critical resources (hide)'!BT$6:BT$105)+SUMIF(Capacity_Resource,$E30,'Critical resources (hide)'!BT$6:BT$105)+SUMIF(Capacity_Resource,$F30,'Critical resources (hide)'!BT$6:BT$105)&gt;0,$E$1=2),0,1),0)</f>
        <v>1</v>
      </c>
      <c r="BH30" s="67">
        <f>IF(ROW(C26)&lt;=Capacity!$A$16,IF('Capacity summary'!$D$14="No",SUM(H30:BG30),'Capacity summary'!$E149),0)</f>
        <v>0</v>
      </c>
      <c r="BI30" s="5" t="str">
        <f>IF(BH30&gt;0,IF(BH30&lt;Capacity!E42,Capacity!F42,Capacity!H42/'Capacity calculation (hide)'!BH30),"")</f>
        <v/>
      </c>
      <c r="BK30" s="311">
        <f>IF($BI30&lt;&gt;"",IF('Capacity summary'!$D$14="Yes",IF(COUNTBLANK('Capacity summary'!$H149:$BG149)&lt;52,IF('Capacity summary'!H149&lt;&gt;"",IF(LOWER('Capacity summary'!H149)="x",$BI30*H30,VALUE('Capacity summary'!H149)),0),H30*$BI30),H30*$BI30),0)</f>
        <v>0</v>
      </c>
      <c r="BL30" s="311">
        <f>IF($BI30&lt;&gt;"",IF('Capacity summary'!$D$14="Yes",IF(COUNTBLANK('Capacity summary'!$H149:$BG149)&lt;52,IF('Capacity summary'!I149&lt;&gt;"",IF(LOWER('Capacity summary'!I149)="x",$BI30*I30,VALUE('Capacity summary'!I149)),0),I30*$BI30),I30*$BI30),0)</f>
        <v>0</v>
      </c>
      <c r="BM30" s="311">
        <f>IF($BI30&lt;&gt;"",IF('Capacity summary'!$D$14="Yes",IF(COUNTBLANK('Capacity summary'!$H149:$BG149)&lt;52,IF('Capacity summary'!J149&lt;&gt;"",IF(LOWER('Capacity summary'!J149)="x",$BI30*J30,VALUE('Capacity summary'!J149)),0),J30*$BI30),J30*$BI30),0)</f>
        <v>0</v>
      </c>
      <c r="BN30" s="311">
        <f>IF($BI30&lt;&gt;"",IF('Capacity summary'!$D$14="Yes",IF(COUNTBLANK('Capacity summary'!$H149:$BG149)&lt;52,IF('Capacity summary'!K149&lt;&gt;"",IF(LOWER('Capacity summary'!K149)="x",$BI30*K30,VALUE('Capacity summary'!K149)),0),K30*$BI30),K30*$BI30),0)</f>
        <v>0</v>
      </c>
      <c r="BO30" s="311">
        <f>IF($BI30&lt;&gt;"",IF('Capacity summary'!$D$14="Yes",IF(COUNTBLANK('Capacity summary'!$H149:$BG149)&lt;52,IF('Capacity summary'!L149&lt;&gt;"",IF(LOWER('Capacity summary'!L149)="x",$BI30*L30,VALUE('Capacity summary'!L149)),0),L30*$BI30),L30*$BI30),0)</f>
        <v>0</v>
      </c>
      <c r="BP30" s="311">
        <f>IF($BI30&lt;&gt;"",IF('Capacity summary'!$D$14="Yes",IF(COUNTBLANK('Capacity summary'!$H149:$BG149)&lt;52,IF('Capacity summary'!M149&lt;&gt;"",IF(LOWER('Capacity summary'!M149)="x",$BI30*M30,VALUE('Capacity summary'!M149)),0),M30*$BI30),M30*$BI30),0)</f>
        <v>0</v>
      </c>
      <c r="BQ30" s="311">
        <f>IF($BI30&lt;&gt;"",IF('Capacity summary'!$D$14="Yes",IF(COUNTBLANK('Capacity summary'!$H149:$BG149)&lt;52,IF('Capacity summary'!N149&lt;&gt;"",IF(LOWER('Capacity summary'!N149)="x",$BI30*N30,VALUE('Capacity summary'!N149)),0),N30*$BI30),N30*$BI30),0)</f>
        <v>0</v>
      </c>
      <c r="BR30" s="311">
        <f>IF($BI30&lt;&gt;"",IF('Capacity summary'!$D$14="Yes",IF(COUNTBLANK('Capacity summary'!$H149:$BG149)&lt;52,IF('Capacity summary'!O149&lt;&gt;"",IF(LOWER('Capacity summary'!O149)="x",$BI30*O30,VALUE('Capacity summary'!O149)),0),O30*$BI30),O30*$BI30),0)</f>
        <v>0</v>
      </c>
      <c r="BS30" s="311">
        <f>IF($BI30&lt;&gt;"",IF('Capacity summary'!$D$14="Yes",IF(COUNTBLANK('Capacity summary'!$H149:$BG149)&lt;52,IF('Capacity summary'!P149&lt;&gt;"",IF(LOWER('Capacity summary'!P149)="x",$BI30*P30,VALUE('Capacity summary'!P149)),0),P30*$BI30),P30*$BI30),0)</f>
        <v>0</v>
      </c>
      <c r="BT30" s="311">
        <f>IF($BI30&lt;&gt;"",IF('Capacity summary'!$D$14="Yes",IF(COUNTBLANK('Capacity summary'!$H149:$BG149)&lt;52,IF('Capacity summary'!Q149&lt;&gt;"",IF(LOWER('Capacity summary'!Q149)="x",$BI30*Q30,VALUE('Capacity summary'!Q149)),0),Q30*$BI30),Q30*$BI30),0)</f>
        <v>0</v>
      </c>
      <c r="BU30" s="311">
        <f>IF($BI30&lt;&gt;"",IF('Capacity summary'!$D$14="Yes",IF(COUNTBLANK('Capacity summary'!$H149:$BG149)&lt;52,IF('Capacity summary'!R149&lt;&gt;"",IF(LOWER('Capacity summary'!R149)="x",$BI30*R30,VALUE('Capacity summary'!R149)),0),R30*$BI30),R30*$BI30),0)</f>
        <v>0</v>
      </c>
      <c r="BV30" s="311">
        <f>IF($BI30&lt;&gt;"",IF('Capacity summary'!$D$14="Yes",IF(COUNTBLANK('Capacity summary'!$H149:$BG149)&lt;52,IF('Capacity summary'!S149&lt;&gt;"",IF(LOWER('Capacity summary'!S149)="x",$BI30*S30,VALUE('Capacity summary'!S149)),0),S30*$BI30),S30*$BI30),0)</f>
        <v>0</v>
      </c>
      <c r="BW30" s="311">
        <f>IF($BI30&lt;&gt;"",IF('Capacity summary'!$D$14="Yes",IF(COUNTBLANK('Capacity summary'!$H149:$BG149)&lt;52,IF('Capacity summary'!T149&lt;&gt;"",IF(LOWER('Capacity summary'!T149)="x",$BI30*T30,VALUE('Capacity summary'!T149)),0),T30*$BI30),T30*$BI30),0)</f>
        <v>0</v>
      </c>
      <c r="BX30" s="311">
        <f>IF($BI30&lt;&gt;"",IF('Capacity summary'!$D$14="Yes",IF(COUNTBLANK('Capacity summary'!$H149:$BG149)&lt;52,IF('Capacity summary'!U149&lt;&gt;"",IF(LOWER('Capacity summary'!U149)="x",$BI30*U30,VALUE('Capacity summary'!U149)),0),U30*$BI30),U30*$BI30),0)</f>
        <v>0</v>
      </c>
      <c r="BY30" s="311">
        <f>IF($BI30&lt;&gt;"",IF('Capacity summary'!$D$14="Yes",IF(COUNTBLANK('Capacity summary'!$H149:$BG149)&lt;52,IF('Capacity summary'!V149&lt;&gt;"",IF(LOWER('Capacity summary'!V149)="x",$BI30*V30,VALUE('Capacity summary'!V149)),0),V30*$BI30),V30*$BI30),0)</f>
        <v>0</v>
      </c>
      <c r="BZ30" s="311">
        <f>IF($BI30&lt;&gt;"",IF('Capacity summary'!$D$14="Yes",IF(COUNTBLANK('Capacity summary'!$H149:$BG149)&lt;52,IF('Capacity summary'!W149&lt;&gt;"",IF(LOWER('Capacity summary'!W149)="x",$BI30*W30,VALUE('Capacity summary'!W149)),0),W30*$BI30),W30*$BI30),0)</f>
        <v>0</v>
      </c>
      <c r="CA30" s="311">
        <f>IF($BI30&lt;&gt;"",IF('Capacity summary'!$D$14="Yes",IF(COUNTBLANK('Capacity summary'!$H149:$BG149)&lt;52,IF('Capacity summary'!X149&lt;&gt;"",IF(LOWER('Capacity summary'!X149)="x",$BI30*X30,VALUE('Capacity summary'!X149)),0),X30*$BI30),X30*$BI30),0)</f>
        <v>0</v>
      </c>
      <c r="CB30" s="311">
        <f>IF($BI30&lt;&gt;"",IF('Capacity summary'!$D$14="Yes",IF(COUNTBLANK('Capacity summary'!$H149:$BG149)&lt;52,IF('Capacity summary'!Y149&lt;&gt;"",IF(LOWER('Capacity summary'!Y149)="x",$BI30*Y30,VALUE('Capacity summary'!Y149)),0),Y30*$BI30),Y30*$BI30),0)</f>
        <v>0</v>
      </c>
      <c r="CC30" s="311">
        <f>IF($BI30&lt;&gt;"",IF('Capacity summary'!$D$14="Yes",IF(COUNTBLANK('Capacity summary'!$H149:$BG149)&lt;52,IF('Capacity summary'!Z149&lt;&gt;"",IF(LOWER('Capacity summary'!Z149)="x",$BI30*Z30,VALUE('Capacity summary'!Z149)),0),Z30*$BI30),Z30*$BI30),0)</f>
        <v>0</v>
      </c>
      <c r="CD30" s="311">
        <f>IF($BI30&lt;&gt;"",IF('Capacity summary'!$D$14="Yes",IF(COUNTBLANK('Capacity summary'!$H149:$BG149)&lt;52,IF('Capacity summary'!AA149&lt;&gt;"",IF(LOWER('Capacity summary'!AA149)="x",$BI30*AA30,VALUE('Capacity summary'!AA149)),0),AA30*$BI30),AA30*$BI30),0)</f>
        <v>0</v>
      </c>
      <c r="CE30" s="311">
        <f>IF($BI30&lt;&gt;"",IF('Capacity summary'!$D$14="Yes",IF(COUNTBLANK('Capacity summary'!$H149:$BG149)&lt;52,IF('Capacity summary'!AB149&lt;&gt;"",IF(LOWER('Capacity summary'!AB149)="x",$BI30*AB30,VALUE('Capacity summary'!AB149)),0),AB30*$BI30),AB30*$BI30),0)</f>
        <v>0</v>
      </c>
      <c r="CF30" s="311">
        <f>IF($BI30&lt;&gt;"",IF('Capacity summary'!$D$14="Yes",IF(COUNTBLANK('Capacity summary'!$H149:$BG149)&lt;52,IF('Capacity summary'!AC149&lt;&gt;"",IF(LOWER('Capacity summary'!AC149)="x",$BI30*AC30,VALUE('Capacity summary'!AC149)),0),AC30*$BI30),AC30*$BI30),0)</f>
        <v>0</v>
      </c>
      <c r="CG30" s="311">
        <f>IF($BI30&lt;&gt;"",IF('Capacity summary'!$D$14="Yes",IF(COUNTBLANK('Capacity summary'!$H149:$BG149)&lt;52,IF('Capacity summary'!AD149&lt;&gt;"",IF(LOWER('Capacity summary'!AD149)="x",$BI30*AD30,VALUE('Capacity summary'!AD149)),0),AD30*$BI30),AD30*$BI30),0)</f>
        <v>0</v>
      </c>
      <c r="CH30" s="311">
        <f>IF($BI30&lt;&gt;"",IF('Capacity summary'!$D$14="Yes",IF(COUNTBLANK('Capacity summary'!$H149:$BG149)&lt;52,IF('Capacity summary'!AE149&lt;&gt;"",IF(LOWER('Capacity summary'!AE149)="x",$BI30*AE30,VALUE('Capacity summary'!AE149)),0),AE30*$BI30),AE30*$BI30),0)</f>
        <v>0</v>
      </c>
      <c r="CI30" s="311">
        <f>IF($BI30&lt;&gt;"",IF('Capacity summary'!$D$14="Yes",IF(COUNTBLANK('Capacity summary'!$H149:$BG149)&lt;52,IF('Capacity summary'!AF149&lt;&gt;"",IF(LOWER('Capacity summary'!AF149)="x",$BI30*AF30,VALUE('Capacity summary'!AF149)),0),AF30*$BI30),AF30*$BI30),0)</f>
        <v>0</v>
      </c>
      <c r="CJ30" s="311">
        <f>IF($BI30&lt;&gt;"",IF('Capacity summary'!$D$14="Yes",IF(COUNTBLANK('Capacity summary'!$H149:$BG149)&lt;52,IF('Capacity summary'!AG149&lt;&gt;"",IF(LOWER('Capacity summary'!AG149)="x",$BI30*AG30,VALUE('Capacity summary'!AG149)),0),AG30*$BI30),AG30*$BI30),0)</f>
        <v>0</v>
      </c>
      <c r="CK30" s="311">
        <f>IF($BI30&lt;&gt;"",IF('Capacity summary'!$D$14="Yes",IF(COUNTBLANK('Capacity summary'!$H149:$BG149)&lt;52,IF('Capacity summary'!AH149&lt;&gt;"",IF(LOWER('Capacity summary'!AH149)="x",$BI30*AH30,VALUE('Capacity summary'!AH149)),0),AH30*$BI30),AH30*$BI30),0)</f>
        <v>0</v>
      </c>
      <c r="CL30" s="311">
        <f>IF($BI30&lt;&gt;"",IF('Capacity summary'!$D$14="Yes",IF(COUNTBLANK('Capacity summary'!$H149:$BG149)&lt;52,IF('Capacity summary'!AI149&lt;&gt;"",IF(LOWER('Capacity summary'!AI149)="x",$BI30*AI30,VALUE('Capacity summary'!AI149)),0),AI30*$BI30),AI30*$BI30),0)</f>
        <v>0</v>
      </c>
      <c r="CM30" s="311">
        <f>IF($BI30&lt;&gt;"",IF('Capacity summary'!$D$14="Yes",IF(COUNTBLANK('Capacity summary'!$H149:$BG149)&lt;52,IF('Capacity summary'!AJ149&lt;&gt;"",IF(LOWER('Capacity summary'!AJ149)="x",$BI30*AJ30,VALUE('Capacity summary'!AJ149)),0),AJ30*$BI30),AJ30*$BI30),0)</f>
        <v>0</v>
      </c>
      <c r="CN30" s="311">
        <f>IF($BI30&lt;&gt;"",IF('Capacity summary'!$D$14="Yes",IF(COUNTBLANK('Capacity summary'!$H149:$BG149)&lt;52,IF('Capacity summary'!AK149&lt;&gt;"",IF(LOWER('Capacity summary'!AK149)="x",$BI30*AK30,VALUE('Capacity summary'!AK149)),0),AK30*$BI30),AK30*$BI30),0)</f>
        <v>0</v>
      </c>
      <c r="CO30" s="311">
        <f>IF($BI30&lt;&gt;"",IF('Capacity summary'!$D$14="Yes",IF(COUNTBLANK('Capacity summary'!$H149:$BG149)&lt;52,IF('Capacity summary'!AL149&lt;&gt;"",IF(LOWER('Capacity summary'!AL149)="x",$BI30*AL30,VALUE('Capacity summary'!AL149)),0),AL30*$BI30),AL30*$BI30),0)</f>
        <v>0</v>
      </c>
      <c r="CP30" s="311">
        <f>IF($BI30&lt;&gt;"",IF('Capacity summary'!$D$14="Yes",IF(COUNTBLANK('Capacity summary'!$H149:$BG149)&lt;52,IF('Capacity summary'!AM149&lt;&gt;"",IF(LOWER('Capacity summary'!AM149)="x",$BI30*AM30,VALUE('Capacity summary'!AM149)),0),AM30*$BI30),AM30*$BI30),0)</f>
        <v>0</v>
      </c>
      <c r="CQ30" s="311">
        <f>IF($BI30&lt;&gt;"",IF('Capacity summary'!$D$14="Yes",IF(COUNTBLANK('Capacity summary'!$H149:$BG149)&lt;52,IF('Capacity summary'!AN149&lt;&gt;"",IF(LOWER('Capacity summary'!AN149)="x",$BI30*AN30,VALUE('Capacity summary'!AN149)),0),AN30*$BI30),AN30*$BI30),0)</f>
        <v>0</v>
      </c>
      <c r="CR30" s="311">
        <f>IF($BI30&lt;&gt;"",IF('Capacity summary'!$D$14="Yes",IF(COUNTBLANK('Capacity summary'!$H149:$BG149)&lt;52,IF('Capacity summary'!AO149&lt;&gt;"",IF(LOWER('Capacity summary'!AO149)="x",$BI30*AO30,VALUE('Capacity summary'!AO149)),0),AO30*$BI30),AO30*$BI30),0)</f>
        <v>0</v>
      </c>
      <c r="CS30" s="311">
        <f>IF($BI30&lt;&gt;"",IF('Capacity summary'!$D$14="Yes",IF(COUNTBLANK('Capacity summary'!$H149:$BG149)&lt;52,IF('Capacity summary'!AP149&lt;&gt;"",IF(LOWER('Capacity summary'!AP149)="x",$BI30*AP30,VALUE('Capacity summary'!AP149)),0),AP30*$BI30),AP30*$BI30),0)</f>
        <v>0</v>
      </c>
      <c r="CT30" s="311">
        <f>IF($BI30&lt;&gt;"",IF('Capacity summary'!$D$14="Yes",IF(COUNTBLANK('Capacity summary'!$H149:$BG149)&lt;52,IF('Capacity summary'!AQ149&lt;&gt;"",IF(LOWER('Capacity summary'!AQ149)="x",$BI30*AQ30,VALUE('Capacity summary'!AQ149)),0),AQ30*$BI30),AQ30*$BI30),0)</f>
        <v>0</v>
      </c>
      <c r="CU30" s="311">
        <f>IF($BI30&lt;&gt;"",IF('Capacity summary'!$D$14="Yes",IF(COUNTBLANK('Capacity summary'!$H149:$BG149)&lt;52,IF('Capacity summary'!AR149&lt;&gt;"",IF(LOWER('Capacity summary'!AR149)="x",$BI30*AR30,VALUE('Capacity summary'!AR149)),0),AR30*$BI30),AR30*$BI30),0)</f>
        <v>0</v>
      </c>
      <c r="CV30" s="311">
        <f>IF($BI30&lt;&gt;"",IF('Capacity summary'!$D$14="Yes",IF(COUNTBLANK('Capacity summary'!$H149:$BG149)&lt;52,IF('Capacity summary'!AS149&lt;&gt;"",IF(LOWER('Capacity summary'!AS149)="x",$BI30*AS30,VALUE('Capacity summary'!AS149)),0),AS30*$BI30),AS30*$BI30),0)</f>
        <v>0</v>
      </c>
      <c r="CW30" s="311">
        <f>IF($BI30&lt;&gt;"",IF('Capacity summary'!$D$14="Yes",IF(COUNTBLANK('Capacity summary'!$H149:$BG149)&lt;52,IF('Capacity summary'!AT149&lt;&gt;"",IF(LOWER('Capacity summary'!AT149)="x",$BI30*AT30,VALUE('Capacity summary'!AT149)),0),AT30*$BI30),AT30*$BI30),0)</f>
        <v>0</v>
      </c>
      <c r="CX30" s="311">
        <f>IF($BI30&lt;&gt;"",IF('Capacity summary'!$D$14="Yes",IF(COUNTBLANK('Capacity summary'!$H149:$BG149)&lt;52,IF('Capacity summary'!AU149&lt;&gt;"",IF(LOWER('Capacity summary'!AU149)="x",$BI30*AU30,VALUE('Capacity summary'!AU149)),0),AU30*$BI30),AU30*$BI30),0)</f>
        <v>0</v>
      </c>
      <c r="CY30" s="311">
        <f>IF($BI30&lt;&gt;"",IF('Capacity summary'!$D$14="Yes",IF(COUNTBLANK('Capacity summary'!$H149:$BG149)&lt;52,IF('Capacity summary'!AV149&lt;&gt;"",IF(LOWER('Capacity summary'!AV149)="x",$BI30*AV30,VALUE('Capacity summary'!AV149)),0),AV30*$BI30),AV30*$BI30),0)</f>
        <v>0</v>
      </c>
      <c r="CZ30" s="311">
        <f>IF($BI30&lt;&gt;"",IF('Capacity summary'!$D$14="Yes",IF(COUNTBLANK('Capacity summary'!$H149:$BG149)&lt;52,IF('Capacity summary'!AW149&lt;&gt;"",IF(LOWER('Capacity summary'!AW149)="x",$BI30*AW30,VALUE('Capacity summary'!AW149)),0),AW30*$BI30),AW30*$BI30),0)</f>
        <v>0</v>
      </c>
      <c r="DA30" s="311">
        <f>IF($BI30&lt;&gt;"",IF('Capacity summary'!$D$14="Yes",IF(COUNTBLANK('Capacity summary'!$H149:$BG149)&lt;52,IF('Capacity summary'!AX149&lt;&gt;"",IF(LOWER('Capacity summary'!AX149)="x",$BI30*AX30,VALUE('Capacity summary'!AX149)),0),AX30*$BI30),AX30*$BI30),0)</f>
        <v>0</v>
      </c>
      <c r="DB30" s="311">
        <f>IF($BI30&lt;&gt;"",IF('Capacity summary'!$D$14="Yes",IF(COUNTBLANK('Capacity summary'!$H149:$BG149)&lt;52,IF('Capacity summary'!AY149&lt;&gt;"",IF(LOWER('Capacity summary'!AY149)="x",$BI30*AY30,VALUE('Capacity summary'!AY149)),0),AY30*$BI30),AY30*$BI30),0)</f>
        <v>0</v>
      </c>
      <c r="DC30" s="311">
        <f>IF($BI30&lt;&gt;"",IF('Capacity summary'!$D$14="Yes",IF(COUNTBLANK('Capacity summary'!$H149:$BG149)&lt;52,IF('Capacity summary'!AZ149&lt;&gt;"",IF(LOWER('Capacity summary'!AZ149)="x",$BI30*AZ30,VALUE('Capacity summary'!AZ149)),0),AZ30*$BI30),AZ30*$BI30),0)</f>
        <v>0</v>
      </c>
      <c r="DD30" s="311">
        <f>IF($BI30&lt;&gt;"",IF('Capacity summary'!$D$14="Yes",IF(COUNTBLANK('Capacity summary'!$H149:$BG149)&lt;52,IF('Capacity summary'!BA149&lt;&gt;"",IF(LOWER('Capacity summary'!BA149)="x",$BI30*BA30,VALUE('Capacity summary'!BA149)),0),BA30*$BI30),BA30*$BI30),0)</f>
        <v>0</v>
      </c>
      <c r="DE30" s="311">
        <f>IF($BI30&lt;&gt;"",IF('Capacity summary'!$D$14="Yes",IF(COUNTBLANK('Capacity summary'!$H149:$BG149)&lt;52,IF('Capacity summary'!BB149&lt;&gt;"",IF(LOWER('Capacity summary'!BB149)="x",$BI30*BB30,VALUE('Capacity summary'!BB149)),0),BB30*$BI30),BB30*$BI30),0)</f>
        <v>0</v>
      </c>
      <c r="DF30" s="311">
        <f>IF($BI30&lt;&gt;"",IF('Capacity summary'!$D$14="Yes",IF(COUNTBLANK('Capacity summary'!$H149:$BG149)&lt;52,IF('Capacity summary'!BC149&lt;&gt;"",IF(LOWER('Capacity summary'!BC149)="x",$BI30*BC30,VALUE('Capacity summary'!BC149)),0),BC30*$BI30),BC30*$BI30),0)</f>
        <v>0</v>
      </c>
      <c r="DG30" s="311">
        <f>IF($BI30&lt;&gt;"",IF('Capacity summary'!$D$14="Yes",IF(COUNTBLANK('Capacity summary'!$H149:$BG149)&lt;52,IF('Capacity summary'!BD149&lt;&gt;"",IF(LOWER('Capacity summary'!BD149)="x",$BI30*BD30,VALUE('Capacity summary'!BD149)),0),BD30*$BI30),BD30*$BI30),0)</f>
        <v>0</v>
      </c>
      <c r="DH30" s="311">
        <f>IF($BI30&lt;&gt;"",IF('Capacity summary'!$D$14="Yes",IF(COUNTBLANK('Capacity summary'!$H149:$BG149)&lt;52,IF('Capacity summary'!BE149&lt;&gt;"",IF(LOWER('Capacity summary'!BE149)="x",$BI30*BE30,VALUE('Capacity summary'!BE149)),0),BE30*$BI30),BE30*$BI30),0)</f>
        <v>0</v>
      </c>
      <c r="DI30" s="311">
        <f>IF($BI30&lt;&gt;"",IF('Capacity summary'!$D$14="Yes",IF(COUNTBLANK('Capacity summary'!$H149:$BG149)&lt;52,IF('Capacity summary'!BF149&lt;&gt;"",IF(LOWER('Capacity summary'!BF149)="x",$BI30*BF30,VALUE('Capacity summary'!BF149)),0),BF30*$BI30),BF30*$BI30),0)</f>
        <v>0</v>
      </c>
      <c r="DJ30" s="311">
        <f>IF($BI30&lt;&gt;"",IF('Capacity summary'!$D$14="Yes",IF(COUNTBLANK('Capacity summary'!$H149:$BG149)&lt;52,IF('Capacity summary'!BG149&lt;&gt;"",IF(LOWER('Capacity summary'!BG149)="x",$BI30*BG30,VALUE('Capacity summary'!BG149)),0),BG30*$BI30),BG30*$BI30),0)</f>
        <v>0</v>
      </c>
      <c r="DK30" s="391">
        <f t="shared" si="2"/>
        <v>0</v>
      </c>
      <c r="DL30" s="136">
        <f t="shared" si="3"/>
        <v>0</v>
      </c>
      <c r="DM30" s="311" t="str">
        <f>Capacity!H42</f>
        <v/>
      </c>
      <c r="DQ30" s="5"/>
    </row>
    <row r="31" spans="1:121" x14ac:dyDescent="0.2">
      <c r="A31" s="67">
        <f>IF(Capacity!L43='Capacity summary'!BI150,1,0)</f>
        <v>1</v>
      </c>
      <c r="B31" s="67">
        <f>IF(Capacity!V43='Capacity summary'!BI50,1,0)</f>
        <v>1</v>
      </c>
      <c r="C31" s="67" t="str">
        <f>ROW(A27)&amp;". "&amp;Capacity!B43</f>
        <v xml:space="preserve">27. </v>
      </c>
      <c r="D31" s="67">
        <f>'Capacity setup'!C38</f>
        <v>0</v>
      </c>
      <c r="E31" s="67">
        <f>'Capacity setup'!D38</f>
        <v>0</v>
      </c>
      <c r="F31" s="67">
        <f>'Capacity setup'!E38</f>
        <v>0</v>
      </c>
      <c r="H31" s="67">
        <f ca="1">IF(LOWER(Capacity!$L43)="x",IF(AND(SUMIF(Capacity_Resource,$D31,'Critical resources (hide)'!U$6:U$105)+SUMIF(Capacity_Resource,$E31,'Critical resources (hide)'!U$6:U$105)+SUMIF(Capacity_Resource,$F31,'Critical resources (hide)'!U$6:U$105)&gt;0,$E$1=2),0,1),0)</f>
        <v>1</v>
      </c>
      <c r="I31" s="67">
        <f ca="1">IF(LOWER(Capacity!$L43)="x",IF(AND(SUMIF(Capacity_Resource,$D31,'Critical resources (hide)'!V$6:V$105)+SUMIF(Capacity_Resource,$E31,'Critical resources (hide)'!V$6:V$105)+SUMIF(Capacity_Resource,$F31,'Critical resources (hide)'!V$6:V$105)&gt;0,$E$1=2),0,1),0)</f>
        <v>1</v>
      </c>
      <c r="J31" s="67">
        <f ca="1">IF(LOWER(Capacity!$L43)="x",IF(AND(SUMIF(Capacity_Resource,$D31,'Critical resources (hide)'!W$6:W$105)+SUMIF(Capacity_Resource,$E31,'Critical resources (hide)'!W$6:W$105)+SUMIF(Capacity_Resource,$F31,'Critical resources (hide)'!W$6:W$105)&gt;0,$E$1=2),0,1),0)</f>
        <v>1</v>
      </c>
      <c r="K31" s="67">
        <f ca="1">IF(LOWER(Capacity!$L43)="x",IF(AND(SUMIF(Capacity_Resource,$D31,'Critical resources (hide)'!X$6:X$105)+SUMIF(Capacity_Resource,$E31,'Critical resources (hide)'!X$6:X$105)+SUMIF(Capacity_Resource,$F31,'Critical resources (hide)'!X$6:X$105)&gt;0,$E$1=2),0,1),0)</f>
        <v>1</v>
      </c>
      <c r="L31" s="67">
        <f ca="1">IF(LOWER(Capacity!$L43)="x",IF(AND(SUMIF(Capacity_Resource,$D31,'Critical resources (hide)'!Y$6:Y$105)+SUMIF(Capacity_Resource,$E31,'Critical resources (hide)'!Y$6:Y$105)+SUMIF(Capacity_Resource,$F31,'Critical resources (hide)'!Y$6:Y$105)&gt;0,$E$1=2),0,1),0)</f>
        <v>1</v>
      </c>
      <c r="M31" s="67">
        <f ca="1">IF(LOWER(Capacity!$L43)="x",IF(AND(SUMIF(Capacity_Resource,$D31,'Critical resources (hide)'!Z$6:Z$105)+SUMIF(Capacity_Resource,$E31,'Critical resources (hide)'!Z$6:Z$105)+SUMIF(Capacity_Resource,$F31,'Critical resources (hide)'!Z$6:Z$105)&gt;0,$E$1=2),0,1),0)</f>
        <v>1</v>
      </c>
      <c r="N31" s="67">
        <f ca="1">IF(LOWER(Capacity!$L43)="x",IF(AND(SUMIF(Capacity_Resource,$D31,'Critical resources (hide)'!AA$6:AA$105)+SUMIF(Capacity_Resource,$E31,'Critical resources (hide)'!AA$6:AA$105)+SUMIF(Capacity_Resource,$F31,'Critical resources (hide)'!AA$6:AA$105)&gt;0,$E$1=2),0,1),0)</f>
        <v>1</v>
      </c>
      <c r="O31" s="67">
        <f ca="1">IF(LOWER(Capacity!$L43)="x",IF(AND(SUMIF(Capacity_Resource,$D31,'Critical resources (hide)'!AB$6:AB$105)+SUMIF(Capacity_Resource,$E31,'Critical resources (hide)'!AB$6:AB$105)+SUMIF(Capacity_Resource,$F31,'Critical resources (hide)'!AB$6:AB$105)&gt;0,$E$1=2),0,1),0)</f>
        <v>1</v>
      </c>
      <c r="P31" s="67">
        <f ca="1">IF(LOWER(Capacity!$L43)="x",IF(AND(SUMIF(Capacity_Resource,$D31,'Critical resources (hide)'!AC$6:AC$105)+SUMIF(Capacity_Resource,$E31,'Critical resources (hide)'!AC$6:AC$105)+SUMIF(Capacity_Resource,$F31,'Critical resources (hide)'!AC$6:AC$105)&gt;0,$E$1=2),0,1),0)</f>
        <v>1</v>
      </c>
      <c r="Q31" s="67">
        <f ca="1">IF(LOWER(Capacity!$L43)="x",IF(AND(SUMIF(Capacity_Resource,$D31,'Critical resources (hide)'!AD$6:AD$105)+SUMIF(Capacity_Resource,$E31,'Critical resources (hide)'!AD$6:AD$105)+SUMIF(Capacity_Resource,$F31,'Critical resources (hide)'!AD$6:AD$105)&gt;0,$E$1=2),0,1),0)</f>
        <v>1</v>
      </c>
      <c r="R31" s="67">
        <f ca="1">IF(LOWER(Capacity!$L43)="x",IF(AND(SUMIF(Capacity_Resource,$D31,'Critical resources (hide)'!AE$6:AE$105)+SUMIF(Capacity_Resource,$E31,'Critical resources (hide)'!AE$6:AE$105)+SUMIF(Capacity_Resource,$F31,'Critical resources (hide)'!AE$6:AE$105)&gt;0,$E$1=2),0,1),0)</f>
        <v>1</v>
      </c>
      <c r="S31" s="67">
        <f ca="1">IF(LOWER(Capacity!$L43)="x",IF(AND(SUMIF(Capacity_Resource,$D31,'Critical resources (hide)'!AF$6:AF$105)+SUMIF(Capacity_Resource,$E31,'Critical resources (hide)'!AF$6:AF$105)+SUMIF(Capacity_Resource,$F31,'Critical resources (hide)'!AF$6:AF$105)&gt;0,$E$1=2),0,1),0)</f>
        <v>1</v>
      </c>
      <c r="T31" s="67">
        <f ca="1">IF(LOWER(Capacity!$L43)="x",IF(AND(SUMIF(Capacity_Resource,$D31,'Critical resources (hide)'!AG$6:AG$105)+SUMIF(Capacity_Resource,$E31,'Critical resources (hide)'!AG$6:AG$105)+SUMIF(Capacity_Resource,$F31,'Critical resources (hide)'!AG$6:AG$105)&gt;0,$E$1=2),0,1),0)</f>
        <v>1</v>
      </c>
      <c r="U31" s="67">
        <f ca="1">IF(LOWER(Capacity!$L43)="x",IF(AND(SUMIF(Capacity_Resource,$D31,'Critical resources (hide)'!AH$6:AH$105)+SUMIF(Capacity_Resource,$E31,'Critical resources (hide)'!AH$6:AH$105)+SUMIF(Capacity_Resource,$F31,'Critical resources (hide)'!AH$6:AH$105)&gt;0,$E$1=2),0,1),0)</f>
        <v>1</v>
      </c>
      <c r="V31" s="67">
        <f ca="1">IF(LOWER(Capacity!$L43)="x",IF(AND(SUMIF(Capacity_Resource,$D31,'Critical resources (hide)'!AI$6:AI$105)+SUMIF(Capacity_Resource,$E31,'Critical resources (hide)'!AI$6:AI$105)+SUMIF(Capacity_Resource,$F31,'Critical resources (hide)'!AI$6:AI$105)&gt;0,$E$1=2),0,1),0)</f>
        <v>1</v>
      </c>
      <c r="W31" s="67">
        <f ca="1">IF(LOWER(Capacity!$L43)="x",IF(AND(SUMIF(Capacity_Resource,$D31,'Critical resources (hide)'!AJ$6:AJ$105)+SUMIF(Capacity_Resource,$E31,'Critical resources (hide)'!AJ$6:AJ$105)+SUMIF(Capacity_Resource,$F31,'Critical resources (hide)'!AJ$6:AJ$105)&gt;0,$E$1=2),0,1),0)</f>
        <v>1</v>
      </c>
      <c r="X31" s="67">
        <f ca="1">IF(LOWER(Capacity!$L43)="x",IF(AND(SUMIF(Capacity_Resource,$D31,'Critical resources (hide)'!AK$6:AK$105)+SUMIF(Capacity_Resource,$E31,'Critical resources (hide)'!AK$6:AK$105)+SUMIF(Capacity_Resource,$F31,'Critical resources (hide)'!AK$6:AK$105)&gt;0,$E$1=2),0,1),0)</f>
        <v>1</v>
      </c>
      <c r="Y31" s="67">
        <f ca="1">IF(LOWER(Capacity!$L43)="x",IF(AND(SUMIF(Capacity_Resource,$D31,'Critical resources (hide)'!AL$6:AL$105)+SUMIF(Capacity_Resource,$E31,'Critical resources (hide)'!AL$6:AL$105)+SUMIF(Capacity_Resource,$F31,'Critical resources (hide)'!AL$6:AL$105)&gt;0,$E$1=2),0,1),0)</f>
        <v>1</v>
      </c>
      <c r="Z31" s="67">
        <f ca="1">IF(LOWER(Capacity!$L43)="x",IF(AND(SUMIF(Capacity_Resource,$D31,'Critical resources (hide)'!AM$6:AM$105)+SUMIF(Capacity_Resource,$E31,'Critical resources (hide)'!AM$6:AM$105)+SUMIF(Capacity_Resource,$F31,'Critical resources (hide)'!AM$6:AM$105)&gt;0,$E$1=2),0,1),0)</f>
        <v>1</v>
      </c>
      <c r="AA31" s="67">
        <f ca="1">IF(LOWER(Capacity!$L43)="x",IF(AND(SUMIF(Capacity_Resource,$D31,'Critical resources (hide)'!AN$6:AN$105)+SUMIF(Capacity_Resource,$E31,'Critical resources (hide)'!AN$6:AN$105)+SUMIF(Capacity_Resource,$F31,'Critical resources (hide)'!AN$6:AN$105)&gt;0,$E$1=2),0,1),0)</f>
        <v>1</v>
      </c>
      <c r="AB31" s="67">
        <f ca="1">IF(LOWER(Capacity!$L43)="x",IF(AND(SUMIF(Capacity_Resource,$D31,'Critical resources (hide)'!AO$6:AO$105)+SUMIF(Capacity_Resource,$E31,'Critical resources (hide)'!AO$6:AO$105)+SUMIF(Capacity_Resource,$F31,'Critical resources (hide)'!AO$6:AO$105)&gt;0,$E$1=2),0,1),0)</f>
        <v>1</v>
      </c>
      <c r="AC31" s="67">
        <f ca="1">IF(LOWER(Capacity!$L43)="x",IF(AND(SUMIF(Capacity_Resource,$D31,'Critical resources (hide)'!AP$6:AP$105)+SUMIF(Capacity_Resource,$E31,'Critical resources (hide)'!AP$6:AP$105)+SUMIF(Capacity_Resource,$F31,'Critical resources (hide)'!AP$6:AP$105)&gt;0,$E$1=2),0,1),0)</f>
        <v>1</v>
      </c>
      <c r="AD31" s="67">
        <f ca="1">IF(LOWER(Capacity!$L43)="x",IF(AND(SUMIF(Capacity_Resource,$D31,'Critical resources (hide)'!AQ$6:AQ$105)+SUMIF(Capacity_Resource,$E31,'Critical resources (hide)'!AQ$6:AQ$105)+SUMIF(Capacity_Resource,$F31,'Critical resources (hide)'!AQ$6:AQ$105)&gt;0,$E$1=2),0,1),0)</f>
        <v>1</v>
      </c>
      <c r="AE31" s="67">
        <f ca="1">IF(LOWER(Capacity!$L43)="x",IF(AND(SUMIF(Capacity_Resource,$D31,'Critical resources (hide)'!AR$6:AR$105)+SUMIF(Capacity_Resource,$E31,'Critical resources (hide)'!AR$6:AR$105)+SUMIF(Capacity_Resource,$F31,'Critical resources (hide)'!AR$6:AR$105)&gt;0,$E$1=2),0,1),0)</f>
        <v>1</v>
      </c>
      <c r="AF31" s="67">
        <f ca="1">IF(LOWER(Capacity!$L43)="x",IF(AND(SUMIF(Capacity_Resource,$D31,'Critical resources (hide)'!AS$6:AS$105)+SUMIF(Capacity_Resource,$E31,'Critical resources (hide)'!AS$6:AS$105)+SUMIF(Capacity_Resource,$F31,'Critical resources (hide)'!AS$6:AS$105)&gt;0,$E$1=2),0,1),0)</f>
        <v>1</v>
      </c>
      <c r="AG31" s="67">
        <f ca="1">IF(LOWER(Capacity!$L43)="x",IF(AND(SUMIF(Capacity_Resource,$D31,'Critical resources (hide)'!AT$6:AT$105)+SUMIF(Capacity_Resource,$E31,'Critical resources (hide)'!AT$6:AT$105)+SUMIF(Capacity_Resource,$F31,'Critical resources (hide)'!AT$6:AT$105)&gt;0,$E$1=2),0,1),0)</f>
        <v>1</v>
      </c>
      <c r="AH31" s="67">
        <f ca="1">IF(LOWER(Capacity!$L43)="x",IF(AND(SUMIF(Capacity_Resource,$D31,'Critical resources (hide)'!AU$6:AU$105)+SUMIF(Capacity_Resource,$E31,'Critical resources (hide)'!AU$6:AU$105)+SUMIF(Capacity_Resource,$F31,'Critical resources (hide)'!AU$6:AU$105)&gt;0,$E$1=2),0,1),0)</f>
        <v>1</v>
      </c>
      <c r="AI31" s="67">
        <f ca="1">IF(LOWER(Capacity!$L43)="x",IF(AND(SUMIF(Capacity_Resource,$D31,'Critical resources (hide)'!AV$6:AV$105)+SUMIF(Capacity_Resource,$E31,'Critical resources (hide)'!AV$6:AV$105)+SUMIF(Capacity_Resource,$F31,'Critical resources (hide)'!AV$6:AV$105)&gt;0,$E$1=2),0,1),0)</f>
        <v>1</v>
      </c>
      <c r="AJ31" s="67">
        <f ca="1">IF(LOWER(Capacity!$L43)="x",IF(AND(SUMIF(Capacity_Resource,$D31,'Critical resources (hide)'!AW$6:AW$105)+SUMIF(Capacity_Resource,$E31,'Critical resources (hide)'!AW$6:AW$105)+SUMIF(Capacity_Resource,$F31,'Critical resources (hide)'!AW$6:AW$105)&gt;0,$E$1=2),0,1),0)</f>
        <v>1</v>
      </c>
      <c r="AK31" s="67">
        <f ca="1">IF(LOWER(Capacity!$L43)="x",IF(AND(SUMIF(Capacity_Resource,$D31,'Critical resources (hide)'!AX$6:AX$105)+SUMIF(Capacity_Resource,$E31,'Critical resources (hide)'!AX$6:AX$105)+SUMIF(Capacity_Resource,$F31,'Critical resources (hide)'!AX$6:AX$105)&gt;0,$E$1=2),0,1),0)</f>
        <v>1</v>
      </c>
      <c r="AL31" s="67">
        <f ca="1">IF(LOWER(Capacity!$L43)="x",IF(AND(SUMIF(Capacity_Resource,$D31,'Critical resources (hide)'!AY$6:AY$105)+SUMIF(Capacity_Resource,$E31,'Critical resources (hide)'!AY$6:AY$105)+SUMIF(Capacity_Resource,$F31,'Critical resources (hide)'!AY$6:AY$105)&gt;0,$E$1=2),0,1),0)</f>
        <v>1</v>
      </c>
      <c r="AM31" s="67">
        <f ca="1">IF(LOWER(Capacity!$L43)="x",IF(AND(SUMIF(Capacity_Resource,$D31,'Critical resources (hide)'!AZ$6:AZ$105)+SUMIF(Capacity_Resource,$E31,'Critical resources (hide)'!AZ$6:AZ$105)+SUMIF(Capacity_Resource,$F31,'Critical resources (hide)'!AZ$6:AZ$105)&gt;0,$E$1=2),0,1),0)</f>
        <v>1</v>
      </c>
      <c r="AN31" s="67">
        <f ca="1">IF(LOWER(Capacity!$L43)="x",IF(AND(SUMIF(Capacity_Resource,$D31,'Critical resources (hide)'!BA$6:BA$105)+SUMIF(Capacity_Resource,$E31,'Critical resources (hide)'!BA$6:BA$105)+SUMIF(Capacity_Resource,$F31,'Critical resources (hide)'!BA$6:BA$105)&gt;0,$E$1=2),0,1),0)</f>
        <v>1</v>
      </c>
      <c r="AO31" s="67">
        <f ca="1">IF(LOWER(Capacity!$L43)="x",IF(AND(SUMIF(Capacity_Resource,$D31,'Critical resources (hide)'!BB$6:BB$105)+SUMIF(Capacity_Resource,$E31,'Critical resources (hide)'!BB$6:BB$105)+SUMIF(Capacity_Resource,$F31,'Critical resources (hide)'!BB$6:BB$105)&gt;0,$E$1=2),0,1),0)</f>
        <v>1</v>
      </c>
      <c r="AP31" s="67">
        <f ca="1">IF(LOWER(Capacity!$L43)="x",IF(AND(SUMIF(Capacity_Resource,$D31,'Critical resources (hide)'!BC$6:BC$105)+SUMIF(Capacity_Resource,$E31,'Critical resources (hide)'!BC$6:BC$105)+SUMIF(Capacity_Resource,$F31,'Critical resources (hide)'!BC$6:BC$105)&gt;0,$E$1=2),0,1),0)</f>
        <v>1</v>
      </c>
      <c r="AQ31" s="67">
        <f ca="1">IF(LOWER(Capacity!$L43)="x",IF(AND(SUMIF(Capacity_Resource,$D31,'Critical resources (hide)'!BD$6:BD$105)+SUMIF(Capacity_Resource,$E31,'Critical resources (hide)'!BD$6:BD$105)+SUMIF(Capacity_Resource,$F31,'Critical resources (hide)'!BD$6:BD$105)&gt;0,$E$1=2),0,1),0)</f>
        <v>1</v>
      </c>
      <c r="AR31" s="67">
        <f ca="1">IF(LOWER(Capacity!$L43)="x",IF(AND(SUMIF(Capacity_Resource,$D31,'Critical resources (hide)'!BE$6:BE$105)+SUMIF(Capacity_Resource,$E31,'Critical resources (hide)'!BE$6:BE$105)+SUMIF(Capacity_Resource,$F31,'Critical resources (hide)'!BE$6:BE$105)&gt;0,$E$1=2),0,1),0)</f>
        <v>1</v>
      </c>
      <c r="AS31" s="67">
        <f ca="1">IF(LOWER(Capacity!$L43)="x",IF(AND(SUMIF(Capacity_Resource,$D31,'Critical resources (hide)'!BF$6:BF$105)+SUMIF(Capacity_Resource,$E31,'Critical resources (hide)'!BF$6:BF$105)+SUMIF(Capacity_Resource,$F31,'Critical resources (hide)'!BF$6:BF$105)&gt;0,$E$1=2),0,1),0)</f>
        <v>1</v>
      </c>
      <c r="AT31" s="67">
        <f ca="1">IF(LOWER(Capacity!$L43)="x",IF(AND(SUMIF(Capacity_Resource,$D31,'Critical resources (hide)'!BG$6:BG$105)+SUMIF(Capacity_Resource,$E31,'Critical resources (hide)'!BG$6:BG$105)+SUMIF(Capacity_Resource,$F31,'Critical resources (hide)'!BG$6:BG$105)&gt;0,$E$1=2),0,1),0)</f>
        <v>1</v>
      </c>
      <c r="AU31" s="67">
        <f ca="1">IF(LOWER(Capacity!$L43)="x",IF(AND(SUMIF(Capacity_Resource,$D31,'Critical resources (hide)'!BH$6:BH$105)+SUMIF(Capacity_Resource,$E31,'Critical resources (hide)'!BH$6:BH$105)+SUMIF(Capacity_Resource,$F31,'Critical resources (hide)'!BH$6:BH$105)&gt;0,$E$1=2),0,1),0)</f>
        <v>1</v>
      </c>
      <c r="AV31" s="67">
        <f ca="1">IF(LOWER(Capacity!$L43)="x",IF(AND(SUMIF(Capacity_Resource,$D31,'Critical resources (hide)'!BI$6:BI$105)+SUMIF(Capacity_Resource,$E31,'Critical resources (hide)'!BI$6:BI$105)+SUMIF(Capacity_Resource,$F31,'Critical resources (hide)'!BI$6:BI$105)&gt;0,$E$1=2),0,1),0)</f>
        <v>1</v>
      </c>
      <c r="AW31" s="67">
        <f ca="1">IF(LOWER(Capacity!$L43)="x",IF(AND(SUMIF(Capacity_Resource,$D31,'Critical resources (hide)'!BJ$6:BJ$105)+SUMIF(Capacity_Resource,$E31,'Critical resources (hide)'!BJ$6:BJ$105)+SUMIF(Capacity_Resource,$F31,'Critical resources (hide)'!BJ$6:BJ$105)&gt;0,$E$1=2),0,1),0)</f>
        <v>1</v>
      </c>
      <c r="AX31" s="67">
        <f ca="1">IF(LOWER(Capacity!$L43)="x",IF(AND(SUMIF(Capacity_Resource,$D31,'Critical resources (hide)'!BK$6:BK$105)+SUMIF(Capacity_Resource,$E31,'Critical resources (hide)'!BK$6:BK$105)+SUMIF(Capacity_Resource,$F31,'Critical resources (hide)'!BK$6:BK$105)&gt;0,$E$1=2),0,1),0)</f>
        <v>1</v>
      </c>
      <c r="AY31" s="67">
        <f ca="1">IF(LOWER(Capacity!$L43)="x",IF(AND(SUMIF(Capacity_Resource,$D31,'Critical resources (hide)'!BL$6:BL$105)+SUMIF(Capacity_Resource,$E31,'Critical resources (hide)'!BL$6:BL$105)+SUMIF(Capacity_Resource,$F31,'Critical resources (hide)'!BL$6:BL$105)&gt;0,$E$1=2),0,1),0)</f>
        <v>1</v>
      </c>
      <c r="AZ31" s="67">
        <f ca="1">IF(LOWER(Capacity!$L43)="x",IF(AND(SUMIF(Capacity_Resource,$D31,'Critical resources (hide)'!BM$6:BM$105)+SUMIF(Capacity_Resource,$E31,'Critical resources (hide)'!BM$6:BM$105)+SUMIF(Capacity_Resource,$F31,'Critical resources (hide)'!BM$6:BM$105)&gt;0,$E$1=2),0,1),0)</f>
        <v>1</v>
      </c>
      <c r="BA31" s="67">
        <f ca="1">IF(LOWER(Capacity!$L43)="x",IF(AND(SUMIF(Capacity_Resource,$D31,'Critical resources (hide)'!BN$6:BN$105)+SUMIF(Capacity_Resource,$E31,'Critical resources (hide)'!BN$6:BN$105)+SUMIF(Capacity_Resource,$F31,'Critical resources (hide)'!BN$6:BN$105)&gt;0,$E$1=2),0,1),0)</f>
        <v>1</v>
      </c>
      <c r="BB31" s="67">
        <f ca="1">IF(LOWER(Capacity!$L43)="x",IF(AND(SUMIF(Capacity_Resource,$D31,'Critical resources (hide)'!BO$6:BO$105)+SUMIF(Capacity_Resource,$E31,'Critical resources (hide)'!BO$6:BO$105)+SUMIF(Capacity_Resource,$F31,'Critical resources (hide)'!BO$6:BO$105)&gt;0,$E$1=2),0,1),0)</f>
        <v>1</v>
      </c>
      <c r="BC31" s="67">
        <f ca="1">IF(LOWER(Capacity!$L43)="x",IF(AND(SUMIF(Capacity_Resource,$D31,'Critical resources (hide)'!BP$6:BP$105)+SUMIF(Capacity_Resource,$E31,'Critical resources (hide)'!BP$6:BP$105)+SUMIF(Capacity_Resource,$F31,'Critical resources (hide)'!BP$6:BP$105)&gt;0,$E$1=2),0,1),0)</f>
        <v>1</v>
      </c>
      <c r="BD31" s="67">
        <f ca="1">IF(LOWER(Capacity!$L43)="x",IF(AND(SUMIF(Capacity_Resource,$D31,'Critical resources (hide)'!BQ$6:BQ$105)+SUMIF(Capacity_Resource,$E31,'Critical resources (hide)'!BQ$6:BQ$105)+SUMIF(Capacity_Resource,$F31,'Critical resources (hide)'!BQ$6:BQ$105)&gt;0,$E$1=2),0,1),0)</f>
        <v>1</v>
      </c>
      <c r="BE31" s="67">
        <f ca="1">IF(LOWER(Capacity!$L43)="x",IF(AND(SUMIF(Capacity_Resource,$D31,'Critical resources (hide)'!BR$6:BR$105)+SUMIF(Capacity_Resource,$E31,'Critical resources (hide)'!BR$6:BR$105)+SUMIF(Capacity_Resource,$F31,'Critical resources (hide)'!BR$6:BR$105)&gt;0,$E$1=2),0,1),0)</f>
        <v>1</v>
      </c>
      <c r="BF31" s="67">
        <f ca="1">IF(LOWER(Capacity!$L43)="x",IF(AND(SUMIF(Capacity_Resource,$D31,'Critical resources (hide)'!BS$6:BS$105)+SUMIF(Capacity_Resource,$E31,'Critical resources (hide)'!BS$6:BS$105)+SUMIF(Capacity_Resource,$F31,'Critical resources (hide)'!BS$6:BS$105)&gt;0,$E$1=2),0,1),0)</f>
        <v>1</v>
      </c>
      <c r="BG31" s="67">
        <f ca="1">IF(LOWER(Capacity!$L43)="x",IF(AND(SUMIF(Capacity_Resource,$D31,'Critical resources (hide)'!BT$6:BT$105)+SUMIF(Capacity_Resource,$E31,'Critical resources (hide)'!BT$6:BT$105)+SUMIF(Capacity_Resource,$F31,'Critical resources (hide)'!BT$6:BT$105)&gt;0,$E$1=2),0,1),0)</f>
        <v>1</v>
      </c>
      <c r="BH31" s="67">
        <f>IF(ROW(C27)&lt;=Capacity!$A$16,IF('Capacity summary'!$D$14="No",SUM(H31:BG31),'Capacity summary'!$E150),0)</f>
        <v>0</v>
      </c>
      <c r="BI31" s="5" t="str">
        <f>IF(BH31&gt;0,IF(BH31&lt;Capacity!E43,Capacity!F43,Capacity!H43/'Capacity calculation (hide)'!BH31),"")</f>
        <v/>
      </c>
      <c r="BK31" s="311">
        <f>IF($BI31&lt;&gt;"",IF('Capacity summary'!$D$14="Yes",IF(COUNTBLANK('Capacity summary'!$H150:$BG150)&lt;52,IF('Capacity summary'!H150&lt;&gt;"",IF(LOWER('Capacity summary'!H150)="x",$BI31*H31,VALUE('Capacity summary'!H150)),0),H31*$BI31),H31*$BI31),0)</f>
        <v>0</v>
      </c>
      <c r="BL31" s="311">
        <f>IF($BI31&lt;&gt;"",IF('Capacity summary'!$D$14="Yes",IF(COUNTBLANK('Capacity summary'!$H150:$BG150)&lt;52,IF('Capacity summary'!I150&lt;&gt;"",IF(LOWER('Capacity summary'!I150)="x",$BI31*I31,VALUE('Capacity summary'!I150)),0),I31*$BI31),I31*$BI31),0)</f>
        <v>0</v>
      </c>
      <c r="BM31" s="311">
        <f>IF($BI31&lt;&gt;"",IF('Capacity summary'!$D$14="Yes",IF(COUNTBLANK('Capacity summary'!$H150:$BG150)&lt;52,IF('Capacity summary'!J150&lt;&gt;"",IF(LOWER('Capacity summary'!J150)="x",$BI31*J31,VALUE('Capacity summary'!J150)),0),J31*$BI31),J31*$BI31),0)</f>
        <v>0</v>
      </c>
      <c r="BN31" s="311">
        <f>IF($BI31&lt;&gt;"",IF('Capacity summary'!$D$14="Yes",IF(COUNTBLANK('Capacity summary'!$H150:$BG150)&lt;52,IF('Capacity summary'!K150&lt;&gt;"",IF(LOWER('Capacity summary'!K150)="x",$BI31*K31,VALUE('Capacity summary'!K150)),0),K31*$BI31),K31*$BI31),0)</f>
        <v>0</v>
      </c>
      <c r="BO31" s="311">
        <f>IF($BI31&lt;&gt;"",IF('Capacity summary'!$D$14="Yes",IF(COUNTBLANK('Capacity summary'!$H150:$BG150)&lt;52,IF('Capacity summary'!L150&lt;&gt;"",IF(LOWER('Capacity summary'!L150)="x",$BI31*L31,VALUE('Capacity summary'!L150)),0),L31*$BI31),L31*$BI31),0)</f>
        <v>0</v>
      </c>
      <c r="BP31" s="311">
        <f>IF($BI31&lt;&gt;"",IF('Capacity summary'!$D$14="Yes",IF(COUNTBLANK('Capacity summary'!$H150:$BG150)&lt;52,IF('Capacity summary'!M150&lt;&gt;"",IF(LOWER('Capacity summary'!M150)="x",$BI31*M31,VALUE('Capacity summary'!M150)),0),M31*$BI31),M31*$BI31),0)</f>
        <v>0</v>
      </c>
      <c r="BQ31" s="311">
        <f>IF($BI31&lt;&gt;"",IF('Capacity summary'!$D$14="Yes",IF(COUNTBLANK('Capacity summary'!$H150:$BG150)&lt;52,IF('Capacity summary'!N150&lt;&gt;"",IF(LOWER('Capacity summary'!N150)="x",$BI31*N31,VALUE('Capacity summary'!N150)),0),N31*$BI31),N31*$BI31),0)</f>
        <v>0</v>
      </c>
      <c r="BR31" s="311">
        <f>IF($BI31&lt;&gt;"",IF('Capacity summary'!$D$14="Yes",IF(COUNTBLANK('Capacity summary'!$H150:$BG150)&lt;52,IF('Capacity summary'!O150&lt;&gt;"",IF(LOWER('Capacity summary'!O150)="x",$BI31*O31,VALUE('Capacity summary'!O150)),0),O31*$BI31),O31*$BI31),0)</f>
        <v>0</v>
      </c>
      <c r="BS31" s="311">
        <f>IF($BI31&lt;&gt;"",IF('Capacity summary'!$D$14="Yes",IF(COUNTBLANK('Capacity summary'!$H150:$BG150)&lt;52,IF('Capacity summary'!P150&lt;&gt;"",IF(LOWER('Capacity summary'!P150)="x",$BI31*P31,VALUE('Capacity summary'!P150)),0),P31*$BI31),P31*$BI31),0)</f>
        <v>0</v>
      </c>
      <c r="BT31" s="311">
        <f>IF($BI31&lt;&gt;"",IF('Capacity summary'!$D$14="Yes",IF(COUNTBLANK('Capacity summary'!$H150:$BG150)&lt;52,IF('Capacity summary'!Q150&lt;&gt;"",IF(LOWER('Capacity summary'!Q150)="x",$BI31*Q31,VALUE('Capacity summary'!Q150)),0),Q31*$BI31),Q31*$BI31),0)</f>
        <v>0</v>
      </c>
      <c r="BU31" s="311">
        <f>IF($BI31&lt;&gt;"",IF('Capacity summary'!$D$14="Yes",IF(COUNTBLANK('Capacity summary'!$H150:$BG150)&lt;52,IF('Capacity summary'!R150&lt;&gt;"",IF(LOWER('Capacity summary'!R150)="x",$BI31*R31,VALUE('Capacity summary'!R150)),0),R31*$BI31),R31*$BI31),0)</f>
        <v>0</v>
      </c>
      <c r="BV31" s="311">
        <f>IF($BI31&lt;&gt;"",IF('Capacity summary'!$D$14="Yes",IF(COUNTBLANK('Capacity summary'!$H150:$BG150)&lt;52,IF('Capacity summary'!S150&lt;&gt;"",IF(LOWER('Capacity summary'!S150)="x",$BI31*S31,VALUE('Capacity summary'!S150)),0),S31*$BI31),S31*$BI31),0)</f>
        <v>0</v>
      </c>
      <c r="BW31" s="311">
        <f>IF($BI31&lt;&gt;"",IF('Capacity summary'!$D$14="Yes",IF(COUNTBLANK('Capacity summary'!$H150:$BG150)&lt;52,IF('Capacity summary'!T150&lt;&gt;"",IF(LOWER('Capacity summary'!T150)="x",$BI31*T31,VALUE('Capacity summary'!T150)),0),T31*$BI31),T31*$BI31),0)</f>
        <v>0</v>
      </c>
      <c r="BX31" s="311">
        <f>IF($BI31&lt;&gt;"",IF('Capacity summary'!$D$14="Yes",IF(COUNTBLANK('Capacity summary'!$H150:$BG150)&lt;52,IF('Capacity summary'!U150&lt;&gt;"",IF(LOWER('Capacity summary'!U150)="x",$BI31*U31,VALUE('Capacity summary'!U150)),0),U31*$BI31),U31*$BI31),0)</f>
        <v>0</v>
      </c>
      <c r="BY31" s="311">
        <f>IF($BI31&lt;&gt;"",IF('Capacity summary'!$D$14="Yes",IF(COUNTBLANK('Capacity summary'!$H150:$BG150)&lt;52,IF('Capacity summary'!V150&lt;&gt;"",IF(LOWER('Capacity summary'!V150)="x",$BI31*V31,VALUE('Capacity summary'!V150)),0),V31*$BI31),V31*$BI31),0)</f>
        <v>0</v>
      </c>
      <c r="BZ31" s="311">
        <f>IF($BI31&lt;&gt;"",IF('Capacity summary'!$D$14="Yes",IF(COUNTBLANK('Capacity summary'!$H150:$BG150)&lt;52,IF('Capacity summary'!W150&lt;&gt;"",IF(LOWER('Capacity summary'!W150)="x",$BI31*W31,VALUE('Capacity summary'!W150)),0),W31*$BI31),W31*$BI31),0)</f>
        <v>0</v>
      </c>
      <c r="CA31" s="311">
        <f>IF($BI31&lt;&gt;"",IF('Capacity summary'!$D$14="Yes",IF(COUNTBLANK('Capacity summary'!$H150:$BG150)&lt;52,IF('Capacity summary'!X150&lt;&gt;"",IF(LOWER('Capacity summary'!X150)="x",$BI31*X31,VALUE('Capacity summary'!X150)),0),X31*$BI31),X31*$BI31),0)</f>
        <v>0</v>
      </c>
      <c r="CB31" s="311">
        <f>IF($BI31&lt;&gt;"",IF('Capacity summary'!$D$14="Yes",IF(COUNTBLANK('Capacity summary'!$H150:$BG150)&lt;52,IF('Capacity summary'!Y150&lt;&gt;"",IF(LOWER('Capacity summary'!Y150)="x",$BI31*Y31,VALUE('Capacity summary'!Y150)),0),Y31*$BI31),Y31*$BI31),0)</f>
        <v>0</v>
      </c>
      <c r="CC31" s="311">
        <f>IF($BI31&lt;&gt;"",IF('Capacity summary'!$D$14="Yes",IF(COUNTBLANK('Capacity summary'!$H150:$BG150)&lt;52,IF('Capacity summary'!Z150&lt;&gt;"",IF(LOWER('Capacity summary'!Z150)="x",$BI31*Z31,VALUE('Capacity summary'!Z150)),0),Z31*$BI31),Z31*$BI31),0)</f>
        <v>0</v>
      </c>
      <c r="CD31" s="311">
        <f>IF($BI31&lt;&gt;"",IF('Capacity summary'!$D$14="Yes",IF(COUNTBLANK('Capacity summary'!$H150:$BG150)&lt;52,IF('Capacity summary'!AA150&lt;&gt;"",IF(LOWER('Capacity summary'!AA150)="x",$BI31*AA31,VALUE('Capacity summary'!AA150)),0),AA31*$BI31),AA31*$BI31),0)</f>
        <v>0</v>
      </c>
      <c r="CE31" s="311">
        <f>IF($BI31&lt;&gt;"",IF('Capacity summary'!$D$14="Yes",IF(COUNTBLANK('Capacity summary'!$H150:$BG150)&lt;52,IF('Capacity summary'!AB150&lt;&gt;"",IF(LOWER('Capacity summary'!AB150)="x",$BI31*AB31,VALUE('Capacity summary'!AB150)),0),AB31*$BI31),AB31*$BI31),0)</f>
        <v>0</v>
      </c>
      <c r="CF31" s="311">
        <f>IF($BI31&lt;&gt;"",IF('Capacity summary'!$D$14="Yes",IF(COUNTBLANK('Capacity summary'!$H150:$BG150)&lt;52,IF('Capacity summary'!AC150&lt;&gt;"",IF(LOWER('Capacity summary'!AC150)="x",$BI31*AC31,VALUE('Capacity summary'!AC150)),0),AC31*$BI31),AC31*$BI31),0)</f>
        <v>0</v>
      </c>
      <c r="CG31" s="311">
        <f>IF($BI31&lt;&gt;"",IF('Capacity summary'!$D$14="Yes",IF(COUNTBLANK('Capacity summary'!$H150:$BG150)&lt;52,IF('Capacity summary'!AD150&lt;&gt;"",IF(LOWER('Capacity summary'!AD150)="x",$BI31*AD31,VALUE('Capacity summary'!AD150)),0),AD31*$BI31),AD31*$BI31),0)</f>
        <v>0</v>
      </c>
      <c r="CH31" s="311">
        <f>IF($BI31&lt;&gt;"",IF('Capacity summary'!$D$14="Yes",IF(COUNTBLANK('Capacity summary'!$H150:$BG150)&lt;52,IF('Capacity summary'!AE150&lt;&gt;"",IF(LOWER('Capacity summary'!AE150)="x",$BI31*AE31,VALUE('Capacity summary'!AE150)),0),AE31*$BI31),AE31*$BI31),0)</f>
        <v>0</v>
      </c>
      <c r="CI31" s="311">
        <f>IF($BI31&lt;&gt;"",IF('Capacity summary'!$D$14="Yes",IF(COUNTBLANK('Capacity summary'!$H150:$BG150)&lt;52,IF('Capacity summary'!AF150&lt;&gt;"",IF(LOWER('Capacity summary'!AF150)="x",$BI31*AF31,VALUE('Capacity summary'!AF150)),0),AF31*$BI31),AF31*$BI31),0)</f>
        <v>0</v>
      </c>
      <c r="CJ31" s="311">
        <f>IF($BI31&lt;&gt;"",IF('Capacity summary'!$D$14="Yes",IF(COUNTBLANK('Capacity summary'!$H150:$BG150)&lt;52,IF('Capacity summary'!AG150&lt;&gt;"",IF(LOWER('Capacity summary'!AG150)="x",$BI31*AG31,VALUE('Capacity summary'!AG150)),0),AG31*$BI31),AG31*$BI31),0)</f>
        <v>0</v>
      </c>
      <c r="CK31" s="311">
        <f>IF($BI31&lt;&gt;"",IF('Capacity summary'!$D$14="Yes",IF(COUNTBLANK('Capacity summary'!$H150:$BG150)&lt;52,IF('Capacity summary'!AH150&lt;&gt;"",IF(LOWER('Capacity summary'!AH150)="x",$BI31*AH31,VALUE('Capacity summary'!AH150)),0),AH31*$BI31),AH31*$BI31),0)</f>
        <v>0</v>
      </c>
      <c r="CL31" s="311">
        <f>IF($BI31&lt;&gt;"",IF('Capacity summary'!$D$14="Yes",IF(COUNTBLANK('Capacity summary'!$H150:$BG150)&lt;52,IF('Capacity summary'!AI150&lt;&gt;"",IF(LOWER('Capacity summary'!AI150)="x",$BI31*AI31,VALUE('Capacity summary'!AI150)),0),AI31*$BI31),AI31*$BI31),0)</f>
        <v>0</v>
      </c>
      <c r="CM31" s="311">
        <f>IF($BI31&lt;&gt;"",IF('Capacity summary'!$D$14="Yes",IF(COUNTBLANK('Capacity summary'!$H150:$BG150)&lt;52,IF('Capacity summary'!AJ150&lt;&gt;"",IF(LOWER('Capacity summary'!AJ150)="x",$BI31*AJ31,VALUE('Capacity summary'!AJ150)),0),AJ31*$BI31),AJ31*$BI31),0)</f>
        <v>0</v>
      </c>
      <c r="CN31" s="311">
        <f>IF($BI31&lt;&gt;"",IF('Capacity summary'!$D$14="Yes",IF(COUNTBLANK('Capacity summary'!$H150:$BG150)&lt;52,IF('Capacity summary'!AK150&lt;&gt;"",IF(LOWER('Capacity summary'!AK150)="x",$BI31*AK31,VALUE('Capacity summary'!AK150)),0),AK31*$BI31),AK31*$BI31),0)</f>
        <v>0</v>
      </c>
      <c r="CO31" s="311">
        <f>IF($BI31&lt;&gt;"",IF('Capacity summary'!$D$14="Yes",IF(COUNTBLANK('Capacity summary'!$H150:$BG150)&lt;52,IF('Capacity summary'!AL150&lt;&gt;"",IF(LOWER('Capacity summary'!AL150)="x",$BI31*AL31,VALUE('Capacity summary'!AL150)),0),AL31*$BI31),AL31*$BI31),0)</f>
        <v>0</v>
      </c>
      <c r="CP31" s="311">
        <f>IF($BI31&lt;&gt;"",IF('Capacity summary'!$D$14="Yes",IF(COUNTBLANK('Capacity summary'!$H150:$BG150)&lt;52,IF('Capacity summary'!AM150&lt;&gt;"",IF(LOWER('Capacity summary'!AM150)="x",$BI31*AM31,VALUE('Capacity summary'!AM150)),0),AM31*$BI31),AM31*$BI31),0)</f>
        <v>0</v>
      </c>
      <c r="CQ31" s="311">
        <f>IF($BI31&lt;&gt;"",IF('Capacity summary'!$D$14="Yes",IF(COUNTBLANK('Capacity summary'!$H150:$BG150)&lt;52,IF('Capacity summary'!AN150&lt;&gt;"",IF(LOWER('Capacity summary'!AN150)="x",$BI31*AN31,VALUE('Capacity summary'!AN150)),0),AN31*$BI31),AN31*$BI31),0)</f>
        <v>0</v>
      </c>
      <c r="CR31" s="311">
        <f>IF($BI31&lt;&gt;"",IF('Capacity summary'!$D$14="Yes",IF(COUNTBLANK('Capacity summary'!$H150:$BG150)&lt;52,IF('Capacity summary'!AO150&lt;&gt;"",IF(LOWER('Capacity summary'!AO150)="x",$BI31*AO31,VALUE('Capacity summary'!AO150)),0),AO31*$BI31),AO31*$BI31),0)</f>
        <v>0</v>
      </c>
      <c r="CS31" s="311">
        <f>IF($BI31&lt;&gt;"",IF('Capacity summary'!$D$14="Yes",IF(COUNTBLANK('Capacity summary'!$H150:$BG150)&lt;52,IF('Capacity summary'!AP150&lt;&gt;"",IF(LOWER('Capacity summary'!AP150)="x",$BI31*AP31,VALUE('Capacity summary'!AP150)),0),AP31*$BI31),AP31*$BI31),0)</f>
        <v>0</v>
      </c>
      <c r="CT31" s="311">
        <f>IF($BI31&lt;&gt;"",IF('Capacity summary'!$D$14="Yes",IF(COUNTBLANK('Capacity summary'!$H150:$BG150)&lt;52,IF('Capacity summary'!AQ150&lt;&gt;"",IF(LOWER('Capacity summary'!AQ150)="x",$BI31*AQ31,VALUE('Capacity summary'!AQ150)),0),AQ31*$BI31),AQ31*$BI31),0)</f>
        <v>0</v>
      </c>
      <c r="CU31" s="311">
        <f>IF($BI31&lt;&gt;"",IF('Capacity summary'!$D$14="Yes",IF(COUNTBLANK('Capacity summary'!$H150:$BG150)&lt;52,IF('Capacity summary'!AR150&lt;&gt;"",IF(LOWER('Capacity summary'!AR150)="x",$BI31*AR31,VALUE('Capacity summary'!AR150)),0),AR31*$BI31),AR31*$BI31),0)</f>
        <v>0</v>
      </c>
      <c r="CV31" s="311">
        <f>IF($BI31&lt;&gt;"",IF('Capacity summary'!$D$14="Yes",IF(COUNTBLANK('Capacity summary'!$H150:$BG150)&lt;52,IF('Capacity summary'!AS150&lt;&gt;"",IF(LOWER('Capacity summary'!AS150)="x",$BI31*AS31,VALUE('Capacity summary'!AS150)),0),AS31*$BI31),AS31*$BI31),0)</f>
        <v>0</v>
      </c>
      <c r="CW31" s="311">
        <f>IF($BI31&lt;&gt;"",IF('Capacity summary'!$D$14="Yes",IF(COUNTBLANK('Capacity summary'!$H150:$BG150)&lt;52,IF('Capacity summary'!AT150&lt;&gt;"",IF(LOWER('Capacity summary'!AT150)="x",$BI31*AT31,VALUE('Capacity summary'!AT150)),0),AT31*$BI31),AT31*$BI31),0)</f>
        <v>0</v>
      </c>
      <c r="CX31" s="311">
        <f>IF($BI31&lt;&gt;"",IF('Capacity summary'!$D$14="Yes",IF(COUNTBLANK('Capacity summary'!$H150:$BG150)&lt;52,IF('Capacity summary'!AU150&lt;&gt;"",IF(LOWER('Capacity summary'!AU150)="x",$BI31*AU31,VALUE('Capacity summary'!AU150)),0),AU31*$BI31),AU31*$BI31),0)</f>
        <v>0</v>
      </c>
      <c r="CY31" s="311">
        <f>IF($BI31&lt;&gt;"",IF('Capacity summary'!$D$14="Yes",IF(COUNTBLANK('Capacity summary'!$H150:$BG150)&lt;52,IF('Capacity summary'!AV150&lt;&gt;"",IF(LOWER('Capacity summary'!AV150)="x",$BI31*AV31,VALUE('Capacity summary'!AV150)),0),AV31*$BI31),AV31*$BI31),0)</f>
        <v>0</v>
      </c>
      <c r="CZ31" s="311">
        <f>IF($BI31&lt;&gt;"",IF('Capacity summary'!$D$14="Yes",IF(COUNTBLANK('Capacity summary'!$H150:$BG150)&lt;52,IF('Capacity summary'!AW150&lt;&gt;"",IF(LOWER('Capacity summary'!AW150)="x",$BI31*AW31,VALUE('Capacity summary'!AW150)),0),AW31*$BI31),AW31*$BI31),0)</f>
        <v>0</v>
      </c>
      <c r="DA31" s="311">
        <f>IF($BI31&lt;&gt;"",IF('Capacity summary'!$D$14="Yes",IF(COUNTBLANK('Capacity summary'!$H150:$BG150)&lt;52,IF('Capacity summary'!AX150&lt;&gt;"",IF(LOWER('Capacity summary'!AX150)="x",$BI31*AX31,VALUE('Capacity summary'!AX150)),0),AX31*$BI31),AX31*$BI31),0)</f>
        <v>0</v>
      </c>
      <c r="DB31" s="311">
        <f>IF($BI31&lt;&gt;"",IF('Capacity summary'!$D$14="Yes",IF(COUNTBLANK('Capacity summary'!$H150:$BG150)&lt;52,IF('Capacity summary'!AY150&lt;&gt;"",IF(LOWER('Capacity summary'!AY150)="x",$BI31*AY31,VALUE('Capacity summary'!AY150)),0),AY31*$BI31),AY31*$BI31),0)</f>
        <v>0</v>
      </c>
      <c r="DC31" s="311">
        <f>IF($BI31&lt;&gt;"",IF('Capacity summary'!$D$14="Yes",IF(COUNTBLANK('Capacity summary'!$H150:$BG150)&lt;52,IF('Capacity summary'!AZ150&lt;&gt;"",IF(LOWER('Capacity summary'!AZ150)="x",$BI31*AZ31,VALUE('Capacity summary'!AZ150)),0),AZ31*$BI31),AZ31*$BI31),0)</f>
        <v>0</v>
      </c>
      <c r="DD31" s="311">
        <f>IF($BI31&lt;&gt;"",IF('Capacity summary'!$D$14="Yes",IF(COUNTBLANK('Capacity summary'!$H150:$BG150)&lt;52,IF('Capacity summary'!BA150&lt;&gt;"",IF(LOWER('Capacity summary'!BA150)="x",$BI31*BA31,VALUE('Capacity summary'!BA150)),0),BA31*$BI31),BA31*$BI31),0)</f>
        <v>0</v>
      </c>
      <c r="DE31" s="311">
        <f>IF($BI31&lt;&gt;"",IF('Capacity summary'!$D$14="Yes",IF(COUNTBLANK('Capacity summary'!$H150:$BG150)&lt;52,IF('Capacity summary'!BB150&lt;&gt;"",IF(LOWER('Capacity summary'!BB150)="x",$BI31*BB31,VALUE('Capacity summary'!BB150)),0),BB31*$BI31),BB31*$BI31),0)</f>
        <v>0</v>
      </c>
      <c r="DF31" s="311">
        <f>IF($BI31&lt;&gt;"",IF('Capacity summary'!$D$14="Yes",IF(COUNTBLANK('Capacity summary'!$H150:$BG150)&lt;52,IF('Capacity summary'!BC150&lt;&gt;"",IF(LOWER('Capacity summary'!BC150)="x",$BI31*BC31,VALUE('Capacity summary'!BC150)),0),BC31*$BI31),BC31*$BI31),0)</f>
        <v>0</v>
      </c>
      <c r="DG31" s="311">
        <f>IF($BI31&lt;&gt;"",IF('Capacity summary'!$D$14="Yes",IF(COUNTBLANK('Capacity summary'!$H150:$BG150)&lt;52,IF('Capacity summary'!BD150&lt;&gt;"",IF(LOWER('Capacity summary'!BD150)="x",$BI31*BD31,VALUE('Capacity summary'!BD150)),0),BD31*$BI31),BD31*$BI31),0)</f>
        <v>0</v>
      </c>
      <c r="DH31" s="311">
        <f>IF($BI31&lt;&gt;"",IF('Capacity summary'!$D$14="Yes",IF(COUNTBLANK('Capacity summary'!$H150:$BG150)&lt;52,IF('Capacity summary'!BE150&lt;&gt;"",IF(LOWER('Capacity summary'!BE150)="x",$BI31*BE31,VALUE('Capacity summary'!BE150)),0),BE31*$BI31),BE31*$BI31),0)</f>
        <v>0</v>
      </c>
      <c r="DI31" s="311">
        <f>IF($BI31&lt;&gt;"",IF('Capacity summary'!$D$14="Yes",IF(COUNTBLANK('Capacity summary'!$H150:$BG150)&lt;52,IF('Capacity summary'!BF150&lt;&gt;"",IF(LOWER('Capacity summary'!BF150)="x",$BI31*BF31,VALUE('Capacity summary'!BF150)),0),BF31*$BI31),BF31*$BI31),0)</f>
        <v>0</v>
      </c>
      <c r="DJ31" s="311">
        <f>IF($BI31&lt;&gt;"",IF('Capacity summary'!$D$14="Yes",IF(COUNTBLANK('Capacity summary'!$H150:$BG150)&lt;52,IF('Capacity summary'!BG150&lt;&gt;"",IF(LOWER('Capacity summary'!BG150)="x",$BI31*BG31,VALUE('Capacity summary'!BG150)),0),BG31*$BI31),BG31*$BI31),0)</f>
        <v>0</v>
      </c>
      <c r="DK31" s="391">
        <f t="shared" si="2"/>
        <v>0</v>
      </c>
      <c r="DL31" s="136">
        <f t="shared" si="3"/>
        <v>0</v>
      </c>
      <c r="DM31" s="311" t="str">
        <f>Capacity!H43</f>
        <v/>
      </c>
      <c r="DQ31" s="5"/>
    </row>
    <row r="32" spans="1:121" x14ac:dyDescent="0.2">
      <c r="A32" s="67">
        <f>IF(Capacity!L44='Capacity summary'!BI151,1,0)</f>
        <v>1</v>
      </c>
      <c r="B32" s="67">
        <f>IF(Capacity!V44='Capacity summary'!BI51,1,0)</f>
        <v>1</v>
      </c>
      <c r="C32" s="67" t="str">
        <f>ROW(A28)&amp;". "&amp;Capacity!B44</f>
        <v xml:space="preserve">28. </v>
      </c>
      <c r="D32" s="67">
        <f>'Capacity setup'!C39</f>
        <v>0</v>
      </c>
      <c r="E32" s="67">
        <f>'Capacity setup'!D39</f>
        <v>0</v>
      </c>
      <c r="F32" s="67">
        <f>'Capacity setup'!E39</f>
        <v>0</v>
      </c>
      <c r="H32" s="67">
        <f ca="1">IF(LOWER(Capacity!$L44)="x",IF(AND(SUMIF(Capacity_Resource,$D32,'Critical resources (hide)'!U$6:U$105)+SUMIF(Capacity_Resource,$E32,'Critical resources (hide)'!U$6:U$105)+SUMIF(Capacity_Resource,$F32,'Critical resources (hide)'!U$6:U$105)&gt;0,$E$1=2),0,1),0)</f>
        <v>1</v>
      </c>
      <c r="I32" s="67">
        <f ca="1">IF(LOWER(Capacity!$L44)="x",IF(AND(SUMIF(Capacity_Resource,$D32,'Critical resources (hide)'!V$6:V$105)+SUMIF(Capacity_Resource,$E32,'Critical resources (hide)'!V$6:V$105)+SUMIF(Capacity_Resource,$F32,'Critical resources (hide)'!V$6:V$105)&gt;0,$E$1=2),0,1),0)</f>
        <v>1</v>
      </c>
      <c r="J32" s="67">
        <f ca="1">IF(LOWER(Capacity!$L44)="x",IF(AND(SUMIF(Capacity_Resource,$D32,'Critical resources (hide)'!W$6:W$105)+SUMIF(Capacity_Resource,$E32,'Critical resources (hide)'!W$6:W$105)+SUMIF(Capacity_Resource,$F32,'Critical resources (hide)'!W$6:W$105)&gt;0,$E$1=2),0,1),0)</f>
        <v>1</v>
      </c>
      <c r="K32" s="67">
        <f ca="1">IF(LOWER(Capacity!$L44)="x",IF(AND(SUMIF(Capacity_Resource,$D32,'Critical resources (hide)'!X$6:X$105)+SUMIF(Capacity_Resource,$E32,'Critical resources (hide)'!X$6:X$105)+SUMIF(Capacity_Resource,$F32,'Critical resources (hide)'!X$6:X$105)&gt;0,$E$1=2),0,1),0)</f>
        <v>1</v>
      </c>
      <c r="L32" s="67">
        <f ca="1">IF(LOWER(Capacity!$L44)="x",IF(AND(SUMIF(Capacity_Resource,$D32,'Critical resources (hide)'!Y$6:Y$105)+SUMIF(Capacity_Resource,$E32,'Critical resources (hide)'!Y$6:Y$105)+SUMIF(Capacity_Resource,$F32,'Critical resources (hide)'!Y$6:Y$105)&gt;0,$E$1=2),0,1),0)</f>
        <v>1</v>
      </c>
      <c r="M32" s="67">
        <f ca="1">IF(LOWER(Capacity!$L44)="x",IF(AND(SUMIF(Capacity_Resource,$D32,'Critical resources (hide)'!Z$6:Z$105)+SUMIF(Capacity_Resource,$E32,'Critical resources (hide)'!Z$6:Z$105)+SUMIF(Capacity_Resource,$F32,'Critical resources (hide)'!Z$6:Z$105)&gt;0,$E$1=2),0,1),0)</f>
        <v>1</v>
      </c>
      <c r="N32" s="67">
        <f ca="1">IF(LOWER(Capacity!$L44)="x",IF(AND(SUMIF(Capacity_Resource,$D32,'Critical resources (hide)'!AA$6:AA$105)+SUMIF(Capacity_Resource,$E32,'Critical resources (hide)'!AA$6:AA$105)+SUMIF(Capacity_Resource,$F32,'Critical resources (hide)'!AA$6:AA$105)&gt;0,$E$1=2),0,1),0)</f>
        <v>1</v>
      </c>
      <c r="O32" s="67">
        <f ca="1">IF(LOWER(Capacity!$L44)="x",IF(AND(SUMIF(Capacity_Resource,$D32,'Critical resources (hide)'!AB$6:AB$105)+SUMIF(Capacity_Resource,$E32,'Critical resources (hide)'!AB$6:AB$105)+SUMIF(Capacity_Resource,$F32,'Critical resources (hide)'!AB$6:AB$105)&gt;0,$E$1=2),0,1),0)</f>
        <v>1</v>
      </c>
      <c r="P32" s="67">
        <f ca="1">IF(LOWER(Capacity!$L44)="x",IF(AND(SUMIF(Capacity_Resource,$D32,'Critical resources (hide)'!AC$6:AC$105)+SUMIF(Capacity_Resource,$E32,'Critical resources (hide)'!AC$6:AC$105)+SUMIF(Capacity_Resource,$F32,'Critical resources (hide)'!AC$6:AC$105)&gt;0,$E$1=2),0,1),0)</f>
        <v>1</v>
      </c>
      <c r="Q32" s="67">
        <f ca="1">IF(LOWER(Capacity!$L44)="x",IF(AND(SUMIF(Capacity_Resource,$D32,'Critical resources (hide)'!AD$6:AD$105)+SUMIF(Capacity_Resource,$E32,'Critical resources (hide)'!AD$6:AD$105)+SUMIF(Capacity_Resource,$F32,'Critical resources (hide)'!AD$6:AD$105)&gt;0,$E$1=2),0,1),0)</f>
        <v>1</v>
      </c>
      <c r="R32" s="67">
        <f ca="1">IF(LOWER(Capacity!$L44)="x",IF(AND(SUMIF(Capacity_Resource,$D32,'Critical resources (hide)'!AE$6:AE$105)+SUMIF(Capacity_Resource,$E32,'Critical resources (hide)'!AE$6:AE$105)+SUMIF(Capacity_Resource,$F32,'Critical resources (hide)'!AE$6:AE$105)&gt;0,$E$1=2),0,1),0)</f>
        <v>1</v>
      </c>
      <c r="S32" s="67">
        <f ca="1">IF(LOWER(Capacity!$L44)="x",IF(AND(SUMIF(Capacity_Resource,$D32,'Critical resources (hide)'!AF$6:AF$105)+SUMIF(Capacity_Resource,$E32,'Critical resources (hide)'!AF$6:AF$105)+SUMIF(Capacity_Resource,$F32,'Critical resources (hide)'!AF$6:AF$105)&gt;0,$E$1=2),0,1),0)</f>
        <v>1</v>
      </c>
      <c r="T32" s="67">
        <f ca="1">IF(LOWER(Capacity!$L44)="x",IF(AND(SUMIF(Capacity_Resource,$D32,'Critical resources (hide)'!AG$6:AG$105)+SUMIF(Capacity_Resource,$E32,'Critical resources (hide)'!AG$6:AG$105)+SUMIF(Capacity_Resource,$F32,'Critical resources (hide)'!AG$6:AG$105)&gt;0,$E$1=2),0,1),0)</f>
        <v>1</v>
      </c>
      <c r="U32" s="67">
        <f ca="1">IF(LOWER(Capacity!$L44)="x",IF(AND(SUMIF(Capacity_Resource,$D32,'Critical resources (hide)'!AH$6:AH$105)+SUMIF(Capacity_Resource,$E32,'Critical resources (hide)'!AH$6:AH$105)+SUMIF(Capacity_Resource,$F32,'Critical resources (hide)'!AH$6:AH$105)&gt;0,$E$1=2),0,1),0)</f>
        <v>1</v>
      </c>
      <c r="V32" s="67">
        <f ca="1">IF(LOWER(Capacity!$L44)="x",IF(AND(SUMIF(Capacity_Resource,$D32,'Critical resources (hide)'!AI$6:AI$105)+SUMIF(Capacity_Resource,$E32,'Critical resources (hide)'!AI$6:AI$105)+SUMIF(Capacity_Resource,$F32,'Critical resources (hide)'!AI$6:AI$105)&gt;0,$E$1=2),0,1),0)</f>
        <v>1</v>
      </c>
      <c r="W32" s="67">
        <f ca="1">IF(LOWER(Capacity!$L44)="x",IF(AND(SUMIF(Capacity_Resource,$D32,'Critical resources (hide)'!AJ$6:AJ$105)+SUMIF(Capacity_Resource,$E32,'Critical resources (hide)'!AJ$6:AJ$105)+SUMIF(Capacity_Resource,$F32,'Critical resources (hide)'!AJ$6:AJ$105)&gt;0,$E$1=2),0,1),0)</f>
        <v>1</v>
      </c>
      <c r="X32" s="67">
        <f ca="1">IF(LOWER(Capacity!$L44)="x",IF(AND(SUMIF(Capacity_Resource,$D32,'Critical resources (hide)'!AK$6:AK$105)+SUMIF(Capacity_Resource,$E32,'Critical resources (hide)'!AK$6:AK$105)+SUMIF(Capacity_Resource,$F32,'Critical resources (hide)'!AK$6:AK$105)&gt;0,$E$1=2),0,1),0)</f>
        <v>1</v>
      </c>
      <c r="Y32" s="67">
        <f ca="1">IF(LOWER(Capacity!$L44)="x",IF(AND(SUMIF(Capacity_Resource,$D32,'Critical resources (hide)'!AL$6:AL$105)+SUMIF(Capacity_Resource,$E32,'Critical resources (hide)'!AL$6:AL$105)+SUMIF(Capacity_Resource,$F32,'Critical resources (hide)'!AL$6:AL$105)&gt;0,$E$1=2),0,1),0)</f>
        <v>1</v>
      </c>
      <c r="Z32" s="67">
        <f ca="1">IF(LOWER(Capacity!$L44)="x",IF(AND(SUMIF(Capacity_Resource,$D32,'Critical resources (hide)'!AM$6:AM$105)+SUMIF(Capacity_Resource,$E32,'Critical resources (hide)'!AM$6:AM$105)+SUMIF(Capacity_Resource,$F32,'Critical resources (hide)'!AM$6:AM$105)&gt;0,$E$1=2),0,1),0)</f>
        <v>1</v>
      </c>
      <c r="AA32" s="67">
        <f ca="1">IF(LOWER(Capacity!$L44)="x",IF(AND(SUMIF(Capacity_Resource,$D32,'Critical resources (hide)'!AN$6:AN$105)+SUMIF(Capacity_Resource,$E32,'Critical resources (hide)'!AN$6:AN$105)+SUMIF(Capacity_Resource,$F32,'Critical resources (hide)'!AN$6:AN$105)&gt;0,$E$1=2),0,1),0)</f>
        <v>1</v>
      </c>
      <c r="AB32" s="67">
        <f ca="1">IF(LOWER(Capacity!$L44)="x",IF(AND(SUMIF(Capacity_Resource,$D32,'Critical resources (hide)'!AO$6:AO$105)+SUMIF(Capacity_Resource,$E32,'Critical resources (hide)'!AO$6:AO$105)+SUMIF(Capacity_Resource,$F32,'Critical resources (hide)'!AO$6:AO$105)&gt;0,$E$1=2),0,1),0)</f>
        <v>1</v>
      </c>
      <c r="AC32" s="67">
        <f ca="1">IF(LOWER(Capacity!$L44)="x",IF(AND(SUMIF(Capacity_Resource,$D32,'Critical resources (hide)'!AP$6:AP$105)+SUMIF(Capacity_Resource,$E32,'Critical resources (hide)'!AP$6:AP$105)+SUMIF(Capacity_Resource,$F32,'Critical resources (hide)'!AP$6:AP$105)&gt;0,$E$1=2),0,1),0)</f>
        <v>1</v>
      </c>
      <c r="AD32" s="67">
        <f ca="1">IF(LOWER(Capacity!$L44)="x",IF(AND(SUMIF(Capacity_Resource,$D32,'Critical resources (hide)'!AQ$6:AQ$105)+SUMIF(Capacity_Resource,$E32,'Critical resources (hide)'!AQ$6:AQ$105)+SUMIF(Capacity_Resource,$F32,'Critical resources (hide)'!AQ$6:AQ$105)&gt;0,$E$1=2),0,1),0)</f>
        <v>1</v>
      </c>
      <c r="AE32" s="67">
        <f ca="1">IF(LOWER(Capacity!$L44)="x",IF(AND(SUMIF(Capacity_Resource,$D32,'Critical resources (hide)'!AR$6:AR$105)+SUMIF(Capacity_Resource,$E32,'Critical resources (hide)'!AR$6:AR$105)+SUMIF(Capacity_Resource,$F32,'Critical resources (hide)'!AR$6:AR$105)&gt;0,$E$1=2),0,1),0)</f>
        <v>1</v>
      </c>
      <c r="AF32" s="67">
        <f ca="1">IF(LOWER(Capacity!$L44)="x",IF(AND(SUMIF(Capacity_Resource,$D32,'Critical resources (hide)'!AS$6:AS$105)+SUMIF(Capacity_Resource,$E32,'Critical resources (hide)'!AS$6:AS$105)+SUMIF(Capacity_Resource,$F32,'Critical resources (hide)'!AS$6:AS$105)&gt;0,$E$1=2),0,1),0)</f>
        <v>1</v>
      </c>
      <c r="AG32" s="67">
        <f ca="1">IF(LOWER(Capacity!$L44)="x",IF(AND(SUMIF(Capacity_Resource,$D32,'Critical resources (hide)'!AT$6:AT$105)+SUMIF(Capacity_Resource,$E32,'Critical resources (hide)'!AT$6:AT$105)+SUMIF(Capacity_Resource,$F32,'Critical resources (hide)'!AT$6:AT$105)&gt;0,$E$1=2),0,1),0)</f>
        <v>1</v>
      </c>
      <c r="AH32" s="67">
        <f ca="1">IF(LOWER(Capacity!$L44)="x",IF(AND(SUMIF(Capacity_Resource,$D32,'Critical resources (hide)'!AU$6:AU$105)+SUMIF(Capacity_Resource,$E32,'Critical resources (hide)'!AU$6:AU$105)+SUMIF(Capacity_Resource,$F32,'Critical resources (hide)'!AU$6:AU$105)&gt;0,$E$1=2),0,1),0)</f>
        <v>1</v>
      </c>
      <c r="AI32" s="67">
        <f ca="1">IF(LOWER(Capacity!$L44)="x",IF(AND(SUMIF(Capacity_Resource,$D32,'Critical resources (hide)'!AV$6:AV$105)+SUMIF(Capacity_Resource,$E32,'Critical resources (hide)'!AV$6:AV$105)+SUMIF(Capacity_Resource,$F32,'Critical resources (hide)'!AV$6:AV$105)&gt;0,$E$1=2),0,1),0)</f>
        <v>1</v>
      </c>
      <c r="AJ32" s="67">
        <f ca="1">IF(LOWER(Capacity!$L44)="x",IF(AND(SUMIF(Capacity_Resource,$D32,'Critical resources (hide)'!AW$6:AW$105)+SUMIF(Capacity_Resource,$E32,'Critical resources (hide)'!AW$6:AW$105)+SUMIF(Capacity_Resource,$F32,'Critical resources (hide)'!AW$6:AW$105)&gt;0,$E$1=2),0,1),0)</f>
        <v>1</v>
      </c>
      <c r="AK32" s="67">
        <f ca="1">IF(LOWER(Capacity!$L44)="x",IF(AND(SUMIF(Capacity_Resource,$D32,'Critical resources (hide)'!AX$6:AX$105)+SUMIF(Capacity_Resource,$E32,'Critical resources (hide)'!AX$6:AX$105)+SUMIF(Capacity_Resource,$F32,'Critical resources (hide)'!AX$6:AX$105)&gt;0,$E$1=2),0,1),0)</f>
        <v>1</v>
      </c>
      <c r="AL32" s="67">
        <f ca="1">IF(LOWER(Capacity!$L44)="x",IF(AND(SUMIF(Capacity_Resource,$D32,'Critical resources (hide)'!AY$6:AY$105)+SUMIF(Capacity_Resource,$E32,'Critical resources (hide)'!AY$6:AY$105)+SUMIF(Capacity_Resource,$F32,'Critical resources (hide)'!AY$6:AY$105)&gt;0,$E$1=2),0,1),0)</f>
        <v>1</v>
      </c>
      <c r="AM32" s="67">
        <f ca="1">IF(LOWER(Capacity!$L44)="x",IF(AND(SUMIF(Capacity_Resource,$D32,'Critical resources (hide)'!AZ$6:AZ$105)+SUMIF(Capacity_Resource,$E32,'Critical resources (hide)'!AZ$6:AZ$105)+SUMIF(Capacity_Resource,$F32,'Critical resources (hide)'!AZ$6:AZ$105)&gt;0,$E$1=2),0,1),0)</f>
        <v>1</v>
      </c>
      <c r="AN32" s="67">
        <f ca="1">IF(LOWER(Capacity!$L44)="x",IF(AND(SUMIF(Capacity_Resource,$D32,'Critical resources (hide)'!BA$6:BA$105)+SUMIF(Capacity_Resource,$E32,'Critical resources (hide)'!BA$6:BA$105)+SUMIF(Capacity_Resource,$F32,'Critical resources (hide)'!BA$6:BA$105)&gt;0,$E$1=2),0,1),0)</f>
        <v>1</v>
      </c>
      <c r="AO32" s="67">
        <f ca="1">IF(LOWER(Capacity!$L44)="x",IF(AND(SUMIF(Capacity_Resource,$D32,'Critical resources (hide)'!BB$6:BB$105)+SUMIF(Capacity_Resource,$E32,'Critical resources (hide)'!BB$6:BB$105)+SUMIF(Capacity_Resource,$F32,'Critical resources (hide)'!BB$6:BB$105)&gt;0,$E$1=2),0,1),0)</f>
        <v>1</v>
      </c>
      <c r="AP32" s="67">
        <f ca="1">IF(LOWER(Capacity!$L44)="x",IF(AND(SUMIF(Capacity_Resource,$D32,'Critical resources (hide)'!BC$6:BC$105)+SUMIF(Capacity_Resource,$E32,'Critical resources (hide)'!BC$6:BC$105)+SUMIF(Capacity_Resource,$F32,'Critical resources (hide)'!BC$6:BC$105)&gt;0,$E$1=2),0,1),0)</f>
        <v>1</v>
      </c>
      <c r="AQ32" s="67">
        <f ca="1">IF(LOWER(Capacity!$L44)="x",IF(AND(SUMIF(Capacity_Resource,$D32,'Critical resources (hide)'!BD$6:BD$105)+SUMIF(Capacity_Resource,$E32,'Critical resources (hide)'!BD$6:BD$105)+SUMIF(Capacity_Resource,$F32,'Critical resources (hide)'!BD$6:BD$105)&gt;0,$E$1=2),0,1),0)</f>
        <v>1</v>
      </c>
      <c r="AR32" s="67">
        <f ca="1">IF(LOWER(Capacity!$L44)="x",IF(AND(SUMIF(Capacity_Resource,$D32,'Critical resources (hide)'!BE$6:BE$105)+SUMIF(Capacity_Resource,$E32,'Critical resources (hide)'!BE$6:BE$105)+SUMIF(Capacity_Resource,$F32,'Critical resources (hide)'!BE$6:BE$105)&gt;0,$E$1=2),0,1),0)</f>
        <v>1</v>
      </c>
      <c r="AS32" s="67">
        <f ca="1">IF(LOWER(Capacity!$L44)="x",IF(AND(SUMIF(Capacity_Resource,$D32,'Critical resources (hide)'!BF$6:BF$105)+SUMIF(Capacity_Resource,$E32,'Critical resources (hide)'!BF$6:BF$105)+SUMIF(Capacity_Resource,$F32,'Critical resources (hide)'!BF$6:BF$105)&gt;0,$E$1=2),0,1),0)</f>
        <v>1</v>
      </c>
      <c r="AT32" s="67">
        <f ca="1">IF(LOWER(Capacity!$L44)="x",IF(AND(SUMIF(Capacity_Resource,$D32,'Critical resources (hide)'!BG$6:BG$105)+SUMIF(Capacity_Resource,$E32,'Critical resources (hide)'!BG$6:BG$105)+SUMIF(Capacity_Resource,$F32,'Critical resources (hide)'!BG$6:BG$105)&gt;0,$E$1=2),0,1),0)</f>
        <v>1</v>
      </c>
      <c r="AU32" s="67">
        <f ca="1">IF(LOWER(Capacity!$L44)="x",IF(AND(SUMIF(Capacity_Resource,$D32,'Critical resources (hide)'!BH$6:BH$105)+SUMIF(Capacity_Resource,$E32,'Critical resources (hide)'!BH$6:BH$105)+SUMIF(Capacity_Resource,$F32,'Critical resources (hide)'!BH$6:BH$105)&gt;0,$E$1=2),0,1),0)</f>
        <v>1</v>
      </c>
      <c r="AV32" s="67">
        <f ca="1">IF(LOWER(Capacity!$L44)="x",IF(AND(SUMIF(Capacity_Resource,$D32,'Critical resources (hide)'!BI$6:BI$105)+SUMIF(Capacity_Resource,$E32,'Critical resources (hide)'!BI$6:BI$105)+SUMIF(Capacity_Resource,$F32,'Critical resources (hide)'!BI$6:BI$105)&gt;0,$E$1=2),0,1),0)</f>
        <v>1</v>
      </c>
      <c r="AW32" s="67">
        <f ca="1">IF(LOWER(Capacity!$L44)="x",IF(AND(SUMIF(Capacity_Resource,$D32,'Critical resources (hide)'!BJ$6:BJ$105)+SUMIF(Capacity_Resource,$E32,'Critical resources (hide)'!BJ$6:BJ$105)+SUMIF(Capacity_Resource,$F32,'Critical resources (hide)'!BJ$6:BJ$105)&gt;0,$E$1=2),0,1),0)</f>
        <v>1</v>
      </c>
      <c r="AX32" s="67">
        <f ca="1">IF(LOWER(Capacity!$L44)="x",IF(AND(SUMIF(Capacity_Resource,$D32,'Critical resources (hide)'!BK$6:BK$105)+SUMIF(Capacity_Resource,$E32,'Critical resources (hide)'!BK$6:BK$105)+SUMIF(Capacity_Resource,$F32,'Critical resources (hide)'!BK$6:BK$105)&gt;0,$E$1=2),0,1),0)</f>
        <v>1</v>
      </c>
      <c r="AY32" s="67">
        <f ca="1">IF(LOWER(Capacity!$L44)="x",IF(AND(SUMIF(Capacity_Resource,$D32,'Critical resources (hide)'!BL$6:BL$105)+SUMIF(Capacity_Resource,$E32,'Critical resources (hide)'!BL$6:BL$105)+SUMIF(Capacity_Resource,$F32,'Critical resources (hide)'!BL$6:BL$105)&gt;0,$E$1=2),0,1),0)</f>
        <v>1</v>
      </c>
      <c r="AZ32" s="67">
        <f ca="1">IF(LOWER(Capacity!$L44)="x",IF(AND(SUMIF(Capacity_Resource,$D32,'Critical resources (hide)'!BM$6:BM$105)+SUMIF(Capacity_Resource,$E32,'Critical resources (hide)'!BM$6:BM$105)+SUMIF(Capacity_Resource,$F32,'Critical resources (hide)'!BM$6:BM$105)&gt;0,$E$1=2),0,1),0)</f>
        <v>1</v>
      </c>
      <c r="BA32" s="67">
        <f ca="1">IF(LOWER(Capacity!$L44)="x",IF(AND(SUMIF(Capacity_Resource,$D32,'Critical resources (hide)'!BN$6:BN$105)+SUMIF(Capacity_Resource,$E32,'Critical resources (hide)'!BN$6:BN$105)+SUMIF(Capacity_Resource,$F32,'Critical resources (hide)'!BN$6:BN$105)&gt;0,$E$1=2),0,1),0)</f>
        <v>1</v>
      </c>
      <c r="BB32" s="67">
        <f ca="1">IF(LOWER(Capacity!$L44)="x",IF(AND(SUMIF(Capacity_Resource,$D32,'Critical resources (hide)'!BO$6:BO$105)+SUMIF(Capacity_Resource,$E32,'Critical resources (hide)'!BO$6:BO$105)+SUMIF(Capacity_Resource,$F32,'Critical resources (hide)'!BO$6:BO$105)&gt;0,$E$1=2),0,1),0)</f>
        <v>1</v>
      </c>
      <c r="BC32" s="67">
        <f ca="1">IF(LOWER(Capacity!$L44)="x",IF(AND(SUMIF(Capacity_Resource,$D32,'Critical resources (hide)'!BP$6:BP$105)+SUMIF(Capacity_Resource,$E32,'Critical resources (hide)'!BP$6:BP$105)+SUMIF(Capacity_Resource,$F32,'Critical resources (hide)'!BP$6:BP$105)&gt;0,$E$1=2),0,1),0)</f>
        <v>1</v>
      </c>
      <c r="BD32" s="67">
        <f ca="1">IF(LOWER(Capacity!$L44)="x",IF(AND(SUMIF(Capacity_Resource,$D32,'Critical resources (hide)'!BQ$6:BQ$105)+SUMIF(Capacity_Resource,$E32,'Critical resources (hide)'!BQ$6:BQ$105)+SUMIF(Capacity_Resource,$F32,'Critical resources (hide)'!BQ$6:BQ$105)&gt;0,$E$1=2),0,1),0)</f>
        <v>1</v>
      </c>
      <c r="BE32" s="67">
        <f ca="1">IF(LOWER(Capacity!$L44)="x",IF(AND(SUMIF(Capacity_Resource,$D32,'Critical resources (hide)'!BR$6:BR$105)+SUMIF(Capacity_Resource,$E32,'Critical resources (hide)'!BR$6:BR$105)+SUMIF(Capacity_Resource,$F32,'Critical resources (hide)'!BR$6:BR$105)&gt;0,$E$1=2),0,1),0)</f>
        <v>1</v>
      </c>
      <c r="BF32" s="67">
        <f ca="1">IF(LOWER(Capacity!$L44)="x",IF(AND(SUMIF(Capacity_Resource,$D32,'Critical resources (hide)'!BS$6:BS$105)+SUMIF(Capacity_Resource,$E32,'Critical resources (hide)'!BS$6:BS$105)+SUMIF(Capacity_Resource,$F32,'Critical resources (hide)'!BS$6:BS$105)&gt;0,$E$1=2),0,1),0)</f>
        <v>1</v>
      </c>
      <c r="BG32" s="67">
        <f ca="1">IF(LOWER(Capacity!$L44)="x",IF(AND(SUMIF(Capacity_Resource,$D32,'Critical resources (hide)'!BT$6:BT$105)+SUMIF(Capacity_Resource,$E32,'Critical resources (hide)'!BT$6:BT$105)+SUMIF(Capacity_Resource,$F32,'Critical resources (hide)'!BT$6:BT$105)&gt;0,$E$1=2),0,1),0)</f>
        <v>1</v>
      </c>
      <c r="BH32" s="67">
        <f>IF(ROW(C28)&lt;=Capacity!$A$16,IF('Capacity summary'!$D$14="No",SUM(H32:BG32),'Capacity summary'!$E151),0)</f>
        <v>0</v>
      </c>
      <c r="BI32" s="5" t="str">
        <f>IF(BH32&gt;0,IF(BH32&lt;Capacity!E44,Capacity!F44,Capacity!H44/'Capacity calculation (hide)'!BH32),"")</f>
        <v/>
      </c>
      <c r="BK32" s="311">
        <f>IF($BI32&lt;&gt;"",IF('Capacity summary'!$D$14="Yes",IF(COUNTBLANK('Capacity summary'!$H151:$BG151)&lt;52,IF('Capacity summary'!H151&lt;&gt;"",IF(LOWER('Capacity summary'!H151)="x",$BI32*H32,VALUE('Capacity summary'!H151)),0),H32*$BI32),H32*$BI32),0)</f>
        <v>0</v>
      </c>
      <c r="BL32" s="311">
        <f>IF($BI32&lt;&gt;"",IF('Capacity summary'!$D$14="Yes",IF(COUNTBLANK('Capacity summary'!$H151:$BG151)&lt;52,IF('Capacity summary'!I151&lt;&gt;"",IF(LOWER('Capacity summary'!I151)="x",$BI32*I32,VALUE('Capacity summary'!I151)),0),I32*$BI32),I32*$BI32),0)</f>
        <v>0</v>
      </c>
      <c r="BM32" s="311">
        <f>IF($BI32&lt;&gt;"",IF('Capacity summary'!$D$14="Yes",IF(COUNTBLANK('Capacity summary'!$H151:$BG151)&lt;52,IF('Capacity summary'!J151&lt;&gt;"",IF(LOWER('Capacity summary'!J151)="x",$BI32*J32,VALUE('Capacity summary'!J151)),0),J32*$BI32),J32*$BI32),0)</f>
        <v>0</v>
      </c>
      <c r="BN32" s="311">
        <f>IF($BI32&lt;&gt;"",IF('Capacity summary'!$D$14="Yes",IF(COUNTBLANK('Capacity summary'!$H151:$BG151)&lt;52,IF('Capacity summary'!K151&lt;&gt;"",IF(LOWER('Capacity summary'!K151)="x",$BI32*K32,VALUE('Capacity summary'!K151)),0),K32*$BI32),K32*$BI32),0)</f>
        <v>0</v>
      </c>
      <c r="BO32" s="311">
        <f>IF($BI32&lt;&gt;"",IF('Capacity summary'!$D$14="Yes",IF(COUNTBLANK('Capacity summary'!$H151:$BG151)&lt;52,IF('Capacity summary'!L151&lt;&gt;"",IF(LOWER('Capacity summary'!L151)="x",$BI32*L32,VALUE('Capacity summary'!L151)),0),L32*$BI32),L32*$BI32),0)</f>
        <v>0</v>
      </c>
      <c r="BP32" s="311">
        <f>IF($BI32&lt;&gt;"",IF('Capacity summary'!$D$14="Yes",IF(COUNTBLANK('Capacity summary'!$H151:$BG151)&lt;52,IF('Capacity summary'!M151&lt;&gt;"",IF(LOWER('Capacity summary'!M151)="x",$BI32*M32,VALUE('Capacity summary'!M151)),0),M32*$BI32),M32*$BI32),0)</f>
        <v>0</v>
      </c>
      <c r="BQ32" s="311">
        <f>IF($BI32&lt;&gt;"",IF('Capacity summary'!$D$14="Yes",IF(COUNTBLANK('Capacity summary'!$H151:$BG151)&lt;52,IF('Capacity summary'!N151&lt;&gt;"",IF(LOWER('Capacity summary'!N151)="x",$BI32*N32,VALUE('Capacity summary'!N151)),0),N32*$BI32),N32*$BI32),0)</f>
        <v>0</v>
      </c>
      <c r="BR32" s="311">
        <f>IF($BI32&lt;&gt;"",IF('Capacity summary'!$D$14="Yes",IF(COUNTBLANK('Capacity summary'!$H151:$BG151)&lt;52,IF('Capacity summary'!O151&lt;&gt;"",IF(LOWER('Capacity summary'!O151)="x",$BI32*O32,VALUE('Capacity summary'!O151)),0),O32*$BI32),O32*$BI32),0)</f>
        <v>0</v>
      </c>
      <c r="BS32" s="311">
        <f>IF($BI32&lt;&gt;"",IF('Capacity summary'!$D$14="Yes",IF(COUNTBLANK('Capacity summary'!$H151:$BG151)&lt;52,IF('Capacity summary'!P151&lt;&gt;"",IF(LOWER('Capacity summary'!P151)="x",$BI32*P32,VALUE('Capacity summary'!P151)),0),P32*$BI32),P32*$BI32),0)</f>
        <v>0</v>
      </c>
      <c r="BT32" s="311">
        <f>IF($BI32&lt;&gt;"",IF('Capacity summary'!$D$14="Yes",IF(COUNTBLANK('Capacity summary'!$H151:$BG151)&lt;52,IF('Capacity summary'!Q151&lt;&gt;"",IF(LOWER('Capacity summary'!Q151)="x",$BI32*Q32,VALUE('Capacity summary'!Q151)),0),Q32*$BI32),Q32*$BI32),0)</f>
        <v>0</v>
      </c>
      <c r="BU32" s="311">
        <f>IF($BI32&lt;&gt;"",IF('Capacity summary'!$D$14="Yes",IF(COUNTBLANK('Capacity summary'!$H151:$BG151)&lt;52,IF('Capacity summary'!R151&lt;&gt;"",IF(LOWER('Capacity summary'!R151)="x",$BI32*R32,VALUE('Capacity summary'!R151)),0),R32*$BI32),R32*$BI32),0)</f>
        <v>0</v>
      </c>
      <c r="BV32" s="311">
        <f>IF($BI32&lt;&gt;"",IF('Capacity summary'!$D$14="Yes",IF(COUNTBLANK('Capacity summary'!$H151:$BG151)&lt;52,IF('Capacity summary'!S151&lt;&gt;"",IF(LOWER('Capacity summary'!S151)="x",$BI32*S32,VALUE('Capacity summary'!S151)),0),S32*$BI32),S32*$BI32),0)</f>
        <v>0</v>
      </c>
      <c r="BW32" s="311">
        <f>IF($BI32&lt;&gt;"",IF('Capacity summary'!$D$14="Yes",IF(COUNTBLANK('Capacity summary'!$H151:$BG151)&lt;52,IF('Capacity summary'!T151&lt;&gt;"",IF(LOWER('Capacity summary'!T151)="x",$BI32*T32,VALUE('Capacity summary'!T151)),0),T32*$BI32),T32*$BI32),0)</f>
        <v>0</v>
      </c>
      <c r="BX32" s="311">
        <f>IF($BI32&lt;&gt;"",IF('Capacity summary'!$D$14="Yes",IF(COUNTBLANK('Capacity summary'!$H151:$BG151)&lt;52,IF('Capacity summary'!U151&lt;&gt;"",IF(LOWER('Capacity summary'!U151)="x",$BI32*U32,VALUE('Capacity summary'!U151)),0),U32*$BI32),U32*$BI32),0)</f>
        <v>0</v>
      </c>
      <c r="BY32" s="311">
        <f>IF($BI32&lt;&gt;"",IF('Capacity summary'!$D$14="Yes",IF(COUNTBLANK('Capacity summary'!$H151:$BG151)&lt;52,IF('Capacity summary'!V151&lt;&gt;"",IF(LOWER('Capacity summary'!V151)="x",$BI32*V32,VALUE('Capacity summary'!V151)),0),V32*$BI32),V32*$BI32),0)</f>
        <v>0</v>
      </c>
      <c r="BZ32" s="311">
        <f>IF($BI32&lt;&gt;"",IF('Capacity summary'!$D$14="Yes",IF(COUNTBLANK('Capacity summary'!$H151:$BG151)&lt;52,IF('Capacity summary'!W151&lt;&gt;"",IF(LOWER('Capacity summary'!W151)="x",$BI32*W32,VALUE('Capacity summary'!W151)),0),W32*$BI32),W32*$BI32),0)</f>
        <v>0</v>
      </c>
      <c r="CA32" s="311">
        <f>IF($BI32&lt;&gt;"",IF('Capacity summary'!$D$14="Yes",IF(COUNTBLANK('Capacity summary'!$H151:$BG151)&lt;52,IF('Capacity summary'!X151&lt;&gt;"",IF(LOWER('Capacity summary'!X151)="x",$BI32*X32,VALUE('Capacity summary'!X151)),0),X32*$BI32),X32*$BI32),0)</f>
        <v>0</v>
      </c>
      <c r="CB32" s="311">
        <f>IF($BI32&lt;&gt;"",IF('Capacity summary'!$D$14="Yes",IF(COUNTBLANK('Capacity summary'!$H151:$BG151)&lt;52,IF('Capacity summary'!Y151&lt;&gt;"",IF(LOWER('Capacity summary'!Y151)="x",$BI32*Y32,VALUE('Capacity summary'!Y151)),0),Y32*$BI32),Y32*$BI32),0)</f>
        <v>0</v>
      </c>
      <c r="CC32" s="311">
        <f>IF($BI32&lt;&gt;"",IF('Capacity summary'!$D$14="Yes",IF(COUNTBLANK('Capacity summary'!$H151:$BG151)&lt;52,IF('Capacity summary'!Z151&lt;&gt;"",IF(LOWER('Capacity summary'!Z151)="x",$BI32*Z32,VALUE('Capacity summary'!Z151)),0),Z32*$BI32),Z32*$BI32),0)</f>
        <v>0</v>
      </c>
      <c r="CD32" s="311">
        <f>IF($BI32&lt;&gt;"",IF('Capacity summary'!$D$14="Yes",IF(COUNTBLANK('Capacity summary'!$H151:$BG151)&lt;52,IF('Capacity summary'!AA151&lt;&gt;"",IF(LOWER('Capacity summary'!AA151)="x",$BI32*AA32,VALUE('Capacity summary'!AA151)),0),AA32*$BI32),AA32*$BI32),0)</f>
        <v>0</v>
      </c>
      <c r="CE32" s="311">
        <f>IF($BI32&lt;&gt;"",IF('Capacity summary'!$D$14="Yes",IF(COUNTBLANK('Capacity summary'!$H151:$BG151)&lt;52,IF('Capacity summary'!AB151&lt;&gt;"",IF(LOWER('Capacity summary'!AB151)="x",$BI32*AB32,VALUE('Capacity summary'!AB151)),0),AB32*$BI32),AB32*$BI32),0)</f>
        <v>0</v>
      </c>
      <c r="CF32" s="311">
        <f>IF($BI32&lt;&gt;"",IF('Capacity summary'!$D$14="Yes",IF(COUNTBLANK('Capacity summary'!$H151:$BG151)&lt;52,IF('Capacity summary'!AC151&lt;&gt;"",IF(LOWER('Capacity summary'!AC151)="x",$BI32*AC32,VALUE('Capacity summary'!AC151)),0),AC32*$BI32),AC32*$BI32),0)</f>
        <v>0</v>
      </c>
      <c r="CG32" s="311">
        <f>IF($BI32&lt;&gt;"",IF('Capacity summary'!$D$14="Yes",IF(COUNTBLANK('Capacity summary'!$H151:$BG151)&lt;52,IF('Capacity summary'!AD151&lt;&gt;"",IF(LOWER('Capacity summary'!AD151)="x",$BI32*AD32,VALUE('Capacity summary'!AD151)),0),AD32*$BI32),AD32*$BI32),0)</f>
        <v>0</v>
      </c>
      <c r="CH32" s="311">
        <f>IF($BI32&lt;&gt;"",IF('Capacity summary'!$D$14="Yes",IF(COUNTBLANK('Capacity summary'!$H151:$BG151)&lt;52,IF('Capacity summary'!AE151&lt;&gt;"",IF(LOWER('Capacity summary'!AE151)="x",$BI32*AE32,VALUE('Capacity summary'!AE151)),0),AE32*$BI32),AE32*$BI32),0)</f>
        <v>0</v>
      </c>
      <c r="CI32" s="311">
        <f>IF($BI32&lt;&gt;"",IF('Capacity summary'!$D$14="Yes",IF(COUNTBLANK('Capacity summary'!$H151:$BG151)&lt;52,IF('Capacity summary'!AF151&lt;&gt;"",IF(LOWER('Capacity summary'!AF151)="x",$BI32*AF32,VALUE('Capacity summary'!AF151)),0),AF32*$BI32),AF32*$BI32),0)</f>
        <v>0</v>
      </c>
      <c r="CJ32" s="311">
        <f>IF($BI32&lt;&gt;"",IF('Capacity summary'!$D$14="Yes",IF(COUNTBLANK('Capacity summary'!$H151:$BG151)&lt;52,IF('Capacity summary'!AG151&lt;&gt;"",IF(LOWER('Capacity summary'!AG151)="x",$BI32*AG32,VALUE('Capacity summary'!AG151)),0),AG32*$BI32),AG32*$BI32),0)</f>
        <v>0</v>
      </c>
      <c r="CK32" s="311">
        <f>IF($BI32&lt;&gt;"",IF('Capacity summary'!$D$14="Yes",IF(COUNTBLANK('Capacity summary'!$H151:$BG151)&lt;52,IF('Capacity summary'!AH151&lt;&gt;"",IF(LOWER('Capacity summary'!AH151)="x",$BI32*AH32,VALUE('Capacity summary'!AH151)),0),AH32*$BI32),AH32*$BI32),0)</f>
        <v>0</v>
      </c>
      <c r="CL32" s="311">
        <f>IF($BI32&lt;&gt;"",IF('Capacity summary'!$D$14="Yes",IF(COUNTBLANK('Capacity summary'!$H151:$BG151)&lt;52,IF('Capacity summary'!AI151&lt;&gt;"",IF(LOWER('Capacity summary'!AI151)="x",$BI32*AI32,VALUE('Capacity summary'!AI151)),0),AI32*$BI32),AI32*$BI32),0)</f>
        <v>0</v>
      </c>
      <c r="CM32" s="311">
        <f>IF($BI32&lt;&gt;"",IF('Capacity summary'!$D$14="Yes",IF(COUNTBLANK('Capacity summary'!$H151:$BG151)&lt;52,IF('Capacity summary'!AJ151&lt;&gt;"",IF(LOWER('Capacity summary'!AJ151)="x",$BI32*AJ32,VALUE('Capacity summary'!AJ151)),0),AJ32*$BI32),AJ32*$BI32),0)</f>
        <v>0</v>
      </c>
      <c r="CN32" s="311">
        <f>IF($BI32&lt;&gt;"",IF('Capacity summary'!$D$14="Yes",IF(COUNTBLANK('Capacity summary'!$H151:$BG151)&lt;52,IF('Capacity summary'!AK151&lt;&gt;"",IF(LOWER('Capacity summary'!AK151)="x",$BI32*AK32,VALUE('Capacity summary'!AK151)),0),AK32*$BI32),AK32*$BI32),0)</f>
        <v>0</v>
      </c>
      <c r="CO32" s="311">
        <f>IF($BI32&lt;&gt;"",IF('Capacity summary'!$D$14="Yes",IF(COUNTBLANK('Capacity summary'!$H151:$BG151)&lt;52,IF('Capacity summary'!AL151&lt;&gt;"",IF(LOWER('Capacity summary'!AL151)="x",$BI32*AL32,VALUE('Capacity summary'!AL151)),0),AL32*$BI32),AL32*$BI32),0)</f>
        <v>0</v>
      </c>
      <c r="CP32" s="311">
        <f>IF($BI32&lt;&gt;"",IF('Capacity summary'!$D$14="Yes",IF(COUNTBLANK('Capacity summary'!$H151:$BG151)&lt;52,IF('Capacity summary'!AM151&lt;&gt;"",IF(LOWER('Capacity summary'!AM151)="x",$BI32*AM32,VALUE('Capacity summary'!AM151)),0),AM32*$BI32),AM32*$BI32),0)</f>
        <v>0</v>
      </c>
      <c r="CQ32" s="311">
        <f>IF($BI32&lt;&gt;"",IF('Capacity summary'!$D$14="Yes",IF(COUNTBLANK('Capacity summary'!$H151:$BG151)&lt;52,IF('Capacity summary'!AN151&lt;&gt;"",IF(LOWER('Capacity summary'!AN151)="x",$BI32*AN32,VALUE('Capacity summary'!AN151)),0),AN32*$BI32),AN32*$BI32),0)</f>
        <v>0</v>
      </c>
      <c r="CR32" s="311">
        <f>IF($BI32&lt;&gt;"",IF('Capacity summary'!$D$14="Yes",IF(COUNTBLANK('Capacity summary'!$H151:$BG151)&lt;52,IF('Capacity summary'!AO151&lt;&gt;"",IF(LOWER('Capacity summary'!AO151)="x",$BI32*AO32,VALUE('Capacity summary'!AO151)),0),AO32*$BI32),AO32*$BI32),0)</f>
        <v>0</v>
      </c>
      <c r="CS32" s="311">
        <f>IF($BI32&lt;&gt;"",IF('Capacity summary'!$D$14="Yes",IF(COUNTBLANK('Capacity summary'!$H151:$BG151)&lt;52,IF('Capacity summary'!AP151&lt;&gt;"",IF(LOWER('Capacity summary'!AP151)="x",$BI32*AP32,VALUE('Capacity summary'!AP151)),0),AP32*$BI32),AP32*$BI32),0)</f>
        <v>0</v>
      </c>
      <c r="CT32" s="311">
        <f>IF($BI32&lt;&gt;"",IF('Capacity summary'!$D$14="Yes",IF(COUNTBLANK('Capacity summary'!$H151:$BG151)&lt;52,IF('Capacity summary'!AQ151&lt;&gt;"",IF(LOWER('Capacity summary'!AQ151)="x",$BI32*AQ32,VALUE('Capacity summary'!AQ151)),0),AQ32*$BI32),AQ32*$BI32),0)</f>
        <v>0</v>
      </c>
      <c r="CU32" s="311">
        <f>IF($BI32&lt;&gt;"",IF('Capacity summary'!$D$14="Yes",IF(COUNTBLANK('Capacity summary'!$H151:$BG151)&lt;52,IF('Capacity summary'!AR151&lt;&gt;"",IF(LOWER('Capacity summary'!AR151)="x",$BI32*AR32,VALUE('Capacity summary'!AR151)),0),AR32*$BI32),AR32*$BI32),0)</f>
        <v>0</v>
      </c>
      <c r="CV32" s="311">
        <f>IF($BI32&lt;&gt;"",IF('Capacity summary'!$D$14="Yes",IF(COUNTBLANK('Capacity summary'!$H151:$BG151)&lt;52,IF('Capacity summary'!AS151&lt;&gt;"",IF(LOWER('Capacity summary'!AS151)="x",$BI32*AS32,VALUE('Capacity summary'!AS151)),0),AS32*$BI32),AS32*$BI32),0)</f>
        <v>0</v>
      </c>
      <c r="CW32" s="311">
        <f>IF($BI32&lt;&gt;"",IF('Capacity summary'!$D$14="Yes",IF(COUNTBLANK('Capacity summary'!$H151:$BG151)&lt;52,IF('Capacity summary'!AT151&lt;&gt;"",IF(LOWER('Capacity summary'!AT151)="x",$BI32*AT32,VALUE('Capacity summary'!AT151)),0),AT32*$BI32),AT32*$BI32),0)</f>
        <v>0</v>
      </c>
      <c r="CX32" s="311">
        <f>IF($BI32&lt;&gt;"",IF('Capacity summary'!$D$14="Yes",IF(COUNTBLANK('Capacity summary'!$H151:$BG151)&lt;52,IF('Capacity summary'!AU151&lt;&gt;"",IF(LOWER('Capacity summary'!AU151)="x",$BI32*AU32,VALUE('Capacity summary'!AU151)),0),AU32*$BI32),AU32*$BI32),0)</f>
        <v>0</v>
      </c>
      <c r="CY32" s="311">
        <f>IF($BI32&lt;&gt;"",IF('Capacity summary'!$D$14="Yes",IF(COUNTBLANK('Capacity summary'!$H151:$BG151)&lt;52,IF('Capacity summary'!AV151&lt;&gt;"",IF(LOWER('Capacity summary'!AV151)="x",$BI32*AV32,VALUE('Capacity summary'!AV151)),0),AV32*$BI32),AV32*$BI32),0)</f>
        <v>0</v>
      </c>
      <c r="CZ32" s="311">
        <f>IF($BI32&lt;&gt;"",IF('Capacity summary'!$D$14="Yes",IF(COUNTBLANK('Capacity summary'!$H151:$BG151)&lt;52,IF('Capacity summary'!AW151&lt;&gt;"",IF(LOWER('Capacity summary'!AW151)="x",$BI32*AW32,VALUE('Capacity summary'!AW151)),0),AW32*$BI32),AW32*$BI32),0)</f>
        <v>0</v>
      </c>
      <c r="DA32" s="311">
        <f>IF($BI32&lt;&gt;"",IF('Capacity summary'!$D$14="Yes",IF(COUNTBLANK('Capacity summary'!$H151:$BG151)&lt;52,IF('Capacity summary'!AX151&lt;&gt;"",IF(LOWER('Capacity summary'!AX151)="x",$BI32*AX32,VALUE('Capacity summary'!AX151)),0),AX32*$BI32),AX32*$BI32),0)</f>
        <v>0</v>
      </c>
      <c r="DB32" s="311">
        <f>IF($BI32&lt;&gt;"",IF('Capacity summary'!$D$14="Yes",IF(COUNTBLANK('Capacity summary'!$H151:$BG151)&lt;52,IF('Capacity summary'!AY151&lt;&gt;"",IF(LOWER('Capacity summary'!AY151)="x",$BI32*AY32,VALUE('Capacity summary'!AY151)),0),AY32*$BI32),AY32*$BI32),0)</f>
        <v>0</v>
      </c>
      <c r="DC32" s="311">
        <f>IF($BI32&lt;&gt;"",IF('Capacity summary'!$D$14="Yes",IF(COUNTBLANK('Capacity summary'!$H151:$BG151)&lt;52,IF('Capacity summary'!AZ151&lt;&gt;"",IF(LOWER('Capacity summary'!AZ151)="x",$BI32*AZ32,VALUE('Capacity summary'!AZ151)),0),AZ32*$BI32),AZ32*$BI32),0)</f>
        <v>0</v>
      </c>
      <c r="DD32" s="311">
        <f>IF($BI32&lt;&gt;"",IF('Capacity summary'!$D$14="Yes",IF(COUNTBLANK('Capacity summary'!$H151:$BG151)&lt;52,IF('Capacity summary'!BA151&lt;&gt;"",IF(LOWER('Capacity summary'!BA151)="x",$BI32*BA32,VALUE('Capacity summary'!BA151)),0),BA32*$BI32),BA32*$BI32),0)</f>
        <v>0</v>
      </c>
      <c r="DE32" s="311">
        <f>IF($BI32&lt;&gt;"",IF('Capacity summary'!$D$14="Yes",IF(COUNTBLANK('Capacity summary'!$H151:$BG151)&lt;52,IF('Capacity summary'!BB151&lt;&gt;"",IF(LOWER('Capacity summary'!BB151)="x",$BI32*BB32,VALUE('Capacity summary'!BB151)),0),BB32*$BI32),BB32*$BI32),0)</f>
        <v>0</v>
      </c>
      <c r="DF32" s="311">
        <f>IF($BI32&lt;&gt;"",IF('Capacity summary'!$D$14="Yes",IF(COUNTBLANK('Capacity summary'!$H151:$BG151)&lt;52,IF('Capacity summary'!BC151&lt;&gt;"",IF(LOWER('Capacity summary'!BC151)="x",$BI32*BC32,VALUE('Capacity summary'!BC151)),0),BC32*$BI32),BC32*$BI32),0)</f>
        <v>0</v>
      </c>
      <c r="DG32" s="311">
        <f>IF($BI32&lt;&gt;"",IF('Capacity summary'!$D$14="Yes",IF(COUNTBLANK('Capacity summary'!$H151:$BG151)&lt;52,IF('Capacity summary'!BD151&lt;&gt;"",IF(LOWER('Capacity summary'!BD151)="x",$BI32*BD32,VALUE('Capacity summary'!BD151)),0),BD32*$BI32),BD32*$BI32),0)</f>
        <v>0</v>
      </c>
      <c r="DH32" s="311">
        <f>IF($BI32&lt;&gt;"",IF('Capacity summary'!$D$14="Yes",IF(COUNTBLANK('Capacity summary'!$H151:$BG151)&lt;52,IF('Capacity summary'!BE151&lt;&gt;"",IF(LOWER('Capacity summary'!BE151)="x",$BI32*BE32,VALUE('Capacity summary'!BE151)),0),BE32*$BI32),BE32*$BI32),0)</f>
        <v>0</v>
      </c>
      <c r="DI32" s="311">
        <f>IF($BI32&lt;&gt;"",IF('Capacity summary'!$D$14="Yes",IF(COUNTBLANK('Capacity summary'!$H151:$BG151)&lt;52,IF('Capacity summary'!BF151&lt;&gt;"",IF(LOWER('Capacity summary'!BF151)="x",$BI32*BF32,VALUE('Capacity summary'!BF151)),0),BF32*$BI32),BF32*$BI32),0)</f>
        <v>0</v>
      </c>
      <c r="DJ32" s="311">
        <f>IF($BI32&lt;&gt;"",IF('Capacity summary'!$D$14="Yes",IF(COUNTBLANK('Capacity summary'!$H151:$BG151)&lt;52,IF('Capacity summary'!BG151&lt;&gt;"",IF(LOWER('Capacity summary'!BG151)="x",$BI32*BG32,VALUE('Capacity summary'!BG151)),0),BG32*$BI32),BG32*$BI32),0)</f>
        <v>0</v>
      </c>
      <c r="DK32" s="391">
        <f t="shared" si="2"/>
        <v>0</v>
      </c>
      <c r="DL32" s="136">
        <f t="shared" si="3"/>
        <v>0</v>
      </c>
      <c r="DM32" s="311" t="str">
        <f>Capacity!H44</f>
        <v/>
      </c>
      <c r="DQ32" s="5"/>
    </row>
    <row r="33" spans="1:121" x14ac:dyDescent="0.2">
      <c r="A33" s="67">
        <f>IF(Capacity!L45='Capacity summary'!BI152,1,0)</f>
        <v>1</v>
      </c>
      <c r="B33" s="67">
        <f>IF(Capacity!V45='Capacity summary'!BI52,1,0)</f>
        <v>1</v>
      </c>
      <c r="C33" s="67" t="str">
        <f>ROW(A29)&amp;". "&amp;Capacity!B45</f>
        <v xml:space="preserve">29. </v>
      </c>
      <c r="D33" s="67">
        <f>'Capacity setup'!C40</f>
        <v>0</v>
      </c>
      <c r="E33" s="67">
        <f>'Capacity setup'!D40</f>
        <v>0</v>
      </c>
      <c r="F33" s="67">
        <f>'Capacity setup'!E40</f>
        <v>0</v>
      </c>
      <c r="H33" s="67">
        <f ca="1">IF(LOWER(Capacity!$L45)="x",IF(AND(SUMIF(Capacity_Resource,$D33,'Critical resources (hide)'!U$6:U$105)+SUMIF(Capacity_Resource,$E33,'Critical resources (hide)'!U$6:U$105)+SUMIF(Capacity_Resource,$F33,'Critical resources (hide)'!U$6:U$105)&gt;0,$E$1=2),0,1),0)</f>
        <v>1</v>
      </c>
      <c r="I33" s="67">
        <f ca="1">IF(LOWER(Capacity!$L45)="x",IF(AND(SUMIF(Capacity_Resource,$D33,'Critical resources (hide)'!V$6:V$105)+SUMIF(Capacity_Resource,$E33,'Critical resources (hide)'!V$6:V$105)+SUMIF(Capacity_Resource,$F33,'Critical resources (hide)'!V$6:V$105)&gt;0,$E$1=2),0,1),0)</f>
        <v>1</v>
      </c>
      <c r="J33" s="67">
        <f ca="1">IF(LOWER(Capacity!$L45)="x",IF(AND(SUMIF(Capacity_Resource,$D33,'Critical resources (hide)'!W$6:W$105)+SUMIF(Capacity_Resource,$E33,'Critical resources (hide)'!W$6:W$105)+SUMIF(Capacity_Resource,$F33,'Critical resources (hide)'!W$6:W$105)&gt;0,$E$1=2),0,1),0)</f>
        <v>1</v>
      </c>
      <c r="K33" s="67">
        <f ca="1">IF(LOWER(Capacity!$L45)="x",IF(AND(SUMIF(Capacity_Resource,$D33,'Critical resources (hide)'!X$6:X$105)+SUMIF(Capacity_Resource,$E33,'Critical resources (hide)'!X$6:X$105)+SUMIF(Capacity_Resource,$F33,'Critical resources (hide)'!X$6:X$105)&gt;0,$E$1=2),0,1),0)</f>
        <v>1</v>
      </c>
      <c r="L33" s="67">
        <f ca="1">IF(LOWER(Capacity!$L45)="x",IF(AND(SUMIF(Capacity_Resource,$D33,'Critical resources (hide)'!Y$6:Y$105)+SUMIF(Capacity_Resource,$E33,'Critical resources (hide)'!Y$6:Y$105)+SUMIF(Capacity_Resource,$F33,'Critical resources (hide)'!Y$6:Y$105)&gt;0,$E$1=2),0,1),0)</f>
        <v>1</v>
      </c>
      <c r="M33" s="67">
        <f ca="1">IF(LOWER(Capacity!$L45)="x",IF(AND(SUMIF(Capacity_Resource,$D33,'Critical resources (hide)'!Z$6:Z$105)+SUMIF(Capacity_Resource,$E33,'Critical resources (hide)'!Z$6:Z$105)+SUMIF(Capacity_Resource,$F33,'Critical resources (hide)'!Z$6:Z$105)&gt;0,$E$1=2),0,1),0)</f>
        <v>1</v>
      </c>
      <c r="N33" s="67">
        <f ca="1">IF(LOWER(Capacity!$L45)="x",IF(AND(SUMIF(Capacity_Resource,$D33,'Critical resources (hide)'!AA$6:AA$105)+SUMIF(Capacity_Resource,$E33,'Critical resources (hide)'!AA$6:AA$105)+SUMIF(Capacity_Resource,$F33,'Critical resources (hide)'!AA$6:AA$105)&gt;0,$E$1=2),0,1),0)</f>
        <v>1</v>
      </c>
      <c r="O33" s="67">
        <f ca="1">IF(LOWER(Capacity!$L45)="x",IF(AND(SUMIF(Capacity_Resource,$D33,'Critical resources (hide)'!AB$6:AB$105)+SUMIF(Capacity_Resource,$E33,'Critical resources (hide)'!AB$6:AB$105)+SUMIF(Capacity_Resource,$F33,'Critical resources (hide)'!AB$6:AB$105)&gt;0,$E$1=2),0,1),0)</f>
        <v>1</v>
      </c>
      <c r="P33" s="67">
        <f ca="1">IF(LOWER(Capacity!$L45)="x",IF(AND(SUMIF(Capacity_Resource,$D33,'Critical resources (hide)'!AC$6:AC$105)+SUMIF(Capacity_Resource,$E33,'Critical resources (hide)'!AC$6:AC$105)+SUMIF(Capacity_Resource,$F33,'Critical resources (hide)'!AC$6:AC$105)&gt;0,$E$1=2),0,1),0)</f>
        <v>1</v>
      </c>
      <c r="Q33" s="67">
        <f ca="1">IF(LOWER(Capacity!$L45)="x",IF(AND(SUMIF(Capacity_Resource,$D33,'Critical resources (hide)'!AD$6:AD$105)+SUMIF(Capacity_Resource,$E33,'Critical resources (hide)'!AD$6:AD$105)+SUMIF(Capacity_Resource,$F33,'Critical resources (hide)'!AD$6:AD$105)&gt;0,$E$1=2),0,1),0)</f>
        <v>1</v>
      </c>
      <c r="R33" s="67">
        <f ca="1">IF(LOWER(Capacity!$L45)="x",IF(AND(SUMIF(Capacity_Resource,$D33,'Critical resources (hide)'!AE$6:AE$105)+SUMIF(Capacity_Resource,$E33,'Critical resources (hide)'!AE$6:AE$105)+SUMIF(Capacity_Resource,$F33,'Critical resources (hide)'!AE$6:AE$105)&gt;0,$E$1=2),0,1),0)</f>
        <v>1</v>
      </c>
      <c r="S33" s="67">
        <f ca="1">IF(LOWER(Capacity!$L45)="x",IF(AND(SUMIF(Capacity_Resource,$D33,'Critical resources (hide)'!AF$6:AF$105)+SUMIF(Capacity_Resource,$E33,'Critical resources (hide)'!AF$6:AF$105)+SUMIF(Capacity_Resource,$F33,'Critical resources (hide)'!AF$6:AF$105)&gt;0,$E$1=2),0,1),0)</f>
        <v>1</v>
      </c>
      <c r="T33" s="67">
        <f ca="1">IF(LOWER(Capacity!$L45)="x",IF(AND(SUMIF(Capacity_Resource,$D33,'Critical resources (hide)'!AG$6:AG$105)+SUMIF(Capacity_Resource,$E33,'Critical resources (hide)'!AG$6:AG$105)+SUMIF(Capacity_Resource,$F33,'Critical resources (hide)'!AG$6:AG$105)&gt;0,$E$1=2),0,1),0)</f>
        <v>1</v>
      </c>
      <c r="U33" s="67">
        <f ca="1">IF(LOWER(Capacity!$L45)="x",IF(AND(SUMIF(Capacity_Resource,$D33,'Critical resources (hide)'!AH$6:AH$105)+SUMIF(Capacity_Resource,$E33,'Critical resources (hide)'!AH$6:AH$105)+SUMIF(Capacity_Resource,$F33,'Critical resources (hide)'!AH$6:AH$105)&gt;0,$E$1=2),0,1),0)</f>
        <v>1</v>
      </c>
      <c r="V33" s="67">
        <f ca="1">IF(LOWER(Capacity!$L45)="x",IF(AND(SUMIF(Capacity_Resource,$D33,'Critical resources (hide)'!AI$6:AI$105)+SUMIF(Capacity_Resource,$E33,'Critical resources (hide)'!AI$6:AI$105)+SUMIF(Capacity_Resource,$F33,'Critical resources (hide)'!AI$6:AI$105)&gt;0,$E$1=2),0,1),0)</f>
        <v>1</v>
      </c>
      <c r="W33" s="67">
        <f ca="1">IF(LOWER(Capacity!$L45)="x",IF(AND(SUMIF(Capacity_Resource,$D33,'Critical resources (hide)'!AJ$6:AJ$105)+SUMIF(Capacity_Resource,$E33,'Critical resources (hide)'!AJ$6:AJ$105)+SUMIF(Capacity_Resource,$F33,'Critical resources (hide)'!AJ$6:AJ$105)&gt;0,$E$1=2),0,1),0)</f>
        <v>1</v>
      </c>
      <c r="X33" s="67">
        <f ca="1">IF(LOWER(Capacity!$L45)="x",IF(AND(SUMIF(Capacity_Resource,$D33,'Critical resources (hide)'!AK$6:AK$105)+SUMIF(Capacity_Resource,$E33,'Critical resources (hide)'!AK$6:AK$105)+SUMIF(Capacity_Resource,$F33,'Critical resources (hide)'!AK$6:AK$105)&gt;0,$E$1=2),0,1),0)</f>
        <v>1</v>
      </c>
      <c r="Y33" s="67">
        <f ca="1">IF(LOWER(Capacity!$L45)="x",IF(AND(SUMIF(Capacity_Resource,$D33,'Critical resources (hide)'!AL$6:AL$105)+SUMIF(Capacity_Resource,$E33,'Critical resources (hide)'!AL$6:AL$105)+SUMIF(Capacity_Resource,$F33,'Critical resources (hide)'!AL$6:AL$105)&gt;0,$E$1=2),0,1),0)</f>
        <v>1</v>
      </c>
      <c r="Z33" s="67">
        <f ca="1">IF(LOWER(Capacity!$L45)="x",IF(AND(SUMIF(Capacity_Resource,$D33,'Critical resources (hide)'!AM$6:AM$105)+SUMIF(Capacity_Resource,$E33,'Critical resources (hide)'!AM$6:AM$105)+SUMIF(Capacity_Resource,$F33,'Critical resources (hide)'!AM$6:AM$105)&gt;0,$E$1=2),0,1),0)</f>
        <v>1</v>
      </c>
      <c r="AA33" s="67">
        <f ca="1">IF(LOWER(Capacity!$L45)="x",IF(AND(SUMIF(Capacity_Resource,$D33,'Critical resources (hide)'!AN$6:AN$105)+SUMIF(Capacity_Resource,$E33,'Critical resources (hide)'!AN$6:AN$105)+SUMIF(Capacity_Resource,$F33,'Critical resources (hide)'!AN$6:AN$105)&gt;0,$E$1=2),0,1),0)</f>
        <v>1</v>
      </c>
      <c r="AB33" s="67">
        <f ca="1">IF(LOWER(Capacity!$L45)="x",IF(AND(SUMIF(Capacity_Resource,$D33,'Critical resources (hide)'!AO$6:AO$105)+SUMIF(Capacity_Resource,$E33,'Critical resources (hide)'!AO$6:AO$105)+SUMIF(Capacity_Resource,$F33,'Critical resources (hide)'!AO$6:AO$105)&gt;0,$E$1=2),0,1),0)</f>
        <v>1</v>
      </c>
      <c r="AC33" s="67">
        <f ca="1">IF(LOWER(Capacity!$L45)="x",IF(AND(SUMIF(Capacity_Resource,$D33,'Critical resources (hide)'!AP$6:AP$105)+SUMIF(Capacity_Resource,$E33,'Critical resources (hide)'!AP$6:AP$105)+SUMIF(Capacity_Resource,$F33,'Critical resources (hide)'!AP$6:AP$105)&gt;0,$E$1=2),0,1),0)</f>
        <v>1</v>
      </c>
      <c r="AD33" s="67">
        <f ca="1">IF(LOWER(Capacity!$L45)="x",IF(AND(SUMIF(Capacity_Resource,$D33,'Critical resources (hide)'!AQ$6:AQ$105)+SUMIF(Capacity_Resource,$E33,'Critical resources (hide)'!AQ$6:AQ$105)+SUMIF(Capacity_Resource,$F33,'Critical resources (hide)'!AQ$6:AQ$105)&gt;0,$E$1=2),0,1),0)</f>
        <v>1</v>
      </c>
      <c r="AE33" s="67">
        <f ca="1">IF(LOWER(Capacity!$L45)="x",IF(AND(SUMIF(Capacity_Resource,$D33,'Critical resources (hide)'!AR$6:AR$105)+SUMIF(Capacity_Resource,$E33,'Critical resources (hide)'!AR$6:AR$105)+SUMIF(Capacity_Resource,$F33,'Critical resources (hide)'!AR$6:AR$105)&gt;0,$E$1=2),0,1),0)</f>
        <v>1</v>
      </c>
      <c r="AF33" s="67">
        <f ca="1">IF(LOWER(Capacity!$L45)="x",IF(AND(SUMIF(Capacity_Resource,$D33,'Critical resources (hide)'!AS$6:AS$105)+SUMIF(Capacity_Resource,$E33,'Critical resources (hide)'!AS$6:AS$105)+SUMIF(Capacity_Resource,$F33,'Critical resources (hide)'!AS$6:AS$105)&gt;0,$E$1=2),0,1),0)</f>
        <v>1</v>
      </c>
      <c r="AG33" s="67">
        <f ca="1">IF(LOWER(Capacity!$L45)="x",IF(AND(SUMIF(Capacity_Resource,$D33,'Critical resources (hide)'!AT$6:AT$105)+SUMIF(Capacity_Resource,$E33,'Critical resources (hide)'!AT$6:AT$105)+SUMIF(Capacity_Resource,$F33,'Critical resources (hide)'!AT$6:AT$105)&gt;0,$E$1=2),0,1),0)</f>
        <v>1</v>
      </c>
      <c r="AH33" s="67">
        <f ca="1">IF(LOWER(Capacity!$L45)="x",IF(AND(SUMIF(Capacity_Resource,$D33,'Critical resources (hide)'!AU$6:AU$105)+SUMIF(Capacity_Resource,$E33,'Critical resources (hide)'!AU$6:AU$105)+SUMIF(Capacity_Resource,$F33,'Critical resources (hide)'!AU$6:AU$105)&gt;0,$E$1=2),0,1),0)</f>
        <v>1</v>
      </c>
      <c r="AI33" s="67">
        <f ca="1">IF(LOWER(Capacity!$L45)="x",IF(AND(SUMIF(Capacity_Resource,$D33,'Critical resources (hide)'!AV$6:AV$105)+SUMIF(Capacity_Resource,$E33,'Critical resources (hide)'!AV$6:AV$105)+SUMIF(Capacity_Resource,$F33,'Critical resources (hide)'!AV$6:AV$105)&gt;0,$E$1=2),0,1),0)</f>
        <v>1</v>
      </c>
      <c r="AJ33" s="67">
        <f ca="1">IF(LOWER(Capacity!$L45)="x",IF(AND(SUMIF(Capacity_Resource,$D33,'Critical resources (hide)'!AW$6:AW$105)+SUMIF(Capacity_Resource,$E33,'Critical resources (hide)'!AW$6:AW$105)+SUMIF(Capacity_Resource,$F33,'Critical resources (hide)'!AW$6:AW$105)&gt;0,$E$1=2),0,1),0)</f>
        <v>1</v>
      </c>
      <c r="AK33" s="67">
        <f ca="1">IF(LOWER(Capacity!$L45)="x",IF(AND(SUMIF(Capacity_Resource,$D33,'Critical resources (hide)'!AX$6:AX$105)+SUMIF(Capacity_Resource,$E33,'Critical resources (hide)'!AX$6:AX$105)+SUMIF(Capacity_Resource,$F33,'Critical resources (hide)'!AX$6:AX$105)&gt;0,$E$1=2),0,1),0)</f>
        <v>1</v>
      </c>
      <c r="AL33" s="67">
        <f ca="1">IF(LOWER(Capacity!$L45)="x",IF(AND(SUMIF(Capacity_Resource,$D33,'Critical resources (hide)'!AY$6:AY$105)+SUMIF(Capacity_Resource,$E33,'Critical resources (hide)'!AY$6:AY$105)+SUMIF(Capacity_Resource,$F33,'Critical resources (hide)'!AY$6:AY$105)&gt;0,$E$1=2),0,1),0)</f>
        <v>1</v>
      </c>
      <c r="AM33" s="67">
        <f ca="1">IF(LOWER(Capacity!$L45)="x",IF(AND(SUMIF(Capacity_Resource,$D33,'Critical resources (hide)'!AZ$6:AZ$105)+SUMIF(Capacity_Resource,$E33,'Critical resources (hide)'!AZ$6:AZ$105)+SUMIF(Capacity_Resource,$F33,'Critical resources (hide)'!AZ$6:AZ$105)&gt;0,$E$1=2),0,1),0)</f>
        <v>1</v>
      </c>
      <c r="AN33" s="67">
        <f ca="1">IF(LOWER(Capacity!$L45)="x",IF(AND(SUMIF(Capacity_Resource,$D33,'Critical resources (hide)'!BA$6:BA$105)+SUMIF(Capacity_Resource,$E33,'Critical resources (hide)'!BA$6:BA$105)+SUMIF(Capacity_Resource,$F33,'Critical resources (hide)'!BA$6:BA$105)&gt;0,$E$1=2),0,1),0)</f>
        <v>1</v>
      </c>
      <c r="AO33" s="67">
        <f ca="1">IF(LOWER(Capacity!$L45)="x",IF(AND(SUMIF(Capacity_Resource,$D33,'Critical resources (hide)'!BB$6:BB$105)+SUMIF(Capacity_Resource,$E33,'Critical resources (hide)'!BB$6:BB$105)+SUMIF(Capacity_Resource,$F33,'Critical resources (hide)'!BB$6:BB$105)&gt;0,$E$1=2),0,1),0)</f>
        <v>1</v>
      </c>
      <c r="AP33" s="67">
        <f ca="1">IF(LOWER(Capacity!$L45)="x",IF(AND(SUMIF(Capacity_Resource,$D33,'Critical resources (hide)'!BC$6:BC$105)+SUMIF(Capacity_Resource,$E33,'Critical resources (hide)'!BC$6:BC$105)+SUMIF(Capacity_Resource,$F33,'Critical resources (hide)'!BC$6:BC$105)&gt;0,$E$1=2),0,1),0)</f>
        <v>1</v>
      </c>
      <c r="AQ33" s="67">
        <f ca="1">IF(LOWER(Capacity!$L45)="x",IF(AND(SUMIF(Capacity_Resource,$D33,'Critical resources (hide)'!BD$6:BD$105)+SUMIF(Capacity_Resource,$E33,'Critical resources (hide)'!BD$6:BD$105)+SUMIF(Capacity_Resource,$F33,'Critical resources (hide)'!BD$6:BD$105)&gt;0,$E$1=2),0,1),0)</f>
        <v>1</v>
      </c>
      <c r="AR33" s="67">
        <f ca="1">IF(LOWER(Capacity!$L45)="x",IF(AND(SUMIF(Capacity_Resource,$D33,'Critical resources (hide)'!BE$6:BE$105)+SUMIF(Capacity_Resource,$E33,'Critical resources (hide)'!BE$6:BE$105)+SUMIF(Capacity_Resource,$F33,'Critical resources (hide)'!BE$6:BE$105)&gt;0,$E$1=2),0,1),0)</f>
        <v>1</v>
      </c>
      <c r="AS33" s="67">
        <f ca="1">IF(LOWER(Capacity!$L45)="x",IF(AND(SUMIF(Capacity_Resource,$D33,'Critical resources (hide)'!BF$6:BF$105)+SUMIF(Capacity_Resource,$E33,'Critical resources (hide)'!BF$6:BF$105)+SUMIF(Capacity_Resource,$F33,'Critical resources (hide)'!BF$6:BF$105)&gt;0,$E$1=2),0,1),0)</f>
        <v>1</v>
      </c>
      <c r="AT33" s="67">
        <f ca="1">IF(LOWER(Capacity!$L45)="x",IF(AND(SUMIF(Capacity_Resource,$D33,'Critical resources (hide)'!BG$6:BG$105)+SUMIF(Capacity_Resource,$E33,'Critical resources (hide)'!BG$6:BG$105)+SUMIF(Capacity_Resource,$F33,'Critical resources (hide)'!BG$6:BG$105)&gt;0,$E$1=2),0,1),0)</f>
        <v>1</v>
      </c>
      <c r="AU33" s="67">
        <f ca="1">IF(LOWER(Capacity!$L45)="x",IF(AND(SUMIF(Capacity_Resource,$D33,'Critical resources (hide)'!BH$6:BH$105)+SUMIF(Capacity_Resource,$E33,'Critical resources (hide)'!BH$6:BH$105)+SUMIF(Capacity_Resource,$F33,'Critical resources (hide)'!BH$6:BH$105)&gt;0,$E$1=2),0,1),0)</f>
        <v>1</v>
      </c>
      <c r="AV33" s="67">
        <f ca="1">IF(LOWER(Capacity!$L45)="x",IF(AND(SUMIF(Capacity_Resource,$D33,'Critical resources (hide)'!BI$6:BI$105)+SUMIF(Capacity_Resource,$E33,'Critical resources (hide)'!BI$6:BI$105)+SUMIF(Capacity_Resource,$F33,'Critical resources (hide)'!BI$6:BI$105)&gt;0,$E$1=2),0,1),0)</f>
        <v>1</v>
      </c>
      <c r="AW33" s="67">
        <f ca="1">IF(LOWER(Capacity!$L45)="x",IF(AND(SUMIF(Capacity_Resource,$D33,'Critical resources (hide)'!BJ$6:BJ$105)+SUMIF(Capacity_Resource,$E33,'Critical resources (hide)'!BJ$6:BJ$105)+SUMIF(Capacity_Resource,$F33,'Critical resources (hide)'!BJ$6:BJ$105)&gt;0,$E$1=2),0,1),0)</f>
        <v>1</v>
      </c>
      <c r="AX33" s="67">
        <f ca="1">IF(LOWER(Capacity!$L45)="x",IF(AND(SUMIF(Capacity_Resource,$D33,'Critical resources (hide)'!BK$6:BK$105)+SUMIF(Capacity_Resource,$E33,'Critical resources (hide)'!BK$6:BK$105)+SUMIF(Capacity_Resource,$F33,'Critical resources (hide)'!BK$6:BK$105)&gt;0,$E$1=2),0,1),0)</f>
        <v>1</v>
      </c>
      <c r="AY33" s="67">
        <f ca="1">IF(LOWER(Capacity!$L45)="x",IF(AND(SUMIF(Capacity_Resource,$D33,'Critical resources (hide)'!BL$6:BL$105)+SUMIF(Capacity_Resource,$E33,'Critical resources (hide)'!BL$6:BL$105)+SUMIF(Capacity_Resource,$F33,'Critical resources (hide)'!BL$6:BL$105)&gt;0,$E$1=2),0,1),0)</f>
        <v>1</v>
      </c>
      <c r="AZ33" s="67">
        <f ca="1">IF(LOWER(Capacity!$L45)="x",IF(AND(SUMIF(Capacity_Resource,$D33,'Critical resources (hide)'!BM$6:BM$105)+SUMIF(Capacity_Resource,$E33,'Critical resources (hide)'!BM$6:BM$105)+SUMIF(Capacity_Resource,$F33,'Critical resources (hide)'!BM$6:BM$105)&gt;0,$E$1=2),0,1),0)</f>
        <v>1</v>
      </c>
      <c r="BA33" s="67">
        <f ca="1">IF(LOWER(Capacity!$L45)="x",IF(AND(SUMIF(Capacity_Resource,$D33,'Critical resources (hide)'!BN$6:BN$105)+SUMIF(Capacity_Resource,$E33,'Critical resources (hide)'!BN$6:BN$105)+SUMIF(Capacity_Resource,$F33,'Critical resources (hide)'!BN$6:BN$105)&gt;0,$E$1=2),0,1),0)</f>
        <v>1</v>
      </c>
      <c r="BB33" s="67">
        <f ca="1">IF(LOWER(Capacity!$L45)="x",IF(AND(SUMIF(Capacity_Resource,$D33,'Critical resources (hide)'!BO$6:BO$105)+SUMIF(Capacity_Resource,$E33,'Critical resources (hide)'!BO$6:BO$105)+SUMIF(Capacity_Resource,$F33,'Critical resources (hide)'!BO$6:BO$105)&gt;0,$E$1=2),0,1),0)</f>
        <v>1</v>
      </c>
      <c r="BC33" s="67">
        <f ca="1">IF(LOWER(Capacity!$L45)="x",IF(AND(SUMIF(Capacity_Resource,$D33,'Critical resources (hide)'!BP$6:BP$105)+SUMIF(Capacity_Resource,$E33,'Critical resources (hide)'!BP$6:BP$105)+SUMIF(Capacity_Resource,$F33,'Critical resources (hide)'!BP$6:BP$105)&gt;0,$E$1=2),0,1),0)</f>
        <v>1</v>
      </c>
      <c r="BD33" s="67">
        <f ca="1">IF(LOWER(Capacity!$L45)="x",IF(AND(SUMIF(Capacity_Resource,$D33,'Critical resources (hide)'!BQ$6:BQ$105)+SUMIF(Capacity_Resource,$E33,'Critical resources (hide)'!BQ$6:BQ$105)+SUMIF(Capacity_Resource,$F33,'Critical resources (hide)'!BQ$6:BQ$105)&gt;0,$E$1=2),0,1),0)</f>
        <v>1</v>
      </c>
      <c r="BE33" s="67">
        <f ca="1">IF(LOWER(Capacity!$L45)="x",IF(AND(SUMIF(Capacity_Resource,$D33,'Critical resources (hide)'!BR$6:BR$105)+SUMIF(Capacity_Resource,$E33,'Critical resources (hide)'!BR$6:BR$105)+SUMIF(Capacity_Resource,$F33,'Critical resources (hide)'!BR$6:BR$105)&gt;0,$E$1=2),0,1),0)</f>
        <v>1</v>
      </c>
      <c r="BF33" s="67">
        <f ca="1">IF(LOWER(Capacity!$L45)="x",IF(AND(SUMIF(Capacity_Resource,$D33,'Critical resources (hide)'!BS$6:BS$105)+SUMIF(Capacity_Resource,$E33,'Critical resources (hide)'!BS$6:BS$105)+SUMIF(Capacity_Resource,$F33,'Critical resources (hide)'!BS$6:BS$105)&gt;0,$E$1=2),0,1),0)</f>
        <v>1</v>
      </c>
      <c r="BG33" s="67">
        <f ca="1">IF(LOWER(Capacity!$L45)="x",IF(AND(SUMIF(Capacity_Resource,$D33,'Critical resources (hide)'!BT$6:BT$105)+SUMIF(Capacity_Resource,$E33,'Critical resources (hide)'!BT$6:BT$105)+SUMIF(Capacity_Resource,$F33,'Critical resources (hide)'!BT$6:BT$105)&gt;0,$E$1=2),0,1),0)</f>
        <v>1</v>
      </c>
      <c r="BH33" s="67">
        <f>IF(ROW(C29)&lt;=Capacity!$A$16,IF('Capacity summary'!$D$14="No",SUM(H33:BG33),'Capacity summary'!$E152),0)</f>
        <v>0</v>
      </c>
      <c r="BI33" s="5" t="str">
        <f>IF(BH33&gt;0,IF(BH33&lt;Capacity!E45,Capacity!F45,Capacity!H45/'Capacity calculation (hide)'!BH33),"")</f>
        <v/>
      </c>
      <c r="BK33" s="311">
        <f>IF($BI33&lt;&gt;"",IF('Capacity summary'!$D$14="Yes",IF(COUNTBLANK('Capacity summary'!$H152:$BG152)&lt;52,IF('Capacity summary'!H152&lt;&gt;"",IF(LOWER('Capacity summary'!H152)="x",$BI33*H33,VALUE('Capacity summary'!H152)),0),H33*$BI33),H33*$BI33),0)</f>
        <v>0</v>
      </c>
      <c r="BL33" s="311">
        <f>IF($BI33&lt;&gt;"",IF('Capacity summary'!$D$14="Yes",IF(COUNTBLANK('Capacity summary'!$H152:$BG152)&lt;52,IF('Capacity summary'!I152&lt;&gt;"",IF(LOWER('Capacity summary'!I152)="x",$BI33*I33,VALUE('Capacity summary'!I152)),0),I33*$BI33),I33*$BI33),0)</f>
        <v>0</v>
      </c>
      <c r="BM33" s="311">
        <f>IF($BI33&lt;&gt;"",IF('Capacity summary'!$D$14="Yes",IF(COUNTBLANK('Capacity summary'!$H152:$BG152)&lt;52,IF('Capacity summary'!J152&lt;&gt;"",IF(LOWER('Capacity summary'!J152)="x",$BI33*J33,VALUE('Capacity summary'!J152)),0),J33*$BI33),J33*$BI33),0)</f>
        <v>0</v>
      </c>
      <c r="BN33" s="311">
        <f>IF($BI33&lt;&gt;"",IF('Capacity summary'!$D$14="Yes",IF(COUNTBLANK('Capacity summary'!$H152:$BG152)&lt;52,IF('Capacity summary'!K152&lt;&gt;"",IF(LOWER('Capacity summary'!K152)="x",$BI33*K33,VALUE('Capacity summary'!K152)),0),K33*$BI33),K33*$BI33),0)</f>
        <v>0</v>
      </c>
      <c r="BO33" s="311">
        <f>IF($BI33&lt;&gt;"",IF('Capacity summary'!$D$14="Yes",IF(COUNTBLANK('Capacity summary'!$H152:$BG152)&lt;52,IF('Capacity summary'!L152&lt;&gt;"",IF(LOWER('Capacity summary'!L152)="x",$BI33*L33,VALUE('Capacity summary'!L152)),0),L33*$BI33),L33*$BI33),0)</f>
        <v>0</v>
      </c>
      <c r="BP33" s="311">
        <f>IF($BI33&lt;&gt;"",IF('Capacity summary'!$D$14="Yes",IF(COUNTBLANK('Capacity summary'!$H152:$BG152)&lt;52,IF('Capacity summary'!M152&lt;&gt;"",IF(LOWER('Capacity summary'!M152)="x",$BI33*M33,VALUE('Capacity summary'!M152)),0),M33*$BI33),M33*$BI33),0)</f>
        <v>0</v>
      </c>
      <c r="BQ33" s="311">
        <f>IF($BI33&lt;&gt;"",IF('Capacity summary'!$D$14="Yes",IF(COUNTBLANK('Capacity summary'!$H152:$BG152)&lt;52,IF('Capacity summary'!N152&lt;&gt;"",IF(LOWER('Capacity summary'!N152)="x",$BI33*N33,VALUE('Capacity summary'!N152)),0),N33*$BI33),N33*$BI33),0)</f>
        <v>0</v>
      </c>
      <c r="BR33" s="311">
        <f>IF($BI33&lt;&gt;"",IF('Capacity summary'!$D$14="Yes",IF(COUNTBLANK('Capacity summary'!$H152:$BG152)&lt;52,IF('Capacity summary'!O152&lt;&gt;"",IF(LOWER('Capacity summary'!O152)="x",$BI33*O33,VALUE('Capacity summary'!O152)),0),O33*$BI33),O33*$BI33),0)</f>
        <v>0</v>
      </c>
      <c r="BS33" s="311">
        <f>IF($BI33&lt;&gt;"",IF('Capacity summary'!$D$14="Yes",IF(COUNTBLANK('Capacity summary'!$H152:$BG152)&lt;52,IF('Capacity summary'!P152&lt;&gt;"",IF(LOWER('Capacity summary'!P152)="x",$BI33*P33,VALUE('Capacity summary'!P152)),0),P33*$BI33),P33*$BI33),0)</f>
        <v>0</v>
      </c>
      <c r="BT33" s="311">
        <f>IF($BI33&lt;&gt;"",IF('Capacity summary'!$D$14="Yes",IF(COUNTBLANK('Capacity summary'!$H152:$BG152)&lt;52,IF('Capacity summary'!Q152&lt;&gt;"",IF(LOWER('Capacity summary'!Q152)="x",$BI33*Q33,VALUE('Capacity summary'!Q152)),0),Q33*$BI33),Q33*$BI33),0)</f>
        <v>0</v>
      </c>
      <c r="BU33" s="311">
        <f>IF($BI33&lt;&gt;"",IF('Capacity summary'!$D$14="Yes",IF(COUNTBLANK('Capacity summary'!$H152:$BG152)&lt;52,IF('Capacity summary'!R152&lt;&gt;"",IF(LOWER('Capacity summary'!R152)="x",$BI33*R33,VALUE('Capacity summary'!R152)),0),R33*$BI33),R33*$BI33),0)</f>
        <v>0</v>
      </c>
      <c r="BV33" s="311">
        <f>IF($BI33&lt;&gt;"",IF('Capacity summary'!$D$14="Yes",IF(COUNTBLANK('Capacity summary'!$H152:$BG152)&lt;52,IF('Capacity summary'!S152&lt;&gt;"",IF(LOWER('Capacity summary'!S152)="x",$BI33*S33,VALUE('Capacity summary'!S152)),0),S33*$BI33),S33*$BI33),0)</f>
        <v>0</v>
      </c>
      <c r="BW33" s="311">
        <f>IF($BI33&lt;&gt;"",IF('Capacity summary'!$D$14="Yes",IF(COUNTBLANK('Capacity summary'!$H152:$BG152)&lt;52,IF('Capacity summary'!T152&lt;&gt;"",IF(LOWER('Capacity summary'!T152)="x",$BI33*T33,VALUE('Capacity summary'!T152)),0),T33*$BI33),T33*$BI33),0)</f>
        <v>0</v>
      </c>
      <c r="BX33" s="311">
        <f>IF($BI33&lt;&gt;"",IF('Capacity summary'!$D$14="Yes",IF(COUNTBLANK('Capacity summary'!$H152:$BG152)&lt;52,IF('Capacity summary'!U152&lt;&gt;"",IF(LOWER('Capacity summary'!U152)="x",$BI33*U33,VALUE('Capacity summary'!U152)),0),U33*$BI33),U33*$BI33),0)</f>
        <v>0</v>
      </c>
      <c r="BY33" s="311">
        <f>IF($BI33&lt;&gt;"",IF('Capacity summary'!$D$14="Yes",IF(COUNTBLANK('Capacity summary'!$H152:$BG152)&lt;52,IF('Capacity summary'!V152&lt;&gt;"",IF(LOWER('Capacity summary'!V152)="x",$BI33*V33,VALUE('Capacity summary'!V152)),0),V33*$BI33),V33*$BI33),0)</f>
        <v>0</v>
      </c>
      <c r="BZ33" s="311">
        <f>IF($BI33&lt;&gt;"",IF('Capacity summary'!$D$14="Yes",IF(COUNTBLANK('Capacity summary'!$H152:$BG152)&lt;52,IF('Capacity summary'!W152&lt;&gt;"",IF(LOWER('Capacity summary'!W152)="x",$BI33*W33,VALUE('Capacity summary'!W152)),0),W33*$BI33),W33*$BI33),0)</f>
        <v>0</v>
      </c>
      <c r="CA33" s="311">
        <f>IF($BI33&lt;&gt;"",IF('Capacity summary'!$D$14="Yes",IF(COUNTBLANK('Capacity summary'!$H152:$BG152)&lt;52,IF('Capacity summary'!X152&lt;&gt;"",IF(LOWER('Capacity summary'!X152)="x",$BI33*X33,VALUE('Capacity summary'!X152)),0),X33*$BI33),X33*$BI33),0)</f>
        <v>0</v>
      </c>
      <c r="CB33" s="311">
        <f>IF($BI33&lt;&gt;"",IF('Capacity summary'!$D$14="Yes",IF(COUNTBLANK('Capacity summary'!$H152:$BG152)&lt;52,IF('Capacity summary'!Y152&lt;&gt;"",IF(LOWER('Capacity summary'!Y152)="x",$BI33*Y33,VALUE('Capacity summary'!Y152)),0),Y33*$BI33),Y33*$BI33),0)</f>
        <v>0</v>
      </c>
      <c r="CC33" s="311">
        <f>IF($BI33&lt;&gt;"",IF('Capacity summary'!$D$14="Yes",IF(COUNTBLANK('Capacity summary'!$H152:$BG152)&lt;52,IF('Capacity summary'!Z152&lt;&gt;"",IF(LOWER('Capacity summary'!Z152)="x",$BI33*Z33,VALUE('Capacity summary'!Z152)),0),Z33*$BI33),Z33*$BI33),0)</f>
        <v>0</v>
      </c>
      <c r="CD33" s="311">
        <f>IF($BI33&lt;&gt;"",IF('Capacity summary'!$D$14="Yes",IF(COUNTBLANK('Capacity summary'!$H152:$BG152)&lt;52,IF('Capacity summary'!AA152&lt;&gt;"",IF(LOWER('Capacity summary'!AA152)="x",$BI33*AA33,VALUE('Capacity summary'!AA152)),0),AA33*$BI33),AA33*$BI33),0)</f>
        <v>0</v>
      </c>
      <c r="CE33" s="311">
        <f>IF($BI33&lt;&gt;"",IF('Capacity summary'!$D$14="Yes",IF(COUNTBLANK('Capacity summary'!$H152:$BG152)&lt;52,IF('Capacity summary'!AB152&lt;&gt;"",IF(LOWER('Capacity summary'!AB152)="x",$BI33*AB33,VALUE('Capacity summary'!AB152)),0),AB33*$BI33),AB33*$BI33),0)</f>
        <v>0</v>
      </c>
      <c r="CF33" s="311">
        <f>IF($BI33&lt;&gt;"",IF('Capacity summary'!$D$14="Yes",IF(COUNTBLANK('Capacity summary'!$H152:$BG152)&lt;52,IF('Capacity summary'!AC152&lt;&gt;"",IF(LOWER('Capacity summary'!AC152)="x",$BI33*AC33,VALUE('Capacity summary'!AC152)),0),AC33*$BI33),AC33*$BI33),0)</f>
        <v>0</v>
      </c>
      <c r="CG33" s="311">
        <f>IF($BI33&lt;&gt;"",IF('Capacity summary'!$D$14="Yes",IF(COUNTBLANK('Capacity summary'!$H152:$BG152)&lt;52,IF('Capacity summary'!AD152&lt;&gt;"",IF(LOWER('Capacity summary'!AD152)="x",$BI33*AD33,VALUE('Capacity summary'!AD152)),0),AD33*$BI33),AD33*$BI33),0)</f>
        <v>0</v>
      </c>
      <c r="CH33" s="311">
        <f>IF($BI33&lt;&gt;"",IF('Capacity summary'!$D$14="Yes",IF(COUNTBLANK('Capacity summary'!$H152:$BG152)&lt;52,IF('Capacity summary'!AE152&lt;&gt;"",IF(LOWER('Capacity summary'!AE152)="x",$BI33*AE33,VALUE('Capacity summary'!AE152)),0),AE33*$BI33),AE33*$BI33),0)</f>
        <v>0</v>
      </c>
      <c r="CI33" s="311">
        <f>IF($BI33&lt;&gt;"",IF('Capacity summary'!$D$14="Yes",IF(COUNTBLANK('Capacity summary'!$H152:$BG152)&lt;52,IF('Capacity summary'!AF152&lt;&gt;"",IF(LOWER('Capacity summary'!AF152)="x",$BI33*AF33,VALUE('Capacity summary'!AF152)),0),AF33*$BI33),AF33*$BI33),0)</f>
        <v>0</v>
      </c>
      <c r="CJ33" s="311">
        <f>IF($BI33&lt;&gt;"",IF('Capacity summary'!$D$14="Yes",IF(COUNTBLANK('Capacity summary'!$H152:$BG152)&lt;52,IF('Capacity summary'!AG152&lt;&gt;"",IF(LOWER('Capacity summary'!AG152)="x",$BI33*AG33,VALUE('Capacity summary'!AG152)),0),AG33*$BI33),AG33*$BI33),0)</f>
        <v>0</v>
      </c>
      <c r="CK33" s="311">
        <f>IF($BI33&lt;&gt;"",IF('Capacity summary'!$D$14="Yes",IF(COUNTBLANK('Capacity summary'!$H152:$BG152)&lt;52,IF('Capacity summary'!AH152&lt;&gt;"",IF(LOWER('Capacity summary'!AH152)="x",$BI33*AH33,VALUE('Capacity summary'!AH152)),0),AH33*$BI33),AH33*$BI33),0)</f>
        <v>0</v>
      </c>
      <c r="CL33" s="311">
        <f>IF($BI33&lt;&gt;"",IF('Capacity summary'!$D$14="Yes",IF(COUNTBLANK('Capacity summary'!$H152:$BG152)&lt;52,IF('Capacity summary'!AI152&lt;&gt;"",IF(LOWER('Capacity summary'!AI152)="x",$BI33*AI33,VALUE('Capacity summary'!AI152)),0),AI33*$BI33),AI33*$BI33),0)</f>
        <v>0</v>
      </c>
      <c r="CM33" s="311">
        <f>IF($BI33&lt;&gt;"",IF('Capacity summary'!$D$14="Yes",IF(COUNTBLANK('Capacity summary'!$H152:$BG152)&lt;52,IF('Capacity summary'!AJ152&lt;&gt;"",IF(LOWER('Capacity summary'!AJ152)="x",$BI33*AJ33,VALUE('Capacity summary'!AJ152)),0),AJ33*$BI33),AJ33*$BI33),0)</f>
        <v>0</v>
      </c>
      <c r="CN33" s="311">
        <f>IF($BI33&lt;&gt;"",IF('Capacity summary'!$D$14="Yes",IF(COUNTBLANK('Capacity summary'!$H152:$BG152)&lt;52,IF('Capacity summary'!AK152&lt;&gt;"",IF(LOWER('Capacity summary'!AK152)="x",$BI33*AK33,VALUE('Capacity summary'!AK152)),0),AK33*$BI33),AK33*$BI33),0)</f>
        <v>0</v>
      </c>
      <c r="CO33" s="311">
        <f>IF($BI33&lt;&gt;"",IF('Capacity summary'!$D$14="Yes",IF(COUNTBLANK('Capacity summary'!$H152:$BG152)&lt;52,IF('Capacity summary'!AL152&lt;&gt;"",IF(LOWER('Capacity summary'!AL152)="x",$BI33*AL33,VALUE('Capacity summary'!AL152)),0),AL33*$BI33),AL33*$BI33),0)</f>
        <v>0</v>
      </c>
      <c r="CP33" s="311">
        <f>IF($BI33&lt;&gt;"",IF('Capacity summary'!$D$14="Yes",IF(COUNTBLANK('Capacity summary'!$H152:$BG152)&lt;52,IF('Capacity summary'!AM152&lt;&gt;"",IF(LOWER('Capacity summary'!AM152)="x",$BI33*AM33,VALUE('Capacity summary'!AM152)),0),AM33*$BI33),AM33*$BI33),0)</f>
        <v>0</v>
      </c>
      <c r="CQ33" s="311">
        <f>IF($BI33&lt;&gt;"",IF('Capacity summary'!$D$14="Yes",IF(COUNTBLANK('Capacity summary'!$H152:$BG152)&lt;52,IF('Capacity summary'!AN152&lt;&gt;"",IF(LOWER('Capacity summary'!AN152)="x",$BI33*AN33,VALUE('Capacity summary'!AN152)),0),AN33*$BI33),AN33*$BI33),0)</f>
        <v>0</v>
      </c>
      <c r="CR33" s="311">
        <f>IF($BI33&lt;&gt;"",IF('Capacity summary'!$D$14="Yes",IF(COUNTBLANK('Capacity summary'!$H152:$BG152)&lt;52,IF('Capacity summary'!AO152&lt;&gt;"",IF(LOWER('Capacity summary'!AO152)="x",$BI33*AO33,VALUE('Capacity summary'!AO152)),0),AO33*$BI33),AO33*$BI33),0)</f>
        <v>0</v>
      </c>
      <c r="CS33" s="311">
        <f>IF($BI33&lt;&gt;"",IF('Capacity summary'!$D$14="Yes",IF(COUNTBLANK('Capacity summary'!$H152:$BG152)&lt;52,IF('Capacity summary'!AP152&lt;&gt;"",IF(LOWER('Capacity summary'!AP152)="x",$BI33*AP33,VALUE('Capacity summary'!AP152)),0),AP33*$BI33),AP33*$BI33),0)</f>
        <v>0</v>
      </c>
      <c r="CT33" s="311">
        <f>IF($BI33&lt;&gt;"",IF('Capacity summary'!$D$14="Yes",IF(COUNTBLANK('Capacity summary'!$H152:$BG152)&lt;52,IF('Capacity summary'!AQ152&lt;&gt;"",IF(LOWER('Capacity summary'!AQ152)="x",$BI33*AQ33,VALUE('Capacity summary'!AQ152)),0),AQ33*$BI33),AQ33*$BI33),0)</f>
        <v>0</v>
      </c>
      <c r="CU33" s="311">
        <f>IF($BI33&lt;&gt;"",IF('Capacity summary'!$D$14="Yes",IF(COUNTBLANK('Capacity summary'!$H152:$BG152)&lt;52,IF('Capacity summary'!AR152&lt;&gt;"",IF(LOWER('Capacity summary'!AR152)="x",$BI33*AR33,VALUE('Capacity summary'!AR152)),0),AR33*$BI33),AR33*$BI33),0)</f>
        <v>0</v>
      </c>
      <c r="CV33" s="311">
        <f>IF($BI33&lt;&gt;"",IF('Capacity summary'!$D$14="Yes",IF(COUNTBLANK('Capacity summary'!$H152:$BG152)&lt;52,IF('Capacity summary'!AS152&lt;&gt;"",IF(LOWER('Capacity summary'!AS152)="x",$BI33*AS33,VALUE('Capacity summary'!AS152)),0),AS33*$BI33),AS33*$BI33),0)</f>
        <v>0</v>
      </c>
      <c r="CW33" s="311">
        <f>IF($BI33&lt;&gt;"",IF('Capacity summary'!$D$14="Yes",IF(COUNTBLANK('Capacity summary'!$H152:$BG152)&lt;52,IF('Capacity summary'!AT152&lt;&gt;"",IF(LOWER('Capacity summary'!AT152)="x",$BI33*AT33,VALUE('Capacity summary'!AT152)),0),AT33*$BI33),AT33*$BI33),0)</f>
        <v>0</v>
      </c>
      <c r="CX33" s="311">
        <f>IF($BI33&lt;&gt;"",IF('Capacity summary'!$D$14="Yes",IF(COUNTBLANK('Capacity summary'!$H152:$BG152)&lt;52,IF('Capacity summary'!AU152&lt;&gt;"",IF(LOWER('Capacity summary'!AU152)="x",$BI33*AU33,VALUE('Capacity summary'!AU152)),0),AU33*$BI33),AU33*$BI33),0)</f>
        <v>0</v>
      </c>
      <c r="CY33" s="311">
        <f>IF($BI33&lt;&gt;"",IF('Capacity summary'!$D$14="Yes",IF(COUNTBLANK('Capacity summary'!$H152:$BG152)&lt;52,IF('Capacity summary'!AV152&lt;&gt;"",IF(LOWER('Capacity summary'!AV152)="x",$BI33*AV33,VALUE('Capacity summary'!AV152)),0),AV33*$BI33),AV33*$BI33),0)</f>
        <v>0</v>
      </c>
      <c r="CZ33" s="311">
        <f>IF($BI33&lt;&gt;"",IF('Capacity summary'!$D$14="Yes",IF(COUNTBLANK('Capacity summary'!$H152:$BG152)&lt;52,IF('Capacity summary'!AW152&lt;&gt;"",IF(LOWER('Capacity summary'!AW152)="x",$BI33*AW33,VALUE('Capacity summary'!AW152)),0),AW33*$BI33),AW33*$BI33),0)</f>
        <v>0</v>
      </c>
      <c r="DA33" s="311">
        <f>IF($BI33&lt;&gt;"",IF('Capacity summary'!$D$14="Yes",IF(COUNTBLANK('Capacity summary'!$H152:$BG152)&lt;52,IF('Capacity summary'!AX152&lt;&gt;"",IF(LOWER('Capacity summary'!AX152)="x",$BI33*AX33,VALUE('Capacity summary'!AX152)),0),AX33*$BI33),AX33*$BI33),0)</f>
        <v>0</v>
      </c>
      <c r="DB33" s="311">
        <f>IF($BI33&lt;&gt;"",IF('Capacity summary'!$D$14="Yes",IF(COUNTBLANK('Capacity summary'!$H152:$BG152)&lt;52,IF('Capacity summary'!AY152&lt;&gt;"",IF(LOWER('Capacity summary'!AY152)="x",$BI33*AY33,VALUE('Capacity summary'!AY152)),0),AY33*$BI33),AY33*$BI33),0)</f>
        <v>0</v>
      </c>
      <c r="DC33" s="311">
        <f>IF($BI33&lt;&gt;"",IF('Capacity summary'!$D$14="Yes",IF(COUNTBLANK('Capacity summary'!$H152:$BG152)&lt;52,IF('Capacity summary'!AZ152&lt;&gt;"",IF(LOWER('Capacity summary'!AZ152)="x",$BI33*AZ33,VALUE('Capacity summary'!AZ152)),0),AZ33*$BI33),AZ33*$BI33),0)</f>
        <v>0</v>
      </c>
      <c r="DD33" s="311">
        <f>IF($BI33&lt;&gt;"",IF('Capacity summary'!$D$14="Yes",IF(COUNTBLANK('Capacity summary'!$H152:$BG152)&lt;52,IF('Capacity summary'!BA152&lt;&gt;"",IF(LOWER('Capacity summary'!BA152)="x",$BI33*BA33,VALUE('Capacity summary'!BA152)),0),BA33*$BI33),BA33*$BI33),0)</f>
        <v>0</v>
      </c>
      <c r="DE33" s="311">
        <f>IF($BI33&lt;&gt;"",IF('Capacity summary'!$D$14="Yes",IF(COUNTBLANK('Capacity summary'!$H152:$BG152)&lt;52,IF('Capacity summary'!BB152&lt;&gt;"",IF(LOWER('Capacity summary'!BB152)="x",$BI33*BB33,VALUE('Capacity summary'!BB152)),0),BB33*$BI33),BB33*$BI33),0)</f>
        <v>0</v>
      </c>
      <c r="DF33" s="311">
        <f>IF($BI33&lt;&gt;"",IF('Capacity summary'!$D$14="Yes",IF(COUNTBLANK('Capacity summary'!$H152:$BG152)&lt;52,IF('Capacity summary'!BC152&lt;&gt;"",IF(LOWER('Capacity summary'!BC152)="x",$BI33*BC33,VALUE('Capacity summary'!BC152)),0),BC33*$BI33),BC33*$BI33),0)</f>
        <v>0</v>
      </c>
      <c r="DG33" s="311">
        <f>IF($BI33&lt;&gt;"",IF('Capacity summary'!$D$14="Yes",IF(COUNTBLANK('Capacity summary'!$H152:$BG152)&lt;52,IF('Capacity summary'!BD152&lt;&gt;"",IF(LOWER('Capacity summary'!BD152)="x",$BI33*BD33,VALUE('Capacity summary'!BD152)),0),BD33*$BI33),BD33*$BI33),0)</f>
        <v>0</v>
      </c>
      <c r="DH33" s="311">
        <f>IF($BI33&lt;&gt;"",IF('Capacity summary'!$D$14="Yes",IF(COUNTBLANK('Capacity summary'!$H152:$BG152)&lt;52,IF('Capacity summary'!BE152&lt;&gt;"",IF(LOWER('Capacity summary'!BE152)="x",$BI33*BE33,VALUE('Capacity summary'!BE152)),0),BE33*$BI33),BE33*$BI33),0)</f>
        <v>0</v>
      </c>
      <c r="DI33" s="311">
        <f>IF($BI33&lt;&gt;"",IF('Capacity summary'!$D$14="Yes",IF(COUNTBLANK('Capacity summary'!$H152:$BG152)&lt;52,IF('Capacity summary'!BF152&lt;&gt;"",IF(LOWER('Capacity summary'!BF152)="x",$BI33*BF33,VALUE('Capacity summary'!BF152)),0),BF33*$BI33),BF33*$BI33),0)</f>
        <v>0</v>
      </c>
      <c r="DJ33" s="311">
        <f>IF($BI33&lt;&gt;"",IF('Capacity summary'!$D$14="Yes",IF(COUNTBLANK('Capacity summary'!$H152:$BG152)&lt;52,IF('Capacity summary'!BG152&lt;&gt;"",IF(LOWER('Capacity summary'!BG152)="x",$BI33*BG33,VALUE('Capacity summary'!BG152)),0),BG33*$BI33),BG33*$BI33),0)</f>
        <v>0</v>
      </c>
      <c r="DK33" s="391">
        <f t="shared" si="2"/>
        <v>0</v>
      </c>
      <c r="DL33" s="136">
        <f t="shared" si="3"/>
        <v>0</v>
      </c>
      <c r="DM33" s="311" t="str">
        <f>Capacity!H45</f>
        <v/>
      </c>
      <c r="DQ33" s="5"/>
    </row>
    <row r="34" spans="1:121" x14ac:dyDescent="0.2">
      <c r="A34" s="67">
        <f>IF(Capacity!L46='Capacity summary'!BI153,1,0)</f>
        <v>1</v>
      </c>
      <c r="B34" s="67">
        <f>IF(Capacity!V46='Capacity summary'!BI53,1,0)</f>
        <v>1</v>
      </c>
      <c r="C34" s="67" t="str">
        <f>ROW(A30)&amp;". "&amp;Capacity!B46</f>
        <v xml:space="preserve">30. </v>
      </c>
      <c r="D34" s="67">
        <f>'Capacity setup'!C41</f>
        <v>0</v>
      </c>
      <c r="E34" s="67">
        <f>'Capacity setup'!D41</f>
        <v>0</v>
      </c>
      <c r="F34" s="67">
        <f>'Capacity setup'!E41</f>
        <v>0</v>
      </c>
      <c r="H34" s="67">
        <f ca="1">IF(LOWER(Capacity!$L46)="x",IF(AND(SUMIF(Capacity_Resource,$D34,'Critical resources (hide)'!U$6:U$105)+SUMIF(Capacity_Resource,$E34,'Critical resources (hide)'!U$6:U$105)+SUMIF(Capacity_Resource,$F34,'Critical resources (hide)'!U$6:U$105)&gt;0,$E$1=2),0,1),0)</f>
        <v>1</v>
      </c>
      <c r="I34" s="67">
        <f ca="1">IF(LOWER(Capacity!$L46)="x",IF(AND(SUMIF(Capacity_Resource,$D34,'Critical resources (hide)'!V$6:V$105)+SUMIF(Capacity_Resource,$E34,'Critical resources (hide)'!V$6:V$105)+SUMIF(Capacity_Resource,$F34,'Critical resources (hide)'!V$6:V$105)&gt;0,$E$1=2),0,1),0)</f>
        <v>1</v>
      </c>
      <c r="J34" s="67">
        <f ca="1">IF(LOWER(Capacity!$L46)="x",IF(AND(SUMIF(Capacity_Resource,$D34,'Critical resources (hide)'!W$6:W$105)+SUMIF(Capacity_Resource,$E34,'Critical resources (hide)'!W$6:W$105)+SUMIF(Capacity_Resource,$F34,'Critical resources (hide)'!W$6:W$105)&gt;0,$E$1=2),0,1),0)</f>
        <v>1</v>
      </c>
      <c r="K34" s="67">
        <f ca="1">IF(LOWER(Capacity!$L46)="x",IF(AND(SUMIF(Capacity_Resource,$D34,'Critical resources (hide)'!X$6:X$105)+SUMIF(Capacity_Resource,$E34,'Critical resources (hide)'!X$6:X$105)+SUMIF(Capacity_Resource,$F34,'Critical resources (hide)'!X$6:X$105)&gt;0,$E$1=2),0,1),0)</f>
        <v>1</v>
      </c>
      <c r="L34" s="67">
        <f ca="1">IF(LOWER(Capacity!$L46)="x",IF(AND(SUMIF(Capacity_Resource,$D34,'Critical resources (hide)'!Y$6:Y$105)+SUMIF(Capacity_Resource,$E34,'Critical resources (hide)'!Y$6:Y$105)+SUMIF(Capacity_Resource,$F34,'Critical resources (hide)'!Y$6:Y$105)&gt;0,$E$1=2),0,1),0)</f>
        <v>1</v>
      </c>
      <c r="M34" s="67">
        <f ca="1">IF(LOWER(Capacity!$L46)="x",IF(AND(SUMIF(Capacity_Resource,$D34,'Critical resources (hide)'!Z$6:Z$105)+SUMIF(Capacity_Resource,$E34,'Critical resources (hide)'!Z$6:Z$105)+SUMIF(Capacity_Resource,$F34,'Critical resources (hide)'!Z$6:Z$105)&gt;0,$E$1=2),0,1),0)</f>
        <v>1</v>
      </c>
      <c r="N34" s="67">
        <f ca="1">IF(LOWER(Capacity!$L46)="x",IF(AND(SUMIF(Capacity_Resource,$D34,'Critical resources (hide)'!AA$6:AA$105)+SUMIF(Capacity_Resource,$E34,'Critical resources (hide)'!AA$6:AA$105)+SUMIF(Capacity_Resource,$F34,'Critical resources (hide)'!AA$6:AA$105)&gt;0,$E$1=2),0,1),0)</f>
        <v>1</v>
      </c>
      <c r="O34" s="67">
        <f ca="1">IF(LOWER(Capacity!$L46)="x",IF(AND(SUMIF(Capacity_Resource,$D34,'Critical resources (hide)'!AB$6:AB$105)+SUMIF(Capacity_Resource,$E34,'Critical resources (hide)'!AB$6:AB$105)+SUMIF(Capacity_Resource,$F34,'Critical resources (hide)'!AB$6:AB$105)&gt;0,$E$1=2),0,1),0)</f>
        <v>1</v>
      </c>
      <c r="P34" s="67">
        <f ca="1">IF(LOWER(Capacity!$L46)="x",IF(AND(SUMIF(Capacity_Resource,$D34,'Critical resources (hide)'!AC$6:AC$105)+SUMIF(Capacity_Resource,$E34,'Critical resources (hide)'!AC$6:AC$105)+SUMIF(Capacity_Resource,$F34,'Critical resources (hide)'!AC$6:AC$105)&gt;0,$E$1=2),0,1),0)</f>
        <v>1</v>
      </c>
      <c r="Q34" s="67">
        <f ca="1">IF(LOWER(Capacity!$L46)="x",IF(AND(SUMIF(Capacity_Resource,$D34,'Critical resources (hide)'!AD$6:AD$105)+SUMIF(Capacity_Resource,$E34,'Critical resources (hide)'!AD$6:AD$105)+SUMIF(Capacity_Resource,$F34,'Critical resources (hide)'!AD$6:AD$105)&gt;0,$E$1=2),0,1),0)</f>
        <v>1</v>
      </c>
      <c r="R34" s="67">
        <f ca="1">IF(LOWER(Capacity!$L46)="x",IF(AND(SUMIF(Capacity_Resource,$D34,'Critical resources (hide)'!AE$6:AE$105)+SUMIF(Capacity_Resource,$E34,'Critical resources (hide)'!AE$6:AE$105)+SUMIF(Capacity_Resource,$F34,'Critical resources (hide)'!AE$6:AE$105)&gt;0,$E$1=2),0,1),0)</f>
        <v>1</v>
      </c>
      <c r="S34" s="67">
        <f ca="1">IF(LOWER(Capacity!$L46)="x",IF(AND(SUMIF(Capacity_Resource,$D34,'Critical resources (hide)'!AF$6:AF$105)+SUMIF(Capacity_Resource,$E34,'Critical resources (hide)'!AF$6:AF$105)+SUMIF(Capacity_Resource,$F34,'Critical resources (hide)'!AF$6:AF$105)&gt;0,$E$1=2),0,1),0)</f>
        <v>1</v>
      </c>
      <c r="T34" s="67">
        <f ca="1">IF(LOWER(Capacity!$L46)="x",IF(AND(SUMIF(Capacity_Resource,$D34,'Critical resources (hide)'!AG$6:AG$105)+SUMIF(Capacity_Resource,$E34,'Critical resources (hide)'!AG$6:AG$105)+SUMIF(Capacity_Resource,$F34,'Critical resources (hide)'!AG$6:AG$105)&gt;0,$E$1=2),0,1),0)</f>
        <v>1</v>
      </c>
      <c r="U34" s="67">
        <f ca="1">IF(LOWER(Capacity!$L46)="x",IF(AND(SUMIF(Capacity_Resource,$D34,'Critical resources (hide)'!AH$6:AH$105)+SUMIF(Capacity_Resource,$E34,'Critical resources (hide)'!AH$6:AH$105)+SUMIF(Capacity_Resource,$F34,'Critical resources (hide)'!AH$6:AH$105)&gt;0,$E$1=2),0,1),0)</f>
        <v>1</v>
      </c>
      <c r="V34" s="67">
        <f ca="1">IF(LOWER(Capacity!$L46)="x",IF(AND(SUMIF(Capacity_Resource,$D34,'Critical resources (hide)'!AI$6:AI$105)+SUMIF(Capacity_Resource,$E34,'Critical resources (hide)'!AI$6:AI$105)+SUMIF(Capacity_Resource,$F34,'Critical resources (hide)'!AI$6:AI$105)&gt;0,$E$1=2),0,1),0)</f>
        <v>1</v>
      </c>
      <c r="W34" s="67">
        <f ca="1">IF(LOWER(Capacity!$L46)="x",IF(AND(SUMIF(Capacity_Resource,$D34,'Critical resources (hide)'!AJ$6:AJ$105)+SUMIF(Capacity_Resource,$E34,'Critical resources (hide)'!AJ$6:AJ$105)+SUMIF(Capacity_Resource,$F34,'Critical resources (hide)'!AJ$6:AJ$105)&gt;0,$E$1=2),0,1),0)</f>
        <v>1</v>
      </c>
      <c r="X34" s="67">
        <f ca="1">IF(LOWER(Capacity!$L46)="x",IF(AND(SUMIF(Capacity_Resource,$D34,'Critical resources (hide)'!AK$6:AK$105)+SUMIF(Capacity_Resource,$E34,'Critical resources (hide)'!AK$6:AK$105)+SUMIF(Capacity_Resource,$F34,'Critical resources (hide)'!AK$6:AK$105)&gt;0,$E$1=2),0,1),0)</f>
        <v>1</v>
      </c>
      <c r="Y34" s="67">
        <f ca="1">IF(LOWER(Capacity!$L46)="x",IF(AND(SUMIF(Capacity_Resource,$D34,'Critical resources (hide)'!AL$6:AL$105)+SUMIF(Capacity_Resource,$E34,'Critical resources (hide)'!AL$6:AL$105)+SUMIF(Capacity_Resource,$F34,'Critical resources (hide)'!AL$6:AL$105)&gt;0,$E$1=2),0,1),0)</f>
        <v>1</v>
      </c>
      <c r="Z34" s="67">
        <f ca="1">IF(LOWER(Capacity!$L46)="x",IF(AND(SUMIF(Capacity_Resource,$D34,'Critical resources (hide)'!AM$6:AM$105)+SUMIF(Capacity_Resource,$E34,'Critical resources (hide)'!AM$6:AM$105)+SUMIF(Capacity_Resource,$F34,'Critical resources (hide)'!AM$6:AM$105)&gt;0,$E$1=2),0,1),0)</f>
        <v>1</v>
      </c>
      <c r="AA34" s="67">
        <f ca="1">IF(LOWER(Capacity!$L46)="x",IF(AND(SUMIF(Capacity_Resource,$D34,'Critical resources (hide)'!AN$6:AN$105)+SUMIF(Capacity_Resource,$E34,'Critical resources (hide)'!AN$6:AN$105)+SUMIF(Capacity_Resource,$F34,'Critical resources (hide)'!AN$6:AN$105)&gt;0,$E$1=2),0,1),0)</f>
        <v>1</v>
      </c>
      <c r="AB34" s="67">
        <f ca="1">IF(LOWER(Capacity!$L46)="x",IF(AND(SUMIF(Capacity_Resource,$D34,'Critical resources (hide)'!AO$6:AO$105)+SUMIF(Capacity_Resource,$E34,'Critical resources (hide)'!AO$6:AO$105)+SUMIF(Capacity_Resource,$F34,'Critical resources (hide)'!AO$6:AO$105)&gt;0,$E$1=2),0,1),0)</f>
        <v>1</v>
      </c>
      <c r="AC34" s="67">
        <f ca="1">IF(LOWER(Capacity!$L46)="x",IF(AND(SUMIF(Capacity_Resource,$D34,'Critical resources (hide)'!AP$6:AP$105)+SUMIF(Capacity_Resource,$E34,'Critical resources (hide)'!AP$6:AP$105)+SUMIF(Capacity_Resource,$F34,'Critical resources (hide)'!AP$6:AP$105)&gt;0,$E$1=2),0,1),0)</f>
        <v>1</v>
      </c>
      <c r="AD34" s="67">
        <f ca="1">IF(LOWER(Capacity!$L46)="x",IF(AND(SUMIF(Capacity_Resource,$D34,'Critical resources (hide)'!AQ$6:AQ$105)+SUMIF(Capacity_Resource,$E34,'Critical resources (hide)'!AQ$6:AQ$105)+SUMIF(Capacity_Resource,$F34,'Critical resources (hide)'!AQ$6:AQ$105)&gt;0,$E$1=2),0,1),0)</f>
        <v>1</v>
      </c>
      <c r="AE34" s="67">
        <f ca="1">IF(LOWER(Capacity!$L46)="x",IF(AND(SUMIF(Capacity_Resource,$D34,'Critical resources (hide)'!AR$6:AR$105)+SUMIF(Capacity_Resource,$E34,'Critical resources (hide)'!AR$6:AR$105)+SUMIF(Capacity_Resource,$F34,'Critical resources (hide)'!AR$6:AR$105)&gt;0,$E$1=2),0,1),0)</f>
        <v>1</v>
      </c>
      <c r="AF34" s="67">
        <f ca="1">IF(LOWER(Capacity!$L46)="x",IF(AND(SUMIF(Capacity_Resource,$D34,'Critical resources (hide)'!AS$6:AS$105)+SUMIF(Capacity_Resource,$E34,'Critical resources (hide)'!AS$6:AS$105)+SUMIF(Capacity_Resource,$F34,'Critical resources (hide)'!AS$6:AS$105)&gt;0,$E$1=2),0,1),0)</f>
        <v>1</v>
      </c>
      <c r="AG34" s="67">
        <f ca="1">IF(LOWER(Capacity!$L46)="x",IF(AND(SUMIF(Capacity_Resource,$D34,'Critical resources (hide)'!AT$6:AT$105)+SUMIF(Capacity_Resource,$E34,'Critical resources (hide)'!AT$6:AT$105)+SUMIF(Capacity_Resource,$F34,'Critical resources (hide)'!AT$6:AT$105)&gt;0,$E$1=2),0,1),0)</f>
        <v>1</v>
      </c>
      <c r="AH34" s="67">
        <f ca="1">IF(LOWER(Capacity!$L46)="x",IF(AND(SUMIF(Capacity_Resource,$D34,'Critical resources (hide)'!AU$6:AU$105)+SUMIF(Capacity_Resource,$E34,'Critical resources (hide)'!AU$6:AU$105)+SUMIF(Capacity_Resource,$F34,'Critical resources (hide)'!AU$6:AU$105)&gt;0,$E$1=2),0,1),0)</f>
        <v>1</v>
      </c>
      <c r="AI34" s="67">
        <f ca="1">IF(LOWER(Capacity!$L46)="x",IF(AND(SUMIF(Capacity_Resource,$D34,'Critical resources (hide)'!AV$6:AV$105)+SUMIF(Capacity_Resource,$E34,'Critical resources (hide)'!AV$6:AV$105)+SUMIF(Capacity_Resource,$F34,'Critical resources (hide)'!AV$6:AV$105)&gt;0,$E$1=2),0,1),0)</f>
        <v>1</v>
      </c>
      <c r="AJ34" s="67">
        <f ca="1">IF(LOWER(Capacity!$L46)="x",IF(AND(SUMIF(Capacity_Resource,$D34,'Critical resources (hide)'!AW$6:AW$105)+SUMIF(Capacity_Resource,$E34,'Critical resources (hide)'!AW$6:AW$105)+SUMIF(Capacity_Resource,$F34,'Critical resources (hide)'!AW$6:AW$105)&gt;0,$E$1=2),0,1),0)</f>
        <v>1</v>
      </c>
      <c r="AK34" s="67">
        <f ca="1">IF(LOWER(Capacity!$L46)="x",IF(AND(SUMIF(Capacity_Resource,$D34,'Critical resources (hide)'!AX$6:AX$105)+SUMIF(Capacity_Resource,$E34,'Critical resources (hide)'!AX$6:AX$105)+SUMIF(Capacity_Resource,$F34,'Critical resources (hide)'!AX$6:AX$105)&gt;0,$E$1=2),0,1),0)</f>
        <v>1</v>
      </c>
      <c r="AL34" s="67">
        <f ca="1">IF(LOWER(Capacity!$L46)="x",IF(AND(SUMIF(Capacity_Resource,$D34,'Critical resources (hide)'!AY$6:AY$105)+SUMIF(Capacity_Resource,$E34,'Critical resources (hide)'!AY$6:AY$105)+SUMIF(Capacity_Resource,$F34,'Critical resources (hide)'!AY$6:AY$105)&gt;0,$E$1=2),0,1),0)</f>
        <v>1</v>
      </c>
      <c r="AM34" s="67">
        <f ca="1">IF(LOWER(Capacity!$L46)="x",IF(AND(SUMIF(Capacity_Resource,$D34,'Critical resources (hide)'!AZ$6:AZ$105)+SUMIF(Capacity_Resource,$E34,'Critical resources (hide)'!AZ$6:AZ$105)+SUMIF(Capacity_Resource,$F34,'Critical resources (hide)'!AZ$6:AZ$105)&gt;0,$E$1=2),0,1),0)</f>
        <v>1</v>
      </c>
      <c r="AN34" s="67">
        <f ca="1">IF(LOWER(Capacity!$L46)="x",IF(AND(SUMIF(Capacity_Resource,$D34,'Critical resources (hide)'!BA$6:BA$105)+SUMIF(Capacity_Resource,$E34,'Critical resources (hide)'!BA$6:BA$105)+SUMIF(Capacity_Resource,$F34,'Critical resources (hide)'!BA$6:BA$105)&gt;0,$E$1=2),0,1),0)</f>
        <v>1</v>
      </c>
      <c r="AO34" s="67">
        <f ca="1">IF(LOWER(Capacity!$L46)="x",IF(AND(SUMIF(Capacity_Resource,$D34,'Critical resources (hide)'!BB$6:BB$105)+SUMIF(Capacity_Resource,$E34,'Critical resources (hide)'!BB$6:BB$105)+SUMIF(Capacity_Resource,$F34,'Critical resources (hide)'!BB$6:BB$105)&gt;0,$E$1=2),0,1),0)</f>
        <v>1</v>
      </c>
      <c r="AP34" s="67">
        <f ca="1">IF(LOWER(Capacity!$L46)="x",IF(AND(SUMIF(Capacity_Resource,$D34,'Critical resources (hide)'!BC$6:BC$105)+SUMIF(Capacity_Resource,$E34,'Critical resources (hide)'!BC$6:BC$105)+SUMIF(Capacity_Resource,$F34,'Critical resources (hide)'!BC$6:BC$105)&gt;0,$E$1=2),0,1),0)</f>
        <v>1</v>
      </c>
      <c r="AQ34" s="67">
        <f ca="1">IF(LOWER(Capacity!$L46)="x",IF(AND(SUMIF(Capacity_Resource,$D34,'Critical resources (hide)'!BD$6:BD$105)+SUMIF(Capacity_Resource,$E34,'Critical resources (hide)'!BD$6:BD$105)+SUMIF(Capacity_Resource,$F34,'Critical resources (hide)'!BD$6:BD$105)&gt;0,$E$1=2),0,1),0)</f>
        <v>1</v>
      </c>
      <c r="AR34" s="67">
        <f ca="1">IF(LOWER(Capacity!$L46)="x",IF(AND(SUMIF(Capacity_Resource,$D34,'Critical resources (hide)'!BE$6:BE$105)+SUMIF(Capacity_Resource,$E34,'Critical resources (hide)'!BE$6:BE$105)+SUMIF(Capacity_Resource,$F34,'Critical resources (hide)'!BE$6:BE$105)&gt;0,$E$1=2),0,1),0)</f>
        <v>1</v>
      </c>
      <c r="AS34" s="67">
        <f ca="1">IF(LOWER(Capacity!$L46)="x",IF(AND(SUMIF(Capacity_Resource,$D34,'Critical resources (hide)'!BF$6:BF$105)+SUMIF(Capacity_Resource,$E34,'Critical resources (hide)'!BF$6:BF$105)+SUMIF(Capacity_Resource,$F34,'Critical resources (hide)'!BF$6:BF$105)&gt;0,$E$1=2),0,1),0)</f>
        <v>1</v>
      </c>
      <c r="AT34" s="67">
        <f ca="1">IF(LOWER(Capacity!$L46)="x",IF(AND(SUMIF(Capacity_Resource,$D34,'Critical resources (hide)'!BG$6:BG$105)+SUMIF(Capacity_Resource,$E34,'Critical resources (hide)'!BG$6:BG$105)+SUMIF(Capacity_Resource,$F34,'Critical resources (hide)'!BG$6:BG$105)&gt;0,$E$1=2),0,1),0)</f>
        <v>1</v>
      </c>
      <c r="AU34" s="67">
        <f ca="1">IF(LOWER(Capacity!$L46)="x",IF(AND(SUMIF(Capacity_Resource,$D34,'Critical resources (hide)'!BH$6:BH$105)+SUMIF(Capacity_Resource,$E34,'Critical resources (hide)'!BH$6:BH$105)+SUMIF(Capacity_Resource,$F34,'Critical resources (hide)'!BH$6:BH$105)&gt;0,$E$1=2),0,1),0)</f>
        <v>1</v>
      </c>
      <c r="AV34" s="67">
        <f ca="1">IF(LOWER(Capacity!$L46)="x",IF(AND(SUMIF(Capacity_Resource,$D34,'Critical resources (hide)'!BI$6:BI$105)+SUMIF(Capacity_Resource,$E34,'Critical resources (hide)'!BI$6:BI$105)+SUMIF(Capacity_Resource,$F34,'Critical resources (hide)'!BI$6:BI$105)&gt;0,$E$1=2),0,1),0)</f>
        <v>1</v>
      </c>
      <c r="AW34" s="67">
        <f ca="1">IF(LOWER(Capacity!$L46)="x",IF(AND(SUMIF(Capacity_Resource,$D34,'Critical resources (hide)'!BJ$6:BJ$105)+SUMIF(Capacity_Resource,$E34,'Critical resources (hide)'!BJ$6:BJ$105)+SUMIF(Capacity_Resource,$F34,'Critical resources (hide)'!BJ$6:BJ$105)&gt;0,$E$1=2),0,1),0)</f>
        <v>1</v>
      </c>
      <c r="AX34" s="67">
        <f ca="1">IF(LOWER(Capacity!$L46)="x",IF(AND(SUMIF(Capacity_Resource,$D34,'Critical resources (hide)'!BK$6:BK$105)+SUMIF(Capacity_Resource,$E34,'Critical resources (hide)'!BK$6:BK$105)+SUMIF(Capacity_Resource,$F34,'Critical resources (hide)'!BK$6:BK$105)&gt;0,$E$1=2),0,1),0)</f>
        <v>1</v>
      </c>
      <c r="AY34" s="67">
        <f ca="1">IF(LOWER(Capacity!$L46)="x",IF(AND(SUMIF(Capacity_Resource,$D34,'Critical resources (hide)'!BL$6:BL$105)+SUMIF(Capacity_Resource,$E34,'Critical resources (hide)'!BL$6:BL$105)+SUMIF(Capacity_Resource,$F34,'Critical resources (hide)'!BL$6:BL$105)&gt;0,$E$1=2),0,1),0)</f>
        <v>1</v>
      </c>
      <c r="AZ34" s="67">
        <f ca="1">IF(LOWER(Capacity!$L46)="x",IF(AND(SUMIF(Capacity_Resource,$D34,'Critical resources (hide)'!BM$6:BM$105)+SUMIF(Capacity_Resource,$E34,'Critical resources (hide)'!BM$6:BM$105)+SUMIF(Capacity_Resource,$F34,'Critical resources (hide)'!BM$6:BM$105)&gt;0,$E$1=2),0,1),0)</f>
        <v>1</v>
      </c>
      <c r="BA34" s="67">
        <f ca="1">IF(LOWER(Capacity!$L46)="x",IF(AND(SUMIF(Capacity_Resource,$D34,'Critical resources (hide)'!BN$6:BN$105)+SUMIF(Capacity_Resource,$E34,'Critical resources (hide)'!BN$6:BN$105)+SUMIF(Capacity_Resource,$F34,'Critical resources (hide)'!BN$6:BN$105)&gt;0,$E$1=2),0,1),0)</f>
        <v>1</v>
      </c>
      <c r="BB34" s="67">
        <f ca="1">IF(LOWER(Capacity!$L46)="x",IF(AND(SUMIF(Capacity_Resource,$D34,'Critical resources (hide)'!BO$6:BO$105)+SUMIF(Capacity_Resource,$E34,'Critical resources (hide)'!BO$6:BO$105)+SUMIF(Capacity_Resource,$F34,'Critical resources (hide)'!BO$6:BO$105)&gt;0,$E$1=2),0,1),0)</f>
        <v>1</v>
      </c>
      <c r="BC34" s="67">
        <f ca="1">IF(LOWER(Capacity!$L46)="x",IF(AND(SUMIF(Capacity_Resource,$D34,'Critical resources (hide)'!BP$6:BP$105)+SUMIF(Capacity_Resource,$E34,'Critical resources (hide)'!BP$6:BP$105)+SUMIF(Capacity_Resource,$F34,'Critical resources (hide)'!BP$6:BP$105)&gt;0,$E$1=2),0,1),0)</f>
        <v>1</v>
      </c>
      <c r="BD34" s="67">
        <f ca="1">IF(LOWER(Capacity!$L46)="x",IF(AND(SUMIF(Capacity_Resource,$D34,'Critical resources (hide)'!BQ$6:BQ$105)+SUMIF(Capacity_Resource,$E34,'Critical resources (hide)'!BQ$6:BQ$105)+SUMIF(Capacity_Resource,$F34,'Critical resources (hide)'!BQ$6:BQ$105)&gt;0,$E$1=2),0,1),0)</f>
        <v>1</v>
      </c>
      <c r="BE34" s="67">
        <f ca="1">IF(LOWER(Capacity!$L46)="x",IF(AND(SUMIF(Capacity_Resource,$D34,'Critical resources (hide)'!BR$6:BR$105)+SUMIF(Capacity_Resource,$E34,'Critical resources (hide)'!BR$6:BR$105)+SUMIF(Capacity_Resource,$F34,'Critical resources (hide)'!BR$6:BR$105)&gt;0,$E$1=2),0,1),0)</f>
        <v>1</v>
      </c>
      <c r="BF34" s="67">
        <f ca="1">IF(LOWER(Capacity!$L46)="x",IF(AND(SUMIF(Capacity_Resource,$D34,'Critical resources (hide)'!BS$6:BS$105)+SUMIF(Capacity_Resource,$E34,'Critical resources (hide)'!BS$6:BS$105)+SUMIF(Capacity_Resource,$F34,'Critical resources (hide)'!BS$6:BS$105)&gt;0,$E$1=2),0,1),0)</f>
        <v>1</v>
      </c>
      <c r="BG34" s="67">
        <f ca="1">IF(LOWER(Capacity!$L46)="x",IF(AND(SUMIF(Capacity_Resource,$D34,'Critical resources (hide)'!BT$6:BT$105)+SUMIF(Capacity_Resource,$E34,'Critical resources (hide)'!BT$6:BT$105)+SUMIF(Capacity_Resource,$F34,'Critical resources (hide)'!BT$6:BT$105)&gt;0,$E$1=2),0,1),0)</f>
        <v>1</v>
      </c>
      <c r="BH34" s="67">
        <f>IF(ROW(C30)&lt;=Capacity!$A$16,IF('Capacity summary'!$D$14="No",SUM(H34:BG34),'Capacity summary'!$E153),0)</f>
        <v>0</v>
      </c>
      <c r="BI34" s="5" t="str">
        <f>IF(BH34&gt;0,IF(BH34&lt;Capacity!E46,Capacity!F46,Capacity!H46/'Capacity calculation (hide)'!BH34),"")</f>
        <v/>
      </c>
      <c r="BK34" s="311">
        <f>IF($BI34&lt;&gt;"",IF('Capacity summary'!$D$14="Yes",IF(COUNTBLANK('Capacity summary'!$H153:$BG153)&lt;52,IF('Capacity summary'!H153&lt;&gt;"",IF(LOWER('Capacity summary'!H153)="x",$BI34*H34,VALUE('Capacity summary'!H153)),0),H34*$BI34),H34*$BI34),0)</f>
        <v>0</v>
      </c>
      <c r="BL34" s="311">
        <f>IF($BI34&lt;&gt;"",IF('Capacity summary'!$D$14="Yes",IF(COUNTBLANK('Capacity summary'!$H153:$BG153)&lt;52,IF('Capacity summary'!I153&lt;&gt;"",IF(LOWER('Capacity summary'!I153)="x",$BI34*I34,VALUE('Capacity summary'!I153)),0),I34*$BI34),I34*$BI34),0)</f>
        <v>0</v>
      </c>
      <c r="BM34" s="311">
        <f>IF($BI34&lt;&gt;"",IF('Capacity summary'!$D$14="Yes",IF(COUNTBLANK('Capacity summary'!$H153:$BG153)&lt;52,IF('Capacity summary'!J153&lt;&gt;"",IF(LOWER('Capacity summary'!J153)="x",$BI34*J34,VALUE('Capacity summary'!J153)),0),J34*$BI34),J34*$BI34),0)</f>
        <v>0</v>
      </c>
      <c r="BN34" s="311">
        <f>IF($BI34&lt;&gt;"",IF('Capacity summary'!$D$14="Yes",IF(COUNTBLANK('Capacity summary'!$H153:$BG153)&lt;52,IF('Capacity summary'!K153&lt;&gt;"",IF(LOWER('Capacity summary'!K153)="x",$BI34*K34,VALUE('Capacity summary'!K153)),0),K34*$BI34),K34*$BI34),0)</f>
        <v>0</v>
      </c>
      <c r="BO34" s="311">
        <f>IF($BI34&lt;&gt;"",IF('Capacity summary'!$D$14="Yes",IF(COUNTBLANK('Capacity summary'!$H153:$BG153)&lt;52,IF('Capacity summary'!L153&lt;&gt;"",IF(LOWER('Capacity summary'!L153)="x",$BI34*L34,VALUE('Capacity summary'!L153)),0),L34*$BI34),L34*$BI34),0)</f>
        <v>0</v>
      </c>
      <c r="BP34" s="311">
        <f>IF($BI34&lt;&gt;"",IF('Capacity summary'!$D$14="Yes",IF(COUNTBLANK('Capacity summary'!$H153:$BG153)&lt;52,IF('Capacity summary'!M153&lt;&gt;"",IF(LOWER('Capacity summary'!M153)="x",$BI34*M34,VALUE('Capacity summary'!M153)),0),M34*$BI34),M34*$BI34),0)</f>
        <v>0</v>
      </c>
      <c r="BQ34" s="311">
        <f>IF($BI34&lt;&gt;"",IF('Capacity summary'!$D$14="Yes",IF(COUNTBLANK('Capacity summary'!$H153:$BG153)&lt;52,IF('Capacity summary'!N153&lt;&gt;"",IF(LOWER('Capacity summary'!N153)="x",$BI34*N34,VALUE('Capacity summary'!N153)),0),N34*$BI34),N34*$BI34),0)</f>
        <v>0</v>
      </c>
      <c r="BR34" s="311">
        <f>IF($BI34&lt;&gt;"",IF('Capacity summary'!$D$14="Yes",IF(COUNTBLANK('Capacity summary'!$H153:$BG153)&lt;52,IF('Capacity summary'!O153&lt;&gt;"",IF(LOWER('Capacity summary'!O153)="x",$BI34*O34,VALUE('Capacity summary'!O153)),0),O34*$BI34),O34*$BI34),0)</f>
        <v>0</v>
      </c>
      <c r="BS34" s="311">
        <f>IF($BI34&lt;&gt;"",IF('Capacity summary'!$D$14="Yes",IF(COUNTBLANK('Capacity summary'!$H153:$BG153)&lt;52,IF('Capacity summary'!P153&lt;&gt;"",IF(LOWER('Capacity summary'!P153)="x",$BI34*P34,VALUE('Capacity summary'!P153)),0),P34*$BI34),P34*$BI34),0)</f>
        <v>0</v>
      </c>
      <c r="BT34" s="311">
        <f>IF($BI34&lt;&gt;"",IF('Capacity summary'!$D$14="Yes",IF(COUNTBLANK('Capacity summary'!$H153:$BG153)&lt;52,IF('Capacity summary'!Q153&lt;&gt;"",IF(LOWER('Capacity summary'!Q153)="x",$BI34*Q34,VALUE('Capacity summary'!Q153)),0),Q34*$BI34),Q34*$BI34),0)</f>
        <v>0</v>
      </c>
      <c r="BU34" s="311">
        <f>IF($BI34&lt;&gt;"",IF('Capacity summary'!$D$14="Yes",IF(COUNTBLANK('Capacity summary'!$H153:$BG153)&lt;52,IF('Capacity summary'!R153&lt;&gt;"",IF(LOWER('Capacity summary'!R153)="x",$BI34*R34,VALUE('Capacity summary'!R153)),0),R34*$BI34),R34*$BI34),0)</f>
        <v>0</v>
      </c>
      <c r="BV34" s="311">
        <f>IF($BI34&lt;&gt;"",IF('Capacity summary'!$D$14="Yes",IF(COUNTBLANK('Capacity summary'!$H153:$BG153)&lt;52,IF('Capacity summary'!S153&lt;&gt;"",IF(LOWER('Capacity summary'!S153)="x",$BI34*S34,VALUE('Capacity summary'!S153)),0),S34*$BI34),S34*$BI34),0)</f>
        <v>0</v>
      </c>
      <c r="BW34" s="311">
        <f>IF($BI34&lt;&gt;"",IF('Capacity summary'!$D$14="Yes",IF(COUNTBLANK('Capacity summary'!$H153:$BG153)&lt;52,IF('Capacity summary'!T153&lt;&gt;"",IF(LOWER('Capacity summary'!T153)="x",$BI34*T34,VALUE('Capacity summary'!T153)),0),T34*$BI34),T34*$BI34),0)</f>
        <v>0</v>
      </c>
      <c r="BX34" s="311">
        <f>IF($BI34&lt;&gt;"",IF('Capacity summary'!$D$14="Yes",IF(COUNTBLANK('Capacity summary'!$H153:$BG153)&lt;52,IF('Capacity summary'!U153&lt;&gt;"",IF(LOWER('Capacity summary'!U153)="x",$BI34*U34,VALUE('Capacity summary'!U153)),0),U34*$BI34),U34*$BI34),0)</f>
        <v>0</v>
      </c>
      <c r="BY34" s="311">
        <f>IF($BI34&lt;&gt;"",IF('Capacity summary'!$D$14="Yes",IF(COUNTBLANK('Capacity summary'!$H153:$BG153)&lt;52,IF('Capacity summary'!V153&lt;&gt;"",IF(LOWER('Capacity summary'!V153)="x",$BI34*V34,VALUE('Capacity summary'!V153)),0),V34*$BI34),V34*$BI34),0)</f>
        <v>0</v>
      </c>
      <c r="BZ34" s="311">
        <f>IF($BI34&lt;&gt;"",IF('Capacity summary'!$D$14="Yes",IF(COUNTBLANK('Capacity summary'!$H153:$BG153)&lt;52,IF('Capacity summary'!W153&lt;&gt;"",IF(LOWER('Capacity summary'!W153)="x",$BI34*W34,VALUE('Capacity summary'!W153)),0),W34*$BI34),W34*$BI34),0)</f>
        <v>0</v>
      </c>
      <c r="CA34" s="311">
        <f>IF($BI34&lt;&gt;"",IF('Capacity summary'!$D$14="Yes",IF(COUNTBLANK('Capacity summary'!$H153:$BG153)&lt;52,IF('Capacity summary'!X153&lt;&gt;"",IF(LOWER('Capacity summary'!X153)="x",$BI34*X34,VALUE('Capacity summary'!X153)),0),X34*$BI34),X34*$BI34),0)</f>
        <v>0</v>
      </c>
      <c r="CB34" s="311">
        <f>IF($BI34&lt;&gt;"",IF('Capacity summary'!$D$14="Yes",IF(COUNTBLANK('Capacity summary'!$H153:$BG153)&lt;52,IF('Capacity summary'!Y153&lt;&gt;"",IF(LOWER('Capacity summary'!Y153)="x",$BI34*Y34,VALUE('Capacity summary'!Y153)),0),Y34*$BI34),Y34*$BI34),0)</f>
        <v>0</v>
      </c>
      <c r="CC34" s="311">
        <f>IF($BI34&lt;&gt;"",IF('Capacity summary'!$D$14="Yes",IF(COUNTBLANK('Capacity summary'!$H153:$BG153)&lt;52,IF('Capacity summary'!Z153&lt;&gt;"",IF(LOWER('Capacity summary'!Z153)="x",$BI34*Z34,VALUE('Capacity summary'!Z153)),0),Z34*$BI34),Z34*$BI34),0)</f>
        <v>0</v>
      </c>
      <c r="CD34" s="311">
        <f>IF($BI34&lt;&gt;"",IF('Capacity summary'!$D$14="Yes",IF(COUNTBLANK('Capacity summary'!$H153:$BG153)&lt;52,IF('Capacity summary'!AA153&lt;&gt;"",IF(LOWER('Capacity summary'!AA153)="x",$BI34*AA34,VALUE('Capacity summary'!AA153)),0),AA34*$BI34),AA34*$BI34),0)</f>
        <v>0</v>
      </c>
      <c r="CE34" s="311">
        <f>IF($BI34&lt;&gt;"",IF('Capacity summary'!$D$14="Yes",IF(COUNTBLANK('Capacity summary'!$H153:$BG153)&lt;52,IF('Capacity summary'!AB153&lt;&gt;"",IF(LOWER('Capacity summary'!AB153)="x",$BI34*AB34,VALUE('Capacity summary'!AB153)),0),AB34*$BI34),AB34*$BI34),0)</f>
        <v>0</v>
      </c>
      <c r="CF34" s="311">
        <f>IF($BI34&lt;&gt;"",IF('Capacity summary'!$D$14="Yes",IF(COUNTBLANK('Capacity summary'!$H153:$BG153)&lt;52,IF('Capacity summary'!AC153&lt;&gt;"",IF(LOWER('Capacity summary'!AC153)="x",$BI34*AC34,VALUE('Capacity summary'!AC153)),0),AC34*$BI34),AC34*$BI34),0)</f>
        <v>0</v>
      </c>
      <c r="CG34" s="311">
        <f>IF($BI34&lt;&gt;"",IF('Capacity summary'!$D$14="Yes",IF(COUNTBLANK('Capacity summary'!$H153:$BG153)&lt;52,IF('Capacity summary'!AD153&lt;&gt;"",IF(LOWER('Capacity summary'!AD153)="x",$BI34*AD34,VALUE('Capacity summary'!AD153)),0),AD34*$BI34),AD34*$BI34),0)</f>
        <v>0</v>
      </c>
      <c r="CH34" s="311">
        <f>IF($BI34&lt;&gt;"",IF('Capacity summary'!$D$14="Yes",IF(COUNTBLANK('Capacity summary'!$H153:$BG153)&lt;52,IF('Capacity summary'!AE153&lt;&gt;"",IF(LOWER('Capacity summary'!AE153)="x",$BI34*AE34,VALUE('Capacity summary'!AE153)),0),AE34*$BI34),AE34*$BI34),0)</f>
        <v>0</v>
      </c>
      <c r="CI34" s="311">
        <f>IF($BI34&lt;&gt;"",IF('Capacity summary'!$D$14="Yes",IF(COUNTBLANK('Capacity summary'!$H153:$BG153)&lt;52,IF('Capacity summary'!AF153&lt;&gt;"",IF(LOWER('Capacity summary'!AF153)="x",$BI34*AF34,VALUE('Capacity summary'!AF153)),0),AF34*$BI34),AF34*$BI34),0)</f>
        <v>0</v>
      </c>
      <c r="CJ34" s="311">
        <f>IF($BI34&lt;&gt;"",IF('Capacity summary'!$D$14="Yes",IF(COUNTBLANK('Capacity summary'!$H153:$BG153)&lt;52,IF('Capacity summary'!AG153&lt;&gt;"",IF(LOWER('Capacity summary'!AG153)="x",$BI34*AG34,VALUE('Capacity summary'!AG153)),0),AG34*$BI34),AG34*$BI34),0)</f>
        <v>0</v>
      </c>
      <c r="CK34" s="311">
        <f>IF($BI34&lt;&gt;"",IF('Capacity summary'!$D$14="Yes",IF(COUNTBLANK('Capacity summary'!$H153:$BG153)&lt;52,IF('Capacity summary'!AH153&lt;&gt;"",IF(LOWER('Capacity summary'!AH153)="x",$BI34*AH34,VALUE('Capacity summary'!AH153)),0),AH34*$BI34),AH34*$BI34),0)</f>
        <v>0</v>
      </c>
      <c r="CL34" s="311">
        <f>IF($BI34&lt;&gt;"",IF('Capacity summary'!$D$14="Yes",IF(COUNTBLANK('Capacity summary'!$H153:$BG153)&lt;52,IF('Capacity summary'!AI153&lt;&gt;"",IF(LOWER('Capacity summary'!AI153)="x",$BI34*AI34,VALUE('Capacity summary'!AI153)),0),AI34*$BI34),AI34*$BI34),0)</f>
        <v>0</v>
      </c>
      <c r="CM34" s="311">
        <f>IF($BI34&lt;&gt;"",IF('Capacity summary'!$D$14="Yes",IF(COUNTBLANK('Capacity summary'!$H153:$BG153)&lt;52,IF('Capacity summary'!AJ153&lt;&gt;"",IF(LOWER('Capacity summary'!AJ153)="x",$BI34*AJ34,VALUE('Capacity summary'!AJ153)),0),AJ34*$BI34),AJ34*$BI34),0)</f>
        <v>0</v>
      </c>
      <c r="CN34" s="311">
        <f>IF($BI34&lt;&gt;"",IF('Capacity summary'!$D$14="Yes",IF(COUNTBLANK('Capacity summary'!$H153:$BG153)&lt;52,IF('Capacity summary'!AK153&lt;&gt;"",IF(LOWER('Capacity summary'!AK153)="x",$BI34*AK34,VALUE('Capacity summary'!AK153)),0),AK34*$BI34),AK34*$BI34),0)</f>
        <v>0</v>
      </c>
      <c r="CO34" s="311">
        <f>IF($BI34&lt;&gt;"",IF('Capacity summary'!$D$14="Yes",IF(COUNTBLANK('Capacity summary'!$H153:$BG153)&lt;52,IF('Capacity summary'!AL153&lt;&gt;"",IF(LOWER('Capacity summary'!AL153)="x",$BI34*AL34,VALUE('Capacity summary'!AL153)),0),AL34*$BI34),AL34*$BI34),0)</f>
        <v>0</v>
      </c>
      <c r="CP34" s="311">
        <f>IF($BI34&lt;&gt;"",IF('Capacity summary'!$D$14="Yes",IF(COUNTBLANK('Capacity summary'!$H153:$BG153)&lt;52,IF('Capacity summary'!AM153&lt;&gt;"",IF(LOWER('Capacity summary'!AM153)="x",$BI34*AM34,VALUE('Capacity summary'!AM153)),0),AM34*$BI34),AM34*$BI34),0)</f>
        <v>0</v>
      </c>
      <c r="CQ34" s="311">
        <f>IF($BI34&lt;&gt;"",IF('Capacity summary'!$D$14="Yes",IF(COUNTBLANK('Capacity summary'!$H153:$BG153)&lt;52,IF('Capacity summary'!AN153&lt;&gt;"",IF(LOWER('Capacity summary'!AN153)="x",$BI34*AN34,VALUE('Capacity summary'!AN153)),0),AN34*$BI34),AN34*$BI34),0)</f>
        <v>0</v>
      </c>
      <c r="CR34" s="311">
        <f>IF($BI34&lt;&gt;"",IF('Capacity summary'!$D$14="Yes",IF(COUNTBLANK('Capacity summary'!$H153:$BG153)&lt;52,IF('Capacity summary'!AO153&lt;&gt;"",IF(LOWER('Capacity summary'!AO153)="x",$BI34*AO34,VALUE('Capacity summary'!AO153)),0),AO34*$BI34),AO34*$BI34),0)</f>
        <v>0</v>
      </c>
      <c r="CS34" s="311">
        <f>IF($BI34&lt;&gt;"",IF('Capacity summary'!$D$14="Yes",IF(COUNTBLANK('Capacity summary'!$H153:$BG153)&lt;52,IF('Capacity summary'!AP153&lt;&gt;"",IF(LOWER('Capacity summary'!AP153)="x",$BI34*AP34,VALUE('Capacity summary'!AP153)),0),AP34*$BI34),AP34*$BI34),0)</f>
        <v>0</v>
      </c>
      <c r="CT34" s="311">
        <f>IF($BI34&lt;&gt;"",IF('Capacity summary'!$D$14="Yes",IF(COUNTBLANK('Capacity summary'!$H153:$BG153)&lt;52,IF('Capacity summary'!AQ153&lt;&gt;"",IF(LOWER('Capacity summary'!AQ153)="x",$BI34*AQ34,VALUE('Capacity summary'!AQ153)),0),AQ34*$BI34),AQ34*$BI34),0)</f>
        <v>0</v>
      </c>
      <c r="CU34" s="311">
        <f>IF($BI34&lt;&gt;"",IF('Capacity summary'!$D$14="Yes",IF(COUNTBLANK('Capacity summary'!$H153:$BG153)&lt;52,IF('Capacity summary'!AR153&lt;&gt;"",IF(LOWER('Capacity summary'!AR153)="x",$BI34*AR34,VALUE('Capacity summary'!AR153)),0),AR34*$BI34),AR34*$BI34),0)</f>
        <v>0</v>
      </c>
      <c r="CV34" s="311">
        <f>IF($BI34&lt;&gt;"",IF('Capacity summary'!$D$14="Yes",IF(COUNTBLANK('Capacity summary'!$H153:$BG153)&lt;52,IF('Capacity summary'!AS153&lt;&gt;"",IF(LOWER('Capacity summary'!AS153)="x",$BI34*AS34,VALUE('Capacity summary'!AS153)),0),AS34*$BI34),AS34*$BI34),0)</f>
        <v>0</v>
      </c>
      <c r="CW34" s="311">
        <f>IF($BI34&lt;&gt;"",IF('Capacity summary'!$D$14="Yes",IF(COUNTBLANK('Capacity summary'!$H153:$BG153)&lt;52,IF('Capacity summary'!AT153&lt;&gt;"",IF(LOWER('Capacity summary'!AT153)="x",$BI34*AT34,VALUE('Capacity summary'!AT153)),0),AT34*$BI34),AT34*$BI34),0)</f>
        <v>0</v>
      </c>
      <c r="CX34" s="311">
        <f>IF($BI34&lt;&gt;"",IF('Capacity summary'!$D$14="Yes",IF(COUNTBLANK('Capacity summary'!$H153:$BG153)&lt;52,IF('Capacity summary'!AU153&lt;&gt;"",IF(LOWER('Capacity summary'!AU153)="x",$BI34*AU34,VALUE('Capacity summary'!AU153)),0),AU34*$BI34),AU34*$BI34),0)</f>
        <v>0</v>
      </c>
      <c r="CY34" s="311">
        <f>IF($BI34&lt;&gt;"",IF('Capacity summary'!$D$14="Yes",IF(COUNTBLANK('Capacity summary'!$H153:$BG153)&lt;52,IF('Capacity summary'!AV153&lt;&gt;"",IF(LOWER('Capacity summary'!AV153)="x",$BI34*AV34,VALUE('Capacity summary'!AV153)),0),AV34*$BI34),AV34*$BI34),0)</f>
        <v>0</v>
      </c>
      <c r="CZ34" s="311">
        <f>IF($BI34&lt;&gt;"",IF('Capacity summary'!$D$14="Yes",IF(COUNTBLANK('Capacity summary'!$H153:$BG153)&lt;52,IF('Capacity summary'!AW153&lt;&gt;"",IF(LOWER('Capacity summary'!AW153)="x",$BI34*AW34,VALUE('Capacity summary'!AW153)),0),AW34*$BI34),AW34*$BI34),0)</f>
        <v>0</v>
      </c>
      <c r="DA34" s="311">
        <f>IF($BI34&lt;&gt;"",IF('Capacity summary'!$D$14="Yes",IF(COUNTBLANK('Capacity summary'!$H153:$BG153)&lt;52,IF('Capacity summary'!AX153&lt;&gt;"",IF(LOWER('Capacity summary'!AX153)="x",$BI34*AX34,VALUE('Capacity summary'!AX153)),0),AX34*$BI34),AX34*$BI34),0)</f>
        <v>0</v>
      </c>
      <c r="DB34" s="311">
        <f>IF($BI34&lt;&gt;"",IF('Capacity summary'!$D$14="Yes",IF(COUNTBLANK('Capacity summary'!$H153:$BG153)&lt;52,IF('Capacity summary'!AY153&lt;&gt;"",IF(LOWER('Capacity summary'!AY153)="x",$BI34*AY34,VALUE('Capacity summary'!AY153)),0),AY34*$BI34),AY34*$BI34),0)</f>
        <v>0</v>
      </c>
      <c r="DC34" s="311">
        <f>IF($BI34&lt;&gt;"",IF('Capacity summary'!$D$14="Yes",IF(COUNTBLANK('Capacity summary'!$H153:$BG153)&lt;52,IF('Capacity summary'!AZ153&lt;&gt;"",IF(LOWER('Capacity summary'!AZ153)="x",$BI34*AZ34,VALUE('Capacity summary'!AZ153)),0),AZ34*$BI34),AZ34*$BI34),0)</f>
        <v>0</v>
      </c>
      <c r="DD34" s="311">
        <f>IF($BI34&lt;&gt;"",IF('Capacity summary'!$D$14="Yes",IF(COUNTBLANK('Capacity summary'!$H153:$BG153)&lt;52,IF('Capacity summary'!BA153&lt;&gt;"",IF(LOWER('Capacity summary'!BA153)="x",$BI34*BA34,VALUE('Capacity summary'!BA153)),0),BA34*$BI34),BA34*$BI34),0)</f>
        <v>0</v>
      </c>
      <c r="DE34" s="311">
        <f>IF($BI34&lt;&gt;"",IF('Capacity summary'!$D$14="Yes",IF(COUNTBLANK('Capacity summary'!$H153:$BG153)&lt;52,IF('Capacity summary'!BB153&lt;&gt;"",IF(LOWER('Capacity summary'!BB153)="x",$BI34*BB34,VALUE('Capacity summary'!BB153)),0),BB34*$BI34),BB34*$BI34),0)</f>
        <v>0</v>
      </c>
      <c r="DF34" s="311">
        <f>IF($BI34&lt;&gt;"",IF('Capacity summary'!$D$14="Yes",IF(COUNTBLANK('Capacity summary'!$H153:$BG153)&lt;52,IF('Capacity summary'!BC153&lt;&gt;"",IF(LOWER('Capacity summary'!BC153)="x",$BI34*BC34,VALUE('Capacity summary'!BC153)),0),BC34*$BI34),BC34*$BI34),0)</f>
        <v>0</v>
      </c>
      <c r="DG34" s="311">
        <f>IF($BI34&lt;&gt;"",IF('Capacity summary'!$D$14="Yes",IF(COUNTBLANK('Capacity summary'!$H153:$BG153)&lt;52,IF('Capacity summary'!BD153&lt;&gt;"",IF(LOWER('Capacity summary'!BD153)="x",$BI34*BD34,VALUE('Capacity summary'!BD153)),0),BD34*$BI34),BD34*$BI34),0)</f>
        <v>0</v>
      </c>
      <c r="DH34" s="311">
        <f>IF($BI34&lt;&gt;"",IF('Capacity summary'!$D$14="Yes",IF(COUNTBLANK('Capacity summary'!$H153:$BG153)&lt;52,IF('Capacity summary'!BE153&lt;&gt;"",IF(LOWER('Capacity summary'!BE153)="x",$BI34*BE34,VALUE('Capacity summary'!BE153)),0),BE34*$BI34),BE34*$BI34),0)</f>
        <v>0</v>
      </c>
      <c r="DI34" s="311">
        <f>IF($BI34&lt;&gt;"",IF('Capacity summary'!$D$14="Yes",IF(COUNTBLANK('Capacity summary'!$H153:$BG153)&lt;52,IF('Capacity summary'!BF153&lt;&gt;"",IF(LOWER('Capacity summary'!BF153)="x",$BI34*BF34,VALUE('Capacity summary'!BF153)),0),BF34*$BI34),BF34*$BI34),0)</f>
        <v>0</v>
      </c>
      <c r="DJ34" s="311">
        <f>IF($BI34&lt;&gt;"",IF('Capacity summary'!$D$14="Yes",IF(COUNTBLANK('Capacity summary'!$H153:$BG153)&lt;52,IF('Capacity summary'!BG153&lt;&gt;"",IF(LOWER('Capacity summary'!BG153)="x",$BI34*BG34,VALUE('Capacity summary'!BG153)),0),BG34*$BI34),BG34*$BI34),0)</f>
        <v>0</v>
      </c>
      <c r="DK34" s="391">
        <f t="shared" si="2"/>
        <v>0</v>
      </c>
      <c r="DL34" s="136">
        <f t="shared" si="3"/>
        <v>0</v>
      </c>
      <c r="DM34" s="311" t="str">
        <f>Capacity!H46</f>
        <v/>
      </c>
      <c r="DQ34" s="5"/>
    </row>
    <row r="35" spans="1:121" x14ac:dyDescent="0.2">
      <c r="A35" s="67">
        <f>IF(Capacity!L47='Capacity summary'!BI154,1,0)</f>
        <v>1</v>
      </c>
      <c r="B35" s="67">
        <f>IF(Capacity!V47='Capacity summary'!BI54,1,0)</f>
        <v>1</v>
      </c>
      <c r="C35" s="67" t="str">
        <f>ROW(A31)&amp;". "&amp;Capacity!B47</f>
        <v xml:space="preserve">31. </v>
      </c>
      <c r="D35" s="67">
        <f>'Capacity setup'!C42</f>
        <v>0</v>
      </c>
      <c r="E35" s="67">
        <f>'Capacity setup'!D42</f>
        <v>0</v>
      </c>
      <c r="F35" s="67">
        <f>'Capacity setup'!E42</f>
        <v>0</v>
      </c>
      <c r="H35" s="67">
        <f ca="1">IF(LOWER(Capacity!$L47)="x",IF(AND(SUMIF(Capacity_Resource,$D35,'Critical resources (hide)'!U$6:U$105)+SUMIF(Capacity_Resource,$E35,'Critical resources (hide)'!U$6:U$105)+SUMIF(Capacity_Resource,$F35,'Critical resources (hide)'!U$6:U$105)&gt;0,$E$1=2),0,1),0)</f>
        <v>1</v>
      </c>
      <c r="I35" s="67">
        <f ca="1">IF(LOWER(Capacity!$L47)="x",IF(AND(SUMIF(Capacity_Resource,$D35,'Critical resources (hide)'!V$6:V$105)+SUMIF(Capacity_Resource,$E35,'Critical resources (hide)'!V$6:V$105)+SUMIF(Capacity_Resource,$F35,'Critical resources (hide)'!V$6:V$105)&gt;0,$E$1=2),0,1),0)</f>
        <v>1</v>
      </c>
      <c r="J35" s="67">
        <f ca="1">IF(LOWER(Capacity!$L47)="x",IF(AND(SUMIF(Capacity_Resource,$D35,'Critical resources (hide)'!W$6:W$105)+SUMIF(Capacity_Resource,$E35,'Critical resources (hide)'!W$6:W$105)+SUMIF(Capacity_Resource,$F35,'Critical resources (hide)'!W$6:W$105)&gt;0,$E$1=2),0,1),0)</f>
        <v>1</v>
      </c>
      <c r="K35" s="67">
        <f ca="1">IF(LOWER(Capacity!$L47)="x",IF(AND(SUMIF(Capacity_Resource,$D35,'Critical resources (hide)'!X$6:X$105)+SUMIF(Capacity_Resource,$E35,'Critical resources (hide)'!X$6:X$105)+SUMIF(Capacity_Resource,$F35,'Critical resources (hide)'!X$6:X$105)&gt;0,$E$1=2),0,1),0)</f>
        <v>1</v>
      </c>
      <c r="L35" s="67">
        <f ca="1">IF(LOWER(Capacity!$L47)="x",IF(AND(SUMIF(Capacity_Resource,$D35,'Critical resources (hide)'!Y$6:Y$105)+SUMIF(Capacity_Resource,$E35,'Critical resources (hide)'!Y$6:Y$105)+SUMIF(Capacity_Resource,$F35,'Critical resources (hide)'!Y$6:Y$105)&gt;0,$E$1=2),0,1),0)</f>
        <v>1</v>
      </c>
      <c r="M35" s="67">
        <f ca="1">IF(LOWER(Capacity!$L47)="x",IF(AND(SUMIF(Capacity_Resource,$D35,'Critical resources (hide)'!Z$6:Z$105)+SUMIF(Capacity_Resource,$E35,'Critical resources (hide)'!Z$6:Z$105)+SUMIF(Capacity_Resource,$F35,'Critical resources (hide)'!Z$6:Z$105)&gt;0,$E$1=2),0,1),0)</f>
        <v>1</v>
      </c>
      <c r="N35" s="67">
        <f ca="1">IF(LOWER(Capacity!$L47)="x",IF(AND(SUMIF(Capacity_Resource,$D35,'Critical resources (hide)'!AA$6:AA$105)+SUMIF(Capacity_Resource,$E35,'Critical resources (hide)'!AA$6:AA$105)+SUMIF(Capacity_Resource,$F35,'Critical resources (hide)'!AA$6:AA$105)&gt;0,$E$1=2),0,1),0)</f>
        <v>1</v>
      </c>
      <c r="O35" s="67">
        <f ca="1">IF(LOWER(Capacity!$L47)="x",IF(AND(SUMIF(Capacity_Resource,$D35,'Critical resources (hide)'!AB$6:AB$105)+SUMIF(Capacity_Resource,$E35,'Critical resources (hide)'!AB$6:AB$105)+SUMIF(Capacity_Resource,$F35,'Critical resources (hide)'!AB$6:AB$105)&gt;0,$E$1=2),0,1),0)</f>
        <v>1</v>
      </c>
      <c r="P35" s="67">
        <f ca="1">IF(LOWER(Capacity!$L47)="x",IF(AND(SUMIF(Capacity_Resource,$D35,'Critical resources (hide)'!AC$6:AC$105)+SUMIF(Capacity_Resource,$E35,'Critical resources (hide)'!AC$6:AC$105)+SUMIF(Capacity_Resource,$F35,'Critical resources (hide)'!AC$6:AC$105)&gt;0,$E$1=2),0,1),0)</f>
        <v>1</v>
      </c>
      <c r="Q35" s="67">
        <f ca="1">IF(LOWER(Capacity!$L47)="x",IF(AND(SUMIF(Capacity_Resource,$D35,'Critical resources (hide)'!AD$6:AD$105)+SUMIF(Capacity_Resource,$E35,'Critical resources (hide)'!AD$6:AD$105)+SUMIF(Capacity_Resource,$F35,'Critical resources (hide)'!AD$6:AD$105)&gt;0,$E$1=2),0,1),0)</f>
        <v>1</v>
      </c>
      <c r="R35" s="67">
        <f ca="1">IF(LOWER(Capacity!$L47)="x",IF(AND(SUMIF(Capacity_Resource,$D35,'Critical resources (hide)'!AE$6:AE$105)+SUMIF(Capacity_Resource,$E35,'Critical resources (hide)'!AE$6:AE$105)+SUMIF(Capacity_Resource,$F35,'Critical resources (hide)'!AE$6:AE$105)&gt;0,$E$1=2),0,1),0)</f>
        <v>1</v>
      </c>
      <c r="S35" s="67">
        <f ca="1">IF(LOWER(Capacity!$L47)="x",IF(AND(SUMIF(Capacity_Resource,$D35,'Critical resources (hide)'!AF$6:AF$105)+SUMIF(Capacity_Resource,$E35,'Critical resources (hide)'!AF$6:AF$105)+SUMIF(Capacity_Resource,$F35,'Critical resources (hide)'!AF$6:AF$105)&gt;0,$E$1=2),0,1),0)</f>
        <v>1</v>
      </c>
      <c r="T35" s="67">
        <f ca="1">IF(LOWER(Capacity!$L47)="x",IF(AND(SUMIF(Capacity_Resource,$D35,'Critical resources (hide)'!AG$6:AG$105)+SUMIF(Capacity_Resource,$E35,'Critical resources (hide)'!AG$6:AG$105)+SUMIF(Capacity_Resource,$F35,'Critical resources (hide)'!AG$6:AG$105)&gt;0,$E$1=2),0,1),0)</f>
        <v>1</v>
      </c>
      <c r="U35" s="67">
        <f ca="1">IF(LOWER(Capacity!$L47)="x",IF(AND(SUMIF(Capacity_Resource,$D35,'Critical resources (hide)'!AH$6:AH$105)+SUMIF(Capacity_Resource,$E35,'Critical resources (hide)'!AH$6:AH$105)+SUMIF(Capacity_Resource,$F35,'Critical resources (hide)'!AH$6:AH$105)&gt;0,$E$1=2),0,1),0)</f>
        <v>1</v>
      </c>
      <c r="V35" s="67">
        <f ca="1">IF(LOWER(Capacity!$L47)="x",IF(AND(SUMIF(Capacity_Resource,$D35,'Critical resources (hide)'!AI$6:AI$105)+SUMIF(Capacity_Resource,$E35,'Critical resources (hide)'!AI$6:AI$105)+SUMIF(Capacity_Resource,$F35,'Critical resources (hide)'!AI$6:AI$105)&gt;0,$E$1=2),0,1),0)</f>
        <v>1</v>
      </c>
      <c r="W35" s="67">
        <f ca="1">IF(LOWER(Capacity!$L47)="x",IF(AND(SUMIF(Capacity_Resource,$D35,'Critical resources (hide)'!AJ$6:AJ$105)+SUMIF(Capacity_Resource,$E35,'Critical resources (hide)'!AJ$6:AJ$105)+SUMIF(Capacity_Resource,$F35,'Critical resources (hide)'!AJ$6:AJ$105)&gt;0,$E$1=2),0,1),0)</f>
        <v>1</v>
      </c>
      <c r="X35" s="67">
        <f ca="1">IF(LOWER(Capacity!$L47)="x",IF(AND(SUMIF(Capacity_Resource,$D35,'Critical resources (hide)'!AK$6:AK$105)+SUMIF(Capacity_Resource,$E35,'Critical resources (hide)'!AK$6:AK$105)+SUMIF(Capacity_Resource,$F35,'Critical resources (hide)'!AK$6:AK$105)&gt;0,$E$1=2),0,1),0)</f>
        <v>1</v>
      </c>
      <c r="Y35" s="67">
        <f ca="1">IF(LOWER(Capacity!$L47)="x",IF(AND(SUMIF(Capacity_Resource,$D35,'Critical resources (hide)'!AL$6:AL$105)+SUMIF(Capacity_Resource,$E35,'Critical resources (hide)'!AL$6:AL$105)+SUMIF(Capacity_Resource,$F35,'Critical resources (hide)'!AL$6:AL$105)&gt;0,$E$1=2),0,1),0)</f>
        <v>1</v>
      </c>
      <c r="Z35" s="67">
        <f ca="1">IF(LOWER(Capacity!$L47)="x",IF(AND(SUMIF(Capacity_Resource,$D35,'Critical resources (hide)'!AM$6:AM$105)+SUMIF(Capacity_Resource,$E35,'Critical resources (hide)'!AM$6:AM$105)+SUMIF(Capacity_Resource,$F35,'Critical resources (hide)'!AM$6:AM$105)&gt;0,$E$1=2),0,1),0)</f>
        <v>1</v>
      </c>
      <c r="AA35" s="67">
        <f ca="1">IF(LOWER(Capacity!$L47)="x",IF(AND(SUMIF(Capacity_Resource,$D35,'Critical resources (hide)'!AN$6:AN$105)+SUMIF(Capacity_Resource,$E35,'Critical resources (hide)'!AN$6:AN$105)+SUMIF(Capacity_Resource,$F35,'Critical resources (hide)'!AN$6:AN$105)&gt;0,$E$1=2),0,1),0)</f>
        <v>1</v>
      </c>
      <c r="AB35" s="67">
        <f ca="1">IF(LOWER(Capacity!$L47)="x",IF(AND(SUMIF(Capacity_Resource,$D35,'Critical resources (hide)'!AO$6:AO$105)+SUMIF(Capacity_Resource,$E35,'Critical resources (hide)'!AO$6:AO$105)+SUMIF(Capacity_Resource,$F35,'Critical resources (hide)'!AO$6:AO$105)&gt;0,$E$1=2),0,1),0)</f>
        <v>1</v>
      </c>
      <c r="AC35" s="67">
        <f ca="1">IF(LOWER(Capacity!$L47)="x",IF(AND(SUMIF(Capacity_Resource,$D35,'Critical resources (hide)'!AP$6:AP$105)+SUMIF(Capacity_Resource,$E35,'Critical resources (hide)'!AP$6:AP$105)+SUMIF(Capacity_Resource,$F35,'Critical resources (hide)'!AP$6:AP$105)&gt;0,$E$1=2),0,1),0)</f>
        <v>1</v>
      </c>
      <c r="AD35" s="67">
        <f ca="1">IF(LOWER(Capacity!$L47)="x",IF(AND(SUMIF(Capacity_Resource,$D35,'Critical resources (hide)'!AQ$6:AQ$105)+SUMIF(Capacity_Resource,$E35,'Critical resources (hide)'!AQ$6:AQ$105)+SUMIF(Capacity_Resource,$F35,'Critical resources (hide)'!AQ$6:AQ$105)&gt;0,$E$1=2),0,1),0)</f>
        <v>1</v>
      </c>
      <c r="AE35" s="67">
        <f ca="1">IF(LOWER(Capacity!$L47)="x",IF(AND(SUMIF(Capacity_Resource,$D35,'Critical resources (hide)'!AR$6:AR$105)+SUMIF(Capacity_Resource,$E35,'Critical resources (hide)'!AR$6:AR$105)+SUMIF(Capacity_Resource,$F35,'Critical resources (hide)'!AR$6:AR$105)&gt;0,$E$1=2),0,1),0)</f>
        <v>1</v>
      </c>
      <c r="AF35" s="67">
        <f ca="1">IF(LOWER(Capacity!$L47)="x",IF(AND(SUMIF(Capacity_Resource,$D35,'Critical resources (hide)'!AS$6:AS$105)+SUMIF(Capacity_Resource,$E35,'Critical resources (hide)'!AS$6:AS$105)+SUMIF(Capacity_Resource,$F35,'Critical resources (hide)'!AS$6:AS$105)&gt;0,$E$1=2),0,1),0)</f>
        <v>1</v>
      </c>
      <c r="AG35" s="67">
        <f ca="1">IF(LOWER(Capacity!$L47)="x",IF(AND(SUMIF(Capacity_Resource,$D35,'Critical resources (hide)'!AT$6:AT$105)+SUMIF(Capacity_Resource,$E35,'Critical resources (hide)'!AT$6:AT$105)+SUMIF(Capacity_Resource,$F35,'Critical resources (hide)'!AT$6:AT$105)&gt;0,$E$1=2),0,1),0)</f>
        <v>1</v>
      </c>
      <c r="AH35" s="67">
        <f ca="1">IF(LOWER(Capacity!$L47)="x",IF(AND(SUMIF(Capacity_Resource,$D35,'Critical resources (hide)'!AU$6:AU$105)+SUMIF(Capacity_Resource,$E35,'Critical resources (hide)'!AU$6:AU$105)+SUMIF(Capacity_Resource,$F35,'Critical resources (hide)'!AU$6:AU$105)&gt;0,$E$1=2),0,1),0)</f>
        <v>1</v>
      </c>
      <c r="AI35" s="67">
        <f ca="1">IF(LOWER(Capacity!$L47)="x",IF(AND(SUMIF(Capacity_Resource,$D35,'Critical resources (hide)'!AV$6:AV$105)+SUMIF(Capacity_Resource,$E35,'Critical resources (hide)'!AV$6:AV$105)+SUMIF(Capacity_Resource,$F35,'Critical resources (hide)'!AV$6:AV$105)&gt;0,$E$1=2),0,1),0)</f>
        <v>1</v>
      </c>
      <c r="AJ35" s="67">
        <f ca="1">IF(LOWER(Capacity!$L47)="x",IF(AND(SUMIF(Capacity_Resource,$D35,'Critical resources (hide)'!AW$6:AW$105)+SUMIF(Capacity_Resource,$E35,'Critical resources (hide)'!AW$6:AW$105)+SUMIF(Capacity_Resource,$F35,'Critical resources (hide)'!AW$6:AW$105)&gt;0,$E$1=2),0,1),0)</f>
        <v>1</v>
      </c>
      <c r="AK35" s="67">
        <f ca="1">IF(LOWER(Capacity!$L47)="x",IF(AND(SUMIF(Capacity_Resource,$D35,'Critical resources (hide)'!AX$6:AX$105)+SUMIF(Capacity_Resource,$E35,'Critical resources (hide)'!AX$6:AX$105)+SUMIF(Capacity_Resource,$F35,'Critical resources (hide)'!AX$6:AX$105)&gt;0,$E$1=2),0,1),0)</f>
        <v>1</v>
      </c>
      <c r="AL35" s="67">
        <f ca="1">IF(LOWER(Capacity!$L47)="x",IF(AND(SUMIF(Capacity_Resource,$D35,'Critical resources (hide)'!AY$6:AY$105)+SUMIF(Capacity_Resource,$E35,'Critical resources (hide)'!AY$6:AY$105)+SUMIF(Capacity_Resource,$F35,'Critical resources (hide)'!AY$6:AY$105)&gt;0,$E$1=2),0,1),0)</f>
        <v>1</v>
      </c>
      <c r="AM35" s="67">
        <f ca="1">IF(LOWER(Capacity!$L47)="x",IF(AND(SUMIF(Capacity_Resource,$D35,'Critical resources (hide)'!AZ$6:AZ$105)+SUMIF(Capacity_Resource,$E35,'Critical resources (hide)'!AZ$6:AZ$105)+SUMIF(Capacity_Resource,$F35,'Critical resources (hide)'!AZ$6:AZ$105)&gt;0,$E$1=2),0,1),0)</f>
        <v>1</v>
      </c>
      <c r="AN35" s="67">
        <f ca="1">IF(LOWER(Capacity!$L47)="x",IF(AND(SUMIF(Capacity_Resource,$D35,'Critical resources (hide)'!BA$6:BA$105)+SUMIF(Capacity_Resource,$E35,'Critical resources (hide)'!BA$6:BA$105)+SUMIF(Capacity_Resource,$F35,'Critical resources (hide)'!BA$6:BA$105)&gt;0,$E$1=2),0,1),0)</f>
        <v>1</v>
      </c>
      <c r="AO35" s="67">
        <f ca="1">IF(LOWER(Capacity!$L47)="x",IF(AND(SUMIF(Capacity_Resource,$D35,'Critical resources (hide)'!BB$6:BB$105)+SUMIF(Capacity_Resource,$E35,'Critical resources (hide)'!BB$6:BB$105)+SUMIF(Capacity_Resource,$F35,'Critical resources (hide)'!BB$6:BB$105)&gt;0,$E$1=2),0,1),0)</f>
        <v>1</v>
      </c>
      <c r="AP35" s="67">
        <f ca="1">IF(LOWER(Capacity!$L47)="x",IF(AND(SUMIF(Capacity_Resource,$D35,'Critical resources (hide)'!BC$6:BC$105)+SUMIF(Capacity_Resource,$E35,'Critical resources (hide)'!BC$6:BC$105)+SUMIF(Capacity_Resource,$F35,'Critical resources (hide)'!BC$6:BC$105)&gt;0,$E$1=2),0,1),0)</f>
        <v>1</v>
      </c>
      <c r="AQ35" s="67">
        <f ca="1">IF(LOWER(Capacity!$L47)="x",IF(AND(SUMIF(Capacity_Resource,$D35,'Critical resources (hide)'!BD$6:BD$105)+SUMIF(Capacity_Resource,$E35,'Critical resources (hide)'!BD$6:BD$105)+SUMIF(Capacity_Resource,$F35,'Critical resources (hide)'!BD$6:BD$105)&gt;0,$E$1=2),0,1),0)</f>
        <v>1</v>
      </c>
      <c r="AR35" s="67">
        <f ca="1">IF(LOWER(Capacity!$L47)="x",IF(AND(SUMIF(Capacity_Resource,$D35,'Critical resources (hide)'!BE$6:BE$105)+SUMIF(Capacity_Resource,$E35,'Critical resources (hide)'!BE$6:BE$105)+SUMIF(Capacity_Resource,$F35,'Critical resources (hide)'!BE$6:BE$105)&gt;0,$E$1=2),0,1),0)</f>
        <v>1</v>
      </c>
      <c r="AS35" s="67">
        <f ca="1">IF(LOWER(Capacity!$L47)="x",IF(AND(SUMIF(Capacity_Resource,$D35,'Critical resources (hide)'!BF$6:BF$105)+SUMIF(Capacity_Resource,$E35,'Critical resources (hide)'!BF$6:BF$105)+SUMIF(Capacity_Resource,$F35,'Critical resources (hide)'!BF$6:BF$105)&gt;0,$E$1=2),0,1),0)</f>
        <v>1</v>
      </c>
      <c r="AT35" s="67">
        <f ca="1">IF(LOWER(Capacity!$L47)="x",IF(AND(SUMIF(Capacity_Resource,$D35,'Critical resources (hide)'!BG$6:BG$105)+SUMIF(Capacity_Resource,$E35,'Critical resources (hide)'!BG$6:BG$105)+SUMIF(Capacity_Resource,$F35,'Critical resources (hide)'!BG$6:BG$105)&gt;0,$E$1=2),0,1),0)</f>
        <v>1</v>
      </c>
      <c r="AU35" s="67">
        <f ca="1">IF(LOWER(Capacity!$L47)="x",IF(AND(SUMIF(Capacity_Resource,$D35,'Critical resources (hide)'!BH$6:BH$105)+SUMIF(Capacity_Resource,$E35,'Critical resources (hide)'!BH$6:BH$105)+SUMIF(Capacity_Resource,$F35,'Critical resources (hide)'!BH$6:BH$105)&gt;0,$E$1=2),0,1),0)</f>
        <v>1</v>
      </c>
      <c r="AV35" s="67">
        <f ca="1">IF(LOWER(Capacity!$L47)="x",IF(AND(SUMIF(Capacity_Resource,$D35,'Critical resources (hide)'!BI$6:BI$105)+SUMIF(Capacity_Resource,$E35,'Critical resources (hide)'!BI$6:BI$105)+SUMIF(Capacity_Resource,$F35,'Critical resources (hide)'!BI$6:BI$105)&gt;0,$E$1=2),0,1),0)</f>
        <v>1</v>
      </c>
      <c r="AW35" s="67">
        <f ca="1">IF(LOWER(Capacity!$L47)="x",IF(AND(SUMIF(Capacity_Resource,$D35,'Critical resources (hide)'!BJ$6:BJ$105)+SUMIF(Capacity_Resource,$E35,'Critical resources (hide)'!BJ$6:BJ$105)+SUMIF(Capacity_Resource,$F35,'Critical resources (hide)'!BJ$6:BJ$105)&gt;0,$E$1=2),0,1),0)</f>
        <v>1</v>
      </c>
      <c r="AX35" s="67">
        <f ca="1">IF(LOWER(Capacity!$L47)="x",IF(AND(SUMIF(Capacity_Resource,$D35,'Critical resources (hide)'!BK$6:BK$105)+SUMIF(Capacity_Resource,$E35,'Critical resources (hide)'!BK$6:BK$105)+SUMIF(Capacity_Resource,$F35,'Critical resources (hide)'!BK$6:BK$105)&gt;0,$E$1=2),0,1),0)</f>
        <v>1</v>
      </c>
      <c r="AY35" s="67">
        <f ca="1">IF(LOWER(Capacity!$L47)="x",IF(AND(SUMIF(Capacity_Resource,$D35,'Critical resources (hide)'!BL$6:BL$105)+SUMIF(Capacity_Resource,$E35,'Critical resources (hide)'!BL$6:BL$105)+SUMIF(Capacity_Resource,$F35,'Critical resources (hide)'!BL$6:BL$105)&gt;0,$E$1=2),0,1),0)</f>
        <v>1</v>
      </c>
      <c r="AZ35" s="67">
        <f ca="1">IF(LOWER(Capacity!$L47)="x",IF(AND(SUMIF(Capacity_Resource,$D35,'Critical resources (hide)'!BM$6:BM$105)+SUMIF(Capacity_Resource,$E35,'Critical resources (hide)'!BM$6:BM$105)+SUMIF(Capacity_Resource,$F35,'Critical resources (hide)'!BM$6:BM$105)&gt;0,$E$1=2),0,1),0)</f>
        <v>1</v>
      </c>
      <c r="BA35" s="67">
        <f ca="1">IF(LOWER(Capacity!$L47)="x",IF(AND(SUMIF(Capacity_Resource,$D35,'Critical resources (hide)'!BN$6:BN$105)+SUMIF(Capacity_Resource,$E35,'Critical resources (hide)'!BN$6:BN$105)+SUMIF(Capacity_Resource,$F35,'Critical resources (hide)'!BN$6:BN$105)&gt;0,$E$1=2),0,1),0)</f>
        <v>1</v>
      </c>
      <c r="BB35" s="67">
        <f ca="1">IF(LOWER(Capacity!$L47)="x",IF(AND(SUMIF(Capacity_Resource,$D35,'Critical resources (hide)'!BO$6:BO$105)+SUMIF(Capacity_Resource,$E35,'Critical resources (hide)'!BO$6:BO$105)+SUMIF(Capacity_Resource,$F35,'Critical resources (hide)'!BO$6:BO$105)&gt;0,$E$1=2),0,1),0)</f>
        <v>1</v>
      </c>
      <c r="BC35" s="67">
        <f ca="1">IF(LOWER(Capacity!$L47)="x",IF(AND(SUMIF(Capacity_Resource,$D35,'Critical resources (hide)'!BP$6:BP$105)+SUMIF(Capacity_Resource,$E35,'Critical resources (hide)'!BP$6:BP$105)+SUMIF(Capacity_Resource,$F35,'Critical resources (hide)'!BP$6:BP$105)&gt;0,$E$1=2),0,1),0)</f>
        <v>1</v>
      </c>
      <c r="BD35" s="67">
        <f ca="1">IF(LOWER(Capacity!$L47)="x",IF(AND(SUMIF(Capacity_Resource,$D35,'Critical resources (hide)'!BQ$6:BQ$105)+SUMIF(Capacity_Resource,$E35,'Critical resources (hide)'!BQ$6:BQ$105)+SUMIF(Capacity_Resource,$F35,'Critical resources (hide)'!BQ$6:BQ$105)&gt;0,$E$1=2),0,1),0)</f>
        <v>1</v>
      </c>
      <c r="BE35" s="67">
        <f ca="1">IF(LOWER(Capacity!$L47)="x",IF(AND(SUMIF(Capacity_Resource,$D35,'Critical resources (hide)'!BR$6:BR$105)+SUMIF(Capacity_Resource,$E35,'Critical resources (hide)'!BR$6:BR$105)+SUMIF(Capacity_Resource,$F35,'Critical resources (hide)'!BR$6:BR$105)&gt;0,$E$1=2),0,1),0)</f>
        <v>1</v>
      </c>
      <c r="BF35" s="67">
        <f ca="1">IF(LOWER(Capacity!$L47)="x",IF(AND(SUMIF(Capacity_Resource,$D35,'Critical resources (hide)'!BS$6:BS$105)+SUMIF(Capacity_Resource,$E35,'Critical resources (hide)'!BS$6:BS$105)+SUMIF(Capacity_Resource,$F35,'Critical resources (hide)'!BS$6:BS$105)&gt;0,$E$1=2),0,1),0)</f>
        <v>1</v>
      </c>
      <c r="BG35" s="67">
        <f ca="1">IF(LOWER(Capacity!$L47)="x",IF(AND(SUMIF(Capacity_Resource,$D35,'Critical resources (hide)'!BT$6:BT$105)+SUMIF(Capacity_Resource,$E35,'Critical resources (hide)'!BT$6:BT$105)+SUMIF(Capacity_Resource,$F35,'Critical resources (hide)'!BT$6:BT$105)&gt;0,$E$1=2),0,1),0)</f>
        <v>1</v>
      </c>
      <c r="BH35" s="67">
        <f>IF(ROW(C31)&lt;=Capacity!$A$16,IF('Capacity summary'!$D$14="No",SUM(H35:BG35),'Capacity summary'!$E154),0)</f>
        <v>0</v>
      </c>
      <c r="BI35" s="5" t="str">
        <f>IF(BH35&gt;0,IF(BH35&lt;Capacity!E47,Capacity!F47,Capacity!H47/'Capacity calculation (hide)'!BH35),"")</f>
        <v/>
      </c>
      <c r="BK35" s="311">
        <f>IF($BI35&lt;&gt;"",IF('Capacity summary'!$D$14="Yes",IF(COUNTBLANK('Capacity summary'!$H154:$BG154)&lt;52,IF('Capacity summary'!H154&lt;&gt;"",IF(LOWER('Capacity summary'!H154)="x",$BI35*H35,VALUE('Capacity summary'!H154)),0),H35*$BI35),H35*$BI35),0)</f>
        <v>0</v>
      </c>
      <c r="BL35" s="311">
        <f>IF($BI35&lt;&gt;"",IF('Capacity summary'!$D$14="Yes",IF(COUNTBLANK('Capacity summary'!$H154:$BG154)&lt;52,IF('Capacity summary'!I154&lt;&gt;"",IF(LOWER('Capacity summary'!I154)="x",$BI35*I35,VALUE('Capacity summary'!I154)),0),I35*$BI35),I35*$BI35),0)</f>
        <v>0</v>
      </c>
      <c r="BM35" s="311">
        <f>IF($BI35&lt;&gt;"",IF('Capacity summary'!$D$14="Yes",IF(COUNTBLANK('Capacity summary'!$H154:$BG154)&lt;52,IF('Capacity summary'!J154&lt;&gt;"",IF(LOWER('Capacity summary'!J154)="x",$BI35*J35,VALUE('Capacity summary'!J154)),0),J35*$BI35),J35*$BI35),0)</f>
        <v>0</v>
      </c>
      <c r="BN35" s="311">
        <f>IF($BI35&lt;&gt;"",IF('Capacity summary'!$D$14="Yes",IF(COUNTBLANK('Capacity summary'!$H154:$BG154)&lt;52,IF('Capacity summary'!K154&lt;&gt;"",IF(LOWER('Capacity summary'!K154)="x",$BI35*K35,VALUE('Capacity summary'!K154)),0),K35*$BI35),K35*$BI35),0)</f>
        <v>0</v>
      </c>
      <c r="BO35" s="311">
        <f>IF($BI35&lt;&gt;"",IF('Capacity summary'!$D$14="Yes",IF(COUNTBLANK('Capacity summary'!$H154:$BG154)&lt;52,IF('Capacity summary'!L154&lt;&gt;"",IF(LOWER('Capacity summary'!L154)="x",$BI35*L35,VALUE('Capacity summary'!L154)),0),L35*$BI35),L35*$BI35),0)</f>
        <v>0</v>
      </c>
      <c r="BP35" s="311">
        <f>IF($BI35&lt;&gt;"",IF('Capacity summary'!$D$14="Yes",IF(COUNTBLANK('Capacity summary'!$H154:$BG154)&lt;52,IF('Capacity summary'!M154&lt;&gt;"",IF(LOWER('Capacity summary'!M154)="x",$BI35*M35,VALUE('Capacity summary'!M154)),0),M35*$BI35),M35*$BI35),0)</f>
        <v>0</v>
      </c>
      <c r="BQ35" s="311">
        <f>IF($BI35&lt;&gt;"",IF('Capacity summary'!$D$14="Yes",IF(COUNTBLANK('Capacity summary'!$H154:$BG154)&lt;52,IF('Capacity summary'!N154&lt;&gt;"",IF(LOWER('Capacity summary'!N154)="x",$BI35*N35,VALUE('Capacity summary'!N154)),0),N35*$BI35),N35*$BI35),0)</f>
        <v>0</v>
      </c>
      <c r="BR35" s="311">
        <f>IF($BI35&lt;&gt;"",IF('Capacity summary'!$D$14="Yes",IF(COUNTBLANK('Capacity summary'!$H154:$BG154)&lt;52,IF('Capacity summary'!O154&lt;&gt;"",IF(LOWER('Capacity summary'!O154)="x",$BI35*O35,VALUE('Capacity summary'!O154)),0),O35*$BI35),O35*$BI35),0)</f>
        <v>0</v>
      </c>
      <c r="BS35" s="311">
        <f>IF($BI35&lt;&gt;"",IF('Capacity summary'!$D$14="Yes",IF(COUNTBLANK('Capacity summary'!$H154:$BG154)&lt;52,IF('Capacity summary'!P154&lt;&gt;"",IF(LOWER('Capacity summary'!P154)="x",$BI35*P35,VALUE('Capacity summary'!P154)),0),P35*$BI35),P35*$BI35),0)</f>
        <v>0</v>
      </c>
      <c r="BT35" s="311">
        <f>IF($BI35&lt;&gt;"",IF('Capacity summary'!$D$14="Yes",IF(COUNTBLANK('Capacity summary'!$H154:$BG154)&lt;52,IF('Capacity summary'!Q154&lt;&gt;"",IF(LOWER('Capacity summary'!Q154)="x",$BI35*Q35,VALUE('Capacity summary'!Q154)),0),Q35*$BI35),Q35*$BI35),0)</f>
        <v>0</v>
      </c>
      <c r="BU35" s="311">
        <f>IF($BI35&lt;&gt;"",IF('Capacity summary'!$D$14="Yes",IF(COUNTBLANK('Capacity summary'!$H154:$BG154)&lt;52,IF('Capacity summary'!R154&lt;&gt;"",IF(LOWER('Capacity summary'!R154)="x",$BI35*R35,VALUE('Capacity summary'!R154)),0),R35*$BI35),R35*$BI35),0)</f>
        <v>0</v>
      </c>
      <c r="BV35" s="311">
        <f>IF($BI35&lt;&gt;"",IF('Capacity summary'!$D$14="Yes",IF(COUNTBLANK('Capacity summary'!$H154:$BG154)&lt;52,IF('Capacity summary'!S154&lt;&gt;"",IF(LOWER('Capacity summary'!S154)="x",$BI35*S35,VALUE('Capacity summary'!S154)),0),S35*$BI35),S35*$BI35),0)</f>
        <v>0</v>
      </c>
      <c r="BW35" s="311">
        <f>IF($BI35&lt;&gt;"",IF('Capacity summary'!$D$14="Yes",IF(COUNTBLANK('Capacity summary'!$H154:$BG154)&lt;52,IF('Capacity summary'!T154&lt;&gt;"",IF(LOWER('Capacity summary'!T154)="x",$BI35*T35,VALUE('Capacity summary'!T154)),0),T35*$BI35),T35*$BI35),0)</f>
        <v>0</v>
      </c>
      <c r="BX35" s="311">
        <f>IF($BI35&lt;&gt;"",IF('Capacity summary'!$D$14="Yes",IF(COUNTBLANK('Capacity summary'!$H154:$BG154)&lt;52,IF('Capacity summary'!U154&lt;&gt;"",IF(LOWER('Capacity summary'!U154)="x",$BI35*U35,VALUE('Capacity summary'!U154)),0),U35*$BI35),U35*$BI35),0)</f>
        <v>0</v>
      </c>
      <c r="BY35" s="311">
        <f>IF($BI35&lt;&gt;"",IF('Capacity summary'!$D$14="Yes",IF(COUNTBLANK('Capacity summary'!$H154:$BG154)&lt;52,IF('Capacity summary'!V154&lt;&gt;"",IF(LOWER('Capacity summary'!V154)="x",$BI35*V35,VALUE('Capacity summary'!V154)),0),V35*$BI35),V35*$BI35),0)</f>
        <v>0</v>
      </c>
      <c r="BZ35" s="311">
        <f>IF($BI35&lt;&gt;"",IF('Capacity summary'!$D$14="Yes",IF(COUNTBLANK('Capacity summary'!$H154:$BG154)&lt;52,IF('Capacity summary'!W154&lt;&gt;"",IF(LOWER('Capacity summary'!W154)="x",$BI35*W35,VALUE('Capacity summary'!W154)),0),W35*$BI35),W35*$BI35),0)</f>
        <v>0</v>
      </c>
      <c r="CA35" s="311">
        <f>IF($BI35&lt;&gt;"",IF('Capacity summary'!$D$14="Yes",IF(COUNTBLANK('Capacity summary'!$H154:$BG154)&lt;52,IF('Capacity summary'!X154&lt;&gt;"",IF(LOWER('Capacity summary'!X154)="x",$BI35*X35,VALUE('Capacity summary'!X154)),0),X35*$BI35),X35*$BI35),0)</f>
        <v>0</v>
      </c>
      <c r="CB35" s="311">
        <f>IF($BI35&lt;&gt;"",IF('Capacity summary'!$D$14="Yes",IF(COUNTBLANK('Capacity summary'!$H154:$BG154)&lt;52,IF('Capacity summary'!Y154&lt;&gt;"",IF(LOWER('Capacity summary'!Y154)="x",$BI35*Y35,VALUE('Capacity summary'!Y154)),0),Y35*$BI35),Y35*$BI35),0)</f>
        <v>0</v>
      </c>
      <c r="CC35" s="311">
        <f>IF($BI35&lt;&gt;"",IF('Capacity summary'!$D$14="Yes",IF(COUNTBLANK('Capacity summary'!$H154:$BG154)&lt;52,IF('Capacity summary'!Z154&lt;&gt;"",IF(LOWER('Capacity summary'!Z154)="x",$BI35*Z35,VALUE('Capacity summary'!Z154)),0),Z35*$BI35),Z35*$BI35),0)</f>
        <v>0</v>
      </c>
      <c r="CD35" s="311">
        <f>IF($BI35&lt;&gt;"",IF('Capacity summary'!$D$14="Yes",IF(COUNTBLANK('Capacity summary'!$H154:$BG154)&lt;52,IF('Capacity summary'!AA154&lt;&gt;"",IF(LOWER('Capacity summary'!AA154)="x",$BI35*AA35,VALUE('Capacity summary'!AA154)),0),AA35*$BI35),AA35*$BI35),0)</f>
        <v>0</v>
      </c>
      <c r="CE35" s="311">
        <f>IF($BI35&lt;&gt;"",IF('Capacity summary'!$D$14="Yes",IF(COUNTBLANK('Capacity summary'!$H154:$BG154)&lt;52,IF('Capacity summary'!AB154&lt;&gt;"",IF(LOWER('Capacity summary'!AB154)="x",$BI35*AB35,VALUE('Capacity summary'!AB154)),0),AB35*$BI35),AB35*$BI35),0)</f>
        <v>0</v>
      </c>
      <c r="CF35" s="311">
        <f>IF($BI35&lt;&gt;"",IF('Capacity summary'!$D$14="Yes",IF(COUNTBLANK('Capacity summary'!$H154:$BG154)&lt;52,IF('Capacity summary'!AC154&lt;&gt;"",IF(LOWER('Capacity summary'!AC154)="x",$BI35*AC35,VALUE('Capacity summary'!AC154)),0),AC35*$BI35),AC35*$BI35),0)</f>
        <v>0</v>
      </c>
      <c r="CG35" s="311">
        <f>IF($BI35&lt;&gt;"",IF('Capacity summary'!$D$14="Yes",IF(COUNTBLANK('Capacity summary'!$H154:$BG154)&lt;52,IF('Capacity summary'!AD154&lt;&gt;"",IF(LOWER('Capacity summary'!AD154)="x",$BI35*AD35,VALUE('Capacity summary'!AD154)),0),AD35*$BI35),AD35*$BI35),0)</f>
        <v>0</v>
      </c>
      <c r="CH35" s="311">
        <f>IF($BI35&lt;&gt;"",IF('Capacity summary'!$D$14="Yes",IF(COUNTBLANK('Capacity summary'!$H154:$BG154)&lt;52,IF('Capacity summary'!AE154&lt;&gt;"",IF(LOWER('Capacity summary'!AE154)="x",$BI35*AE35,VALUE('Capacity summary'!AE154)),0),AE35*$BI35),AE35*$BI35),0)</f>
        <v>0</v>
      </c>
      <c r="CI35" s="311">
        <f>IF($BI35&lt;&gt;"",IF('Capacity summary'!$D$14="Yes",IF(COUNTBLANK('Capacity summary'!$H154:$BG154)&lt;52,IF('Capacity summary'!AF154&lt;&gt;"",IF(LOWER('Capacity summary'!AF154)="x",$BI35*AF35,VALUE('Capacity summary'!AF154)),0),AF35*$BI35),AF35*$BI35),0)</f>
        <v>0</v>
      </c>
      <c r="CJ35" s="311">
        <f>IF($BI35&lt;&gt;"",IF('Capacity summary'!$D$14="Yes",IF(COUNTBLANK('Capacity summary'!$H154:$BG154)&lt;52,IF('Capacity summary'!AG154&lt;&gt;"",IF(LOWER('Capacity summary'!AG154)="x",$BI35*AG35,VALUE('Capacity summary'!AG154)),0),AG35*$BI35),AG35*$BI35),0)</f>
        <v>0</v>
      </c>
      <c r="CK35" s="311">
        <f>IF($BI35&lt;&gt;"",IF('Capacity summary'!$D$14="Yes",IF(COUNTBLANK('Capacity summary'!$H154:$BG154)&lt;52,IF('Capacity summary'!AH154&lt;&gt;"",IF(LOWER('Capacity summary'!AH154)="x",$BI35*AH35,VALUE('Capacity summary'!AH154)),0),AH35*$BI35),AH35*$BI35),0)</f>
        <v>0</v>
      </c>
      <c r="CL35" s="311">
        <f>IF($BI35&lt;&gt;"",IF('Capacity summary'!$D$14="Yes",IF(COUNTBLANK('Capacity summary'!$H154:$BG154)&lt;52,IF('Capacity summary'!AI154&lt;&gt;"",IF(LOWER('Capacity summary'!AI154)="x",$BI35*AI35,VALUE('Capacity summary'!AI154)),0),AI35*$BI35),AI35*$BI35),0)</f>
        <v>0</v>
      </c>
      <c r="CM35" s="311">
        <f>IF($BI35&lt;&gt;"",IF('Capacity summary'!$D$14="Yes",IF(COUNTBLANK('Capacity summary'!$H154:$BG154)&lt;52,IF('Capacity summary'!AJ154&lt;&gt;"",IF(LOWER('Capacity summary'!AJ154)="x",$BI35*AJ35,VALUE('Capacity summary'!AJ154)),0),AJ35*$BI35),AJ35*$BI35),0)</f>
        <v>0</v>
      </c>
      <c r="CN35" s="311">
        <f>IF($BI35&lt;&gt;"",IF('Capacity summary'!$D$14="Yes",IF(COUNTBLANK('Capacity summary'!$H154:$BG154)&lt;52,IF('Capacity summary'!AK154&lt;&gt;"",IF(LOWER('Capacity summary'!AK154)="x",$BI35*AK35,VALUE('Capacity summary'!AK154)),0),AK35*$BI35),AK35*$BI35),0)</f>
        <v>0</v>
      </c>
      <c r="CO35" s="311">
        <f>IF($BI35&lt;&gt;"",IF('Capacity summary'!$D$14="Yes",IF(COUNTBLANK('Capacity summary'!$H154:$BG154)&lt;52,IF('Capacity summary'!AL154&lt;&gt;"",IF(LOWER('Capacity summary'!AL154)="x",$BI35*AL35,VALUE('Capacity summary'!AL154)),0),AL35*$BI35),AL35*$BI35),0)</f>
        <v>0</v>
      </c>
      <c r="CP35" s="311">
        <f>IF($BI35&lt;&gt;"",IF('Capacity summary'!$D$14="Yes",IF(COUNTBLANK('Capacity summary'!$H154:$BG154)&lt;52,IF('Capacity summary'!AM154&lt;&gt;"",IF(LOWER('Capacity summary'!AM154)="x",$BI35*AM35,VALUE('Capacity summary'!AM154)),0),AM35*$BI35),AM35*$BI35),0)</f>
        <v>0</v>
      </c>
      <c r="CQ35" s="311">
        <f>IF($BI35&lt;&gt;"",IF('Capacity summary'!$D$14="Yes",IF(COUNTBLANK('Capacity summary'!$H154:$BG154)&lt;52,IF('Capacity summary'!AN154&lt;&gt;"",IF(LOWER('Capacity summary'!AN154)="x",$BI35*AN35,VALUE('Capacity summary'!AN154)),0),AN35*$BI35),AN35*$BI35),0)</f>
        <v>0</v>
      </c>
      <c r="CR35" s="311">
        <f>IF($BI35&lt;&gt;"",IF('Capacity summary'!$D$14="Yes",IF(COUNTBLANK('Capacity summary'!$H154:$BG154)&lt;52,IF('Capacity summary'!AO154&lt;&gt;"",IF(LOWER('Capacity summary'!AO154)="x",$BI35*AO35,VALUE('Capacity summary'!AO154)),0),AO35*$BI35),AO35*$BI35),0)</f>
        <v>0</v>
      </c>
      <c r="CS35" s="311">
        <f>IF($BI35&lt;&gt;"",IF('Capacity summary'!$D$14="Yes",IF(COUNTBLANK('Capacity summary'!$H154:$BG154)&lt;52,IF('Capacity summary'!AP154&lt;&gt;"",IF(LOWER('Capacity summary'!AP154)="x",$BI35*AP35,VALUE('Capacity summary'!AP154)),0),AP35*$BI35),AP35*$BI35),0)</f>
        <v>0</v>
      </c>
      <c r="CT35" s="311">
        <f>IF($BI35&lt;&gt;"",IF('Capacity summary'!$D$14="Yes",IF(COUNTBLANK('Capacity summary'!$H154:$BG154)&lt;52,IF('Capacity summary'!AQ154&lt;&gt;"",IF(LOWER('Capacity summary'!AQ154)="x",$BI35*AQ35,VALUE('Capacity summary'!AQ154)),0),AQ35*$BI35),AQ35*$BI35),0)</f>
        <v>0</v>
      </c>
      <c r="CU35" s="311">
        <f>IF($BI35&lt;&gt;"",IF('Capacity summary'!$D$14="Yes",IF(COUNTBLANK('Capacity summary'!$H154:$BG154)&lt;52,IF('Capacity summary'!AR154&lt;&gt;"",IF(LOWER('Capacity summary'!AR154)="x",$BI35*AR35,VALUE('Capacity summary'!AR154)),0),AR35*$BI35),AR35*$BI35),0)</f>
        <v>0</v>
      </c>
      <c r="CV35" s="311">
        <f>IF($BI35&lt;&gt;"",IF('Capacity summary'!$D$14="Yes",IF(COUNTBLANK('Capacity summary'!$H154:$BG154)&lt;52,IF('Capacity summary'!AS154&lt;&gt;"",IF(LOWER('Capacity summary'!AS154)="x",$BI35*AS35,VALUE('Capacity summary'!AS154)),0),AS35*$BI35),AS35*$BI35),0)</f>
        <v>0</v>
      </c>
      <c r="CW35" s="311">
        <f>IF($BI35&lt;&gt;"",IF('Capacity summary'!$D$14="Yes",IF(COUNTBLANK('Capacity summary'!$H154:$BG154)&lt;52,IF('Capacity summary'!AT154&lt;&gt;"",IF(LOWER('Capacity summary'!AT154)="x",$BI35*AT35,VALUE('Capacity summary'!AT154)),0),AT35*$BI35),AT35*$BI35),0)</f>
        <v>0</v>
      </c>
      <c r="CX35" s="311">
        <f>IF($BI35&lt;&gt;"",IF('Capacity summary'!$D$14="Yes",IF(COUNTBLANK('Capacity summary'!$H154:$BG154)&lt;52,IF('Capacity summary'!AU154&lt;&gt;"",IF(LOWER('Capacity summary'!AU154)="x",$BI35*AU35,VALUE('Capacity summary'!AU154)),0),AU35*$BI35),AU35*$BI35),0)</f>
        <v>0</v>
      </c>
      <c r="CY35" s="311">
        <f>IF($BI35&lt;&gt;"",IF('Capacity summary'!$D$14="Yes",IF(COUNTBLANK('Capacity summary'!$H154:$BG154)&lt;52,IF('Capacity summary'!AV154&lt;&gt;"",IF(LOWER('Capacity summary'!AV154)="x",$BI35*AV35,VALUE('Capacity summary'!AV154)),0),AV35*$BI35),AV35*$BI35),0)</f>
        <v>0</v>
      </c>
      <c r="CZ35" s="311">
        <f>IF($BI35&lt;&gt;"",IF('Capacity summary'!$D$14="Yes",IF(COUNTBLANK('Capacity summary'!$H154:$BG154)&lt;52,IF('Capacity summary'!AW154&lt;&gt;"",IF(LOWER('Capacity summary'!AW154)="x",$BI35*AW35,VALUE('Capacity summary'!AW154)),0),AW35*$BI35),AW35*$BI35),0)</f>
        <v>0</v>
      </c>
      <c r="DA35" s="311">
        <f>IF($BI35&lt;&gt;"",IF('Capacity summary'!$D$14="Yes",IF(COUNTBLANK('Capacity summary'!$H154:$BG154)&lt;52,IF('Capacity summary'!AX154&lt;&gt;"",IF(LOWER('Capacity summary'!AX154)="x",$BI35*AX35,VALUE('Capacity summary'!AX154)),0),AX35*$BI35),AX35*$BI35),0)</f>
        <v>0</v>
      </c>
      <c r="DB35" s="311">
        <f>IF($BI35&lt;&gt;"",IF('Capacity summary'!$D$14="Yes",IF(COUNTBLANK('Capacity summary'!$H154:$BG154)&lt;52,IF('Capacity summary'!AY154&lt;&gt;"",IF(LOWER('Capacity summary'!AY154)="x",$BI35*AY35,VALUE('Capacity summary'!AY154)),0),AY35*$BI35),AY35*$BI35),0)</f>
        <v>0</v>
      </c>
      <c r="DC35" s="311">
        <f>IF($BI35&lt;&gt;"",IF('Capacity summary'!$D$14="Yes",IF(COUNTBLANK('Capacity summary'!$H154:$BG154)&lt;52,IF('Capacity summary'!AZ154&lt;&gt;"",IF(LOWER('Capacity summary'!AZ154)="x",$BI35*AZ35,VALUE('Capacity summary'!AZ154)),0),AZ35*$BI35),AZ35*$BI35),0)</f>
        <v>0</v>
      </c>
      <c r="DD35" s="311">
        <f>IF($BI35&lt;&gt;"",IF('Capacity summary'!$D$14="Yes",IF(COUNTBLANK('Capacity summary'!$H154:$BG154)&lt;52,IF('Capacity summary'!BA154&lt;&gt;"",IF(LOWER('Capacity summary'!BA154)="x",$BI35*BA35,VALUE('Capacity summary'!BA154)),0),BA35*$BI35),BA35*$BI35),0)</f>
        <v>0</v>
      </c>
      <c r="DE35" s="311">
        <f>IF($BI35&lt;&gt;"",IF('Capacity summary'!$D$14="Yes",IF(COUNTBLANK('Capacity summary'!$H154:$BG154)&lt;52,IF('Capacity summary'!BB154&lt;&gt;"",IF(LOWER('Capacity summary'!BB154)="x",$BI35*BB35,VALUE('Capacity summary'!BB154)),0),BB35*$BI35),BB35*$BI35),0)</f>
        <v>0</v>
      </c>
      <c r="DF35" s="311">
        <f>IF($BI35&lt;&gt;"",IF('Capacity summary'!$D$14="Yes",IF(COUNTBLANK('Capacity summary'!$H154:$BG154)&lt;52,IF('Capacity summary'!BC154&lt;&gt;"",IF(LOWER('Capacity summary'!BC154)="x",$BI35*BC35,VALUE('Capacity summary'!BC154)),0),BC35*$BI35),BC35*$BI35),0)</f>
        <v>0</v>
      </c>
      <c r="DG35" s="311">
        <f>IF($BI35&lt;&gt;"",IF('Capacity summary'!$D$14="Yes",IF(COUNTBLANK('Capacity summary'!$H154:$BG154)&lt;52,IF('Capacity summary'!BD154&lt;&gt;"",IF(LOWER('Capacity summary'!BD154)="x",$BI35*BD35,VALUE('Capacity summary'!BD154)),0),BD35*$BI35),BD35*$BI35),0)</f>
        <v>0</v>
      </c>
      <c r="DH35" s="311">
        <f>IF($BI35&lt;&gt;"",IF('Capacity summary'!$D$14="Yes",IF(COUNTBLANK('Capacity summary'!$H154:$BG154)&lt;52,IF('Capacity summary'!BE154&lt;&gt;"",IF(LOWER('Capacity summary'!BE154)="x",$BI35*BE35,VALUE('Capacity summary'!BE154)),0),BE35*$BI35),BE35*$BI35),0)</f>
        <v>0</v>
      </c>
      <c r="DI35" s="311">
        <f>IF($BI35&lt;&gt;"",IF('Capacity summary'!$D$14="Yes",IF(COUNTBLANK('Capacity summary'!$H154:$BG154)&lt;52,IF('Capacity summary'!BF154&lt;&gt;"",IF(LOWER('Capacity summary'!BF154)="x",$BI35*BF35,VALUE('Capacity summary'!BF154)),0),BF35*$BI35),BF35*$BI35),0)</f>
        <v>0</v>
      </c>
      <c r="DJ35" s="311">
        <f>IF($BI35&lt;&gt;"",IF('Capacity summary'!$D$14="Yes",IF(COUNTBLANK('Capacity summary'!$H154:$BG154)&lt;52,IF('Capacity summary'!BG154&lt;&gt;"",IF(LOWER('Capacity summary'!BG154)="x",$BI35*BG35,VALUE('Capacity summary'!BG154)),0),BG35*$BI35),BG35*$BI35),0)</f>
        <v>0</v>
      </c>
      <c r="DK35" s="391">
        <f t="shared" si="2"/>
        <v>0</v>
      </c>
      <c r="DL35" s="136">
        <f t="shared" si="3"/>
        <v>0</v>
      </c>
      <c r="DM35" s="311" t="str">
        <f>Capacity!H47</f>
        <v/>
      </c>
      <c r="DQ35" s="5"/>
    </row>
    <row r="36" spans="1:121" x14ac:dyDescent="0.2">
      <c r="A36" s="67">
        <f>IF(Capacity!L48='Capacity summary'!BI155,1,0)</f>
        <v>1</v>
      </c>
      <c r="B36" s="67">
        <f>IF(Capacity!V48='Capacity summary'!BI55,1,0)</f>
        <v>1</v>
      </c>
      <c r="C36" s="67" t="str">
        <f>ROW(A32)&amp;". "&amp;Capacity!B48</f>
        <v xml:space="preserve">32. </v>
      </c>
      <c r="D36" s="67">
        <f>'Capacity setup'!C43</f>
        <v>0</v>
      </c>
      <c r="E36" s="67">
        <f>'Capacity setup'!D43</f>
        <v>0</v>
      </c>
      <c r="F36" s="67">
        <f>'Capacity setup'!E43</f>
        <v>0</v>
      </c>
      <c r="H36" s="67">
        <f ca="1">IF(LOWER(Capacity!$L48)="x",IF(AND(SUMIF(Capacity_Resource,$D36,'Critical resources (hide)'!U$6:U$105)+SUMIF(Capacity_Resource,$E36,'Critical resources (hide)'!U$6:U$105)+SUMIF(Capacity_Resource,$F36,'Critical resources (hide)'!U$6:U$105)&gt;0,$E$1=2),0,1),0)</f>
        <v>1</v>
      </c>
      <c r="I36" s="67">
        <f ca="1">IF(LOWER(Capacity!$L48)="x",IF(AND(SUMIF(Capacity_Resource,$D36,'Critical resources (hide)'!V$6:V$105)+SUMIF(Capacity_Resource,$E36,'Critical resources (hide)'!V$6:V$105)+SUMIF(Capacity_Resource,$F36,'Critical resources (hide)'!V$6:V$105)&gt;0,$E$1=2),0,1),0)</f>
        <v>1</v>
      </c>
      <c r="J36" s="67">
        <f ca="1">IF(LOWER(Capacity!$L48)="x",IF(AND(SUMIF(Capacity_Resource,$D36,'Critical resources (hide)'!W$6:W$105)+SUMIF(Capacity_Resource,$E36,'Critical resources (hide)'!W$6:W$105)+SUMIF(Capacity_Resource,$F36,'Critical resources (hide)'!W$6:W$105)&gt;0,$E$1=2),0,1),0)</f>
        <v>1</v>
      </c>
      <c r="K36" s="67">
        <f ca="1">IF(LOWER(Capacity!$L48)="x",IF(AND(SUMIF(Capacity_Resource,$D36,'Critical resources (hide)'!X$6:X$105)+SUMIF(Capacity_Resource,$E36,'Critical resources (hide)'!X$6:X$105)+SUMIF(Capacity_Resource,$F36,'Critical resources (hide)'!X$6:X$105)&gt;0,$E$1=2),0,1),0)</f>
        <v>1</v>
      </c>
      <c r="L36" s="67">
        <f ca="1">IF(LOWER(Capacity!$L48)="x",IF(AND(SUMIF(Capacity_Resource,$D36,'Critical resources (hide)'!Y$6:Y$105)+SUMIF(Capacity_Resource,$E36,'Critical resources (hide)'!Y$6:Y$105)+SUMIF(Capacity_Resource,$F36,'Critical resources (hide)'!Y$6:Y$105)&gt;0,$E$1=2),0,1),0)</f>
        <v>1</v>
      </c>
      <c r="M36" s="67">
        <f ca="1">IF(LOWER(Capacity!$L48)="x",IF(AND(SUMIF(Capacity_Resource,$D36,'Critical resources (hide)'!Z$6:Z$105)+SUMIF(Capacity_Resource,$E36,'Critical resources (hide)'!Z$6:Z$105)+SUMIF(Capacity_Resource,$F36,'Critical resources (hide)'!Z$6:Z$105)&gt;0,$E$1=2),0,1),0)</f>
        <v>1</v>
      </c>
      <c r="N36" s="67">
        <f ca="1">IF(LOWER(Capacity!$L48)="x",IF(AND(SUMIF(Capacity_Resource,$D36,'Critical resources (hide)'!AA$6:AA$105)+SUMIF(Capacity_Resource,$E36,'Critical resources (hide)'!AA$6:AA$105)+SUMIF(Capacity_Resource,$F36,'Critical resources (hide)'!AA$6:AA$105)&gt;0,$E$1=2),0,1),0)</f>
        <v>1</v>
      </c>
      <c r="O36" s="67">
        <f ca="1">IF(LOWER(Capacity!$L48)="x",IF(AND(SUMIF(Capacity_Resource,$D36,'Critical resources (hide)'!AB$6:AB$105)+SUMIF(Capacity_Resource,$E36,'Critical resources (hide)'!AB$6:AB$105)+SUMIF(Capacity_Resource,$F36,'Critical resources (hide)'!AB$6:AB$105)&gt;0,$E$1=2),0,1),0)</f>
        <v>1</v>
      </c>
      <c r="P36" s="67">
        <f ca="1">IF(LOWER(Capacity!$L48)="x",IF(AND(SUMIF(Capacity_Resource,$D36,'Critical resources (hide)'!AC$6:AC$105)+SUMIF(Capacity_Resource,$E36,'Critical resources (hide)'!AC$6:AC$105)+SUMIF(Capacity_Resource,$F36,'Critical resources (hide)'!AC$6:AC$105)&gt;0,$E$1=2),0,1),0)</f>
        <v>1</v>
      </c>
      <c r="Q36" s="67">
        <f ca="1">IF(LOWER(Capacity!$L48)="x",IF(AND(SUMIF(Capacity_Resource,$D36,'Critical resources (hide)'!AD$6:AD$105)+SUMIF(Capacity_Resource,$E36,'Critical resources (hide)'!AD$6:AD$105)+SUMIF(Capacity_Resource,$F36,'Critical resources (hide)'!AD$6:AD$105)&gt;0,$E$1=2),0,1),0)</f>
        <v>1</v>
      </c>
      <c r="R36" s="67">
        <f ca="1">IF(LOWER(Capacity!$L48)="x",IF(AND(SUMIF(Capacity_Resource,$D36,'Critical resources (hide)'!AE$6:AE$105)+SUMIF(Capacity_Resource,$E36,'Critical resources (hide)'!AE$6:AE$105)+SUMIF(Capacity_Resource,$F36,'Critical resources (hide)'!AE$6:AE$105)&gt;0,$E$1=2),0,1),0)</f>
        <v>1</v>
      </c>
      <c r="S36" s="67">
        <f ca="1">IF(LOWER(Capacity!$L48)="x",IF(AND(SUMIF(Capacity_Resource,$D36,'Critical resources (hide)'!AF$6:AF$105)+SUMIF(Capacity_Resource,$E36,'Critical resources (hide)'!AF$6:AF$105)+SUMIF(Capacity_Resource,$F36,'Critical resources (hide)'!AF$6:AF$105)&gt;0,$E$1=2),0,1),0)</f>
        <v>1</v>
      </c>
      <c r="T36" s="67">
        <f ca="1">IF(LOWER(Capacity!$L48)="x",IF(AND(SUMIF(Capacity_Resource,$D36,'Critical resources (hide)'!AG$6:AG$105)+SUMIF(Capacity_Resource,$E36,'Critical resources (hide)'!AG$6:AG$105)+SUMIF(Capacity_Resource,$F36,'Critical resources (hide)'!AG$6:AG$105)&gt;0,$E$1=2),0,1),0)</f>
        <v>1</v>
      </c>
      <c r="U36" s="67">
        <f ca="1">IF(LOWER(Capacity!$L48)="x",IF(AND(SUMIF(Capacity_Resource,$D36,'Critical resources (hide)'!AH$6:AH$105)+SUMIF(Capacity_Resource,$E36,'Critical resources (hide)'!AH$6:AH$105)+SUMIF(Capacity_Resource,$F36,'Critical resources (hide)'!AH$6:AH$105)&gt;0,$E$1=2),0,1),0)</f>
        <v>1</v>
      </c>
      <c r="V36" s="67">
        <f ca="1">IF(LOWER(Capacity!$L48)="x",IF(AND(SUMIF(Capacity_Resource,$D36,'Critical resources (hide)'!AI$6:AI$105)+SUMIF(Capacity_Resource,$E36,'Critical resources (hide)'!AI$6:AI$105)+SUMIF(Capacity_Resource,$F36,'Critical resources (hide)'!AI$6:AI$105)&gt;0,$E$1=2),0,1),0)</f>
        <v>1</v>
      </c>
      <c r="W36" s="67">
        <f ca="1">IF(LOWER(Capacity!$L48)="x",IF(AND(SUMIF(Capacity_Resource,$D36,'Critical resources (hide)'!AJ$6:AJ$105)+SUMIF(Capacity_Resource,$E36,'Critical resources (hide)'!AJ$6:AJ$105)+SUMIF(Capacity_Resource,$F36,'Critical resources (hide)'!AJ$6:AJ$105)&gt;0,$E$1=2),0,1),0)</f>
        <v>1</v>
      </c>
      <c r="X36" s="67">
        <f ca="1">IF(LOWER(Capacity!$L48)="x",IF(AND(SUMIF(Capacity_Resource,$D36,'Critical resources (hide)'!AK$6:AK$105)+SUMIF(Capacity_Resource,$E36,'Critical resources (hide)'!AK$6:AK$105)+SUMIF(Capacity_Resource,$F36,'Critical resources (hide)'!AK$6:AK$105)&gt;0,$E$1=2),0,1),0)</f>
        <v>1</v>
      </c>
      <c r="Y36" s="67">
        <f ca="1">IF(LOWER(Capacity!$L48)="x",IF(AND(SUMIF(Capacity_Resource,$D36,'Critical resources (hide)'!AL$6:AL$105)+SUMIF(Capacity_Resource,$E36,'Critical resources (hide)'!AL$6:AL$105)+SUMIF(Capacity_Resource,$F36,'Critical resources (hide)'!AL$6:AL$105)&gt;0,$E$1=2),0,1),0)</f>
        <v>1</v>
      </c>
      <c r="Z36" s="67">
        <f ca="1">IF(LOWER(Capacity!$L48)="x",IF(AND(SUMIF(Capacity_Resource,$D36,'Critical resources (hide)'!AM$6:AM$105)+SUMIF(Capacity_Resource,$E36,'Critical resources (hide)'!AM$6:AM$105)+SUMIF(Capacity_Resource,$F36,'Critical resources (hide)'!AM$6:AM$105)&gt;0,$E$1=2),0,1),0)</f>
        <v>1</v>
      </c>
      <c r="AA36" s="67">
        <f ca="1">IF(LOWER(Capacity!$L48)="x",IF(AND(SUMIF(Capacity_Resource,$D36,'Critical resources (hide)'!AN$6:AN$105)+SUMIF(Capacity_Resource,$E36,'Critical resources (hide)'!AN$6:AN$105)+SUMIF(Capacity_Resource,$F36,'Critical resources (hide)'!AN$6:AN$105)&gt;0,$E$1=2),0,1),0)</f>
        <v>1</v>
      </c>
      <c r="AB36" s="67">
        <f ca="1">IF(LOWER(Capacity!$L48)="x",IF(AND(SUMIF(Capacity_Resource,$D36,'Critical resources (hide)'!AO$6:AO$105)+SUMIF(Capacity_Resource,$E36,'Critical resources (hide)'!AO$6:AO$105)+SUMIF(Capacity_Resource,$F36,'Critical resources (hide)'!AO$6:AO$105)&gt;0,$E$1=2),0,1),0)</f>
        <v>1</v>
      </c>
      <c r="AC36" s="67">
        <f ca="1">IF(LOWER(Capacity!$L48)="x",IF(AND(SUMIF(Capacity_Resource,$D36,'Critical resources (hide)'!AP$6:AP$105)+SUMIF(Capacity_Resource,$E36,'Critical resources (hide)'!AP$6:AP$105)+SUMIF(Capacity_Resource,$F36,'Critical resources (hide)'!AP$6:AP$105)&gt;0,$E$1=2),0,1),0)</f>
        <v>1</v>
      </c>
      <c r="AD36" s="67">
        <f ca="1">IF(LOWER(Capacity!$L48)="x",IF(AND(SUMIF(Capacity_Resource,$D36,'Critical resources (hide)'!AQ$6:AQ$105)+SUMIF(Capacity_Resource,$E36,'Critical resources (hide)'!AQ$6:AQ$105)+SUMIF(Capacity_Resource,$F36,'Critical resources (hide)'!AQ$6:AQ$105)&gt;0,$E$1=2),0,1),0)</f>
        <v>1</v>
      </c>
      <c r="AE36" s="67">
        <f ca="1">IF(LOWER(Capacity!$L48)="x",IF(AND(SUMIF(Capacity_Resource,$D36,'Critical resources (hide)'!AR$6:AR$105)+SUMIF(Capacity_Resource,$E36,'Critical resources (hide)'!AR$6:AR$105)+SUMIF(Capacity_Resource,$F36,'Critical resources (hide)'!AR$6:AR$105)&gt;0,$E$1=2),0,1),0)</f>
        <v>1</v>
      </c>
      <c r="AF36" s="67">
        <f ca="1">IF(LOWER(Capacity!$L48)="x",IF(AND(SUMIF(Capacity_Resource,$D36,'Critical resources (hide)'!AS$6:AS$105)+SUMIF(Capacity_Resource,$E36,'Critical resources (hide)'!AS$6:AS$105)+SUMIF(Capacity_Resource,$F36,'Critical resources (hide)'!AS$6:AS$105)&gt;0,$E$1=2),0,1),0)</f>
        <v>1</v>
      </c>
      <c r="AG36" s="67">
        <f ca="1">IF(LOWER(Capacity!$L48)="x",IF(AND(SUMIF(Capacity_Resource,$D36,'Critical resources (hide)'!AT$6:AT$105)+SUMIF(Capacity_Resource,$E36,'Critical resources (hide)'!AT$6:AT$105)+SUMIF(Capacity_Resource,$F36,'Critical resources (hide)'!AT$6:AT$105)&gt;0,$E$1=2),0,1),0)</f>
        <v>1</v>
      </c>
      <c r="AH36" s="67">
        <f ca="1">IF(LOWER(Capacity!$L48)="x",IF(AND(SUMIF(Capacity_Resource,$D36,'Critical resources (hide)'!AU$6:AU$105)+SUMIF(Capacity_Resource,$E36,'Critical resources (hide)'!AU$6:AU$105)+SUMIF(Capacity_Resource,$F36,'Critical resources (hide)'!AU$6:AU$105)&gt;0,$E$1=2),0,1),0)</f>
        <v>1</v>
      </c>
      <c r="AI36" s="67">
        <f ca="1">IF(LOWER(Capacity!$L48)="x",IF(AND(SUMIF(Capacity_Resource,$D36,'Critical resources (hide)'!AV$6:AV$105)+SUMIF(Capacity_Resource,$E36,'Critical resources (hide)'!AV$6:AV$105)+SUMIF(Capacity_Resource,$F36,'Critical resources (hide)'!AV$6:AV$105)&gt;0,$E$1=2),0,1),0)</f>
        <v>1</v>
      </c>
      <c r="AJ36" s="67">
        <f ca="1">IF(LOWER(Capacity!$L48)="x",IF(AND(SUMIF(Capacity_Resource,$D36,'Critical resources (hide)'!AW$6:AW$105)+SUMIF(Capacity_Resource,$E36,'Critical resources (hide)'!AW$6:AW$105)+SUMIF(Capacity_Resource,$F36,'Critical resources (hide)'!AW$6:AW$105)&gt;0,$E$1=2),0,1),0)</f>
        <v>1</v>
      </c>
      <c r="AK36" s="67">
        <f ca="1">IF(LOWER(Capacity!$L48)="x",IF(AND(SUMIF(Capacity_Resource,$D36,'Critical resources (hide)'!AX$6:AX$105)+SUMIF(Capacity_Resource,$E36,'Critical resources (hide)'!AX$6:AX$105)+SUMIF(Capacity_Resource,$F36,'Critical resources (hide)'!AX$6:AX$105)&gt;0,$E$1=2),0,1),0)</f>
        <v>1</v>
      </c>
      <c r="AL36" s="67">
        <f ca="1">IF(LOWER(Capacity!$L48)="x",IF(AND(SUMIF(Capacity_Resource,$D36,'Critical resources (hide)'!AY$6:AY$105)+SUMIF(Capacity_Resource,$E36,'Critical resources (hide)'!AY$6:AY$105)+SUMIF(Capacity_Resource,$F36,'Critical resources (hide)'!AY$6:AY$105)&gt;0,$E$1=2),0,1),0)</f>
        <v>1</v>
      </c>
      <c r="AM36" s="67">
        <f ca="1">IF(LOWER(Capacity!$L48)="x",IF(AND(SUMIF(Capacity_Resource,$D36,'Critical resources (hide)'!AZ$6:AZ$105)+SUMIF(Capacity_Resource,$E36,'Critical resources (hide)'!AZ$6:AZ$105)+SUMIF(Capacity_Resource,$F36,'Critical resources (hide)'!AZ$6:AZ$105)&gt;0,$E$1=2),0,1),0)</f>
        <v>1</v>
      </c>
      <c r="AN36" s="67">
        <f ca="1">IF(LOWER(Capacity!$L48)="x",IF(AND(SUMIF(Capacity_Resource,$D36,'Critical resources (hide)'!BA$6:BA$105)+SUMIF(Capacity_Resource,$E36,'Critical resources (hide)'!BA$6:BA$105)+SUMIF(Capacity_Resource,$F36,'Critical resources (hide)'!BA$6:BA$105)&gt;0,$E$1=2),0,1),0)</f>
        <v>1</v>
      </c>
      <c r="AO36" s="67">
        <f ca="1">IF(LOWER(Capacity!$L48)="x",IF(AND(SUMIF(Capacity_Resource,$D36,'Critical resources (hide)'!BB$6:BB$105)+SUMIF(Capacity_Resource,$E36,'Critical resources (hide)'!BB$6:BB$105)+SUMIF(Capacity_Resource,$F36,'Critical resources (hide)'!BB$6:BB$105)&gt;0,$E$1=2),0,1),0)</f>
        <v>1</v>
      </c>
      <c r="AP36" s="67">
        <f ca="1">IF(LOWER(Capacity!$L48)="x",IF(AND(SUMIF(Capacity_Resource,$D36,'Critical resources (hide)'!BC$6:BC$105)+SUMIF(Capacity_Resource,$E36,'Critical resources (hide)'!BC$6:BC$105)+SUMIF(Capacity_Resource,$F36,'Critical resources (hide)'!BC$6:BC$105)&gt;0,$E$1=2),0,1),0)</f>
        <v>1</v>
      </c>
      <c r="AQ36" s="67">
        <f ca="1">IF(LOWER(Capacity!$L48)="x",IF(AND(SUMIF(Capacity_Resource,$D36,'Critical resources (hide)'!BD$6:BD$105)+SUMIF(Capacity_Resource,$E36,'Critical resources (hide)'!BD$6:BD$105)+SUMIF(Capacity_Resource,$F36,'Critical resources (hide)'!BD$6:BD$105)&gt;0,$E$1=2),0,1),0)</f>
        <v>1</v>
      </c>
      <c r="AR36" s="67">
        <f ca="1">IF(LOWER(Capacity!$L48)="x",IF(AND(SUMIF(Capacity_Resource,$D36,'Critical resources (hide)'!BE$6:BE$105)+SUMIF(Capacity_Resource,$E36,'Critical resources (hide)'!BE$6:BE$105)+SUMIF(Capacity_Resource,$F36,'Critical resources (hide)'!BE$6:BE$105)&gt;0,$E$1=2),0,1),0)</f>
        <v>1</v>
      </c>
      <c r="AS36" s="67">
        <f ca="1">IF(LOWER(Capacity!$L48)="x",IF(AND(SUMIF(Capacity_Resource,$D36,'Critical resources (hide)'!BF$6:BF$105)+SUMIF(Capacity_Resource,$E36,'Critical resources (hide)'!BF$6:BF$105)+SUMIF(Capacity_Resource,$F36,'Critical resources (hide)'!BF$6:BF$105)&gt;0,$E$1=2),0,1),0)</f>
        <v>1</v>
      </c>
      <c r="AT36" s="67">
        <f ca="1">IF(LOWER(Capacity!$L48)="x",IF(AND(SUMIF(Capacity_Resource,$D36,'Critical resources (hide)'!BG$6:BG$105)+SUMIF(Capacity_Resource,$E36,'Critical resources (hide)'!BG$6:BG$105)+SUMIF(Capacity_Resource,$F36,'Critical resources (hide)'!BG$6:BG$105)&gt;0,$E$1=2),0,1),0)</f>
        <v>1</v>
      </c>
      <c r="AU36" s="67">
        <f ca="1">IF(LOWER(Capacity!$L48)="x",IF(AND(SUMIF(Capacity_Resource,$D36,'Critical resources (hide)'!BH$6:BH$105)+SUMIF(Capacity_Resource,$E36,'Critical resources (hide)'!BH$6:BH$105)+SUMIF(Capacity_Resource,$F36,'Critical resources (hide)'!BH$6:BH$105)&gt;0,$E$1=2),0,1),0)</f>
        <v>1</v>
      </c>
      <c r="AV36" s="67">
        <f ca="1">IF(LOWER(Capacity!$L48)="x",IF(AND(SUMIF(Capacity_Resource,$D36,'Critical resources (hide)'!BI$6:BI$105)+SUMIF(Capacity_Resource,$E36,'Critical resources (hide)'!BI$6:BI$105)+SUMIF(Capacity_Resource,$F36,'Critical resources (hide)'!BI$6:BI$105)&gt;0,$E$1=2),0,1),0)</f>
        <v>1</v>
      </c>
      <c r="AW36" s="67">
        <f ca="1">IF(LOWER(Capacity!$L48)="x",IF(AND(SUMIF(Capacity_Resource,$D36,'Critical resources (hide)'!BJ$6:BJ$105)+SUMIF(Capacity_Resource,$E36,'Critical resources (hide)'!BJ$6:BJ$105)+SUMIF(Capacity_Resource,$F36,'Critical resources (hide)'!BJ$6:BJ$105)&gt;0,$E$1=2),0,1),0)</f>
        <v>1</v>
      </c>
      <c r="AX36" s="67">
        <f ca="1">IF(LOWER(Capacity!$L48)="x",IF(AND(SUMIF(Capacity_Resource,$D36,'Critical resources (hide)'!BK$6:BK$105)+SUMIF(Capacity_Resource,$E36,'Critical resources (hide)'!BK$6:BK$105)+SUMIF(Capacity_Resource,$F36,'Critical resources (hide)'!BK$6:BK$105)&gt;0,$E$1=2),0,1),0)</f>
        <v>1</v>
      </c>
      <c r="AY36" s="67">
        <f ca="1">IF(LOWER(Capacity!$L48)="x",IF(AND(SUMIF(Capacity_Resource,$D36,'Critical resources (hide)'!BL$6:BL$105)+SUMIF(Capacity_Resource,$E36,'Critical resources (hide)'!BL$6:BL$105)+SUMIF(Capacity_Resource,$F36,'Critical resources (hide)'!BL$6:BL$105)&gt;0,$E$1=2),0,1),0)</f>
        <v>1</v>
      </c>
      <c r="AZ36" s="67">
        <f ca="1">IF(LOWER(Capacity!$L48)="x",IF(AND(SUMIF(Capacity_Resource,$D36,'Critical resources (hide)'!BM$6:BM$105)+SUMIF(Capacity_Resource,$E36,'Critical resources (hide)'!BM$6:BM$105)+SUMIF(Capacity_Resource,$F36,'Critical resources (hide)'!BM$6:BM$105)&gt;0,$E$1=2),0,1),0)</f>
        <v>1</v>
      </c>
      <c r="BA36" s="67">
        <f ca="1">IF(LOWER(Capacity!$L48)="x",IF(AND(SUMIF(Capacity_Resource,$D36,'Critical resources (hide)'!BN$6:BN$105)+SUMIF(Capacity_Resource,$E36,'Critical resources (hide)'!BN$6:BN$105)+SUMIF(Capacity_Resource,$F36,'Critical resources (hide)'!BN$6:BN$105)&gt;0,$E$1=2),0,1),0)</f>
        <v>1</v>
      </c>
      <c r="BB36" s="67">
        <f ca="1">IF(LOWER(Capacity!$L48)="x",IF(AND(SUMIF(Capacity_Resource,$D36,'Critical resources (hide)'!BO$6:BO$105)+SUMIF(Capacity_Resource,$E36,'Critical resources (hide)'!BO$6:BO$105)+SUMIF(Capacity_Resource,$F36,'Critical resources (hide)'!BO$6:BO$105)&gt;0,$E$1=2),0,1),0)</f>
        <v>1</v>
      </c>
      <c r="BC36" s="67">
        <f ca="1">IF(LOWER(Capacity!$L48)="x",IF(AND(SUMIF(Capacity_Resource,$D36,'Critical resources (hide)'!BP$6:BP$105)+SUMIF(Capacity_Resource,$E36,'Critical resources (hide)'!BP$6:BP$105)+SUMIF(Capacity_Resource,$F36,'Critical resources (hide)'!BP$6:BP$105)&gt;0,$E$1=2),0,1),0)</f>
        <v>1</v>
      </c>
      <c r="BD36" s="67">
        <f ca="1">IF(LOWER(Capacity!$L48)="x",IF(AND(SUMIF(Capacity_Resource,$D36,'Critical resources (hide)'!BQ$6:BQ$105)+SUMIF(Capacity_Resource,$E36,'Critical resources (hide)'!BQ$6:BQ$105)+SUMIF(Capacity_Resource,$F36,'Critical resources (hide)'!BQ$6:BQ$105)&gt;0,$E$1=2),0,1),0)</f>
        <v>1</v>
      </c>
      <c r="BE36" s="67">
        <f ca="1">IF(LOWER(Capacity!$L48)="x",IF(AND(SUMIF(Capacity_Resource,$D36,'Critical resources (hide)'!BR$6:BR$105)+SUMIF(Capacity_Resource,$E36,'Critical resources (hide)'!BR$6:BR$105)+SUMIF(Capacity_Resource,$F36,'Critical resources (hide)'!BR$6:BR$105)&gt;0,$E$1=2),0,1),0)</f>
        <v>1</v>
      </c>
      <c r="BF36" s="67">
        <f ca="1">IF(LOWER(Capacity!$L48)="x",IF(AND(SUMIF(Capacity_Resource,$D36,'Critical resources (hide)'!BS$6:BS$105)+SUMIF(Capacity_Resource,$E36,'Critical resources (hide)'!BS$6:BS$105)+SUMIF(Capacity_Resource,$F36,'Critical resources (hide)'!BS$6:BS$105)&gt;0,$E$1=2),0,1),0)</f>
        <v>1</v>
      </c>
      <c r="BG36" s="67">
        <f ca="1">IF(LOWER(Capacity!$L48)="x",IF(AND(SUMIF(Capacity_Resource,$D36,'Critical resources (hide)'!BT$6:BT$105)+SUMIF(Capacity_Resource,$E36,'Critical resources (hide)'!BT$6:BT$105)+SUMIF(Capacity_Resource,$F36,'Critical resources (hide)'!BT$6:BT$105)&gt;0,$E$1=2),0,1),0)</f>
        <v>1</v>
      </c>
      <c r="BH36" s="67">
        <f>IF(ROW(C32)&lt;=Capacity!$A$16,IF('Capacity summary'!$D$14="No",SUM(H36:BG36),'Capacity summary'!$E155),0)</f>
        <v>0</v>
      </c>
      <c r="BI36" s="5" t="str">
        <f>IF(BH36&gt;0,IF(BH36&lt;Capacity!E48,Capacity!F48,Capacity!H48/'Capacity calculation (hide)'!BH36),"")</f>
        <v/>
      </c>
      <c r="BK36" s="311">
        <f>IF($BI36&lt;&gt;"",IF('Capacity summary'!$D$14="Yes",IF(COUNTBLANK('Capacity summary'!$H155:$BG155)&lt;52,IF('Capacity summary'!H155&lt;&gt;"",IF(LOWER('Capacity summary'!H155)="x",$BI36*H36,VALUE('Capacity summary'!H155)),0),H36*$BI36),H36*$BI36),0)</f>
        <v>0</v>
      </c>
      <c r="BL36" s="311">
        <f>IF($BI36&lt;&gt;"",IF('Capacity summary'!$D$14="Yes",IF(COUNTBLANK('Capacity summary'!$H155:$BG155)&lt;52,IF('Capacity summary'!I155&lt;&gt;"",IF(LOWER('Capacity summary'!I155)="x",$BI36*I36,VALUE('Capacity summary'!I155)),0),I36*$BI36),I36*$BI36),0)</f>
        <v>0</v>
      </c>
      <c r="BM36" s="311">
        <f>IF($BI36&lt;&gt;"",IF('Capacity summary'!$D$14="Yes",IF(COUNTBLANK('Capacity summary'!$H155:$BG155)&lt;52,IF('Capacity summary'!J155&lt;&gt;"",IF(LOWER('Capacity summary'!J155)="x",$BI36*J36,VALUE('Capacity summary'!J155)),0),J36*$BI36),J36*$BI36),0)</f>
        <v>0</v>
      </c>
      <c r="BN36" s="311">
        <f>IF($BI36&lt;&gt;"",IF('Capacity summary'!$D$14="Yes",IF(COUNTBLANK('Capacity summary'!$H155:$BG155)&lt;52,IF('Capacity summary'!K155&lt;&gt;"",IF(LOWER('Capacity summary'!K155)="x",$BI36*K36,VALUE('Capacity summary'!K155)),0),K36*$BI36),K36*$BI36),0)</f>
        <v>0</v>
      </c>
      <c r="BO36" s="311">
        <f>IF($BI36&lt;&gt;"",IF('Capacity summary'!$D$14="Yes",IF(COUNTBLANK('Capacity summary'!$H155:$BG155)&lt;52,IF('Capacity summary'!L155&lt;&gt;"",IF(LOWER('Capacity summary'!L155)="x",$BI36*L36,VALUE('Capacity summary'!L155)),0),L36*$BI36),L36*$BI36),0)</f>
        <v>0</v>
      </c>
      <c r="BP36" s="311">
        <f>IF($BI36&lt;&gt;"",IF('Capacity summary'!$D$14="Yes",IF(COUNTBLANK('Capacity summary'!$H155:$BG155)&lt;52,IF('Capacity summary'!M155&lt;&gt;"",IF(LOWER('Capacity summary'!M155)="x",$BI36*M36,VALUE('Capacity summary'!M155)),0),M36*$BI36),M36*$BI36),0)</f>
        <v>0</v>
      </c>
      <c r="BQ36" s="311">
        <f>IF($BI36&lt;&gt;"",IF('Capacity summary'!$D$14="Yes",IF(COUNTBLANK('Capacity summary'!$H155:$BG155)&lt;52,IF('Capacity summary'!N155&lt;&gt;"",IF(LOWER('Capacity summary'!N155)="x",$BI36*N36,VALUE('Capacity summary'!N155)),0),N36*$BI36),N36*$BI36),0)</f>
        <v>0</v>
      </c>
      <c r="BR36" s="311">
        <f>IF($BI36&lt;&gt;"",IF('Capacity summary'!$D$14="Yes",IF(COUNTBLANK('Capacity summary'!$H155:$BG155)&lt;52,IF('Capacity summary'!O155&lt;&gt;"",IF(LOWER('Capacity summary'!O155)="x",$BI36*O36,VALUE('Capacity summary'!O155)),0),O36*$BI36),O36*$BI36),0)</f>
        <v>0</v>
      </c>
      <c r="BS36" s="311">
        <f>IF($BI36&lt;&gt;"",IF('Capacity summary'!$D$14="Yes",IF(COUNTBLANK('Capacity summary'!$H155:$BG155)&lt;52,IF('Capacity summary'!P155&lt;&gt;"",IF(LOWER('Capacity summary'!P155)="x",$BI36*P36,VALUE('Capacity summary'!P155)),0),P36*$BI36),P36*$BI36),0)</f>
        <v>0</v>
      </c>
      <c r="BT36" s="311">
        <f>IF($BI36&lt;&gt;"",IF('Capacity summary'!$D$14="Yes",IF(COUNTBLANK('Capacity summary'!$H155:$BG155)&lt;52,IF('Capacity summary'!Q155&lt;&gt;"",IF(LOWER('Capacity summary'!Q155)="x",$BI36*Q36,VALUE('Capacity summary'!Q155)),0),Q36*$BI36),Q36*$BI36),0)</f>
        <v>0</v>
      </c>
      <c r="BU36" s="311">
        <f>IF($BI36&lt;&gt;"",IF('Capacity summary'!$D$14="Yes",IF(COUNTBLANK('Capacity summary'!$H155:$BG155)&lt;52,IF('Capacity summary'!R155&lt;&gt;"",IF(LOWER('Capacity summary'!R155)="x",$BI36*R36,VALUE('Capacity summary'!R155)),0),R36*$BI36),R36*$BI36),0)</f>
        <v>0</v>
      </c>
      <c r="BV36" s="311">
        <f>IF($BI36&lt;&gt;"",IF('Capacity summary'!$D$14="Yes",IF(COUNTBLANK('Capacity summary'!$H155:$BG155)&lt;52,IF('Capacity summary'!S155&lt;&gt;"",IF(LOWER('Capacity summary'!S155)="x",$BI36*S36,VALUE('Capacity summary'!S155)),0),S36*$BI36),S36*$BI36),0)</f>
        <v>0</v>
      </c>
      <c r="BW36" s="311">
        <f>IF($BI36&lt;&gt;"",IF('Capacity summary'!$D$14="Yes",IF(COUNTBLANK('Capacity summary'!$H155:$BG155)&lt;52,IF('Capacity summary'!T155&lt;&gt;"",IF(LOWER('Capacity summary'!T155)="x",$BI36*T36,VALUE('Capacity summary'!T155)),0),T36*$BI36),T36*$BI36),0)</f>
        <v>0</v>
      </c>
      <c r="BX36" s="311">
        <f>IF($BI36&lt;&gt;"",IF('Capacity summary'!$D$14="Yes",IF(COUNTBLANK('Capacity summary'!$H155:$BG155)&lt;52,IF('Capacity summary'!U155&lt;&gt;"",IF(LOWER('Capacity summary'!U155)="x",$BI36*U36,VALUE('Capacity summary'!U155)),0),U36*$BI36),U36*$BI36),0)</f>
        <v>0</v>
      </c>
      <c r="BY36" s="311">
        <f>IF($BI36&lt;&gt;"",IF('Capacity summary'!$D$14="Yes",IF(COUNTBLANK('Capacity summary'!$H155:$BG155)&lt;52,IF('Capacity summary'!V155&lt;&gt;"",IF(LOWER('Capacity summary'!V155)="x",$BI36*V36,VALUE('Capacity summary'!V155)),0),V36*$BI36),V36*$BI36),0)</f>
        <v>0</v>
      </c>
      <c r="BZ36" s="311">
        <f>IF($BI36&lt;&gt;"",IF('Capacity summary'!$D$14="Yes",IF(COUNTBLANK('Capacity summary'!$H155:$BG155)&lt;52,IF('Capacity summary'!W155&lt;&gt;"",IF(LOWER('Capacity summary'!W155)="x",$BI36*W36,VALUE('Capacity summary'!W155)),0),W36*$BI36),W36*$BI36),0)</f>
        <v>0</v>
      </c>
      <c r="CA36" s="311">
        <f>IF($BI36&lt;&gt;"",IF('Capacity summary'!$D$14="Yes",IF(COUNTBLANK('Capacity summary'!$H155:$BG155)&lt;52,IF('Capacity summary'!X155&lt;&gt;"",IF(LOWER('Capacity summary'!X155)="x",$BI36*X36,VALUE('Capacity summary'!X155)),0),X36*$BI36),X36*$BI36),0)</f>
        <v>0</v>
      </c>
      <c r="CB36" s="311">
        <f>IF($BI36&lt;&gt;"",IF('Capacity summary'!$D$14="Yes",IF(COUNTBLANK('Capacity summary'!$H155:$BG155)&lt;52,IF('Capacity summary'!Y155&lt;&gt;"",IF(LOWER('Capacity summary'!Y155)="x",$BI36*Y36,VALUE('Capacity summary'!Y155)),0),Y36*$BI36),Y36*$BI36),0)</f>
        <v>0</v>
      </c>
      <c r="CC36" s="311">
        <f>IF($BI36&lt;&gt;"",IF('Capacity summary'!$D$14="Yes",IF(COUNTBLANK('Capacity summary'!$H155:$BG155)&lt;52,IF('Capacity summary'!Z155&lt;&gt;"",IF(LOWER('Capacity summary'!Z155)="x",$BI36*Z36,VALUE('Capacity summary'!Z155)),0),Z36*$BI36),Z36*$BI36),0)</f>
        <v>0</v>
      </c>
      <c r="CD36" s="311">
        <f>IF($BI36&lt;&gt;"",IF('Capacity summary'!$D$14="Yes",IF(COUNTBLANK('Capacity summary'!$H155:$BG155)&lt;52,IF('Capacity summary'!AA155&lt;&gt;"",IF(LOWER('Capacity summary'!AA155)="x",$BI36*AA36,VALUE('Capacity summary'!AA155)),0),AA36*$BI36),AA36*$BI36),0)</f>
        <v>0</v>
      </c>
      <c r="CE36" s="311">
        <f>IF($BI36&lt;&gt;"",IF('Capacity summary'!$D$14="Yes",IF(COUNTBLANK('Capacity summary'!$H155:$BG155)&lt;52,IF('Capacity summary'!AB155&lt;&gt;"",IF(LOWER('Capacity summary'!AB155)="x",$BI36*AB36,VALUE('Capacity summary'!AB155)),0),AB36*$BI36),AB36*$BI36),0)</f>
        <v>0</v>
      </c>
      <c r="CF36" s="311">
        <f>IF($BI36&lt;&gt;"",IF('Capacity summary'!$D$14="Yes",IF(COUNTBLANK('Capacity summary'!$H155:$BG155)&lt;52,IF('Capacity summary'!AC155&lt;&gt;"",IF(LOWER('Capacity summary'!AC155)="x",$BI36*AC36,VALUE('Capacity summary'!AC155)),0),AC36*$BI36),AC36*$BI36),0)</f>
        <v>0</v>
      </c>
      <c r="CG36" s="311">
        <f>IF($BI36&lt;&gt;"",IF('Capacity summary'!$D$14="Yes",IF(COUNTBLANK('Capacity summary'!$H155:$BG155)&lt;52,IF('Capacity summary'!AD155&lt;&gt;"",IF(LOWER('Capacity summary'!AD155)="x",$BI36*AD36,VALUE('Capacity summary'!AD155)),0),AD36*$BI36),AD36*$BI36),0)</f>
        <v>0</v>
      </c>
      <c r="CH36" s="311">
        <f>IF($BI36&lt;&gt;"",IF('Capacity summary'!$D$14="Yes",IF(COUNTBLANK('Capacity summary'!$H155:$BG155)&lt;52,IF('Capacity summary'!AE155&lt;&gt;"",IF(LOWER('Capacity summary'!AE155)="x",$BI36*AE36,VALUE('Capacity summary'!AE155)),0),AE36*$BI36),AE36*$BI36),0)</f>
        <v>0</v>
      </c>
      <c r="CI36" s="311">
        <f>IF($BI36&lt;&gt;"",IF('Capacity summary'!$D$14="Yes",IF(COUNTBLANK('Capacity summary'!$H155:$BG155)&lt;52,IF('Capacity summary'!AF155&lt;&gt;"",IF(LOWER('Capacity summary'!AF155)="x",$BI36*AF36,VALUE('Capacity summary'!AF155)),0),AF36*$BI36),AF36*$BI36),0)</f>
        <v>0</v>
      </c>
      <c r="CJ36" s="311">
        <f>IF($BI36&lt;&gt;"",IF('Capacity summary'!$D$14="Yes",IF(COUNTBLANK('Capacity summary'!$H155:$BG155)&lt;52,IF('Capacity summary'!AG155&lt;&gt;"",IF(LOWER('Capacity summary'!AG155)="x",$BI36*AG36,VALUE('Capacity summary'!AG155)),0),AG36*$BI36),AG36*$BI36),0)</f>
        <v>0</v>
      </c>
      <c r="CK36" s="311">
        <f>IF($BI36&lt;&gt;"",IF('Capacity summary'!$D$14="Yes",IF(COUNTBLANK('Capacity summary'!$H155:$BG155)&lt;52,IF('Capacity summary'!AH155&lt;&gt;"",IF(LOWER('Capacity summary'!AH155)="x",$BI36*AH36,VALUE('Capacity summary'!AH155)),0),AH36*$BI36),AH36*$BI36),0)</f>
        <v>0</v>
      </c>
      <c r="CL36" s="311">
        <f>IF($BI36&lt;&gt;"",IF('Capacity summary'!$D$14="Yes",IF(COUNTBLANK('Capacity summary'!$H155:$BG155)&lt;52,IF('Capacity summary'!AI155&lt;&gt;"",IF(LOWER('Capacity summary'!AI155)="x",$BI36*AI36,VALUE('Capacity summary'!AI155)),0),AI36*$BI36),AI36*$BI36),0)</f>
        <v>0</v>
      </c>
      <c r="CM36" s="311">
        <f>IF($BI36&lt;&gt;"",IF('Capacity summary'!$D$14="Yes",IF(COUNTBLANK('Capacity summary'!$H155:$BG155)&lt;52,IF('Capacity summary'!AJ155&lt;&gt;"",IF(LOWER('Capacity summary'!AJ155)="x",$BI36*AJ36,VALUE('Capacity summary'!AJ155)),0),AJ36*$BI36),AJ36*$BI36),0)</f>
        <v>0</v>
      </c>
      <c r="CN36" s="311">
        <f>IF($BI36&lt;&gt;"",IF('Capacity summary'!$D$14="Yes",IF(COUNTBLANK('Capacity summary'!$H155:$BG155)&lt;52,IF('Capacity summary'!AK155&lt;&gt;"",IF(LOWER('Capacity summary'!AK155)="x",$BI36*AK36,VALUE('Capacity summary'!AK155)),0),AK36*$BI36),AK36*$BI36),0)</f>
        <v>0</v>
      </c>
      <c r="CO36" s="311">
        <f>IF($BI36&lt;&gt;"",IF('Capacity summary'!$D$14="Yes",IF(COUNTBLANK('Capacity summary'!$H155:$BG155)&lt;52,IF('Capacity summary'!AL155&lt;&gt;"",IF(LOWER('Capacity summary'!AL155)="x",$BI36*AL36,VALUE('Capacity summary'!AL155)),0),AL36*$BI36),AL36*$BI36),0)</f>
        <v>0</v>
      </c>
      <c r="CP36" s="311">
        <f>IF($BI36&lt;&gt;"",IF('Capacity summary'!$D$14="Yes",IF(COUNTBLANK('Capacity summary'!$H155:$BG155)&lt;52,IF('Capacity summary'!AM155&lt;&gt;"",IF(LOWER('Capacity summary'!AM155)="x",$BI36*AM36,VALUE('Capacity summary'!AM155)),0),AM36*$BI36),AM36*$BI36),0)</f>
        <v>0</v>
      </c>
      <c r="CQ36" s="311">
        <f>IF($BI36&lt;&gt;"",IF('Capacity summary'!$D$14="Yes",IF(COUNTBLANK('Capacity summary'!$H155:$BG155)&lt;52,IF('Capacity summary'!AN155&lt;&gt;"",IF(LOWER('Capacity summary'!AN155)="x",$BI36*AN36,VALUE('Capacity summary'!AN155)),0),AN36*$BI36),AN36*$BI36),0)</f>
        <v>0</v>
      </c>
      <c r="CR36" s="311">
        <f>IF($BI36&lt;&gt;"",IF('Capacity summary'!$D$14="Yes",IF(COUNTBLANK('Capacity summary'!$H155:$BG155)&lt;52,IF('Capacity summary'!AO155&lt;&gt;"",IF(LOWER('Capacity summary'!AO155)="x",$BI36*AO36,VALUE('Capacity summary'!AO155)),0),AO36*$BI36),AO36*$BI36),0)</f>
        <v>0</v>
      </c>
      <c r="CS36" s="311">
        <f>IF($BI36&lt;&gt;"",IF('Capacity summary'!$D$14="Yes",IF(COUNTBLANK('Capacity summary'!$H155:$BG155)&lt;52,IF('Capacity summary'!AP155&lt;&gt;"",IF(LOWER('Capacity summary'!AP155)="x",$BI36*AP36,VALUE('Capacity summary'!AP155)),0),AP36*$BI36),AP36*$BI36),0)</f>
        <v>0</v>
      </c>
      <c r="CT36" s="311">
        <f>IF($BI36&lt;&gt;"",IF('Capacity summary'!$D$14="Yes",IF(COUNTBLANK('Capacity summary'!$H155:$BG155)&lt;52,IF('Capacity summary'!AQ155&lt;&gt;"",IF(LOWER('Capacity summary'!AQ155)="x",$BI36*AQ36,VALUE('Capacity summary'!AQ155)),0),AQ36*$BI36),AQ36*$BI36),0)</f>
        <v>0</v>
      </c>
      <c r="CU36" s="311">
        <f>IF($BI36&lt;&gt;"",IF('Capacity summary'!$D$14="Yes",IF(COUNTBLANK('Capacity summary'!$H155:$BG155)&lt;52,IF('Capacity summary'!AR155&lt;&gt;"",IF(LOWER('Capacity summary'!AR155)="x",$BI36*AR36,VALUE('Capacity summary'!AR155)),0),AR36*$BI36),AR36*$BI36),0)</f>
        <v>0</v>
      </c>
      <c r="CV36" s="311">
        <f>IF($BI36&lt;&gt;"",IF('Capacity summary'!$D$14="Yes",IF(COUNTBLANK('Capacity summary'!$H155:$BG155)&lt;52,IF('Capacity summary'!AS155&lt;&gt;"",IF(LOWER('Capacity summary'!AS155)="x",$BI36*AS36,VALUE('Capacity summary'!AS155)),0),AS36*$BI36),AS36*$BI36),0)</f>
        <v>0</v>
      </c>
      <c r="CW36" s="311">
        <f>IF($BI36&lt;&gt;"",IF('Capacity summary'!$D$14="Yes",IF(COUNTBLANK('Capacity summary'!$H155:$BG155)&lt;52,IF('Capacity summary'!AT155&lt;&gt;"",IF(LOWER('Capacity summary'!AT155)="x",$BI36*AT36,VALUE('Capacity summary'!AT155)),0),AT36*$BI36),AT36*$BI36),0)</f>
        <v>0</v>
      </c>
      <c r="CX36" s="311">
        <f>IF($BI36&lt;&gt;"",IF('Capacity summary'!$D$14="Yes",IF(COUNTBLANK('Capacity summary'!$H155:$BG155)&lt;52,IF('Capacity summary'!AU155&lt;&gt;"",IF(LOWER('Capacity summary'!AU155)="x",$BI36*AU36,VALUE('Capacity summary'!AU155)),0),AU36*$BI36),AU36*$BI36),0)</f>
        <v>0</v>
      </c>
      <c r="CY36" s="311">
        <f>IF($BI36&lt;&gt;"",IF('Capacity summary'!$D$14="Yes",IF(COUNTBLANK('Capacity summary'!$H155:$BG155)&lt;52,IF('Capacity summary'!AV155&lt;&gt;"",IF(LOWER('Capacity summary'!AV155)="x",$BI36*AV36,VALUE('Capacity summary'!AV155)),0),AV36*$BI36),AV36*$BI36),0)</f>
        <v>0</v>
      </c>
      <c r="CZ36" s="311">
        <f>IF($BI36&lt;&gt;"",IF('Capacity summary'!$D$14="Yes",IF(COUNTBLANK('Capacity summary'!$H155:$BG155)&lt;52,IF('Capacity summary'!AW155&lt;&gt;"",IF(LOWER('Capacity summary'!AW155)="x",$BI36*AW36,VALUE('Capacity summary'!AW155)),0),AW36*$BI36),AW36*$BI36),0)</f>
        <v>0</v>
      </c>
      <c r="DA36" s="311">
        <f>IF($BI36&lt;&gt;"",IF('Capacity summary'!$D$14="Yes",IF(COUNTBLANK('Capacity summary'!$H155:$BG155)&lt;52,IF('Capacity summary'!AX155&lt;&gt;"",IF(LOWER('Capacity summary'!AX155)="x",$BI36*AX36,VALUE('Capacity summary'!AX155)),0),AX36*$BI36),AX36*$BI36),0)</f>
        <v>0</v>
      </c>
      <c r="DB36" s="311">
        <f>IF($BI36&lt;&gt;"",IF('Capacity summary'!$D$14="Yes",IF(COUNTBLANK('Capacity summary'!$H155:$BG155)&lt;52,IF('Capacity summary'!AY155&lt;&gt;"",IF(LOWER('Capacity summary'!AY155)="x",$BI36*AY36,VALUE('Capacity summary'!AY155)),0),AY36*$BI36),AY36*$BI36),0)</f>
        <v>0</v>
      </c>
      <c r="DC36" s="311">
        <f>IF($BI36&lt;&gt;"",IF('Capacity summary'!$D$14="Yes",IF(COUNTBLANK('Capacity summary'!$H155:$BG155)&lt;52,IF('Capacity summary'!AZ155&lt;&gt;"",IF(LOWER('Capacity summary'!AZ155)="x",$BI36*AZ36,VALUE('Capacity summary'!AZ155)),0),AZ36*$BI36),AZ36*$BI36),0)</f>
        <v>0</v>
      </c>
      <c r="DD36" s="311">
        <f>IF($BI36&lt;&gt;"",IF('Capacity summary'!$D$14="Yes",IF(COUNTBLANK('Capacity summary'!$H155:$BG155)&lt;52,IF('Capacity summary'!BA155&lt;&gt;"",IF(LOWER('Capacity summary'!BA155)="x",$BI36*BA36,VALUE('Capacity summary'!BA155)),0),BA36*$BI36),BA36*$BI36),0)</f>
        <v>0</v>
      </c>
      <c r="DE36" s="311">
        <f>IF($BI36&lt;&gt;"",IF('Capacity summary'!$D$14="Yes",IF(COUNTBLANK('Capacity summary'!$H155:$BG155)&lt;52,IF('Capacity summary'!BB155&lt;&gt;"",IF(LOWER('Capacity summary'!BB155)="x",$BI36*BB36,VALUE('Capacity summary'!BB155)),0),BB36*$BI36),BB36*$BI36),0)</f>
        <v>0</v>
      </c>
      <c r="DF36" s="311">
        <f>IF($BI36&lt;&gt;"",IF('Capacity summary'!$D$14="Yes",IF(COUNTBLANK('Capacity summary'!$H155:$BG155)&lt;52,IF('Capacity summary'!BC155&lt;&gt;"",IF(LOWER('Capacity summary'!BC155)="x",$BI36*BC36,VALUE('Capacity summary'!BC155)),0),BC36*$BI36),BC36*$BI36),0)</f>
        <v>0</v>
      </c>
      <c r="DG36" s="311">
        <f>IF($BI36&lt;&gt;"",IF('Capacity summary'!$D$14="Yes",IF(COUNTBLANK('Capacity summary'!$H155:$BG155)&lt;52,IF('Capacity summary'!BD155&lt;&gt;"",IF(LOWER('Capacity summary'!BD155)="x",$BI36*BD36,VALUE('Capacity summary'!BD155)),0),BD36*$BI36),BD36*$BI36),0)</f>
        <v>0</v>
      </c>
      <c r="DH36" s="311">
        <f>IF($BI36&lt;&gt;"",IF('Capacity summary'!$D$14="Yes",IF(COUNTBLANK('Capacity summary'!$H155:$BG155)&lt;52,IF('Capacity summary'!BE155&lt;&gt;"",IF(LOWER('Capacity summary'!BE155)="x",$BI36*BE36,VALUE('Capacity summary'!BE155)),0),BE36*$BI36),BE36*$BI36),0)</f>
        <v>0</v>
      </c>
      <c r="DI36" s="311">
        <f>IF($BI36&lt;&gt;"",IF('Capacity summary'!$D$14="Yes",IF(COUNTBLANK('Capacity summary'!$H155:$BG155)&lt;52,IF('Capacity summary'!BF155&lt;&gt;"",IF(LOWER('Capacity summary'!BF155)="x",$BI36*BF36,VALUE('Capacity summary'!BF155)),0),BF36*$BI36),BF36*$BI36),0)</f>
        <v>0</v>
      </c>
      <c r="DJ36" s="311">
        <f>IF($BI36&lt;&gt;"",IF('Capacity summary'!$D$14="Yes",IF(COUNTBLANK('Capacity summary'!$H155:$BG155)&lt;52,IF('Capacity summary'!BG155&lt;&gt;"",IF(LOWER('Capacity summary'!BG155)="x",$BI36*BG36,VALUE('Capacity summary'!BG155)),0),BG36*$BI36),BG36*$BI36),0)</f>
        <v>0</v>
      </c>
      <c r="DK36" s="391">
        <f t="shared" si="2"/>
        <v>0</v>
      </c>
      <c r="DL36" s="136">
        <f t="shared" si="3"/>
        <v>0</v>
      </c>
      <c r="DM36" s="311" t="str">
        <f>Capacity!H48</f>
        <v/>
      </c>
      <c r="DQ36" s="5"/>
    </row>
    <row r="37" spans="1:121" x14ac:dyDescent="0.2">
      <c r="A37" s="67">
        <f>IF(Capacity!L49='Capacity summary'!BI156,1,0)</f>
        <v>1</v>
      </c>
      <c r="B37" s="67">
        <f>IF(Capacity!V49='Capacity summary'!BI56,1,0)</f>
        <v>1</v>
      </c>
      <c r="C37" s="67" t="str">
        <f>ROW(A33)&amp;". "&amp;Capacity!B49</f>
        <v xml:space="preserve">33. </v>
      </c>
      <c r="D37" s="67">
        <f>'Capacity setup'!C44</f>
        <v>0</v>
      </c>
      <c r="E37" s="67">
        <f>'Capacity setup'!D44</f>
        <v>0</v>
      </c>
      <c r="F37" s="67">
        <f>'Capacity setup'!E44</f>
        <v>0</v>
      </c>
      <c r="H37" s="67">
        <f ca="1">IF(LOWER(Capacity!$L49)="x",IF(AND(SUMIF(Capacity_Resource,$D37,'Critical resources (hide)'!U$6:U$105)+SUMIF(Capacity_Resource,$E37,'Critical resources (hide)'!U$6:U$105)+SUMIF(Capacity_Resource,$F37,'Critical resources (hide)'!U$6:U$105)&gt;0,$E$1=2),0,1),0)</f>
        <v>1</v>
      </c>
      <c r="I37" s="67">
        <f ca="1">IF(LOWER(Capacity!$L49)="x",IF(AND(SUMIF(Capacity_Resource,$D37,'Critical resources (hide)'!V$6:V$105)+SUMIF(Capacity_Resource,$E37,'Critical resources (hide)'!V$6:V$105)+SUMIF(Capacity_Resource,$F37,'Critical resources (hide)'!V$6:V$105)&gt;0,$E$1=2),0,1),0)</f>
        <v>1</v>
      </c>
      <c r="J37" s="67">
        <f ca="1">IF(LOWER(Capacity!$L49)="x",IF(AND(SUMIF(Capacity_Resource,$D37,'Critical resources (hide)'!W$6:W$105)+SUMIF(Capacity_Resource,$E37,'Critical resources (hide)'!W$6:W$105)+SUMIF(Capacity_Resource,$F37,'Critical resources (hide)'!W$6:W$105)&gt;0,$E$1=2),0,1),0)</f>
        <v>1</v>
      </c>
      <c r="K37" s="67">
        <f ca="1">IF(LOWER(Capacity!$L49)="x",IF(AND(SUMIF(Capacity_Resource,$D37,'Critical resources (hide)'!X$6:X$105)+SUMIF(Capacity_Resource,$E37,'Critical resources (hide)'!X$6:X$105)+SUMIF(Capacity_Resource,$F37,'Critical resources (hide)'!X$6:X$105)&gt;0,$E$1=2),0,1),0)</f>
        <v>1</v>
      </c>
      <c r="L37" s="67">
        <f ca="1">IF(LOWER(Capacity!$L49)="x",IF(AND(SUMIF(Capacity_Resource,$D37,'Critical resources (hide)'!Y$6:Y$105)+SUMIF(Capacity_Resource,$E37,'Critical resources (hide)'!Y$6:Y$105)+SUMIF(Capacity_Resource,$F37,'Critical resources (hide)'!Y$6:Y$105)&gt;0,$E$1=2),0,1),0)</f>
        <v>1</v>
      </c>
      <c r="M37" s="67">
        <f ca="1">IF(LOWER(Capacity!$L49)="x",IF(AND(SUMIF(Capacity_Resource,$D37,'Critical resources (hide)'!Z$6:Z$105)+SUMIF(Capacity_Resource,$E37,'Critical resources (hide)'!Z$6:Z$105)+SUMIF(Capacity_Resource,$F37,'Critical resources (hide)'!Z$6:Z$105)&gt;0,$E$1=2),0,1),0)</f>
        <v>1</v>
      </c>
      <c r="N37" s="67">
        <f ca="1">IF(LOWER(Capacity!$L49)="x",IF(AND(SUMIF(Capacity_Resource,$D37,'Critical resources (hide)'!AA$6:AA$105)+SUMIF(Capacity_Resource,$E37,'Critical resources (hide)'!AA$6:AA$105)+SUMIF(Capacity_Resource,$F37,'Critical resources (hide)'!AA$6:AA$105)&gt;0,$E$1=2),0,1),0)</f>
        <v>1</v>
      </c>
      <c r="O37" s="67">
        <f ca="1">IF(LOWER(Capacity!$L49)="x",IF(AND(SUMIF(Capacity_Resource,$D37,'Critical resources (hide)'!AB$6:AB$105)+SUMIF(Capacity_Resource,$E37,'Critical resources (hide)'!AB$6:AB$105)+SUMIF(Capacity_Resource,$F37,'Critical resources (hide)'!AB$6:AB$105)&gt;0,$E$1=2),0,1),0)</f>
        <v>1</v>
      </c>
      <c r="P37" s="67">
        <f ca="1">IF(LOWER(Capacity!$L49)="x",IF(AND(SUMIF(Capacity_Resource,$D37,'Critical resources (hide)'!AC$6:AC$105)+SUMIF(Capacity_Resource,$E37,'Critical resources (hide)'!AC$6:AC$105)+SUMIF(Capacity_Resource,$F37,'Critical resources (hide)'!AC$6:AC$105)&gt;0,$E$1=2),0,1),0)</f>
        <v>1</v>
      </c>
      <c r="Q37" s="67">
        <f ca="1">IF(LOWER(Capacity!$L49)="x",IF(AND(SUMIF(Capacity_Resource,$D37,'Critical resources (hide)'!AD$6:AD$105)+SUMIF(Capacity_Resource,$E37,'Critical resources (hide)'!AD$6:AD$105)+SUMIF(Capacity_Resource,$F37,'Critical resources (hide)'!AD$6:AD$105)&gt;0,$E$1=2),0,1),0)</f>
        <v>1</v>
      </c>
      <c r="R37" s="67">
        <f ca="1">IF(LOWER(Capacity!$L49)="x",IF(AND(SUMIF(Capacity_Resource,$D37,'Critical resources (hide)'!AE$6:AE$105)+SUMIF(Capacity_Resource,$E37,'Critical resources (hide)'!AE$6:AE$105)+SUMIF(Capacity_Resource,$F37,'Critical resources (hide)'!AE$6:AE$105)&gt;0,$E$1=2),0,1),0)</f>
        <v>1</v>
      </c>
      <c r="S37" s="67">
        <f ca="1">IF(LOWER(Capacity!$L49)="x",IF(AND(SUMIF(Capacity_Resource,$D37,'Critical resources (hide)'!AF$6:AF$105)+SUMIF(Capacity_Resource,$E37,'Critical resources (hide)'!AF$6:AF$105)+SUMIF(Capacity_Resource,$F37,'Critical resources (hide)'!AF$6:AF$105)&gt;0,$E$1=2),0,1),0)</f>
        <v>1</v>
      </c>
      <c r="T37" s="67">
        <f ca="1">IF(LOWER(Capacity!$L49)="x",IF(AND(SUMIF(Capacity_Resource,$D37,'Critical resources (hide)'!AG$6:AG$105)+SUMIF(Capacity_Resource,$E37,'Critical resources (hide)'!AG$6:AG$105)+SUMIF(Capacity_Resource,$F37,'Critical resources (hide)'!AG$6:AG$105)&gt;0,$E$1=2),0,1),0)</f>
        <v>1</v>
      </c>
      <c r="U37" s="67">
        <f ca="1">IF(LOWER(Capacity!$L49)="x",IF(AND(SUMIF(Capacity_Resource,$D37,'Critical resources (hide)'!AH$6:AH$105)+SUMIF(Capacity_Resource,$E37,'Critical resources (hide)'!AH$6:AH$105)+SUMIF(Capacity_Resource,$F37,'Critical resources (hide)'!AH$6:AH$105)&gt;0,$E$1=2),0,1),0)</f>
        <v>1</v>
      </c>
      <c r="V37" s="67">
        <f ca="1">IF(LOWER(Capacity!$L49)="x",IF(AND(SUMIF(Capacity_Resource,$D37,'Critical resources (hide)'!AI$6:AI$105)+SUMIF(Capacity_Resource,$E37,'Critical resources (hide)'!AI$6:AI$105)+SUMIF(Capacity_Resource,$F37,'Critical resources (hide)'!AI$6:AI$105)&gt;0,$E$1=2),0,1),0)</f>
        <v>1</v>
      </c>
      <c r="W37" s="67">
        <f ca="1">IF(LOWER(Capacity!$L49)="x",IF(AND(SUMIF(Capacity_Resource,$D37,'Critical resources (hide)'!AJ$6:AJ$105)+SUMIF(Capacity_Resource,$E37,'Critical resources (hide)'!AJ$6:AJ$105)+SUMIF(Capacity_Resource,$F37,'Critical resources (hide)'!AJ$6:AJ$105)&gt;0,$E$1=2),0,1),0)</f>
        <v>1</v>
      </c>
      <c r="X37" s="67">
        <f ca="1">IF(LOWER(Capacity!$L49)="x",IF(AND(SUMIF(Capacity_Resource,$D37,'Critical resources (hide)'!AK$6:AK$105)+SUMIF(Capacity_Resource,$E37,'Critical resources (hide)'!AK$6:AK$105)+SUMIF(Capacity_Resource,$F37,'Critical resources (hide)'!AK$6:AK$105)&gt;0,$E$1=2),0,1),0)</f>
        <v>1</v>
      </c>
      <c r="Y37" s="67">
        <f ca="1">IF(LOWER(Capacity!$L49)="x",IF(AND(SUMIF(Capacity_Resource,$D37,'Critical resources (hide)'!AL$6:AL$105)+SUMIF(Capacity_Resource,$E37,'Critical resources (hide)'!AL$6:AL$105)+SUMIF(Capacity_Resource,$F37,'Critical resources (hide)'!AL$6:AL$105)&gt;0,$E$1=2),0,1),0)</f>
        <v>1</v>
      </c>
      <c r="Z37" s="67">
        <f ca="1">IF(LOWER(Capacity!$L49)="x",IF(AND(SUMIF(Capacity_Resource,$D37,'Critical resources (hide)'!AM$6:AM$105)+SUMIF(Capacity_Resource,$E37,'Critical resources (hide)'!AM$6:AM$105)+SUMIF(Capacity_Resource,$F37,'Critical resources (hide)'!AM$6:AM$105)&gt;0,$E$1=2),0,1),0)</f>
        <v>1</v>
      </c>
      <c r="AA37" s="67">
        <f ca="1">IF(LOWER(Capacity!$L49)="x",IF(AND(SUMIF(Capacity_Resource,$D37,'Critical resources (hide)'!AN$6:AN$105)+SUMIF(Capacity_Resource,$E37,'Critical resources (hide)'!AN$6:AN$105)+SUMIF(Capacity_Resource,$F37,'Critical resources (hide)'!AN$6:AN$105)&gt;0,$E$1=2),0,1),0)</f>
        <v>1</v>
      </c>
      <c r="AB37" s="67">
        <f ca="1">IF(LOWER(Capacity!$L49)="x",IF(AND(SUMIF(Capacity_Resource,$D37,'Critical resources (hide)'!AO$6:AO$105)+SUMIF(Capacity_Resource,$E37,'Critical resources (hide)'!AO$6:AO$105)+SUMIF(Capacity_Resource,$F37,'Critical resources (hide)'!AO$6:AO$105)&gt;0,$E$1=2),0,1),0)</f>
        <v>1</v>
      </c>
      <c r="AC37" s="67">
        <f ca="1">IF(LOWER(Capacity!$L49)="x",IF(AND(SUMIF(Capacity_Resource,$D37,'Critical resources (hide)'!AP$6:AP$105)+SUMIF(Capacity_Resource,$E37,'Critical resources (hide)'!AP$6:AP$105)+SUMIF(Capacity_Resource,$F37,'Critical resources (hide)'!AP$6:AP$105)&gt;0,$E$1=2),0,1),0)</f>
        <v>1</v>
      </c>
      <c r="AD37" s="67">
        <f ca="1">IF(LOWER(Capacity!$L49)="x",IF(AND(SUMIF(Capacity_Resource,$D37,'Critical resources (hide)'!AQ$6:AQ$105)+SUMIF(Capacity_Resource,$E37,'Critical resources (hide)'!AQ$6:AQ$105)+SUMIF(Capacity_Resource,$F37,'Critical resources (hide)'!AQ$6:AQ$105)&gt;0,$E$1=2),0,1),0)</f>
        <v>1</v>
      </c>
      <c r="AE37" s="67">
        <f ca="1">IF(LOWER(Capacity!$L49)="x",IF(AND(SUMIF(Capacity_Resource,$D37,'Critical resources (hide)'!AR$6:AR$105)+SUMIF(Capacity_Resource,$E37,'Critical resources (hide)'!AR$6:AR$105)+SUMIF(Capacity_Resource,$F37,'Critical resources (hide)'!AR$6:AR$105)&gt;0,$E$1=2),0,1),0)</f>
        <v>1</v>
      </c>
      <c r="AF37" s="67">
        <f ca="1">IF(LOWER(Capacity!$L49)="x",IF(AND(SUMIF(Capacity_Resource,$D37,'Critical resources (hide)'!AS$6:AS$105)+SUMIF(Capacity_Resource,$E37,'Critical resources (hide)'!AS$6:AS$105)+SUMIF(Capacity_Resource,$F37,'Critical resources (hide)'!AS$6:AS$105)&gt;0,$E$1=2),0,1),0)</f>
        <v>1</v>
      </c>
      <c r="AG37" s="67">
        <f ca="1">IF(LOWER(Capacity!$L49)="x",IF(AND(SUMIF(Capacity_Resource,$D37,'Critical resources (hide)'!AT$6:AT$105)+SUMIF(Capacity_Resource,$E37,'Critical resources (hide)'!AT$6:AT$105)+SUMIF(Capacity_Resource,$F37,'Critical resources (hide)'!AT$6:AT$105)&gt;0,$E$1=2),0,1),0)</f>
        <v>1</v>
      </c>
      <c r="AH37" s="67">
        <f ca="1">IF(LOWER(Capacity!$L49)="x",IF(AND(SUMIF(Capacity_Resource,$D37,'Critical resources (hide)'!AU$6:AU$105)+SUMIF(Capacity_Resource,$E37,'Critical resources (hide)'!AU$6:AU$105)+SUMIF(Capacity_Resource,$F37,'Critical resources (hide)'!AU$6:AU$105)&gt;0,$E$1=2),0,1),0)</f>
        <v>1</v>
      </c>
      <c r="AI37" s="67">
        <f ca="1">IF(LOWER(Capacity!$L49)="x",IF(AND(SUMIF(Capacity_Resource,$D37,'Critical resources (hide)'!AV$6:AV$105)+SUMIF(Capacity_Resource,$E37,'Critical resources (hide)'!AV$6:AV$105)+SUMIF(Capacity_Resource,$F37,'Critical resources (hide)'!AV$6:AV$105)&gt;0,$E$1=2),0,1),0)</f>
        <v>1</v>
      </c>
      <c r="AJ37" s="67">
        <f ca="1">IF(LOWER(Capacity!$L49)="x",IF(AND(SUMIF(Capacity_Resource,$D37,'Critical resources (hide)'!AW$6:AW$105)+SUMIF(Capacity_Resource,$E37,'Critical resources (hide)'!AW$6:AW$105)+SUMIF(Capacity_Resource,$F37,'Critical resources (hide)'!AW$6:AW$105)&gt;0,$E$1=2),0,1),0)</f>
        <v>1</v>
      </c>
      <c r="AK37" s="67">
        <f ca="1">IF(LOWER(Capacity!$L49)="x",IF(AND(SUMIF(Capacity_Resource,$D37,'Critical resources (hide)'!AX$6:AX$105)+SUMIF(Capacity_Resource,$E37,'Critical resources (hide)'!AX$6:AX$105)+SUMIF(Capacity_Resource,$F37,'Critical resources (hide)'!AX$6:AX$105)&gt;0,$E$1=2),0,1),0)</f>
        <v>1</v>
      </c>
      <c r="AL37" s="67">
        <f ca="1">IF(LOWER(Capacity!$L49)="x",IF(AND(SUMIF(Capacity_Resource,$D37,'Critical resources (hide)'!AY$6:AY$105)+SUMIF(Capacity_Resource,$E37,'Critical resources (hide)'!AY$6:AY$105)+SUMIF(Capacity_Resource,$F37,'Critical resources (hide)'!AY$6:AY$105)&gt;0,$E$1=2),0,1),0)</f>
        <v>1</v>
      </c>
      <c r="AM37" s="67">
        <f ca="1">IF(LOWER(Capacity!$L49)="x",IF(AND(SUMIF(Capacity_Resource,$D37,'Critical resources (hide)'!AZ$6:AZ$105)+SUMIF(Capacity_Resource,$E37,'Critical resources (hide)'!AZ$6:AZ$105)+SUMIF(Capacity_Resource,$F37,'Critical resources (hide)'!AZ$6:AZ$105)&gt;0,$E$1=2),0,1),0)</f>
        <v>1</v>
      </c>
      <c r="AN37" s="67">
        <f ca="1">IF(LOWER(Capacity!$L49)="x",IF(AND(SUMIF(Capacity_Resource,$D37,'Critical resources (hide)'!BA$6:BA$105)+SUMIF(Capacity_Resource,$E37,'Critical resources (hide)'!BA$6:BA$105)+SUMIF(Capacity_Resource,$F37,'Critical resources (hide)'!BA$6:BA$105)&gt;0,$E$1=2),0,1),0)</f>
        <v>1</v>
      </c>
      <c r="AO37" s="67">
        <f ca="1">IF(LOWER(Capacity!$L49)="x",IF(AND(SUMIF(Capacity_Resource,$D37,'Critical resources (hide)'!BB$6:BB$105)+SUMIF(Capacity_Resource,$E37,'Critical resources (hide)'!BB$6:BB$105)+SUMIF(Capacity_Resource,$F37,'Critical resources (hide)'!BB$6:BB$105)&gt;0,$E$1=2),0,1),0)</f>
        <v>1</v>
      </c>
      <c r="AP37" s="67">
        <f ca="1">IF(LOWER(Capacity!$L49)="x",IF(AND(SUMIF(Capacity_Resource,$D37,'Critical resources (hide)'!BC$6:BC$105)+SUMIF(Capacity_Resource,$E37,'Critical resources (hide)'!BC$6:BC$105)+SUMIF(Capacity_Resource,$F37,'Critical resources (hide)'!BC$6:BC$105)&gt;0,$E$1=2),0,1),0)</f>
        <v>1</v>
      </c>
      <c r="AQ37" s="67">
        <f ca="1">IF(LOWER(Capacity!$L49)="x",IF(AND(SUMIF(Capacity_Resource,$D37,'Critical resources (hide)'!BD$6:BD$105)+SUMIF(Capacity_Resource,$E37,'Critical resources (hide)'!BD$6:BD$105)+SUMIF(Capacity_Resource,$F37,'Critical resources (hide)'!BD$6:BD$105)&gt;0,$E$1=2),0,1),0)</f>
        <v>1</v>
      </c>
      <c r="AR37" s="67">
        <f ca="1">IF(LOWER(Capacity!$L49)="x",IF(AND(SUMIF(Capacity_Resource,$D37,'Critical resources (hide)'!BE$6:BE$105)+SUMIF(Capacity_Resource,$E37,'Critical resources (hide)'!BE$6:BE$105)+SUMIF(Capacity_Resource,$F37,'Critical resources (hide)'!BE$6:BE$105)&gt;0,$E$1=2),0,1),0)</f>
        <v>1</v>
      </c>
      <c r="AS37" s="67">
        <f ca="1">IF(LOWER(Capacity!$L49)="x",IF(AND(SUMIF(Capacity_Resource,$D37,'Critical resources (hide)'!BF$6:BF$105)+SUMIF(Capacity_Resource,$E37,'Critical resources (hide)'!BF$6:BF$105)+SUMIF(Capacity_Resource,$F37,'Critical resources (hide)'!BF$6:BF$105)&gt;0,$E$1=2),0,1),0)</f>
        <v>1</v>
      </c>
      <c r="AT37" s="67">
        <f ca="1">IF(LOWER(Capacity!$L49)="x",IF(AND(SUMIF(Capacity_Resource,$D37,'Critical resources (hide)'!BG$6:BG$105)+SUMIF(Capacity_Resource,$E37,'Critical resources (hide)'!BG$6:BG$105)+SUMIF(Capacity_Resource,$F37,'Critical resources (hide)'!BG$6:BG$105)&gt;0,$E$1=2),0,1),0)</f>
        <v>1</v>
      </c>
      <c r="AU37" s="67">
        <f ca="1">IF(LOWER(Capacity!$L49)="x",IF(AND(SUMIF(Capacity_Resource,$D37,'Critical resources (hide)'!BH$6:BH$105)+SUMIF(Capacity_Resource,$E37,'Critical resources (hide)'!BH$6:BH$105)+SUMIF(Capacity_Resource,$F37,'Critical resources (hide)'!BH$6:BH$105)&gt;0,$E$1=2),0,1),0)</f>
        <v>1</v>
      </c>
      <c r="AV37" s="67">
        <f ca="1">IF(LOWER(Capacity!$L49)="x",IF(AND(SUMIF(Capacity_Resource,$D37,'Critical resources (hide)'!BI$6:BI$105)+SUMIF(Capacity_Resource,$E37,'Critical resources (hide)'!BI$6:BI$105)+SUMIF(Capacity_Resource,$F37,'Critical resources (hide)'!BI$6:BI$105)&gt;0,$E$1=2),0,1),0)</f>
        <v>1</v>
      </c>
      <c r="AW37" s="67">
        <f ca="1">IF(LOWER(Capacity!$L49)="x",IF(AND(SUMIF(Capacity_Resource,$D37,'Critical resources (hide)'!BJ$6:BJ$105)+SUMIF(Capacity_Resource,$E37,'Critical resources (hide)'!BJ$6:BJ$105)+SUMIF(Capacity_Resource,$F37,'Critical resources (hide)'!BJ$6:BJ$105)&gt;0,$E$1=2),0,1),0)</f>
        <v>1</v>
      </c>
      <c r="AX37" s="67">
        <f ca="1">IF(LOWER(Capacity!$L49)="x",IF(AND(SUMIF(Capacity_Resource,$D37,'Critical resources (hide)'!BK$6:BK$105)+SUMIF(Capacity_Resource,$E37,'Critical resources (hide)'!BK$6:BK$105)+SUMIF(Capacity_Resource,$F37,'Critical resources (hide)'!BK$6:BK$105)&gt;0,$E$1=2),0,1),0)</f>
        <v>1</v>
      </c>
      <c r="AY37" s="67">
        <f ca="1">IF(LOWER(Capacity!$L49)="x",IF(AND(SUMIF(Capacity_Resource,$D37,'Critical resources (hide)'!BL$6:BL$105)+SUMIF(Capacity_Resource,$E37,'Critical resources (hide)'!BL$6:BL$105)+SUMIF(Capacity_Resource,$F37,'Critical resources (hide)'!BL$6:BL$105)&gt;0,$E$1=2),0,1),0)</f>
        <v>1</v>
      </c>
      <c r="AZ37" s="67">
        <f ca="1">IF(LOWER(Capacity!$L49)="x",IF(AND(SUMIF(Capacity_Resource,$D37,'Critical resources (hide)'!BM$6:BM$105)+SUMIF(Capacity_Resource,$E37,'Critical resources (hide)'!BM$6:BM$105)+SUMIF(Capacity_Resource,$F37,'Critical resources (hide)'!BM$6:BM$105)&gt;0,$E$1=2),0,1),0)</f>
        <v>1</v>
      </c>
      <c r="BA37" s="67">
        <f ca="1">IF(LOWER(Capacity!$L49)="x",IF(AND(SUMIF(Capacity_Resource,$D37,'Critical resources (hide)'!BN$6:BN$105)+SUMIF(Capacity_Resource,$E37,'Critical resources (hide)'!BN$6:BN$105)+SUMIF(Capacity_Resource,$F37,'Critical resources (hide)'!BN$6:BN$105)&gt;0,$E$1=2),0,1),0)</f>
        <v>1</v>
      </c>
      <c r="BB37" s="67">
        <f ca="1">IF(LOWER(Capacity!$L49)="x",IF(AND(SUMIF(Capacity_Resource,$D37,'Critical resources (hide)'!BO$6:BO$105)+SUMIF(Capacity_Resource,$E37,'Critical resources (hide)'!BO$6:BO$105)+SUMIF(Capacity_Resource,$F37,'Critical resources (hide)'!BO$6:BO$105)&gt;0,$E$1=2),0,1),0)</f>
        <v>1</v>
      </c>
      <c r="BC37" s="67">
        <f ca="1">IF(LOWER(Capacity!$L49)="x",IF(AND(SUMIF(Capacity_Resource,$D37,'Critical resources (hide)'!BP$6:BP$105)+SUMIF(Capacity_Resource,$E37,'Critical resources (hide)'!BP$6:BP$105)+SUMIF(Capacity_Resource,$F37,'Critical resources (hide)'!BP$6:BP$105)&gt;0,$E$1=2),0,1),0)</f>
        <v>1</v>
      </c>
      <c r="BD37" s="67">
        <f ca="1">IF(LOWER(Capacity!$L49)="x",IF(AND(SUMIF(Capacity_Resource,$D37,'Critical resources (hide)'!BQ$6:BQ$105)+SUMIF(Capacity_Resource,$E37,'Critical resources (hide)'!BQ$6:BQ$105)+SUMIF(Capacity_Resource,$F37,'Critical resources (hide)'!BQ$6:BQ$105)&gt;0,$E$1=2),0,1),0)</f>
        <v>1</v>
      </c>
      <c r="BE37" s="67">
        <f ca="1">IF(LOWER(Capacity!$L49)="x",IF(AND(SUMIF(Capacity_Resource,$D37,'Critical resources (hide)'!BR$6:BR$105)+SUMIF(Capacity_Resource,$E37,'Critical resources (hide)'!BR$6:BR$105)+SUMIF(Capacity_Resource,$F37,'Critical resources (hide)'!BR$6:BR$105)&gt;0,$E$1=2),0,1),0)</f>
        <v>1</v>
      </c>
      <c r="BF37" s="67">
        <f ca="1">IF(LOWER(Capacity!$L49)="x",IF(AND(SUMIF(Capacity_Resource,$D37,'Critical resources (hide)'!BS$6:BS$105)+SUMIF(Capacity_Resource,$E37,'Critical resources (hide)'!BS$6:BS$105)+SUMIF(Capacity_Resource,$F37,'Critical resources (hide)'!BS$6:BS$105)&gt;0,$E$1=2),0,1),0)</f>
        <v>1</v>
      </c>
      <c r="BG37" s="67">
        <f ca="1">IF(LOWER(Capacity!$L49)="x",IF(AND(SUMIF(Capacity_Resource,$D37,'Critical resources (hide)'!BT$6:BT$105)+SUMIF(Capacity_Resource,$E37,'Critical resources (hide)'!BT$6:BT$105)+SUMIF(Capacity_Resource,$F37,'Critical resources (hide)'!BT$6:BT$105)&gt;0,$E$1=2),0,1),0)</f>
        <v>1</v>
      </c>
      <c r="BH37" s="67">
        <f>IF(ROW(C33)&lt;=Capacity!$A$16,IF('Capacity summary'!$D$14="No",SUM(H37:BG37),'Capacity summary'!$E156),0)</f>
        <v>0</v>
      </c>
      <c r="BI37" s="5" t="str">
        <f>IF(BH37&gt;0,IF(BH37&lt;Capacity!E49,Capacity!F49,Capacity!H49/'Capacity calculation (hide)'!BH37),"")</f>
        <v/>
      </c>
      <c r="BK37" s="311">
        <f>IF($BI37&lt;&gt;"",IF('Capacity summary'!$D$14="Yes",IF(COUNTBLANK('Capacity summary'!$H156:$BG156)&lt;52,IF('Capacity summary'!H156&lt;&gt;"",IF(LOWER('Capacity summary'!H156)="x",$BI37*H37,VALUE('Capacity summary'!H156)),0),H37*$BI37),H37*$BI37),0)</f>
        <v>0</v>
      </c>
      <c r="BL37" s="311">
        <f>IF($BI37&lt;&gt;"",IF('Capacity summary'!$D$14="Yes",IF(COUNTBLANK('Capacity summary'!$H156:$BG156)&lt;52,IF('Capacity summary'!I156&lt;&gt;"",IF(LOWER('Capacity summary'!I156)="x",$BI37*I37,VALUE('Capacity summary'!I156)),0),I37*$BI37),I37*$BI37),0)</f>
        <v>0</v>
      </c>
      <c r="BM37" s="311">
        <f>IF($BI37&lt;&gt;"",IF('Capacity summary'!$D$14="Yes",IF(COUNTBLANK('Capacity summary'!$H156:$BG156)&lt;52,IF('Capacity summary'!J156&lt;&gt;"",IF(LOWER('Capacity summary'!J156)="x",$BI37*J37,VALUE('Capacity summary'!J156)),0),J37*$BI37),J37*$BI37),0)</f>
        <v>0</v>
      </c>
      <c r="BN37" s="311">
        <f>IF($BI37&lt;&gt;"",IF('Capacity summary'!$D$14="Yes",IF(COUNTBLANK('Capacity summary'!$H156:$BG156)&lt;52,IF('Capacity summary'!K156&lt;&gt;"",IF(LOWER('Capacity summary'!K156)="x",$BI37*K37,VALUE('Capacity summary'!K156)),0),K37*$BI37),K37*$BI37),0)</f>
        <v>0</v>
      </c>
      <c r="BO37" s="311">
        <f>IF($BI37&lt;&gt;"",IF('Capacity summary'!$D$14="Yes",IF(COUNTBLANK('Capacity summary'!$H156:$BG156)&lt;52,IF('Capacity summary'!L156&lt;&gt;"",IF(LOWER('Capacity summary'!L156)="x",$BI37*L37,VALUE('Capacity summary'!L156)),0),L37*$BI37),L37*$BI37),0)</f>
        <v>0</v>
      </c>
      <c r="BP37" s="311">
        <f>IF($BI37&lt;&gt;"",IF('Capacity summary'!$D$14="Yes",IF(COUNTBLANK('Capacity summary'!$H156:$BG156)&lt;52,IF('Capacity summary'!M156&lt;&gt;"",IF(LOWER('Capacity summary'!M156)="x",$BI37*M37,VALUE('Capacity summary'!M156)),0),M37*$BI37),M37*$BI37),0)</f>
        <v>0</v>
      </c>
      <c r="BQ37" s="311">
        <f>IF($BI37&lt;&gt;"",IF('Capacity summary'!$D$14="Yes",IF(COUNTBLANK('Capacity summary'!$H156:$BG156)&lt;52,IF('Capacity summary'!N156&lt;&gt;"",IF(LOWER('Capacity summary'!N156)="x",$BI37*N37,VALUE('Capacity summary'!N156)),0),N37*$BI37),N37*$BI37),0)</f>
        <v>0</v>
      </c>
      <c r="BR37" s="311">
        <f>IF($BI37&lt;&gt;"",IF('Capacity summary'!$D$14="Yes",IF(COUNTBLANK('Capacity summary'!$H156:$BG156)&lt;52,IF('Capacity summary'!O156&lt;&gt;"",IF(LOWER('Capacity summary'!O156)="x",$BI37*O37,VALUE('Capacity summary'!O156)),0),O37*$BI37),O37*$BI37),0)</f>
        <v>0</v>
      </c>
      <c r="BS37" s="311">
        <f>IF($BI37&lt;&gt;"",IF('Capacity summary'!$D$14="Yes",IF(COUNTBLANK('Capacity summary'!$H156:$BG156)&lt;52,IF('Capacity summary'!P156&lt;&gt;"",IF(LOWER('Capacity summary'!P156)="x",$BI37*P37,VALUE('Capacity summary'!P156)),0),P37*$BI37),P37*$BI37),0)</f>
        <v>0</v>
      </c>
      <c r="BT37" s="311">
        <f>IF($BI37&lt;&gt;"",IF('Capacity summary'!$D$14="Yes",IF(COUNTBLANK('Capacity summary'!$H156:$BG156)&lt;52,IF('Capacity summary'!Q156&lt;&gt;"",IF(LOWER('Capacity summary'!Q156)="x",$BI37*Q37,VALUE('Capacity summary'!Q156)),0),Q37*$BI37),Q37*$BI37),0)</f>
        <v>0</v>
      </c>
      <c r="BU37" s="311">
        <f>IF($BI37&lt;&gt;"",IF('Capacity summary'!$D$14="Yes",IF(COUNTBLANK('Capacity summary'!$H156:$BG156)&lt;52,IF('Capacity summary'!R156&lt;&gt;"",IF(LOWER('Capacity summary'!R156)="x",$BI37*R37,VALUE('Capacity summary'!R156)),0),R37*$BI37),R37*$BI37),0)</f>
        <v>0</v>
      </c>
      <c r="BV37" s="311">
        <f>IF($BI37&lt;&gt;"",IF('Capacity summary'!$D$14="Yes",IF(COUNTBLANK('Capacity summary'!$H156:$BG156)&lt;52,IF('Capacity summary'!S156&lt;&gt;"",IF(LOWER('Capacity summary'!S156)="x",$BI37*S37,VALUE('Capacity summary'!S156)),0),S37*$BI37),S37*$BI37),0)</f>
        <v>0</v>
      </c>
      <c r="BW37" s="311">
        <f>IF($BI37&lt;&gt;"",IF('Capacity summary'!$D$14="Yes",IF(COUNTBLANK('Capacity summary'!$H156:$BG156)&lt;52,IF('Capacity summary'!T156&lt;&gt;"",IF(LOWER('Capacity summary'!T156)="x",$BI37*T37,VALUE('Capacity summary'!T156)),0),T37*$BI37),T37*$BI37),0)</f>
        <v>0</v>
      </c>
      <c r="BX37" s="311">
        <f>IF($BI37&lt;&gt;"",IF('Capacity summary'!$D$14="Yes",IF(COUNTBLANK('Capacity summary'!$H156:$BG156)&lt;52,IF('Capacity summary'!U156&lt;&gt;"",IF(LOWER('Capacity summary'!U156)="x",$BI37*U37,VALUE('Capacity summary'!U156)),0),U37*$BI37),U37*$BI37),0)</f>
        <v>0</v>
      </c>
      <c r="BY37" s="311">
        <f>IF($BI37&lt;&gt;"",IF('Capacity summary'!$D$14="Yes",IF(COUNTBLANK('Capacity summary'!$H156:$BG156)&lt;52,IF('Capacity summary'!V156&lt;&gt;"",IF(LOWER('Capacity summary'!V156)="x",$BI37*V37,VALUE('Capacity summary'!V156)),0),V37*$BI37),V37*$BI37),0)</f>
        <v>0</v>
      </c>
      <c r="BZ37" s="311">
        <f>IF($BI37&lt;&gt;"",IF('Capacity summary'!$D$14="Yes",IF(COUNTBLANK('Capacity summary'!$H156:$BG156)&lt;52,IF('Capacity summary'!W156&lt;&gt;"",IF(LOWER('Capacity summary'!W156)="x",$BI37*W37,VALUE('Capacity summary'!W156)),0),W37*$BI37),W37*$BI37),0)</f>
        <v>0</v>
      </c>
      <c r="CA37" s="311">
        <f>IF($BI37&lt;&gt;"",IF('Capacity summary'!$D$14="Yes",IF(COUNTBLANK('Capacity summary'!$H156:$BG156)&lt;52,IF('Capacity summary'!X156&lt;&gt;"",IF(LOWER('Capacity summary'!X156)="x",$BI37*X37,VALUE('Capacity summary'!X156)),0),X37*$BI37),X37*$BI37),0)</f>
        <v>0</v>
      </c>
      <c r="CB37" s="311">
        <f>IF($BI37&lt;&gt;"",IF('Capacity summary'!$D$14="Yes",IF(COUNTBLANK('Capacity summary'!$H156:$BG156)&lt;52,IF('Capacity summary'!Y156&lt;&gt;"",IF(LOWER('Capacity summary'!Y156)="x",$BI37*Y37,VALUE('Capacity summary'!Y156)),0),Y37*$BI37),Y37*$BI37),0)</f>
        <v>0</v>
      </c>
      <c r="CC37" s="311">
        <f>IF($BI37&lt;&gt;"",IF('Capacity summary'!$D$14="Yes",IF(COUNTBLANK('Capacity summary'!$H156:$BG156)&lt;52,IF('Capacity summary'!Z156&lt;&gt;"",IF(LOWER('Capacity summary'!Z156)="x",$BI37*Z37,VALUE('Capacity summary'!Z156)),0),Z37*$BI37),Z37*$BI37),0)</f>
        <v>0</v>
      </c>
      <c r="CD37" s="311">
        <f>IF($BI37&lt;&gt;"",IF('Capacity summary'!$D$14="Yes",IF(COUNTBLANK('Capacity summary'!$H156:$BG156)&lt;52,IF('Capacity summary'!AA156&lt;&gt;"",IF(LOWER('Capacity summary'!AA156)="x",$BI37*AA37,VALUE('Capacity summary'!AA156)),0),AA37*$BI37),AA37*$BI37),0)</f>
        <v>0</v>
      </c>
      <c r="CE37" s="311">
        <f>IF($BI37&lt;&gt;"",IF('Capacity summary'!$D$14="Yes",IF(COUNTBLANK('Capacity summary'!$H156:$BG156)&lt;52,IF('Capacity summary'!AB156&lt;&gt;"",IF(LOWER('Capacity summary'!AB156)="x",$BI37*AB37,VALUE('Capacity summary'!AB156)),0),AB37*$BI37),AB37*$BI37),0)</f>
        <v>0</v>
      </c>
      <c r="CF37" s="311">
        <f>IF($BI37&lt;&gt;"",IF('Capacity summary'!$D$14="Yes",IF(COUNTBLANK('Capacity summary'!$H156:$BG156)&lt;52,IF('Capacity summary'!AC156&lt;&gt;"",IF(LOWER('Capacity summary'!AC156)="x",$BI37*AC37,VALUE('Capacity summary'!AC156)),0),AC37*$BI37),AC37*$BI37),0)</f>
        <v>0</v>
      </c>
      <c r="CG37" s="311">
        <f>IF($BI37&lt;&gt;"",IF('Capacity summary'!$D$14="Yes",IF(COUNTBLANK('Capacity summary'!$H156:$BG156)&lt;52,IF('Capacity summary'!AD156&lt;&gt;"",IF(LOWER('Capacity summary'!AD156)="x",$BI37*AD37,VALUE('Capacity summary'!AD156)),0),AD37*$BI37),AD37*$BI37),0)</f>
        <v>0</v>
      </c>
      <c r="CH37" s="311">
        <f>IF($BI37&lt;&gt;"",IF('Capacity summary'!$D$14="Yes",IF(COUNTBLANK('Capacity summary'!$H156:$BG156)&lt;52,IF('Capacity summary'!AE156&lt;&gt;"",IF(LOWER('Capacity summary'!AE156)="x",$BI37*AE37,VALUE('Capacity summary'!AE156)),0),AE37*$BI37),AE37*$BI37),0)</f>
        <v>0</v>
      </c>
      <c r="CI37" s="311">
        <f>IF($BI37&lt;&gt;"",IF('Capacity summary'!$D$14="Yes",IF(COUNTBLANK('Capacity summary'!$H156:$BG156)&lt;52,IF('Capacity summary'!AF156&lt;&gt;"",IF(LOWER('Capacity summary'!AF156)="x",$BI37*AF37,VALUE('Capacity summary'!AF156)),0),AF37*$BI37),AF37*$BI37),0)</f>
        <v>0</v>
      </c>
      <c r="CJ37" s="311">
        <f>IF($BI37&lt;&gt;"",IF('Capacity summary'!$D$14="Yes",IF(COUNTBLANK('Capacity summary'!$H156:$BG156)&lt;52,IF('Capacity summary'!AG156&lt;&gt;"",IF(LOWER('Capacity summary'!AG156)="x",$BI37*AG37,VALUE('Capacity summary'!AG156)),0),AG37*$BI37),AG37*$BI37),0)</f>
        <v>0</v>
      </c>
      <c r="CK37" s="311">
        <f>IF($BI37&lt;&gt;"",IF('Capacity summary'!$D$14="Yes",IF(COUNTBLANK('Capacity summary'!$H156:$BG156)&lt;52,IF('Capacity summary'!AH156&lt;&gt;"",IF(LOWER('Capacity summary'!AH156)="x",$BI37*AH37,VALUE('Capacity summary'!AH156)),0),AH37*$BI37),AH37*$BI37),0)</f>
        <v>0</v>
      </c>
      <c r="CL37" s="311">
        <f>IF($BI37&lt;&gt;"",IF('Capacity summary'!$D$14="Yes",IF(COUNTBLANK('Capacity summary'!$H156:$BG156)&lt;52,IF('Capacity summary'!AI156&lt;&gt;"",IF(LOWER('Capacity summary'!AI156)="x",$BI37*AI37,VALUE('Capacity summary'!AI156)),0),AI37*$BI37),AI37*$BI37),0)</f>
        <v>0</v>
      </c>
      <c r="CM37" s="311">
        <f>IF($BI37&lt;&gt;"",IF('Capacity summary'!$D$14="Yes",IF(COUNTBLANK('Capacity summary'!$H156:$BG156)&lt;52,IF('Capacity summary'!AJ156&lt;&gt;"",IF(LOWER('Capacity summary'!AJ156)="x",$BI37*AJ37,VALUE('Capacity summary'!AJ156)),0),AJ37*$BI37),AJ37*$BI37),0)</f>
        <v>0</v>
      </c>
      <c r="CN37" s="311">
        <f>IF($BI37&lt;&gt;"",IF('Capacity summary'!$D$14="Yes",IF(COUNTBLANK('Capacity summary'!$H156:$BG156)&lt;52,IF('Capacity summary'!AK156&lt;&gt;"",IF(LOWER('Capacity summary'!AK156)="x",$BI37*AK37,VALUE('Capacity summary'!AK156)),0),AK37*$BI37),AK37*$BI37),0)</f>
        <v>0</v>
      </c>
      <c r="CO37" s="311">
        <f>IF($BI37&lt;&gt;"",IF('Capacity summary'!$D$14="Yes",IF(COUNTBLANK('Capacity summary'!$H156:$BG156)&lt;52,IF('Capacity summary'!AL156&lt;&gt;"",IF(LOWER('Capacity summary'!AL156)="x",$BI37*AL37,VALUE('Capacity summary'!AL156)),0),AL37*$BI37),AL37*$BI37),0)</f>
        <v>0</v>
      </c>
      <c r="CP37" s="311">
        <f>IF($BI37&lt;&gt;"",IF('Capacity summary'!$D$14="Yes",IF(COUNTBLANK('Capacity summary'!$H156:$BG156)&lt;52,IF('Capacity summary'!AM156&lt;&gt;"",IF(LOWER('Capacity summary'!AM156)="x",$BI37*AM37,VALUE('Capacity summary'!AM156)),0),AM37*$BI37),AM37*$BI37),0)</f>
        <v>0</v>
      </c>
      <c r="CQ37" s="311">
        <f>IF($BI37&lt;&gt;"",IF('Capacity summary'!$D$14="Yes",IF(COUNTBLANK('Capacity summary'!$H156:$BG156)&lt;52,IF('Capacity summary'!AN156&lt;&gt;"",IF(LOWER('Capacity summary'!AN156)="x",$BI37*AN37,VALUE('Capacity summary'!AN156)),0),AN37*$BI37),AN37*$BI37),0)</f>
        <v>0</v>
      </c>
      <c r="CR37" s="311">
        <f>IF($BI37&lt;&gt;"",IF('Capacity summary'!$D$14="Yes",IF(COUNTBLANK('Capacity summary'!$H156:$BG156)&lt;52,IF('Capacity summary'!AO156&lt;&gt;"",IF(LOWER('Capacity summary'!AO156)="x",$BI37*AO37,VALUE('Capacity summary'!AO156)),0),AO37*$BI37),AO37*$BI37),0)</f>
        <v>0</v>
      </c>
      <c r="CS37" s="311">
        <f>IF($BI37&lt;&gt;"",IF('Capacity summary'!$D$14="Yes",IF(COUNTBLANK('Capacity summary'!$H156:$BG156)&lt;52,IF('Capacity summary'!AP156&lt;&gt;"",IF(LOWER('Capacity summary'!AP156)="x",$BI37*AP37,VALUE('Capacity summary'!AP156)),0),AP37*$BI37),AP37*$BI37),0)</f>
        <v>0</v>
      </c>
      <c r="CT37" s="311">
        <f>IF($BI37&lt;&gt;"",IF('Capacity summary'!$D$14="Yes",IF(COUNTBLANK('Capacity summary'!$H156:$BG156)&lt;52,IF('Capacity summary'!AQ156&lt;&gt;"",IF(LOWER('Capacity summary'!AQ156)="x",$BI37*AQ37,VALUE('Capacity summary'!AQ156)),0),AQ37*$BI37),AQ37*$BI37),0)</f>
        <v>0</v>
      </c>
      <c r="CU37" s="311">
        <f>IF($BI37&lt;&gt;"",IF('Capacity summary'!$D$14="Yes",IF(COUNTBLANK('Capacity summary'!$H156:$BG156)&lt;52,IF('Capacity summary'!AR156&lt;&gt;"",IF(LOWER('Capacity summary'!AR156)="x",$BI37*AR37,VALUE('Capacity summary'!AR156)),0),AR37*$BI37),AR37*$BI37),0)</f>
        <v>0</v>
      </c>
      <c r="CV37" s="311">
        <f>IF($BI37&lt;&gt;"",IF('Capacity summary'!$D$14="Yes",IF(COUNTBLANK('Capacity summary'!$H156:$BG156)&lt;52,IF('Capacity summary'!AS156&lt;&gt;"",IF(LOWER('Capacity summary'!AS156)="x",$BI37*AS37,VALUE('Capacity summary'!AS156)),0),AS37*$BI37),AS37*$BI37),0)</f>
        <v>0</v>
      </c>
      <c r="CW37" s="311">
        <f>IF($BI37&lt;&gt;"",IF('Capacity summary'!$D$14="Yes",IF(COUNTBLANK('Capacity summary'!$H156:$BG156)&lt;52,IF('Capacity summary'!AT156&lt;&gt;"",IF(LOWER('Capacity summary'!AT156)="x",$BI37*AT37,VALUE('Capacity summary'!AT156)),0),AT37*$BI37),AT37*$BI37),0)</f>
        <v>0</v>
      </c>
      <c r="CX37" s="311">
        <f>IF($BI37&lt;&gt;"",IF('Capacity summary'!$D$14="Yes",IF(COUNTBLANK('Capacity summary'!$H156:$BG156)&lt;52,IF('Capacity summary'!AU156&lt;&gt;"",IF(LOWER('Capacity summary'!AU156)="x",$BI37*AU37,VALUE('Capacity summary'!AU156)),0),AU37*$BI37),AU37*$BI37),0)</f>
        <v>0</v>
      </c>
      <c r="CY37" s="311">
        <f>IF($BI37&lt;&gt;"",IF('Capacity summary'!$D$14="Yes",IF(COUNTBLANK('Capacity summary'!$H156:$BG156)&lt;52,IF('Capacity summary'!AV156&lt;&gt;"",IF(LOWER('Capacity summary'!AV156)="x",$BI37*AV37,VALUE('Capacity summary'!AV156)),0),AV37*$BI37),AV37*$BI37),0)</f>
        <v>0</v>
      </c>
      <c r="CZ37" s="311">
        <f>IF($BI37&lt;&gt;"",IF('Capacity summary'!$D$14="Yes",IF(COUNTBLANK('Capacity summary'!$H156:$BG156)&lt;52,IF('Capacity summary'!AW156&lt;&gt;"",IF(LOWER('Capacity summary'!AW156)="x",$BI37*AW37,VALUE('Capacity summary'!AW156)),0),AW37*$BI37),AW37*$BI37),0)</f>
        <v>0</v>
      </c>
      <c r="DA37" s="311">
        <f>IF($BI37&lt;&gt;"",IF('Capacity summary'!$D$14="Yes",IF(COUNTBLANK('Capacity summary'!$H156:$BG156)&lt;52,IF('Capacity summary'!AX156&lt;&gt;"",IF(LOWER('Capacity summary'!AX156)="x",$BI37*AX37,VALUE('Capacity summary'!AX156)),0),AX37*$BI37),AX37*$BI37),0)</f>
        <v>0</v>
      </c>
      <c r="DB37" s="311">
        <f>IF($BI37&lt;&gt;"",IF('Capacity summary'!$D$14="Yes",IF(COUNTBLANK('Capacity summary'!$H156:$BG156)&lt;52,IF('Capacity summary'!AY156&lt;&gt;"",IF(LOWER('Capacity summary'!AY156)="x",$BI37*AY37,VALUE('Capacity summary'!AY156)),0),AY37*$BI37),AY37*$BI37),0)</f>
        <v>0</v>
      </c>
      <c r="DC37" s="311">
        <f>IF($BI37&lt;&gt;"",IF('Capacity summary'!$D$14="Yes",IF(COUNTBLANK('Capacity summary'!$H156:$BG156)&lt;52,IF('Capacity summary'!AZ156&lt;&gt;"",IF(LOWER('Capacity summary'!AZ156)="x",$BI37*AZ37,VALUE('Capacity summary'!AZ156)),0),AZ37*$BI37),AZ37*$BI37),0)</f>
        <v>0</v>
      </c>
      <c r="DD37" s="311">
        <f>IF($BI37&lt;&gt;"",IF('Capacity summary'!$D$14="Yes",IF(COUNTBLANK('Capacity summary'!$H156:$BG156)&lt;52,IF('Capacity summary'!BA156&lt;&gt;"",IF(LOWER('Capacity summary'!BA156)="x",$BI37*BA37,VALUE('Capacity summary'!BA156)),0),BA37*$BI37),BA37*$BI37),0)</f>
        <v>0</v>
      </c>
      <c r="DE37" s="311">
        <f>IF($BI37&lt;&gt;"",IF('Capacity summary'!$D$14="Yes",IF(COUNTBLANK('Capacity summary'!$H156:$BG156)&lt;52,IF('Capacity summary'!BB156&lt;&gt;"",IF(LOWER('Capacity summary'!BB156)="x",$BI37*BB37,VALUE('Capacity summary'!BB156)),0),BB37*$BI37),BB37*$BI37),0)</f>
        <v>0</v>
      </c>
      <c r="DF37" s="311">
        <f>IF($BI37&lt;&gt;"",IF('Capacity summary'!$D$14="Yes",IF(COUNTBLANK('Capacity summary'!$H156:$BG156)&lt;52,IF('Capacity summary'!BC156&lt;&gt;"",IF(LOWER('Capacity summary'!BC156)="x",$BI37*BC37,VALUE('Capacity summary'!BC156)),0),BC37*$BI37),BC37*$BI37),0)</f>
        <v>0</v>
      </c>
      <c r="DG37" s="311">
        <f>IF($BI37&lt;&gt;"",IF('Capacity summary'!$D$14="Yes",IF(COUNTBLANK('Capacity summary'!$H156:$BG156)&lt;52,IF('Capacity summary'!BD156&lt;&gt;"",IF(LOWER('Capacity summary'!BD156)="x",$BI37*BD37,VALUE('Capacity summary'!BD156)),0),BD37*$BI37),BD37*$BI37),0)</f>
        <v>0</v>
      </c>
      <c r="DH37" s="311">
        <f>IF($BI37&lt;&gt;"",IF('Capacity summary'!$D$14="Yes",IF(COUNTBLANK('Capacity summary'!$H156:$BG156)&lt;52,IF('Capacity summary'!BE156&lt;&gt;"",IF(LOWER('Capacity summary'!BE156)="x",$BI37*BE37,VALUE('Capacity summary'!BE156)),0),BE37*$BI37),BE37*$BI37),0)</f>
        <v>0</v>
      </c>
      <c r="DI37" s="311">
        <f>IF($BI37&lt;&gt;"",IF('Capacity summary'!$D$14="Yes",IF(COUNTBLANK('Capacity summary'!$H156:$BG156)&lt;52,IF('Capacity summary'!BF156&lt;&gt;"",IF(LOWER('Capacity summary'!BF156)="x",$BI37*BF37,VALUE('Capacity summary'!BF156)),0),BF37*$BI37),BF37*$BI37),0)</f>
        <v>0</v>
      </c>
      <c r="DJ37" s="311">
        <f>IF($BI37&lt;&gt;"",IF('Capacity summary'!$D$14="Yes",IF(COUNTBLANK('Capacity summary'!$H156:$BG156)&lt;52,IF('Capacity summary'!BG156&lt;&gt;"",IF(LOWER('Capacity summary'!BG156)="x",$BI37*BG37,VALUE('Capacity summary'!BG156)),0),BG37*$BI37),BG37*$BI37),0)</f>
        <v>0</v>
      </c>
      <c r="DK37" s="391">
        <f t="shared" si="2"/>
        <v>0</v>
      </c>
      <c r="DL37" s="136">
        <f t="shared" si="3"/>
        <v>0</v>
      </c>
      <c r="DM37" s="311" t="str">
        <f>Capacity!H49</f>
        <v/>
      </c>
      <c r="DQ37" s="5"/>
    </row>
    <row r="38" spans="1:121" x14ac:dyDescent="0.2">
      <c r="A38" s="67">
        <f>IF(Capacity!L50='Capacity summary'!BI157,1,0)</f>
        <v>1</v>
      </c>
      <c r="B38" s="67">
        <f>IF(Capacity!V50='Capacity summary'!BI57,1,0)</f>
        <v>1</v>
      </c>
      <c r="C38" s="67" t="str">
        <f>ROW(A34)&amp;". "&amp;Capacity!B50</f>
        <v xml:space="preserve">34. </v>
      </c>
      <c r="D38" s="67">
        <f>'Capacity setup'!C45</f>
        <v>0</v>
      </c>
      <c r="E38" s="67">
        <f>'Capacity setup'!D45</f>
        <v>0</v>
      </c>
      <c r="F38" s="67">
        <f>'Capacity setup'!E45</f>
        <v>0</v>
      </c>
      <c r="H38" s="67">
        <f ca="1">IF(LOWER(Capacity!$L50)="x",IF(AND(SUMIF(Capacity_Resource,$D38,'Critical resources (hide)'!U$6:U$105)+SUMIF(Capacity_Resource,$E38,'Critical resources (hide)'!U$6:U$105)+SUMIF(Capacity_Resource,$F38,'Critical resources (hide)'!U$6:U$105)&gt;0,$E$1=2),0,1),0)</f>
        <v>1</v>
      </c>
      <c r="I38" s="67">
        <f ca="1">IF(LOWER(Capacity!$L50)="x",IF(AND(SUMIF(Capacity_Resource,$D38,'Critical resources (hide)'!V$6:V$105)+SUMIF(Capacity_Resource,$E38,'Critical resources (hide)'!V$6:V$105)+SUMIF(Capacity_Resource,$F38,'Critical resources (hide)'!V$6:V$105)&gt;0,$E$1=2),0,1),0)</f>
        <v>1</v>
      </c>
      <c r="J38" s="67">
        <f ca="1">IF(LOWER(Capacity!$L50)="x",IF(AND(SUMIF(Capacity_Resource,$D38,'Critical resources (hide)'!W$6:W$105)+SUMIF(Capacity_Resource,$E38,'Critical resources (hide)'!W$6:W$105)+SUMIF(Capacity_Resource,$F38,'Critical resources (hide)'!W$6:W$105)&gt;0,$E$1=2),0,1),0)</f>
        <v>1</v>
      </c>
      <c r="K38" s="67">
        <f ca="1">IF(LOWER(Capacity!$L50)="x",IF(AND(SUMIF(Capacity_Resource,$D38,'Critical resources (hide)'!X$6:X$105)+SUMIF(Capacity_Resource,$E38,'Critical resources (hide)'!X$6:X$105)+SUMIF(Capacity_Resource,$F38,'Critical resources (hide)'!X$6:X$105)&gt;0,$E$1=2),0,1),0)</f>
        <v>1</v>
      </c>
      <c r="L38" s="67">
        <f ca="1">IF(LOWER(Capacity!$L50)="x",IF(AND(SUMIF(Capacity_Resource,$D38,'Critical resources (hide)'!Y$6:Y$105)+SUMIF(Capacity_Resource,$E38,'Critical resources (hide)'!Y$6:Y$105)+SUMIF(Capacity_Resource,$F38,'Critical resources (hide)'!Y$6:Y$105)&gt;0,$E$1=2),0,1),0)</f>
        <v>1</v>
      </c>
      <c r="M38" s="67">
        <f ca="1">IF(LOWER(Capacity!$L50)="x",IF(AND(SUMIF(Capacity_Resource,$D38,'Critical resources (hide)'!Z$6:Z$105)+SUMIF(Capacity_Resource,$E38,'Critical resources (hide)'!Z$6:Z$105)+SUMIF(Capacity_Resource,$F38,'Critical resources (hide)'!Z$6:Z$105)&gt;0,$E$1=2),0,1),0)</f>
        <v>1</v>
      </c>
      <c r="N38" s="67">
        <f ca="1">IF(LOWER(Capacity!$L50)="x",IF(AND(SUMIF(Capacity_Resource,$D38,'Critical resources (hide)'!AA$6:AA$105)+SUMIF(Capacity_Resource,$E38,'Critical resources (hide)'!AA$6:AA$105)+SUMIF(Capacity_Resource,$F38,'Critical resources (hide)'!AA$6:AA$105)&gt;0,$E$1=2),0,1),0)</f>
        <v>1</v>
      </c>
      <c r="O38" s="67">
        <f ca="1">IF(LOWER(Capacity!$L50)="x",IF(AND(SUMIF(Capacity_Resource,$D38,'Critical resources (hide)'!AB$6:AB$105)+SUMIF(Capacity_Resource,$E38,'Critical resources (hide)'!AB$6:AB$105)+SUMIF(Capacity_Resource,$F38,'Critical resources (hide)'!AB$6:AB$105)&gt;0,$E$1=2),0,1),0)</f>
        <v>1</v>
      </c>
      <c r="P38" s="67">
        <f ca="1">IF(LOWER(Capacity!$L50)="x",IF(AND(SUMIF(Capacity_Resource,$D38,'Critical resources (hide)'!AC$6:AC$105)+SUMIF(Capacity_Resource,$E38,'Critical resources (hide)'!AC$6:AC$105)+SUMIF(Capacity_Resource,$F38,'Critical resources (hide)'!AC$6:AC$105)&gt;0,$E$1=2),0,1),0)</f>
        <v>1</v>
      </c>
      <c r="Q38" s="67">
        <f ca="1">IF(LOWER(Capacity!$L50)="x",IF(AND(SUMIF(Capacity_Resource,$D38,'Critical resources (hide)'!AD$6:AD$105)+SUMIF(Capacity_Resource,$E38,'Critical resources (hide)'!AD$6:AD$105)+SUMIF(Capacity_Resource,$F38,'Critical resources (hide)'!AD$6:AD$105)&gt;0,$E$1=2),0,1),0)</f>
        <v>1</v>
      </c>
      <c r="R38" s="67">
        <f ca="1">IF(LOWER(Capacity!$L50)="x",IF(AND(SUMIF(Capacity_Resource,$D38,'Critical resources (hide)'!AE$6:AE$105)+SUMIF(Capacity_Resource,$E38,'Critical resources (hide)'!AE$6:AE$105)+SUMIF(Capacity_Resource,$F38,'Critical resources (hide)'!AE$6:AE$105)&gt;0,$E$1=2),0,1),0)</f>
        <v>1</v>
      </c>
      <c r="S38" s="67">
        <f ca="1">IF(LOWER(Capacity!$L50)="x",IF(AND(SUMIF(Capacity_Resource,$D38,'Critical resources (hide)'!AF$6:AF$105)+SUMIF(Capacity_Resource,$E38,'Critical resources (hide)'!AF$6:AF$105)+SUMIF(Capacity_Resource,$F38,'Critical resources (hide)'!AF$6:AF$105)&gt;0,$E$1=2),0,1),0)</f>
        <v>1</v>
      </c>
      <c r="T38" s="67">
        <f ca="1">IF(LOWER(Capacity!$L50)="x",IF(AND(SUMIF(Capacity_Resource,$D38,'Critical resources (hide)'!AG$6:AG$105)+SUMIF(Capacity_Resource,$E38,'Critical resources (hide)'!AG$6:AG$105)+SUMIF(Capacity_Resource,$F38,'Critical resources (hide)'!AG$6:AG$105)&gt;0,$E$1=2),0,1),0)</f>
        <v>1</v>
      </c>
      <c r="U38" s="67">
        <f ca="1">IF(LOWER(Capacity!$L50)="x",IF(AND(SUMIF(Capacity_Resource,$D38,'Critical resources (hide)'!AH$6:AH$105)+SUMIF(Capacity_Resource,$E38,'Critical resources (hide)'!AH$6:AH$105)+SUMIF(Capacity_Resource,$F38,'Critical resources (hide)'!AH$6:AH$105)&gt;0,$E$1=2),0,1),0)</f>
        <v>1</v>
      </c>
      <c r="V38" s="67">
        <f ca="1">IF(LOWER(Capacity!$L50)="x",IF(AND(SUMIF(Capacity_Resource,$D38,'Critical resources (hide)'!AI$6:AI$105)+SUMIF(Capacity_Resource,$E38,'Critical resources (hide)'!AI$6:AI$105)+SUMIF(Capacity_Resource,$F38,'Critical resources (hide)'!AI$6:AI$105)&gt;0,$E$1=2),0,1),0)</f>
        <v>1</v>
      </c>
      <c r="W38" s="67">
        <f ca="1">IF(LOWER(Capacity!$L50)="x",IF(AND(SUMIF(Capacity_Resource,$D38,'Critical resources (hide)'!AJ$6:AJ$105)+SUMIF(Capacity_Resource,$E38,'Critical resources (hide)'!AJ$6:AJ$105)+SUMIF(Capacity_Resource,$F38,'Critical resources (hide)'!AJ$6:AJ$105)&gt;0,$E$1=2),0,1),0)</f>
        <v>1</v>
      </c>
      <c r="X38" s="67">
        <f ca="1">IF(LOWER(Capacity!$L50)="x",IF(AND(SUMIF(Capacity_Resource,$D38,'Critical resources (hide)'!AK$6:AK$105)+SUMIF(Capacity_Resource,$E38,'Critical resources (hide)'!AK$6:AK$105)+SUMIF(Capacity_Resource,$F38,'Critical resources (hide)'!AK$6:AK$105)&gt;0,$E$1=2),0,1),0)</f>
        <v>1</v>
      </c>
      <c r="Y38" s="67">
        <f ca="1">IF(LOWER(Capacity!$L50)="x",IF(AND(SUMIF(Capacity_Resource,$D38,'Critical resources (hide)'!AL$6:AL$105)+SUMIF(Capacity_Resource,$E38,'Critical resources (hide)'!AL$6:AL$105)+SUMIF(Capacity_Resource,$F38,'Critical resources (hide)'!AL$6:AL$105)&gt;0,$E$1=2),0,1),0)</f>
        <v>1</v>
      </c>
      <c r="Z38" s="67">
        <f ca="1">IF(LOWER(Capacity!$L50)="x",IF(AND(SUMIF(Capacity_Resource,$D38,'Critical resources (hide)'!AM$6:AM$105)+SUMIF(Capacity_Resource,$E38,'Critical resources (hide)'!AM$6:AM$105)+SUMIF(Capacity_Resource,$F38,'Critical resources (hide)'!AM$6:AM$105)&gt;0,$E$1=2),0,1),0)</f>
        <v>1</v>
      </c>
      <c r="AA38" s="67">
        <f ca="1">IF(LOWER(Capacity!$L50)="x",IF(AND(SUMIF(Capacity_Resource,$D38,'Critical resources (hide)'!AN$6:AN$105)+SUMIF(Capacity_Resource,$E38,'Critical resources (hide)'!AN$6:AN$105)+SUMIF(Capacity_Resource,$F38,'Critical resources (hide)'!AN$6:AN$105)&gt;0,$E$1=2),0,1),0)</f>
        <v>1</v>
      </c>
      <c r="AB38" s="67">
        <f ca="1">IF(LOWER(Capacity!$L50)="x",IF(AND(SUMIF(Capacity_Resource,$D38,'Critical resources (hide)'!AO$6:AO$105)+SUMIF(Capacity_Resource,$E38,'Critical resources (hide)'!AO$6:AO$105)+SUMIF(Capacity_Resource,$F38,'Critical resources (hide)'!AO$6:AO$105)&gt;0,$E$1=2),0,1),0)</f>
        <v>1</v>
      </c>
      <c r="AC38" s="67">
        <f ca="1">IF(LOWER(Capacity!$L50)="x",IF(AND(SUMIF(Capacity_Resource,$D38,'Critical resources (hide)'!AP$6:AP$105)+SUMIF(Capacity_Resource,$E38,'Critical resources (hide)'!AP$6:AP$105)+SUMIF(Capacity_Resource,$F38,'Critical resources (hide)'!AP$6:AP$105)&gt;0,$E$1=2),0,1),0)</f>
        <v>1</v>
      </c>
      <c r="AD38" s="67">
        <f ca="1">IF(LOWER(Capacity!$L50)="x",IF(AND(SUMIF(Capacity_Resource,$D38,'Critical resources (hide)'!AQ$6:AQ$105)+SUMIF(Capacity_Resource,$E38,'Critical resources (hide)'!AQ$6:AQ$105)+SUMIF(Capacity_Resource,$F38,'Critical resources (hide)'!AQ$6:AQ$105)&gt;0,$E$1=2),0,1),0)</f>
        <v>1</v>
      </c>
      <c r="AE38" s="67">
        <f ca="1">IF(LOWER(Capacity!$L50)="x",IF(AND(SUMIF(Capacity_Resource,$D38,'Critical resources (hide)'!AR$6:AR$105)+SUMIF(Capacity_Resource,$E38,'Critical resources (hide)'!AR$6:AR$105)+SUMIF(Capacity_Resource,$F38,'Critical resources (hide)'!AR$6:AR$105)&gt;0,$E$1=2),0,1),0)</f>
        <v>1</v>
      </c>
      <c r="AF38" s="67">
        <f ca="1">IF(LOWER(Capacity!$L50)="x",IF(AND(SUMIF(Capacity_Resource,$D38,'Critical resources (hide)'!AS$6:AS$105)+SUMIF(Capacity_Resource,$E38,'Critical resources (hide)'!AS$6:AS$105)+SUMIF(Capacity_Resource,$F38,'Critical resources (hide)'!AS$6:AS$105)&gt;0,$E$1=2),0,1),0)</f>
        <v>1</v>
      </c>
      <c r="AG38" s="67">
        <f ca="1">IF(LOWER(Capacity!$L50)="x",IF(AND(SUMIF(Capacity_Resource,$D38,'Critical resources (hide)'!AT$6:AT$105)+SUMIF(Capacity_Resource,$E38,'Critical resources (hide)'!AT$6:AT$105)+SUMIF(Capacity_Resource,$F38,'Critical resources (hide)'!AT$6:AT$105)&gt;0,$E$1=2),0,1),0)</f>
        <v>1</v>
      </c>
      <c r="AH38" s="67">
        <f ca="1">IF(LOWER(Capacity!$L50)="x",IF(AND(SUMIF(Capacity_Resource,$D38,'Critical resources (hide)'!AU$6:AU$105)+SUMIF(Capacity_Resource,$E38,'Critical resources (hide)'!AU$6:AU$105)+SUMIF(Capacity_Resource,$F38,'Critical resources (hide)'!AU$6:AU$105)&gt;0,$E$1=2),0,1),0)</f>
        <v>1</v>
      </c>
      <c r="AI38" s="67">
        <f ca="1">IF(LOWER(Capacity!$L50)="x",IF(AND(SUMIF(Capacity_Resource,$D38,'Critical resources (hide)'!AV$6:AV$105)+SUMIF(Capacity_Resource,$E38,'Critical resources (hide)'!AV$6:AV$105)+SUMIF(Capacity_Resource,$F38,'Critical resources (hide)'!AV$6:AV$105)&gt;0,$E$1=2),0,1),0)</f>
        <v>1</v>
      </c>
      <c r="AJ38" s="67">
        <f ca="1">IF(LOWER(Capacity!$L50)="x",IF(AND(SUMIF(Capacity_Resource,$D38,'Critical resources (hide)'!AW$6:AW$105)+SUMIF(Capacity_Resource,$E38,'Critical resources (hide)'!AW$6:AW$105)+SUMIF(Capacity_Resource,$F38,'Critical resources (hide)'!AW$6:AW$105)&gt;0,$E$1=2),0,1),0)</f>
        <v>1</v>
      </c>
      <c r="AK38" s="67">
        <f ca="1">IF(LOWER(Capacity!$L50)="x",IF(AND(SUMIF(Capacity_Resource,$D38,'Critical resources (hide)'!AX$6:AX$105)+SUMIF(Capacity_Resource,$E38,'Critical resources (hide)'!AX$6:AX$105)+SUMIF(Capacity_Resource,$F38,'Critical resources (hide)'!AX$6:AX$105)&gt;0,$E$1=2),0,1),0)</f>
        <v>1</v>
      </c>
      <c r="AL38" s="67">
        <f ca="1">IF(LOWER(Capacity!$L50)="x",IF(AND(SUMIF(Capacity_Resource,$D38,'Critical resources (hide)'!AY$6:AY$105)+SUMIF(Capacity_Resource,$E38,'Critical resources (hide)'!AY$6:AY$105)+SUMIF(Capacity_Resource,$F38,'Critical resources (hide)'!AY$6:AY$105)&gt;0,$E$1=2),0,1),0)</f>
        <v>1</v>
      </c>
      <c r="AM38" s="67">
        <f ca="1">IF(LOWER(Capacity!$L50)="x",IF(AND(SUMIF(Capacity_Resource,$D38,'Critical resources (hide)'!AZ$6:AZ$105)+SUMIF(Capacity_Resource,$E38,'Critical resources (hide)'!AZ$6:AZ$105)+SUMIF(Capacity_Resource,$F38,'Critical resources (hide)'!AZ$6:AZ$105)&gt;0,$E$1=2),0,1),0)</f>
        <v>1</v>
      </c>
      <c r="AN38" s="67">
        <f ca="1">IF(LOWER(Capacity!$L50)="x",IF(AND(SUMIF(Capacity_Resource,$D38,'Critical resources (hide)'!BA$6:BA$105)+SUMIF(Capacity_Resource,$E38,'Critical resources (hide)'!BA$6:BA$105)+SUMIF(Capacity_Resource,$F38,'Critical resources (hide)'!BA$6:BA$105)&gt;0,$E$1=2),0,1),0)</f>
        <v>1</v>
      </c>
      <c r="AO38" s="67">
        <f ca="1">IF(LOWER(Capacity!$L50)="x",IF(AND(SUMIF(Capacity_Resource,$D38,'Critical resources (hide)'!BB$6:BB$105)+SUMIF(Capacity_Resource,$E38,'Critical resources (hide)'!BB$6:BB$105)+SUMIF(Capacity_Resource,$F38,'Critical resources (hide)'!BB$6:BB$105)&gt;0,$E$1=2),0,1),0)</f>
        <v>1</v>
      </c>
      <c r="AP38" s="67">
        <f ca="1">IF(LOWER(Capacity!$L50)="x",IF(AND(SUMIF(Capacity_Resource,$D38,'Critical resources (hide)'!BC$6:BC$105)+SUMIF(Capacity_Resource,$E38,'Critical resources (hide)'!BC$6:BC$105)+SUMIF(Capacity_Resource,$F38,'Critical resources (hide)'!BC$6:BC$105)&gt;0,$E$1=2),0,1),0)</f>
        <v>1</v>
      </c>
      <c r="AQ38" s="67">
        <f ca="1">IF(LOWER(Capacity!$L50)="x",IF(AND(SUMIF(Capacity_Resource,$D38,'Critical resources (hide)'!BD$6:BD$105)+SUMIF(Capacity_Resource,$E38,'Critical resources (hide)'!BD$6:BD$105)+SUMIF(Capacity_Resource,$F38,'Critical resources (hide)'!BD$6:BD$105)&gt;0,$E$1=2),0,1),0)</f>
        <v>1</v>
      </c>
      <c r="AR38" s="67">
        <f ca="1">IF(LOWER(Capacity!$L50)="x",IF(AND(SUMIF(Capacity_Resource,$D38,'Critical resources (hide)'!BE$6:BE$105)+SUMIF(Capacity_Resource,$E38,'Critical resources (hide)'!BE$6:BE$105)+SUMIF(Capacity_Resource,$F38,'Critical resources (hide)'!BE$6:BE$105)&gt;0,$E$1=2),0,1),0)</f>
        <v>1</v>
      </c>
      <c r="AS38" s="67">
        <f ca="1">IF(LOWER(Capacity!$L50)="x",IF(AND(SUMIF(Capacity_Resource,$D38,'Critical resources (hide)'!BF$6:BF$105)+SUMIF(Capacity_Resource,$E38,'Critical resources (hide)'!BF$6:BF$105)+SUMIF(Capacity_Resource,$F38,'Critical resources (hide)'!BF$6:BF$105)&gt;0,$E$1=2),0,1),0)</f>
        <v>1</v>
      </c>
      <c r="AT38" s="67">
        <f ca="1">IF(LOWER(Capacity!$L50)="x",IF(AND(SUMIF(Capacity_Resource,$D38,'Critical resources (hide)'!BG$6:BG$105)+SUMIF(Capacity_Resource,$E38,'Critical resources (hide)'!BG$6:BG$105)+SUMIF(Capacity_Resource,$F38,'Critical resources (hide)'!BG$6:BG$105)&gt;0,$E$1=2),0,1),0)</f>
        <v>1</v>
      </c>
      <c r="AU38" s="67">
        <f ca="1">IF(LOWER(Capacity!$L50)="x",IF(AND(SUMIF(Capacity_Resource,$D38,'Critical resources (hide)'!BH$6:BH$105)+SUMIF(Capacity_Resource,$E38,'Critical resources (hide)'!BH$6:BH$105)+SUMIF(Capacity_Resource,$F38,'Critical resources (hide)'!BH$6:BH$105)&gt;0,$E$1=2),0,1),0)</f>
        <v>1</v>
      </c>
      <c r="AV38" s="67">
        <f ca="1">IF(LOWER(Capacity!$L50)="x",IF(AND(SUMIF(Capacity_Resource,$D38,'Critical resources (hide)'!BI$6:BI$105)+SUMIF(Capacity_Resource,$E38,'Critical resources (hide)'!BI$6:BI$105)+SUMIF(Capacity_Resource,$F38,'Critical resources (hide)'!BI$6:BI$105)&gt;0,$E$1=2),0,1),0)</f>
        <v>1</v>
      </c>
      <c r="AW38" s="67">
        <f ca="1">IF(LOWER(Capacity!$L50)="x",IF(AND(SUMIF(Capacity_Resource,$D38,'Critical resources (hide)'!BJ$6:BJ$105)+SUMIF(Capacity_Resource,$E38,'Critical resources (hide)'!BJ$6:BJ$105)+SUMIF(Capacity_Resource,$F38,'Critical resources (hide)'!BJ$6:BJ$105)&gt;0,$E$1=2),0,1),0)</f>
        <v>1</v>
      </c>
      <c r="AX38" s="67">
        <f ca="1">IF(LOWER(Capacity!$L50)="x",IF(AND(SUMIF(Capacity_Resource,$D38,'Critical resources (hide)'!BK$6:BK$105)+SUMIF(Capacity_Resource,$E38,'Critical resources (hide)'!BK$6:BK$105)+SUMIF(Capacity_Resource,$F38,'Critical resources (hide)'!BK$6:BK$105)&gt;0,$E$1=2),0,1),0)</f>
        <v>1</v>
      </c>
      <c r="AY38" s="67">
        <f ca="1">IF(LOWER(Capacity!$L50)="x",IF(AND(SUMIF(Capacity_Resource,$D38,'Critical resources (hide)'!BL$6:BL$105)+SUMIF(Capacity_Resource,$E38,'Critical resources (hide)'!BL$6:BL$105)+SUMIF(Capacity_Resource,$F38,'Critical resources (hide)'!BL$6:BL$105)&gt;0,$E$1=2),0,1),0)</f>
        <v>1</v>
      </c>
      <c r="AZ38" s="67">
        <f ca="1">IF(LOWER(Capacity!$L50)="x",IF(AND(SUMIF(Capacity_Resource,$D38,'Critical resources (hide)'!BM$6:BM$105)+SUMIF(Capacity_Resource,$E38,'Critical resources (hide)'!BM$6:BM$105)+SUMIF(Capacity_Resource,$F38,'Critical resources (hide)'!BM$6:BM$105)&gt;0,$E$1=2),0,1),0)</f>
        <v>1</v>
      </c>
      <c r="BA38" s="67">
        <f ca="1">IF(LOWER(Capacity!$L50)="x",IF(AND(SUMIF(Capacity_Resource,$D38,'Critical resources (hide)'!BN$6:BN$105)+SUMIF(Capacity_Resource,$E38,'Critical resources (hide)'!BN$6:BN$105)+SUMIF(Capacity_Resource,$F38,'Critical resources (hide)'!BN$6:BN$105)&gt;0,$E$1=2),0,1),0)</f>
        <v>1</v>
      </c>
      <c r="BB38" s="67">
        <f ca="1">IF(LOWER(Capacity!$L50)="x",IF(AND(SUMIF(Capacity_Resource,$D38,'Critical resources (hide)'!BO$6:BO$105)+SUMIF(Capacity_Resource,$E38,'Critical resources (hide)'!BO$6:BO$105)+SUMIF(Capacity_Resource,$F38,'Critical resources (hide)'!BO$6:BO$105)&gt;0,$E$1=2),0,1),0)</f>
        <v>1</v>
      </c>
      <c r="BC38" s="67">
        <f ca="1">IF(LOWER(Capacity!$L50)="x",IF(AND(SUMIF(Capacity_Resource,$D38,'Critical resources (hide)'!BP$6:BP$105)+SUMIF(Capacity_Resource,$E38,'Critical resources (hide)'!BP$6:BP$105)+SUMIF(Capacity_Resource,$F38,'Critical resources (hide)'!BP$6:BP$105)&gt;0,$E$1=2),0,1),0)</f>
        <v>1</v>
      </c>
      <c r="BD38" s="67">
        <f ca="1">IF(LOWER(Capacity!$L50)="x",IF(AND(SUMIF(Capacity_Resource,$D38,'Critical resources (hide)'!BQ$6:BQ$105)+SUMIF(Capacity_Resource,$E38,'Critical resources (hide)'!BQ$6:BQ$105)+SUMIF(Capacity_Resource,$F38,'Critical resources (hide)'!BQ$6:BQ$105)&gt;0,$E$1=2),0,1),0)</f>
        <v>1</v>
      </c>
      <c r="BE38" s="67">
        <f ca="1">IF(LOWER(Capacity!$L50)="x",IF(AND(SUMIF(Capacity_Resource,$D38,'Critical resources (hide)'!BR$6:BR$105)+SUMIF(Capacity_Resource,$E38,'Critical resources (hide)'!BR$6:BR$105)+SUMIF(Capacity_Resource,$F38,'Critical resources (hide)'!BR$6:BR$105)&gt;0,$E$1=2),0,1),0)</f>
        <v>1</v>
      </c>
      <c r="BF38" s="67">
        <f ca="1">IF(LOWER(Capacity!$L50)="x",IF(AND(SUMIF(Capacity_Resource,$D38,'Critical resources (hide)'!BS$6:BS$105)+SUMIF(Capacity_Resource,$E38,'Critical resources (hide)'!BS$6:BS$105)+SUMIF(Capacity_Resource,$F38,'Critical resources (hide)'!BS$6:BS$105)&gt;0,$E$1=2),0,1),0)</f>
        <v>1</v>
      </c>
      <c r="BG38" s="67">
        <f ca="1">IF(LOWER(Capacity!$L50)="x",IF(AND(SUMIF(Capacity_Resource,$D38,'Critical resources (hide)'!BT$6:BT$105)+SUMIF(Capacity_Resource,$E38,'Critical resources (hide)'!BT$6:BT$105)+SUMIF(Capacity_Resource,$F38,'Critical resources (hide)'!BT$6:BT$105)&gt;0,$E$1=2),0,1),0)</f>
        <v>1</v>
      </c>
      <c r="BH38" s="67">
        <f>IF(ROW(C34)&lt;=Capacity!$A$16,IF('Capacity summary'!$D$14="No",SUM(H38:BG38),'Capacity summary'!$E157),0)</f>
        <v>0</v>
      </c>
      <c r="BI38" s="5" t="str">
        <f>IF(BH38&gt;0,IF(BH38&lt;Capacity!E50,Capacity!F50,Capacity!H50/'Capacity calculation (hide)'!BH38),"")</f>
        <v/>
      </c>
      <c r="BK38" s="311">
        <f>IF($BI38&lt;&gt;"",IF('Capacity summary'!$D$14="Yes",IF(COUNTBLANK('Capacity summary'!$H157:$BG157)&lt;52,IF('Capacity summary'!H157&lt;&gt;"",IF(LOWER('Capacity summary'!H157)="x",$BI38*H38,VALUE('Capacity summary'!H157)),0),H38*$BI38),H38*$BI38),0)</f>
        <v>0</v>
      </c>
      <c r="BL38" s="311">
        <f>IF($BI38&lt;&gt;"",IF('Capacity summary'!$D$14="Yes",IF(COUNTBLANK('Capacity summary'!$H157:$BG157)&lt;52,IF('Capacity summary'!I157&lt;&gt;"",IF(LOWER('Capacity summary'!I157)="x",$BI38*I38,VALUE('Capacity summary'!I157)),0),I38*$BI38),I38*$BI38),0)</f>
        <v>0</v>
      </c>
      <c r="BM38" s="311">
        <f>IF($BI38&lt;&gt;"",IF('Capacity summary'!$D$14="Yes",IF(COUNTBLANK('Capacity summary'!$H157:$BG157)&lt;52,IF('Capacity summary'!J157&lt;&gt;"",IF(LOWER('Capacity summary'!J157)="x",$BI38*J38,VALUE('Capacity summary'!J157)),0),J38*$BI38),J38*$BI38),0)</f>
        <v>0</v>
      </c>
      <c r="BN38" s="311">
        <f>IF($BI38&lt;&gt;"",IF('Capacity summary'!$D$14="Yes",IF(COUNTBLANK('Capacity summary'!$H157:$BG157)&lt;52,IF('Capacity summary'!K157&lt;&gt;"",IF(LOWER('Capacity summary'!K157)="x",$BI38*K38,VALUE('Capacity summary'!K157)),0),K38*$BI38),K38*$BI38),0)</f>
        <v>0</v>
      </c>
      <c r="BO38" s="311">
        <f>IF($BI38&lt;&gt;"",IF('Capacity summary'!$D$14="Yes",IF(COUNTBLANK('Capacity summary'!$H157:$BG157)&lt;52,IF('Capacity summary'!L157&lt;&gt;"",IF(LOWER('Capacity summary'!L157)="x",$BI38*L38,VALUE('Capacity summary'!L157)),0),L38*$BI38),L38*$BI38),0)</f>
        <v>0</v>
      </c>
      <c r="BP38" s="311">
        <f>IF($BI38&lt;&gt;"",IF('Capacity summary'!$D$14="Yes",IF(COUNTBLANK('Capacity summary'!$H157:$BG157)&lt;52,IF('Capacity summary'!M157&lt;&gt;"",IF(LOWER('Capacity summary'!M157)="x",$BI38*M38,VALUE('Capacity summary'!M157)),0),M38*$BI38),M38*$BI38),0)</f>
        <v>0</v>
      </c>
      <c r="BQ38" s="311">
        <f>IF($BI38&lt;&gt;"",IF('Capacity summary'!$D$14="Yes",IF(COUNTBLANK('Capacity summary'!$H157:$BG157)&lt;52,IF('Capacity summary'!N157&lt;&gt;"",IF(LOWER('Capacity summary'!N157)="x",$BI38*N38,VALUE('Capacity summary'!N157)),0),N38*$BI38),N38*$BI38),0)</f>
        <v>0</v>
      </c>
      <c r="BR38" s="311">
        <f>IF($BI38&lt;&gt;"",IF('Capacity summary'!$D$14="Yes",IF(COUNTBLANK('Capacity summary'!$H157:$BG157)&lt;52,IF('Capacity summary'!O157&lt;&gt;"",IF(LOWER('Capacity summary'!O157)="x",$BI38*O38,VALUE('Capacity summary'!O157)),0),O38*$BI38),O38*$BI38),0)</f>
        <v>0</v>
      </c>
      <c r="BS38" s="311">
        <f>IF($BI38&lt;&gt;"",IF('Capacity summary'!$D$14="Yes",IF(COUNTBLANK('Capacity summary'!$H157:$BG157)&lt;52,IF('Capacity summary'!P157&lt;&gt;"",IF(LOWER('Capacity summary'!P157)="x",$BI38*P38,VALUE('Capacity summary'!P157)),0),P38*$BI38),P38*$BI38),0)</f>
        <v>0</v>
      </c>
      <c r="BT38" s="311">
        <f>IF($BI38&lt;&gt;"",IF('Capacity summary'!$D$14="Yes",IF(COUNTBLANK('Capacity summary'!$H157:$BG157)&lt;52,IF('Capacity summary'!Q157&lt;&gt;"",IF(LOWER('Capacity summary'!Q157)="x",$BI38*Q38,VALUE('Capacity summary'!Q157)),0),Q38*$BI38),Q38*$BI38),0)</f>
        <v>0</v>
      </c>
      <c r="BU38" s="311">
        <f>IF($BI38&lt;&gt;"",IF('Capacity summary'!$D$14="Yes",IF(COUNTBLANK('Capacity summary'!$H157:$BG157)&lt;52,IF('Capacity summary'!R157&lt;&gt;"",IF(LOWER('Capacity summary'!R157)="x",$BI38*R38,VALUE('Capacity summary'!R157)),0),R38*$BI38),R38*$BI38),0)</f>
        <v>0</v>
      </c>
      <c r="BV38" s="311">
        <f>IF($BI38&lt;&gt;"",IF('Capacity summary'!$D$14="Yes",IF(COUNTBLANK('Capacity summary'!$H157:$BG157)&lt;52,IF('Capacity summary'!S157&lt;&gt;"",IF(LOWER('Capacity summary'!S157)="x",$BI38*S38,VALUE('Capacity summary'!S157)),0),S38*$BI38),S38*$BI38),0)</f>
        <v>0</v>
      </c>
      <c r="BW38" s="311">
        <f>IF($BI38&lt;&gt;"",IF('Capacity summary'!$D$14="Yes",IF(COUNTBLANK('Capacity summary'!$H157:$BG157)&lt;52,IF('Capacity summary'!T157&lt;&gt;"",IF(LOWER('Capacity summary'!T157)="x",$BI38*T38,VALUE('Capacity summary'!T157)),0),T38*$BI38),T38*$BI38),0)</f>
        <v>0</v>
      </c>
      <c r="BX38" s="311">
        <f>IF($BI38&lt;&gt;"",IF('Capacity summary'!$D$14="Yes",IF(COUNTBLANK('Capacity summary'!$H157:$BG157)&lt;52,IF('Capacity summary'!U157&lt;&gt;"",IF(LOWER('Capacity summary'!U157)="x",$BI38*U38,VALUE('Capacity summary'!U157)),0),U38*$BI38),U38*$BI38),0)</f>
        <v>0</v>
      </c>
      <c r="BY38" s="311">
        <f>IF($BI38&lt;&gt;"",IF('Capacity summary'!$D$14="Yes",IF(COUNTBLANK('Capacity summary'!$H157:$BG157)&lt;52,IF('Capacity summary'!V157&lt;&gt;"",IF(LOWER('Capacity summary'!V157)="x",$BI38*V38,VALUE('Capacity summary'!V157)),0),V38*$BI38),V38*$BI38),0)</f>
        <v>0</v>
      </c>
      <c r="BZ38" s="311">
        <f>IF($BI38&lt;&gt;"",IF('Capacity summary'!$D$14="Yes",IF(COUNTBLANK('Capacity summary'!$H157:$BG157)&lt;52,IF('Capacity summary'!W157&lt;&gt;"",IF(LOWER('Capacity summary'!W157)="x",$BI38*W38,VALUE('Capacity summary'!W157)),0),W38*$BI38),W38*$BI38),0)</f>
        <v>0</v>
      </c>
      <c r="CA38" s="311">
        <f>IF($BI38&lt;&gt;"",IF('Capacity summary'!$D$14="Yes",IF(COUNTBLANK('Capacity summary'!$H157:$BG157)&lt;52,IF('Capacity summary'!X157&lt;&gt;"",IF(LOWER('Capacity summary'!X157)="x",$BI38*X38,VALUE('Capacity summary'!X157)),0),X38*$BI38),X38*$BI38),0)</f>
        <v>0</v>
      </c>
      <c r="CB38" s="311">
        <f>IF($BI38&lt;&gt;"",IF('Capacity summary'!$D$14="Yes",IF(COUNTBLANK('Capacity summary'!$H157:$BG157)&lt;52,IF('Capacity summary'!Y157&lt;&gt;"",IF(LOWER('Capacity summary'!Y157)="x",$BI38*Y38,VALUE('Capacity summary'!Y157)),0),Y38*$BI38),Y38*$BI38),0)</f>
        <v>0</v>
      </c>
      <c r="CC38" s="311">
        <f>IF($BI38&lt;&gt;"",IF('Capacity summary'!$D$14="Yes",IF(COUNTBLANK('Capacity summary'!$H157:$BG157)&lt;52,IF('Capacity summary'!Z157&lt;&gt;"",IF(LOWER('Capacity summary'!Z157)="x",$BI38*Z38,VALUE('Capacity summary'!Z157)),0),Z38*$BI38),Z38*$BI38),0)</f>
        <v>0</v>
      </c>
      <c r="CD38" s="311">
        <f>IF($BI38&lt;&gt;"",IF('Capacity summary'!$D$14="Yes",IF(COUNTBLANK('Capacity summary'!$H157:$BG157)&lt;52,IF('Capacity summary'!AA157&lt;&gt;"",IF(LOWER('Capacity summary'!AA157)="x",$BI38*AA38,VALUE('Capacity summary'!AA157)),0),AA38*$BI38),AA38*$BI38),0)</f>
        <v>0</v>
      </c>
      <c r="CE38" s="311">
        <f>IF($BI38&lt;&gt;"",IF('Capacity summary'!$D$14="Yes",IF(COUNTBLANK('Capacity summary'!$H157:$BG157)&lt;52,IF('Capacity summary'!AB157&lt;&gt;"",IF(LOWER('Capacity summary'!AB157)="x",$BI38*AB38,VALUE('Capacity summary'!AB157)),0),AB38*$BI38),AB38*$BI38),0)</f>
        <v>0</v>
      </c>
      <c r="CF38" s="311">
        <f>IF($BI38&lt;&gt;"",IF('Capacity summary'!$D$14="Yes",IF(COUNTBLANK('Capacity summary'!$H157:$BG157)&lt;52,IF('Capacity summary'!AC157&lt;&gt;"",IF(LOWER('Capacity summary'!AC157)="x",$BI38*AC38,VALUE('Capacity summary'!AC157)),0),AC38*$BI38),AC38*$BI38),0)</f>
        <v>0</v>
      </c>
      <c r="CG38" s="311">
        <f>IF($BI38&lt;&gt;"",IF('Capacity summary'!$D$14="Yes",IF(COUNTBLANK('Capacity summary'!$H157:$BG157)&lt;52,IF('Capacity summary'!AD157&lt;&gt;"",IF(LOWER('Capacity summary'!AD157)="x",$BI38*AD38,VALUE('Capacity summary'!AD157)),0),AD38*$BI38),AD38*$BI38),0)</f>
        <v>0</v>
      </c>
      <c r="CH38" s="311">
        <f>IF($BI38&lt;&gt;"",IF('Capacity summary'!$D$14="Yes",IF(COUNTBLANK('Capacity summary'!$H157:$BG157)&lt;52,IF('Capacity summary'!AE157&lt;&gt;"",IF(LOWER('Capacity summary'!AE157)="x",$BI38*AE38,VALUE('Capacity summary'!AE157)),0),AE38*$BI38),AE38*$BI38),0)</f>
        <v>0</v>
      </c>
      <c r="CI38" s="311">
        <f>IF($BI38&lt;&gt;"",IF('Capacity summary'!$D$14="Yes",IF(COUNTBLANK('Capacity summary'!$H157:$BG157)&lt;52,IF('Capacity summary'!AF157&lt;&gt;"",IF(LOWER('Capacity summary'!AF157)="x",$BI38*AF38,VALUE('Capacity summary'!AF157)),0),AF38*$BI38),AF38*$BI38),0)</f>
        <v>0</v>
      </c>
      <c r="CJ38" s="311">
        <f>IF($BI38&lt;&gt;"",IF('Capacity summary'!$D$14="Yes",IF(COUNTBLANK('Capacity summary'!$H157:$BG157)&lt;52,IF('Capacity summary'!AG157&lt;&gt;"",IF(LOWER('Capacity summary'!AG157)="x",$BI38*AG38,VALUE('Capacity summary'!AG157)),0),AG38*$BI38),AG38*$BI38),0)</f>
        <v>0</v>
      </c>
      <c r="CK38" s="311">
        <f>IF($BI38&lt;&gt;"",IF('Capacity summary'!$D$14="Yes",IF(COUNTBLANK('Capacity summary'!$H157:$BG157)&lt;52,IF('Capacity summary'!AH157&lt;&gt;"",IF(LOWER('Capacity summary'!AH157)="x",$BI38*AH38,VALUE('Capacity summary'!AH157)),0),AH38*$BI38),AH38*$BI38),0)</f>
        <v>0</v>
      </c>
      <c r="CL38" s="311">
        <f>IF($BI38&lt;&gt;"",IF('Capacity summary'!$D$14="Yes",IF(COUNTBLANK('Capacity summary'!$H157:$BG157)&lt;52,IF('Capacity summary'!AI157&lt;&gt;"",IF(LOWER('Capacity summary'!AI157)="x",$BI38*AI38,VALUE('Capacity summary'!AI157)),0),AI38*$BI38),AI38*$BI38),0)</f>
        <v>0</v>
      </c>
      <c r="CM38" s="311">
        <f>IF($BI38&lt;&gt;"",IF('Capacity summary'!$D$14="Yes",IF(COUNTBLANK('Capacity summary'!$H157:$BG157)&lt;52,IF('Capacity summary'!AJ157&lt;&gt;"",IF(LOWER('Capacity summary'!AJ157)="x",$BI38*AJ38,VALUE('Capacity summary'!AJ157)),0),AJ38*$BI38),AJ38*$BI38),0)</f>
        <v>0</v>
      </c>
      <c r="CN38" s="311">
        <f>IF($BI38&lt;&gt;"",IF('Capacity summary'!$D$14="Yes",IF(COUNTBLANK('Capacity summary'!$H157:$BG157)&lt;52,IF('Capacity summary'!AK157&lt;&gt;"",IF(LOWER('Capacity summary'!AK157)="x",$BI38*AK38,VALUE('Capacity summary'!AK157)),0),AK38*$BI38),AK38*$BI38),0)</f>
        <v>0</v>
      </c>
      <c r="CO38" s="311">
        <f>IF($BI38&lt;&gt;"",IF('Capacity summary'!$D$14="Yes",IF(COUNTBLANK('Capacity summary'!$H157:$BG157)&lt;52,IF('Capacity summary'!AL157&lt;&gt;"",IF(LOWER('Capacity summary'!AL157)="x",$BI38*AL38,VALUE('Capacity summary'!AL157)),0),AL38*$BI38),AL38*$BI38),0)</f>
        <v>0</v>
      </c>
      <c r="CP38" s="311">
        <f>IF($BI38&lt;&gt;"",IF('Capacity summary'!$D$14="Yes",IF(COUNTBLANK('Capacity summary'!$H157:$BG157)&lt;52,IF('Capacity summary'!AM157&lt;&gt;"",IF(LOWER('Capacity summary'!AM157)="x",$BI38*AM38,VALUE('Capacity summary'!AM157)),0),AM38*$BI38),AM38*$BI38),0)</f>
        <v>0</v>
      </c>
      <c r="CQ38" s="311">
        <f>IF($BI38&lt;&gt;"",IF('Capacity summary'!$D$14="Yes",IF(COUNTBLANK('Capacity summary'!$H157:$BG157)&lt;52,IF('Capacity summary'!AN157&lt;&gt;"",IF(LOWER('Capacity summary'!AN157)="x",$BI38*AN38,VALUE('Capacity summary'!AN157)),0),AN38*$BI38),AN38*$BI38),0)</f>
        <v>0</v>
      </c>
      <c r="CR38" s="311">
        <f>IF($BI38&lt;&gt;"",IF('Capacity summary'!$D$14="Yes",IF(COUNTBLANK('Capacity summary'!$H157:$BG157)&lt;52,IF('Capacity summary'!AO157&lt;&gt;"",IF(LOWER('Capacity summary'!AO157)="x",$BI38*AO38,VALUE('Capacity summary'!AO157)),0),AO38*$BI38),AO38*$BI38),0)</f>
        <v>0</v>
      </c>
      <c r="CS38" s="311">
        <f>IF($BI38&lt;&gt;"",IF('Capacity summary'!$D$14="Yes",IF(COUNTBLANK('Capacity summary'!$H157:$BG157)&lt;52,IF('Capacity summary'!AP157&lt;&gt;"",IF(LOWER('Capacity summary'!AP157)="x",$BI38*AP38,VALUE('Capacity summary'!AP157)),0),AP38*$BI38),AP38*$BI38),0)</f>
        <v>0</v>
      </c>
      <c r="CT38" s="311">
        <f>IF($BI38&lt;&gt;"",IF('Capacity summary'!$D$14="Yes",IF(COUNTBLANK('Capacity summary'!$H157:$BG157)&lt;52,IF('Capacity summary'!AQ157&lt;&gt;"",IF(LOWER('Capacity summary'!AQ157)="x",$BI38*AQ38,VALUE('Capacity summary'!AQ157)),0),AQ38*$BI38),AQ38*$BI38),0)</f>
        <v>0</v>
      </c>
      <c r="CU38" s="311">
        <f>IF($BI38&lt;&gt;"",IF('Capacity summary'!$D$14="Yes",IF(COUNTBLANK('Capacity summary'!$H157:$BG157)&lt;52,IF('Capacity summary'!AR157&lt;&gt;"",IF(LOWER('Capacity summary'!AR157)="x",$BI38*AR38,VALUE('Capacity summary'!AR157)),0),AR38*$BI38),AR38*$BI38),0)</f>
        <v>0</v>
      </c>
      <c r="CV38" s="311">
        <f>IF($BI38&lt;&gt;"",IF('Capacity summary'!$D$14="Yes",IF(COUNTBLANK('Capacity summary'!$H157:$BG157)&lt;52,IF('Capacity summary'!AS157&lt;&gt;"",IF(LOWER('Capacity summary'!AS157)="x",$BI38*AS38,VALUE('Capacity summary'!AS157)),0),AS38*$BI38),AS38*$BI38),0)</f>
        <v>0</v>
      </c>
      <c r="CW38" s="311">
        <f>IF($BI38&lt;&gt;"",IF('Capacity summary'!$D$14="Yes",IF(COUNTBLANK('Capacity summary'!$H157:$BG157)&lt;52,IF('Capacity summary'!AT157&lt;&gt;"",IF(LOWER('Capacity summary'!AT157)="x",$BI38*AT38,VALUE('Capacity summary'!AT157)),0),AT38*$BI38),AT38*$BI38),0)</f>
        <v>0</v>
      </c>
      <c r="CX38" s="311">
        <f>IF($BI38&lt;&gt;"",IF('Capacity summary'!$D$14="Yes",IF(COUNTBLANK('Capacity summary'!$H157:$BG157)&lt;52,IF('Capacity summary'!AU157&lt;&gt;"",IF(LOWER('Capacity summary'!AU157)="x",$BI38*AU38,VALUE('Capacity summary'!AU157)),0),AU38*$BI38),AU38*$BI38),0)</f>
        <v>0</v>
      </c>
      <c r="CY38" s="311">
        <f>IF($BI38&lt;&gt;"",IF('Capacity summary'!$D$14="Yes",IF(COUNTBLANK('Capacity summary'!$H157:$BG157)&lt;52,IF('Capacity summary'!AV157&lt;&gt;"",IF(LOWER('Capacity summary'!AV157)="x",$BI38*AV38,VALUE('Capacity summary'!AV157)),0),AV38*$BI38),AV38*$BI38),0)</f>
        <v>0</v>
      </c>
      <c r="CZ38" s="311">
        <f>IF($BI38&lt;&gt;"",IF('Capacity summary'!$D$14="Yes",IF(COUNTBLANK('Capacity summary'!$H157:$BG157)&lt;52,IF('Capacity summary'!AW157&lt;&gt;"",IF(LOWER('Capacity summary'!AW157)="x",$BI38*AW38,VALUE('Capacity summary'!AW157)),0),AW38*$BI38),AW38*$BI38),0)</f>
        <v>0</v>
      </c>
      <c r="DA38" s="311">
        <f>IF($BI38&lt;&gt;"",IF('Capacity summary'!$D$14="Yes",IF(COUNTBLANK('Capacity summary'!$H157:$BG157)&lt;52,IF('Capacity summary'!AX157&lt;&gt;"",IF(LOWER('Capacity summary'!AX157)="x",$BI38*AX38,VALUE('Capacity summary'!AX157)),0),AX38*$BI38),AX38*$BI38),0)</f>
        <v>0</v>
      </c>
      <c r="DB38" s="311">
        <f>IF($BI38&lt;&gt;"",IF('Capacity summary'!$D$14="Yes",IF(COUNTBLANK('Capacity summary'!$H157:$BG157)&lt;52,IF('Capacity summary'!AY157&lt;&gt;"",IF(LOWER('Capacity summary'!AY157)="x",$BI38*AY38,VALUE('Capacity summary'!AY157)),0),AY38*$BI38),AY38*$BI38),0)</f>
        <v>0</v>
      </c>
      <c r="DC38" s="311">
        <f>IF($BI38&lt;&gt;"",IF('Capacity summary'!$D$14="Yes",IF(COUNTBLANK('Capacity summary'!$H157:$BG157)&lt;52,IF('Capacity summary'!AZ157&lt;&gt;"",IF(LOWER('Capacity summary'!AZ157)="x",$BI38*AZ38,VALUE('Capacity summary'!AZ157)),0),AZ38*$BI38),AZ38*$BI38),0)</f>
        <v>0</v>
      </c>
      <c r="DD38" s="311">
        <f>IF($BI38&lt;&gt;"",IF('Capacity summary'!$D$14="Yes",IF(COUNTBLANK('Capacity summary'!$H157:$BG157)&lt;52,IF('Capacity summary'!BA157&lt;&gt;"",IF(LOWER('Capacity summary'!BA157)="x",$BI38*BA38,VALUE('Capacity summary'!BA157)),0),BA38*$BI38),BA38*$BI38),0)</f>
        <v>0</v>
      </c>
      <c r="DE38" s="311">
        <f>IF($BI38&lt;&gt;"",IF('Capacity summary'!$D$14="Yes",IF(COUNTBLANK('Capacity summary'!$H157:$BG157)&lt;52,IF('Capacity summary'!BB157&lt;&gt;"",IF(LOWER('Capacity summary'!BB157)="x",$BI38*BB38,VALUE('Capacity summary'!BB157)),0),BB38*$BI38),BB38*$BI38),0)</f>
        <v>0</v>
      </c>
      <c r="DF38" s="311">
        <f>IF($BI38&lt;&gt;"",IF('Capacity summary'!$D$14="Yes",IF(COUNTBLANK('Capacity summary'!$H157:$BG157)&lt;52,IF('Capacity summary'!BC157&lt;&gt;"",IF(LOWER('Capacity summary'!BC157)="x",$BI38*BC38,VALUE('Capacity summary'!BC157)),0),BC38*$BI38),BC38*$BI38),0)</f>
        <v>0</v>
      </c>
      <c r="DG38" s="311">
        <f>IF($BI38&lt;&gt;"",IF('Capacity summary'!$D$14="Yes",IF(COUNTBLANK('Capacity summary'!$H157:$BG157)&lt;52,IF('Capacity summary'!BD157&lt;&gt;"",IF(LOWER('Capacity summary'!BD157)="x",$BI38*BD38,VALUE('Capacity summary'!BD157)),0),BD38*$BI38),BD38*$BI38),0)</f>
        <v>0</v>
      </c>
      <c r="DH38" s="311">
        <f>IF($BI38&lt;&gt;"",IF('Capacity summary'!$D$14="Yes",IF(COUNTBLANK('Capacity summary'!$H157:$BG157)&lt;52,IF('Capacity summary'!BE157&lt;&gt;"",IF(LOWER('Capacity summary'!BE157)="x",$BI38*BE38,VALUE('Capacity summary'!BE157)),0),BE38*$BI38),BE38*$BI38),0)</f>
        <v>0</v>
      </c>
      <c r="DI38" s="311">
        <f>IF($BI38&lt;&gt;"",IF('Capacity summary'!$D$14="Yes",IF(COUNTBLANK('Capacity summary'!$H157:$BG157)&lt;52,IF('Capacity summary'!BF157&lt;&gt;"",IF(LOWER('Capacity summary'!BF157)="x",$BI38*BF38,VALUE('Capacity summary'!BF157)),0),BF38*$BI38),BF38*$BI38),0)</f>
        <v>0</v>
      </c>
      <c r="DJ38" s="311">
        <f>IF($BI38&lt;&gt;"",IF('Capacity summary'!$D$14="Yes",IF(COUNTBLANK('Capacity summary'!$H157:$BG157)&lt;52,IF('Capacity summary'!BG157&lt;&gt;"",IF(LOWER('Capacity summary'!BG157)="x",$BI38*BG38,VALUE('Capacity summary'!BG157)),0),BG38*$BI38),BG38*$BI38),0)</f>
        <v>0</v>
      </c>
      <c r="DK38" s="391">
        <f t="shared" si="2"/>
        <v>0</v>
      </c>
      <c r="DL38" s="136">
        <f t="shared" si="3"/>
        <v>0</v>
      </c>
      <c r="DM38" s="311" t="str">
        <f>Capacity!H50</f>
        <v/>
      </c>
      <c r="DQ38" s="5"/>
    </row>
    <row r="39" spans="1:121" x14ac:dyDescent="0.2">
      <c r="A39" s="67">
        <f>IF(Capacity!L51='Capacity summary'!BI158,1,0)</f>
        <v>1</v>
      </c>
      <c r="B39" s="67">
        <f>IF(Capacity!V51='Capacity summary'!BI58,1,0)</f>
        <v>1</v>
      </c>
      <c r="C39" s="67" t="str">
        <f>ROW(A35)&amp;". "&amp;Capacity!B51</f>
        <v xml:space="preserve">35. </v>
      </c>
      <c r="D39" s="67">
        <f>'Capacity setup'!C46</f>
        <v>0</v>
      </c>
      <c r="E39" s="67">
        <f>'Capacity setup'!D46</f>
        <v>0</v>
      </c>
      <c r="F39" s="67">
        <f>'Capacity setup'!E46</f>
        <v>0</v>
      </c>
      <c r="H39" s="67">
        <f ca="1">IF(LOWER(Capacity!$L51)="x",IF(AND(SUMIF(Capacity_Resource,$D39,'Critical resources (hide)'!U$6:U$105)+SUMIF(Capacity_Resource,$E39,'Critical resources (hide)'!U$6:U$105)+SUMIF(Capacity_Resource,$F39,'Critical resources (hide)'!U$6:U$105)&gt;0,$E$1=2),0,1),0)</f>
        <v>1</v>
      </c>
      <c r="I39" s="67">
        <f ca="1">IF(LOWER(Capacity!$L51)="x",IF(AND(SUMIF(Capacity_Resource,$D39,'Critical resources (hide)'!V$6:V$105)+SUMIF(Capacity_Resource,$E39,'Critical resources (hide)'!V$6:V$105)+SUMIF(Capacity_Resource,$F39,'Critical resources (hide)'!V$6:V$105)&gt;0,$E$1=2),0,1),0)</f>
        <v>1</v>
      </c>
      <c r="J39" s="67">
        <f ca="1">IF(LOWER(Capacity!$L51)="x",IF(AND(SUMIF(Capacity_Resource,$D39,'Critical resources (hide)'!W$6:W$105)+SUMIF(Capacity_Resource,$E39,'Critical resources (hide)'!W$6:W$105)+SUMIF(Capacity_Resource,$F39,'Critical resources (hide)'!W$6:W$105)&gt;0,$E$1=2),0,1),0)</f>
        <v>1</v>
      </c>
      <c r="K39" s="67">
        <f ca="1">IF(LOWER(Capacity!$L51)="x",IF(AND(SUMIF(Capacity_Resource,$D39,'Critical resources (hide)'!X$6:X$105)+SUMIF(Capacity_Resource,$E39,'Critical resources (hide)'!X$6:X$105)+SUMIF(Capacity_Resource,$F39,'Critical resources (hide)'!X$6:X$105)&gt;0,$E$1=2),0,1),0)</f>
        <v>1</v>
      </c>
      <c r="L39" s="67">
        <f ca="1">IF(LOWER(Capacity!$L51)="x",IF(AND(SUMIF(Capacity_Resource,$D39,'Critical resources (hide)'!Y$6:Y$105)+SUMIF(Capacity_Resource,$E39,'Critical resources (hide)'!Y$6:Y$105)+SUMIF(Capacity_Resource,$F39,'Critical resources (hide)'!Y$6:Y$105)&gt;0,$E$1=2),0,1),0)</f>
        <v>1</v>
      </c>
      <c r="M39" s="67">
        <f ca="1">IF(LOWER(Capacity!$L51)="x",IF(AND(SUMIF(Capacity_Resource,$D39,'Critical resources (hide)'!Z$6:Z$105)+SUMIF(Capacity_Resource,$E39,'Critical resources (hide)'!Z$6:Z$105)+SUMIF(Capacity_Resource,$F39,'Critical resources (hide)'!Z$6:Z$105)&gt;0,$E$1=2),0,1),0)</f>
        <v>1</v>
      </c>
      <c r="N39" s="67">
        <f ca="1">IF(LOWER(Capacity!$L51)="x",IF(AND(SUMIF(Capacity_Resource,$D39,'Critical resources (hide)'!AA$6:AA$105)+SUMIF(Capacity_Resource,$E39,'Critical resources (hide)'!AA$6:AA$105)+SUMIF(Capacity_Resource,$F39,'Critical resources (hide)'!AA$6:AA$105)&gt;0,$E$1=2),0,1),0)</f>
        <v>1</v>
      </c>
      <c r="O39" s="67">
        <f ca="1">IF(LOWER(Capacity!$L51)="x",IF(AND(SUMIF(Capacity_Resource,$D39,'Critical resources (hide)'!AB$6:AB$105)+SUMIF(Capacity_Resource,$E39,'Critical resources (hide)'!AB$6:AB$105)+SUMIF(Capacity_Resource,$F39,'Critical resources (hide)'!AB$6:AB$105)&gt;0,$E$1=2),0,1),0)</f>
        <v>1</v>
      </c>
      <c r="P39" s="67">
        <f ca="1">IF(LOWER(Capacity!$L51)="x",IF(AND(SUMIF(Capacity_Resource,$D39,'Critical resources (hide)'!AC$6:AC$105)+SUMIF(Capacity_Resource,$E39,'Critical resources (hide)'!AC$6:AC$105)+SUMIF(Capacity_Resource,$F39,'Critical resources (hide)'!AC$6:AC$105)&gt;0,$E$1=2),0,1),0)</f>
        <v>1</v>
      </c>
      <c r="Q39" s="67">
        <f ca="1">IF(LOWER(Capacity!$L51)="x",IF(AND(SUMIF(Capacity_Resource,$D39,'Critical resources (hide)'!AD$6:AD$105)+SUMIF(Capacity_Resource,$E39,'Critical resources (hide)'!AD$6:AD$105)+SUMIF(Capacity_Resource,$F39,'Critical resources (hide)'!AD$6:AD$105)&gt;0,$E$1=2),0,1),0)</f>
        <v>1</v>
      </c>
      <c r="R39" s="67">
        <f ca="1">IF(LOWER(Capacity!$L51)="x",IF(AND(SUMIF(Capacity_Resource,$D39,'Critical resources (hide)'!AE$6:AE$105)+SUMIF(Capacity_Resource,$E39,'Critical resources (hide)'!AE$6:AE$105)+SUMIF(Capacity_Resource,$F39,'Critical resources (hide)'!AE$6:AE$105)&gt;0,$E$1=2),0,1),0)</f>
        <v>1</v>
      </c>
      <c r="S39" s="67">
        <f ca="1">IF(LOWER(Capacity!$L51)="x",IF(AND(SUMIF(Capacity_Resource,$D39,'Critical resources (hide)'!AF$6:AF$105)+SUMIF(Capacity_Resource,$E39,'Critical resources (hide)'!AF$6:AF$105)+SUMIF(Capacity_Resource,$F39,'Critical resources (hide)'!AF$6:AF$105)&gt;0,$E$1=2),0,1),0)</f>
        <v>1</v>
      </c>
      <c r="T39" s="67">
        <f ca="1">IF(LOWER(Capacity!$L51)="x",IF(AND(SUMIF(Capacity_Resource,$D39,'Critical resources (hide)'!AG$6:AG$105)+SUMIF(Capacity_Resource,$E39,'Critical resources (hide)'!AG$6:AG$105)+SUMIF(Capacity_Resource,$F39,'Critical resources (hide)'!AG$6:AG$105)&gt;0,$E$1=2),0,1),0)</f>
        <v>1</v>
      </c>
      <c r="U39" s="67">
        <f ca="1">IF(LOWER(Capacity!$L51)="x",IF(AND(SUMIF(Capacity_Resource,$D39,'Critical resources (hide)'!AH$6:AH$105)+SUMIF(Capacity_Resource,$E39,'Critical resources (hide)'!AH$6:AH$105)+SUMIF(Capacity_Resource,$F39,'Critical resources (hide)'!AH$6:AH$105)&gt;0,$E$1=2),0,1),0)</f>
        <v>1</v>
      </c>
      <c r="V39" s="67">
        <f ca="1">IF(LOWER(Capacity!$L51)="x",IF(AND(SUMIF(Capacity_Resource,$D39,'Critical resources (hide)'!AI$6:AI$105)+SUMIF(Capacity_Resource,$E39,'Critical resources (hide)'!AI$6:AI$105)+SUMIF(Capacity_Resource,$F39,'Critical resources (hide)'!AI$6:AI$105)&gt;0,$E$1=2),0,1),0)</f>
        <v>1</v>
      </c>
      <c r="W39" s="67">
        <f ca="1">IF(LOWER(Capacity!$L51)="x",IF(AND(SUMIF(Capacity_Resource,$D39,'Critical resources (hide)'!AJ$6:AJ$105)+SUMIF(Capacity_Resource,$E39,'Critical resources (hide)'!AJ$6:AJ$105)+SUMIF(Capacity_Resource,$F39,'Critical resources (hide)'!AJ$6:AJ$105)&gt;0,$E$1=2),0,1),0)</f>
        <v>1</v>
      </c>
      <c r="X39" s="67">
        <f ca="1">IF(LOWER(Capacity!$L51)="x",IF(AND(SUMIF(Capacity_Resource,$D39,'Critical resources (hide)'!AK$6:AK$105)+SUMIF(Capacity_Resource,$E39,'Critical resources (hide)'!AK$6:AK$105)+SUMIF(Capacity_Resource,$F39,'Critical resources (hide)'!AK$6:AK$105)&gt;0,$E$1=2),0,1),0)</f>
        <v>1</v>
      </c>
      <c r="Y39" s="67">
        <f ca="1">IF(LOWER(Capacity!$L51)="x",IF(AND(SUMIF(Capacity_Resource,$D39,'Critical resources (hide)'!AL$6:AL$105)+SUMIF(Capacity_Resource,$E39,'Critical resources (hide)'!AL$6:AL$105)+SUMIF(Capacity_Resource,$F39,'Critical resources (hide)'!AL$6:AL$105)&gt;0,$E$1=2),0,1),0)</f>
        <v>1</v>
      </c>
      <c r="Z39" s="67">
        <f ca="1">IF(LOWER(Capacity!$L51)="x",IF(AND(SUMIF(Capacity_Resource,$D39,'Critical resources (hide)'!AM$6:AM$105)+SUMIF(Capacity_Resource,$E39,'Critical resources (hide)'!AM$6:AM$105)+SUMIF(Capacity_Resource,$F39,'Critical resources (hide)'!AM$6:AM$105)&gt;0,$E$1=2),0,1),0)</f>
        <v>1</v>
      </c>
      <c r="AA39" s="67">
        <f ca="1">IF(LOWER(Capacity!$L51)="x",IF(AND(SUMIF(Capacity_Resource,$D39,'Critical resources (hide)'!AN$6:AN$105)+SUMIF(Capacity_Resource,$E39,'Critical resources (hide)'!AN$6:AN$105)+SUMIF(Capacity_Resource,$F39,'Critical resources (hide)'!AN$6:AN$105)&gt;0,$E$1=2),0,1),0)</f>
        <v>1</v>
      </c>
      <c r="AB39" s="67">
        <f ca="1">IF(LOWER(Capacity!$L51)="x",IF(AND(SUMIF(Capacity_Resource,$D39,'Critical resources (hide)'!AO$6:AO$105)+SUMIF(Capacity_Resource,$E39,'Critical resources (hide)'!AO$6:AO$105)+SUMIF(Capacity_Resource,$F39,'Critical resources (hide)'!AO$6:AO$105)&gt;0,$E$1=2),0,1),0)</f>
        <v>1</v>
      </c>
      <c r="AC39" s="67">
        <f ca="1">IF(LOWER(Capacity!$L51)="x",IF(AND(SUMIF(Capacity_Resource,$D39,'Critical resources (hide)'!AP$6:AP$105)+SUMIF(Capacity_Resource,$E39,'Critical resources (hide)'!AP$6:AP$105)+SUMIF(Capacity_Resource,$F39,'Critical resources (hide)'!AP$6:AP$105)&gt;0,$E$1=2),0,1),0)</f>
        <v>1</v>
      </c>
      <c r="AD39" s="67">
        <f ca="1">IF(LOWER(Capacity!$L51)="x",IF(AND(SUMIF(Capacity_Resource,$D39,'Critical resources (hide)'!AQ$6:AQ$105)+SUMIF(Capacity_Resource,$E39,'Critical resources (hide)'!AQ$6:AQ$105)+SUMIF(Capacity_Resource,$F39,'Critical resources (hide)'!AQ$6:AQ$105)&gt;0,$E$1=2),0,1),0)</f>
        <v>1</v>
      </c>
      <c r="AE39" s="67">
        <f ca="1">IF(LOWER(Capacity!$L51)="x",IF(AND(SUMIF(Capacity_Resource,$D39,'Critical resources (hide)'!AR$6:AR$105)+SUMIF(Capacity_Resource,$E39,'Critical resources (hide)'!AR$6:AR$105)+SUMIF(Capacity_Resource,$F39,'Critical resources (hide)'!AR$6:AR$105)&gt;0,$E$1=2),0,1),0)</f>
        <v>1</v>
      </c>
      <c r="AF39" s="67">
        <f ca="1">IF(LOWER(Capacity!$L51)="x",IF(AND(SUMIF(Capacity_Resource,$D39,'Critical resources (hide)'!AS$6:AS$105)+SUMIF(Capacity_Resource,$E39,'Critical resources (hide)'!AS$6:AS$105)+SUMIF(Capacity_Resource,$F39,'Critical resources (hide)'!AS$6:AS$105)&gt;0,$E$1=2),0,1),0)</f>
        <v>1</v>
      </c>
      <c r="AG39" s="67">
        <f ca="1">IF(LOWER(Capacity!$L51)="x",IF(AND(SUMIF(Capacity_Resource,$D39,'Critical resources (hide)'!AT$6:AT$105)+SUMIF(Capacity_Resource,$E39,'Critical resources (hide)'!AT$6:AT$105)+SUMIF(Capacity_Resource,$F39,'Critical resources (hide)'!AT$6:AT$105)&gt;0,$E$1=2),0,1),0)</f>
        <v>1</v>
      </c>
      <c r="AH39" s="67">
        <f ca="1">IF(LOWER(Capacity!$L51)="x",IF(AND(SUMIF(Capacity_Resource,$D39,'Critical resources (hide)'!AU$6:AU$105)+SUMIF(Capacity_Resource,$E39,'Critical resources (hide)'!AU$6:AU$105)+SUMIF(Capacity_Resource,$F39,'Critical resources (hide)'!AU$6:AU$105)&gt;0,$E$1=2),0,1),0)</f>
        <v>1</v>
      </c>
      <c r="AI39" s="67">
        <f ca="1">IF(LOWER(Capacity!$L51)="x",IF(AND(SUMIF(Capacity_Resource,$D39,'Critical resources (hide)'!AV$6:AV$105)+SUMIF(Capacity_Resource,$E39,'Critical resources (hide)'!AV$6:AV$105)+SUMIF(Capacity_Resource,$F39,'Critical resources (hide)'!AV$6:AV$105)&gt;0,$E$1=2),0,1),0)</f>
        <v>1</v>
      </c>
      <c r="AJ39" s="67">
        <f ca="1">IF(LOWER(Capacity!$L51)="x",IF(AND(SUMIF(Capacity_Resource,$D39,'Critical resources (hide)'!AW$6:AW$105)+SUMIF(Capacity_Resource,$E39,'Critical resources (hide)'!AW$6:AW$105)+SUMIF(Capacity_Resource,$F39,'Critical resources (hide)'!AW$6:AW$105)&gt;0,$E$1=2),0,1),0)</f>
        <v>1</v>
      </c>
      <c r="AK39" s="67">
        <f ca="1">IF(LOWER(Capacity!$L51)="x",IF(AND(SUMIF(Capacity_Resource,$D39,'Critical resources (hide)'!AX$6:AX$105)+SUMIF(Capacity_Resource,$E39,'Critical resources (hide)'!AX$6:AX$105)+SUMIF(Capacity_Resource,$F39,'Critical resources (hide)'!AX$6:AX$105)&gt;0,$E$1=2),0,1),0)</f>
        <v>1</v>
      </c>
      <c r="AL39" s="67">
        <f ca="1">IF(LOWER(Capacity!$L51)="x",IF(AND(SUMIF(Capacity_Resource,$D39,'Critical resources (hide)'!AY$6:AY$105)+SUMIF(Capacity_Resource,$E39,'Critical resources (hide)'!AY$6:AY$105)+SUMIF(Capacity_Resource,$F39,'Critical resources (hide)'!AY$6:AY$105)&gt;0,$E$1=2),0,1),0)</f>
        <v>1</v>
      </c>
      <c r="AM39" s="67">
        <f ca="1">IF(LOWER(Capacity!$L51)="x",IF(AND(SUMIF(Capacity_Resource,$D39,'Critical resources (hide)'!AZ$6:AZ$105)+SUMIF(Capacity_Resource,$E39,'Critical resources (hide)'!AZ$6:AZ$105)+SUMIF(Capacity_Resource,$F39,'Critical resources (hide)'!AZ$6:AZ$105)&gt;0,$E$1=2),0,1),0)</f>
        <v>1</v>
      </c>
      <c r="AN39" s="67">
        <f ca="1">IF(LOWER(Capacity!$L51)="x",IF(AND(SUMIF(Capacity_Resource,$D39,'Critical resources (hide)'!BA$6:BA$105)+SUMIF(Capacity_Resource,$E39,'Critical resources (hide)'!BA$6:BA$105)+SUMIF(Capacity_Resource,$F39,'Critical resources (hide)'!BA$6:BA$105)&gt;0,$E$1=2),0,1),0)</f>
        <v>1</v>
      </c>
      <c r="AO39" s="67">
        <f ca="1">IF(LOWER(Capacity!$L51)="x",IF(AND(SUMIF(Capacity_Resource,$D39,'Critical resources (hide)'!BB$6:BB$105)+SUMIF(Capacity_Resource,$E39,'Critical resources (hide)'!BB$6:BB$105)+SUMIF(Capacity_Resource,$F39,'Critical resources (hide)'!BB$6:BB$105)&gt;0,$E$1=2),0,1),0)</f>
        <v>1</v>
      </c>
      <c r="AP39" s="67">
        <f ca="1">IF(LOWER(Capacity!$L51)="x",IF(AND(SUMIF(Capacity_Resource,$D39,'Critical resources (hide)'!BC$6:BC$105)+SUMIF(Capacity_Resource,$E39,'Critical resources (hide)'!BC$6:BC$105)+SUMIF(Capacity_Resource,$F39,'Critical resources (hide)'!BC$6:BC$105)&gt;0,$E$1=2),0,1),0)</f>
        <v>1</v>
      </c>
      <c r="AQ39" s="67">
        <f ca="1">IF(LOWER(Capacity!$L51)="x",IF(AND(SUMIF(Capacity_Resource,$D39,'Critical resources (hide)'!BD$6:BD$105)+SUMIF(Capacity_Resource,$E39,'Critical resources (hide)'!BD$6:BD$105)+SUMIF(Capacity_Resource,$F39,'Critical resources (hide)'!BD$6:BD$105)&gt;0,$E$1=2),0,1),0)</f>
        <v>1</v>
      </c>
      <c r="AR39" s="67">
        <f ca="1">IF(LOWER(Capacity!$L51)="x",IF(AND(SUMIF(Capacity_Resource,$D39,'Critical resources (hide)'!BE$6:BE$105)+SUMIF(Capacity_Resource,$E39,'Critical resources (hide)'!BE$6:BE$105)+SUMIF(Capacity_Resource,$F39,'Critical resources (hide)'!BE$6:BE$105)&gt;0,$E$1=2),0,1),0)</f>
        <v>1</v>
      </c>
      <c r="AS39" s="67">
        <f ca="1">IF(LOWER(Capacity!$L51)="x",IF(AND(SUMIF(Capacity_Resource,$D39,'Critical resources (hide)'!BF$6:BF$105)+SUMIF(Capacity_Resource,$E39,'Critical resources (hide)'!BF$6:BF$105)+SUMIF(Capacity_Resource,$F39,'Critical resources (hide)'!BF$6:BF$105)&gt;0,$E$1=2),0,1),0)</f>
        <v>1</v>
      </c>
      <c r="AT39" s="67">
        <f ca="1">IF(LOWER(Capacity!$L51)="x",IF(AND(SUMIF(Capacity_Resource,$D39,'Critical resources (hide)'!BG$6:BG$105)+SUMIF(Capacity_Resource,$E39,'Critical resources (hide)'!BG$6:BG$105)+SUMIF(Capacity_Resource,$F39,'Critical resources (hide)'!BG$6:BG$105)&gt;0,$E$1=2),0,1),0)</f>
        <v>1</v>
      </c>
      <c r="AU39" s="67">
        <f ca="1">IF(LOWER(Capacity!$L51)="x",IF(AND(SUMIF(Capacity_Resource,$D39,'Critical resources (hide)'!BH$6:BH$105)+SUMIF(Capacity_Resource,$E39,'Critical resources (hide)'!BH$6:BH$105)+SUMIF(Capacity_Resource,$F39,'Critical resources (hide)'!BH$6:BH$105)&gt;0,$E$1=2),0,1),0)</f>
        <v>1</v>
      </c>
      <c r="AV39" s="67">
        <f ca="1">IF(LOWER(Capacity!$L51)="x",IF(AND(SUMIF(Capacity_Resource,$D39,'Critical resources (hide)'!BI$6:BI$105)+SUMIF(Capacity_Resource,$E39,'Critical resources (hide)'!BI$6:BI$105)+SUMIF(Capacity_Resource,$F39,'Critical resources (hide)'!BI$6:BI$105)&gt;0,$E$1=2),0,1),0)</f>
        <v>1</v>
      </c>
      <c r="AW39" s="67">
        <f ca="1">IF(LOWER(Capacity!$L51)="x",IF(AND(SUMIF(Capacity_Resource,$D39,'Critical resources (hide)'!BJ$6:BJ$105)+SUMIF(Capacity_Resource,$E39,'Critical resources (hide)'!BJ$6:BJ$105)+SUMIF(Capacity_Resource,$F39,'Critical resources (hide)'!BJ$6:BJ$105)&gt;0,$E$1=2),0,1),0)</f>
        <v>1</v>
      </c>
      <c r="AX39" s="67">
        <f ca="1">IF(LOWER(Capacity!$L51)="x",IF(AND(SUMIF(Capacity_Resource,$D39,'Critical resources (hide)'!BK$6:BK$105)+SUMIF(Capacity_Resource,$E39,'Critical resources (hide)'!BK$6:BK$105)+SUMIF(Capacity_Resource,$F39,'Critical resources (hide)'!BK$6:BK$105)&gt;0,$E$1=2),0,1),0)</f>
        <v>1</v>
      </c>
      <c r="AY39" s="67">
        <f ca="1">IF(LOWER(Capacity!$L51)="x",IF(AND(SUMIF(Capacity_Resource,$D39,'Critical resources (hide)'!BL$6:BL$105)+SUMIF(Capacity_Resource,$E39,'Critical resources (hide)'!BL$6:BL$105)+SUMIF(Capacity_Resource,$F39,'Critical resources (hide)'!BL$6:BL$105)&gt;0,$E$1=2),0,1),0)</f>
        <v>1</v>
      </c>
      <c r="AZ39" s="67">
        <f ca="1">IF(LOWER(Capacity!$L51)="x",IF(AND(SUMIF(Capacity_Resource,$D39,'Critical resources (hide)'!BM$6:BM$105)+SUMIF(Capacity_Resource,$E39,'Critical resources (hide)'!BM$6:BM$105)+SUMIF(Capacity_Resource,$F39,'Critical resources (hide)'!BM$6:BM$105)&gt;0,$E$1=2),0,1),0)</f>
        <v>1</v>
      </c>
      <c r="BA39" s="67">
        <f ca="1">IF(LOWER(Capacity!$L51)="x",IF(AND(SUMIF(Capacity_Resource,$D39,'Critical resources (hide)'!BN$6:BN$105)+SUMIF(Capacity_Resource,$E39,'Critical resources (hide)'!BN$6:BN$105)+SUMIF(Capacity_Resource,$F39,'Critical resources (hide)'!BN$6:BN$105)&gt;0,$E$1=2),0,1),0)</f>
        <v>1</v>
      </c>
      <c r="BB39" s="67">
        <f ca="1">IF(LOWER(Capacity!$L51)="x",IF(AND(SUMIF(Capacity_Resource,$D39,'Critical resources (hide)'!BO$6:BO$105)+SUMIF(Capacity_Resource,$E39,'Critical resources (hide)'!BO$6:BO$105)+SUMIF(Capacity_Resource,$F39,'Critical resources (hide)'!BO$6:BO$105)&gt;0,$E$1=2),0,1),0)</f>
        <v>1</v>
      </c>
      <c r="BC39" s="67">
        <f ca="1">IF(LOWER(Capacity!$L51)="x",IF(AND(SUMIF(Capacity_Resource,$D39,'Critical resources (hide)'!BP$6:BP$105)+SUMIF(Capacity_Resource,$E39,'Critical resources (hide)'!BP$6:BP$105)+SUMIF(Capacity_Resource,$F39,'Critical resources (hide)'!BP$6:BP$105)&gt;0,$E$1=2),0,1),0)</f>
        <v>1</v>
      </c>
      <c r="BD39" s="67">
        <f ca="1">IF(LOWER(Capacity!$L51)="x",IF(AND(SUMIF(Capacity_Resource,$D39,'Critical resources (hide)'!BQ$6:BQ$105)+SUMIF(Capacity_Resource,$E39,'Critical resources (hide)'!BQ$6:BQ$105)+SUMIF(Capacity_Resource,$F39,'Critical resources (hide)'!BQ$6:BQ$105)&gt;0,$E$1=2),0,1),0)</f>
        <v>1</v>
      </c>
      <c r="BE39" s="67">
        <f ca="1">IF(LOWER(Capacity!$L51)="x",IF(AND(SUMIF(Capacity_Resource,$D39,'Critical resources (hide)'!BR$6:BR$105)+SUMIF(Capacity_Resource,$E39,'Critical resources (hide)'!BR$6:BR$105)+SUMIF(Capacity_Resource,$F39,'Critical resources (hide)'!BR$6:BR$105)&gt;0,$E$1=2),0,1),0)</f>
        <v>1</v>
      </c>
      <c r="BF39" s="67">
        <f ca="1">IF(LOWER(Capacity!$L51)="x",IF(AND(SUMIF(Capacity_Resource,$D39,'Critical resources (hide)'!BS$6:BS$105)+SUMIF(Capacity_Resource,$E39,'Critical resources (hide)'!BS$6:BS$105)+SUMIF(Capacity_Resource,$F39,'Critical resources (hide)'!BS$6:BS$105)&gt;0,$E$1=2),0,1),0)</f>
        <v>1</v>
      </c>
      <c r="BG39" s="67">
        <f ca="1">IF(LOWER(Capacity!$L51)="x",IF(AND(SUMIF(Capacity_Resource,$D39,'Critical resources (hide)'!BT$6:BT$105)+SUMIF(Capacity_Resource,$E39,'Critical resources (hide)'!BT$6:BT$105)+SUMIF(Capacity_Resource,$F39,'Critical resources (hide)'!BT$6:BT$105)&gt;0,$E$1=2),0,1),0)</f>
        <v>1</v>
      </c>
      <c r="BH39" s="67">
        <f>IF(ROW(C35)&lt;=Capacity!$A$16,IF('Capacity summary'!$D$14="No",SUM(H39:BG39),'Capacity summary'!$E158),0)</f>
        <v>0</v>
      </c>
      <c r="BI39" s="5" t="str">
        <f>IF(BH39&gt;0,IF(BH39&lt;Capacity!E51,Capacity!F51,Capacity!H51/'Capacity calculation (hide)'!BH39),"")</f>
        <v/>
      </c>
      <c r="BK39" s="311">
        <f>IF($BI39&lt;&gt;"",IF('Capacity summary'!$D$14="Yes",IF(COUNTBLANK('Capacity summary'!$H158:$BG158)&lt;52,IF('Capacity summary'!H158&lt;&gt;"",IF(LOWER('Capacity summary'!H158)="x",$BI39*H39,VALUE('Capacity summary'!H158)),0),H39*$BI39),H39*$BI39),0)</f>
        <v>0</v>
      </c>
      <c r="BL39" s="311">
        <f>IF($BI39&lt;&gt;"",IF('Capacity summary'!$D$14="Yes",IF(COUNTBLANK('Capacity summary'!$H158:$BG158)&lt;52,IF('Capacity summary'!I158&lt;&gt;"",IF(LOWER('Capacity summary'!I158)="x",$BI39*I39,VALUE('Capacity summary'!I158)),0),I39*$BI39),I39*$BI39),0)</f>
        <v>0</v>
      </c>
      <c r="BM39" s="311">
        <f>IF($BI39&lt;&gt;"",IF('Capacity summary'!$D$14="Yes",IF(COUNTBLANK('Capacity summary'!$H158:$BG158)&lt;52,IF('Capacity summary'!J158&lt;&gt;"",IF(LOWER('Capacity summary'!J158)="x",$BI39*J39,VALUE('Capacity summary'!J158)),0),J39*$BI39),J39*$BI39),0)</f>
        <v>0</v>
      </c>
      <c r="BN39" s="311">
        <f>IF($BI39&lt;&gt;"",IF('Capacity summary'!$D$14="Yes",IF(COUNTBLANK('Capacity summary'!$H158:$BG158)&lt;52,IF('Capacity summary'!K158&lt;&gt;"",IF(LOWER('Capacity summary'!K158)="x",$BI39*K39,VALUE('Capacity summary'!K158)),0),K39*$BI39),K39*$BI39),0)</f>
        <v>0</v>
      </c>
      <c r="BO39" s="311">
        <f>IF($BI39&lt;&gt;"",IF('Capacity summary'!$D$14="Yes",IF(COUNTBLANK('Capacity summary'!$H158:$BG158)&lt;52,IF('Capacity summary'!L158&lt;&gt;"",IF(LOWER('Capacity summary'!L158)="x",$BI39*L39,VALUE('Capacity summary'!L158)),0),L39*$BI39),L39*$BI39),0)</f>
        <v>0</v>
      </c>
      <c r="BP39" s="311">
        <f>IF($BI39&lt;&gt;"",IF('Capacity summary'!$D$14="Yes",IF(COUNTBLANK('Capacity summary'!$H158:$BG158)&lt;52,IF('Capacity summary'!M158&lt;&gt;"",IF(LOWER('Capacity summary'!M158)="x",$BI39*M39,VALUE('Capacity summary'!M158)),0),M39*$BI39),M39*$BI39),0)</f>
        <v>0</v>
      </c>
      <c r="BQ39" s="311">
        <f>IF($BI39&lt;&gt;"",IF('Capacity summary'!$D$14="Yes",IF(COUNTBLANK('Capacity summary'!$H158:$BG158)&lt;52,IF('Capacity summary'!N158&lt;&gt;"",IF(LOWER('Capacity summary'!N158)="x",$BI39*N39,VALUE('Capacity summary'!N158)),0),N39*$BI39),N39*$BI39),0)</f>
        <v>0</v>
      </c>
      <c r="BR39" s="311">
        <f>IF($BI39&lt;&gt;"",IF('Capacity summary'!$D$14="Yes",IF(COUNTBLANK('Capacity summary'!$H158:$BG158)&lt;52,IF('Capacity summary'!O158&lt;&gt;"",IF(LOWER('Capacity summary'!O158)="x",$BI39*O39,VALUE('Capacity summary'!O158)),0),O39*$BI39),O39*$BI39),0)</f>
        <v>0</v>
      </c>
      <c r="BS39" s="311">
        <f>IF($BI39&lt;&gt;"",IF('Capacity summary'!$D$14="Yes",IF(COUNTBLANK('Capacity summary'!$H158:$BG158)&lt;52,IF('Capacity summary'!P158&lt;&gt;"",IF(LOWER('Capacity summary'!P158)="x",$BI39*P39,VALUE('Capacity summary'!P158)),0),P39*$BI39),P39*$BI39),0)</f>
        <v>0</v>
      </c>
      <c r="BT39" s="311">
        <f>IF($BI39&lt;&gt;"",IF('Capacity summary'!$D$14="Yes",IF(COUNTBLANK('Capacity summary'!$H158:$BG158)&lt;52,IF('Capacity summary'!Q158&lt;&gt;"",IF(LOWER('Capacity summary'!Q158)="x",$BI39*Q39,VALUE('Capacity summary'!Q158)),0),Q39*$BI39),Q39*$BI39),0)</f>
        <v>0</v>
      </c>
      <c r="BU39" s="311">
        <f>IF($BI39&lt;&gt;"",IF('Capacity summary'!$D$14="Yes",IF(COUNTBLANK('Capacity summary'!$H158:$BG158)&lt;52,IF('Capacity summary'!R158&lt;&gt;"",IF(LOWER('Capacity summary'!R158)="x",$BI39*R39,VALUE('Capacity summary'!R158)),0),R39*$BI39),R39*$BI39),0)</f>
        <v>0</v>
      </c>
      <c r="BV39" s="311">
        <f>IF($BI39&lt;&gt;"",IF('Capacity summary'!$D$14="Yes",IF(COUNTBLANK('Capacity summary'!$H158:$BG158)&lt;52,IF('Capacity summary'!S158&lt;&gt;"",IF(LOWER('Capacity summary'!S158)="x",$BI39*S39,VALUE('Capacity summary'!S158)),0),S39*$BI39),S39*$BI39),0)</f>
        <v>0</v>
      </c>
      <c r="BW39" s="311">
        <f>IF($BI39&lt;&gt;"",IF('Capacity summary'!$D$14="Yes",IF(COUNTBLANK('Capacity summary'!$H158:$BG158)&lt;52,IF('Capacity summary'!T158&lt;&gt;"",IF(LOWER('Capacity summary'!T158)="x",$BI39*T39,VALUE('Capacity summary'!T158)),0),T39*$BI39),T39*$BI39),0)</f>
        <v>0</v>
      </c>
      <c r="BX39" s="311">
        <f>IF($BI39&lt;&gt;"",IF('Capacity summary'!$D$14="Yes",IF(COUNTBLANK('Capacity summary'!$H158:$BG158)&lt;52,IF('Capacity summary'!U158&lt;&gt;"",IF(LOWER('Capacity summary'!U158)="x",$BI39*U39,VALUE('Capacity summary'!U158)),0),U39*$BI39),U39*$BI39),0)</f>
        <v>0</v>
      </c>
      <c r="BY39" s="311">
        <f>IF($BI39&lt;&gt;"",IF('Capacity summary'!$D$14="Yes",IF(COUNTBLANK('Capacity summary'!$H158:$BG158)&lt;52,IF('Capacity summary'!V158&lt;&gt;"",IF(LOWER('Capacity summary'!V158)="x",$BI39*V39,VALUE('Capacity summary'!V158)),0),V39*$BI39),V39*$BI39),0)</f>
        <v>0</v>
      </c>
      <c r="BZ39" s="311">
        <f>IF($BI39&lt;&gt;"",IF('Capacity summary'!$D$14="Yes",IF(COUNTBLANK('Capacity summary'!$H158:$BG158)&lt;52,IF('Capacity summary'!W158&lt;&gt;"",IF(LOWER('Capacity summary'!W158)="x",$BI39*W39,VALUE('Capacity summary'!W158)),0),W39*$BI39),W39*$BI39),0)</f>
        <v>0</v>
      </c>
      <c r="CA39" s="311">
        <f>IF($BI39&lt;&gt;"",IF('Capacity summary'!$D$14="Yes",IF(COUNTBLANK('Capacity summary'!$H158:$BG158)&lt;52,IF('Capacity summary'!X158&lt;&gt;"",IF(LOWER('Capacity summary'!X158)="x",$BI39*X39,VALUE('Capacity summary'!X158)),0),X39*$BI39),X39*$BI39),0)</f>
        <v>0</v>
      </c>
      <c r="CB39" s="311">
        <f>IF($BI39&lt;&gt;"",IF('Capacity summary'!$D$14="Yes",IF(COUNTBLANK('Capacity summary'!$H158:$BG158)&lt;52,IF('Capacity summary'!Y158&lt;&gt;"",IF(LOWER('Capacity summary'!Y158)="x",$BI39*Y39,VALUE('Capacity summary'!Y158)),0),Y39*$BI39),Y39*$BI39),0)</f>
        <v>0</v>
      </c>
      <c r="CC39" s="311">
        <f>IF($BI39&lt;&gt;"",IF('Capacity summary'!$D$14="Yes",IF(COUNTBLANK('Capacity summary'!$H158:$BG158)&lt;52,IF('Capacity summary'!Z158&lt;&gt;"",IF(LOWER('Capacity summary'!Z158)="x",$BI39*Z39,VALUE('Capacity summary'!Z158)),0),Z39*$BI39),Z39*$BI39),0)</f>
        <v>0</v>
      </c>
      <c r="CD39" s="311">
        <f>IF($BI39&lt;&gt;"",IF('Capacity summary'!$D$14="Yes",IF(COUNTBLANK('Capacity summary'!$H158:$BG158)&lt;52,IF('Capacity summary'!AA158&lt;&gt;"",IF(LOWER('Capacity summary'!AA158)="x",$BI39*AA39,VALUE('Capacity summary'!AA158)),0),AA39*$BI39),AA39*$BI39),0)</f>
        <v>0</v>
      </c>
      <c r="CE39" s="311">
        <f>IF($BI39&lt;&gt;"",IF('Capacity summary'!$D$14="Yes",IF(COUNTBLANK('Capacity summary'!$H158:$BG158)&lt;52,IF('Capacity summary'!AB158&lt;&gt;"",IF(LOWER('Capacity summary'!AB158)="x",$BI39*AB39,VALUE('Capacity summary'!AB158)),0),AB39*$BI39),AB39*$BI39),0)</f>
        <v>0</v>
      </c>
      <c r="CF39" s="311">
        <f>IF($BI39&lt;&gt;"",IF('Capacity summary'!$D$14="Yes",IF(COUNTBLANK('Capacity summary'!$H158:$BG158)&lt;52,IF('Capacity summary'!AC158&lt;&gt;"",IF(LOWER('Capacity summary'!AC158)="x",$BI39*AC39,VALUE('Capacity summary'!AC158)),0),AC39*$BI39),AC39*$BI39),0)</f>
        <v>0</v>
      </c>
      <c r="CG39" s="311">
        <f>IF($BI39&lt;&gt;"",IF('Capacity summary'!$D$14="Yes",IF(COUNTBLANK('Capacity summary'!$H158:$BG158)&lt;52,IF('Capacity summary'!AD158&lt;&gt;"",IF(LOWER('Capacity summary'!AD158)="x",$BI39*AD39,VALUE('Capacity summary'!AD158)),0),AD39*$BI39),AD39*$BI39),0)</f>
        <v>0</v>
      </c>
      <c r="CH39" s="311">
        <f>IF($BI39&lt;&gt;"",IF('Capacity summary'!$D$14="Yes",IF(COUNTBLANK('Capacity summary'!$H158:$BG158)&lt;52,IF('Capacity summary'!AE158&lt;&gt;"",IF(LOWER('Capacity summary'!AE158)="x",$BI39*AE39,VALUE('Capacity summary'!AE158)),0),AE39*$BI39),AE39*$BI39),0)</f>
        <v>0</v>
      </c>
      <c r="CI39" s="311">
        <f>IF($BI39&lt;&gt;"",IF('Capacity summary'!$D$14="Yes",IF(COUNTBLANK('Capacity summary'!$H158:$BG158)&lt;52,IF('Capacity summary'!AF158&lt;&gt;"",IF(LOWER('Capacity summary'!AF158)="x",$BI39*AF39,VALUE('Capacity summary'!AF158)),0),AF39*$BI39),AF39*$BI39),0)</f>
        <v>0</v>
      </c>
      <c r="CJ39" s="311">
        <f>IF($BI39&lt;&gt;"",IF('Capacity summary'!$D$14="Yes",IF(COUNTBLANK('Capacity summary'!$H158:$BG158)&lt;52,IF('Capacity summary'!AG158&lt;&gt;"",IF(LOWER('Capacity summary'!AG158)="x",$BI39*AG39,VALUE('Capacity summary'!AG158)),0),AG39*$BI39),AG39*$BI39),0)</f>
        <v>0</v>
      </c>
      <c r="CK39" s="311">
        <f>IF($BI39&lt;&gt;"",IF('Capacity summary'!$D$14="Yes",IF(COUNTBLANK('Capacity summary'!$H158:$BG158)&lt;52,IF('Capacity summary'!AH158&lt;&gt;"",IF(LOWER('Capacity summary'!AH158)="x",$BI39*AH39,VALUE('Capacity summary'!AH158)),0),AH39*$BI39),AH39*$BI39),0)</f>
        <v>0</v>
      </c>
      <c r="CL39" s="311">
        <f>IF($BI39&lt;&gt;"",IF('Capacity summary'!$D$14="Yes",IF(COUNTBLANK('Capacity summary'!$H158:$BG158)&lt;52,IF('Capacity summary'!AI158&lt;&gt;"",IF(LOWER('Capacity summary'!AI158)="x",$BI39*AI39,VALUE('Capacity summary'!AI158)),0),AI39*$BI39),AI39*$BI39),0)</f>
        <v>0</v>
      </c>
      <c r="CM39" s="311">
        <f>IF($BI39&lt;&gt;"",IF('Capacity summary'!$D$14="Yes",IF(COUNTBLANK('Capacity summary'!$H158:$BG158)&lt;52,IF('Capacity summary'!AJ158&lt;&gt;"",IF(LOWER('Capacity summary'!AJ158)="x",$BI39*AJ39,VALUE('Capacity summary'!AJ158)),0),AJ39*$BI39),AJ39*$BI39),0)</f>
        <v>0</v>
      </c>
      <c r="CN39" s="311">
        <f>IF($BI39&lt;&gt;"",IF('Capacity summary'!$D$14="Yes",IF(COUNTBLANK('Capacity summary'!$H158:$BG158)&lt;52,IF('Capacity summary'!AK158&lt;&gt;"",IF(LOWER('Capacity summary'!AK158)="x",$BI39*AK39,VALUE('Capacity summary'!AK158)),0),AK39*$BI39),AK39*$BI39),0)</f>
        <v>0</v>
      </c>
      <c r="CO39" s="311">
        <f>IF($BI39&lt;&gt;"",IF('Capacity summary'!$D$14="Yes",IF(COUNTBLANK('Capacity summary'!$H158:$BG158)&lt;52,IF('Capacity summary'!AL158&lt;&gt;"",IF(LOWER('Capacity summary'!AL158)="x",$BI39*AL39,VALUE('Capacity summary'!AL158)),0),AL39*$BI39),AL39*$BI39),0)</f>
        <v>0</v>
      </c>
      <c r="CP39" s="311">
        <f>IF($BI39&lt;&gt;"",IF('Capacity summary'!$D$14="Yes",IF(COUNTBLANK('Capacity summary'!$H158:$BG158)&lt;52,IF('Capacity summary'!AM158&lt;&gt;"",IF(LOWER('Capacity summary'!AM158)="x",$BI39*AM39,VALUE('Capacity summary'!AM158)),0),AM39*$BI39),AM39*$BI39),0)</f>
        <v>0</v>
      </c>
      <c r="CQ39" s="311">
        <f>IF($BI39&lt;&gt;"",IF('Capacity summary'!$D$14="Yes",IF(COUNTBLANK('Capacity summary'!$H158:$BG158)&lt;52,IF('Capacity summary'!AN158&lt;&gt;"",IF(LOWER('Capacity summary'!AN158)="x",$BI39*AN39,VALUE('Capacity summary'!AN158)),0),AN39*$BI39),AN39*$BI39),0)</f>
        <v>0</v>
      </c>
      <c r="CR39" s="311">
        <f>IF($BI39&lt;&gt;"",IF('Capacity summary'!$D$14="Yes",IF(COUNTBLANK('Capacity summary'!$H158:$BG158)&lt;52,IF('Capacity summary'!AO158&lt;&gt;"",IF(LOWER('Capacity summary'!AO158)="x",$BI39*AO39,VALUE('Capacity summary'!AO158)),0),AO39*$BI39),AO39*$BI39),0)</f>
        <v>0</v>
      </c>
      <c r="CS39" s="311">
        <f>IF($BI39&lt;&gt;"",IF('Capacity summary'!$D$14="Yes",IF(COUNTBLANK('Capacity summary'!$H158:$BG158)&lt;52,IF('Capacity summary'!AP158&lt;&gt;"",IF(LOWER('Capacity summary'!AP158)="x",$BI39*AP39,VALUE('Capacity summary'!AP158)),0),AP39*$BI39),AP39*$BI39),0)</f>
        <v>0</v>
      </c>
      <c r="CT39" s="311">
        <f>IF($BI39&lt;&gt;"",IF('Capacity summary'!$D$14="Yes",IF(COUNTBLANK('Capacity summary'!$H158:$BG158)&lt;52,IF('Capacity summary'!AQ158&lt;&gt;"",IF(LOWER('Capacity summary'!AQ158)="x",$BI39*AQ39,VALUE('Capacity summary'!AQ158)),0),AQ39*$BI39),AQ39*$BI39),0)</f>
        <v>0</v>
      </c>
      <c r="CU39" s="311">
        <f>IF($BI39&lt;&gt;"",IF('Capacity summary'!$D$14="Yes",IF(COUNTBLANK('Capacity summary'!$H158:$BG158)&lt;52,IF('Capacity summary'!AR158&lt;&gt;"",IF(LOWER('Capacity summary'!AR158)="x",$BI39*AR39,VALUE('Capacity summary'!AR158)),0),AR39*$BI39),AR39*$BI39),0)</f>
        <v>0</v>
      </c>
      <c r="CV39" s="311">
        <f>IF($BI39&lt;&gt;"",IF('Capacity summary'!$D$14="Yes",IF(COUNTBLANK('Capacity summary'!$H158:$BG158)&lt;52,IF('Capacity summary'!AS158&lt;&gt;"",IF(LOWER('Capacity summary'!AS158)="x",$BI39*AS39,VALUE('Capacity summary'!AS158)),0),AS39*$BI39),AS39*$BI39),0)</f>
        <v>0</v>
      </c>
      <c r="CW39" s="311">
        <f>IF($BI39&lt;&gt;"",IF('Capacity summary'!$D$14="Yes",IF(COUNTBLANK('Capacity summary'!$H158:$BG158)&lt;52,IF('Capacity summary'!AT158&lt;&gt;"",IF(LOWER('Capacity summary'!AT158)="x",$BI39*AT39,VALUE('Capacity summary'!AT158)),0),AT39*$BI39),AT39*$BI39),0)</f>
        <v>0</v>
      </c>
      <c r="CX39" s="311">
        <f>IF($BI39&lt;&gt;"",IF('Capacity summary'!$D$14="Yes",IF(COUNTBLANK('Capacity summary'!$H158:$BG158)&lt;52,IF('Capacity summary'!AU158&lt;&gt;"",IF(LOWER('Capacity summary'!AU158)="x",$BI39*AU39,VALUE('Capacity summary'!AU158)),0),AU39*$BI39),AU39*$BI39),0)</f>
        <v>0</v>
      </c>
      <c r="CY39" s="311">
        <f>IF($BI39&lt;&gt;"",IF('Capacity summary'!$D$14="Yes",IF(COUNTBLANK('Capacity summary'!$H158:$BG158)&lt;52,IF('Capacity summary'!AV158&lt;&gt;"",IF(LOWER('Capacity summary'!AV158)="x",$BI39*AV39,VALUE('Capacity summary'!AV158)),0),AV39*$BI39),AV39*$BI39),0)</f>
        <v>0</v>
      </c>
      <c r="CZ39" s="311">
        <f>IF($BI39&lt;&gt;"",IF('Capacity summary'!$D$14="Yes",IF(COUNTBLANK('Capacity summary'!$H158:$BG158)&lt;52,IF('Capacity summary'!AW158&lt;&gt;"",IF(LOWER('Capacity summary'!AW158)="x",$BI39*AW39,VALUE('Capacity summary'!AW158)),0),AW39*$BI39),AW39*$BI39),0)</f>
        <v>0</v>
      </c>
      <c r="DA39" s="311">
        <f>IF($BI39&lt;&gt;"",IF('Capacity summary'!$D$14="Yes",IF(COUNTBLANK('Capacity summary'!$H158:$BG158)&lt;52,IF('Capacity summary'!AX158&lt;&gt;"",IF(LOWER('Capacity summary'!AX158)="x",$BI39*AX39,VALUE('Capacity summary'!AX158)),0),AX39*$BI39),AX39*$BI39),0)</f>
        <v>0</v>
      </c>
      <c r="DB39" s="311">
        <f>IF($BI39&lt;&gt;"",IF('Capacity summary'!$D$14="Yes",IF(COUNTBLANK('Capacity summary'!$H158:$BG158)&lt;52,IF('Capacity summary'!AY158&lt;&gt;"",IF(LOWER('Capacity summary'!AY158)="x",$BI39*AY39,VALUE('Capacity summary'!AY158)),0),AY39*$BI39),AY39*$BI39),0)</f>
        <v>0</v>
      </c>
      <c r="DC39" s="311">
        <f>IF($BI39&lt;&gt;"",IF('Capacity summary'!$D$14="Yes",IF(COUNTBLANK('Capacity summary'!$H158:$BG158)&lt;52,IF('Capacity summary'!AZ158&lt;&gt;"",IF(LOWER('Capacity summary'!AZ158)="x",$BI39*AZ39,VALUE('Capacity summary'!AZ158)),0),AZ39*$BI39),AZ39*$BI39),0)</f>
        <v>0</v>
      </c>
      <c r="DD39" s="311">
        <f>IF($BI39&lt;&gt;"",IF('Capacity summary'!$D$14="Yes",IF(COUNTBLANK('Capacity summary'!$H158:$BG158)&lt;52,IF('Capacity summary'!BA158&lt;&gt;"",IF(LOWER('Capacity summary'!BA158)="x",$BI39*BA39,VALUE('Capacity summary'!BA158)),0),BA39*$BI39),BA39*$BI39),0)</f>
        <v>0</v>
      </c>
      <c r="DE39" s="311">
        <f>IF($BI39&lt;&gt;"",IF('Capacity summary'!$D$14="Yes",IF(COUNTBLANK('Capacity summary'!$H158:$BG158)&lt;52,IF('Capacity summary'!BB158&lt;&gt;"",IF(LOWER('Capacity summary'!BB158)="x",$BI39*BB39,VALUE('Capacity summary'!BB158)),0),BB39*$BI39),BB39*$BI39),0)</f>
        <v>0</v>
      </c>
      <c r="DF39" s="311">
        <f>IF($BI39&lt;&gt;"",IF('Capacity summary'!$D$14="Yes",IF(COUNTBLANK('Capacity summary'!$H158:$BG158)&lt;52,IF('Capacity summary'!BC158&lt;&gt;"",IF(LOWER('Capacity summary'!BC158)="x",$BI39*BC39,VALUE('Capacity summary'!BC158)),0),BC39*$BI39),BC39*$BI39),0)</f>
        <v>0</v>
      </c>
      <c r="DG39" s="311">
        <f>IF($BI39&lt;&gt;"",IF('Capacity summary'!$D$14="Yes",IF(COUNTBLANK('Capacity summary'!$H158:$BG158)&lt;52,IF('Capacity summary'!BD158&lt;&gt;"",IF(LOWER('Capacity summary'!BD158)="x",$BI39*BD39,VALUE('Capacity summary'!BD158)),0),BD39*$BI39),BD39*$BI39),0)</f>
        <v>0</v>
      </c>
      <c r="DH39" s="311">
        <f>IF($BI39&lt;&gt;"",IF('Capacity summary'!$D$14="Yes",IF(COUNTBLANK('Capacity summary'!$H158:$BG158)&lt;52,IF('Capacity summary'!BE158&lt;&gt;"",IF(LOWER('Capacity summary'!BE158)="x",$BI39*BE39,VALUE('Capacity summary'!BE158)),0),BE39*$BI39),BE39*$BI39),0)</f>
        <v>0</v>
      </c>
      <c r="DI39" s="311">
        <f>IF($BI39&lt;&gt;"",IF('Capacity summary'!$D$14="Yes",IF(COUNTBLANK('Capacity summary'!$H158:$BG158)&lt;52,IF('Capacity summary'!BF158&lt;&gt;"",IF(LOWER('Capacity summary'!BF158)="x",$BI39*BF39,VALUE('Capacity summary'!BF158)),0),BF39*$BI39),BF39*$BI39),0)</f>
        <v>0</v>
      </c>
      <c r="DJ39" s="311">
        <f>IF($BI39&lt;&gt;"",IF('Capacity summary'!$D$14="Yes",IF(COUNTBLANK('Capacity summary'!$H158:$BG158)&lt;52,IF('Capacity summary'!BG158&lt;&gt;"",IF(LOWER('Capacity summary'!BG158)="x",$BI39*BG39,VALUE('Capacity summary'!BG158)),0),BG39*$BI39),BG39*$BI39),0)</f>
        <v>0</v>
      </c>
      <c r="DK39" s="391">
        <f t="shared" si="2"/>
        <v>0</v>
      </c>
      <c r="DL39" s="136">
        <f t="shared" si="3"/>
        <v>0</v>
      </c>
      <c r="DM39" s="311" t="str">
        <f>Capacity!H51</f>
        <v/>
      </c>
      <c r="DQ39" s="5"/>
    </row>
    <row r="40" spans="1:121" x14ac:dyDescent="0.2">
      <c r="A40" s="67">
        <f>IF(Capacity!L52='Capacity summary'!BI159,1,0)</f>
        <v>1</v>
      </c>
      <c r="B40" s="67">
        <f>IF(Capacity!V52='Capacity summary'!BI59,1,0)</f>
        <v>1</v>
      </c>
      <c r="C40" s="67" t="str">
        <f>ROW(A36)&amp;". "&amp;Capacity!B52</f>
        <v xml:space="preserve">36. </v>
      </c>
      <c r="D40" s="67">
        <f>'Capacity setup'!C47</f>
        <v>0</v>
      </c>
      <c r="E40" s="67">
        <f>'Capacity setup'!D47</f>
        <v>0</v>
      </c>
      <c r="F40" s="67">
        <f>'Capacity setup'!E47</f>
        <v>0</v>
      </c>
      <c r="H40" s="67">
        <f ca="1">IF(LOWER(Capacity!$L52)="x",IF(AND(SUMIF(Capacity_Resource,$D40,'Critical resources (hide)'!U$6:U$105)+SUMIF(Capacity_Resource,$E40,'Critical resources (hide)'!U$6:U$105)+SUMIF(Capacity_Resource,$F40,'Critical resources (hide)'!U$6:U$105)&gt;0,$E$1=2),0,1),0)</f>
        <v>1</v>
      </c>
      <c r="I40" s="67">
        <f ca="1">IF(LOWER(Capacity!$L52)="x",IF(AND(SUMIF(Capacity_Resource,$D40,'Critical resources (hide)'!V$6:V$105)+SUMIF(Capacity_Resource,$E40,'Critical resources (hide)'!V$6:V$105)+SUMIF(Capacity_Resource,$F40,'Critical resources (hide)'!V$6:V$105)&gt;0,$E$1=2),0,1),0)</f>
        <v>1</v>
      </c>
      <c r="J40" s="67">
        <f ca="1">IF(LOWER(Capacity!$L52)="x",IF(AND(SUMIF(Capacity_Resource,$D40,'Critical resources (hide)'!W$6:W$105)+SUMIF(Capacity_Resource,$E40,'Critical resources (hide)'!W$6:W$105)+SUMIF(Capacity_Resource,$F40,'Critical resources (hide)'!W$6:W$105)&gt;0,$E$1=2),0,1),0)</f>
        <v>1</v>
      </c>
      <c r="K40" s="67">
        <f ca="1">IF(LOWER(Capacity!$L52)="x",IF(AND(SUMIF(Capacity_Resource,$D40,'Critical resources (hide)'!X$6:X$105)+SUMIF(Capacity_Resource,$E40,'Critical resources (hide)'!X$6:X$105)+SUMIF(Capacity_Resource,$F40,'Critical resources (hide)'!X$6:X$105)&gt;0,$E$1=2),0,1),0)</f>
        <v>1</v>
      </c>
      <c r="L40" s="67">
        <f ca="1">IF(LOWER(Capacity!$L52)="x",IF(AND(SUMIF(Capacity_Resource,$D40,'Critical resources (hide)'!Y$6:Y$105)+SUMIF(Capacity_Resource,$E40,'Critical resources (hide)'!Y$6:Y$105)+SUMIF(Capacity_Resource,$F40,'Critical resources (hide)'!Y$6:Y$105)&gt;0,$E$1=2),0,1),0)</f>
        <v>1</v>
      </c>
      <c r="M40" s="67">
        <f ca="1">IF(LOWER(Capacity!$L52)="x",IF(AND(SUMIF(Capacity_Resource,$D40,'Critical resources (hide)'!Z$6:Z$105)+SUMIF(Capacity_Resource,$E40,'Critical resources (hide)'!Z$6:Z$105)+SUMIF(Capacity_Resource,$F40,'Critical resources (hide)'!Z$6:Z$105)&gt;0,$E$1=2),0,1),0)</f>
        <v>1</v>
      </c>
      <c r="N40" s="67">
        <f ca="1">IF(LOWER(Capacity!$L52)="x",IF(AND(SUMIF(Capacity_Resource,$D40,'Critical resources (hide)'!AA$6:AA$105)+SUMIF(Capacity_Resource,$E40,'Critical resources (hide)'!AA$6:AA$105)+SUMIF(Capacity_Resource,$F40,'Critical resources (hide)'!AA$6:AA$105)&gt;0,$E$1=2),0,1),0)</f>
        <v>1</v>
      </c>
      <c r="O40" s="67">
        <f ca="1">IF(LOWER(Capacity!$L52)="x",IF(AND(SUMIF(Capacity_Resource,$D40,'Critical resources (hide)'!AB$6:AB$105)+SUMIF(Capacity_Resource,$E40,'Critical resources (hide)'!AB$6:AB$105)+SUMIF(Capacity_Resource,$F40,'Critical resources (hide)'!AB$6:AB$105)&gt;0,$E$1=2),0,1),0)</f>
        <v>1</v>
      </c>
      <c r="P40" s="67">
        <f ca="1">IF(LOWER(Capacity!$L52)="x",IF(AND(SUMIF(Capacity_Resource,$D40,'Critical resources (hide)'!AC$6:AC$105)+SUMIF(Capacity_Resource,$E40,'Critical resources (hide)'!AC$6:AC$105)+SUMIF(Capacity_Resource,$F40,'Critical resources (hide)'!AC$6:AC$105)&gt;0,$E$1=2),0,1),0)</f>
        <v>1</v>
      </c>
      <c r="Q40" s="67">
        <f ca="1">IF(LOWER(Capacity!$L52)="x",IF(AND(SUMIF(Capacity_Resource,$D40,'Critical resources (hide)'!AD$6:AD$105)+SUMIF(Capacity_Resource,$E40,'Critical resources (hide)'!AD$6:AD$105)+SUMIF(Capacity_Resource,$F40,'Critical resources (hide)'!AD$6:AD$105)&gt;0,$E$1=2),0,1),0)</f>
        <v>1</v>
      </c>
      <c r="R40" s="67">
        <f ca="1">IF(LOWER(Capacity!$L52)="x",IF(AND(SUMIF(Capacity_Resource,$D40,'Critical resources (hide)'!AE$6:AE$105)+SUMIF(Capacity_Resource,$E40,'Critical resources (hide)'!AE$6:AE$105)+SUMIF(Capacity_Resource,$F40,'Critical resources (hide)'!AE$6:AE$105)&gt;0,$E$1=2),0,1),0)</f>
        <v>1</v>
      </c>
      <c r="S40" s="67">
        <f ca="1">IF(LOWER(Capacity!$L52)="x",IF(AND(SUMIF(Capacity_Resource,$D40,'Critical resources (hide)'!AF$6:AF$105)+SUMIF(Capacity_Resource,$E40,'Critical resources (hide)'!AF$6:AF$105)+SUMIF(Capacity_Resource,$F40,'Critical resources (hide)'!AF$6:AF$105)&gt;0,$E$1=2),0,1),0)</f>
        <v>1</v>
      </c>
      <c r="T40" s="67">
        <f ca="1">IF(LOWER(Capacity!$L52)="x",IF(AND(SUMIF(Capacity_Resource,$D40,'Critical resources (hide)'!AG$6:AG$105)+SUMIF(Capacity_Resource,$E40,'Critical resources (hide)'!AG$6:AG$105)+SUMIF(Capacity_Resource,$F40,'Critical resources (hide)'!AG$6:AG$105)&gt;0,$E$1=2),0,1),0)</f>
        <v>1</v>
      </c>
      <c r="U40" s="67">
        <f ca="1">IF(LOWER(Capacity!$L52)="x",IF(AND(SUMIF(Capacity_Resource,$D40,'Critical resources (hide)'!AH$6:AH$105)+SUMIF(Capacity_Resource,$E40,'Critical resources (hide)'!AH$6:AH$105)+SUMIF(Capacity_Resource,$F40,'Critical resources (hide)'!AH$6:AH$105)&gt;0,$E$1=2),0,1),0)</f>
        <v>1</v>
      </c>
      <c r="V40" s="67">
        <f ca="1">IF(LOWER(Capacity!$L52)="x",IF(AND(SUMIF(Capacity_Resource,$D40,'Critical resources (hide)'!AI$6:AI$105)+SUMIF(Capacity_Resource,$E40,'Critical resources (hide)'!AI$6:AI$105)+SUMIF(Capacity_Resource,$F40,'Critical resources (hide)'!AI$6:AI$105)&gt;0,$E$1=2),0,1),0)</f>
        <v>1</v>
      </c>
      <c r="W40" s="67">
        <f ca="1">IF(LOWER(Capacity!$L52)="x",IF(AND(SUMIF(Capacity_Resource,$D40,'Critical resources (hide)'!AJ$6:AJ$105)+SUMIF(Capacity_Resource,$E40,'Critical resources (hide)'!AJ$6:AJ$105)+SUMIF(Capacity_Resource,$F40,'Critical resources (hide)'!AJ$6:AJ$105)&gt;0,$E$1=2),0,1),0)</f>
        <v>1</v>
      </c>
      <c r="X40" s="67">
        <f ca="1">IF(LOWER(Capacity!$L52)="x",IF(AND(SUMIF(Capacity_Resource,$D40,'Critical resources (hide)'!AK$6:AK$105)+SUMIF(Capacity_Resource,$E40,'Critical resources (hide)'!AK$6:AK$105)+SUMIF(Capacity_Resource,$F40,'Critical resources (hide)'!AK$6:AK$105)&gt;0,$E$1=2),0,1),0)</f>
        <v>1</v>
      </c>
      <c r="Y40" s="67">
        <f ca="1">IF(LOWER(Capacity!$L52)="x",IF(AND(SUMIF(Capacity_Resource,$D40,'Critical resources (hide)'!AL$6:AL$105)+SUMIF(Capacity_Resource,$E40,'Critical resources (hide)'!AL$6:AL$105)+SUMIF(Capacity_Resource,$F40,'Critical resources (hide)'!AL$6:AL$105)&gt;0,$E$1=2),0,1),0)</f>
        <v>1</v>
      </c>
      <c r="Z40" s="67">
        <f ca="1">IF(LOWER(Capacity!$L52)="x",IF(AND(SUMIF(Capacity_Resource,$D40,'Critical resources (hide)'!AM$6:AM$105)+SUMIF(Capacity_Resource,$E40,'Critical resources (hide)'!AM$6:AM$105)+SUMIF(Capacity_Resource,$F40,'Critical resources (hide)'!AM$6:AM$105)&gt;0,$E$1=2),0,1),0)</f>
        <v>1</v>
      </c>
      <c r="AA40" s="67">
        <f ca="1">IF(LOWER(Capacity!$L52)="x",IF(AND(SUMIF(Capacity_Resource,$D40,'Critical resources (hide)'!AN$6:AN$105)+SUMIF(Capacity_Resource,$E40,'Critical resources (hide)'!AN$6:AN$105)+SUMIF(Capacity_Resource,$F40,'Critical resources (hide)'!AN$6:AN$105)&gt;0,$E$1=2),0,1),0)</f>
        <v>1</v>
      </c>
      <c r="AB40" s="67">
        <f ca="1">IF(LOWER(Capacity!$L52)="x",IF(AND(SUMIF(Capacity_Resource,$D40,'Critical resources (hide)'!AO$6:AO$105)+SUMIF(Capacity_Resource,$E40,'Critical resources (hide)'!AO$6:AO$105)+SUMIF(Capacity_Resource,$F40,'Critical resources (hide)'!AO$6:AO$105)&gt;0,$E$1=2),0,1),0)</f>
        <v>1</v>
      </c>
      <c r="AC40" s="67">
        <f ca="1">IF(LOWER(Capacity!$L52)="x",IF(AND(SUMIF(Capacity_Resource,$D40,'Critical resources (hide)'!AP$6:AP$105)+SUMIF(Capacity_Resource,$E40,'Critical resources (hide)'!AP$6:AP$105)+SUMIF(Capacity_Resource,$F40,'Critical resources (hide)'!AP$6:AP$105)&gt;0,$E$1=2),0,1),0)</f>
        <v>1</v>
      </c>
      <c r="AD40" s="67">
        <f ca="1">IF(LOWER(Capacity!$L52)="x",IF(AND(SUMIF(Capacity_Resource,$D40,'Critical resources (hide)'!AQ$6:AQ$105)+SUMIF(Capacity_Resource,$E40,'Critical resources (hide)'!AQ$6:AQ$105)+SUMIF(Capacity_Resource,$F40,'Critical resources (hide)'!AQ$6:AQ$105)&gt;0,$E$1=2),0,1),0)</f>
        <v>1</v>
      </c>
      <c r="AE40" s="67">
        <f ca="1">IF(LOWER(Capacity!$L52)="x",IF(AND(SUMIF(Capacity_Resource,$D40,'Critical resources (hide)'!AR$6:AR$105)+SUMIF(Capacity_Resource,$E40,'Critical resources (hide)'!AR$6:AR$105)+SUMIF(Capacity_Resource,$F40,'Critical resources (hide)'!AR$6:AR$105)&gt;0,$E$1=2),0,1),0)</f>
        <v>1</v>
      </c>
      <c r="AF40" s="67">
        <f ca="1">IF(LOWER(Capacity!$L52)="x",IF(AND(SUMIF(Capacity_Resource,$D40,'Critical resources (hide)'!AS$6:AS$105)+SUMIF(Capacity_Resource,$E40,'Critical resources (hide)'!AS$6:AS$105)+SUMIF(Capacity_Resource,$F40,'Critical resources (hide)'!AS$6:AS$105)&gt;0,$E$1=2),0,1),0)</f>
        <v>1</v>
      </c>
      <c r="AG40" s="67">
        <f ca="1">IF(LOWER(Capacity!$L52)="x",IF(AND(SUMIF(Capacity_Resource,$D40,'Critical resources (hide)'!AT$6:AT$105)+SUMIF(Capacity_Resource,$E40,'Critical resources (hide)'!AT$6:AT$105)+SUMIF(Capacity_Resource,$F40,'Critical resources (hide)'!AT$6:AT$105)&gt;0,$E$1=2),0,1),0)</f>
        <v>1</v>
      </c>
      <c r="AH40" s="67">
        <f ca="1">IF(LOWER(Capacity!$L52)="x",IF(AND(SUMIF(Capacity_Resource,$D40,'Critical resources (hide)'!AU$6:AU$105)+SUMIF(Capacity_Resource,$E40,'Critical resources (hide)'!AU$6:AU$105)+SUMIF(Capacity_Resource,$F40,'Critical resources (hide)'!AU$6:AU$105)&gt;0,$E$1=2),0,1),0)</f>
        <v>1</v>
      </c>
      <c r="AI40" s="67">
        <f ca="1">IF(LOWER(Capacity!$L52)="x",IF(AND(SUMIF(Capacity_Resource,$D40,'Critical resources (hide)'!AV$6:AV$105)+SUMIF(Capacity_Resource,$E40,'Critical resources (hide)'!AV$6:AV$105)+SUMIF(Capacity_Resource,$F40,'Critical resources (hide)'!AV$6:AV$105)&gt;0,$E$1=2),0,1),0)</f>
        <v>1</v>
      </c>
      <c r="AJ40" s="67">
        <f ca="1">IF(LOWER(Capacity!$L52)="x",IF(AND(SUMIF(Capacity_Resource,$D40,'Critical resources (hide)'!AW$6:AW$105)+SUMIF(Capacity_Resource,$E40,'Critical resources (hide)'!AW$6:AW$105)+SUMIF(Capacity_Resource,$F40,'Critical resources (hide)'!AW$6:AW$105)&gt;0,$E$1=2),0,1),0)</f>
        <v>1</v>
      </c>
      <c r="AK40" s="67">
        <f ca="1">IF(LOWER(Capacity!$L52)="x",IF(AND(SUMIF(Capacity_Resource,$D40,'Critical resources (hide)'!AX$6:AX$105)+SUMIF(Capacity_Resource,$E40,'Critical resources (hide)'!AX$6:AX$105)+SUMIF(Capacity_Resource,$F40,'Critical resources (hide)'!AX$6:AX$105)&gt;0,$E$1=2),0,1),0)</f>
        <v>1</v>
      </c>
      <c r="AL40" s="67">
        <f ca="1">IF(LOWER(Capacity!$L52)="x",IF(AND(SUMIF(Capacity_Resource,$D40,'Critical resources (hide)'!AY$6:AY$105)+SUMIF(Capacity_Resource,$E40,'Critical resources (hide)'!AY$6:AY$105)+SUMIF(Capacity_Resource,$F40,'Critical resources (hide)'!AY$6:AY$105)&gt;0,$E$1=2),0,1),0)</f>
        <v>1</v>
      </c>
      <c r="AM40" s="67">
        <f ca="1">IF(LOWER(Capacity!$L52)="x",IF(AND(SUMIF(Capacity_Resource,$D40,'Critical resources (hide)'!AZ$6:AZ$105)+SUMIF(Capacity_Resource,$E40,'Critical resources (hide)'!AZ$6:AZ$105)+SUMIF(Capacity_Resource,$F40,'Critical resources (hide)'!AZ$6:AZ$105)&gt;0,$E$1=2),0,1),0)</f>
        <v>1</v>
      </c>
      <c r="AN40" s="67">
        <f ca="1">IF(LOWER(Capacity!$L52)="x",IF(AND(SUMIF(Capacity_Resource,$D40,'Critical resources (hide)'!BA$6:BA$105)+SUMIF(Capacity_Resource,$E40,'Critical resources (hide)'!BA$6:BA$105)+SUMIF(Capacity_Resource,$F40,'Critical resources (hide)'!BA$6:BA$105)&gt;0,$E$1=2),0,1),0)</f>
        <v>1</v>
      </c>
      <c r="AO40" s="67">
        <f ca="1">IF(LOWER(Capacity!$L52)="x",IF(AND(SUMIF(Capacity_Resource,$D40,'Critical resources (hide)'!BB$6:BB$105)+SUMIF(Capacity_Resource,$E40,'Critical resources (hide)'!BB$6:BB$105)+SUMIF(Capacity_Resource,$F40,'Critical resources (hide)'!BB$6:BB$105)&gt;0,$E$1=2),0,1),0)</f>
        <v>1</v>
      </c>
      <c r="AP40" s="67">
        <f ca="1">IF(LOWER(Capacity!$L52)="x",IF(AND(SUMIF(Capacity_Resource,$D40,'Critical resources (hide)'!BC$6:BC$105)+SUMIF(Capacity_Resource,$E40,'Critical resources (hide)'!BC$6:BC$105)+SUMIF(Capacity_Resource,$F40,'Critical resources (hide)'!BC$6:BC$105)&gt;0,$E$1=2),0,1),0)</f>
        <v>1</v>
      </c>
      <c r="AQ40" s="67">
        <f ca="1">IF(LOWER(Capacity!$L52)="x",IF(AND(SUMIF(Capacity_Resource,$D40,'Critical resources (hide)'!BD$6:BD$105)+SUMIF(Capacity_Resource,$E40,'Critical resources (hide)'!BD$6:BD$105)+SUMIF(Capacity_Resource,$F40,'Critical resources (hide)'!BD$6:BD$105)&gt;0,$E$1=2),0,1),0)</f>
        <v>1</v>
      </c>
      <c r="AR40" s="67">
        <f ca="1">IF(LOWER(Capacity!$L52)="x",IF(AND(SUMIF(Capacity_Resource,$D40,'Critical resources (hide)'!BE$6:BE$105)+SUMIF(Capacity_Resource,$E40,'Critical resources (hide)'!BE$6:BE$105)+SUMIF(Capacity_Resource,$F40,'Critical resources (hide)'!BE$6:BE$105)&gt;0,$E$1=2),0,1),0)</f>
        <v>1</v>
      </c>
      <c r="AS40" s="67">
        <f ca="1">IF(LOWER(Capacity!$L52)="x",IF(AND(SUMIF(Capacity_Resource,$D40,'Critical resources (hide)'!BF$6:BF$105)+SUMIF(Capacity_Resource,$E40,'Critical resources (hide)'!BF$6:BF$105)+SUMIF(Capacity_Resource,$F40,'Critical resources (hide)'!BF$6:BF$105)&gt;0,$E$1=2),0,1),0)</f>
        <v>1</v>
      </c>
      <c r="AT40" s="67">
        <f ca="1">IF(LOWER(Capacity!$L52)="x",IF(AND(SUMIF(Capacity_Resource,$D40,'Critical resources (hide)'!BG$6:BG$105)+SUMIF(Capacity_Resource,$E40,'Critical resources (hide)'!BG$6:BG$105)+SUMIF(Capacity_Resource,$F40,'Critical resources (hide)'!BG$6:BG$105)&gt;0,$E$1=2),0,1),0)</f>
        <v>1</v>
      </c>
      <c r="AU40" s="67">
        <f ca="1">IF(LOWER(Capacity!$L52)="x",IF(AND(SUMIF(Capacity_Resource,$D40,'Critical resources (hide)'!BH$6:BH$105)+SUMIF(Capacity_Resource,$E40,'Critical resources (hide)'!BH$6:BH$105)+SUMIF(Capacity_Resource,$F40,'Critical resources (hide)'!BH$6:BH$105)&gt;0,$E$1=2),0,1),0)</f>
        <v>1</v>
      </c>
      <c r="AV40" s="67">
        <f ca="1">IF(LOWER(Capacity!$L52)="x",IF(AND(SUMIF(Capacity_Resource,$D40,'Critical resources (hide)'!BI$6:BI$105)+SUMIF(Capacity_Resource,$E40,'Critical resources (hide)'!BI$6:BI$105)+SUMIF(Capacity_Resource,$F40,'Critical resources (hide)'!BI$6:BI$105)&gt;0,$E$1=2),0,1),0)</f>
        <v>1</v>
      </c>
      <c r="AW40" s="67">
        <f ca="1">IF(LOWER(Capacity!$L52)="x",IF(AND(SUMIF(Capacity_Resource,$D40,'Critical resources (hide)'!BJ$6:BJ$105)+SUMIF(Capacity_Resource,$E40,'Critical resources (hide)'!BJ$6:BJ$105)+SUMIF(Capacity_Resource,$F40,'Critical resources (hide)'!BJ$6:BJ$105)&gt;0,$E$1=2),0,1),0)</f>
        <v>1</v>
      </c>
      <c r="AX40" s="67">
        <f ca="1">IF(LOWER(Capacity!$L52)="x",IF(AND(SUMIF(Capacity_Resource,$D40,'Critical resources (hide)'!BK$6:BK$105)+SUMIF(Capacity_Resource,$E40,'Critical resources (hide)'!BK$6:BK$105)+SUMIF(Capacity_Resource,$F40,'Critical resources (hide)'!BK$6:BK$105)&gt;0,$E$1=2),0,1),0)</f>
        <v>1</v>
      </c>
      <c r="AY40" s="67">
        <f ca="1">IF(LOWER(Capacity!$L52)="x",IF(AND(SUMIF(Capacity_Resource,$D40,'Critical resources (hide)'!BL$6:BL$105)+SUMIF(Capacity_Resource,$E40,'Critical resources (hide)'!BL$6:BL$105)+SUMIF(Capacity_Resource,$F40,'Critical resources (hide)'!BL$6:BL$105)&gt;0,$E$1=2),0,1),0)</f>
        <v>1</v>
      </c>
      <c r="AZ40" s="67">
        <f ca="1">IF(LOWER(Capacity!$L52)="x",IF(AND(SUMIF(Capacity_Resource,$D40,'Critical resources (hide)'!BM$6:BM$105)+SUMIF(Capacity_Resource,$E40,'Critical resources (hide)'!BM$6:BM$105)+SUMIF(Capacity_Resource,$F40,'Critical resources (hide)'!BM$6:BM$105)&gt;0,$E$1=2),0,1),0)</f>
        <v>1</v>
      </c>
      <c r="BA40" s="67">
        <f ca="1">IF(LOWER(Capacity!$L52)="x",IF(AND(SUMIF(Capacity_Resource,$D40,'Critical resources (hide)'!BN$6:BN$105)+SUMIF(Capacity_Resource,$E40,'Critical resources (hide)'!BN$6:BN$105)+SUMIF(Capacity_Resource,$F40,'Critical resources (hide)'!BN$6:BN$105)&gt;0,$E$1=2),0,1),0)</f>
        <v>1</v>
      </c>
      <c r="BB40" s="67">
        <f ca="1">IF(LOWER(Capacity!$L52)="x",IF(AND(SUMIF(Capacity_Resource,$D40,'Critical resources (hide)'!BO$6:BO$105)+SUMIF(Capacity_Resource,$E40,'Critical resources (hide)'!BO$6:BO$105)+SUMIF(Capacity_Resource,$F40,'Critical resources (hide)'!BO$6:BO$105)&gt;0,$E$1=2),0,1),0)</f>
        <v>1</v>
      </c>
      <c r="BC40" s="67">
        <f ca="1">IF(LOWER(Capacity!$L52)="x",IF(AND(SUMIF(Capacity_Resource,$D40,'Critical resources (hide)'!BP$6:BP$105)+SUMIF(Capacity_Resource,$E40,'Critical resources (hide)'!BP$6:BP$105)+SUMIF(Capacity_Resource,$F40,'Critical resources (hide)'!BP$6:BP$105)&gt;0,$E$1=2),0,1),0)</f>
        <v>1</v>
      </c>
      <c r="BD40" s="67">
        <f ca="1">IF(LOWER(Capacity!$L52)="x",IF(AND(SUMIF(Capacity_Resource,$D40,'Critical resources (hide)'!BQ$6:BQ$105)+SUMIF(Capacity_Resource,$E40,'Critical resources (hide)'!BQ$6:BQ$105)+SUMIF(Capacity_Resource,$F40,'Critical resources (hide)'!BQ$6:BQ$105)&gt;0,$E$1=2),0,1),0)</f>
        <v>1</v>
      </c>
      <c r="BE40" s="67">
        <f ca="1">IF(LOWER(Capacity!$L52)="x",IF(AND(SUMIF(Capacity_Resource,$D40,'Critical resources (hide)'!BR$6:BR$105)+SUMIF(Capacity_Resource,$E40,'Critical resources (hide)'!BR$6:BR$105)+SUMIF(Capacity_Resource,$F40,'Critical resources (hide)'!BR$6:BR$105)&gt;0,$E$1=2),0,1),0)</f>
        <v>1</v>
      </c>
      <c r="BF40" s="67">
        <f ca="1">IF(LOWER(Capacity!$L52)="x",IF(AND(SUMIF(Capacity_Resource,$D40,'Critical resources (hide)'!BS$6:BS$105)+SUMIF(Capacity_Resource,$E40,'Critical resources (hide)'!BS$6:BS$105)+SUMIF(Capacity_Resource,$F40,'Critical resources (hide)'!BS$6:BS$105)&gt;0,$E$1=2),0,1),0)</f>
        <v>1</v>
      </c>
      <c r="BG40" s="67">
        <f ca="1">IF(LOWER(Capacity!$L52)="x",IF(AND(SUMIF(Capacity_Resource,$D40,'Critical resources (hide)'!BT$6:BT$105)+SUMIF(Capacity_Resource,$E40,'Critical resources (hide)'!BT$6:BT$105)+SUMIF(Capacity_Resource,$F40,'Critical resources (hide)'!BT$6:BT$105)&gt;0,$E$1=2),0,1),0)</f>
        <v>1</v>
      </c>
      <c r="BH40" s="67">
        <f>IF(ROW(C36)&lt;=Capacity!$A$16,IF('Capacity summary'!$D$14="No",SUM(H40:BG40),'Capacity summary'!$E159),0)</f>
        <v>0</v>
      </c>
      <c r="BI40" s="5" t="str">
        <f>IF(BH40&gt;0,IF(BH40&lt;Capacity!E52,Capacity!F52,Capacity!H52/'Capacity calculation (hide)'!BH40),"")</f>
        <v/>
      </c>
      <c r="BK40" s="311">
        <f>IF($BI40&lt;&gt;"",IF('Capacity summary'!$D$14="Yes",IF(COUNTBLANK('Capacity summary'!$H159:$BG159)&lt;52,IF('Capacity summary'!H159&lt;&gt;"",IF(LOWER('Capacity summary'!H159)="x",$BI40*H40,VALUE('Capacity summary'!H159)),0),H40*$BI40),H40*$BI40),0)</f>
        <v>0</v>
      </c>
      <c r="BL40" s="311">
        <f>IF($BI40&lt;&gt;"",IF('Capacity summary'!$D$14="Yes",IF(COUNTBLANK('Capacity summary'!$H159:$BG159)&lt;52,IF('Capacity summary'!I159&lt;&gt;"",IF(LOWER('Capacity summary'!I159)="x",$BI40*I40,VALUE('Capacity summary'!I159)),0),I40*$BI40),I40*$BI40),0)</f>
        <v>0</v>
      </c>
      <c r="BM40" s="311">
        <f>IF($BI40&lt;&gt;"",IF('Capacity summary'!$D$14="Yes",IF(COUNTBLANK('Capacity summary'!$H159:$BG159)&lt;52,IF('Capacity summary'!J159&lt;&gt;"",IF(LOWER('Capacity summary'!J159)="x",$BI40*J40,VALUE('Capacity summary'!J159)),0),J40*$BI40),J40*$BI40),0)</f>
        <v>0</v>
      </c>
      <c r="BN40" s="311">
        <f>IF($BI40&lt;&gt;"",IF('Capacity summary'!$D$14="Yes",IF(COUNTBLANK('Capacity summary'!$H159:$BG159)&lt;52,IF('Capacity summary'!K159&lt;&gt;"",IF(LOWER('Capacity summary'!K159)="x",$BI40*K40,VALUE('Capacity summary'!K159)),0),K40*$BI40),K40*$BI40),0)</f>
        <v>0</v>
      </c>
      <c r="BO40" s="311">
        <f>IF($BI40&lt;&gt;"",IF('Capacity summary'!$D$14="Yes",IF(COUNTBLANK('Capacity summary'!$H159:$BG159)&lt;52,IF('Capacity summary'!L159&lt;&gt;"",IF(LOWER('Capacity summary'!L159)="x",$BI40*L40,VALUE('Capacity summary'!L159)),0),L40*$BI40),L40*$BI40),0)</f>
        <v>0</v>
      </c>
      <c r="BP40" s="311">
        <f>IF($BI40&lt;&gt;"",IF('Capacity summary'!$D$14="Yes",IF(COUNTBLANK('Capacity summary'!$H159:$BG159)&lt;52,IF('Capacity summary'!M159&lt;&gt;"",IF(LOWER('Capacity summary'!M159)="x",$BI40*M40,VALUE('Capacity summary'!M159)),0),M40*$BI40),M40*$BI40),0)</f>
        <v>0</v>
      </c>
      <c r="BQ40" s="311">
        <f>IF($BI40&lt;&gt;"",IF('Capacity summary'!$D$14="Yes",IF(COUNTBLANK('Capacity summary'!$H159:$BG159)&lt;52,IF('Capacity summary'!N159&lt;&gt;"",IF(LOWER('Capacity summary'!N159)="x",$BI40*N40,VALUE('Capacity summary'!N159)),0),N40*$BI40),N40*$BI40),0)</f>
        <v>0</v>
      </c>
      <c r="BR40" s="311">
        <f>IF($BI40&lt;&gt;"",IF('Capacity summary'!$D$14="Yes",IF(COUNTBLANK('Capacity summary'!$H159:$BG159)&lt;52,IF('Capacity summary'!O159&lt;&gt;"",IF(LOWER('Capacity summary'!O159)="x",$BI40*O40,VALUE('Capacity summary'!O159)),0),O40*$BI40),O40*$BI40),0)</f>
        <v>0</v>
      </c>
      <c r="BS40" s="311">
        <f>IF($BI40&lt;&gt;"",IF('Capacity summary'!$D$14="Yes",IF(COUNTBLANK('Capacity summary'!$H159:$BG159)&lt;52,IF('Capacity summary'!P159&lt;&gt;"",IF(LOWER('Capacity summary'!P159)="x",$BI40*P40,VALUE('Capacity summary'!P159)),0),P40*$BI40),P40*$BI40),0)</f>
        <v>0</v>
      </c>
      <c r="BT40" s="311">
        <f>IF($BI40&lt;&gt;"",IF('Capacity summary'!$D$14="Yes",IF(COUNTBLANK('Capacity summary'!$H159:$BG159)&lt;52,IF('Capacity summary'!Q159&lt;&gt;"",IF(LOWER('Capacity summary'!Q159)="x",$BI40*Q40,VALUE('Capacity summary'!Q159)),0),Q40*$BI40),Q40*$BI40),0)</f>
        <v>0</v>
      </c>
      <c r="BU40" s="311">
        <f>IF($BI40&lt;&gt;"",IF('Capacity summary'!$D$14="Yes",IF(COUNTBLANK('Capacity summary'!$H159:$BG159)&lt;52,IF('Capacity summary'!R159&lt;&gt;"",IF(LOWER('Capacity summary'!R159)="x",$BI40*R40,VALUE('Capacity summary'!R159)),0),R40*$BI40),R40*$BI40),0)</f>
        <v>0</v>
      </c>
      <c r="BV40" s="311">
        <f>IF($BI40&lt;&gt;"",IF('Capacity summary'!$D$14="Yes",IF(COUNTBLANK('Capacity summary'!$H159:$BG159)&lt;52,IF('Capacity summary'!S159&lt;&gt;"",IF(LOWER('Capacity summary'!S159)="x",$BI40*S40,VALUE('Capacity summary'!S159)),0),S40*$BI40),S40*$BI40),0)</f>
        <v>0</v>
      </c>
      <c r="BW40" s="311">
        <f>IF($BI40&lt;&gt;"",IF('Capacity summary'!$D$14="Yes",IF(COUNTBLANK('Capacity summary'!$H159:$BG159)&lt;52,IF('Capacity summary'!T159&lt;&gt;"",IF(LOWER('Capacity summary'!T159)="x",$BI40*T40,VALUE('Capacity summary'!T159)),0),T40*$BI40),T40*$BI40),0)</f>
        <v>0</v>
      </c>
      <c r="BX40" s="311">
        <f>IF($BI40&lt;&gt;"",IF('Capacity summary'!$D$14="Yes",IF(COUNTBLANK('Capacity summary'!$H159:$BG159)&lt;52,IF('Capacity summary'!U159&lt;&gt;"",IF(LOWER('Capacity summary'!U159)="x",$BI40*U40,VALUE('Capacity summary'!U159)),0),U40*$BI40),U40*$BI40),0)</f>
        <v>0</v>
      </c>
      <c r="BY40" s="311">
        <f>IF($BI40&lt;&gt;"",IF('Capacity summary'!$D$14="Yes",IF(COUNTBLANK('Capacity summary'!$H159:$BG159)&lt;52,IF('Capacity summary'!V159&lt;&gt;"",IF(LOWER('Capacity summary'!V159)="x",$BI40*V40,VALUE('Capacity summary'!V159)),0),V40*$BI40),V40*$BI40),0)</f>
        <v>0</v>
      </c>
      <c r="BZ40" s="311">
        <f>IF($BI40&lt;&gt;"",IF('Capacity summary'!$D$14="Yes",IF(COUNTBLANK('Capacity summary'!$H159:$BG159)&lt;52,IF('Capacity summary'!W159&lt;&gt;"",IF(LOWER('Capacity summary'!W159)="x",$BI40*W40,VALUE('Capacity summary'!W159)),0),W40*$BI40),W40*$BI40),0)</f>
        <v>0</v>
      </c>
      <c r="CA40" s="311">
        <f>IF($BI40&lt;&gt;"",IF('Capacity summary'!$D$14="Yes",IF(COUNTBLANK('Capacity summary'!$H159:$BG159)&lt;52,IF('Capacity summary'!X159&lt;&gt;"",IF(LOWER('Capacity summary'!X159)="x",$BI40*X40,VALUE('Capacity summary'!X159)),0),X40*$BI40),X40*$BI40),0)</f>
        <v>0</v>
      </c>
      <c r="CB40" s="311">
        <f>IF($BI40&lt;&gt;"",IF('Capacity summary'!$D$14="Yes",IF(COUNTBLANK('Capacity summary'!$H159:$BG159)&lt;52,IF('Capacity summary'!Y159&lt;&gt;"",IF(LOWER('Capacity summary'!Y159)="x",$BI40*Y40,VALUE('Capacity summary'!Y159)),0),Y40*$BI40),Y40*$BI40),0)</f>
        <v>0</v>
      </c>
      <c r="CC40" s="311">
        <f>IF($BI40&lt;&gt;"",IF('Capacity summary'!$D$14="Yes",IF(COUNTBLANK('Capacity summary'!$H159:$BG159)&lt;52,IF('Capacity summary'!Z159&lt;&gt;"",IF(LOWER('Capacity summary'!Z159)="x",$BI40*Z40,VALUE('Capacity summary'!Z159)),0),Z40*$BI40),Z40*$BI40),0)</f>
        <v>0</v>
      </c>
      <c r="CD40" s="311">
        <f>IF($BI40&lt;&gt;"",IF('Capacity summary'!$D$14="Yes",IF(COUNTBLANK('Capacity summary'!$H159:$BG159)&lt;52,IF('Capacity summary'!AA159&lt;&gt;"",IF(LOWER('Capacity summary'!AA159)="x",$BI40*AA40,VALUE('Capacity summary'!AA159)),0),AA40*$BI40),AA40*$BI40),0)</f>
        <v>0</v>
      </c>
      <c r="CE40" s="311">
        <f>IF($BI40&lt;&gt;"",IF('Capacity summary'!$D$14="Yes",IF(COUNTBLANK('Capacity summary'!$H159:$BG159)&lt;52,IF('Capacity summary'!AB159&lt;&gt;"",IF(LOWER('Capacity summary'!AB159)="x",$BI40*AB40,VALUE('Capacity summary'!AB159)),0),AB40*$BI40),AB40*$BI40),0)</f>
        <v>0</v>
      </c>
      <c r="CF40" s="311">
        <f>IF($BI40&lt;&gt;"",IF('Capacity summary'!$D$14="Yes",IF(COUNTBLANK('Capacity summary'!$H159:$BG159)&lt;52,IF('Capacity summary'!AC159&lt;&gt;"",IF(LOWER('Capacity summary'!AC159)="x",$BI40*AC40,VALUE('Capacity summary'!AC159)),0),AC40*$BI40),AC40*$BI40),0)</f>
        <v>0</v>
      </c>
      <c r="CG40" s="311">
        <f>IF($BI40&lt;&gt;"",IF('Capacity summary'!$D$14="Yes",IF(COUNTBLANK('Capacity summary'!$H159:$BG159)&lt;52,IF('Capacity summary'!AD159&lt;&gt;"",IF(LOWER('Capacity summary'!AD159)="x",$BI40*AD40,VALUE('Capacity summary'!AD159)),0),AD40*$BI40),AD40*$BI40),0)</f>
        <v>0</v>
      </c>
      <c r="CH40" s="311">
        <f>IF($BI40&lt;&gt;"",IF('Capacity summary'!$D$14="Yes",IF(COUNTBLANK('Capacity summary'!$H159:$BG159)&lt;52,IF('Capacity summary'!AE159&lt;&gt;"",IF(LOWER('Capacity summary'!AE159)="x",$BI40*AE40,VALUE('Capacity summary'!AE159)),0),AE40*$BI40),AE40*$BI40),0)</f>
        <v>0</v>
      </c>
      <c r="CI40" s="311">
        <f>IF($BI40&lt;&gt;"",IF('Capacity summary'!$D$14="Yes",IF(COUNTBLANK('Capacity summary'!$H159:$BG159)&lt;52,IF('Capacity summary'!AF159&lt;&gt;"",IF(LOWER('Capacity summary'!AF159)="x",$BI40*AF40,VALUE('Capacity summary'!AF159)),0),AF40*$BI40),AF40*$BI40),0)</f>
        <v>0</v>
      </c>
      <c r="CJ40" s="311">
        <f>IF($BI40&lt;&gt;"",IF('Capacity summary'!$D$14="Yes",IF(COUNTBLANK('Capacity summary'!$H159:$BG159)&lt;52,IF('Capacity summary'!AG159&lt;&gt;"",IF(LOWER('Capacity summary'!AG159)="x",$BI40*AG40,VALUE('Capacity summary'!AG159)),0),AG40*$BI40),AG40*$BI40),0)</f>
        <v>0</v>
      </c>
      <c r="CK40" s="311">
        <f>IF($BI40&lt;&gt;"",IF('Capacity summary'!$D$14="Yes",IF(COUNTBLANK('Capacity summary'!$H159:$BG159)&lt;52,IF('Capacity summary'!AH159&lt;&gt;"",IF(LOWER('Capacity summary'!AH159)="x",$BI40*AH40,VALUE('Capacity summary'!AH159)),0),AH40*$BI40),AH40*$BI40),0)</f>
        <v>0</v>
      </c>
      <c r="CL40" s="311">
        <f>IF($BI40&lt;&gt;"",IF('Capacity summary'!$D$14="Yes",IF(COUNTBLANK('Capacity summary'!$H159:$BG159)&lt;52,IF('Capacity summary'!AI159&lt;&gt;"",IF(LOWER('Capacity summary'!AI159)="x",$BI40*AI40,VALUE('Capacity summary'!AI159)),0),AI40*$BI40),AI40*$BI40),0)</f>
        <v>0</v>
      </c>
      <c r="CM40" s="311">
        <f>IF($BI40&lt;&gt;"",IF('Capacity summary'!$D$14="Yes",IF(COUNTBLANK('Capacity summary'!$H159:$BG159)&lt;52,IF('Capacity summary'!AJ159&lt;&gt;"",IF(LOWER('Capacity summary'!AJ159)="x",$BI40*AJ40,VALUE('Capacity summary'!AJ159)),0),AJ40*$BI40),AJ40*$BI40),0)</f>
        <v>0</v>
      </c>
      <c r="CN40" s="311">
        <f>IF($BI40&lt;&gt;"",IF('Capacity summary'!$D$14="Yes",IF(COUNTBLANK('Capacity summary'!$H159:$BG159)&lt;52,IF('Capacity summary'!AK159&lt;&gt;"",IF(LOWER('Capacity summary'!AK159)="x",$BI40*AK40,VALUE('Capacity summary'!AK159)),0),AK40*$BI40),AK40*$BI40),0)</f>
        <v>0</v>
      </c>
      <c r="CO40" s="311">
        <f>IF($BI40&lt;&gt;"",IF('Capacity summary'!$D$14="Yes",IF(COUNTBLANK('Capacity summary'!$H159:$BG159)&lt;52,IF('Capacity summary'!AL159&lt;&gt;"",IF(LOWER('Capacity summary'!AL159)="x",$BI40*AL40,VALUE('Capacity summary'!AL159)),0),AL40*$BI40),AL40*$BI40),0)</f>
        <v>0</v>
      </c>
      <c r="CP40" s="311">
        <f>IF($BI40&lt;&gt;"",IF('Capacity summary'!$D$14="Yes",IF(COUNTBLANK('Capacity summary'!$H159:$BG159)&lt;52,IF('Capacity summary'!AM159&lt;&gt;"",IF(LOWER('Capacity summary'!AM159)="x",$BI40*AM40,VALUE('Capacity summary'!AM159)),0),AM40*$BI40),AM40*$BI40),0)</f>
        <v>0</v>
      </c>
      <c r="CQ40" s="311">
        <f>IF($BI40&lt;&gt;"",IF('Capacity summary'!$D$14="Yes",IF(COUNTBLANK('Capacity summary'!$H159:$BG159)&lt;52,IF('Capacity summary'!AN159&lt;&gt;"",IF(LOWER('Capacity summary'!AN159)="x",$BI40*AN40,VALUE('Capacity summary'!AN159)),0),AN40*$BI40),AN40*$BI40),0)</f>
        <v>0</v>
      </c>
      <c r="CR40" s="311">
        <f>IF($BI40&lt;&gt;"",IF('Capacity summary'!$D$14="Yes",IF(COUNTBLANK('Capacity summary'!$H159:$BG159)&lt;52,IF('Capacity summary'!AO159&lt;&gt;"",IF(LOWER('Capacity summary'!AO159)="x",$BI40*AO40,VALUE('Capacity summary'!AO159)),0),AO40*$BI40),AO40*$BI40),0)</f>
        <v>0</v>
      </c>
      <c r="CS40" s="311">
        <f>IF($BI40&lt;&gt;"",IF('Capacity summary'!$D$14="Yes",IF(COUNTBLANK('Capacity summary'!$H159:$BG159)&lt;52,IF('Capacity summary'!AP159&lt;&gt;"",IF(LOWER('Capacity summary'!AP159)="x",$BI40*AP40,VALUE('Capacity summary'!AP159)),0),AP40*$BI40),AP40*$BI40),0)</f>
        <v>0</v>
      </c>
      <c r="CT40" s="311">
        <f>IF($BI40&lt;&gt;"",IF('Capacity summary'!$D$14="Yes",IF(COUNTBLANK('Capacity summary'!$H159:$BG159)&lt;52,IF('Capacity summary'!AQ159&lt;&gt;"",IF(LOWER('Capacity summary'!AQ159)="x",$BI40*AQ40,VALUE('Capacity summary'!AQ159)),0),AQ40*$BI40),AQ40*$BI40),0)</f>
        <v>0</v>
      </c>
      <c r="CU40" s="311">
        <f>IF($BI40&lt;&gt;"",IF('Capacity summary'!$D$14="Yes",IF(COUNTBLANK('Capacity summary'!$H159:$BG159)&lt;52,IF('Capacity summary'!AR159&lt;&gt;"",IF(LOWER('Capacity summary'!AR159)="x",$BI40*AR40,VALUE('Capacity summary'!AR159)),0),AR40*$BI40),AR40*$BI40),0)</f>
        <v>0</v>
      </c>
      <c r="CV40" s="311">
        <f>IF($BI40&lt;&gt;"",IF('Capacity summary'!$D$14="Yes",IF(COUNTBLANK('Capacity summary'!$H159:$BG159)&lt;52,IF('Capacity summary'!AS159&lt;&gt;"",IF(LOWER('Capacity summary'!AS159)="x",$BI40*AS40,VALUE('Capacity summary'!AS159)),0),AS40*$BI40),AS40*$BI40),0)</f>
        <v>0</v>
      </c>
      <c r="CW40" s="311">
        <f>IF($BI40&lt;&gt;"",IF('Capacity summary'!$D$14="Yes",IF(COUNTBLANK('Capacity summary'!$H159:$BG159)&lt;52,IF('Capacity summary'!AT159&lt;&gt;"",IF(LOWER('Capacity summary'!AT159)="x",$BI40*AT40,VALUE('Capacity summary'!AT159)),0),AT40*$BI40),AT40*$BI40),0)</f>
        <v>0</v>
      </c>
      <c r="CX40" s="311">
        <f>IF($BI40&lt;&gt;"",IF('Capacity summary'!$D$14="Yes",IF(COUNTBLANK('Capacity summary'!$H159:$BG159)&lt;52,IF('Capacity summary'!AU159&lt;&gt;"",IF(LOWER('Capacity summary'!AU159)="x",$BI40*AU40,VALUE('Capacity summary'!AU159)),0),AU40*$BI40),AU40*$BI40),0)</f>
        <v>0</v>
      </c>
      <c r="CY40" s="311">
        <f>IF($BI40&lt;&gt;"",IF('Capacity summary'!$D$14="Yes",IF(COUNTBLANK('Capacity summary'!$H159:$BG159)&lt;52,IF('Capacity summary'!AV159&lt;&gt;"",IF(LOWER('Capacity summary'!AV159)="x",$BI40*AV40,VALUE('Capacity summary'!AV159)),0),AV40*$BI40),AV40*$BI40),0)</f>
        <v>0</v>
      </c>
      <c r="CZ40" s="311">
        <f>IF($BI40&lt;&gt;"",IF('Capacity summary'!$D$14="Yes",IF(COUNTBLANK('Capacity summary'!$H159:$BG159)&lt;52,IF('Capacity summary'!AW159&lt;&gt;"",IF(LOWER('Capacity summary'!AW159)="x",$BI40*AW40,VALUE('Capacity summary'!AW159)),0),AW40*$BI40),AW40*$BI40),0)</f>
        <v>0</v>
      </c>
      <c r="DA40" s="311">
        <f>IF($BI40&lt;&gt;"",IF('Capacity summary'!$D$14="Yes",IF(COUNTBLANK('Capacity summary'!$H159:$BG159)&lt;52,IF('Capacity summary'!AX159&lt;&gt;"",IF(LOWER('Capacity summary'!AX159)="x",$BI40*AX40,VALUE('Capacity summary'!AX159)),0),AX40*$BI40),AX40*$BI40),0)</f>
        <v>0</v>
      </c>
      <c r="DB40" s="311">
        <f>IF($BI40&lt;&gt;"",IF('Capacity summary'!$D$14="Yes",IF(COUNTBLANK('Capacity summary'!$H159:$BG159)&lt;52,IF('Capacity summary'!AY159&lt;&gt;"",IF(LOWER('Capacity summary'!AY159)="x",$BI40*AY40,VALUE('Capacity summary'!AY159)),0),AY40*$BI40),AY40*$BI40),0)</f>
        <v>0</v>
      </c>
      <c r="DC40" s="311">
        <f>IF($BI40&lt;&gt;"",IF('Capacity summary'!$D$14="Yes",IF(COUNTBLANK('Capacity summary'!$H159:$BG159)&lt;52,IF('Capacity summary'!AZ159&lt;&gt;"",IF(LOWER('Capacity summary'!AZ159)="x",$BI40*AZ40,VALUE('Capacity summary'!AZ159)),0),AZ40*$BI40),AZ40*$BI40),0)</f>
        <v>0</v>
      </c>
      <c r="DD40" s="311">
        <f>IF($BI40&lt;&gt;"",IF('Capacity summary'!$D$14="Yes",IF(COUNTBLANK('Capacity summary'!$H159:$BG159)&lt;52,IF('Capacity summary'!BA159&lt;&gt;"",IF(LOWER('Capacity summary'!BA159)="x",$BI40*BA40,VALUE('Capacity summary'!BA159)),0),BA40*$BI40),BA40*$BI40),0)</f>
        <v>0</v>
      </c>
      <c r="DE40" s="311">
        <f>IF($BI40&lt;&gt;"",IF('Capacity summary'!$D$14="Yes",IF(COUNTBLANK('Capacity summary'!$H159:$BG159)&lt;52,IF('Capacity summary'!BB159&lt;&gt;"",IF(LOWER('Capacity summary'!BB159)="x",$BI40*BB40,VALUE('Capacity summary'!BB159)),0),BB40*$BI40),BB40*$BI40),0)</f>
        <v>0</v>
      </c>
      <c r="DF40" s="311">
        <f>IF($BI40&lt;&gt;"",IF('Capacity summary'!$D$14="Yes",IF(COUNTBLANK('Capacity summary'!$H159:$BG159)&lt;52,IF('Capacity summary'!BC159&lt;&gt;"",IF(LOWER('Capacity summary'!BC159)="x",$BI40*BC40,VALUE('Capacity summary'!BC159)),0),BC40*$BI40),BC40*$BI40),0)</f>
        <v>0</v>
      </c>
      <c r="DG40" s="311">
        <f>IF($BI40&lt;&gt;"",IF('Capacity summary'!$D$14="Yes",IF(COUNTBLANK('Capacity summary'!$H159:$BG159)&lt;52,IF('Capacity summary'!BD159&lt;&gt;"",IF(LOWER('Capacity summary'!BD159)="x",$BI40*BD40,VALUE('Capacity summary'!BD159)),0),BD40*$BI40),BD40*$BI40),0)</f>
        <v>0</v>
      </c>
      <c r="DH40" s="311">
        <f>IF($BI40&lt;&gt;"",IF('Capacity summary'!$D$14="Yes",IF(COUNTBLANK('Capacity summary'!$H159:$BG159)&lt;52,IF('Capacity summary'!BE159&lt;&gt;"",IF(LOWER('Capacity summary'!BE159)="x",$BI40*BE40,VALUE('Capacity summary'!BE159)),0),BE40*$BI40),BE40*$BI40),0)</f>
        <v>0</v>
      </c>
      <c r="DI40" s="311">
        <f>IF($BI40&lt;&gt;"",IF('Capacity summary'!$D$14="Yes",IF(COUNTBLANK('Capacity summary'!$H159:$BG159)&lt;52,IF('Capacity summary'!BF159&lt;&gt;"",IF(LOWER('Capacity summary'!BF159)="x",$BI40*BF40,VALUE('Capacity summary'!BF159)),0),BF40*$BI40),BF40*$BI40),0)</f>
        <v>0</v>
      </c>
      <c r="DJ40" s="311">
        <f>IF($BI40&lt;&gt;"",IF('Capacity summary'!$D$14="Yes",IF(COUNTBLANK('Capacity summary'!$H159:$BG159)&lt;52,IF('Capacity summary'!BG159&lt;&gt;"",IF(LOWER('Capacity summary'!BG159)="x",$BI40*BG40,VALUE('Capacity summary'!BG159)),0),BG40*$BI40),BG40*$BI40),0)</f>
        <v>0</v>
      </c>
      <c r="DK40" s="391">
        <f t="shared" si="2"/>
        <v>0</v>
      </c>
      <c r="DL40" s="136">
        <f t="shared" si="3"/>
        <v>0</v>
      </c>
      <c r="DM40" s="311" t="str">
        <f>Capacity!H52</f>
        <v/>
      </c>
      <c r="DQ40" s="5"/>
    </row>
    <row r="41" spans="1:121" x14ac:dyDescent="0.2">
      <c r="A41" s="67">
        <f>IF(Capacity!L53='Capacity summary'!BI160,1,0)</f>
        <v>1</v>
      </c>
      <c r="B41" s="67">
        <f>IF(Capacity!V53='Capacity summary'!BI60,1,0)</f>
        <v>1</v>
      </c>
      <c r="C41" s="67" t="str">
        <f>ROW(A37)&amp;". "&amp;Capacity!B53</f>
        <v xml:space="preserve">37. </v>
      </c>
      <c r="D41" s="67">
        <f>'Capacity setup'!C48</f>
        <v>0</v>
      </c>
      <c r="E41" s="67">
        <f>'Capacity setup'!D48</f>
        <v>0</v>
      </c>
      <c r="F41" s="67">
        <f>'Capacity setup'!E48</f>
        <v>0</v>
      </c>
      <c r="H41" s="67">
        <f ca="1">IF(LOWER(Capacity!$L53)="x",IF(AND(SUMIF(Capacity_Resource,$D41,'Critical resources (hide)'!U$6:U$105)+SUMIF(Capacity_Resource,$E41,'Critical resources (hide)'!U$6:U$105)+SUMIF(Capacity_Resource,$F41,'Critical resources (hide)'!U$6:U$105)&gt;0,$E$1=2),0,1),0)</f>
        <v>1</v>
      </c>
      <c r="I41" s="67">
        <f ca="1">IF(LOWER(Capacity!$L53)="x",IF(AND(SUMIF(Capacity_Resource,$D41,'Critical resources (hide)'!V$6:V$105)+SUMIF(Capacity_Resource,$E41,'Critical resources (hide)'!V$6:V$105)+SUMIF(Capacity_Resource,$F41,'Critical resources (hide)'!V$6:V$105)&gt;0,$E$1=2),0,1),0)</f>
        <v>1</v>
      </c>
      <c r="J41" s="67">
        <f ca="1">IF(LOWER(Capacity!$L53)="x",IF(AND(SUMIF(Capacity_Resource,$D41,'Critical resources (hide)'!W$6:W$105)+SUMIF(Capacity_Resource,$E41,'Critical resources (hide)'!W$6:W$105)+SUMIF(Capacity_Resource,$F41,'Critical resources (hide)'!W$6:W$105)&gt;0,$E$1=2),0,1),0)</f>
        <v>1</v>
      </c>
      <c r="K41" s="67">
        <f ca="1">IF(LOWER(Capacity!$L53)="x",IF(AND(SUMIF(Capacity_Resource,$D41,'Critical resources (hide)'!X$6:X$105)+SUMIF(Capacity_Resource,$E41,'Critical resources (hide)'!X$6:X$105)+SUMIF(Capacity_Resource,$F41,'Critical resources (hide)'!X$6:X$105)&gt;0,$E$1=2),0,1),0)</f>
        <v>1</v>
      </c>
      <c r="L41" s="67">
        <f ca="1">IF(LOWER(Capacity!$L53)="x",IF(AND(SUMIF(Capacity_Resource,$D41,'Critical resources (hide)'!Y$6:Y$105)+SUMIF(Capacity_Resource,$E41,'Critical resources (hide)'!Y$6:Y$105)+SUMIF(Capacity_Resource,$F41,'Critical resources (hide)'!Y$6:Y$105)&gt;0,$E$1=2),0,1),0)</f>
        <v>1</v>
      </c>
      <c r="M41" s="67">
        <f ca="1">IF(LOWER(Capacity!$L53)="x",IF(AND(SUMIF(Capacity_Resource,$D41,'Critical resources (hide)'!Z$6:Z$105)+SUMIF(Capacity_Resource,$E41,'Critical resources (hide)'!Z$6:Z$105)+SUMIF(Capacity_Resource,$F41,'Critical resources (hide)'!Z$6:Z$105)&gt;0,$E$1=2),0,1),0)</f>
        <v>1</v>
      </c>
      <c r="N41" s="67">
        <f ca="1">IF(LOWER(Capacity!$L53)="x",IF(AND(SUMIF(Capacity_Resource,$D41,'Critical resources (hide)'!AA$6:AA$105)+SUMIF(Capacity_Resource,$E41,'Critical resources (hide)'!AA$6:AA$105)+SUMIF(Capacity_Resource,$F41,'Critical resources (hide)'!AA$6:AA$105)&gt;0,$E$1=2),0,1),0)</f>
        <v>1</v>
      </c>
      <c r="O41" s="67">
        <f ca="1">IF(LOWER(Capacity!$L53)="x",IF(AND(SUMIF(Capacity_Resource,$D41,'Critical resources (hide)'!AB$6:AB$105)+SUMIF(Capacity_Resource,$E41,'Critical resources (hide)'!AB$6:AB$105)+SUMIF(Capacity_Resource,$F41,'Critical resources (hide)'!AB$6:AB$105)&gt;0,$E$1=2),0,1),0)</f>
        <v>1</v>
      </c>
      <c r="P41" s="67">
        <f ca="1">IF(LOWER(Capacity!$L53)="x",IF(AND(SUMIF(Capacity_Resource,$D41,'Critical resources (hide)'!AC$6:AC$105)+SUMIF(Capacity_Resource,$E41,'Critical resources (hide)'!AC$6:AC$105)+SUMIF(Capacity_Resource,$F41,'Critical resources (hide)'!AC$6:AC$105)&gt;0,$E$1=2),0,1),0)</f>
        <v>1</v>
      </c>
      <c r="Q41" s="67">
        <f ca="1">IF(LOWER(Capacity!$L53)="x",IF(AND(SUMIF(Capacity_Resource,$D41,'Critical resources (hide)'!AD$6:AD$105)+SUMIF(Capacity_Resource,$E41,'Critical resources (hide)'!AD$6:AD$105)+SUMIF(Capacity_Resource,$F41,'Critical resources (hide)'!AD$6:AD$105)&gt;0,$E$1=2),0,1),0)</f>
        <v>1</v>
      </c>
      <c r="R41" s="67">
        <f ca="1">IF(LOWER(Capacity!$L53)="x",IF(AND(SUMIF(Capacity_Resource,$D41,'Critical resources (hide)'!AE$6:AE$105)+SUMIF(Capacity_Resource,$E41,'Critical resources (hide)'!AE$6:AE$105)+SUMIF(Capacity_Resource,$F41,'Critical resources (hide)'!AE$6:AE$105)&gt;0,$E$1=2),0,1),0)</f>
        <v>1</v>
      </c>
      <c r="S41" s="67">
        <f ca="1">IF(LOWER(Capacity!$L53)="x",IF(AND(SUMIF(Capacity_Resource,$D41,'Critical resources (hide)'!AF$6:AF$105)+SUMIF(Capacity_Resource,$E41,'Critical resources (hide)'!AF$6:AF$105)+SUMIF(Capacity_Resource,$F41,'Critical resources (hide)'!AF$6:AF$105)&gt;0,$E$1=2),0,1),0)</f>
        <v>1</v>
      </c>
      <c r="T41" s="67">
        <f ca="1">IF(LOWER(Capacity!$L53)="x",IF(AND(SUMIF(Capacity_Resource,$D41,'Critical resources (hide)'!AG$6:AG$105)+SUMIF(Capacity_Resource,$E41,'Critical resources (hide)'!AG$6:AG$105)+SUMIF(Capacity_Resource,$F41,'Critical resources (hide)'!AG$6:AG$105)&gt;0,$E$1=2),0,1),0)</f>
        <v>1</v>
      </c>
      <c r="U41" s="67">
        <f ca="1">IF(LOWER(Capacity!$L53)="x",IF(AND(SUMIF(Capacity_Resource,$D41,'Critical resources (hide)'!AH$6:AH$105)+SUMIF(Capacity_Resource,$E41,'Critical resources (hide)'!AH$6:AH$105)+SUMIF(Capacity_Resource,$F41,'Critical resources (hide)'!AH$6:AH$105)&gt;0,$E$1=2),0,1),0)</f>
        <v>1</v>
      </c>
      <c r="V41" s="67">
        <f ca="1">IF(LOWER(Capacity!$L53)="x",IF(AND(SUMIF(Capacity_Resource,$D41,'Critical resources (hide)'!AI$6:AI$105)+SUMIF(Capacity_Resource,$E41,'Critical resources (hide)'!AI$6:AI$105)+SUMIF(Capacity_Resource,$F41,'Critical resources (hide)'!AI$6:AI$105)&gt;0,$E$1=2),0,1),0)</f>
        <v>1</v>
      </c>
      <c r="W41" s="67">
        <f ca="1">IF(LOWER(Capacity!$L53)="x",IF(AND(SUMIF(Capacity_Resource,$D41,'Critical resources (hide)'!AJ$6:AJ$105)+SUMIF(Capacity_Resource,$E41,'Critical resources (hide)'!AJ$6:AJ$105)+SUMIF(Capacity_Resource,$F41,'Critical resources (hide)'!AJ$6:AJ$105)&gt;0,$E$1=2),0,1),0)</f>
        <v>1</v>
      </c>
      <c r="X41" s="67">
        <f ca="1">IF(LOWER(Capacity!$L53)="x",IF(AND(SUMIF(Capacity_Resource,$D41,'Critical resources (hide)'!AK$6:AK$105)+SUMIF(Capacity_Resource,$E41,'Critical resources (hide)'!AK$6:AK$105)+SUMIF(Capacity_Resource,$F41,'Critical resources (hide)'!AK$6:AK$105)&gt;0,$E$1=2),0,1),0)</f>
        <v>1</v>
      </c>
      <c r="Y41" s="67">
        <f ca="1">IF(LOWER(Capacity!$L53)="x",IF(AND(SUMIF(Capacity_Resource,$D41,'Critical resources (hide)'!AL$6:AL$105)+SUMIF(Capacity_Resource,$E41,'Critical resources (hide)'!AL$6:AL$105)+SUMIF(Capacity_Resource,$F41,'Critical resources (hide)'!AL$6:AL$105)&gt;0,$E$1=2),0,1),0)</f>
        <v>1</v>
      </c>
      <c r="Z41" s="67">
        <f ca="1">IF(LOWER(Capacity!$L53)="x",IF(AND(SUMIF(Capacity_Resource,$D41,'Critical resources (hide)'!AM$6:AM$105)+SUMIF(Capacity_Resource,$E41,'Critical resources (hide)'!AM$6:AM$105)+SUMIF(Capacity_Resource,$F41,'Critical resources (hide)'!AM$6:AM$105)&gt;0,$E$1=2),0,1),0)</f>
        <v>1</v>
      </c>
      <c r="AA41" s="67">
        <f ca="1">IF(LOWER(Capacity!$L53)="x",IF(AND(SUMIF(Capacity_Resource,$D41,'Critical resources (hide)'!AN$6:AN$105)+SUMIF(Capacity_Resource,$E41,'Critical resources (hide)'!AN$6:AN$105)+SUMIF(Capacity_Resource,$F41,'Critical resources (hide)'!AN$6:AN$105)&gt;0,$E$1=2),0,1),0)</f>
        <v>1</v>
      </c>
      <c r="AB41" s="67">
        <f ca="1">IF(LOWER(Capacity!$L53)="x",IF(AND(SUMIF(Capacity_Resource,$D41,'Critical resources (hide)'!AO$6:AO$105)+SUMIF(Capacity_Resource,$E41,'Critical resources (hide)'!AO$6:AO$105)+SUMIF(Capacity_Resource,$F41,'Critical resources (hide)'!AO$6:AO$105)&gt;0,$E$1=2),0,1),0)</f>
        <v>1</v>
      </c>
      <c r="AC41" s="67">
        <f ca="1">IF(LOWER(Capacity!$L53)="x",IF(AND(SUMIF(Capacity_Resource,$D41,'Critical resources (hide)'!AP$6:AP$105)+SUMIF(Capacity_Resource,$E41,'Critical resources (hide)'!AP$6:AP$105)+SUMIF(Capacity_Resource,$F41,'Critical resources (hide)'!AP$6:AP$105)&gt;0,$E$1=2),0,1),0)</f>
        <v>1</v>
      </c>
      <c r="AD41" s="67">
        <f ca="1">IF(LOWER(Capacity!$L53)="x",IF(AND(SUMIF(Capacity_Resource,$D41,'Critical resources (hide)'!AQ$6:AQ$105)+SUMIF(Capacity_Resource,$E41,'Critical resources (hide)'!AQ$6:AQ$105)+SUMIF(Capacity_Resource,$F41,'Critical resources (hide)'!AQ$6:AQ$105)&gt;0,$E$1=2),0,1),0)</f>
        <v>1</v>
      </c>
      <c r="AE41" s="67">
        <f ca="1">IF(LOWER(Capacity!$L53)="x",IF(AND(SUMIF(Capacity_Resource,$D41,'Critical resources (hide)'!AR$6:AR$105)+SUMIF(Capacity_Resource,$E41,'Critical resources (hide)'!AR$6:AR$105)+SUMIF(Capacity_Resource,$F41,'Critical resources (hide)'!AR$6:AR$105)&gt;0,$E$1=2),0,1),0)</f>
        <v>1</v>
      </c>
      <c r="AF41" s="67">
        <f ca="1">IF(LOWER(Capacity!$L53)="x",IF(AND(SUMIF(Capacity_Resource,$D41,'Critical resources (hide)'!AS$6:AS$105)+SUMIF(Capacity_Resource,$E41,'Critical resources (hide)'!AS$6:AS$105)+SUMIF(Capacity_Resource,$F41,'Critical resources (hide)'!AS$6:AS$105)&gt;0,$E$1=2),0,1),0)</f>
        <v>1</v>
      </c>
      <c r="AG41" s="67">
        <f ca="1">IF(LOWER(Capacity!$L53)="x",IF(AND(SUMIF(Capacity_Resource,$D41,'Critical resources (hide)'!AT$6:AT$105)+SUMIF(Capacity_Resource,$E41,'Critical resources (hide)'!AT$6:AT$105)+SUMIF(Capacity_Resource,$F41,'Critical resources (hide)'!AT$6:AT$105)&gt;0,$E$1=2),0,1),0)</f>
        <v>1</v>
      </c>
      <c r="AH41" s="67">
        <f ca="1">IF(LOWER(Capacity!$L53)="x",IF(AND(SUMIF(Capacity_Resource,$D41,'Critical resources (hide)'!AU$6:AU$105)+SUMIF(Capacity_Resource,$E41,'Critical resources (hide)'!AU$6:AU$105)+SUMIF(Capacity_Resource,$F41,'Critical resources (hide)'!AU$6:AU$105)&gt;0,$E$1=2),0,1),0)</f>
        <v>1</v>
      </c>
      <c r="AI41" s="67">
        <f ca="1">IF(LOWER(Capacity!$L53)="x",IF(AND(SUMIF(Capacity_Resource,$D41,'Critical resources (hide)'!AV$6:AV$105)+SUMIF(Capacity_Resource,$E41,'Critical resources (hide)'!AV$6:AV$105)+SUMIF(Capacity_Resource,$F41,'Critical resources (hide)'!AV$6:AV$105)&gt;0,$E$1=2),0,1),0)</f>
        <v>1</v>
      </c>
      <c r="AJ41" s="67">
        <f ca="1">IF(LOWER(Capacity!$L53)="x",IF(AND(SUMIF(Capacity_Resource,$D41,'Critical resources (hide)'!AW$6:AW$105)+SUMIF(Capacity_Resource,$E41,'Critical resources (hide)'!AW$6:AW$105)+SUMIF(Capacity_Resource,$F41,'Critical resources (hide)'!AW$6:AW$105)&gt;0,$E$1=2),0,1),0)</f>
        <v>1</v>
      </c>
      <c r="AK41" s="67">
        <f ca="1">IF(LOWER(Capacity!$L53)="x",IF(AND(SUMIF(Capacity_Resource,$D41,'Critical resources (hide)'!AX$6:AX$105)+SUMIF(Capacity_Resource,$E41,'Critical resources (hide)'!AX$6:AX$105)+SUMIF(Capacity_Resource,$F41,'Critical resources (hide)'!AX$6:AX$105)&gt;0,$E$1=2),0,1),0)</f>
        <v>1</v>
      </c>
      <c r="AL41" s="67">
        <f ca="1">IF(LOWER(Capacity!$L53)="x",IF(AND(SUMIF(Capacity_Resource,$D41,'Critical resources (hide)'!AY$6:AY$105)+SUMIF(Capacity_Resource,$E41,'Critical resources (hide)'!AY$6:AY$105)+SUMIF(Capacity_Resource,$F41,'Critical resources (hide)'!AY$6:AY$105)&gt;0,$E$1=2),0,1),0)</f>
        <v>1</v>
      </c>
      <c r="AM41" s="67">
        <f ca="1">IF(LOWER(Capacity!$L53)="x",IF(AND(SUMIF(Capacity_Resource,$D41,'Critical resources (hide)'!AZ$6:AZ$105)+SUMIF(Capacity_Resource,$E41,'Critical resources (hide)'!AZ$6:AZ$105)+SUMIF(Capacity_Resource,$F41,'Critical resources (hide)'!AZ$6:AZ$105)&gt;0,$E$1=2),0,1),0)</f>
        <v>1</v>
      </c>
      <c r="AN41" s="67">
        <f ca="1">IF(LOWER(Capacity!$L53)="x",IF(AND(SUMIF(Capacity_Resource,$D41,'Critical resources (hide)'!BA$6:BA$105)+SUMIF(Capacity_Resource,$E41,'Critical resources (hide)'!BA$6:BA$105)+SUMIF(Capacity_Resource,$F41,'Critical resources (hide)'!BA$6:BA$105)&gt;0,$E$1=2),0,1),0)</f>
        <v>1</v>
      </c>
      <c r="AO41" s="67">
        <f ca="1">IF(LOWER(Capacity!$L53)="x",IF(AND(SUMIF(Capacity_Resource,$D41,'Critical resources (hide)'!BB$6:BB$105)+SUMIF(Capacity_Resource,$E41,'Critical resources (hide)'!BB$6:BB$105)+SUMIF(Capacity_Resource,$F41,'Critical resources (hide)'!BB$6:BB$105)&gt;0,$E$1=2),0,1),0)</f>
        <v>1</v>
      </c>
      <c r="AP41" s="67">
        <f ca="1">IF(LOWER(Capacity!$L53)="x",IF(AND(SUMIF(Capacity_Resource,$D41,'Critical resources (hide)'!BC$6:BC$105)+SUMIF(Capacity_Resource,$E41,'Critical resources (hide)'!BC$6:BC$105)+SUMIF(Capacity_Resource,$F41,'Critical resources (hide)'!BC$6:BC$105)&gt;0,$E$1=2),0,1),0)</f>
        <v>1</v>
      </c>
      <c r="AQ41" s="67">
        <f ca="1">IF(LOWER(Capacity!$L53)="x",IF(AND(SUMIF(Capacity_Resource,$D41,'Critical resources (hide)'!BD$6:BD$105)+SUMIF(Capacity_Resource,$E41,'Critical resources (hide)'!BD$6:BD$105)+SUMIF(Capacity_Resource,$F41,'Critical resources (hide)'!BD$6:BD$105)&gt;0,$E$1=2),0,1),0)</f>
        <v>1</v>
      </c>
      <c r="AR41" s="67">
        <f ca="1">IF(LOWER(Capacity!$L53)="x",IF(AND(SUMIF(Capacity_Resource,$D41,'Critical resources (hide)'!BE$6:BE$105)+SUMIF(Capacity_Resource,$E41,'Critical resources (hide)'!BE$6:BE$105)+SUMIF(Capacity_Resource,$F41,'Critical resources (hide)'!BE$6:BE$105)&gt;0,$E$1=2),0,1),0)</f>
        <v>1</v>
      </c>
      <c r="AS41" s="67">
        <f ca="1">IF(LOWER(Capacity!$L53)="x",IF(AND(SUMIF(Capacity_Resource,$D41,'Critical resources (hide)'!BF$6:BF$105)+SUMIF(Capacity_Resource,$E41,'Critical resources (hide)'!BF$6:BF$105)+SUMIF(Capacity_Resource,$F41,'Critical resources (hide)'!BF$6:BF$105)&gt;0,$E$1=2),0,1),0)</f>
        <v>1</v>
      </c>
      <c r="AT41" s="67">
        <f ca="1">IF(LOWER(Capacity!$L53)="x",IF(AND(SUMIF(Capacity_Resource,$D41,'Critical resources (hide)'!BG$6:BG$105)+SUMIF(Capacity_Resource,$E41,'Critical resources (hide)'!BG$6:BG$105)+SUMIF(Capacity_Resource,$F41,'Critical resources (hide)'!BG$6:BG$105)&gt;0,$E$1=2),0,1),0)</f>
        <v>1</v>
      </c>
      <c r="AU41" s="67">
        <f ca="1">IF(LOWER(Capacity!$L53)="x",IF(AND(SUMIF(Capacity_Resource,$D41,'Critical resources (hide)'!BH$6:BH$105)+SUMIF(Capacity_Resource,$E41,'Critical resources (hide)'!BH$6:BH$105)+SUMIF(Capacity_Resource,$F41,'Critical resources (hide)'!BH$6:BH$105)&gt;0,$E$1=2),0,1),0)</f>
        <v>1</v>
      </c>
      <c r="AV41" s="67">
        <f ca="1">IF(LOWER(Capacity!$L53)="x",IF(AND(SUMIF(Capacity_Resource,$D41,'Critical resources (hide)'!BI$6:BI$105)+SUMIF(Capacity_Resource,$E41,'Critical resources (hide)'!BI$6:BI$105)+SUMIF(Capacity_Resource,$F41,'Critical resources (hide)'!BI$6:BI$105)&gt;0,$E$1=2),0,1),0)</f>
        <v>1</v>
      </c>
      <c r="AW41" s="67">
        <f ca="1">IF(LOWER(Capacity!$L53)="x",IF(AND(SUMIF(Capacity_Resource,$D41,'Critical resources (hide)'!BJ$6:BJ$105)+SUMIF(Capacity_Resource,$E41,'Critical resources (hide)'!BJ$6:BJ$105)+SUMIF(Capacity_Resource,$F41,'Critical resources (hide)'!BJ$6:BJ$105)&gt;0,$E$1=2),0,1),0)</f>
        <v>1</v>
      </c>
      <c r="AX41" s="67">
        <f ca="1">IF(LOWER(Capacity!$L53)="x",IF(AND(SUMIF(Capacity_Resource,$D41,'Critical resources (hide)'!BK$6:BK$105)+SUMIF(Capacity_Resource,$E41,'Critical resources (hide)'!BK$6:BK$105)+SUMIF(Capacity_Resource,$F41,'Critical resources (hide)'!BK$6:BK$105)&gt;0,$E$1=2),0,1),0)</f>
        <v>1</v>
      </c>
      <c r="AY41" s="67">
        <f ca="1">IF(LOWER(Capacity!$L53)="x",IF(AND(SUMIF(Capacity_Resource,$D41,'Critical resources (hide)'!BL$6:BL$105)+SUMIF(Capacity_Resource,$E41,'Critical resources (hide)'!BL$6:BL$105)+SUMIF(Capacity_Resource,$F41,'Critical resources (hide)'!BL$6:BL$105)&gt;0,$E$1=2),0,1),0)</f>
        <v>1</v>
      </c>
      <c r="AZ41" s="67">
        <f ca="1">IF(LOWER(Capacity!$L53)="x",IF(AND(SUMIF(Capacity_Resource,$D41,'Critical resources (hide)'!BM$6:BM$105)+SUMIF(Capacity_Resource,$E41,'Critical resources (hide)'!BM$6:BM$105)+SUMIF(Capacity_Resource,$F41,'Critical resources (hide)'!BM$6:BM$105)&gt;0,$E$1=2),0,1),0)</f>
        <v>1</v>
      </c>
      <c r="BA41" s="67">
        <f ca="1">IF(LOWER(Capacity!$L53)="x",IF(AND(SUMIF(Capacity_Resource,$D41,'Critical resources (hide)'!BN$6:BN$105)+SUMIF(Capacity_Resource,$E41,'Critical resources (hide)'!BN$6:BN$105)+SUMIF(Capacity_Resource,$F41,'Critical resources (hide)'!BN$6:BN$105)&gt;0,$E$1=2),0,1),0)</f>
        <v>1</v>
      </c>
      <c r="BB41" s="67">
        <f ca="1">IF(LOWER(Capacity!$L53)="x",IF(AND(SUMIF(Capacity_Resource,$D41,'Critical resources (hide)'!BO$6:BO$105)+SUMIF(Capacity_Resource,$E41,'Critical resources (hide)'!BO$6:BO$105)+SUMIF(Capacity_Resource,$F41,'Critical resources (hide)'!BO$6:BO$105)&gt;0,$E$1=2),0,1),0)</f>
        <v>1</v>
      </c>
      <c r="BC41" s="67">
        <f ca="1">IF(LOWER(Capacity!$L53)="x",IF(AND(SUMIF(Capacity_Resource,$D41,'Critical resources (hide)'!BP$6:BP$105)+SUMIF(Capacity_Resource,$E41,'Critical resources (hide)'!BP$6:BP$105)+SUMIF(Capacity_Resource,$F41,'Critical resources (hide)'!BP$6:BP$105)&gt;0,$E$1=2),0,1),0)</f>
        <v>1</v>
      </c>
      <c r="BD41" s="67">
        <f ca="1">IF(LOWER(Capacity!$L53)="x",IF(AND(SUMIF(Capacity_Resource,$D41,'Critical resources (hide)'!BQ$6:BQ$105)+SUMIF(Capacity_Resource,$E41,'Critical resources (hide)'!BQ$6:BQ$105)+SUMIF(Capacity_Resource,$F41,'Critical resources (hide)'!BQ$6:BQ$105)&gt;0,$E$1=2),0,1),0)</f>
        <v>1</v>
      </c>
      <c r="BE41" s="67">
        <f ca="1">IF(LOWER(Capacity!$L53)="x",IF(AND(SUMIF(Capacity_Resource,$D41,'Critical resources (hide)'!BR$6:BR$105)+SUMIF(Capacity_Resource,$E41,'Critical resources (hide)'!BR$6:BR$105)+SUMIF(Capacity_Resource,$F41,'Critical resources (hide)'!BR$6:BR$105)&gt;0,$E$1=2),0,1),0)</f>
        <v>1</v>
      </c>
      <c r="BF41" s="67">
        <f ca="1">IF(LOWER(Capacity!$L53)="x",IF(AND(SUMIF(Capacity_Resource,$D41,'Critical resources (hide)'!BS$6:BS$105)+SUMIF(Capacity_Resource,$E41,'Critical resources (hide)'!BS$6:BS$105)+SUMIF(Capacity_Resource,$F41,'Critical resources (hide)'!BS$6:BS$105)&gt;0,$E$1=2),0,1),0)</f>
        <v>1</v>
      </c>
      <c r="BG41" s="67">
        <f ca="1">IF(LOWER(Capacity!$L53)="x",IF(AND(SUMIF(Capacity_Resource,$D41,'Critical resources (hide)'!BT$6:BT$105)+SUMIF(Capacity_Resource,$E41,'Critical resources (hide)'!BT$6:BT$105)+SUMIF(Capacity_Resource,$F41,'Critical resources (hide)'!BT$6:BT$105)&gt;0,$E$1=2),0,1),0)</f>
        <v>1</v>
      </c>
      <c r="BH41" s="67">
        <f>IF(ROW(C37)&lt;=Capacity!$A$16,IF('Capacity summary'!$D$14="No",SUM(H41:BG41),'Capacity summary'!$E160),0)</f>
        <v>0</v>
      </c>
      <c r="BI41" s="5" t="str">
        <f>IF(BH41&gt;0,IF(BH41&lt;Capacity!E53,Capacity!F53,Capacity!H53/'Capacity calculation (hide)'!BH41),"")</f>
        <v/>
      </c>
      <c r="BK41" s="311">
        <f>IF($BI41&lt;&gt;"",IF('Capacity summary'!$D$14="Yes",IF(COUNTBLANK('Capacity summary'!$H160:$BG160)&lt;52,IF('Capacity summary'!H160&lt;&gt;"",IF(LOWER('Capacity summary'!H160)="x",$BI41*H41,VALUE('Capacity summary'!H160)),0),H41*$BI41),H41*$BI41),0)</f>
        <v>0</v>
      </c>
      <c r="BL41" s="311">
        <f>IF($BI41&lt;&gt;"",IF('Capacity summary'!$D$14="Yes",IF(COUNTBLANK('Capacity summary'!$H160:$BG160)&lt;52,IF('Capacity summary'!I160&lt;&gt;"",IF(LOWER('Capacity summary'!I160)="x",$BI41*I41,VALUE('Capacity summary'!I160)),0),I41*$BI41),I41*$BI41),0)</f>
        <v>0</v>
      </c>
      <c r="BM41" s="311">
        <f>IF($BI41&lt;&gt;"",IF('Capacity summary'!$D$14="Yes",IF(COUNTBLANK('Capacity summary'!$H160:$BG160)&lt;52,IF('Capacity summary'!J160&lt;&gt;"",IF(LOWER('Capacity summary'!J160)="x",$BI41*J41,VALUE('Capacity summary'!J160)),0),J41*$BI41),J41*$BI41),0)</f>
        <v>0</v>
      </c>
      <c r="BN41" s="311">
        <f>IF($BI41&lt;&gt;"",IF('Capacity summary'!$D$14="Yes",IF(COUNTBLANK('Capacity summary'!$H160:$BG160)&lt;52,IF('Capacity summary'!K160&lt;&gt;"",IF(LOWER('Capacity summary'!K160)="x",$BI41*K41,VALUE('Capacity summary'!K160)),0),K41*$BI41),K41*$BI41),0)</f>
        <v>0</v>
      </c>
      <c r="BO41" s="311">
        <f>IF($BI41&lt;&gt;"",IF('Capacity summary'!$D$14="Yes",IF(COUNTBLANK('Capacity summary'!$H160:$BG160)&lt;52,IF('Capacity summary'!L160&lt;&gt;"",IF(LOWER('Capacity summary'!L160)="x",$BI41*L41,VALUE('Capacity summary'!L160)),0),L41*$BI41),L41*$BI41),0)</f>
        <v>0</v>
      </c>
      <c r="BP41" s="311">
        <f>IF($BI41&lt;&gt;"",IF('Capacity summary'!$D$14="Yes",IF(COUNTBLANK('Capacity summary'!$H160:$BG160)&lt;52,IF('Capacity summary'!M160&lt;&gt;"",IF(LOWER('Capacity summary'!M160)="x",$BI41*M41,VALUE('Capacity summary'!M160)),0),M41*$BI41),M41*$BI41),0)</f>
        <v>0</v>
      </c>
      <c r="BQ41" s="311">
        <f>IF($BI41&lt;&gt;"",IF('Capacity summary'!$D$14="Yes",IF(COUNTBLANK('Capacity summary'!$H160:$BG160)&lt;52,IF('Capacity summary'!N160&lt;&gt;"",IF(LOWER('Capacity summary'!N160)="x",$BI41*N41,VALUE('Capacity summary'!N160)),0),N41*$BI41),N41*$BI41),0)</f>
        <v>0</v>
      </c>
      <c r="BR41" s="311">
        <f>IF($BI41&lt;&gt;"",IF('Capacity summary'!$D$14="Yes",IF(COUNTBLANK('Capacity summary'!$H160:$BG160)&lt;52,IF('Capacity summary'!O160&lt;&gt;"",IF(LOWER('Capacity summary'!O160)="x",$BI41*O41,VALUE('Capacity summary'!O160)),0),O41*$BI41),O41*$BI41),0)</f>
        <v>0</v>
      </c>
      <c r="BS41" s="311">
        <f>IF($BI41&lt;&gt;"",IF('Capacity summary'!$D$14="Yes",IF(COUNTBLANK('Capacity summary'!$H160:$BG160)&lt;52,IF('Capacity summary'!P160&lt;&gt;"",IF(LOWER('Capacity summary'!P160)="x",$BI41*P41,VALUE('Capacity summary'!P160)),0),P41*$BI41),P41*$BI41),0)</f>
        <v>0</v>
      </c>
      <c r="BT41" s="311">
        <f>IF($BI41&lt;&gt;"",IF('Capacity summary'!$D$14="Yes",IF(COUNTBLANK('Capacity summary'!$H160:$BG160)&lt;52,IF('Capacity summary'!Q160&lt;&gt;"",IF(LOWER('Capacity summary'!Q160)="x",$BI41*Q41,VALUE('Capacity summary'!Q160)),0),Q41*$BI41),Q41*$BI41),0)</f>
        <v>0</v>
      </c>
      <c r="BU41" s="311">
        <f>IF($BI41&lt;&gt;"",IF('Capacity summary'!$D$14="Yes",IF(COUNTBLANK('Capacity summary'!$H160:$BG160)&lt;52,IF('Capacity summary'!R160&lt;&gt;"",IF(LOWER('Capacity summary'!R160)="x",$BI41*R41,VALUE('Capacity summary'!R160)),0),R41*$BI41),R41*$BI41),0)</f>
        <v>0</v>
      </c>
      <c r="BV41" s="311">
        <f>IF($BI41&lt;&gt;"",IF('Capacity summary'!$D$14="Yes",IF(COUNTBLANK('Capacity summary'!$H160:$BG160)&lt;52,IF('Capacity summary'!S160&lt;&gt;"",IF(LOWER('Capacity summary'!S160)="x",$BI41*S41,VALUE('Capacity summary'!S160)),0),S41*$BI41),S41*$BI41),0)</f>
        <v>0</v>
      </c>
      <c r="BW41" s="311">
        <f>IF($BI41&lt;&gt;"",IF('Capacity summary'!$D$14="Yes",IF(COUNTBLANK('Capacity summary'!$H160:$BG160)&lt;52,IF('Capacity summary'!T160&lt;&gt;"",IF(LOWER('Capacity summary'!T160)="x",$BI41*T41,VALUE('Capacity summary'!T160)),0),T41*$BI41),T41*$BI41),0)</f>
        <v>0</v>
      </c>
      <c r="BX41" s="311">
        <f>IF($BI41&lt;&gt;"",IF('Capacity summary'!$D$14="Yes",IF(COUNTBLANK('Capacity summary'!$H160:$BG160)&lt;52,IF('Capacity summary'!U160&lt;&gt;"",IF(LOWER('Capacity summary'!U160)="x",$BI41*U41,VALUE('Capacity summary'!U160)),0),U41*$BI41),U41*$BI41),0)</f>
        <v>0</v>
      </c>
      <c r="BY41" s="311">
        <f>IF($BI41&lt;&gt;"",IF('Capacity summary'!$D$14="Yes",IF(COUNTBLANK('Capacity summary'!$H160:$BG160)&lt;52,IF('Capacity summary'!V160&lt;&gt;"",IF(LOWER('Capacity summary'!V160)="x",$BI41*V41,VALUE('Capacity summary'!V160)),0),V41*$BI41),V41*$BI41),0)</f>
        <v>0</v>
      </c>
      <c r="BZ41" s="311">
        <f>IF($BI41&lt;&gt;"",IF('Capacity summary'!$D$14="Yes",IF(COUNTBLANK('Capacity summary'!$H160:$BG160)&lt;52,IF('Capacity summary'!W160&lt;&gt;"",IF(LOWER('Capacity summary'!W160)="x",$BI41*W41,VALUE('Capacity summary'!W160)),0),W41*$BI41),W41*$BI41),0)</f>
        <v>0</v>
      </c>
      <c r="CA41" s="311">
        <f>IF($BI41&lt;&gt;"",IF('Capacity summary'!$D$14="Yes",IF(COUNTBLANK('Capacity summary'!$H160:$BG160)&lt;52,IF('Capacity summary'!X160&lt;&gt;"",IF(LOWER('Capacity summary'!X160)="x",$BI41*X41,VALUE('Capacity summary'!X160)),0),X41*$BI41),X41*$BI41),0)</f>
        <v>0</v>
      </c>
      <c r="CB41" s="311">
        <f>IF($BI41&lt;&gt;"",IF('Capacity summary'!$D$14="Yes",IF(COUNTBLANK('Capacity summary'!$H160:$BG160)&lt;52,IF('Capacity summary'!Y160&lt;&gt;"",IF(LOWER('Capacity summary'!Y160)="x",$BI41*Y41,VALUE('Capacity summary'!Y160)),0),Y41*$BI41),Y41*$BI41),0)</f>
        <v>0</v>
      </c>
      <c r="CC41" s="311">
        <f>IF($BI41&lt;&gt;"",IF('Capacity summary'!$D$14="Yes",IF(COUNTBLANK('Capacity summary'!$H160:$BG160)&lt;52,IF('Capacity summary'!Z160&lt;&gt;"",IF(LOWER('Capacity summary'!Z160)="x",$BI41*Z41,VALUE('Capacity summary'!Z160)),0),Z41*$BI41),Z41*$BI41),0)</f>
        <v>0</v>
      </c>
      <c r="CD41" s="311">
        <f>IF($BI41&lt;&gt;"",IF('Capacity summary'!$D$14="Yes",IF(COUNTBLANK('Capacity summary'!$H160:$BG160)&lt;52,IF('Capacity summary'!AA160&lt;&gt;"",IF(LOWER('Capacity summary'!AA160)="x",$BI41*AA41,VALUE('Capacity summary'!AA160)),0),AA41*$BI41),AA41*$BI41),0)</f>
        <v>0</v>
      </c>
      <c r="CE41" s="311">
        <f>IF($BI41&lt;&gt;"",IF('Capacity summary'!$D$14="Yes",IF(COUNTBLANK('Capacity summary'!$H160:$BG160)&lt;52,IF('Capacity summary'!AB160&lt;&gt;"",IF(LOWER('Capacity summary'!AB160)="x",$BI41*AB41,VALUE('Capacity summary'!AB160)),0),AB41*$BI41),AB41*$BI41),0)</f>
        <v>0</v>
      </c>
      <c r="CF41" s="311">
        <f>IF($BI41&lt;&gt;"",IF('Capacity summary'!$D$14="Yes",IF(COUNTBLANK('Capacity summary'!$H160:$BG160)&lt;52,IF('Capacity summary'!AC160&lt;&gt;"",IF(LOWER('Capacity summary'!AC160)="x",$BI41*AC41,VALUE('Capacity summary'!AC160)),0),AC41*$BI41),AC41*$BI41),0)</f>
        <v>0</v>
      </c>
      <c r="CG41" s="311">
        <f>IF($BI41&lt;&gt;"",IF('Capacity summary'!$D$14="Yes",IF(COUNTBLANK('Capacity summary'!$H160:$BG160)&lt;52,IF('Capacity summary'!AD160&lt;&gt;"",IF(LOWER('Capacity summary'!AD160)="x",$BI41*AD41,VALUE('Capacity summary'!AD160)),0),AD41*$BI41),AD41*$BI41),0)</f>
        <v>0</v>
      </c>
      <c r="CH41" s="311">
        <f>IF($BI41&lt;&gt;"",IF('Capacity summary'!$D$14="Yes",IF(COUNTBLANK('Capacity summary'!$H160:$BG160)&lt;52,IF('Capacity summary'!AE160&lt;&gt;"",IF(LOWER('Capacity summary'!AE160)="x",$BI41*AE41,VALUE('Capacity summary'!AE160)),0),AE41*$BI41),AE41*$BI41),0)</f>
        <v>0</v>
      </c>
      <c r="CI41" s="311">
        <f>IF($BI41&lt;&gt;"",IF('Capacity summary'!$D$14="Yes",IF(COUNTBLANK('Capacity summary'!$H160:$BG160)&lt;52,IF('Capacity summary'!AF160&lt;&gt;"",IF(LOWER('Capacity summary'!AF160)="x",$BI41*AF41,VALUE('Capacity summary'!AF160)),0),AF41*$BI41),AF41*$BI41),0)</f>
        <v>0</v>
      </c>
      <c r="CJ41" s="311">
        <f>IF($BI41&lt;&gt;"",IF('Capacity summary'!$D$14="Yes",IF(COUNTBLANK('Capacity summary'!$H160:$BG160)&lt;52,IF('Capacity summary'!AG160&lt;&gt;"",IF(LOWER('Capacity summary'!AG160)="x",$BI41*AG41,VALUE('Capacity summary'!AG160)),0),AG41*$BI41),AG41*$BI41),0)</f>
        <v>0</v>
      </c>
      <c r="CK41" s="311">
        <f>IF($BI41&lt;&gt;"",IF('Capacity summary'!$D$14="Yes",IF(COUNTBLANK('Capacity summary'!$H160:$BG160)&lt;52,IF('Capacity summary'!AH160&lt;&gt;"",IF(LOWER('Capacity summary'!AH160)="x",$BI41*AH41,VALUE('Capacity summary'!AH160)),0),AH41*$BI41),AH41*$BI41),0)</f>
        <v>0</v>
      </c>
      <c r="CL41" s="311">
        <f>IF($BI41&lt;&gt;"",IF('Capacity summary'!$D$14="Yes",IF(COUNTBLANK('Capacity summary'!$H160:$BG160)&lt;52,IF('Capacity summary'!AI160&lt;&gt;"",IF(LOWER('Capacity summary'!AI160)="x",$BI41*AI41,VALUE('Capacity summary'!AI160)),0),AI41*$BI41),AI41*$BI41),0)</f>
        <v>0</v>
      </c>
      <c r="CM41" s="311">
        <f>IF($BI41&lt;&gt;"",IF('Capacity summary'!$D$14="Yes",IF(COUNTBLANK('Capacity summary'!$H160:$BG160)&lt;52,IF('Capacity summary'!AJ160&lt;&gt;"",IF(LOWER('Capacity summary'!AJ160)="x",$BI41*AJ41,VALUE('Capacity summary'!AJ160)),0),AJ41*$BI41),AJ41*$BI41),0)</f>
        <v>0</v>
      </c>
      <c r="CN41" s="311">
        <f>IF($BI41&lt;&gt;"",IF('Capacity summary'!$D$14="Yes",IF(COUNTBLANK('Capacity summary'!$H160:$BG160)&lt;52,IF('Capacity summary'!AK160&lt;&gt;"",IF(LOWER('Capacity summary'!AK160)="x",$BI41*AK41,VALUE('Capacity summary'!AK160)),0),AK41*$BI41),AK41*$BI41),0)</f>
        <v>0</v>
      </c>
      <c r="CO41" s="311">
        <f>IF($BI41&lt;&gt;"",IF('Capacity summary'!$D$14="Yes",IF(COUNTBLANK('Capacity summary'!$H160:$BG160)&lt;52,IF('Capacity summary'!AL160&lt;&gt;"",IF(LOWER('Capacity summary'!AL160)="x",$BI41*AL41,VALUE('Capacity summary'!AL160)),0),AL41*$BI41),AL41*$BI41),0)</f>
        <v>0</v>
      </c>
      <c r="CP41" s="311">
        <f>IF($BI41&lt;&gt;"",IF('Capacity summary'!$D$14="Yes",IF(COUNTBLANK('Capacity summary'!$H160:$BG160)&lt;52,IF('Capacity summary'!AM160&lt;&gt;"",IF(LOWER('Capacity summary'!AM160)="x",$BI41*AM41,VALUE('Capacity summary'!AM160)),0),AM41*$BI41),AM41*$BI41),0)</f>
        <v>0</v>
      </c>
      <c r="CQ41" s="311">
        <f>IF($BI41&lt;&gt;"",IF('Capacity summary'!$D$14="Yes",IF(COUNTBLANK('Capacity summary'!$H160:$BG160)&lt;52,IF('Capacity summary'!AN160&lt;&gt;"",IF(LOWER('Capacity summary'!AN160)="x",$BI41*AN41,VALUE('Capacity summary'!AN160)),0),AN41*$BI41),AN41*$BI41),0)</f>
        <v>0</v>
      </c>
      <c r="CR41" s="311">
        <f>IF($BI41&lt;&gt;"",IF('Capacity summary'!$D$14="Yes",IF(COUNTBLANK('Capacity summary'!$H160:$BG160)&lt;52,IF('Capacity summary'!AO160&lt;&gt;"",IF(LOWER('Capacity summary'!AO160)="x",$BI41*AO41,VALUE('Capacity summary'!AO160)),0),AO41*$BI41),AO41*$BI41),0)</f>
        <v>0</v>
      </c>
      <c r="CS41" s="311">
        <f>IF($BI41&lt;&gt;"",IF('Capacity summary'!$D$14="Yes",IF(COUNTBLANK('Capacity summary'!$H160:$BG160)&lt;52,IF('Capacity summary'!AP160&lt;&gt;"",IF(LOWER('Capacity summary'!AP160)="x",$BI41*AP41,VALUE('Capacity summary'!AP160)),0),AP41*$BI41),AP41*$BI41),0)</f>
        <v>0</v>
      </c>
      <c r="CT41" s="311">
        <f>IF($BI41&lt;&gt;"",IF('Capacity summary'!$D$14="Yes",IF(COUNTBLANK('Capacity summary'!$H160:$BG160)&lt;52,IF('Capacity summary'!AQ160&lt;&gt;"",IF(LOWER('Capacity summary'!AQ160)="x",$BI41*AQ41,VALUE('Capacity summary'!AQ160)),0),AQ41*$BI41),AQ41*$BI41),0)</f>
        <v>0</v>
      </c>
      <c r="CU41" s="311">
        <f>IF($BI41&lt;&gt;"",IF('Capacity summary'!$D$14="Yes",IF(COUNTBLANK('Capacity summary'!$H160:$BG160)&lt;52,IF('Capacity summary'!AR160&lt;&gt;"",IF(LOWER('Capacity summary'!AR160)="x",$BI41*AR41,VALUE('Capacity summary'!AR160)),0),AR41*$BI41),AR41*$BI41),0)</f>
        <v>0</v>
      </c>
      <c r="CV41" s="311">
        <f>IF($BI41&lt;&gt;"",IF('Capacity summary'!$D$14="Yes",IF(COUNTBLANK('Capacity summary'!$H160:$BG160)&lt;52,IF('Capacity summary'!AS160&lt;&gt;"",IF(LOWER('Capacity summary'!AS160)="x",$BI41*AS41,VALUE('Capacity summary'!AS160)),0),AS41*$BI41),AS41*$BI41),0)</f>
        <v>0</v>
      </c>
      <c r="CW41" s="311">
        <f>IF($BI41&lt;&gt;"",IF('Capacity summary'!$D$14="Yes",IF(COUNTBLANK('Capacity summary'!$H160:$BG160)&lt;52,IF('Capacity summary'!AT160&lt;&gt;"",IF(LOWER('Capacity summary'!AT160)="x",$BI41*AT41,VALUE('Capacity summary'!AT160)),0),AT41*$BI41),AT41*$BI41),0)</f>
        <v>0</v>
      </c>
      <c r="CX41" s="311">
        <f>IF($BI41&lt;&gt;"",IF('Capacity summary'!$D$14="Yes",IF(COUNTBLANK('Capacity summary'!$H160:$BG160)&lt;52,IF('Capacity summary'!AU160&lt;&gt;"",IF(LOWER('Capacity summary'!AU160)="x",$BI41*AU41,VALUE('Capacity summary'!AU160)),0),AU41*$BI41),AU41*$BI41),0)</f>
        <v>0</v>
      </c>
      <c r="CY41" s="311">
        <f>IF($BI41&lt;&gt;"",IF('Capacity summary'!$D$14="Yes",IF(COUNTBLANK('Capacity summary'!$H160:$BG160)&lt;52,IF('Capacity summary'!AV160&lt;&gt;"",IF(LOWER('Capacity summary'!AV160)="x",$BI41*AV41,VALUE('Capacity summary'!AV160)),0),AV41*$BI41),AV41*$BI41),0)</f>
        <v>0</v>
      </c>
      <c r="CZ41" s="311">
        <f>IF($BI41&lt;&gt;"",IF('Capacity summary'!$D$14="Yes",IF(COUNTBLANK('Capacity summary'!$H160:$BG160)&lt;52,IF('Capacity summary'!AW160&lt;&gt;"",IF(LOWER('Capacity summary'!AW160)="x",$BI41*AW41,VALUE('Capacity summary'!AW160)),0),AW41*$BI41),AW41*$BI41),0)</f>
        <v>0</v>
      </c>
      <c r="DA41" s="311">
        <f>IF($BI41&lt;&gt;"",IF('Capacity summary'!$D$14="Yes",IF(COUNTBLANK('Capacity summary'!$H160:$BG160)&lt;52,IF('Capacity summary'!AX160&lt;&gt;"",IF(LOWER('Capacity summary'!AX160)="x",$BI41*AX41,VALUE('Capacity summary'!AX160)),0),AX41*$BI41),AX41*$BI41),0)</f>
        <v>0</v>
      </c>
      <c r="DB41" s="311">
        <f>IF($BI41&lt;&gt;"",IF('Capacity summary'!$D$14="Yes",IF(COUNTBLANK('Capacity summary'!$H160:$BG160)&lt;52,IF('Capacity summary'!AY160&lt;&gt;"",IF(LOWER('Capacity summary'!AY160)="x",$BI41*AY41,VALUE('Capacity summary'!AY160)),0),AY41*$BI41),AY41*$BI41),0)</f>
        <v>0</v>
      </c>
      <c r="DC41" s="311">
        <f>IF($BI41&lt;&gt;"",IF('Capacity summary'!$D$14="Yes",IF(COUNTBLANK('Capacity summary'!$H160:$BG160)&lt;52,IF('Capacity summary'!AZ160&lt;&gt;"",IF(LOWER('Capacity summary'!AZ160)="x",$BI41*AZ41,VALUE('Capacity summary'!AZ160)),0),AZ41*$BI41),AZ41*$BI41),0)</f>
        <v>0</v>
      </c>
      <c r="DD41" s="311">
        <f>IF($BI41&lt;&gt;"",IF('Capacity summary'!$D$14="Yes",IF(COUNTBLANK('Capacity summary'!$H160:$BG160)&lt;52,IF('Capacity summary'!BA160&lt;&gt;"",IF(LOWER('Capacity summary'!BA160)="x",$BI41*BA41,VALUE('Capacity summary'!BA160)),0),BA41*$BI41),BA41*$BI41),0)</f>
        <v>0</v>
      </c>
      <c r="DE41" s="311">
        <f>IF($BI41&lt;&gt;"",IF('Capacity summary'!$D$14="Yes",IF(COUNTBLANK('Capacity summary'!$H160:$BG160)&lt;52,IF('Capacity summary'!BB160&lt;&gt;"",IF(LOWER('Capacity summary'!BB160)="x",$BI41*BB41,VALUE('Capacity summary'!BB160)),0),BB41*$BI41),BB41*$BI41),0)</f>
        <v>0</v>
      </c>
      <c r="DF41" s="311">
        <f>IF($BI41&lt;&gt;"",IF('Capacity summary'!$D$14="Yes",IF(COUNTBLANK('Capacity summary'!$H160:$BG160)&lt;52,IF('Capacity summary'!BC160&lt;&gt;"",IF(LOWER('Capacity summary'!BC160)="x",$BI41*BC41,VALUE('Capacity summary'!BC160)),0),BC41*$BI41),BC41*$BI41),0)</f>
        <v>0</v>
      </c>
      <c r="DG41" s="311">
        <f>IF($BI41&lt;&gt;"",IF('Capacity summary'!$D$14="Yes",IF(COUNTBLANK('Capacity summary'!$H160:$BG160)&lt;52,IF('Capacity summary'!BD160&lt;&gt;"",IF(LOWER('Capacity summary'!BD160)="x",$BI41*BD41,VALUE('Capacity summary'!BD160)),0),BD41*$BI41),BD41*$BI41),0)</f>
        <v>0</v>
      </c>
      <c r="DH41" s="311">
        <f>IF($BI41&lt;&gt;"",IF('Capacity summary'!$D$14="Yes",IF(COUNTBLANK('Capacity summary'!$H160:$BG160)&lt;52,IF('Capacity summary'!BE160&lt;&gt;"",IF(LOWER('Capacity summary'!BE160)="x",$BI41*BE41,VALUE('Capacity summary'!BE160)),0),BE41*$BI41),BE41*$BI41),0)</f>
        <v>0</v>
      </c>
      <c r="DI41" s="311">
        <f>IF($BI41&lt;&gt;"",IF('Capacity summary'!$D$14="Yes",IF(COUNTBLANK('Capacity summary'!$H160:$BG160)&lt;52,IF('Capacity summary'!BF160&lt;&gt;"",IF(LOWER('Capacity summary'!BF160)="x",$BI41*BF41,VALUE('Capacity summary'!BF160)),0),BF41*$BI41),BF41*$BI41),0)</f>
        <v>0</v>
      </c>
      <c r="DJ41" s="311">
        <f>IF($BI41&lt;&gt;"",IF('Capacity summary'!$D$14="Yes",IF(COUNTBLANK('Capacity summary'!$H160:$BG160)&lt;52,IF('Capacity summary'!BG160&lt;&gt;"",IF(LOWER('Capacity summary'!BG160)="x",$BI41*BG41,VALUE('Capacity summary'!BG160)),0),BG41*$BI41),BG41*$BI41),0)</f>
        <v>0</v>
      </c>
      <c r="DK41" s="391">
        <f t="shared" si="2"/>
        <v>0</v>
      </c>
      <c r="DL41" s="136">
        <f t="shared" si="3"/>
        <v>0</v>
      </c>
      <c r="DM41" s="311" t="str">
        <f>Capacity!H53</f>
        <v/>
      </c>
      <c r="DQ41" s="5"/>
    </row>
    <row r="42" spans="1:121" x14ac:dyDescent="0.2">
      <c r="A42" s="67">
        <f>IF(Capacity!L54='Capacity summary'!BI161,1,0)</f>
        <v>1</v>
      </c>
      <c r="B42" s="67">
        <f>IF(Capacity!V54='Capacity summary'!BI61,1,0)</f>
        <v>1</v>
      </c>
      <c r="C42" s="67" t="str">
        <f>ROW(A38)&amp;". "&amp;Capacity!B54</f>
        <v xml:space="preserve">38. </v>
      </c>
      <c r="D42" s="67">
        <f>'Capacity setup'!C49</f>
        <v>0</v>
      </c>
      <c r="E42" s="67">
        <f>'Capacity setup'!D49</f>
        <v>0</v>
      </c>
      <c r="F42" s="67">
        <f>'Capacity setup'!E49</f>
        <v>0</v>
      </c>
      <c r="H42" s="67">
        <f ca="1">IF(LOWER(Capacity!$L54)="x",IF(AND(SUMIF(Capacity_Resource,$D42,'Critical resources (hide)'!U$6:U$105)+SUMIF(Capacity_Resource,$E42,'Critical resources (hide)'!U$6:U$105)+SUMIF(Capacity_Resource,$F42,'Critical resources (hide)'!U$6:U$105)&gt;0,$E$1=2),0,1),0)</f>
        <v>1</v>
      </c>
      <c r="I42" s="67">
        <f ca="1">IF(LOWER(Capacity!$L54)="x",IF(AND(SUMIF(Capacity_Resource,$D42,'Critical resources (hide)'!V$6:V$105)+SUMIF(Capacity_Resource,$E42,'Critical resources (hide)'!V$6:V$105)+SUMIF(Capacity_Resource,$F42,'Critical resources (hide)'!V$6:V$105)&gt;0,$E$1=2),0,1),0)</f>
        <v>1</v>
      </c>
      <c r="J42" s="67">
        <f ca="1">IF(LOWER(Capacity!$L54)="x",IF(AND(SUMIF(Capacity_Resource,$D42,'Critical resources (hide)'!W$6:W$105)+SUMIF(Capacity_Resource,$E42,'Critical resources (hide)'!W$6:W$105)+SUMIF(Capacity_Resource,$F42,'Critical resources (hide)'!W$6:W$105)&gt;0,$E$1=2),0,1),0)</f>
        <v>1</v>
      </c>
      <c r="K42" s="67">
        <f ca="1">IF(LOWER(Capacity!$L54)="x",IF(AND(SUMIF(Capacity_Resource,$D42,'Critical resources (hide)'!X$6:X$105)+SUMIF(Capacity_Resource,$E42,'Critical resources (hide)'!X$6:X$105)+SUMIF(Capacity_Resource,$F42,'Critical resources (hide)'!X$6:X$105)&gt;0,$E$1=2),0,1),0)</f>
        <v>1</v>
      </c>
      <c r="L42" s="67">
        <f ca="1">IF(LOWER(Capacity!$L54)="x",IF(AND(SUMIF(Capacity_Resource,$D42,'Critical resources (hide)'!Y$6:Y$105)+SUMIF(Capacity_Resource,$E42,'Critical resources (hide)'!Y$6:Y$105)+SUMIF(Capacity_Resource,$F42,'Critical resources (hide)'!Y$6:Y$105)&gt;0,$E$1=2),0,1),0)</f>
        <v>1</v>
      </c>
      <c r="M42" s="67">
        <f ca="1">IF(LOWER(Capacity!$L54)="x",IF(AND(SUMIF(Capacity_Resource,$D42,'Critical resources (hide)'!Z$6:Z$105)+SUMIF(Capacity_Resource,$E42,'Critical resources (hide)'!Z$6:Z$105)+SUMIF(Capacity_Resource,$F42,'Critical resources (hide)'!Z$6:Z$105)&gt;0,$E$1=2),0,1),0)</f>
        <v>1</v>
      </c>
      <c r="N42" s="67">
        <f ca="1">IF(LOWER(Capacity!$L54)="x",IF(AND(SUMIF(Capacity_Resource,$D42,'Critical resources (hide)'!AA$6:AA$105)+SUMIF(Capacity_Resource,$E42,'Critical resources (hide)'!AA$6:AA$105)+SUMIF(Capacity_Resource,$F42,'Critical resources (hide)'!AA$6:AA$105)&gt;0,$E$1=2),0,1),0)</f>
        <v>1</v>
      </c>
      <c r="O42" s="67">
        <f ca="1">IF(LOWER(Capacity!$L54)="x",IF(AND(SUMIF(Capacity_Resource,$D42,'Critical resources (hide)'!AB$6:AB$105)+SUMIF(Capacity_Resource,$E42,'Critical resources (hide)'!AB$6:AB$105)+SUMIF(Capacity_Resource,$F42,'Critical resources (hide)'!AB$6:AB$105)&gt;0,$E$1=2),0,1),0)</f>
        <v>1</v>
      </c>
      <c r="P42" s="67">
        <f ca="1">IF(LOWER(Capacity!$L54)="x",IF(AND(SUMIF(Capacity_Resource,$D42,'Critical resources (hide)'!AC$6:AC$105)+SUMIF(Capacity_Resource,$E42,'Critical resources (hide)'!AC$6:AC$105)+SUMIF(Capacity_Resource,$F42,'Critical resources (hide)'!AC$6:AC$105)&gt;0,$E$1=2),0,1),0)</f>
        <v>1</v>
      </c>
      <c r="Q42" s="67">
        <f ca="1">IF(LOWER(Capacity!$L54)="x",IF(AND(SUMIF(Capacity_Resource,$D42,'Critical resources (hide)'!AD$6:AD$105)+SUMIF(Capacity_Resource,$E42,'Critical resources (hide)'!AD$6:AD$105)+SUMIF(Capacity_Resource,$F42,'Critical resources (hide)'!AD$6:AD$105)&gt;0,$E$1=2),0,1),0)</f>
        <v>1</v>
      </c>
      <c r="R42" s="67">
        <f ca="1">IF(LOWER(Capacity!$L54)="x",IF(AND(SUMIF(Capacity_Resource,$D42,'Critical resources (hide)'!AE$6:AE$105)+SUMIF(Capacity_Resource,$E42,'Critical resources (hide)'!AE$6:AE$105)+SUMIF(Capacity_Resource,$F42,'Critical resources (hide)'!AE$6:AE$105)&gt;0,$E$1=2),0,1),0)</f>
        <v>1</v>
      </c>
      <c r="S42" s="67">
        <f ca="1">IF(LOWER(Capacity!$L54)="x",IF(AND(SUMIF(Capacity_Resource,$D42,'Critical resources (hide)'!AF$6:AF$105)+SUMIF(Capacity_Resource,$E42,'Critical resources (hide)'!AF$6:AF$105)+SUMIF(Capacity_Resource,$F42,'Critical resources (hide)'!AF$6:AF$105)&gt;0,$E$1=2),0,1),0)</f>
        <v>1</v>
      </c>
      <c r="T42" s="67">
        <f ca="1">IF(LOWER(Capacity!$L54)="x",IF(AND(SUMIF(Capacity_Resource,$D42,'Critical resources (hide)'!AG$6:AG$105)+SUMIF(Capacity_Resource,$E42,'Critical resources (hide)'!AG$6:AG$105)+SUMIF(Capacity_Resource,$F42,'Critical resources (hide)'!AG$6:AG$105)&gt;0,$E$1=2),0,1),0)</f>
        <v>1</v>
      </c>
      <c r="U42" s="67">
        <f ca="1">IF(LOWER(Capacity!$L54)="x",IF(AND(SUMIF(Capacity_Resource,$D42,'Critical resources (hide)'!AH$6:AH$105)+SUMIF(Capacity_Resource,$E42,'Critical resources (hide)'!AH$6:AH$105)+SUMIF(Capacity_Resource,$F42,'Critical resources (hide)'!AH$6:AH$105)&gt;0,$E$1=2),0,1),0)</f>
        <v>1</v>
      </c>
      <c r="V42" s="67">
        <f ca="1">IF(LOWER(Capacity!$L54)="x",IF(AND(SUMIF(Capacity_Resource,$D42,'Critical resources (hide)'!AI$6:AI$105)+SUMIF(Capacity_Resource,$E42,'Critical resources (hide)'!AI$6:AI$105)+SUMIF(Capacity_Resource,$F42,'Critical resources (hide)'!AI$6:AI$105)&gt;0,$E$1=2),0,1),0)</f>
        <v>1</v>
      </c>
      <c r="W42" s="67">
        <f ca="1">IF(LOWER(Capacity!$L54)="x",IF(AND(SUMIF(Capacity_Resource,$D42,'Critical resources (hide)'!AJ$6:AJ$105)+SUMIF(Capacity_Resource,$E42,'Critical resources (hide)'!AJ$6:AJ$105)+SUMIF(Capacity_Resource,$F42,'Critical resources (hide)'!AJ$6:AJ$105)&gt;0,$E$1=2),0,1),0)</f>
        <v>1</v>
      </c>
      <c r="X42" s="67">
        <f ca="1">IF(LOWER(Capacity!$L54)="x",IF(AND(SUMIF(Capacity_Resource,$D42,'Critical resources (hide)'!AK$6:AK$105)+SUMIF(Capacity_Resource,$E42,'Critical resources (hide)'!AK$6:AK$105)+SUMIF(Capacity_Resource,$F42,'Critical resources (hide)'!AK$6:AK$105)&gt;0,$E$1=2),0,1),0)</f>
        <v>1</v>
      </c>
      <c r="Y42" s="67">
        <f ca="1">IF(LOWER(Capacity!$L54)="x",IF(AND(SUMIF(Capacity_Resource,$D42,'Critical resources (hide)'!AL$6:AL$105)+SUMIF(Capacity_Resource,$E42,'Critical resources (hide)'!AL$6:AL$105)+SUMIF(Capacity_Resource,$F42,'Critical resources (hide)'!AL$6:AL$105)&gt;0,$E$1=2),0,1),0)</f>
        <v>1</v>
      </c>
      <c r="Z42" s="67">
        <f ca="1">IF(LOWER(Capacity!$L54)="x",IF(AND(SUMIF(Capacity_Resource,$D42,'Critical resources (hide)'!AM$6:AM$105)+SUMIF(Capacity_Resource,$E42,'Critical resources (hide)'!AM$6:AM$105)+SUMIF(Capacity_Resource,$F42,'Critical resources (hide)'!AM$6:AM$105)&gt;0,$E$1=2),0,1),0)</f>
        <v>1</v>
      </c>
      <c r="AA42" s="67">
        <f ca="1">IF(LOWER(Capacity!$L54)="x",IF(AND(SUMIF(Capacity_Resource,$D42,'Critical resources (hide)'!AN$6:AN$105)+SUMIF(Capacity_Resource,$E42,'Critical resources (hide)'!AN$6:AN$105)+SUMIF(Capacity_Resource,$F42,'Critical resources (hide)'!AN$6:AN$105)&gt;0,$E$1=2),0,1),0)</f>
        <v>1</v>
      </c>
      <c r="AB42" s="67">
        <f ca="1">IF(LOWER(Capacity!$L54)="x",IF(AND(SUMIF(Capacity_Resource,$D42,'Critical resources (hide)'!AO$6:AO$105)+SUMIF(Capacity_Resource,$E42,'Critical resources (hide)'!AO$6:AO$105)+SUMIF(Capacity_Resource,$F42,'Critical resources (hide)'!AO$6:AO$105)&gt;0,$E$1=2),0,1),0)</f>
        <v>1</v>
      </c>
      <c r="AC42" s="67">
        <f ca="1">IF(LOWER(Capacity!$L54)="x",IF(AND(SUMIF(Capacity_Resource,$D42,'Critical resources (hide)'!AP$6:AP$105)+SUMIF(Capacity_Resource,$E42,'Critical resources (hide)'!AP$6:AP$105)+SUMIF(Capacity_Resource,$F42,'Critical resources (hide)'!AP$6:AP$105)&gt;0,$E$1=2),0,1),0)</f>
        <v>1</v>
      </c>
      <c r="AD42" s="67">
        <f ca="1">IF(LOWER(Capacity!$L54)="x",IF(AND(SUMIF(Capacity_Resource,$D42,'Critical resources (hide)'!AQ$6:AQ$105)+SUMIF(Capacity_Resource,$E42,'Critical resources (hide)'!AQ$6:AQ$105)+SUMIF(Capacity_Resource,$F42,'Critical resources (hide)'!AQ$6:AQ$105)&gt;0,$E$1=2),0,1),0)</f>
        <v>1</v>
      </c>
      <c r="AE42" s="67">
        <f ca="1">IF(LOWER(Capacity!$L54)="x",IF(AND(SUMIF(Capacity_Resource,$D42,'Critical resources (hide)'!AR$6:AR$105)+SUMIF(Capacity_Resource,$E42,'Critical resources (hide)'!AR$6:AR$105)+SUMIF(Capacity_Resource,$F42,'Critical resources (hide)'!AR$6:AR$105)&gt;0,$E$1=2),0,1),0)</f>
        <v>1</v>
      </c>
      <c r="AF42" s="67">
        <f ca="1">IF(LOWER(Capacity!$L54)="x",IF(AND(SUMIF(Capacity_Resource,$D42,'Critical resources (hide)'!AS$6:AS$105)+SUMIF(Capacity_Resource,$E42,'Critical resources (hide)'!AS$6:AS$105)+SUMIF(Capacity_Resource,$F42,'Critical resources (hide)'!AS$6:AS$105)&gt;0,$E$1=2),0,1),0)</f>
        <v>1</v>
      </c>
      <c r="AG42" s="67">
        <f ca="1">IF(LOWER(Capacity!$L54)="x",IF(AND(SUMIF(Capacity_Resource,$D42,'Critical resources (hide)'!AT$6:AT$105)+SUMIF(Capacity_Resource,$E42,'Critical resources (hide)'!AT$6:AT$105)+SUMIF(Capacity_Resource,$F42,'Critical resources (hide)'!AT$6:AT$105)&gt;0,$E$1=2),0,1),0)</f>
        <v>1</v>
      </c>
      <c r="AH42" s="67">
        <f ca="1">IF(LOWER(Capacity!$L54)="x",IF(AND(SUMIF(Capacity_Resource,$D42,'Critical resources (hide)'!AU$6:AU$105)+SUMIF(Capacity_Resource,$E42,'Critical resources (hide)'!AU$6:AU$105)+SUMIF(Capacity_Resource,$F42,'Critical resources (hide)'!AU$6:AU$105)&gt;0,$E$1=2),0,1),0)</f>
        <v>1</v>
      </c>
      <c r="AI42" s="67">
        <f ca="1">IF(LOWER(Capacity!$L54)="x",IF(AND(SUMIF(Capacity_Resource,$D42,'Critical resources (hide)'!AV$6:AV$105)+SUMIF(Capacity_Resource,$E42,'Critical resources (hide)'!AV$6:AV$105)+SUMIF(Capacity_Resource,$F42,'Critical resources (hide)'!AV$6:AV$105)&gt;0,$E$1=2),0,1),0)</f>
        <v>1</v>
      </c>
      <c r="AJ42" s="67">
        <f ca="1">IF(LOWER(Capacity!$L54)="x",IF(AND(SUMIF(Capacity_Resource,$D42,'Critical resources (hide)'!AW$6:AW$105)+SUMIF(Capacity_Resource,$E42,'Critical resources (hide)'!AW$6:AW$105)+SUMIF(Capacity_Resource,$F42,'Critical resources (hide)'!AW$6:AW$105)&gt;0,$E$1=2),0,1),0)</f>
        <v>1</v>
      </c>
      <c r="AK42" s="67">
        <f ca="1">IF(LOWER(Capacity!$L54)="x",IF(AND(SUMIF(Capacity_Resource,$D42,'Critical resources (hide)'!AX$6:AX$105)+SUMIF(Capacity_Resource,$E42,'Critical resources (hide)'!AX$6:AX$105)+SUMIF(Capacity_Resource,$F42,'Critical resources (hide)'!AX$6:AX$105)&gt;0,$E$1=2),0,1),0)</f>
        <v>1</v>
      </c>
      <c r="AL42" s="67">
        <f ca="1">IF(LOWER(Capacity!$L54)="x",IF(AND(SUMIF(Capacity_Resource,$D42,'Critical resources (hide)'!AY$6:AY$105)+SUMIF(Capacity_Resource,$E42,'Critical resources (hide)'!AY$6:AY$105)+SUMIF(Capacity_Resource,$F42,'Critical resources (hide)'!AY$6:AY$105)&gt;0,$E$1=2),0,1),0)</f>
        <v>1</v>
      </c>
      <c r="AM42" s="67">
        <f ca="1">IF(LOWER(Capacity!$L54)="x",IF(AND(SUMIF(Capacity_Resource,$D42,'Critical resources (hide)'!AZ$6:AZ$105)+SUMIF(Capacity_Resource,$E42,'Critical resources (hide)'!AZ$6:AZ$105)+SUMIF(Capacity_Resource,$F42,'Critical resources (hide)'!AZ$6:AZ$105)&gt;0,$E$1=2),0,1),0)</f>
        <v>1</v>
      </c>
      <c r="AN42" s="67">
        <f ca="1">IF(LOWER(Capacity!$L54)="x",IF(AND(SUMIF(Capacity_Resource,$D42,'Critical resources (hide)'!BA$6:BA$105)+SUMIF(Capacity_Resource,$E42,'Critical resources (hide)'!BA$6:BA$105)+SUMIF(Capacity_Resource,$F42,'Critical resources (hide)'!BA$6:BA$105)&gt;0,$E$1=2),0,1),0)</f>
        <v>1</v>
      </c>
      <c r="AO42" s="67">
        <f ca="1">IF(LOWER(Capacity!$L54)="x",IF(AND(SUMIF(Capacity_Resource,$D42,'Critical resources (hide)'!BB$6:BB$105)+SUMIF(Capacity_Resource,$E42,'Critical resources (hide)'!BB$6:BB$105)+SUMIF(Capacity_Resource,$F42,'Critical resources (hide)'!BB$6:BB$105)&gt;0,$E$1=2),0,1),0)</f>
        <v>1</v>
      </c>
      <c r="AP42" s="67">
        <f ca="1">IF(LOWER(Capacity!$L54)="x",IF(AND(SUMIF(Capacity_Resource,$D42,'Critical resources (hide)'!BC$6:BC$105)+SUMIF(Capacity_Resource,$E42,'Critical resources (hide)'!BC$6:BC$105)+SUMIF(Capacity_Resource,$F42,'Critical resources (hide)'!BC$6:BC$105)&gt;0,$E$1=2),0,1),0)</f>
        <v>1</v>
      </c>
      <c r="AQ42" s="67">
        <f ca="1">IF(LOWER(Capacity!$L54)="x",IF(AND(SUMIF(Capacity_Resource,$D42,'Critical resources (hide)'!BD$6:BD$105)+SUMIF(Capacity_Resource,$E42,'Critical resources (hide)'!BD$6:BD$105)+SUMIF(Capacity_Resource,$F42,'Critical resources (hide)'!BD$6:BD$105)&gt;0,$E$1=2),0,1),0)</f>
        <v>1</v>
      </c>
      <c r="AR42" s="67">
        <f ca="1">IF(LOWER(Capacity!$L54)="x",IF(AND(SUMIF(Capacity_Resource,$D42,'Critical resources (hide)'!BE$6:BE$105)+SUMIF(Capacity_Resource,$E42,'Critical resources (hide)'!BE$6:BE$105)+SUMIF(Capacity_Resource,$F42,'Critical resources (hide)'!BE$6:BE$105)&gt;0,$E$1=2),0,1),0)</f>
        <v>1</v>
      </c>
      <c r="AS42" s="67">
        <f ca="1">IF(LOWER(Capacity!$L54)="x",IF(AND(SUMIF(Capacity_Resource,$D42,'Critical resources (hide)'!BF$6:BF$105)+SUMIF(Capacity_Resource,$E42,'Critical resources (hide)'!BF$6:BF$105)+SUMIF(Capacity_Resource,$F42,'Critical resources (hide)'!BF$6:BF$105)&gt;0,$E$1=2),0,1),0)</f>
        <v>1</v>
      </c>
      <c r="AT42" s="67">
        <f ca="1">IF(LOWER(Capacity!$L54)="x",IF(AND(SUMIF(Capacity_Resource,$D42,'Critical resources (hide)'!BG$6:BG$105)+SUMIF(Capacity_Resource,$E42,'Critical resources (hide)'!BG$6:BG$105)+SUMIF(Capacity_Resource,$F42,'Critical resources (hide)'!BG$6:BG$105)&gt;0,$E$1=2),0,1),0)</f>
        <v>1</v>
      </c>
      <c r="AU42" s="67">
        <f ca="1">IF(LOWER(Capacity!$L54)="x",IF(AND(SUMIF(Capacity_Resource,$D42,'Critical resources (hide)'!BH$6:BH$105)+SUMIF(Capacity_Resource,$E42,'Critical resources (hide)'!BH$6:BH$105)+SUMIF(Capacity_Resource,$F42,'Critical resources (hide)'!BH$6:BH$105)&gt;0,$E$1=2),0,1),0)</f>
        <v>1</v>
      </c>
      <c r="AV42" s="67">
        <f ca="1">IF(LOWER(Capacity!$L54)="x",IF(AND(SUMIF(Capacity_Resource,$D42,'Critical resources (hide)'!BI$6:BI$105)+SUMIF(Capacity_Resource,$E42,'Critical resources (hide)'!BI$6:BI$105)+SUMIF(Capacity_Resource,$F42,'Critical resources (hide)'!BI$6:BI$105)&gt;0,$E$1=2),0,1),0)</f>
        <v>1</v>
      </c>
      <c r="AW42" s="67">
        <f ca="1">IF(LOWER(Capacity!$L54)="x",IF(AND(SUMIF(Capacity_Resource,$D42,'Critical resources (hide)'!BJ$6:BJ$105)+SUMIF(Capacity_Resource,$E42,'Critical resources (hide)'!BJ$6:BJ$105)+SUMIF(Capacity_Resource,$F42,'Critical resources (hide)'!BJ$6:BJ$105)&gt;0,$E$1=2),0,1),0)</f>
        <v>1</v>
      </c>
      <c r="AX42" s="67">
        <f ca="1">IF(LOWER(Capacity!$L54)="x",IF(AND(SUMIF(Capacity_Resource,$D42,'Critical resources (hide)'!BK$6:BK$105)+SUMIF(Capacity_Resource,$E42,'Critical resources (hide)'!BK$6:BK$105)+SUMIF(Capacity_Resource,$F42,'Critical resources (hide)'!BK$6:BK$105)&gt;0,$E$1=2),0,1),0)</f>
        <v>1</v>
      </c>
      <c r="AY42" s="67">
        <f ca="1">IF(LOWER(Capacity!$L54)="x",IF(AND(SUMIF(Capacity_Resource,$D42,'Critical resources (hide)'!BL$6:BL$105)+SUMIF(Capacity_Resource,$E42,'Critical resources (hide)'!BL$6:BL$105)+SUMIF(Capacity_Resource,$F42,'Critical resources (hide)'!BL$6:BL$105)&gt;0,$E$1=2),0,1),0)</f>
        <v>1</v>
      </c>
      <c r="AZ42" s="67">
        <f ca="1">IF(LOWER(Capacity!$L54)="x",IF(AND(SUMIF(Capacity_Resource,$D42,'Critical resources (hide)'!BM$6:BM$105)+SUMIF(Capacity_Resource,$E42,'Critical resources (hide)'!BM$6:BM$105)+SUMIF(Capacity_Resource,$F42,'Critical resources (hide)'!BM$6:BM$105)&gt;0,$E$1=2),0,1),0)</f>
        <v>1</v>
      </c>
      <c r="BA42" s="67">
        <f ca="1">IF(LOWER(Capacity!$L54)="x",IF(AND(SUMIF(Capacity_Resource,$D42,'Critical resources (hide)'!BN$6:BN$105)+SUMIF(Capacity_Resource,$E42,'Critical resources (hide)'!BN$6:BN$105)+SUMIF(Capacity_Resource,$F42,'Critical resources (hide)'!BN$6:BN$105)&gt;0,$E$1=2),0,1),0)</f>
        <v>1</v>
      </c>
      <c r="BB42" s="67">
        <f ca="1">IF(LOWER(Capacity!$L54)="x",IF(AND(SUMIF(Capacity_Resource,$D42,'Critical resources (hide)'!BO$6:BO$105)+SUMIF(Capacity_Resource,$E42,'Critical resources (hide)'!BO$6:BO$105)+SUMIF(Capacity_Resource,$F42,'Critical resources (hide)'!BO$6:BO$105)&gt;0,$E$1=2),0,1),0)</f>
        <v>1</v>
      </c>
      <c r="BC42" s="67">
        <f ca="1">IF(LOWER(Capacity!$L54)="x",IF(AND(SUMIF(Capacity_Resource,$D42,'Critical resources (hide)'!BP$6:BP$105)+SUMIF(Capacity_Resource,$E42,'Critical resources (hide)'!BP$6:BP$105)+SUMIF(Capacity_Resource,$F42,'Critical resources (hide)'!BP$6:BP$105)&gt;0,$E$1=2),0,1),0)</f>
        <v>1</v>
      </c>
      <c r="BD42" s="67">
        <f ca="1">IF(LOWER(Capacity!$L54)="x",IF(AND(SUMIF(Capacity_Resource,$D42,'Critical resources (hide)'!BQ$6:BQ$105)+SUMIF(Capacity_Resource,$E42,'Critical resources (hide)'!BQ$6:BQ$105)+SUMIF(Capacity_Resource,$F42,'Critical resources (hide)'!BQ$6:BQ$105)&gt;0,$E$1=2),0,1),0)</f>
        <v>1</v>
      </c>
      <c r="BE42" s="67">
        <f ca="1">IF(LOWER(Capacity!$L54)="x",IF(AND(SUMIF(Capacity_Resource,$D42,'Critical resources (hide)'!BR$6:BR$105)+SUMIF(Capacity_Resource,$E42,'Critical resources (hide)'!BR$6:BR$105)+SUMIF(Capacity_Resource,$F42,'Critical resources (hide)'!BR$6:BR$105)&gt;0,$E$1=2),0,1),0)</f>
        <v>1</v>
      </c>
      <c r="BF42" s="67">
        <f ca="1">IF(LOWER(Capacity!$L54)="x",IF(AND(SUMIF(Capacity_Resource,$D42,'Critical resources (hide)'!BS$6:BS$105)+SUMIF(Capacity_Resource,$E42,'Critical resources (hide)'!BS$6:BS$105)+SUMIF(Capacity_Resource,$F42,'Critical resources (hide)'!BS$6:BS$105)&gt;0,$E$1=2),0,1),0)</f>
        <v>1</v>
      </c>
      <c r="BG42" s="67">
        <f ca="1">IF(LOWER(Capacity!$L54)="x",IF(AND(SUMIF(Capacity_Resource,$D42,'Critical resources (hide)'!BT$6:BT$105)+SUMIF(Capacity_Resource,$E42,'Critical resources (hide)'!BT$6:BT$105)+SUMIF(Capacity_Resource,$F42,'Critical resources (hide)'!BT$6:BT$105)&gt;0,$E$1=2),0,1),0)</f>
        <v>1</v>
      </c>
      <c r="BH42" s="67">
        <f>IF(ROW(C38)&lt;=Capacity!$A$16,IF('Capacity summary'!$D$14="No",SUM(H42:BG42),'Capacity summary'!$E161),0)</f>
        <v>0</v>
      </c>
      <c r="BI42" s="5" t="str">
        <f>IF(BH42&gt;0,IF(BH42&lt;Capacity!E54,Capacity!F54,Capacity!H54/'Capacity calculation (hide)'!BH42),"")</f>
        <v/>
      </c>
      <c r="BK42" s="311">
        <f>IF($BI42&lt;&gt;"",IF('Capacity summary'!$D$14="Yes",IF(COUNTBLANK('Capacity summary'!$H161:$BG161)&lt;52,IF('Capacity summary'!H161&lt;&gt;"",IF(LOWER('Capacity summary'!H161)="x",$BI42*H42,VALUE('Capacity summary'!H161)),0),H42*$BI42),H42*$BI42),0)</f>
        <v>0</v>
      </c>
      <c r="BL42" s="311">
        <f>IF($BI42&lt;&gt;"",IF('Capacity summary'!$D$14="Yes",IF(COUNTBLANK('Capacity summary'!$H161:$BG161)&lt;52,IF('Capacity summary'!I161&lt;&gt;"",IF(LOWER('Capacity summary'!I161)="x",$BI42*I42,VALUE('Capacity summary'!I161)),0),I42*$BI42),I42*$BI42),0)</f>
        <v>0</v>
      </c>
      <c r="BM42" s="311">
        <f>IF($BI42&lt;&gt;"",IF('Capacity summary'!$D$14="Yes",IF(COUNTBLANK('Capacity summary'!$H161:$BG161)&lt;52,IF('Capacity summary'!J161&lt;&gt;"",IF(LOWER('Capacity summary'!J161)="x",$BI42*J42,VALUE('Capacity summary'!J161)),0),J42*$BI42),J42*$BI42),0)</f>
        <v>0</v>
      </c>
      <c r="BN42" s="311">
        <f>IF($BI42&lt;&gt;"",IF('Capacity summary'!$D$14="Yes",IF(COUNTBLANK('Capacity summary'!$H161:$BG161)&lt;52,IF('Capacity summary'!K161&lt;&gt;"",IF(LOWER('Capacity summary'!K161)="x",$BI42*K42,VALUE('Capacity summary'!K161)),0),K42*$BI42),K42*$BI42),0)</f>
        <v>0</v>
      </c>
      <c r="BO42" s="311">
        <f>IF($BI42&lt;&gt;"",IF('Capacity summary'!$D$14="Yes",IF(COUNTBLANK('Capacity summary'!$H161:$BG161)&lt;52,IF('Capacity summary'!L161&lt;&gt;"",IF(LOWER('Capacity summary'!L161)="x",$BI42*L42,VALUE('Capacity summary'!L161)),0),L42*$BI42),L42*$BI42),0)</f>
        <v>0</v>
      </c>
      <c r="BP42" s="311">
        <f>IF($BI42&lt;&gt;"",IF('Capacity summary'!$D$14="Yes",IF(COUNTBLANK('Capacity summary'!$H161:$BG161)&lt;52,IF('Capacity summary'!M161&lt;&gt;"",IF(LOWER('Capacity summary'!M161)="x",$BI42*M42,VALUE('Capacity summary'!M161)),0),M42*$BI42),M42*$BI42),0)</f>
        <v>0</v>
      </c>
      <c r="BQ42" s="311">
        <f>IF($BI42&lt;&gt;"",IF('Capacity summary'!$D$14="Yes",IF(COUNTBLANK('Capacity summary'!$H161:$BG161)&lt;52,IF('Capacity summary'!N161&lt;&gt;"",IF(LOWER('Capacity summary'!N161)="x",$BI42*N42,VALUE('Capacity summary'!N161)),0),N42*$BI42),N42*$BI42),0)</f>
        <v>0</v>
      </c>
      <c r="BR42" s="311">
        <f>IF($BI42&lt;&gt;"",IF('Capacity summary'!$D$14="Yes",IF(COUNTBLANK('Capacity summary'!$H161:$BG161)&lt;52,IF('Capacity summary'!O161&lt;&gt;"",IF(LOWER('Capacity summary'!O161)="x",$BI42*O42,VALUE('Capacity summary'!O161)),0),O42*$BI42),O42*$BI42),0)</f>
        <v>0</v>
      </c>
      <c r="BS42" s="311">
        <f>IF($BI42&lt;&gt;"",IF('Capacity summary'!$D$14="Yes",IF(COUNTBLANK('Capacity summary'!$H161:$BG161)&lt;52,IF('Capacity summary'!P161&lt;&gt;"",IF(LOWER('Capacity summary'!P161)="x",$BI42*P42,VALUE('Capacity summary'!P161)),0),P42*$BI42),P42*$BI42),0)</f>
        <v>0</v>
      </c>
      <c r="BT42" s="311">
        <f>IF($BI42&lt;&gt;"",IF('Capacity summary'!$D$14="Yes",IF(COUNTBLANK('Capacity summary'!$H161:$BG161)&lt;52,IF('Capacity summary'!Q161&lt;&gt;"",IF(LOWER('Capacity summary'!Q161)="x",$BI42*Q42,VALUE('Capacity summary'!Q161)),0),Q42*$BI42),Q42*$BI42),0)</f>
        <v>0</v>
      </c>
      <c r="BU42" s="311">
        <f>IF($BI42&lt;&gt;"",IF('Capacity summary'!$D$14="Yes",IF(COUNTBLANK('Capacity summary'!$H161:$BG161)&lt;52,IF('Capacity summary'!R161&lt;&gt;"",IF(LOWER('Capacity summary'!R161)="x",$BI42*R42,VALUE('Capacity summary'!R161)),0),R42*$BI42),R42*$BI42),0)</f>
        <v>0</v>
      </c>
      <c r="BV42" s="311">
        <f>IF($BI42&lt;&gt;"",IF('Capacity summary'!$D$14="Yes",IF(COUNTBLANK('Capacity summary'!$H161:$BG161)&lt;52,IF('Capacity summary'!S161&lt;&gt;"",IF(LOWER('Capacity summary'!S161)="x",$BI42*S42,VALUE('Capacity summary'!S161)),0),S42*$BI42),S42*$BI42),0)</f>
        <v>0</v>
      </c>
      <c r="BW42" s="311">
        <f>IF($BI42&lt;&gt;"",IF('Capacity summary'!$D$14="Yes",IF(COUNTBLANK('Capacity summary'!$H161:$BG161)&lt;52,IF('Capacity summary'!T161&lt;&gt;"",IF(LOWER('Capacity summary'!T161)="x",$BI42*T42,VALUE('Capacity summary'!T161)),0),T42*$BI42),T42*$BI42),0)</f>
        <v>0</v>
      </c>
      <c r="BX42" s="311">
        <f>IF($BI42&lt;&gt;"",IF('Capacity summary'!$D$14="Yes",IF(COUNTBLANK('Capacity summary'!$H161:$BG161)&lt;52,IF('Capacity summary'!U161&lt;&gt;"",IF(LOWER('Capacity summary'!U161)="x",$BI42*U42,VALUE('Capacity summary'!U161)),0),U42*$BI42),U42*$BI42),0)</f>
        <v>0</v>
      </c>
      <c r="BY42" s="311">
        <f>IF($BI42&lt;&gt;"",IF('Capacity summary'!$D$14="Yes",IF(COUNTBLANK('Capacity summary'!$H161:$BG161)&lt;52,IF('Capacity summary'!V161&lt;&gt;"",IF(LOWER('Capacity summary'!V161)="x",$BI42*V42,VALUE('Capacity summary'!V161)),0),V42*$BI42),V42*$BI42),0)</f>
        <v>0</v>
      </c>
      <c r="BZ42" s="311">
        <f>IF($BI42&lt;&gt;"",IF('Capacity summary'!$D$14="Yes",IF(COUNTBLANK('Capacity summary'!$H161:$BG161)&lt;52,IF('Capacity summary'!W161&lt;&gt;"",IF(LOWER('Capacity summary'!W161)="x",$BI42*W42,VALUE('Capacity summary'!W161)),0),W42*$BI42),W42*$BI42),0)</f>
        <v>0</v>
      </c>
      <c r="CA42" s="311">
        <f>IF($BI42&lt;&gt;"",IF('Capacity summary'!$D$14="Yes",IF(COUNTBLANK('Capacity summary'!$H161:$BG161)&lt;52,IF('Capacity summary'!X161&lt;&gt;"",IF(LOWER('Capacity summary'!X161)="x",$BI42*X42,VALUE('Capacity summary'!X161)),0),X42*$BI42),X42*$BI42),0)</f>
        <v>0</v>
      </c>
      <c r="CB42" s="311">
        <f>IF($BI42&lt;&gt;"",IF('Capacity summary'!$D$14="Yes",IF(COUNTBLANK('Capacity summary'!$H161:$BG161)&lt;52,IF('Capacity summary'!Y161&lt;&gt;"",IF(LOWER('Capacity summary'!Y161)="x",$BI42*Y42,VALUE('Capacity summary'!Y161)),0),Y42*$BI42),Y42*$BI42),0)</f>
        <v>0</v>
      </c>
      <c r="CC42" s="311">
        <f>IF($BI42&lt;&gt;"",IF('Capacity summary'!$D$14="Yes",IF(COUNTBLANK('Capacity summary'!$H161:$BG161)&lt;52,IF('Capacity summary'!Z161&lt;&gt;"",IF(LOWER('Capacity summary'!Z161)="x",$BI42*Z42,VALUE('Capacity summary'!Z161)),0),Z42*$BI42),Z42*$BI42),0)</f>
        <v>0</v>
      </c>
      <c r="CD42" s="311">
        <f>IF($BI42&lt;&gt;"",IF('Capacity summary'!$D$14="Yes",IF(COUNTBLANK('Capacity summary'!$H161:$BG161)&lt;52,IF('Capacity summary'!AA161&lt;&gt;"",IF(LOWER('Capacity summary'!AA161)="x",$BI42*AA42,VALUE('Capacity summary'!AA161)),0),AA42*$BI42),AA42*$BI42),0)</f>
        <v>0</v>
      </c>
      <c r="CE42" s="311">
        <f>IF($BI42&lt;&gt;"",IF('Capacity summary'!$D$14="Yes",IF(COUNTBLANK('Capacity summary'!$H161:$BG161)&lt;52,IF('Capacity summary'!AB161&lt;&gt;"",IF(LOWER('Capacity summary'!AB161)="x",$BI42*AB42,VALUE('Capacity summary'!AB161)),0),AB42*$BI42),AB42*$BI42),0)</f>
        <v>0</v>
      </c>
      <c r="CF42" s="311">
        <f>IF($BI42&lt;&gt;"",IF('Capacity summary'!$D$14="Yes",IF(COUNTBLANK('Capacity summary'!$H161:$BG161)&lt;52,IF('Capacity summary'!AC161&lt;&gt;"",IF(LOWER('Capacity summary'!AC161)="x",$BI42*AC42,VALUE('Capacity summary'!AC161)),0),AC42*$BI42),AC42*$BI42),0)</f>
        <v>0</v>
      </c>
      <c r="CG42" s="311">
        <f>IF($BI42&lt;&gt;"",IF('Capacity summary'!$D$14="Yes",IF(COUNTBLANK('Capacity summary'!$H161:$BG161)&lt;52,IF('Capacity summary'!AD161&lt;&gt;"",IF(LOWER('Capacity summary'!AD161)="x",$BI42*AD42,VALUE('Capacity summary'!AD161)),0),AD42*$BI42),AD42*$BI42),0)</f>
        <v>0</v>
      </c>
      <c r="CH42" s="311">
        <f>IF($BI42&lt;&gt;"",IF('Capacity summary'!$D$14="Yes",IF(COUNTBLANK('Capacity summary'!$H161:$BG161)&lt;52,IF('Capacity summary'!AE161&lt;&gt;"",IF(LOWER('Capacity summary'!AE161)="x",$BI42*AE42,VALUE('Capacity summary'!AE161)),0),AE42*$BI42),AE42*$BI42),0)</f>
        <v>0</v>
      </c>
      <c r="CI42" s="311">
        <f>IF($BI42&lt;&gt;"",IF('Capacity summary'!$D$14="Yes",IF(COUNTBLANK('Capacity summary'!$H161:$BG161)&lt;52,IF('Capacity summary'!AF161&lt;&gt;"",IF(LOWER('Capacity summary'!AF161)="x",$BI42*AF42,VALUE('Capacity summary'!AF161)),0),AF42*$BI42),AF42*$BI42),0)</f>
        <v>0</v>
      </c>
      <c r="CJ42" s="311">
        <f>IF($BI42&lt;&gt;"",IF('Capacity summary'!$D$14="Yes",IF(COUNTBLANK('Capacity summary'!$H161:$BG161)&lt;52,IF('Capacity summary'!AG161&lt;&gt;"",IF(LOWER('Capacity summary'!AG161)="x",$BI42*AG42,VALUE('Capacity summary'!AG161)),0),AG42*$BI42),AG42*$BI42),0)</f>
        <v>0</v>
      </c>
      <c r="CK42" s="311">
        <f>IF($BI42&lt;&gt;"",IF('Capacity summary'!$D$14="Yes",IF(COUNTBLANK('Capacity summary'!$H161:$BG161)&lt;52,IF('Capacity summary'!AH161&lt;&gt;"",IF(LOWER('Capacity summary'!AH161)="x",$BI42*AH42,VALUE('Capacity summary'!AH161)),0),AH42*$BI42),AH42*$BI42),0)</f>
        <v>0</v>
      </c>
      <c r="CL42" s="311">
        <f>IF($BI42&lt;&gt;"",IF('Capacity summary'!$D$14="Yes",IF(COUNTBLANK('Capacity summary'!$H161:$BG161)&lt;52,IF('Capacity summary'!AI161&lt;&gt;"",IF(LOWER('Capacity summary'!AI161)="x",$BI42*AI42,VALUE('Capacity summary'!AI161)),0),AI42*$BI42),AI42*$BI42),0)</f>
        <v>0</v>
      </c>
      <c r="CM42" s="311">
        <f>IF($BI42&lt;&gt;"",IF('Capacity summary'!$D$14="Yes",IF(COUNTBLANK('Capacity summary'!$H161:$BG161)&lt;52,IF('Capacity summary'!AJ161&lt;&gt;"",IF(LOWER('Capacity summary'!AJ161)="x",$BI42*AJ42,VALUE('Capacity summary'!AJ161)),0),AJ42*$BI42),AJ42*$BI42),0)</f>
        <v>0</v>
      </c>
      <c r="CN42" s="311">
        <f>IF($BI42&lt;&gt;"",IF('Capacity summary'!$D$14="Yes",IF(COUNTBLANK('Capacity summary'!$H161:$BG161)&lt;52,IF('Capacity summary'!AK161&lt;&gt;"",IF(LOWER('Capacity summary'!AK161)="x",$BI42*AK42,VALUE('Capacity summary'!AK161)),0),AK42*$BI42),AK42*$BI42),0)</f>
        <v>0</v>
      </c>
      <c r="CO42" s="311">
        <f>IF($BI42&lt;&gt;"",IF('Capacity summary'!$D$14="Yes",IF(COUNTBLANK('Capacity summary'!$H161:$BG161)&lt;52,IF('Capacity summary'!AL161&lt;&gt;"",IF(LOWER('Capacity summary'!AL161)="x",$BI42*AL42,VALUE('Capacity summary'!AL161)),0),AL42*$BI42),AL42*$BI42),0)</f>
        <v>0</v>
      </c>
      <c r="CP42" s="311">
        <f>IF($BI42&lt;&gt;"",IF('Capacity summary'!$D$14="Yes",IF(COUNTBLANK('Capacity summary'!$H161:$BG161)&lt;52,IF('Capacity summary'!AM161&lt;&gt;"",IF(LOWER('Capacity summary'!AM161)="x",$BI42*AM42,VALUE('Capacity summary'!AM161)),0),AM42*$BI42),AM42*$BI42),0)</f>
        <v>0</v>
      </c>
      <c r="CQ42" s="311">
        <f>IF($BI42&lt;&gt;"",IF('Capacity summary'!$D$14="Yes",IF(COUNTBLANK('Capacity summary'!$H161:$BG161)&lt;52,IF('Capacity summary'!AN161&lt;&gt;"",IF(LOWER('Capacity summary'!AN161)="x",$BI42*AN42,VALUE('Capacity summary'!AN161)),0),AN42*$BI42),AN42*$BI42),0)</f>
        <v>0</v>
      </c>
      <c r="CR42" s="311">
        <f>IF($BI42&lt;&gt;"",IF('Capacity summary'!$D$14="Yes",IF(COUNTBLANK('Capacity summary'!$H161:$BG161)&lt;52,IF('Capacity summary'!AO161&lt;&gt;"",IF(LOWER('Capacity summary'!AO161)="x",$BI42*AO42,VALUE('Capacity summary'!AO161)),0),AO42*$BI42),AO42*$BI42),0)</f>
        <v>0</v>
      </c>
      <c r="CS42" s="311">
        <f>IF($BI42&lt;&gt;"",IF('Capacity summary'!$D$14="Yes",IF(COUNTBLANK('Capacity summary'!$H161:$BG161)&lt;52,IF('Capacity summary'!AP161&lt;&gt;"",IF(LOWER('Capacity summary'!AP161)="x",$BI42*AP42,VALUE('Capacity summary'!AP161)),0),AP42*$BI42),AP42*$BI42),0)</f>
        <v>0</v>
      </c>
      <c r="CT42" s="311">
        <f>IF($BI42&lt;&gt;"",IF('Capacity summary'!$D$14="Yes",IF(COUNTBLANK('Capacity summary'!$H161:$BG161)&lt;52,IF('Capacity summary'!AQ161&lt;&gt;"",IF(LOWER('Capacity summary'!AQ161)="x",$BI42*AQ42,VALUE('Capacity summary'!AQ161)),0),AQ42*$BI42),AQ42*$BI42),0)</f>
        <v>0</v>
      </c>
      <c r="CU42" s="311">
        <f>IF($BI42&lt;&gt;"",IF('Capacity summary'!$D$14="Yes",IF(COUNTBLANK('Capacity summary'!$H161:$BG161)&lt;52,IF('Capacity summary'!AR161&lt;&gt;"",IF(LOWER('Capacity summary'!AR161)="x",$BI42*AR42,VALUE('Capacity summary'!AR161)),0),AR42*$BI42),AR42*$BI42),0)</f>
        <v>0</v>
      </c>
      <c r="CV42" s="311">
        <f>IF($BI42&lt;&gt;"",IF('Capacity summary'!$D$14="Yes",IF(COUNTBLANK('Capacity summary'!$H161:$BG161)&lt;52,IF('Capacity summary'!AS161&lt;&gt;"",IF(LOWER('Capacity summary'!AS161)="x",$BI42*AS42,VALUE('Capacity summary'!AS161)),0),AS42*$BI42),AS42*$BI42),0)</f>
        <v>0</v>
      </c>
      <c r="CW42" s="311">
        <f>IF($BI42&lt;&gt;"",IF('Capacity summary'!$D$14="Yes",IF(COUNTBLANK('Capacity summary'!$H161:$BG161)&lt;52,IF('Capacity summary'!AT161&lt;&gt;"",IF(LOWER('Capacity summary'!AT161)="x",$BI42*AT42,VALUE('Capacity summary'!AT161)),0),AT42*$BI42),AT42*$BI42),0)</f>
        <v>0</v>
      </c>
      <c r="CX42" s="311">
        <f>IF($BI42&lt;&gt;"",IF('Capacity summary'!$D$14="Yes",IF(COUNTBLANK('Capacity summary'!$H161:$BG161)&lt;52,IF('Capacity summary'!AU161&lt;&gt;"",IF(LOWER('Capacity summary'!AU161)="x",$BI42*AU42,VALUE('Capacity summary'!AU161)),0),AU42*$BI42),AU42*$BI42),0)</f>
        <v>0</v>
      </c>
      <c r="CY42" s="311">
        <f>IF($BI42&lt;&gt;"",IF('Capacity summary'!$D$14="Yes",IF(COUNTBLANK('Capacity summary'!$H161:$BG161)&lt;52,IF('Capacity summary'!AV161&lt;&gt;"",IF(LOWER('Capacity summary'!AV161)="x",$BI42*AV42,VALUE('Capacity summary'!AV161)),0),AV42*$BI42),AV42*$BI42),0)</f>
        <v>0</v>
      </c>
      <c r="CZ42" s="311">
        <f>IF($BI42&lt;&gt;"",IF('Capacity summary'!$D$14="Yes",IF(COUNTBLANK('Capacity summary'!$H161:$BG161)&lt;52,IF('Capacity summary'!AW161&lt;&gt;"",IF(LOWER('Capacity summary'!AW161)="x",$BI42*AW42,VALUE('Capacity summary'!AW161)),0),AW42*$BI42),AW42*$BI42),0)</f>
        <v>0</v>
      </c>
      <c r="DA42" s="311">
        <f>IF($BI42&lt;&gt;"",IF('Capacity summary'!$D$14="Yes",IF(COUNTBLANK('Capacity summary'!$H161:$BG161)&lt;52,IF('Capacity summary'!AX161&lt;&gt;"",IF(LOWER('Capacity summary'!AX161)="x",$BI42*AX42,VALUE('Capacity summary'!AX161)),0),AX42*$BI42),AX42*$BI42),0)</f>
        <v>0</v>
      </c>
      <c r="DB42" s="311">
        <f>IF($BI42&lt;&gt;"",IF('Capacity summary'!$D$14="Yes",IF(COUNTBLANK('Capacity summary'!$H161:$BG161)&lt;52,IF('Capacity summary'!AY161&lt;&gt;"",IF(LOWER('Capacity summary'!AY161)="x",$BI42*AY42,VALUE('Capacity summary'!AY161)),0),AY42*$BI42),AY42*$BI42),0)</f>
        <v>0</v>
      </c>
      <c r="DC42" s="311">
        <f>IF($BI42&lt;&gt;"",IF('Capacity summary'!$D$14="Yes",IF(COUNTBLANK('Capacity summary'!$H161:$BG161)&lt;52,IF('Capacity summary'!AZ161&lt;&gt;"",IF(LOWER('Capacity summary'!AZ161)="x",$BI42*AZ42,VALUE('Capacity summary'!AZ161)),0),AZ42*$BI42),AZ42*$BI42),0)</f>
        <v>0</v>
      </c>
      <c r="DD42" s="311">
        <f>IF($BI42&lt;&gt;"",IF('Capacity summary'!$D$14="Yes",IF(COUNTBLANK('Capacity summary'!$H161:$BG161)&lt;52,IF('Capacity summary'!BA161&lt;&gt;"",IF(LOWER('Capacity summary'!BA161)="x",$BI42*BA42,VALUE('Capacity summary'!BA161)),0),BA42*$BI42),BA42*$BI42),0)</f>
        <v>0</v>
      </c>
      <c r="DE42" s="311">
        <f>IF($BI42&lt;&gt;"",IF('Capacity summary'!$D$14="Yes",IF(COUNTBLANK('Capacity summary'!$H161:$BG161)&lt;52,IF('Capacity summary'!BB161&lt;&gt;"",IF(LOWER('Capacity summary'!BB161)="x",$BI42*BB42,VALUE('Capacity summary'!BB161)),0),BB42*$BI42),BB42*$BI42),0)</f>
        <v>0</v>
      </c>
      <c r="DF42" s="311">
        <f>IF($BI42&lt;&gt;"",IF('Capacity summary'!$D$14="Yes",IF(COUNTBLANK('Capacity summary'!$H161:$BG161)&lt;52,IF('Capacity summary'!BC161&lt;&gt;"",IF(LOWER('Capacity summary'!BC161)="x",$BI42*BC42,VALUE('Capacity summary'!BC161)),0),BC42*$BI42),BC42*$BI42),0)</f>
        <v>0</v>
      </c>
      <c r="DG42" s="311">
        <f>IF($BI42&lt;&gt;"",IF('Capacity summary'!$D$14="Yes",IF(COUNTBLANK('Capacity summary'!$H161:$BG161)&lt;52,IF('Capacity summary'!BD161&lt;&gt;"",IF(LOWER('Capacity summary'!BD161)="x",$BI42*BD42,VALUE('Capacity summary'!BD161)),0),BD42*$BI42),BD42*$BI42),0)</f>
        <v>0</v>
      </c>
      <c r="DH42" s="311">
        <f>IF($BI42&lt;&gt;"",IF('Capacity summary'!$D$14="Yes",IF(COUNTBLANK('Capacity summary'!$H161:$BG161)&lt;52,IF('Capacity summary'!BE161&lt;&gt;"",IF(LOWER('Capacity summary'!BE161)="x",$BI42*BE42,VALUE('Capacity summary'!BE161)),0),BE42*$BI42),BE42*$BI42),0)</f>
        <v>0</v>
      </c>
      <c r="DI42" s="311">
        <f>IF($BI42&lt;&gt;"",IF('Capacity summary'!$D$14="Yes",IF(COUNTBLANK('Capacity summary'!$H161:$BG161)&lt;52,IF('Capacity summary'!BF161&lt;&gt;"",IF(LOWER('Capacity summary'!BF161)="x",$BI42*BF42,VALUE('Capacity summary'!BF161)),0),BF42*$BI42),BF42*$BI42),0)</f>
        <v>0</v>
      </c>
      <c r="DJ42" s="311">
        <f>IF($BI42&lt;&gt;"",IF('Capacity summary'!$D$14="Yes",IF(COUNTBLANK('Capacity summary'!$H161:$BG161)&lt;52,IF('Capacity summary'!BG161&lt;&gt;"",IF(LOWER('Capacity summary'!BG161)="x",$BI42*BG42,VALUE('Capacity summary'!BG161)),0),BG42*$BI42),BG42*$BI42),0)</f>
        <v>0</v>
      </c>
      <c r="DK42" s="391">
        <f t="shared" si="2"/>
        <v>0</v>
      </c>
      <c r="DL42" s="136">
        <f t="shared" si="3"/>
        <v>0</v>
      </c>
      <c r="DM42" s="311" t="str">
        <f>Capacity!H54</f>
        <v/>
      </c>
      <c r="DQ42" s="5"/>
    </row>
    <row r="43" spans="1:121" x14ac:dyDescent="0.2">
      <c r="A43" s="67">
        <f>IF(Capacity!L55='Capacity summary'!BI162,1,0)</f>
        <v>1</v>
      </c>
      <c r="B43" s="67">
        <f>IF(Capacity!V55='Capacity summary'!BI62,1,0)</f>
        <v>1</v>
      </c>
      <c r="C43" s="67" t="str">
        <f>ROW(A39)&amp;". "&amp;Capacity!B55</f>
        <v xml:space="preserve">39. </v>
      </c>
      <c r="D43" s="67">
        <f>'Capacity setup'!C50</f>
        <v>0</v>
      </c>
      <c r="E43" s="67">
        <f>'Capacity setup'!D50</f>
        <v>0</v>
      </c>
      <c r="F43" s="67">
        <f>'Capacity setup'!E50</f>
        <v>0</v>
      </c>
      <c r="H43" s="67">
        <f ca="1">IF(LOWER(Capacity!$L55)="x",IF(AND(SUMIF(Capacity_Resource,$D43,'Critical resources (hide)'!U$6:U$105)+SUMIF(Capacity_Resource,$E43,'Critical resources (hide)'!U$6:U$105)+SUMIF(Capacity_Resource,$F43,'Critical resources (hide)'!U$6:U$105)&gt;0,$E$1=2),0,1),0)</f>
        <v>1</v>
      </c>
      <c r="I43" s="67">
        <f ca="1">IF(LOWER(Capacity!$L55)="x",IF(AND(SUMIF(Capacity_Resource,$D43,'Critical resources (hide)'!V$6:V$105)+SUMIF(Capacity_Resource,$E43,'Critical resources (hide)'!V$6:V$105)+SUMIF(Capacity_Resource,$F43,'Critical resources (hide)'!V$6:V$105)&gt;0,$E$1=2),0,1),0)</f>
        <v>1</v>
      </c>
      <c r="J43" s="67">
        <f ca="1">IF(LOWER(Capacity!$L55)="x",IF(AND(SUMIF(Capacity_Resource,$D43,'Critical resources (hide)'!W$6:W$105)+SUMIF(Capacity_Resource,$E43,'Critical resources (hide)'!W$6:W$105)+SUMIF(Capacity_Resource,$F43,'Critical resources (hide)'!W$6:W$105)&gt;0,$E$1=2),0,1),0)</f>
        <v>1</v>
      </c>
      <c r="K43" s="67">
        <f ca="1">IF(LOWER(Capacity!$L55)="x",IF(AND(SUMIF(Capacity_Resource,$D43,'Critical resources (hide)'!X$6:X$105)+SUMIF(Capacity_Resource,$E43,'Critical resources (hide)'!X$6:X$105)+SUMIF(Capacity_Resource,$F43,'Critical resources (hide)'!X$6:X$105)&gt;0,$E$1=2),0,1),0)</f>
        <v>1</v>
      </c>
      <c r="L43" s="67">
        <f ca="1">IF(LOWER(Capacity!$L55)="x",IF(AND(SUMIF(Capacity_Resource,$D43,'Critical resources (hide)'!Y$6:Y$105)+SUMIF(Capacity_Resource,$E43,'Critical resources (hide)'!Y$6:Y$105)+SUMIF(Capacity_Resource,$F43,'Critical resources (hide)'!Y$6:Y$105)&gt;0,$E$1=2),0,1),0)</f>
        <v>1</v>
      </c>
      <c r="M43" s="67">
        <f ca="1">IF(LOWER(Capacity!$L55)="x",IF(AND(SUMIF(Capacity_Resource,$D43,'Critical resources (hide)'!Z$6:Z$105)+SUMIF(Capacity_Resource,$E43,'Critical resources (hide)'!Z$6:Z$105)+SUMIF(Capacity_Resource,$F43,'Critical resources (hide)'!Z$6:Z$105)&gt;0,$E$1=2),0,1),0)</f>
        <v>1</v>
      </c>
      <c r="N43" s="67">
        <f ca="1">IF(LOWER(Capacity!$L55)="x",IF(AND(SUMIF(Capacity_Resource,$D43,'Critical resources (hide)'!AA$6:AA$105)+SUMIF(Capacity_Resource,$E43,'Critical resources (hide)'!AA$6:AA$105)+SUMIF(Capacity_Resource,$F43,'Critical resources (hide)'!AA$6:AA$105)&gt;0,$E$1=2),0,1),0)</f>
        <v>1</v>
      </c>
      <c r="O43" s="67">
        <f ca="1">IF(LOWER(Capacity!$L55)="x",IF(AND(SUMIF(Capacity_Resource,$D43,'Critical resources (hide)'!AB$6:AB$105)+SUMIF(Capacity_Resource,$E43,'Critical resources (hide)'!AB$6:AB$105)+SUMIF(Capacity_Resource,$F43,'Critical resources (hide)'!AB$6:AB$105)&gt;0,$E$1=2),0,1),0)</f>
        <v>1</v>
      </c>
      <c r="P43" s="67">
        <f ca="1">IF(LOWER(Capacity!$L55)="x",IF(AND(SUMIF(Capacity_Resource,$D43,'Critical resources (hide)'!AC$6:AC$105)+SUMIF(Capacity_Resource,$E43,'Critical resources (hide)'!AC$6:AC$105)+SUMIF(Capacity_Resource,$F43,'Critical resources (hide)'!AC$6:AC$105)&gt;0,$E$1=2),0,1),0)</f>
        <v>1</v>
      </c>
      <c r="Q43" s="67">
        <f ca="1">IF(LOWER(Capacity!$L55)="x",IF(AND(SUMIF(Capacity_Resource,$D43,'Critical resources (hide)'!AD$6:AD$105)+SUMIF(Capacity_Resource,$E43,'Critical resources (hide)'!AD$6:AD$105)+SUMIF(Capacity_Resource,$F43,'Critical resources (hide)'!AD$6:AD$105)&gt;0,$E$1=2),0,1),0)</f>
        <v>1</v>
      </c>
      <c r="R43" s="67">
        <f ca="1">IF(LOWER(Capacity!$L55)="x",IF(AND(SUMIF(Capacity_Resource,$D43,'Critical resources (hide)'!AE$6:AE$105)+SUMIF(Capacity_Resource,$E43,'Critical resources (hide)'!AE$6:AE$105)+SUMIF(Capacity_Resource,$F43,'Critical resources (hide)'!AE$6:AE$105)&gt;0,$E$1=2),0,1),0)</f>
        <v>1</v>
      </c>
      <c r="S43" s="67">
        <f ca="1">IF(LOWER(Capacity!$L55)="x",IF(AND(SUMIF(Capacity_Resource,$D43,'Critical resources (hide)'!AF$6:AF$105)+SUMIF(Capacity_Resource,$E43,'Critical resources (hide)'!AF$6:AF$105)+SUMIF(Capacity_Resource,$F43,'Critical resources (hide)'!AF$6:AF$105)&gt;0,$E$1=2),0,1),0)</f>
        <v>1</v>
      </c>
      <c r="T43" s="67">
        <f ca="1">IF(LOWER(Capacity!$L55)="x",IF(AND(SUMIF(Capacity_Resource,$D43,'Critical resources (hide)'!AG$6:AG$105)+SUMIF(Capacity_Resource,$E43,'Critical resources (hide)'!AG$6:AG$105)+SUMIF(Capacity_Resource,$F43,'Critical resources (hide)'!AG$6:AG$105)&gt;0,$E$1=2),0,1),0)</f>
        <v>1</v>
      </c>
      <c r="U43" s="67">
        <f ca="1">IF(LOWER(Capacity!$L55)="x",IF(AND(SUMIF(Capacity_Resource,$D43,'Critical resources (hide)'!AH$6:AH$105)+SUMIF(Capacity_Resource,$E43,'Critical resources (hide)'!AH$6:AH$105)+SUMIF(Capacity_Resource,$F43,'Critical resources (hide)'!AH$6:AH$105)&gt;0,$E$1=2),0,1),0)</f>
        <v>1</v>
      </c>
      <c r="V43" s="67">
        <f ca="1">IF(LOWER(Capacity!$L55)="x",IF(AND(SUMIF(Capacity_Resource,$D43,'Critical resources (hide)'!AI$6:AI$105)+SUMIF(Capacity_Resource,$E43,'Critical resources (hide)'!AI$6:AI$105)+SUMIF(Capacity_Resource,$F43,'Critical resources (hide)'!AI$6:AI$105)&gt;0,$E$1=2),0,1),0)</f>
        <v>1</v>
      </c>
      <c r="W43" s="67">
        <f ca="1">IF(LOWER(Capacity!$L55)="x",IF(AND(SUMIF(Capacity_Resource,$D43,'Critical resources (hide)'!AJ$6:AJ$105)+SUMIF(Capacity_Resource,$E43,'Critical resources (hide)'!AJ$6:AJ$105)+SUMIF(Capacity_Resource,$F43,'Critical resources (hide)'!AJ$6:AJ$105)&gt;0,$E$1=2),0,1),0)</f>
        <v>1</v>
      </c>
      <c r="X43" s="67">
        <f ca="1">IF(LOWER(Capacity!$L55)="x",IF(AND(SUMIF(Capacity_Resource,$D43,'Critical resources (hide)'!AK$6:AK$105)+SUMIF(Capacity_Resource,$E43,'Critical resources (hide)'!AK$6:AK$105)+SUMIF(Capacity_Resource,$F43,'Critical resources (hide)'!AK$6:AK$105)&gt;0,$E$1=2),0,1),0)</f>
        <v>1</v>
      </c>
      <c r="Y43" s="67">
        <f ca="1">IF(LOWER(Capacity!$L55)="x",IF(AND(SUMIF(Capacity_Resource,$D43,'Critical resources (hide)'!AL$6:AL$105)+SUMIF(Capacity_Resource,$E43,'Critical resources (hide)'!AL$6:AL$105)+SUMIF(Capacity_Resource,$F43,'Critical resources (hide)'!AL$6:AL$105)&gt;0,$E$1=2),0,1),0)</f>
        <v>1</v>
      </c>
      <c r="Z43" s="67">
        <f ca="1">IF(LOWER(Capacity!$L55)="x",IF(AND(SUMIF(Capacity_Resource,$D43,'Critical resources (hide)'!AM$6:AM$105)+SUMIF(Capacity_Resource,$E43,'Critical resources (hide)'!AM$6:AM$105)+SUMIF(Capacity_Resource,$F43,'Critical resources (hide)'!AM$6:AM$105)&gt;0,$E$1=2),0,1),0)</f>
        <v>1</v>
      </c>
      <c r="AA43" s="67">
        <f ca="1">IF(LOWER(Capacity!$L55)="x",IF(AND(SUMIF(Capacity_Resource,$D43,'Critical resources (hide)'!AN$6:AN$105)+SUMIF(Capacity_Resource,$E43,'Critical resources (hide)'!AN$6:AN$105)+SUMIF(Capacity_Resource,$F43,'Critical resources (hide)'!AN$6:AN$105)&gt;0,$E$1=2),0,1),0)</f>
        <v>1</v>
      </c>
      <c r="AB43" s="67">
        <f ca="1">IF(LOWER(Capacity!$L55)="x",IF(AND(SUMIF(Capacity_Resource,$D43,'Critical resources (hide)'!AO$6:AO$105)+SUMIF(Capacity_Resource,$E43,'Critical resources (hide)'!AO$6:AO$105)+SUMIF(Capacity_Resource,$F43,'Critical resources (hide)'!AO$6:AO$105)&gt;0,$E$1=2),0,1),0)</f>
        <v>1</v>
      </c>
      <c r="AC43" s="67">
        <f ca="1">IF(LOWER(Capacity!$L55)="x",IF(AND(SUMIF(Capacity_Resource,$D43,'Critical resources (hide)'!AP$6:AP$105)+SUMIF(Capacity_Resource,$E43,'Critical resources (hide)'!AP$6:AP$105)+SUMIF(Capacity_Resource,$F43,'Critical resources (hide)'!AP$6:AP$105)&gt;0,$E$1=2),0,1),0)</f>
        <v>1</v>
      </c>
      <c r="AD43" s="67">
        <f ca="1">IF(LOWER(Capacity!$L55)="x",IF(AND(SUMIF(Capacity_Resource,$D43,'Critical resources (hide)'!AQ$6:AQ$105)+SUMIF(Capacity_Resource,$E43,'Critical resources (hide)'!AQ$6:AQ$105)+SUMIF(Capacity_Resource,$F43,'Critical resources (hide)'!AQ$6:AQ$105)&gt;0,$E$1=2),0,1),0)</f>
        <v>1</v>
      </c>
      <c r="AE43" s="67">
        <f ca="1">IF(LOWER(Capacity!$L55)="x",IF(AND(SUMIF(Capacity_Resource,$D43,'Critical resources (hide)'!AR$6:AR$105)+SUMIF(Capacity_Resource,$E43,'Critical resources (hide)'!AR$6:AR$105)+SUMIF(Capacity_Resource,$F43,'Critical resources (hide)'!AR$6:AR$105)&gt;0,$E$1=2),0,1),0)</f>
        <v>1</v>
      </c>
      <c r="AF43" s="67">
        <f ca="1">IF(LOWER(Capacity!$L55)="x",IF(AND(SUMIF(Capacity_Resource,$D43,'Critical resources (hide)'!AS$6:AS$105)+SUMIF(Capacity_Resource,$E43,'Critical resources (hide)'!AS$6:AS$105)+SUMIF(Capacity_Resource,$F43,'Critical resources (hide)'!AS$6:AS$105)&gt;0,$E$1=2),0,1),0)</f>
        <v>1</v>
      </c>
      <c r="AG43" s="67">
        <f ca="1">IF(LOWER(Capacity!$L55)="x",IF(AND(SUMIF(Capacity_Resource,$D43,'Critical resources (hide)'!AT$6:AT$105)+SUMIF(Capacity_Resource,$E43,'Critical resources (hide)'!AT$6:AT$105)+SUMIF(Capacity_Resource,$F43,'Critical resources (hide)'!AT$6:AT$105)&gt;0,$E$1=2),0,1),0)</f>
        <v>1</v>
      </c>
      <c r="AH43" s="67">
        <f ca="1">IF(LOWER(Capacity!$L55)="x",IF(AND(SUMIF(Capacity_Resource,$D43,'Critical resources (hide)'!AU$6:AU$105)+SUMIF(Capacity_Resource,$E43,'Critical resources (hide)'!AU$6:AU$105)+SUMIF(Capacity_Resource,$F43,'Critical resources (hide)'!AU$6:AU$105)&gt;0,$E$1=2),0,1),0)</f>
        <v>1</v>
      </c>
      <c r="AI43" s="67">
        <f ca="1">IF(LOWER(Capacity!$L55)="x",IF(AND(SUMIF(Capacity_Resource,$D43,'Critical resources (hide)'!AV$6:AV$105)+SUMIF(Capacity_Resource,$E43,'Critical resources (hide)'!AV$6:AV$105)+SUMIF(Capacity_Resource,$F43,'Critical resources (hide)'!AV$6:AV$105)&gt;0,$E$1=2),0,1),0)</f>
        <v>1</v>
      </c>
      <c r="AJ43" s="67">
        <f ca="1">IF(LOWER(Capacity!$L55)="x",IF(AND(SUMIF(Capacity_Resource,$D43,'Critical resources (hide)'!AW$6:AW$105)+SUMIF(Capacity_Resource,$E43,'Critical resources (hide)'!AW$6:AW$105)+SUMIF(Capacity_Resource,$F43,'Critical resources (hide)'!AW$6:AW$105)&gt;0,$E$1=2),0,1),0)</f>
        <v>1</v>
      </c>
      <c r="AK43" s="67">
        <f ca="1">IF(LOWER(Capacity!$L55)="x",IF(AND(SUMIF(Capacity_Resource,$D43,'Critical resources (hide)'!AX$6:AX$105)+SUMIF(Capacity_Resource,$E43,'Critical resources (hide)'!AX$6:AX$105)+SUMIF(Capacity_Resource,$F43,'Critical resources (hide)'!AX$6:AX$105)&gt;0,$E$1=2),0,1),0)</f>
        <v>1</v>
      </c>
      <c r="AL43" s="67">
        <f ca="1">IF(LOWER(Capacity!$L55)="x",IF(AND(SUMIF(Capacity_Resource,$D43,'Critical resources (hide)'!AY$6:AY$105)+SUMIF(Capacity_Resource,$E43,'Critical resources (hide)'!AY$6:AY$105)+SUMIF(Capacity_Resource,$F43,'Critical resources (hide)'!AY$6:AY$105)&gt;0,$E$1=2),0,1),0)</f>
        <v>1</v>
      </c>
      <c r="AM43" s="67">
        <f ca="1">IF(LOWER(Capacity!$L55)="x",IF(AND(SUMIF(Capacity_Resource,$D43,'Critical resources (hide)'!AZ$6:AZ$105)+SUMIF(Capacity_Resource,$E43,'Critical resources (hide)'!AZ$6:AZ$105)+SUMIF(Capacity_Resource,$F43,'Critical resources (hide)'!AZ$6:AZ$105)&gt;0,$E$1=2),0,1),0)</f>
        <v>1</v>
      </c>
      <c r="AN43" s="67">
        <f ca="1">IF(LOWER(Capacity!$L55)="x",IF(AND(SUMIF(Capacity_Resource,$D43,'Critical resources (hide)'!BA$6:BA$105)+SUMIF(Capacity_Resource,$E43,'Critical resources (hide)'!BA$6:BA$105)+SUMIF(Capacity_Resource,$F43,'Critical resources (hide)'!BA$6:BA$105)&gt;0,$E$1=2),0,1),0)</f>
        <v>1</v>
      </c>
      <c r="AO43" s="67">
        <f ca="1">IF(LOWER(Capacity!$L55)="x",IF(AND(SUMIF(Capacity_Resource,$D43,'Critical resources (hide)'!BB$6:BB$105)+SUMIF(Capacity_Resource,$E43,'Critical resources (hide)'!BB$6:BB$105)+SUMIF(Capacity_Resource,$F43,'Critical resources (hide)'!BB$6:BB$105)&gt;0,$E$1=2),0,1),0)</f>
        <v>1</v>
      </c>
      <c r="AP43" s="67">
        <f ca="1">IF(LOWER(Capacity!$L55)="x",IF(AND(SUMIF(Capacity_Resource,$D43,'Critical resources (hide)'!BC$6:BC$105)+SUMIF(Capacity_Resource,$E43,'Critical resources (hide)'!BC$6:BC$105)+SUMIF(Capacity_Resource,$F43,'Critical resources (hide)'!BC$6:BC$105)&gt;0,$E$1=2),0,1),0)</f>
        <v>1</v>
      </c>
      <c r="AQ43" s="67">
        <f ca="1">IF(LOWER(Capacity!$L55)="x",IF(AND(SUMIF(Capacity_Resource,$D43,'Critical resources (hide)'!BD$6:BD$105)+SUMIF(Capacity_Resource,$E43,'Critical resources (hide)'!BD$6:BD$105)+SUMIF(Capacity_Resource,$F43,'Critical resources (hide)'!BD$6:BD$105)&gt;0,$E$1=2),0,1),0)</f>
        <v>1</v>
      </c>
      <c r="AR43" s="67">
        <f ca="1">IF(LOWER(Capacity!$L55)="x",IF(AND(SUMIF(Capacity_Resource,$D43,'Critical resources (hide)'!BE$6:BE$105)+SUMIF(Capacity_Resource,$E43,'Critical resources (hide)'!BE$6:BE$105)+SUMIF(Capacity_Resource,$F43,'Critical resources (hide)'!BE$6:BE$105)&gt;0,$E$1=2),0,1),0)</f>
        <v>1</v>
      </c>
      <c r="AS43" s="67">
        <f ca="1">IF(LOWER(Capacity!$L55)="x",IF(AND(SUMIF(Capacity_Resource,$D43,'Critical resources (hide)'!BF$6:BF$105)+SUMIF(Capacity_Resource,$E43,'Critical resources (hide)'!BF$6:BF$105)+SUMIF(Capacity_Resource,$F43,'Critical resources (hide)'!BF$6:BF$105)&gt;0,$E$1=2),0,1),0)</f>
        <v>1</v>
      </c>
      <c r="AT43" s="67">
        <f ca="1">IF(LOWER(Capacity!$L55)="x",IF(AND(SUMIF(Capacity_Resource,$D43,'Critical resources (hide)'!BG$6:BG$105)+SUMIF(Capacity_Resource,$E43,'Critical resources (hide)'!BG$6:BG$105)+SUMIF(Capacity_Resource,$F43,'Critical resources (hide)'!BG$6:BG$105)&gt;0,$E$1=2),0,1),0)</f>
        <v>1</v>
      </c>
      <c r="AU43" s="67">
        <f ca="1">IF(LOWER(Capacity!$L55)="x",IF(AND(SUMIF(Capacity_Resource,$D43,'Critical resources (hide)'!BH$6:BH$105)+SUMIF(Capacity_Resource,$E43,'Critical resources (hide)'!BH$6:BH$105)+SUMIF(Capacity_Resource,$F43,'Critical resources (hide)'!BH$6:BH$105)&gt;0,$E$1=2),0,1),0)</f>
        <v>1</v>
      </c>
      <c r="AV43" s="67">
        <f ca="1">IF(LOWER(Capacity!$L55)="x",IF(AND(SUMIF(Capacity_Resource,$D43,'Critical resources (hide)'!BI$6:BI$105)+SUMIF(Capacity_Resource,$E43,'Critical resources (hide)'!BI$6:BI$105)+SUMIF(Capacity_Resource,$F43,'Critical resources (hide)'!BI$6:BI$105)&gt;0,$E$1=2),0,1),0)</f>
        <v>1</v>
      </c>
      <c r="AW43" s="67">
        <f ca="1">IF(LOWER(Capacity!$L55)="x",IF(AND(SUMIF(Capacity_Resource,$D43,'Critical resources (hide)'!BJ$6:BJ$105)+SUMIF(Capacity_Resource,$E43,'Critical resources (hide)'!BJ$6:BJ$105)+SUMIF(Capacity_Resource,$F43,'Critical resources (hide)'!BJ$6:BJ$105)&gt;0,$E$1=2),0,1),0)</f>
        <v>1</v>
      </c>
      <c r="AX43" s="67">
        <f ca="1">IF(LOWER(Capacity!$L55)="x",IF(AND(SUMIF(Capacity_Resource,$D43,'Critical resources (hide)'!BK$6:BK$105)+SUMIF(Capacity_Resource,$E43,'Critical resources (hide)'!BK$6:BK$105)+SUMIF(Capacity_Resource,$F43,'Critical resources (hide)'!BK$6:BK$105)&gt;0,$E$1=2),0,1),0)</f>
        <v>1</v>
      </c>
      <c r="AY43" s="67">
        <f ca="1">IF(LOWER(Capacity!$L55)="x",IF(AND(SUMIF(Capacity_Resource,$D43,'Critical resources (hide)'!BL$6:BL$105)+SUMIF(Capacity_Resource,$E43,'Critical resources (hide)'!BL$6:BL$105)+SUMIF(Capacity_Resource,$F43,'Critical resources (hide)'!BL$6:BL$105)&gt;0,$E$1=2),0,1),0)</f>
        <v>1</v>
      </c>
      <c r="AZ43" s="67">
        <f ca="1">IF(LOWER(Capacity!$L55)="x",IF(AND(SUMIF(Capacity_Resource,$D43,'Critical resources (hide)'!BM$6:BM$105)+SUMIF(Capacity_Resource,$E43,'Critical resources (hide)'!BM$6:BM$105)+SUMIF(Capacity_Resource,$F43,'Critical resources (hide)'!BM$6:BM$105)&gt;0,$E$1=2),0,1),0)</f>
        <v>1</v>
      </c>
      <c r="BA43" s="67">
        <f ca="1">IF(LOWER(Capacity!$L55)="x",IF(AND(SUMIF(Capacity_Resource,$D43,'Critical resources (hide)'!BN$6:BN$105)+SUMIF(Capacity_Resource,$E43,'Critical resources (hide)'!BN$6:BN$105)+SUMIF(Capacity_Resource,$F43,'Critical resources (hide)'!BN$6:BN$105)&gt;0,$E$1=2),0,1),0)</f>
        <v>1</v>
      </c>
      <c r="BB43" s="67">
        <f ca="1">IF(LOWER(Capacity!$L55)="x",IF(AND(SUMIF(Capacity_Resource,$D43,'Critical resources (hide)'!BO$6:BO$105)+SUMIF(Capacity_Resource,$E43,'Critical resources (hide)'!BO$6:BO$105)+SUMIF(Capacity_Resource,$F43,'Critical resources (hide)'!BO$6:BO$105)&gt;0,$E$1=2),0,1),0)</f>
        <v>1</v>
      </c>
      <c r="BC43" s="67">
        <f ca="1">IF(LOWER(Capacity!$L55)="x",IF(AND(SUMIF(Capacity_Resource,$D43,'Critical resources (hide)'!BP$6:BP$105)+SUMIF(Capacity_Resource,$E43,'Critical resources (hide)'!BP$6:BP$105)+SUMIF(Capacity_Resource,$F43,'Critical resources (hide)'!BP$6:BP$105)&gt;0,$E$1=2),0,1),0)</f>
        <v>1</v>
      </c>
      <c r="BD43" s="67">
        <f ca="1">IF(LOWER(Capacity!$L55)="x",IF(AND(SUMIF(Capacity_Resource,$D43,'Critical resources (hide)'!BQ$6:BQ$105)+SUMIF(Capacity_Resource,$E43,'Critical resources (hide)'!BQ$6:BQ$105)+SUMIF(Capacity_Resource,$F43,'Critical resources (hide)'!BQ$6:BQ$105)&gt;0,$E$1=2),0,1),0)</f>
        <v>1</v>
      </c>
      <c r="BE43" s="67">
        <f ca="1">IF(LOWER(Capacity!$L55)="x",IF(AND(SUMIF(Capacity_Resource,$D43,'Critical resources (hide)'!BR$6:BR$105)+SUMIF(Capacity_Resource,$E43,'Critical resources (hide)'!BR$6:BR$105)+SUMIF(Capacity_Resource,$F43,'Critical resources (hide)'!BR$6:BR$105)&gt;0,$E$1=2),0,1),0)</f>
        <v>1</v>
      </c>
      <c r="BF43" s="67">
        <f ca="1">IF(LOWER(Capacity!$L55)="x",IF(AND(SUMIF(Capacity_Resource,$D43,'Critical resources (hide)'!BS$6:BS$105)+SUMIF(Capacity_Resource,$E43,'Critical resources (hide)'!BS$6:BS$105)+SUMIF(Capacity_Resource,$F43,'Critical resources (hide)'!BS$6:BS$105)&gt;0,$E$1=2),0,1),0)</f>
        <v>1</v>
      </c>
      <c r="BG43" s="67">
        <f ca="1">IF(LOWER(Capacity!$L55)="x",IF(AND(SUMIF(Capacity_Resource,$D43,'Critical resources (hide)'!BT$6:BT$105)+SUMIF(Capacity_Resource,$E43,'Critical resources (hide)'!BT$6:BT$105)+SUMIF(Capacity_Resource,$F43,'Critical resources (hide)'!BT$6:BT$105)&gt;0,$E$1=2),0,1),0)</f>
        <v>1</v>
      </c>
      <c r="BH43" s="67">
        <f>IF(ROW(C39)&lt;=Capacity!$A$16,IF('Capacity summary'!$D$14="No",SUM(H43:BG43),'Capacity summary'!$E162),0)</f>
        <v>0</v>
      </c>
      <c r="BI43" s="5" t="str">
        <f>IF(BH43&gt;0,IF(BH43&lt;Capacity!E55,Capacity!F55,Capacity!H55/'Capacity calculation (hide)'!BH43),"")</f>
        <v/>
      </c>
      <c r="BK43" s="311">
        <f>IF($BI43&lt;&gt;"",IF('Capacity summary'!$D$14="Yes",IF(COUNTBLANK('Capacity summary'!$H162:$BG162)&lt;52,IF('Capacity summary'!H162&lt;&gt;"",IF(LOWER('Capacity summary'!H162)="x",$BI43*H43,VALUE('Capacity summary'!H162)),0),H43*$BI43),H43*$BI43),0)</f>
        <v>0</v>
      </c>
      <c r="BL43" s="311">
        <f>IF($BI43&lt;&gt;"",IF('Capacity summary'!$D$14="Yes",IF(COUNTBLANK('Capacity summary'!$H162:$BG162)&lt;52,IF('Capacity summary'!I162&lt;&gt;"",IF(LOWER('Capacity summary'!I162)="x",$BI43*I43,VALUE('Capacity summary'!I162)),0),I43*$BI43),I43*$BI43),0)</f>
        <v>0</v>
      </c>
      <c r="BM43" s="311">
        <f>IF($BI43&lt;&gt;"",IF('Capacity summary'!$D$14="Yes",IF(COUNTBLANK('Capacity summary'!$H162:$BG162)&lt;52,IF('Capacity summary'!J162&lt;&gt;"",IF(LOWER('Capacity summary'!J162)="x",$BI43*J43,VALUE('Capacity summary'!J162)),0),J43*$BI43),J43*$BI43),0)</f>
        <v>0</v>
      </c>
      <c r="BN43" s="311">
        <f>IF($BI43&lt;&gt;"",IF('Capacity summary'!$D$14="Yes",IF(COUNTBLANK('Capacity summary'!$H162:$BG162)&lt;52,IF('Capacity summary'!K162&lt;&gt;"",IF(LOWER('Capacity summary'!K162)="x",$BI43*K43,VALUE('Capacity summary'!K162)),0),K43*$BI43),K43*$BI43),0)</f>
        <v>0</v>
      </c>
      <c r="BO43" s="311">
        <f>IF($BI43&lt;&gt;"",IF('Capacity summary'!$D$14="Yes",IF(COUNTBLANK('Capacity summary'!$H162:$BG162)&lt;52,IF('Capacity summary'!L162&lt;&gt;"",IF(LOWER('Capacity summary'!L162)="x",$BI43*L43,VALUE('Capacity summary'!L162)),0),L43*$BI43),L43*$BI43),0)</f>
        <v>0</v>
      </c>
      <c r="BP43" s="311">
        <f>IF($BI43&lt;&gt;"",IF('Capacity summary'!$D$14="Yes",IF(COUNTBLANK('Capacity summary'!$H162:$BG162)&lt;52,IF('Capacity summary'!M162&lt;&gt;"",IF(LOWER('Capacity summary'!M162)="x",$BI43*M43,VALUE('Capacity summary'!M162)),0),M43*$BI43),M43*$BI43),0)</f>
        <v>0</v>
      </c>
      <c r="BQ43" s="311">
        <f>IF($BI43&lt;&gt;"",IF('Capacity summary'!$D$14="Yes",IF(COUNTBLANK('Capacity summary'!$H162:$BG162)&lt;52,IF('Capacity summary'!N162&lt;&gt;"",IF(LOWER('Capacity summary'!N162)="x",$BI43*N43,VALUE('Capacity summary'!N162)),0),N43*$BI43),N43*$BI43),0)</f>
        <v>0</v>
      </c>
      <c r="BR43" s="311">
        <f>IF($BI43&lt;&gt;"",IF('Capacity summary'!$D$14="Yes",IF(COUNTBLANK('Capacity summary'!$H162:$BG162)&lt;52,IF('Capacity summary'!O162&lt;&gt;"",IF(LOWER('Capacity summary'!O162)="x",$BI43*O43,VALUE('Capacity summary'!O162)),0),O43*$BI43),O43*$BI43),0)</f>
        <v>0</v>
      </c>
      <c r="BS43" s="311">
        <f>IF($BI43&lt;&gt;"",IF('Capacity summary'!$D$14="Yes",IF(COUNTBLANK('Capacity summary'!$H162:$BG162)&lt;52,IF('Capacity summary'!P162&lt;&gt;"",IF(LOWER('Capacity summary'!P162)="x",$BI43*P43,VALUE('Capacity summary'!P162)),0),P43*$BI43),P43*$BI43),0)</f>
        <v>0</v>
      </c>
      <c r="BT43" s="311">
        <f>IF($BI43&lt;&gt;"",IF('Capacity summary'!$D$14="Yes",IF(COUNTBLANK('Capacity summary'!$H162:$BG162)&lt;52,IF('Capacity summary'!Q162&lt;&gt;"",IF(LOWER('Capacity summary'!Q162)="x",$BI43*Q43,VALUE('Capacity summary'!Q162)),0),Q43*$BI43),Q43*$BI43),0)</f>
        <v>0</v>
      </c>
      <c r="BU43" s="311">
        <f>IF($BI43&lt;&gt;"",IF('Capacity summary'!$D$14="Yes",IF(COUNTBLANK('Capacity summary'!$H162:$BG162)&lt;52,IF('Capacity summary'!R162&lt;&gt;"",IF(LOWER('Capacity summary'!R162)="x",$BI43*R43,VALUE('Capacity summary'!R162)),0),R43*$BI43),R43*$BI43),0)</f>
        <v>0</v>
      </c>
      <c r="BV43" s="311">
        <f>IF($BI43&lt;&gt;"",IF('Capacity summary'!$D$14="Yes",IF(COUNTBLANK('Capacity summary'!$H162:$BG162)&lt;52,IF('Capacity summary'!S162&lt;&gt;"",IF(LOWER('Capacity summary'!S162)="x",$BI43*S43,VALUE('Capacity summary'!S162)),0),S43*$BI43),S43*$BI43),0)</f>
        <v>0</v>
      </c>
      <c r="BW43" s="311">
        <f>IF($BI43&lt;&gt;"",IF('Capacity summary'!$D$14="Yes",IF(COUNTBLANK('Capacity summary'!$H162:$BG162)&lt;52,IF('Capacity summary'!T162&lt;&gt;"",IF(LOWER('Capacity summary'!T162)="x",$BI43*T43,VALUE('Capacity summary'!T162)),0),T43*$BI43),T43*$BI43),0)</f>
        <v>0</v>
      </c>
      <c r="BX43" s="311">
        <f>IF($BI43&lt;&gt;"",IF('Capacity summary'!$D$14="Yes",IF(COUNTBLANK('Capacity summary'!$H162:$BG162)&lt;52,IF('Capacity summary'!U162&lt;&gt;"",IF(LOWER('Capacity summary'!U162)="x",$BI43*U43,VALUE('Capacity summary'!U162)),0),U43*$BI43),U43*$BI43),0)</f>
        <v>0</v>
      </c>
      <c r="BY43" s="311">
        <f>IF($BI43&lt;&gt;"",IF('Capacity summary'!$D$14="Yes",IF(COUNTBLANK('Capacity summary'!$H162:$BG162)&lt;52,IF('Capacity summary'!V162&lt;&gt;"",IF(LOWER('Capacity summary'!V162)="x",$BI43*V43,VALUE('Capacity summary'!V162)),0),V43*$BI43),V43*$BI43),0)</f>
        <v>0</v>
      </c>
      <c r="BZ43" s="311">
        <f>IF($BI43&lt;&gt;"",IF('Capacity summary'!$D$14="Yes",IF(COUNTBLANK('Capacity summary'!$H162:$BG162)&lt;52,IF('Capacity summary'!W162&lt;&gt;"",IF(LOWER('Capacity summary'!W162)="x",$BI43*W43,VALUE('Capacity summary'!W162)),0),W43*$BI43),W43*$BI43),0)</f>
        <v>0</v>
      </c>
      <c r="CA43" s="311">
        <f>IF($BI43&lt;&gt;"",IF('Capacity summary'!$D$14="Yes",IF(COUNTBLANK('Capacity summary'!$H162:$BG162)&lt;52,IF('Capacity summary'!X162&lt;&gt;"",IF(LOWER('Capacity summary'!X162)="x",$BI43*X43,VALUE('Capacity summary'!X162)),0),X43*$BI43),X43*$BI43),0)</f>
        <v>0</v>
      </c>
      <c r="CB43" s="311">
        <f>IF($BI43&lt;&gt;"",IF('Capacity summary'!$D$14="Yes",IF(COUNTBLANK('Capacity summary'!$H162:$BG162)&lt;52,IF('Capacity summary'!Y162&lt;&gt;"",IF(LOWER('Capacity summary'!Y162)="x",$BI43*Y43,VALUE('Capacity summary'!Y162)),0),Y43*$BI43),Y43*$BI43),0)</f>
        <v>0</v>
      </c>
      <c r="CC43" s="311">
        <f>IF($BI43&lt;&gt;"",IF('Capacity summary'!$D$14="Yes",IF(COUNTBLANK('Capacity summary'!$H162:$BG162)&lt;52,IF('Capacity summary'!Z162&lt;&gt;"",IF(LOWER('Capacity summary'!Z162)="x",$BI43*Z43,VALUE('Capacity summary'!Z162)),0),Z43*$BI43),Z43*$BI43),0)</f>
        <v>0</v>
      </c>
      <c r="CD43" s="311">
        <f>IF($BI43&lt;&gt;"",IF('Capacity summary'!$D$14="Yes",IF(COUNTBLANK('Capacity summary'!$H162:$BG162)&lt;52,IF('Capacity summary'!AA162&lt;&gt;"",IF(LOWER('Capacity summary'!AA162)="x",$BI43*AA43,VALUE('Capacity summary'!AA162)),0),AA43*$BI43),AA43*$BI43),0)</f>
        <v>0</v>
      </c>
      <c r="CE43" s="311">
        <f>IF($BI43&lt;&gt;"",IF('Capacity summary'!$D$14="Yes",IF(COUNTBLANK('Capacity summary'!$H162:$BG162)&lt;52,IF('Capacity summary'!AB162&lt;&gt;"",IF(LOWER('Capacity summary'!AB162)="x",$BI43*AB43,VALUE('Capacity summary'!AB162)),0),AB43*$BI43),AB43*$BI43),0)</f>
        <v>0</v>
      </c>
      <c r="CF43" s="311">
        <f>IF($BI43&lt;&gt;"",IF('Capacity summary'!$D$14="Yes",IF(COUNTBLANK('Capacity summary'!$H162:$BG162)&lt;52,IF('Capacity summary'!AC162&lt;&gt;"",IF(LOWER('Capacity summary'!AC162)="x",$BI43*AC43,VALUE('Capacity summary'!AC162)),0),AC43*$BI43),AC43*$BI43),0)</f>
        <v>0</v>
      </c>
      <c r="CG43" s="311">
        <f>IF($BI43&lt;&gt;"",IF('Capacity summary'!$D$14="Yes",IF(COUNTBLANK('Capacity summary'!$H162:$BG162)&lt;52,IF('Capacity summary'!AD162&lt;&gt;"",IF(LOWER('Capacity summary'!AD162)="x",$BI43*AD43,VALUE('Capacity summary'!AD162)),0),AD43*$BI43),AD43*$BI43),0)</f>
        <v>0</v>
      </c>
      <c r="CH43" s="311">
        <f>IF($BI43&lt;&gt;"",IF('Capacity summary'!$D$14="Yes",IF(COUNTBLANK('Capacity summary'!$H162:$BG162)&lt;52,IF('Capacity summary'!AE162&lt;&gt;"",IF(LOWER('Capacity summary'!AE162)="x",$BI43*AE43,VALUE('Capacity summary'!AE162)),0),AE43*$BI43),AE43*$BI43),0)</f>
        <v>0</v>
      </c>
      <c r="CI43" s="311">
        <f>IF($BI43&lt;&gt;"",IF('Capacity summary'!$D$14="Yes",IF(COUNTBLANK('Capacity summary'!$H162:$BG162)&lt;52,IF('Capacity summary'!AF162&lt;&gt;"",IF(LOWER('Capacity summary'!AF162)="x",$BI43*AF43,VALUE('Capacity summary'!AF162)),0),AF43*$BI43),AF43*$BI43),0)</f>
        <v>0</v>
      </c>
      <c r="CJ43" s="311">
        <f>IF($BI43&lt;&gt;"",IF('Capacity summary'!$D$14="Yes",IF(COUNTBLANK('Capacity summary'!$H162:$BG162)&lt;52,IF('Capacity summary'!AG162&lt;&gt;"",IF(LOWER('Capacity summary'!AG162)="x",$BI43*AG43,VALUE('Capacity summary'!AG162)),0),AG43*$BI43),AG43*$BI43),0)</f>
        <v>0</v>
      </c>
      <c r="CK43" s="311">
        <f>IF($BI43&lt;&gt;"",IF('Capacity summary'!$D$14="Yes",IF(COUNTBLANK('Capacity summary'!$H162:$BG162)&lt;52,IF('Capacity summary'!AH162&lt;&gt;"",IF(LOWER('Capacity summary'!AH162)="x",$BI43*AH43,VALUE('Capacity summary'!AH162)),0),AH43*$BI43),AH43*$BI43),0)</f>
        <v>0</v>
      </c>
      <c r="CL43" s="311">
        <f>IF($BI43&lt;&gt;"",IF('Capacity summary'!$D$14="Yes",IF(COUNTBLANK('Capacity summary'!$H162:$BG162)&lt;52,IF('Capacity summary'!AI162&lt;&gt;"",IF(LOWER('Capacity summary'!AI162)="x",$BI43*AI43,VALUE('Capacity summary'!AI162)),0),AI43*$BI43),AI43*$BI43),0)</f>
        <v>0</v>
      </c>
      <c r="CM43" s="311">
        <f>IF($BI43&lt;&gt;"",IF('Capacity summary'!$D$14="Yes",IF(COUNTBLANK('Capacity summary'!$H162:$BG162)&lt;52,IF('Capacity summary'!AJ162&lt;&gt;"",IF(LOWER('Capacity summary'!AJ162)="x",$BI43*AJ43,VALUE('Capacity summary'!AJ162)),0),AJ43*$BI43),AJ43*$BI43),0)</f>
        <v>0</v>
      </c>
      <c r="CN43" s="311">
        <f>IF($BI43&lt;&gt;"",IF('Capacity summary'!$D$14="Yes",IF(COUNTBLANK('Capacity summary'!$H162:$BG162)&lt;52,IF('Capacity summary'!AK162&lt;&gt;"",IF(LOWER('Capacity summary'!AK162)="x",$BI43*AK43,VALUE('Capacity summary'!AK162)),0),AK43*$BI43),AK43*$BI43),0)</f>
        <v>0</v>
      </c>
      <c r="CO43" s="311">
        <f>IF($BI43&lt;&gt;"",IF('Capacity summary'!$D$14="Yes",IF(COUNTBLANK('Capacity summary'!$H162:$BG162)&lt;52,IF('Capacity summary'!AL162&lt;&gt;"",IF(LOWER('Capacity summary'!AL162)="x",$BI43*AL43,VALUE('Capacity summary'!AL162)),0),AL43*$BI43),AL43*$BI43),0)</f>
        <v>0</v>
      </c>
      <c r="CP43" s="311">
        <f>IF($BI43&lt;&gt;"",IF('Capacity summary'!$D$14="Yes",IF(COUNTBLANK('Capacity summary'!$H162:$BG162)&lt;52,IF('Capacity summary'!AM162&lt;&gt;"",IF(LOWER('Capacity summary'!AM162)="x",$BI43*AM43,VALUE('Capacity summary'!AM162)),0),AM43*$BI43),AM43*$BI43),0)</f>
        <v>0</v>
      </c>
      <c r="CQ43" s="311">
        <f>IF($BI43&lt;&gt;"",IF('Capacity summary'!$D$14="Yes",IF(COUNTBLANK('Capacity summary'!$H162:$BG162)&lt;52,IF('Capacity summary'!AN162&lt;&gt;"",IF(LOWER('Capacity summary'!AN162)="x",$BI43*AN43,VALUE('Capacity summary'!AN162)),0),AN43*$BI43),AN43*$BI43),0)</f>
        <v>0</v>
      </c>
      <c r="CR43" s="311">
        <f>IF($BI43&lt;&gt;"",IF('Capacity summary'!$D$14="Yes",IF(COUNTBLANK('Capacity summary'!$H162:$BG162)&lt;52,IF('Capacity summary'!AO162&lt;&gt;"",IF(LOWER('Capacity summary'!AO162)="x",$BI43*AO43,VALUE('Capacity summary'!AO162)),0),AO43*$BI43),AO43*$BI43),0)</f>
        <v>0</v>
      </c>
      <c r="CS43" s="311">
        <f>IF($BI43&lt;&gt;"",IF('Capacity summary'!$D$14="Yes",IF(COUNTBLANK('Capacity summary'!$H162:$BG162)&lt;52,IF('Capacity summary'!AP162&lt;&gt;"",IF(LOWER('Capacity summary'!AP162)="x",$BI43*AP43,VALUE('Capacity summary'!AP162)),0),AP43*$BI43),AP43*$BI43),0)</f>
        <v>0</v>
      </c>
      <c r="CT43" s="311">
        <f>IF($BI43&lt;&gt;"",IF('Capacity summary'!$D$14="Yes",IF(COUNTBLANK('Capacity summary'!$H162:$BG162)&lt;52,IF('Capacity summary'!AQ162&lt;&gt;"",IF(LOWER('Capacity summary'!AQ162)="x",$BI43*AQ43,VALUE('Capacity summary'!AQ162)),0),AQ43*$BI43),AQ43*$BI43),0)</f>
        <v>0</v>
      </c>
      <c r="CU43" s="311">
        <f>IF($BI43&lt;&gt;"",IF('Capacity summary'!$D$14="Yes",IF(COUNTBLANK('Capacity summary'!$H162:$BG162)&lt;52,IF('Capacity summary'!AR162&lt;&gt;"",IF(LOWER('Capacity summary'!AR162)="x",$BI43*AR43,VALUE('Capacity summary'!AR162)),0),AR43*$BI43),AR43*$BI43),0)</f>
        <v>0</v>
      </c>
      <c r="CV43" s="311">
        <f>IF($BI43&lt;&gt;"",IF('Capacity summary'!$D$14="Yes",IF(COUNTBLANK('Capacity summary'!$H162:$BG162)&lt;52,IF('Capacity summary'!AS162&lt;&gt;"",IF(LOWER('Capacity summary'!AS162)="x",$BI43*AS43,VALUE('Capacity summary'!AS162)),0),AS43*$BI43),AS43*$BI43),0)</f>
        <v>0</v>
      </c>
      <c r="CW43" s="311">
        <f>IF($BI43&lt;&gt;"",IF('Capacity summary'!$D$14="Yes",IF(COUNTBLANK('Capacity summary'!$H162:$BG162)&lt;52,IF('Capacity summary'!AT162&lt;&gt;"",IF(LOWER('Capacity summary'!AT162)="x",$BI43*AT43,VALUE('Capacity summary'!AT162)),0),AT43*$BI43),AT43*$BI43),0)</f>
        <v>0</v>
      </c>
      <c r="CX43" s="311">
        <f>IF($BI43&lt;&gt;"",IF('Capacity summary'!$D$14="Yes",IF(COUNTBLANK('Capacity summary'!$H162:$BG162)&lt;52,IF('Capacity summary'!AU162&lt;&gt;"",IF(LOWER('Capacity summary'!AU162)="x",$BI43*AU43,VALUE('Capacity summary'!AU162)),0),AU43*$BI43),AU43*$BI43),0)</f>
        <v>0</v>
      </c>
      <c r="CY43" s="311">
        <f>IF($BI43&lt;&gt;"",IF('Capacity summary'!$D$14="Yes",IF(COUNTBLANK('Capacity summary'!$H162:$BG162)&lt;52,IF('Capacity summary'!AV162&lt;&gt;"",IF(LOWER('Capacity summary'!AV162)="x",$BI43*AV43,VALUE('Capacity summary'!AV162)),0),AV43*$BI43),AV43*$BI43),0)</f>
        <v>0</v>
      </c>
      <c r="CZ43" s="311">
        <f>IF($BI43&lt;&gt;"",IF('Capacity summary'!$D$14="Yes",IF(COUNTBLANK('Capacity summary'!$H162:$BG162)&lt;52,IF('Capacity summary'!AW162&lt;&gt;"",IF(LOWER('Capacity summary'!AW162)="x",$BI43*AW43,VALUE('Capacity summary'!AW162)),0),AW43*$BI43),AW43*$BI43),0)</f>
        <v>0</v>
      </c>
      <c r="DA43" s="311">
        <f>IF($BI43&lt;&gt;"",IF('Capacity summary'!$D$14="Yes",IF(COUNTBLANK('Capacity summary'!$H162:$BG162)&lt;52,IF('Capacity summary'!AX162&lt;&gt;"",IF(LOWER('Capacity summary'!AX162)="x",$BI43*AX43,VALUE('Capacity summary'!AX162)),0),AX43*$BI43),AX43*$BI43),0)</f>
        <v>0</v>
      </c>
      <c r="DB43" s="311">
        <f>IF($BI43&lt;&gt;"",IF('Capacity summary'!$D$14="Yes",IF(COUNTBLANK('Capacity summary'!$H162:$BG162)&lt;52,IF('Capacity summary'!AY162&lt;&gt;"",IF(LOWER('Capacity summary'!AY162)="x",$BI43*AY43,VALUE('Capacity summary'!AY162)),0),AY43*$BI43),AY43*$BI43),0)</f>
        <v>0</v>
      </c>
      <c r="DC43" s="311">
        <f>IF($BI43&lt;&gt;"",IF('Capacity summary'!$D$14="Yes",IF(COUNTBLANK('Capacity summary'!$H162:$BG162)&lt;52,IF('Capacity summary'!AZ162&lt;&gt;"",IF(LOWER('Capacity summary'!AZ162)="x",$BI43*AZ43,VALUE('Capacity summary'!AZ162)),0),AZ43*$BI43),AZ43*$BI43),0)</f>
        <v>0</v>
      </c>
      <c r="DD43" s="311">
        <f>IF($BI43&lt;&gt;"",IF('Capacity summary'!$D$14="Yes",IF(COUNTBLANK('Capacity summary'!$H162:$BG162)&lt;52,IF('Capacity summary'!BA162&lt;&gt;"",IF(LOWER('Capacity summary'!BA162)="x",$BI43*BA43,VALUE('Capacity summary'!BA162)),0),BA43*$BI43),BA43*$BI43),0)</f>
        <v>0</v>
      </c>
      <c r="DE43" s="311">
        <f>IF($BI43&lt;&gt;"",IF('Capacity summary'!$D$14="Yes",IF(COUNTBLANK('Capacity summary'!$H162:$BG162)&lt;52,IF('Capacity summary'!BB162&lt;&gt;"",IF(LOWER('Capacity summary'!BB162)="x",$BI43*BB43,VALUE('Capacity summary'!BB162)),0),BB43*$BI43),BB43*$BI43),0)</f>
        <v>0</v>
      </c>
      <c r="DF43" s="311">
        <f>IF($BI43&lt;&gt;"",IF('Capacity summary'!$D$14="Yes",IF(COUNTBLANK('Capacity summary'!$H162:$BG162)&lt;52,IF('Capacity summary'!BC162&lt;&gt;"",IF(LOWER('Capacity summary'!BC162)="x",$BI43*BC43,VALUE('Capacity summary'!BC162)),0),BC43*$BI43),BC43*$BI43),0)</f>
        <v>0</v>
      </c>
      <c r="DG43" s="311">
        <f>IF($BI43&lt;&gt;"",IF('Capacity summary'!$D$14="Yes",IF(COUNTBLANK('Capacity summary'!$H162:$BG162)&lt;52,IF('Capacity summary'!BD162&lt;&gt;"",IF(LOWER('Capacity summary'!BD162)="x",$BI43*BD43,VALUE('Capacity summary'!BD162)),0),BD43*$BI43),BD43*$BI43),0)</f>
        <v>0</v>
      </c>
      <c r="DH43" s="311">
        <f>IF($BI43&lt;&gt;"",IF('Capacity summary'!$D$14="Yes",IF(COUNTBLANK('Capacity summary'!$H162:$BG162)&lt;52,IF('Capacity summary'!BE162&lt;&gt;"",IF(LOWER('Capacity summary'!BE162)="x",$BI43*BE43,VALUE('Capacity summary'!BE162)),0),BE43*$BI43),BE43*$BI43),0)</f>
        <v>0</v>
      </c>
      <c r="DI43" s="311">
        <f>IF($BI43&lt;&gt;"",IF('Capacity summary'!$D$14="Yes",IF(COUNTBLANK('Capacity summary'!$H162:$BG162)&lt;52,IF('Capacity summary'!BF162&lt;&gt;"",IF(LOWER('Capacity summary'!BF162)="x",$BI43*BF43,VALUE('Capacity summary'!BF162)),0),BF43*$BI43),BF43*$BI43),0)</f>
        <v>0</v>
      </c>
      <c r="DJ43" s="311">
        <f>IF($BI43&lt;&gt;"",IF('Capacity summary'!$D$14="Yes",IF(COUNTBLANK('Capacity summary'!$H162:$BG162)&lt;52,IF('Capacity summary'!BG162&lt;&gt;"",IF(LOWER('Capacity summary'!BG162)="x",$BI43*BG43,VALUE('Capacity summary'!BG162)),0),BG43*$BI43),BG43*$BI43),0)</f>
        <v>0</v>
      </c>
      <c r="DK43" s="391">
        <f t="shared" si="2"/>
        <v>0</v>
      </c>
      <c r="DL43" s="136">
        <f t="shared" si="3"/>
        <v>0</v>
      </c>
      <c r="DM43" s="311" t="str">
        <f>Capacity!H55</f>
        <v/>
      </c>
      <c r="DQ43" s="5"/>
    </row>
    <row r="44" spans="1:121" x14ac:dyDescent="0.2">
      <c r="A44" s="67">
        <f>IF(Capacity!L56='Capacity summary'!BI163,1,0)</f>
        <v>1</v>
      </c>
      <c r="B44" s="67">
        <f>IF(Capacity!V56='Capacity summary'!BI63,1,0)</f>
        <v>1</v>
      </c>
      <c r="C44" s="67" t="str">
        <f>ROW(A40)&amp;". "&amp;Capacity!B56</f>
        <v xml:space="preserve">40. </v>
      </c>
      <c r="D44" s="67">
        <f>'Capacity setup'!C51</f>
        <v>0</v>
      </c>
      <c r="E44" s="67">
        <f>'Capacity setup'!D51</f>
        <v>0</v>
      </c>
      <c r="F44" s="67">
        <f>'Capacity setup'!E51</f>
        <v>0</v>
      </c>
      <c r="H44" s="67">
        <f ca="1">IF(LOWER(Capacity!$L56)="x",IF(AND(SUMIF(Capacity_Resource,$D44,'Critical resources (hide)'!U$6:U$105)+SUMIF(Capacity_Resource,$E44,'Critical resources (hide)'!U$6:U$105)+SUMIF(Capacity_Resource,$F44,'Critical resources (hide)'!U$6:U$105)&gt;0,$E$1=2),0,1),0)</f>
        <v>1</v>
      </c>
      <c r="I44" s="67">
        <f ca="1">IF(LOWER(Capacity!$L56)="x",IF(AND(SUMIF(Capacity_Resource,$D44,'Critical resources (hide)'!V$6:V$105)+SUMIF(Capacity_Resource,$E44,'Critical resources (hide)'!V$6:V$105)+SUMIF(Capacity_Resource,$F44,'Critical resources (hide)'!V$6:V$105)&gt;0,$E$1=2),0,1),0)</f>
        <v>1</v>
      </c>
      <c r="J44" s="67">
        <f ca="1">IF(LOWER(Capacity!$L56)="x",IF(AND(SUMIF(Capacity_Resource,$D44,'Critical resources (hide)'!W$6:W$105)+SUMIF(Capacity_Resource,$E44,'Critical resources (hide)'!W$6:W$105)+SUMIF(Capacity_Resource,$F44,'Critical resources (hide)'!W$6:W$105)&gt;0,$E$1=2),0,1),0)</f>
        <v>1</v>
      </c>
      <c r="K44" s="67">
        <f ca="1">IF(LOWER(Capacity!$L56)="x",IF(AND(SUMIF(Capacity_Resource,$D44,'Critical resources (hide)'!X$6:X$105)+SUMIF(Capacity_Resource,$E44,'Critical resources (hide)'!X$6:X$105)+SUMIF(Capacity_Resource,$F44,'Critical resources (hide)'!X$6:X$105)&gt;0,$E$1=2),0,1),0)</f>
        <v>1</v>
      </c>
      <c r="L44" s="67">
        <f ca="1">IF(LOWER(Capacity!$L56)="x",IF(AND(SUMIF(Capacity_Resource,$D44,'Critical resources (hide)'!Y$6:Y$105)+SUMIF(Capacity_Resource,$E44,'Critical resources (hide)'!Y$6:Y$105)+SUMIF(Capacity_Resource,$F44,'Critical resources (hide)'!Y$6:Y$105)&gt;0,$E$1=2),0,1),0)</f>
        <v>1</v>
      </c>
      <c r="M44" s="67">
        <f ca="1">IF(LOWER(Capacity!$L56)="x",IF(AND(SUMIF(Capacity_Resource,$D44,'Critical resources (hide)'!Z$6:Z$105)+SUMIF(Capacity_Resource,$E44,'Critical resources (hide)'!Z$6:Z$105)+SUMIF(Capacity_Resource,$F44,'Critical resources (hide)'!Z$6:Z$105)&gt;0,$E$1=2),0,1),0)</f>
        <v>1</v>
      </c>
      <c r="N44" s="67">
        <f ca="1">IF(LOWER(Capacity!$L56)="x",IF(AND(SUMIF(Capacity_Resource,$D44,'Critical resources (hide)'!AA$6:AA$105)+SUMIF(Capacity_Resource,$E44,'Critical resources (hide)'!AA$6:AA$105)+SUMIF(Capacity_Resource,$F44,'Critical resources (hide)'!AA$6:AA$105)&gt;0,$E$1=2),0,1),0)</f>
        <v>1</v>
      </c>
      <c r="O44" s="67">
        <f ca="1">IF(LOWER(Capacity!$L56)="x",IF(AND(SUMIF(Capacity_Resource,$D44,'Critical resources (hide)'!AB$6:AB$105)+SUMIF(Capacity_Resource,$E44,'Critical resources (hide)'!AB$6:AB$105)+SUMIF(Capacity_Resource,$F44,'Critical resources (hide)'!AB$6:AB$105)&gt;0,$E$1=2),0,1),0)</f>
        <v>1</v>
      </c>
      <c r="P44" s="67">
        <f ca="1">IF(LOWER(Capacity!$L56)="x",IF(AND(SUMIF(Capacity_Resource,$D44,'Critical resources (hide)'!AC$6:AC$105)+SUMIF(Capacity_Resource,$E44,'Critical resources (hide)'!AC$6:AC$105)+SUMIF(Capacity_Resource,$F44,'Critical resources (hide)'!AC$6:AC$105)&gt;0,$E$1=2),0,1),0)</f>
        <v>1</v>
      </c>
      <c r="Q44" s="67">
        <f ca="1">IF(LOWER(Capacity!$L56)="x",IF(AND(SUMIF(Capacity_Resource,$D44,'Critical resources (hide)'!AD$6:AD$105)+SUMIF(Capacity_Resource,$E44,'Critical resources (hide)'!AD$6:AD$105)+SUMIF(Capacity_Resource,$F44,'Critical resources (hide)'!AD$6:AD$105)&gt;0,$E$1=2),0,1),0)</f>
        <v>1</v>
      </c>
      <c r="R44" s="67">
        <f ca="1">IF(LOWER(Capacity!$L56)="x",IF(AND(SUMIF(Capacity_Resource,$D44,'Critical resources (hide)'!AE$6:AE$105)+SUMIF(Capacity_Resource,$E44,'Critical resources (hide)'!AE$6:AE$105)+SUMIF(Capacity_Resource,$F44,'Critical resources (hide)'!AE$6:AE$105)&gt;0,$E$1=2),0,1),0)</f>
        <v>1</v>
      </c>
      <c r="S44" s="67">
        <f ca="1">IF(LOWER(Capacity!$L56)="x",IF(AND(SUMIF(Capacity_Resource,$D44,'Critical resources (hide)'!AF$6:AF$105)+SUMIF(Capacity_Resource,$E44,'Critical resources (hide)'!AF$6:AF$105)+SUMIF(Capacity_Resource,$F44,'Critical resources (hide)'!AF$6:AF$105)&gt;0,$E$1=2),0,1),0)</f>
        <v>1</v>
      </c>
      <c r="T44" s="67">
        <f ca="1">IF(LOWER(Capacity!$L56)="x",IF(AND(SUMIF(Capacity_Resource,$D44,'Critical resources (hide)'!AG$6:AG$105)+SUMIF(Capacity_Resource,$E44,'Critical resources (hide)'!AG$6:AG$105)+SUMIF(Capacity_Resource,$F44,'Critical resources (hide)'!AG$6:AG$105)&gt;0,$E$1=2),0,1),0)</f>
        <v>1</v>
      </c>
      <c r="U44" s="67">
        <f ca="1">IF(LOWER(Capacity!$L56)="x",IF(AND(SUMIF(Capacity_Resource,$D44,'Critical resources (hide)'!AH$6:AH$105)+SUMIF(Capacity_Resource,$E44,'Critical resources (hide)'!AH$6:AH$105)+SUMIF(Capacity_Resource,$F44,'Critical resources (hide)'!AH$6:AH$105)&gt;0,$E$1=2),0,1),0)</f>
        <v>1</v>
      </c>
      <c r="V44" s="67">
        <f ca="1">IF(LOWER(Capacity!$L56)="x",IF(AND(SUMIF(Capacity_Resource,$D44,'Critical resources (hide)'!AI$6:AI$105)+SUMIF(Capacity_Resource,$E44,'Critical resources (hide)'!AI$6:AI$105)+SUMIF(Capacity_Resource,$F44,'Critical resources (hide)'!AI$6:AI$105)&gt;0,$E$1=2),0,1),0)</f>
        <v>1</v>
      </c>
      <c r="W44" s="67">
        <f ca="1">IF(LOWER(Capacity!$L56)="x",IF(AND(SUMIF(Capacity_Resource,$D44,'Critical resources (hide)'!AJ$6:AJ$105)+SUMIF(Capacity_Resource,$E44,'Critical resources (hide)'!AJ$6:AJ$105)+SUMIF(Capacity_Resource,$F44,'Critical resources (hide)'!AJ$6:AJ$105)&gt;0,$E$1=2),0,1),0)</f>
        <v>1</v>
      </c>
      <c r="X44" s="67">
        <f ca="1">IF(LOWER(Capacity!$L56)="x",IF(AND(SUMIF(Capacity_Resource,$D44,'Critical resources (hide)'!AK$6:AK$105)+SUMIF(Capacity_Resource,$E44,'Critical resources (hide)'!AK$6:AK$105)+SUMIF(Capacity_Resource,$F44,'Critical resources (hide)'!AK$6:AK$105)&gt;0,$E$1=2),0,1),0)</f>
        <v>1</v>
      </c>
      <c r="Y44" s="67">
        <f ca="1">IF(LOWER(Capacity!$L56)="x",IF(AND(SUMIF(Capacity_Resource,$D44,'Critical resources (hide)'!AL$6:AL$105)+SUMIF(Capacity_Resource,$E44,'Critical resources (hide)'!AL$6:AL$105)+SUMIF(Capacity_Resource,$F44,'Critical resources (hide)'!AL$6:AL$105)&gt;0,$E$1=2),0,1),0)</f>
        <v>1</v>
      </c>
      <c r="Z44" s="67">
        <f ca="1">IF(LOWER(Capacity!$L56)="x",IF(AND(SUMIF(Capacity_Resource,$D44,'Critical resources (hide)'!AM$6:AM$105)+SUMIF(Capacity_Resource,$E44,'Critical resources (hide)'!AM$6:AM$105)+SUMIF(Capacity_Resource,$F44,'Critical resources (hide)'!AM$6:AM$105)&gt;0,$E$1=2),0,1),0)</f>
        <v>1</v>
      </c>
      <c r="AA44" s="67">
        <f ca="1">IF(LOWER(Capacity!$L56)="x",IF(AND(SUMIF(Capacity_Resource,$D44,'Critical resources (hide)'!AN$6:AN$105)+SUMIF(Capacity_Resource,$E44,'Critical resources (hide)'!AN$6:AN$105)+SUMIF(Capacity_Resource,$F44,'Critical resources (hide)'!AN$6:AN$105)&gt;0,$E$1=2),0,1),0)</f>
        <v>1</v>
      </c>
      <c r="AB44" s="67">
        <f ca="1">IF(LOWER(Capacity!$L56)="x",IF(AND(SUMIF(Capacity_Resource,$D44,'Critical resources (hide)'!AO$6:AO$105)+SUMIF(Capacity_Resource,$E44,'Critical resources (hide)'!AO$6:AO$105)+SUMIF(Capacity_Resource,$F44,'Critical resources (hide)'!AO$6:AO$105)&gt;0,$E$1=2),0,1),0)</f>
        <v>1</v>
      </c>
      <c r="AC44" s="67">
        <f ca="1">IF(LOWER(Capacity!$L56)="x",IF(AND(SUMIF(Capacity_Resource,$D44,'Critical resources (hide)'!AP$6:AP$105)+SUMIF(Capacity_Resource,$E44,'Critical resources (hide)'!AP$6:AP$105)+SUMIF(Capacity_Resource,$F44,'Critical resources (hide)'!AP$6:AP$105)&gt;0,$E$1=2),0,1),0)</f>
        <v>1</v>
      </c>
      <c r="AD44" s="67">
        <f ca="1">IF(LOWER(Capacity!$L56)="x",IF(AND(SUMIF(Capacity_Resource,$D44,'Critical resources (hide)'!AQ$6:AQ$105)+SUMIF(Capacity_Resource,$E44,'Critical resources (hide)'!AQ$6:AQ$105)+SUMIF(Capacity_Resource,$F44,'Critical resources (hide)'!AQ$6:AQ$105)&gt;0,$E$1=2),0,1),0)</f>
        <v>1</v>
      </c>
      <c r="AE44" s="67">
        <f ca="1">IF(LOWER(Capacity!$L56)="x",IF(AND(SUMIF(Capacity_Resource,$D44,'Critical resources (hide)'!AR$6:AR$105)+SUMIF(Capacity_Resource,$E44,'Critical resources (hide)'!AR$6:AR$105)+SUMIF(Capacity_Resource,$F44,'Critical resources (hide)'!AR$6:AR$105)&gt;0,$E$1=2),0,1),0)</f>
        <v>1</v>
      </c>
      <c r="AF44" s="67">
        <f ca="1">IF(LOWER(Capacity!$L56)="x",IF(AND(SUMIF(Capacity_Resource,$D44,'Critical resources (hide)'!AS$6:AS$105)+SUMIF(Capacity_Resource,$E44,'Critical resources (hide)'!AS$6:AS$105)+SUMIF(Capacity_Resource,$F44,'Critical resources (hide)'!AS$6:AS$105)&gt;0,$E$1=2),0,1),0)</f>
        <v>1</v>
      </c>
      <c r="AG44" s="67">
        <f ca="1">IF(LOWER(Capacity!$L56)="x",IF(AND(SUMIF(Capacity_Resource,$D44,'Critical resources (hide)'!AT$6:AT$105)+SUMIF(Capacity_Resource,$E44,'Critical resources (hide)'!AT$6:AT$105)+SUMIF(Capacity_Resource,$F44,'Critical resources (hide)'!AT$6:AT$105)&gt;0,$E$1=2),0,1),0)</f>
        <v>1</v>
      </c>
      <c r="AH44" s="67">
        <f ca="1">IF(LOWER(Capacity!$L56)="x",IF(AND(SUMIF(Capacity_Resource,$D44,'Critical resources (hide)'!AU$6:AU$105)+SUMIF(Capacity_Resource,$E44,'Critical resources (hide)'!AU$6:AU$105)+SUMIF(Capacity_Resource,$F44,'Critical resources (hide)'!AU$6:AU$105)&gt;0,$E$1=2),0,1),0)</f>
        <v>1</v>
      </c>
      <c r="AI44" s="67">
        <f ca="1">IF(LOWER(Capacity!$L56)="x",IF(AND(SUMIF(Capacity_Resource,$D44,'Critical resources (hide)'!AV$6:AV$105)+SUMIF(Capacity_Resource,$E44,'Critical resources (hide)'!AV$6:AV$105)+SUMIF(Capacity_Resource,$F44,'Critical resources (hide)'!AV$6:AV$105)&gt;0,$E$1=2),0,1),0)</f>
        <v>1</v>
      </c>
      <c r="AJ44" s="67">
        <f ca="1">IF(LOWER(Capacity!$L56)="x",IF(AND(SUMIF(Capacity_Resource,$D44,'Critical resources (hide)'!AW$6:AW$105)+SUMIF(Capacity_Resource,$E44,'Critical resources (hide)'!AW$6:AW$105)+SUMIF(Capacity_Resource,$F44,'Critical resources (hide)'!AW$6:AW$105)&gt;0,$E$1=2),0,1),0)</f>
        <v>1</v>
      </c>
      <c r="AK44" s="67">
        <f ca="1">IF(LOWER(Capacity!$L56)="x",IF(AND(SUMIF(Capacity_Resource,$D44,'Critical resources (hide)'!AX$6:AX$105)+SUMIF(Capacity_Resource,$E44,'Critical resources (hide)'!AX$6:AX$105)+SUMIF(Capacity_Resource,$F44,'Critical resources (hide)'!AX$6:AX$105)&gt;0,$E$1=2),0,1),0)</f>
        <v>1</v>
      </c>
      <c r="AL44" s="67">
        <f ca="1">IF(LOWER(Capacity!$L56)="x",IF(AND(SUMIF(Capacity_Resource,$D44,'Critical resources (hide)'!AY$6:AY$105)+SUMIF(Capacity_Resource,$E44,'Critical resources (hide)'!AY$6:AY$105)+SUMIF(Capacity_Resource,$F44,'Critical resources (hide)'!AY$6:AY$105)&gt;0,$E$1=2),0,1),0)</f>
        <v>1</v>
      </c>
      <c r="AM44" s="67">
        <f ca="1">IF(LOWER(Capacity!$L56)="x",IF(AND(SUMIF(Capacity_Resource,$D44,'Critical resources (hide)'!AZ$6:AZ$105)+SUMIF(Capacity_Resource,$E44,'Critical resources (hide)'!AZ$6:AZ$105)+SUMIF(Capacity_Resource,$F44,'Critical resources (hide)'!AZ$6:AZ$105)&gt;0,$E$1=2),0,1),0)</f>
        <v>1</v>
      </c>
      <c r="AN44" s="67">
        <f ca="1">IF(LOWER(Capacity!$L56)="x",IF(AND(SUMIF(Capacity_Resource,$D44,'Critical resources (hide)'!BA$6:BA$105)+SUMIF(Capacity_Resource,$E44,'Critical resources (hide)'!BA$6:BA$105)+SUMIF(Capacity_Resource,$F44,'Critical resources (hide)'!BA$6:BA$105)&gt;0,$E$1=2),0,1),0)</f>
        <v>1</v>
      </c>
      <c r="AO44" s="67">
        <f ca="1">IF(LOWER(Capacity!$L56)="x",IF(AND(SUMIF(Capacity_Resource,$D44,'Critical resources (hide)'!BB$6:BB$105)+SUMIF(Capacity_Resource,$E44,'Critical resources (hide)'!BB$6:BB$105)+SUMIF(Capacity_Resource,$F44,'Critical resources (hide)'!BB$6:BB$105)&gt;0,$E$1=2),0,1),0)</f>
        <v>1</v>
      </c>
      <c r="AP44" s="67">
        <f ca="1">IF(LOWER(Capacity!$L56)="x",IF(AND(SUMIF(Capacity_Resource,$D44,'Critical resources (hide)'!BC$6:BC$105)+SUMIF(Capacity_Resource,$E44,'Critical resources (hide)'!BC$6:BC$105)+SUMIF(Capacity_Resource,$F44,'Critical resources (hide)'!BC$6:BC$105)&gt;0,$E$1=2),0,1),0)</f>
        <v>1</v>
      </c>
      <c r="AQ44" s="67">
        <f ca="1">IF(LOWER(Capacity!$L56)="x",IF(AND(SUMIF(Capacity_Resource,$D44,'Critical resources (hide)'!BD$6:BD$105)+SUMIF(Capacity_Resource,$E44,'Critical resources (hide)'!BD$6:BD$105)+SUMIF(Capacity_Resource,$F44,'Critical resources (hide)'!BD$6:BD$105)&gt;0,$E$1=2),0,1),0)</f>
        <v>1</v>
      </c>
      <c r="AR44" s="67">
        <f ca="1">IF(LOWER(Capacity!$L56)="x",IF(AND(SUMIF(Capacity_Resource,$D44,'Critical resources (hide)'!BE$6:BE$105)+SUMIF(Capacity_Resource,$E44,'Critical resources (hide)'!BE$6:BE$105)+SUMIF(Capacity_Resource,$F44,'Critical resources (hide)'!BE$6:BE$105)&gt;0,$E$1=2),0,1),0)</f>
        <v>1</v>
      </c>
      <c r="AS44" s="67">
        <f ca="1">IF(LOWER(Capacity!$L56)="x",IF(AND(SUMIF(Capacity_Resource,$D44,'Critical resources (hide)'!BF$6:BF$105)+SUMIF(Capacity_Resource,$E44,'Critical resources (hide)'!BF$6:BF$105)+SUMIF(Capacity_Resource,$F44,'Critical resources (hide)'!BF$6:BF$105)&gt;0,$E$1=2),0,1),0)</f>
        <v>1</v>
      </c>
      <c r="AT44" s="67">
        <f ca="1">IF(LOWER(Capacity!$L56)="x",IF(AND(SUMIF(Capacity_Resource,$D44,'Critical resources (hide)'!BG$6:BG$105)+SUMIF(Capacity_Resource,$E44,'Critical resources (hide)'!BG$6:BG$105)+SUMIF(Capacity_Resource,$F44,'Critical resources (hide)'!BG$6:BG$105)&gt;0,$E$1=2),0,1),0)</f>
        <v>1</v>
      </c>
      <c r="AU44" s="67">
        <f ca="1">IF(LOWER(Capacity!$L56)="x",IF(AND(SUMIF(Capacity_Resource,$D44,'Critical resources (hide)'!BH$6:BH$105)+SUMIF(Capacity_Resource,$E44,'Critical resources (hide)'!BH$6:BH$105)+SUMIF(Capacity_Resource,$F44,'Critical resources (hide)'!BH$6:BH$105)&gt;0,$E$1=2),0,1),0)</f>
        <v>1</v>
      </c>
      <c r="AV44" s="67">
        <f ca="1">IF(LOWER(Capacity!$L56)="x",IF(AND(SUMIF(Capacity_Resource,$D44,'Critical resources (hide)'!BI$6:BI$105)+SUMIF(Capacity_Resource,$E44,'Critical resources (hide)'!BI$6:BI$105)+SUMIF(Capacity_Resource,$F44,'Critical resources (hide)'!BI$6:BI$105)&gt;0,$E$1=2),0,1),0)</f>
        <v>1</v>
      </c>
      <c r="AW44" s="67">
        <f ca="1">IF(LOWER(Capacity!$L56)="x",IF(AND(SUMIF(Capacity_Resource,$D44,'Critical resources (hide)'!BJ$6:BJ$105)+SUMIF(Capacity_Resource,$E44,'Critical resources (hide)'!BJ$6:BJ$105)+SUMIF(Capacity_Resource,$F44,'Critical resources (hide)'!BJ$6:BJ$105)&gt;0,$E$1=2),0,1),0)</f>
        <v>1</v>
      </c>
      <c r="AX44" s="67">
        <f ca="1">IF(LOWER(Capacity!$L56)="x",IF(AND(SUMIF(Capacity_Resource,$D44,'Critical resources (hide)'!BK$6:BK$105)+SUMIF(Capacity_Resource,$E44,'Critical resources (hide)'!BK$6:BK$105)+SUMIF(Capacity_Resource,$F44,'Critical resources (hide)'!BK$6:BK$105)&gt;0,$E$1=2),0,1),0)</f>
        <v>1</v>
      </c>
      <c r="AY44" s="67">
        <f ca="1">IF(LOWER(Capacity!$L56)="x",IF(AND(SUMIF(Capacity_Resource,$D44,'Critical resources (hide)'!BL$6:BL$105)+SUMIF(Capacity_Resource,$E44,'Critical resources (hide)'!BL$6:BL$105)+SUMIF(Capacity_Resource,$F44,'Critical resources (hide)'!BL$6:BL$105)&gt;0,$E$1=2),0,1),0)</f>
        <v>1</v>
      </c>
      <c r="AZ44" s="67">
        <f ca="1">IF(LOWER(Capacity!$L56)="x",IF(AND(SUMIF(Capacity_Resource,$D44,'Critical resources (hide)'!BM$6:BM$105)+SUMIF(Capacity_Resource,$E44,'Critical resources (hide)'!BM$6:BM$105)+SUMIF(Capacity_Resource,$F44,'Critical resources (hide)'!BM$6:BM$105)&gt;0,$E$1=2),0,1),0)</f>
        <v>1</v>
      </c>
      <c r="BA44" s="67">
        <f ca="1">IF(LOWER(Capacity!$L56)="x",IF(AND(SUMIF(Capacity_Resource,$D44,'Critical resources (hide)'!BN$6:BN$105)+SUMIF(Capacity_Resource,$E44,'Critical resources (hide)'!BN$6:BN$105)+SUMIF(Capacity_Resource,$F44,'Critical resources (hide)'!BN$6:BN$105)&gt;0,$E$1=2),0,1),0)</f>
        <v>1</v>
      </c>
      <c r="BB44" s="67">
        <f ca="1">IF(LOWER(Capacity!$L56)="x",IF(AND(SUMIF(Capacity_Resource,$D44,'Critical resources (hide)'!BO$6:BO$105)+SUMIF(Capacity_Resource,$E44,'Critical resources (hide)'!BO$6:BO$105)+SUMIF(Capacity_Resource,$F44,'Critical resources (hide)'!BO$6:BO$105)&gt;0,$E$1=2),0,1),0)</f>
        <v>1</v>
      </c>
      <c r="BC44" s="67">
        <f ca="1">IF(LOWER(Capacity!$L56)="x",IF(AND(SUMIF(Capacity_Resource,$D44,'Critical resources (hide)'!BP$6:BP$105)+SUMIF(Capacity_Resource,$E44,'Critical resources (hide)'!BP$6:BP$105)+SUMIF(Capacity_Resource,$F44,'Critical resources (hide)'!BP$6:BP$105)&gt;0,$E$1=2),0,1),0)</f>
        <v>1</v>
      </c>
      <c r="BD44" s="67">
        <f ca="1">IF(LOWER(Capacity!$L56)="x",IF(AND(SUMIF(Capacity_Resource,$D44,'Critical resources (hide)'!BQ$6:BQ$105)+SUMIF(Capacity_Resource,$E44,'Critical resources (hide)'!BQ$6:BQ$105)+SUMIF(Capacity_Resource,$F44,'Critical resources (hide)'!BQ$6:BQ$105)&gt;0,$E$1=2),0,1),0)</f>
        <v>1</v>
      </c>
      <c r="BE44" s="67">
        <f ca="1">IF(LOWER(Capacity!$L56)="x",IF(AND(SUMIF(Capacity_Resource,$D44,'Critical resources (hide)'!BR$6:BR$105)+SUMIF(Capacity_Resource,$E44,'Critical resources (hide)'!BR$6:BR$105)+SUMIF(Capacity_Resource,$F44,'Critical resources (hide)'!BR$6:BR$105)&gt;0,$E$1=2),0,1),0)</f>
        <v>1</v>
      </c>
      <c r="BF44" s="67">
        <f ca="1">IF(LOWER(Capacity!$L56)="x",IF(AND(SUMIF(Capacity_Resource,$D44,'Critical resources (hide)'!BS$6:BS$105)+SUMIF(Capacity_Resource,$E44,'Critical resources (hide)'!BS$6:BS$105)+SUMIF(Capacity_Resource,$F44,'Critical resources (hide)'!BS$6:BS$105)&gt;0,$E$1=2),0,1),0)</f>
        <v>1</v>
      </c>
      <c r="BG44" s="67">
        <f ca="1">IF(LOWER(Capacity!$L56)="x",IF(AND(SUMIF(Capacity_Resource,$D44,'Critical resources (hide)'!BT$6:BT$105)+SUMIF(Capacity_Resource,$E44,'Critical resources (hide)'!BT$6:BT$105)+SUMIF(Capacity_Resource,$F44,'Critical resources (hide)'!BT$6:BT$105)&gt;0,$E$1=2),0,1),0)</f>
        <v>1</v>
      </c>
      <c r="BH44" s="67">
        <f>IF(ROW(C40)&lt;=Capacity!$A$16,IF('Capacity summary'!$D$14="No",SUM(H44:BG44),'Capacity summary'!$E163),0)</f>
        <v>0</v>
      </c>
      <c r="BI44" s="5" t="str">
        <f>IF(BH44&gt;0,IF(BH44&lt;Capacity!E56,Capacity!F56,Capacity!H56/'Capacity calculation (hide)'!BH44),"")</f>
        <v/>
      </c>
      <c r="BK44" s="311">
        <f>IF($BI44&lt;&gt;"",IF('Capacity summary'!$D$14="Yes",IF(COUNTBLANK('Capacity summary'!$H163:$BG163)&lt;52,IF('Capacity summary'!H163&lt;&gt;"",IF(LOWER('Capacity summary'!H163)="x",$BI44*H44,VALUE('Capacity summary'!H163)),0),H44*$BI44),H44*$BI44),0)</f>
        <v>0</v>
      </c>
      <c r="BL44" s="311">
        <f>IF($BI44&lt;&gt;"",IF('Capacity summary'!$D$14="Yes",IF(COUNTBLANK('Capacity summary'!$H163:$BG163)&lt;52,IF('Capacity summary'!I163&lt;&gt;"",IF(LOWER('Capacity summary'!I163)="x",$BI44*I44,VALUE('Capacity summary'!I163)),0),I44*$BI44),I44*$BI44),0)</f>
        <v>0</v>
      </c>
      <c r="BM44" s="311">
        <f>IF($BI44&lt;&gt;"",IF('Capacity summary'!$D$14="Yes",IF(COUNTBLANK('Capacity summary'!$H163:$BG163)&lt;52,IF('Capacity summary'!J163&lt;&gt;"",IF(LOWER('Capacity summary'!J163)="x",$BI44*J44,VALUE('Capacity summary'!J163)),0),J44*$BI44),J44*$BI44),0)</f>
        <v>0</v>
      </c>
      <c r="BN44" s="311">
        <f>IF($BI44&lt;&gt;"",IF('Capacity summary'!$D$14="Yes",IF(COUNTBLANK('Capacity summary'!$H163:$BG163)&lt;52,IF('Capacity summary'!K163&lt;&gt;"",IF(LOWER('Capacity summary'!K163)="x",$BI44*K44,VALUE('Capacity summary'!K163)),0),K44*$BI44),K44*$BI44),0)</f>
        <v>0</v>
      </c>
      <c r="BO44" s="311">
        <f>IF($BI44&lt;&gt;"",IF('Capacity summary'!$D$14="Yes",IF(COUNTBLANK('Capacity summary'!$H163:$BG163)&lt;52,IF('Capacity summary'!L163&lt;&gt;"",IF(LOWER('Capacity summary'!L163)="x",$BI44*L44,VALUE('Capacity summary'!L163)),0),L44*$BI44),L44*$BI44),0)</f>
        <v>0</v>
      </c>
      <c r="BP44" s="311">
        <f>IF($BI44&lt;&gt;"",IF('Capacity summary'!$D$14="Yes",IF(COUNTBLANK('Capacity summary'!$H163:$BG163)&lt;52,IF('Capacity summary'!M163&lt;&gt;"",IF(LOWER('Capacity summary'!M163)="x",$BI44*M44,VALUE('Capacity summary'!M163)),0),M44*$BI44),M44*$BI44),0)</f>
        <v>0</v>
      </c>
      <c r="BQ44" s="311">
        <f>IF($BI44&lt;&gt;"",IF('Capacity summary'!$D$14="Yes",IF(COUNTBLANK('Capacity summary'!$H163:$BG163)&lt;52,IF('Capacity summary'!N163&lt;&gt;"",IF(LOWER('Capacity summary'!N163)="x",$BI44*N44,VALUE('Capacity summary'!N163)),0),N44*$BI44),N44*$BI44),0)</f>
        <v>0</v>
      </c>
      <c r="BR44" s="311">
        <f>IF($BI44&lt;&gt;"",IF('Capacity summary'!$D$14="Yes",IF(COUNTBLANK('Capacity summary'!$H163:$BG163)&lt;52,IF('Capacity summary'!O163&lt;&gt;"",IF(LOWER('Capacity summary'!O163)="x",$BI44*O44,VALUE('Capacity summary'!O163)),0),O44*$BI44),O44*$BI44),0)</f>
        <v>0</v>
      </c>
      <c r="BS44" s="311">
        <f>IF($BI44&lt;&gt;"",IF('Capacity summary'!$D$14="Yes",IF(COUNTBLANK('Capacity summary'!$H163:$BG163)&lt;52,IF('Capacity summary'!P163&lt;&gt;"",IF(LOWER('Capacity summary'!P163)="x",$BI44*P44,VALUE('Capacity summary'!P163)),0),P44*$BI44),P44*$BI44),0)</f>
        <v>0</v>
      </c>
      <c r="BT44" s="311">
        <f>IF($BI44&lt;&gt;"",IF('Capacity summary'!$D$14="Yes",IF(COUNTBLANK('Capacity summary'!$H163:$BG163)&lt;52,IF('Capacity summary'!Q163&lt;&gt;"",IF(LOWER('Capacity summary'!Q163)="x",$BI44*Q44,VALUE('Capacity summary'!Q163)),0),Q44*$BI44),Q44*$BI44),0)</f>
        <v>0</v>
      </c>
      <c r="BU44" s="311">
        <f>IF($BI44&lt;&gt;"",IF('Capacity summary'!$D$14="Yes",IF(COUNTBLANK('Capacity summary'!$H163:$BG163)&lt;52,IF('Capacity summary'!R163&lt;&gt;"",IF(LOWER('Capacity summary'!R163)="x",$BI44*R44,VALUE('Capacity summary'!R163)),0),R44*$BI44),R44*$BI44),0)</f>
        <v>0</v>
      </c>
      <c r="BV44" s="311">
        <f>IF($BI44&lt;&gt;"",IF('Capacity summary'!$D$14="Yes",IF(COUNTBLANK('Capacity summary'!$H163:$BG163)&lt;52,IF('Capacity summary'!S163&lt;&gt;"",IF(LOWER('Capacity summary'!S163)="x",$BI44*S44,VALUE('Capacity summary'!S163)),0),S44*$BI44),S44*$BI44),0)</f>
        <v>0</v>
      </c>
      <c r="BW44" s="311">
        <f>IF($BI44&lt;&gt;"",IF('Capacity summary'!$D$14="Yes",IF(COUNTBLANK('Capacity summary'!$H163:$BG163)&lt;52,IF('Capacity summary'!T163&lt;&gt;"",IF(LOWER('Capacity summary'!T163)="x",$BI44*T44,VALUE('Capacity summary'!T163)),0),T44*$BI44),T44*$BI44),0)</f>
        <v>0</v>
      </c>
      <c r="BX44" s="311">
        <f>IF($BI44&lt;&gt;"",IF('Capacity summary'!$D$14="Yes",IF(COUNTBLANK('Capacity summary'!$H163:$BG163)&lt;52,IF('Capacity summary'!U163&lt;&gt;"",IF(LOWER('Capacity summary'!U163)="x",$BI44*U44,VALUE('Capacity summary'!U163)),0),U44*$BI44),U44*$BI44),0)</f>
        <v>0</v>
      </c>
      <c r="BY44" s="311">
        <f>IF($BI44&lt;&gt;"",IF('Capacity summary'!$D$14="Yes",IF(COUNTBLANK('Capacity summary'!$H163:$BG163)&lt;52,IF('Capacity summary'!V163&lt;&gt;"",IF(LOWER('Capacity summary'!V163)="x",$BI44*V44,VALUE('Capacity summary'!V163)),0),V44*$BI44),V44*$BI44),0)</f>
        <v>0</v>
      </c>
      <c r="BZ44" s="311">
        <f>IF($BI44&lt;&gt;"",IF('Capacity summary'!$D$14="Yes",IF(COUNTBLANK('Capacity summary'!$H163:$BG163)&lt;52,IF('Capacity summary'!W163&lt;&gt;"",IF(LOWER('Capacity summary'!W163)="x",$BI44*W44,VALUE('Capacity summary'!W163)),0),W44*$BI44),W44*$BI44),0)</f>
        <v>0</v>
      </c>
      <c r="CA44" s="311">
        <f>IF($BI44&lt;&gt;"",IF('Capacity summary'!$D$14="Yes",IF(COUNTBLANK('Capacity summary'!$H163:$BG163)&lt;52,IF('Capacity summary'!X163&lt;&gt;"",IF(LOWER('Capacity summary'!X163)="x",$BI44*X44,VALUE('Capacity summary'!X163)),0),X44*$BI44),X44*$BI44),0)</f>
        <v>0</v>
      </c>
      <c r="CB44" s="311">
        <f>IF($BI44&lt;&gt;"",IF('Capacity summary'!$D$14="Yes",IF(COUNTBLANK('Capacity summary'!$H163:$BG163)&lt;52,IF('Capacity summary'!Y163&lt;&gt;"",IF(LOWER('Capacity summary'!Y163)="x",$BI44*Y44,VALUE('Capacity summary'!Y163)),0),Y44*$BI44),Y44*$BI44),0)</f>
        <v>0</v>
      </c>
      <c r="CC44" s="311">
        <f>IF($BI44&lt;&gt;"",IF('Capacity summary'!$D$14="Yes",IF(COUNTBLANK('Capacity summary'!$H163:$BG163)&lt;52,IF('Capacity summary'!Z163&lt;&gt;"",IF(LOWER('Capacity summary'!Z163)="x",$BI44*Z44,VALUE('Capacity summary'!Z163)),0),Z44*$BI44),Z44*$BI44),0)</f>
        <v>0</v>
      </c>
      <c r="CD44" s="311">
        <f>IF($BI44&lt;&gt;"",IF('Capacity summary'!$D$14="Yes",IF(COUNTBLANK('Capacity summary'!$H163:$BG163)&lt;52,IF('Capacity summary'!AA163&lt;&gt;"",IF(LOWER('Capacity summary'!AA163)="x",$BI44*AA44,VALUE('Capacity summary'!AA163)),0),AA44*$BI44),AA44*$BI44),0)</f>
        <v>0</v>
      </c>
      <c r="CE44" s="311">
        <f>IF($BI44&lt;&gt;"",IF('Capacity summary'!$D$14="Yes",IF(COUNTBLANK('Capacity summary'!$H163:$BG163)&lt;52,IF('Capacity summary'!AB163&lt;&gt;"",IF(LOWER('Capacity summary'!AB163)="x",$BI44*AB44,VALUE('Capacity summary'!AB163)),0),AB44*$BI44),AB44*$BI44),0)</f>
        <v>0</v>
      </c>
      <c r="CF44" s="311">
        <f>IF($BI44&lt;&gt;"",IF('Capacity summary'!$D$14="Yes",IF(COUNTBLANK('Capacity summary'!$H163:$BG163)&lt;52,IF('Capacity summary'!AC163&lt;&gt;"",IF(LOWER('Capacity summary'!AC163)="x",$BI44*AC44,VALUE('Capacity summary'!AC163)),0),AC44*$BI44),AC44*$BI44),0)</f>
        <v>0</v>
      </c>
      <c r="CG44" s="311">
        <f>IF($BI44&lt;&gt;"",IF('Capacity summary'!$D$14="Yes",IF(COUNTBLANK('Capacity summary'!$H163:$BG163)&lt;52,IF('Capacity summary'!AD163&lt;&gt;"",IF(LOWER('Capacity summary'!AD163)="x",$BI44*AD44,VALUE('Capacity summary'!AD163)),0),AD44*$BI44),AD44*$BI44),0)</f>
        <v>0</v>
      </c>
      <c r="CH44" s="311">
        <f>IF($BI44&lt;&gt;"",IF('Capacity summary'!$D$14="Yes",IF(COUNTBLANK('Capacity summary'!$H163:$BG163)&lt;52,IF('Capacity summary'!AE163&lt;&gt;"",IF(LOWER('Capacity summary'!AE163)="x",$BI44*AE44,VALUE('Capacity summary'!AE163)),0),AE44*$BI44),AE44*$BI44),0)</f>
        <v>0</v>
      </c>
      <c r="CI44" s="311">
        <f>IF($BI44&lt;&gt;"",IF('Capacity summary'!$D$14="Yes",IF(COUNTBLANK('Capacity summary'!$H163:$BG163)&lt;52,IF('Capacity summary'!AF163&lt;&gt;"",IF(LOWER('Capacity summary'!AF163)="x",$BI44*AF44,VALUE('Capacity summary'!AF163)),0),AF44*$BI44),AF44*$BI44),0)</f>
        <v>0</v>
      </c>
      <c r="CJ44" s="311">
        <f>IF($BI44&lt;&gt;"",IF('Capacity summary'!$D$14="Yes",IF(COUNTBLANK('Capacity summary'!$H163:$BG163)&lt;52,IF('Capacity summary'!AG163&lt;&gt;"",IF(LOWER('Capacity summary'!AG163)="x",$BI44*AG44,VALUE('Capacity summary'!AG163)),0),AG44*$BI44),AG44*$BI44),0)</f>
        <v>0</v>
      </c>
      <c r="CK44" s="311">
        <f>IF($BI44&lt;&gt;"",IF('Capacity summary'!$D$14="Yes",IF(COUNTBLANK('Capacity summary'!$H163:$BG163)&lt;52,IF('Capacity summary'!AH163&lt;&gt;"",IF(LOWER('Capacity summary'!AH163)="x",$BI44*AH44,VALUE('Capacity summary'!AH163)),0),AH44*$BI44),AH44*$BI44),0)</f>
        <v>0</v>
      </c>
      <c r="CL44" s="311">
        <f>IF($BI44&lt;&gt;"",IF('Capacity summary'!$D$14="Yes",IF(COUNTBLANK('Capacity summary'!$H163:$BG163)&lt;52,IF('Capacity summary'!AI163&lt;&gt;"",IF(LOWER('Capacity summary'!AI163)="x",$BI44*AI44,VALUE('Capacity summary'!AI163)),0),AI44*$BI44),AI44*$BI44),0)</f>
        <v>0</v>
      </c>
      <c r="CM44" s="311">
        <f>IF($BI44&lt;&gt;"",IF('Capacity summary'!$D$14="Yes",IF(COUNTBLANK('Capacity summary'!$H163:$BG163)&lt;52,IF('Capacity summary'!AJ163&lt;&gt;"",IF(LOWER('Capacity summary'!AJ163)="x",$BI44*AJ44,VALUE('Capacity summary'!AJ163)),0),AJ44*$BI44),AJ44*$BI44),0)</f>
        <v>0</v>
      </c>
      <c r="CN44" s="311">
        <f>IF($BI44&lt;&gt;"",IF('Capacity summary'!$D$14="Yes",IF(COUNTBLANK('Capacity summary'!$H163:$BG163)&lt;52,IF('Capacity summary'!AK163&lt;&gt;"",IF(LOWER('Capacity summary'!AK163)="x",$BI44*AK44,VALUE('Capacity summary'!AK163)),0),AK44*$BI44),AK44*$BI44),0)</f>
        <v>0</v>
      </c>
      <c r="CO44" s="311">
        <f>IF($BI44&lt;&gt;"",IF('Capacity summary'!$D$14="Yes",IF(COUNTBLANK('Capacity summary'!$H163:$BG163)&lt;52,IF('Capacity summary'!AL163&lt;&gt;"",IF(LOWER('Capacity summary'!AL163)="x",$BI44*AL44,VALUE('Capacity summary'!AL163)),0),AL44*$BI44),AL44*$BI44),0)</f>
        <v>0</v>
      </c>
      <c r="CP44" s="311">
        <f>IF($BI44&lt;&gt;"",IF('Capacity summary'!$D$14="Yes",IF(COUNTBLANK('Capacity summary'!$H163:$BG163)&lt;52,IF('Capacity summary'!AM163&lt;&gt;"",IF(LOWER('Capacity summary'!AM163)="x",$BI44*AM44,VALUE('Capacity summary'!AM163)),0),AM44*$BI44),AM44*$BI44),0)</f>
        <v>0</v>
      </c>
      <c r="CQ44" s="311">
        <f>IF($BI44&lt;&gt;"",IF('Capacity summary'!$D$14="Yes",IF(COUNTBLANK('Capacity summary'!$H163:$BG163)&lt;52,IF('Capacity summary'!AN163&lt;&gt;"",IF(LOWER('Capacity summary'!AN163)="x",$BI44*AN44,VALUE('Capacity summary'!AN163)),0),AN44*$BI44),AN44*$BI44),0)</f>
        <v>0</v>
      </c>
      <c r="CR44" s="311">
        <f>IF($BI44&lt;&gt;"",IF('Capacity summary'!$D$14="Yes",IF(COUNTBLANK('Capacity summary'!$H163:$BG163)&lt;52,IF('Capacity summary'!AO163&lt;&gt;"",IF(LOWER('Capacity summary'!AO163)="x",$BI44*AO44,VALUE('Capacity summary'!AO163)),0),AO44*$BI44),AO44*$BI44),0)</f>
        <v>0</v>
      </c>
      <c r="CS44" s="311">
        <f>IF($BI44&lt;&gt;"",IF('Capacity summary'!$D$14="Yes",IF(COUNTBLANK('Capacity summary'!$H163:$BG163)&lt;52,IF('Capacity summary'!AP163&lt;&gt;"",IF(LOWER('Capacity summary'!AP163)="x",$BI44*AP44,VALUE('Capacity summary'!AP163)),0),AP44*$BI44),AP44*$BI44),0)</f>
        <v>0</v>
      </c>
      <c r="CT44" s="311">
        <f>IF($BI44&lt;&gt;"",IF('Capacity summary'!$D$14="Yes",IF(COUNTBLANK('Capacity summary'!$H163:$BG163)&lt;52,IF('Capacity summary'!AQ163&lt;&gt;"",IF(LOWER('Capacity summary'!AQ163)="x",$BI44*AQ44,VALUE('Capacity summary'!AQ163)),0),AQ44*$BI44),AQ44*$BI44),0)</f>
        <v>0</v>
      </c>
      <c r="CU44" s="311">
        <f>IF($BI44&lt;&gt;"",IF('Capacity summary'!$D$14="Yes",IF(COUNTBLANK('Capacity summary'!$H163:$BG163)&lt;52,IF('Capacity summary'!AR163&lt;&gt;"",IF(LOWER('Capacity summary'!AR163)="x",$BI44*AR44,VALUE('Capacity summary'!AR163)),0),AR44*$BI44),AR44*$BI44),0)</f>
        <v>0</v>
      </c>
      <c r="CV44" s="311">
        <f>IF($BI44&lt;&gt;"",IF('Capacity summary'!$D$14="Yes",IF(COUNTBLANK('Capacity summary'!$H163:$BG163)&lt;52,IF('Capacity summary'!AS163&lt;&gt;"",IF(LOWER('Capacity summary'!AS163)="x",$BI44*AS44,VALUE('Capacity summary'!AS163)),0),AS44*$BI44),AS44*$BI44),0)</f>
        <v>0</v>
      </c>
      <c r="CW44" s="311">
        <f>IF($BI44&lt;&gt;"",IF('Capacity summary'!$D$14="Yes",IF(COUNTBLANK('Capacity summary'!$H163:$BG163)&lt;52,IF('Capacity summary'!AT163&lt;&gt;"",IF(LOWER('Capacity summary'!AT163)="x",$BI44*AT44,VALUE('Capacity summary'!AT163)),0),AT44*$BI44),AT44*$BI44),0)</f>
        <v>0</v>
      </c>
      <c r="CX44" s="311">
        <f>IF($BI44&lt;&gt;"",IF('Capacity summary'!$D$14="Yes",IF(COUNTBLANK('Capacity summary'!$H163:$BG163)&lt;52,IF('Capacity summary'!AU163&lt;&gt;"",IF(LOWER('Capacity summary'!AU163)="x",$BI44*AU44,VALUE('Capacity summary'!AU163)),0),AU44*$BI44),AU44*$BI44),0)</f>
        <v>0</v>
      </c>
      <c r="CY44" s="311">
        <f>IF($BI44&lt;&gt;"",IF('Capacity summary'!$D$14="Yes",IF(COUNTBLANK('Capacity summary'!$H163:$BG163)&lt;52,IF('Capacity summary'!AV163&lt;&gt;"",IF(LOWER('Capacity summary'!AV163)="x",$BI44*AV44,VALUE('Capacity summary'!AV163)),0),AV44*$BI44),AV44*$BI44),0)</f>
        <v>0</v>
      </c>
      <c r="CZ44" s="311">
        <f>IF($BI44&lt;&gt;"",IF('Capacity summary'!$D$14="Yes",IF(COUNTBLANK('Capacity summary'!$H163:$BG163)&lt;52,IF('Capacity summary'!AW163&lt;&gt;"",IF(LOWER('Capacity summary'!AW163)="x",$BI44*AW44,VALUE('Capacity summary'!AW163)),0),AW44*$BI44),AW44*$BI44),0)</f>
        <v>0</v>
      </c>
      <c r="DA44" s="311">
        <f>IF($BI44&lt;&gt;"",IF('Capacity summary'!$D$14="Yes",IF(COUNTBLANK('Capacity summary'!$H163:$BG163)&lt;52,IF('Capacity summary'!AX163&lt;&gt;"",IF(LOWER('Capacity summary'!AX163)="x",$BI44*AX44,VALUE('Capacity summary'!AX163)),0),AX44*$BI44),AX44*$BI44),0)</f>
        <v>0</v>
      </c>
      <c r="DB44" s="311">
        <f>IF($BI44&lt;&gt;"",IF('Capacity summary'!$D$14="Yes",IF(COUNTBLANK('Capacity summary'!$H163:$BG163)&lt;52,IF('Capacity summary'!AY163&lt;&gt;"",IF(LOWER('Capacity summary'!AY163)="x",$BI44*AY44,VALUE('Capacity summary'!AY163)),0),AY44*$BI44),AY44*$BI44),0)</f>
        <v>0</v>
      </c>
      <c r="DC44" s="311">
        <f>IF($BI44&lt;&gt;"",IF('Capacity summary'!$D$14="Yes",IF(COUNTBLANK('Capacity summary'!$H163:$BG163)&lt;52,IF('Capacity summary'!AZ163&lt;&gt;"",IF(LOWER('Capacity summary'!AZ163)="x",$BI44*AZ44,VALUE('Capacity summary'!AZ163)),0),AZ44*$BI44),AZ44*$BI44),0)</f>
        <v>0</v>
      </c>
      <c r="DD44" s="311">
        <f>IF($BI44&lt;&gt;"",IF('Capacity summary'!$D$14="Yes",IF(COUNTBLANK('Capacity summary'!$H163:$BG163)&lt;52,IF('Capacity summary'!BA163&lt;&gt;"",IF(LOWER('Capacity summary'!BA163)="x",$BI44*BA44,VALUE('Capacity summary'!BA163)),0),BA44*$BI44),BA44*$BI44),0)</f>
        <v>0</v>
      </c>
      <c r="DE44" s="311">
        <f>IF($BI44&lt;&gt;"",IF('Capacity summary'!$D$14="Yes",IF(COUNTBLANK('Capacity summary'!$H163:$BG163)&lt;52,IF('Capacity summary'!BB163&lt;&gt;"",IF(LOWER('Capacity summary'!BB163)="x",$BI44*BB44,VALUE('Capacity summary'!BB163)),0),BB44*$BI44),BB44*$BI44),0)</f>
        <v>0</v>
      </c>
      <c r="DF44" s="311">
        <f>IF($BI44&lt;&gt;"",IF('Capacity summary'!$D$14="Yes",IF(COUNTBLANK('Capacity summary'!$H163:$BG163)&lt;52,IF('Capacity summary'!BC163&lt;&gt;"",IF(LOWER('Capacity summary'!BC163)="x",$BI44*BC44,VALUE('Capacity summary'!BC163)),0),BC44*$BI44),BC44*$BI44),0)</f>
        <v>0</v>
      </c>
      <c r="DG44" s="311">
        <f>IF($BI44&lt;&gt;"",IF('Capacity summary'!$D$14="Yes",IF(COUNTBLANK('Capacity summary'!$H163:$BG163)&lt;52,IF('Capacity summary'!BD163&lt;&gt;"",IF(LOWER('Capacity summary'!BD163)="x",$BI44*BD44,VALUE('Capacity summary'!BD163)),0),BD44*$BI44),BD44*$BI44),0)</f>
        <v>0</v>
      </c>
      <c r="DH44" s="311">
        <f>IF($BI44&lt;&gt;"",IF('Capacity summary'!$D$14="Yes",IF(COUNTBLANK('Capacity summary'!$H163:$BG163)&lt;52,IF('Capacity summary'!BE163&lt;&gt;"",IF(LOWER('Capacity summary'!BE163)="x",$BI44*BE44,VALUE('Capacity summary'!BE163)),0),BE44*$BI44),BE44*$BI44),0)</f>
        <v>0</v>
      </c>
      <c r="DI44" s="311">
        <f>IF($BI44&lt;&gt;"",IF('Capacity summary'!$D$14="Yes",IF(COUNTBLANK('Capacity summary'!$H163:$BG163)&lt;52,IF('Capacity summary'!BF163&lt;&gt;"",IF(LOWER('Capacity summary'!BF163)="x",$BI44*BF44,VALUE('Capacity summary'!BF163)),0),BF44*$BI44),BF44*$BI44),0)</f>
        <v>0</v>
      </c>
      <c r="DJ44" s="311">
        <f>IF($BI44&lt;&gt;"",IF('Capacity summary'!$D$14="Yes",IF(COUNTBLANK('Capacity summary'!$H163:$BG163)&lt;52,IF('Capacity summary'!BG163&lt;&gt;"",IF(LOWER('Capacity summary'!BG163)="x",$BI44*BG44,VALUE('Capacity summary'!BG163)),0),BG44*$BI44),BG44*$BI44),0)</f>
        <v>0</v>
      </c>
      <c r="DK44" s="391">
        <f t="shared" si="2"/>
        <v>0</v>
      </c>
      <c r="DL44" s="136">
        <f t="shared" si="3"/>
        <v>0</v>
      </c>
      <c r="DM44" s="311" t="str">
        <f>Capacity!H56</f>
        <v/>
      </c>
      <c r="DQ44" s="5"/>
    </row>
    <row r="45" spans="1:121" x14ac:dyDescent="0.2">
      <c r="A45" s="67">
        <f>IF(Capacity!L57='Capacity summary'!BI164,1,0)</f>
        <v>1</v>
      </c>
      <c r="B45" s="67">
        <f>IF(Capacity!V57='Capacity summary'!BI64,1,0)</f>
        <v>1</v>
      </c>
      <c r="C45" s="67" t="str">
        <f>ROW(A41)&amp;". "&amp;Capacity!B57</f>
        <v xml:space="preserve">41. </v>
      </c>
      <c r="D45" s="67">
        <f>'Capacity setup'!C52</f>
        <v>0</v>
      </c>
      <c r="E45" s="67">
        <f>'Capacity setup'!D52</f>
        <v>0</v>
      </c>
      <c r="F45" s="67">
        <f>'Capacity setup'!E52</f>
        <v>0</v>
      </c>
      <c r="H45" s="67">
        <f ca="1">IF(LOWER(Capacity!$L57)="x",IF(AND(SUMIF(Capacity_Resource,$D45,'Critical resources (hide)'!U$6:U$105)+SUMIF(Capacity_Resource,$E45,'Critical resources (hide)'!U$6:U$105)+SUMIF(Capacity_Resource,$F45,'Critical resources (hide)'!U$6:U$105)&gt;0,$E$1=2),0,1),0)</f>
        <v>1</v>
      </c>
      <c r="I45" s="67">
        <f ca="1">IF(LOWER(Capacity!$L57)="x",IF(AND(SUMIF(Capacity_Resource,$D45,'Critical resources (hide)'!V$6:V$105)+SUMIF(Capacity_Resource,$E45,'Critical resources (hide)'!V$6:V$105)+SUMIF(Capacity_Resource,$F45,'Critical resources (hide)'!V$6:V$105)&gt;0,$E$1=2),0,1),0)</f>
        <v>1</v>
      </c>
      <c r="J45" s="67">
        <f ca="1">IF(LOWER(Capacity!$L57)="x",IF(AND(SUMIF(Capacity_Resource,$D45,'Critical resources (hide)'!W$6:W$105)+SUMIF(Capacity_Resource,$E45,'Critical resources (hide)'!W$6:W$105)+SUMIF(Capacity_Resource,$F45,'Critical resources (hide)'!W$6:W$105)&gt;0,$E$1=2),0,1),0)</f>
        <v>1</v>
      </c>
      <c r="K45" s="67">
        <f ca="1">IF(LOWER(Capacity!$L57)="x",IF(AND(SUMIF(Capacity_Resource,$D45,'Critical resources (hide)'!X$6:X$105)+SUMIF(Capacity_Resource,$E45,'Critical resources (hide)'!X$6:X$105)+SUMIF(Capacity_Resource,$F45,'Critical resources (hide)'!X$6:X$105)&gt;0,$E$1=2),0,1),0)</f>
        <v>1</v>
      </c>
      <c r="L45" s="67">
        <f ca="1">IF(LOWER(Capacity!$L57)="x",IF(AND(SUMIF(Capacity_Resource,$D45,'Critical resources (hide)'!Y$6:Y$105)+SUMIF(Capacity_Resource,$E45,'Critical resources (hide)'!Y$6:Y$105)+SUMIF(Capacity_Resource,$F45,'Critical resources (hide)'!Y$6:Y$105)&gt;0,$E$1=2),0,1),0)</f>
        <v>1</v>
      </c>
      <c r="M45" s="67">
        <f ca="1">IF(LOWER(Capacity!$L57)="x",IF(AND(SUMIF(Capacity_Resource,$D45,'Critical resources (hide)'!Z$6:Z$105)+SUMIF(Capacity_Resource,$E45,'Critical resources (hide)'!Z$6:Z$105)+SUMIF(Capacity_Resource,$F45,'Critical resources (hide)'!Z$6:Z$105)&gt;0,$E$1=2),0,1),0)</f>
        <v>1</v>
      </c>
      <c r="N45" s="67">
        <f ca="1">IF(LOWER(Capacity!$L57)="x",IF(AND(SUMIF(Capacity_Resource,$D45,'Critical resources (hide)'!AA$6:AA$105)+SUMIF(Capacity_Resource,$E45,'Critical resources (hide)'!AA$6:AA$105)+SUMIF(Capacity_Resource,$F45,'Critical resources (hide)'!AA$6:AA$105)&gt;0,$E$1=2),0,1),0)</f>
        <v>1</v>
      </c>
      <c r="O45" s="67">
        <f ca="1">IF(LOWER(Capacity!$L57)="x",IF(AND(SUMIF(Capacity_Resource,$D45,'Critical resources (hide)'!AB$6:AB$105)+SUMIF(Capacity_Resource,$E45,'Critical resources (hide)'!AB$6:AB$105)+SUMIF(Capacity_Resource,$F45,'Critical resources (hide)'!AB$6:AB$105)&gt;0,$E$1=2),0,1),0)</f>
        <v>1</v>
      </c>
      <c r="P45" s="67">
        <f ca="1">IF(LOWER(Capacity!$L57)="x",IF(AND(SUMIF(Capacity_Resource,$D45,'Critical resources (hide)'!AC$6:AC$105)+SUMIF(Capacity_Resource,$E45,'Critical resources (hide)'!AC$6:AC$105)+SUMIF(Capacity_Resource,$F45,'Critical resources (hide)'!AC$6:AC$105)&gt;0,$E$1=2),0,1),0)</f>
        <v>1</v>
      </c>
      <c r="Q45" s="67">
        <f ca="1">IF(LOWER(Capacity!$L57)="x",IF(AND(SUMIF(Capacity_Resource,$D45,'Critical resources (hide)'!AD$6:AD$105)+SUMIF(Capacity_Resource,$E45,'Critical resources (hide)'!AD$6:AD$105)+SUMIF(Capacity_Resource,$F45,'Critical resources (hide)'!AD$6:AD$105)&gt;0,$E$1=2),0,1),0)</f>
        <v>1</v>
      </c>
      <c r="R45" s="67">
        <f ca="1">IF(LOWER(Capacity!$L57)="x",IF(AND(SUMIF(Capacity_Resource,$D45,'Critical resources (hide)'!AE$6:AE$105)+SUMIF(Capacity_Resource,$E45,'Critical resources (hide)'!AE$6:AE$105)+SUMIF(Capacity_Resource,$F45,'Critical resources (hide)'!AE$6:AE$105)&gt;0,$E$1=2),0,1),0)</f>
        <v>1</v>
      </c>
      <c r="S45" s="67">
        <f ca="1">IF(LOWER(Capacity!$L57)="x",IF(AND(SUMIF(Capacity_Resource,$D45,'Critical resources (hide)'!AF$6:AF$105)+SUMIF(Capacity_Resource,$E45,'Critical resources (hide)'!AF$6:AF$105)+SUMIF(Capacity_Resource,$F45,'Critical resources (hide)'!AF$6:AF$105)&gt;0,$E$1=2),0,1),0)</f>
        <v>1</v>
      </c>
      <c r="T45" s="67">
        <f ca="1">IF(LOWER(Capacity!$L57)="x",IF(AND(SUMIF(Capacity_Resource,$D45,'Critical resources (hide)'!AG$6:AG$105)+SUMIF(Capacity_Resource,$E45,'Critical resources (hide)'!AG$6:AG$105)+SUMIF(Capacity_Resource,$F45,'Critical resources (hide)'!AG$6:AG$105)&gt;0,$E$1=2),0,1),0)</f>
        <v>1</v>
      </c>
      <c r="U45" s="67">
        <f ca="1">IF(LOWER(Capacity!$L57)="x",IF(AND(SUMIF(Capacity_Resource,$D45,'Critical resources (hide)'!AH$6:AH$105)+SUMIF(Capacity_Resource,$E45,'Critical resources (hide)'!AH$6:AH$105)+SUMIF(Capacity_Resource,$F45,'Critical resources (hide)'!AH$6:AH$105)&gt;0,$E$1=2),0,1),0)</f>
        <v>1</v>
      </c>
      <c r="V45" s="67">
        <f ca="1">IF(LOWER(Capacity!$L57)="x",IF(AND(SUMIF(Capacity_Resource,$D45,'Critical resources (hide)'!AI$6:AI$105)+SUMIF(Capacity_Resource,$E45,'Critical resources (hide)'!AI$6:AI$105)+SUMIF(Capacity_Resource,$F45,'Critical resources (hide)'!AI$6:AI$105)&gt;0,$E$1=2),0,1),0)</f>
        <v>1</v>
      </c>
      <c r="W45" s="67">
        <f ca="1">IF(LOWER(Capacity!$L57)="x",IF(AND(SUMIF(Capacity_Resource,$D45,'Critical resources (hide)'!AJ$6:AJ$105)+SUMIF(Capacity_Resource,$E45,'Critical resources (hide)'!AJ$6:AJ$105)+SUMIF(Capacity_Resource,$F45,'Critical resources (hide)'!AJ$6:AJ$105)&gt;0,$E$1=2),0,1),0)</f>
        <v>1</v>
      </c>
      <c r="X45" s="67">
        <f ca="1">IF(LOWER(Capacity!$L57)="x",IF(AND(SUMIF(Capacity_Resource,$D45,'Critical resources (hide)'!AK$6:AK$105)+SUMIF(Capacity_Resource,$E45,'Critical resources (hide)'!AK$6:AK$105)+SUMIF(Capacity_Resource,$F45,'Critical resources (hide)'!AK$6:AK$105)&gt;0,$E$1=2),0,1),0)</f>
        <v>1</v>
      </c>
      <c r="Y45" s="67">
        <f ca="1">IF(LOWER(Capacity!$L57)="x",IF(AND(SUMIF(Capacity_Resource,$D45,'Critical resources (hide)'!AL$6:AL$105)+SUMIF(Capacity_Resource,$E45,'Critical resources (hide)'!AL$6:AL$105)+SUMIF(Capacity_Resource,$F45,'Critical resources (hide)'!AL$6:AL$105)&gt;0,$E$1=2),0,1),0)</f>
        <v>1</v>
      </c>
      <c r="Z45" s="67">
        <f ca="1">IF(LOWER(Capacity!$L57)="x",IF(AND(SUMIF(Capacity_Resource,$D45,'Critical resources (hide)'!AM$6:AM$105)+SUMIF(Capacity_Resource,$E45,'Critical resources (hide)'!AM$6:AM$105)+SUMIF(Capacity_Resource,$F45,'Critical resources (hide)'!AM$6:AM$105)&gt;0,$E$1=2),0,1),0)</f>
        <v>1</v>
      </c>
      <c r="AA45" s="67">
        <f ca="1">IF(LOWER(Capacity!$L57)="x",IF(AND(SUMIF(Capacity_Resource,$D45,'Critical resources (hide)'!AN$6:AN$105)+SUMIF(Capacity_Resource,$E45,'Critical resources (hide)'!AN$6:AN$105)+SUMIF(Capacity_Resource,$F45,'Critical resources (hide)'!AN$6:AN$105)&gt;0,$E$1=2),0,1),0)</f>
        <v>1</v>
      </c>
      <c r="AB45" s="67">
        <f ca="1">IF(LOWER(Capacity!$L57)="x",IF(AND(SUMIF(Capacity_Resource,$D45,'Critical resources (hide)'!AO$6:AO$105)+SUMIF(Capacity_Resource,$E45,'Critical resources (hide)'!AO$6:AO$105)+SUMIF(Capacity_Resource,$F45,'Critical resources (hide)'!AO$6:AO$105)&gt;0,$E$1=2),0,1),0)</f>
        <v>1</v>
      </c>
      <c r="AC45" s="67">
        <f ca="1">IF(LOWER(Capacity!$L57)="x",IF(AND(SUMIF(Capacity_Resource,$D45,'Critical resources (hide)'!AP$6:AP$105)+SUMIF(Capacity_Resource,$E45,'Critical resources (hide)'!AP$6:AP$105)+SUMIF(Capacity_Resource,$F45,'Critical resources (hide)'!AP$6:AP$105)&gt;0,$E$1=2),0,1),0)</f>
        <v>1</v>
      </c>
      <c r="AD45" s="67">
        <f ca="1">IF(LOWER(Capacity!$L57)="x",IF(AND(SUMIF(Capacity_Resource,$D45,'Critical resources (hide)'!AQ$6:AQ$105)+SUMIF(Capacity_Resource,$E45,'Critical resources (hide)'!AQ$6:AQ$105)+SUMIF(Capacity_Resource,$F45,'Critical resources (hide)'!AQ$6:AQ$105)&gt;0,$E$1=2),0,1),0)</f>
        <v>1</v>
      </c>
      <c r="AE45" s="67">
        <f ca="1">IF(LOWER(Capacity!$L57)="x",IF(AND(SUMIF(Capacity_Resource,$D45,'Critical resources (hide)'!AR$6:AR$105)+SUMIF(Capacity_Resource,$E45,'Critical resources (hide)'!AR$6:AR$105)+SUMIF(Capacity_Resource,$F45,'Critical resources (hide)'!AR$6:AR$105)&gt;0,$E$1=2),0,1),0)</f>
        <v>1</v>
      </c>
      <c r="AF45" s="67">
        <f ca="1">IF(LOWER(Capacity!$L57)="x",IF(AND(SUMIF(Capacity_Resource,$D45,'Critical resources (hide)'!AS$6:AS$105)+SUMIF(Capacity_Resource,$E45,'Critical resources (hide)'!AS$6:AS$105)+SUMIF(Capacity_Resource,$F45,'Critical resources (hide)'!AS$6:AS$105)&gt;0,$E$1=2),0,1),0)</f>
        <v>1</v>
      </c>
      <c r="AG45" s="67">
        <f ca="1">IF(LOWER(Capacity!$L57)="x",IF(AND(SUMIF(Capacity_Resource,$D45,'Critical resources (hide)'!AT$6:AT$105)+SUMIF(Capacity_Resource,$E45,'Critical resources (hide)'!AT$6:AT$105)+SUMIF(Capacity_Resource,$F45,'Critical resources (hide)'!AT$6:AT$105)&gt;0,$E$1=2),0,1),0)</f>
        <v>1</v>
      </c>
      <c r="AH45" s="67">
        <f ca="1">IF(LOWER(Capacity!$L57)="x",IF(AND(SUMIF(Capacity_Resource,$D45,'Critical resources (hide)'!AU$6:AU$105)+SUMIF(Capacity_Resource,$E45,'Critical resources (hide)'!AU$6:AU$105)+SUMIF(Capacity_Resource,$F45,'Critical resources (hide)'!AU$6:AU$105)&gt;0,$E$1=2),0,1),0)</f>
        <v>1</v>
      </c>
      <c r="AI45" s="67">
        <f ca="1">IF(LOWER(Capacity!$L57)="x",IF(AND(SUMIF(Capacity_Resource,$D45,'Critical resources (hide)'!AV$6:AV$105)+SUMIF(Capacity_Resource,$E45,'Critical resources (hide)'!AV$6:AV$105)+SUMIF(Capacity_Resource,$F45,'Critical resources (hide)'!AV$6:AV$105)&gt;0,$E$1=2),0,1),0)</f>
        <v>1</v>
      </c>
      <c r="AJ45" s="67">
        <f ca="1">IF(LOWER(Capacity!$L57)="x",IF(AND(SUMIF(Capacity_Resource,$D45,'Critical resources (hide)'!AW$6:AW$105)+SUMIF(Capacity_Resource,$E45,'Critical resources (hide)'!AW$6:AW$105)+SUMIF(Capacity_Resource,$F45,'Critical resources (hide)'!AW$6:AW$105)&gt;0,$E$1=2),0,1),0)</f>
        <v>1</v>
      </c>
      <c r="AK45" s="67">
        <f ca="1">IF(LOWER(Capacity!$L57)="x",IF(AND(SUMIF(Capacity_Resource,$D45,'Critical resources (hide)'!AX$6:AX$105)+SUMIF(Capacity_Resource,$E45,'Critical resources (hide)'!AX$6:AX$105)+SUMIF(Capacity_Resource,$F45,'Critical resources (hide)'!AX$6:AX$105)&gt;0,$E$1=2),0,1),0)</f>
        <v>1</v>
      </c>
      <c r="AL45" s="67">
        <f ca="1">IF(LOWER(Capacity!$L57)="x",IF(AND(SUMIF(Capacity_Resource,$D45,'Critical resources (hide)'!AY$6:AY$105)+SUMIF(Capacity_Resource,$E45,'Critical resources (hide)'!AY$6:AY$105)+SUMIF(Capacity_Resource,$F45,'Critical resources (hide)'!AY$6:AY$105)&gt;0,$E$1=2),0,1),0)</f>
        <v>1</v>
      </c>
      <c r="AM45" s="67">
        <f ca="1">IF(LOWER(Capacity!$L57)="x",IF(AND(SUMIF(Capacity_Resource,$D45,'Critical resources (hide)'!AZ$6:AZ$105)+SUMIF(Capacity_Resource,$E45,'Critical resources (hide)'!AZ$6:AZ$105)+SUMIF(Capacity_Resource,$F45,'Critical resources (hide)'!AZ$6:AZ$105)&gt;0,$E$1=2),0,1),0)</f>
        <v>1</v>
      </c>
      <c r="AN45" s="67">
        <f ca="1">IF(LOWER(Capacity!$L57)="x",IF(AND(SUMIF(Capacity_Resource,$D45,'Critical resources (hide)'!BA$6:BA$105)+SUMIF(Capacity_Resource,$E45,'Critical resources (hide)'!BA$6:BA$105)+SUMIF(Capacity_Resource,$F45,'Critical resources (hide)'!BA$6:BA$105)&gt;0,$E$1=2),0,1),0)</f>
        <v>1</v>
      </c>
      <c r="AO45" s="67">
        <f ca="1">IF(LOWER(Capacity!$L57)="x",IF(AND(SUMIF(Capacity_Resource,$D45,'Critical resources (hide)'!BB$6:BB$105)+SUMIF(Capacity_Resource,$E45,'Critical resources (hide)'!BB$6:BB$105)+SUMIF(Capacity_Resource,$F45,'Critical resources (hide)'!BB$6:BB$105)&gt;0,$E$1=2),0,1),0)</f>
        <v>1</v>
      </c>
      <c r="AP45" s="67">
        <f ca="1">IF(LOWER(Capacity!$L57)="x",IF(AND(SUMIF(Capacity_Resource,$D45,'Critical resources (hide)'!BC$6:BC$105)+SUMIF(Capacity_Resource,$E45,'Critical resources (hide)'!BC$6:BC$105)+SUMIF(Capacity_Resource,$F45,'Critical resources (hide)'!BC$6:BC$105)&gt;0,$E$1=2),0,1),0)</f>
        <v>1</v>
      </c>
      <c r="AQ45" s="67">
        <f ca="1">IF(LOWER(Capacity!$L57)="x",IF(AND(SUMIF(Capacity_Resource,$D45,'Critical resources (hide)'!BD$6:BD$105)+SUMIF(Capacity_Resource,$E45,'Critical resources (hide)'!BD$6:BD$105)+SUMIF(Capacity_Resource,$F45,'Critical resources (hide)'!BD$6:BD$105)&gt;0,$E$1=2),0,1),0)</f>
        <v>1</v>
      </c>
      <c r="AR45" s="67">
        <f ca="1">IF(LOWER(Capacity!$L57)="x",IF(AND(SUMIF(Capacity_Resource,$D45,'Critical resources (hide)'!BE$6:BE$105)+SUMIF(Capacity_Resource,$E45,'Critical resources (hide)'!BE$6:BE$105)+SUMIF(Capacity_Resource,$F45,'Critical resources (hide)'!BE$6:BE$105)&gt;0,$E$1=2),0,1),0)</f>
        <v>1</v>
      </c>
      <c r="AS45" s="67">
        <f ca="1">IF(LOWER(Capacity!$L57)="x",IF(AND(SUMIF(Capacity_Resource,$D45,'Critical resources (hide)'!BF$6:BF$105)+SUMIF(Capacity_Resource,$E45,'Critical resources (hide)'!BF$6:BF$105)+SUMIF(Capacity_Resource,$F45,'Critical resources (hide)'!BF$6:BF$105)&gt;0,$E$1=2),0,1),0)</f>
        <v>1</v>
      </c>
      <c r="AT45" s="67">
        <f ca="1">IF(LOWER(Capacity!$L57)="x",IF(AND(SUMIF(Capacity_Resource,$D45,'Critical resources (hide)'!BG$6:BG$105)+SUMIF(Capacity_Resource,$E45,'Critical resources (hide)'!BG$6:BG$105)+SUMIF(Capacity_Resource,$F45,'Critical resources (hide)'!BG$6:BG$105)&gt;0,$E$1=2),0,1),0)</f>
        <v>1</v>
      </c>
      <c r="AU45" s="67">
        <f ca="1">IF(LOWER(Capacity!$L57)="x",IF(AND(SUMIF(Capacity_Resource,$D45,'Critical resources (hide)'!BH$6:BH$105)+SUMIF(Capacity_Resource,$E45,'Critical resources (hide)'!BH$6:BH$105)+SUMIF(Capacity_Resource,$F45,'Critical resources (hide)'!BH$6:BH$105)&gt;0,$E$1=2),0,1),0)</f>
        <v>1</v>
      </c>
      <c r="AV45" s="67">
        <f ca="1">IF(LOWER(Capacity!$L57)="x",IF(AND(SUMIF(Capacity_Resource,$D45,'Critical resources (hide)'!BI$6:BI$105)+SUMIF(Capacity_Resource,$E45,'Critical resources (hide)'!BI$6:BI$105)+SUMIF(Capacity_Resource,$F45,'Critical resources (hide)'!BI$6:BI$105)&gt;0,$E$1=2),0,1),0)</f>
        <v>1</v>
      </c>
      <c r="AW45" s="67">
        <f ca="1">IF(LOWER(Capacity!$L57)="x",IF(AND(SUMIF(Capacity_Resource,$D45,'Critical resources (hide)'!BJ$6:BJ$105)+SUMIF(Capacity_Resource,$E45,'Critical resources (hide)'!BJ$6:BJ$105)+SUMIF(Capacity_Resource,$F45,'Critical resources (hide)'!BJ$6:BJ$105)&gt;0,$E$1=2),0,1),0)</f>
        <v>1</v>
      </c>
      <c r="AX45" s="67">
        <f ca="1">IF(LOWER(Capacity!$L57)="x",IF(AND(SUMIF(Capacity_Resource,$D45,'Critical resources (hide)'!BK$6:BK$105)+SUMIF(Capacity_Resource,$E45,'Critical resources (hide)'!BK$6:BK$105)+SUMIF(Capacity_Resource,$F45,'Critical resources (hide)'!BK$6:BK$105)&gt;0,$E$1=2),0,1),0)</f>
        <v>1</v>
      </c>
      <c r="AY45" s="67">
        <f ca="1">IF(LOWER(Capacity!$L57)="x",IF(AND(SUMIF(Capacity_Resource,$D45,'Critical resources (hide)'!BL$6:BL$105)+SUMIF(Capacity_Resource,$E45,'Critical resources (hide)'!BL$6:BL$105)+SUMIF(Capacity_Resource,$F45,'Critical resources (hide)'!BL$6:BL$105)&gt;0,$E$1=2),0,1),0)</f>
        <v>1</v>
      </c>
      <c r="AZ45" s="67">
        <f ca="1">IF(LOWER(Capacity!$L57)="x",IF(AND(SUMIF(Capacity_Resource,$D45,'Critical resources (hide)'!BM$6:BM$105)+SUMIF(Capacity_Resource,$E45,'Critical resources (hide)'!BM$6:BM$105)+SUMIF(Capacity_Resource,$F45,'Critical resources (hide)'!BM$6:BM$105)&gt;0,$E$1=2),0,1),0)</f>
        <v>1</v>
      </c>
      <c r="BA45" s="67">
        <f ca="1">IF(LOWER(Capacity!$L57)="x",IF(AND(SUMIF(Capacity_Resource,$D45,'Critical resources (hide)'!BN$6:BN$105)+SUMIF(Capacity_Resource,$E45,'Critical resources (hide)'!BN$6:BN$105)+SUMIF(Capacity_Resource,$F45,'Critical resources (hide)'!BN$6:BN$105)&gt;0,$E$1=2),0,1),0)</f>
        <v>1</v>
      </c>
      <c r="BB45" s="67">
        <f ca="1">IF(LOWER(Capacity!$L57)="x",IF(AND(SUMIF(Capacity_Resource,$D45,'Critical resources (hide)'!BO$6:BO$105)+SUMIF(Capacity_Resource,$E45,'Critical resources (hide)'!BO$6:BO$105)+SUMIF(Capacity_Resource,$F45,'Critical resources (hide)'!BO$6:BO$105)&gt;0,$E$1=2),0,1),0)</f>
        <v>1</v>
      </c>
      <c r="BC45" s="67">
        <f ca="1">IF(LOWER(Capacity!$L57)="x",IF(AND(SUMIF(Capacity_Resource,$D45,'Critical resources (hide)'!BP$6:BP$105)+SUMIF(Capacity_Resource,$E45,'Critical resources (hide)'!BP$6:BP$105)+SUMIF(Capacity_Resource,$F45,'Critical resources (hide)'!BP$6:BP$105)&gt;0,$E$1=2),0,1),0)</f>
        <v>1</v>
      </c>
      <c r="BD45" s="67">
        <f ca="1">IF(LOWER(Capacity!$L57)="x",IF(AND(SUMIF(Capacity_Resource,$D45,'Critical resources (hide)'!BQ$6:BQ$105)+SUMIF(Capacity_Resource,$E45,'Critical resources (hide)'!BQ$6:BQ$105)+SUMIF(Capacity_Resource,$F45,'Critical resources (hide)'!BQ$6:BQ$105)&gt;0,$E$1=2),0,1),0)</f>
        <v>1</v>
      </c>
      <c r="BE45" s="67">
        <f ca="1">IF(LOWER(Capacity!$L57)="x",IF(AND(SUMIF(Capacity_Resource,$D45,'Critical resources (hide)'!BR$6:BR$105)+SUMIF(Capacity_Resource,$E45,'Critical resources (hide)'!BR$6:BR$105)+SUMIF(Capacity_Resource,$F45,'Critical resources (hide)'!BR$6:BR$105)&gt;0,$E$1=2),0,1),0)</f>
        <v>1</v>
      </c>
      <c r="BF45" s="67">
        <f ca="1">IF(LOWER(Capacity!$L57)="x",IF(AND(SUMIF(Capacity_Resource,$D45,'Critical resources (hide)'!BS$6:BS$105)+SUMIF(Capacity_Resource,$E45,'Critical resources (hide)'!BS$6:BS$105)+SUMIF(Capacity_Resource,$F45,'Critical resources (hide)'!BS$6:BS$105)&gt;0,$E$1=2),0,1),0)</f>
        <v>1</v>
      </c>
      <c r="BG45" s="67">
        <f ca="1">IF(LOWER(Capacity!$L57)="x",IF(AND(SUMIF(Capacity_Resource,$D45,'Critical resources (hide)'!BT$6:BT$105)+SUMIF(Capacity_Resource,$E45,'Critical resources (hide)'!BT$6:BT$105)+SUMIF(Capacity_Resource,$F45,'Critical resources (hide)'!BT$6:BT$105)&gt;0,$E$1=2),0,1),0)</f>
        <v>1</v>
      </c>
      <c r="BH45" s="67">
        <f>IF(ROW(C41)&lt;=Capacity!$A$16,IF('Capacity summary'!$D$14="No",SUM(H45:BG45),'Capacity summary'!$E164),0)</f>
        <v>0</v>
      </c>
      <c r="BI45" s="5" t="str">
        <f>IF(BH45&gt;0,IF(BH45&lt;Capacity!E57,Capacity!F57,Capacity!H57/'Capacity calculation (hide)'!BH45),"")</f>
        <v/>
      </c>
      <c r="BK45" s="311">
        <f>IF($BI45&lt;&gt;"",IF('Capacity summary'!$D$14="Yes",IF(COUNTBLANK('Capacity summary'!$H164:$BG164)&lt;52,IF('Capacity summary'!H164&lt;&gt;"",IF(LOWER('Capacity summary'!H164)="x",$BI45*H45,VALUE('Capacity summary'!H164)),0),H45*$BI45),H45*$BI45),0)</f>
        <v>0</v>
      </c>
      <c r="BL45" s="311">
        <f>IF($BI45&lt;&gt;"",IF('Capacity summary'!$D$14="Yes",IF(COUNTBLANK('Capacity summary'!$H164:$BG164)&lt;52,IF('Capacity summary'!I164&lt;&gt;"",IF(LOWER('Capacity summary'!I164)="x",$BI45*I45,VALUE('Capacity summary'!I164)),0),I45*$BI45),I45*$BI45),0)</f>
        <v>0</v>
      </c>
      <c r="BM45" s="311">
        <f>IF($BI45&lt;&gt;"",IF('Capacity summary'!$D$14="Yes",IF(COUNTBLANK('Capacity summary'!$H164:$BG164)&lt;52,IF('Capacity summary'!J164&lt;&gt;"",IF(LOWER('Capacity summary'!J164)="x",$BI45*J45,VALUE('Capacity summary'!J164)),0),J45*$BI45),J45*$BI45),0)</f>
        <v>0</v>
      </c>
      <c r="BN45" s="311">
        <f>IF($BI45&lt;&gt;"",IF('Capacity summary'!$D$14="Yes",IF(COUNTBLANK('Capacity summary'!$H164:$BG164)&lt;52,IF('Capacity summary'!K164&lt;&gt;"",IF(LOWER('Capacity summary'!K164)="x",$BI45*K45,VALUE('Capacity summary'!K164)),0),K45*$BI45),K45*$BI45),0)</f>
        <v>0</v>
      </c>
      <c r="BO45" s="311">
        <f>IF($BI45&lt;&gt;"",IF('Capacity summary'!$D$14="Yes",IF(COUNTBLANK('Capacity summary'!$H164:$BG164)&lt;52,IF('Capacity summary'!L164&lt;&gt;"",IF(LOWER('Capacity summary'!L164)="x",$BI45*L45,VALUE('Capacity summary'!L164)),0),L45*$BI45),L45*$BI45),0)</f>
        <v>0</v>
      </c>
      <c r="BP45" s="311">
        <f>IF($BI45&lt;&gt;"",IF('Capacity summary'!$D$14="Yes",IF(COUNTBLANK('Capacity summary'!$H164:$BG164)&lt;52,IF('Capacity summary'!M164&lt;&gt;"",IF(LOWER('Capacity summary'!M164)="x",$BI45*M45,VALUE('Capacity summary'!M164)),0),M45*$BI45),M45*$BI45),0)</f>
        <v>0</v>
      </c>
      <c r="BQ45" s="311">
        <f>IF($BI45&lt;&gt;"",IF('Capacity summary'!$D$14="Yes",IF(COUNTBLANK('Capacity summary'!$H164:$BG164)&lt;52,IF('Capacity summary'!N164&lt;&gt;"",IF(LOWER('Capacity summary'!N164)="x",$BI45*N45,VALUE('Capacity summary'!N164)),0),N45*$BI45),N45*$BI45),0)</f>
        <v>0</v>
      </c>
      <c r="BR45" s="311">
        <f>IF($BI45&lt;&gt;"",IF('Capacity summary'!$D$14="Yes",IF(COUNTBLANK('Capacity summary'!$H164:$BG164)&lt;52,IF('Capacity summary'!O164&lt;&gt;"",IF(LOWER('Capacity summary'!O164)="x",$BI45*O45,VALUE('Capacity summary'!O164)),0),O45*$BI45),O45*$BI45),0)</f>
        <v>0</v>
      </c>
      <c r="BS45" s="311">
        <f>IF($BI45&lt;&gt;"",IF('Capacity summary'!$D$14="Yes",IF(COUNTBLANK('Capacity summary'!$H164:$BG164)&lt;52,IF('Capacity summary'!P164&lt;&gt;"",IF(LOWER('Capacity summary'!P164)="x",$BI45*P45,VALUE('Capacity summary'!P164)),0),P45*$BI45),P45*$BI45),0)</f>
        <v>0</v>
      </c>
      <c r="BT45" s="311">
        <f>IF($BI45&lt;&gt;"",IF('Capacity summary'!$D$14="Yes",IF(COUNTBLANK('Capacity summary'!$H164:$BG164)&lt;52,IF('Capacity summary'!Q164&lt;&gt;"",IF(LOWER('Capacity summary'!Q164)="x",$BI45*Q45,VALUE('Capacity summary'!Q164)),0),Q45*$BI45),Q45*$BI45),0)</f>
        <v>0</v>
      </c>
      <c r="BU45" s="311">
        <f>IF($BI45&lt;&gt;"",IF('Capacity summary'!$D$14="Yes",IF(COUNTBLANK('Capacity summary'!$H164:$BG164)&lt;52,IF('Capacity summary'!R164&lt;&gt;"",IF(LOWER('Capacity summary'!R164)="x",$BI45*R45,VALUE('Capacity summary'!R164)),0),R45*$BI45),R45*$BI45),0)</f>
        <v>0</v>
      </c>
      <c r="BV45" s="311">
        <f>IF($BI45&lt;&gt;"",IF('Capacity summary'!$D$14="Yes",IF(COUNTBLANK('Capacity summary'!$H164:$BG164)&lt;52,IF('Capacity summary'!S164&lt;&gt;"",IF(LOWER('Capacity summary'!S164)="x",$BI45*S45,VALUE('Capacity summary'!S164)),0),S45*$BI45),S45*$BI45),0)</f>
        <v>0</v>
      </c>
      <c r="BW45" s="311">
        <f>IF($BI45&lt;&gt;"",IF('Capacity summary'!$D$14="Yes",IF(COUNTBLANK('Capacity summary'!$H164:$BG164)&lt;52,IF('Capacity summary'!T164&lt;&gt;"",IF(LOWER('Capacity summary'!T164)="x",$BI45*T45,VALUE('Capacity summary'!T164)),0),T45*$BI45),T45*$BI45),0)</f>
        <v>0</v>
      </c>
      <c r="BX45" s="311">
        <f>IF($BI45&lt;&gt;"",IF('Capacity summary'!$D$14="Yes",IF(COUNTBLANK('Capacity summary'!$H164:$BG164)&lt;52,IF('Capacity summary'!U164&lt;&gt;"",IF(LOWER('Capacity summary'!U164)="x",$BI45*U45,VALUE('Capacity summary'!U164)),0),U45*$BI45),U45*$BI45),0)</f>
        <v>0</v>
      </c>
      <c r="BY45" s="311">
        <f>IF($BI45&lt;&gt;"",IF('Capacity summary'!$D$14="Yes",IF(COUNTBLANK('Capacity summary'!$H164:$BG164)&lt;52,IF('Capacity summary'!V164&lt;&gt;"",IF(LOWER('Capacity summary'!V164)="x",$BI45*V45,VALUE('Capacity summary'!V164)),0),V45*$BI45),V45*$BI45),0)</f>
        <v>0</v>
      </c>
      <c r="BZ45" s="311">
        <f>IF($BI45&lt;&gt;"",IF('Capacity summary'!$D$14="Yes",IF(COUNTBLANK('Capacity summary'!$H164:$BG164)&lt;52,IF('Capacity summary'!W164&lt;&gt;"",IF(LOWER('Capacity summary'!W164)="x",$BI45*W45,VALUE('Capacity summary'!W164)),0),W45*$BI45),W45*$BI45),0)</f>
        <v>0</v>
      </c>
      <c r="CA45" s="311">
        <f>IF($BI45&lt;&gt;"",IF('Capacity summary'!$D$14="Yes",IF(COUNTBLANK('Capacity summary'!$H164:$BG164)&lt;52,IF('Capacity summary'!X164&lt;&gt;"",IF(LOWER('Capacity summary'!X164)="x",$BI45*X45,VALUE('Capacity summary'!X164)),0),X45*$BI45),X45*$BI45),0)</f>
        <v>0</v>
      </c>
      <c r="CB45" s="311">
        <f>IF($BI45&lt;&gt;"",IF('Capacity summary'!$D$14="Yes",IF(COUNTBLANK('Capacity summary'!$H164:$BG164)&lt;52,IF('Capacity summary'!Y164&lt;&gt;"",IF(LOWER('Capacity summary'!Y164)="x",$BI45*Y45,VALUE('Capacity summary'!Y164)),0),Y45*$BI45),Y45*$BI45),0)</f>
        <v>0</v>
      </c>
      <c r="CC45" s="311">
        <f>IF($BI45&lt;&gt;"",IF('Capacity summary'!$D$14="Yes",IF(COUNTBLANK('Capacity summary'!$H164:$BG164)&lt;52,IF('Capacity summary'!Z164&lt;&gt;"",IF(LOWER('Capacity summary'!Z164)="x",$BI45*Z45,VALUE('Capacity summary'!Z164)),0),Z45*$BI45),Z45*$BI45),0)</f>
        <v>0</v>
      </c>
      <c r="CD45" s="311">
        <f>IF($BI45&lt;&gt;"",IF('Capacity summary'!$D$14="Yes",IF(COUNTBLANK('Capacity summary'!$H164:$BG164)&lt;52,IF('Capacity summary'!AA164&lt;&gt;"",IF(LOWER('Capacity summary'!AA164)="x",$BI45*AA45,VALUE('Capacity summary'!AA164)),0),AA45*$BI45),AA45*$BI45),0)</f>
        <v>0</v>
      </c>
      <c r="CE45" s="311">
        <f>IF($BI45&lt;&gt;"",IF('Capacity summary'!$D$14="Yes",IF(COUNTBLANK('Capacity summary'!$H164:$BG164)&lt;52,IF('Capacity summary'!AB164&lt;&gt;"",IF(LOWER('Capacity summary'!AB164)="x",$BI45*AB45,VALUE('Capacity summary'!AB164)),0),AB45*$BI45),AB45*$BI45),0)</f>
        <v>0</v>
      </c>
      <c r="CF45" s="311">
        <f>IF($BI45&lt;&gt;"",IF('Capacity summary'!$D$14="Yes",IF(COUNTBLANK('Capacity summary'!$H164:$BG164)&lt;52,IF('Capacity summary'!AC164&lt;&gt;"",IF(LOWER('Capacity summary'!AC164)="x",$BI45*AC45,VALUE('Capacity summary'!AC164)),0),AC45*$BI45),AC45*$BI45),0)</f>
        <v>0</v>
      </c>
      <c r="CG45" s="311">
        <f>IF($BI45&lt;&gt;"",IF('Capacity summary'!$D$14="Yes",IF(COUNTBLANK('Capacity summary'!$H164:$BG164)&lt;52,IF('Capacity summary'!AD164&lt;&gt;"",IF(LOWER('Capacity summary'!AD164)="x",$BI45*AD45,VALUE('Capacity summary'!AD164)),0),AD45*$BI45),AD45*$BI45),0)</f>
        <v>0</v>
      </c>
      <c r="CH45" s="311">
        <f>IF($BI45&lt;&gt;"",IF('Capacity summary'!$D$14="Yes",IF(COUNTBLANK('Capacity summary'!$H164:$BG164)&lt;52,IF('Capacity summary'!AE164&lt;&gt;"",IF(LOWER('Capacity summary'!AE164)="x",$BI45*AE45,VALUE('Capacity summary'!AE164)),0),AE45*$BI45),AE45*$BI45),0)</f>
        <v>0</v>
      </c>
      <c r="CI45" s="311">
        <f>IF($BI45&lt;&gt;"",IF('Capacity summary'!$D$14="Yes",IF(COUNTBLANK('Capacity summary'!$H164:$BG164)&lt;52,IF('Capacity summary'!AF164&lt;&gt;"",IF(LOWER('Capacity summary'!AF164)="x",$BI45*AF45,VALUE('Capacity summary'!AF164)),0),AF45*$BI45),AF45*$BI45),0)</f>
        <v>0</v>
      </c>
      <c r="CJ45" s="311">
        <f>IF($BI45&lt;&gt;"",IF('Capacity summary'!$D$14="Yes",IF(COUNTBLANK('Capacity summary'!$H164:$BG164)&lt;52,IF('Capacity summary'!AG164&lt;&gt;"",IF(LOWER('Capacity summary'!AG164)="x",$BI45*AG45,VALUE('Capacity summary'!AG164)),0),AG45*$BI45),AG45*$BI45),0)</f>
        <v>0</v>
      </c>
      <c r="CK45" s="311">
        <f>IF($BI45&lt;&gt;"",IF('Capacity summary'!$D$14="Yes",IF(COUNTBLANK('Capacity summary'!$H164:$BG164)&lt;52,IF('Capacity summary'!AH164&lt;&gt;"",IF(LOWER('Capacity summary'!AH164)="x",$BI45*AH45,VALUE('Capacity summary'!AH164)),0),AH45*$BI45),AH45*$BI45),0)</f>
        <v>0</v>
      </c>
      <c r="CL45" s="311">
        <f>IF($BI45&lt;&gt;"",IF('Capacity summary'!$D$14="Yes",IF(COUNTBLANK('Capacity summary'!$H164:$BG164)&lt;52,IF('Capacity summary'!AI164&lt;&gt;"",IF(LOWER('Capacity summary'!AI164)="x",$BI45*AI45,VALUE('Capacity summary'!AI164)),0),AI45*$BI45),AI45*$BI45),0)</f>
        <v>0</v>
      </c>
      <c r="CM45" s="311">
        <f>IF($BI45&lt;&gt;"",IF('Capacity summary'!$D$14="Yes",IF(COUNTBLANK('Capacity summary'!$H164:$BG164)&lt;52,IF('Capacity summary'!AJ164&lt;&gt;"",IF(LOWER('Capacity summary'!AJ164)="x",$BI45*AJ45,VALUE('Capacity summary'!AJ164)),0),AJ45*$BI45),AJ45*$BI45),0)</f>
        <v>0</v>
      </c>
      <c r="CN45" s="311">
        <f>IF($BI45&lt;&gt;"",IF('Capacity summary'!$D$14="Yes",IF(COUNTBLANK('Capacity summary'!$H164:$BG164)&lt;52,IF('Capacity summary'!AK164&lt;&gt;"",IF(LOWER('Capacity summary'!AK164)="x",$BI45*AK45,VALUE('Capacity summary'!AK164)),0),AK45*$BI45),AK45*$BI45),0)</f>
        <v>0</v>
      </c>
      <c r="CO45" s="311">
        <f>IF($BI45&lt;&gt;"",IF('Capacity summary'!$D$14="Yes",IF(COUNTBLANK('Capacity summary'!$H164:$BG164)&lt;52,IF('Capacity summary'!AL164&lt;&gt;"",IF(LOWER('Capacity summary'!AL164)="x",$BI45*AL45,VALUE('Capacity summary'!AL164)),0),AL45*$BI45),AL45*$BI45),0)</f>
        <v>0</v>
      </c>
      <c r="CP45" s="311">
        <f>IF($BI45&lt;&gt;"",IF('Capacity summary'!$D$14="Yes",IF(COUNTBLANK('Capacity summary'!$H164:$BG164)&lt;52,IF('Capacity summary'!AM164&lt;&gt;"",IF(LOWER('Capacity summary'!AM164)="x",$BI45*AM45,VALUE('Capacity summary'!AM164)),0),AM45*$BI45),AM45*$BI45),0)</f>
        <v>0</v>
      </c>
      <c r="CQ45" s="311">
        <f>IF($BI45&lt;&gt;"",IF('Capacity summary'!$D$14="Yes",IF(COUNTBLANK('Capacity summary'!$H164:$BG164)&lt;52,IF('Capacity summary'!AN164&lt;&gt;"",IF(LOWER('Capacity summary'!AN164)="x",$BI45*AN45,VALUE('Capacity summary'!AN164)),0),AN45*$BI45),AN45*$BI45),0)</f>
        <v>0</v>
      </c>
      <c r="CR45" s="311">
        <f>IF($BI45&lt;&gt;"",IF('Capacity summary'!$D$14="Yes",IF(COUNTBLANK('Capacity summary'!$H164:$BG164)&lt;52,IF('Capacity summary'!AO164&lt;&gt;"",IF(LOWER('Capacity summary'!AO164)="x",$BI45*AO45,VALUE('Capacity summary'!AO164)),0),AO45*$BI45),AO45*$BI45),0)</f>
        <v>0</v>
      </c>
      <c r="CS45" s="311">
        <f>IF($BI45&lt;&gt;"",IF('Capacity summary'!$D$14="Yes",IF(COUNTBLANK('Capacity summary'!$H164:$BG164)&lt;52,IF('Capacity summary'!AP164&lt;&gt;"",IF(LOWER('Capacity summary'!AP164)="x",$BI45*AP45,VALUE('Capacity summary'!AP164)),0),AP45*$BI45),AP45*$BI45),0)</f>
        <v>0</v>
      </c>
      <c r="CT45" s="311">
        <f>IF($BI45&lt;&gt;"",IF('Capacity summary'!$D$14="Yes",IF(COUNTBLANK('Capacity summary'!$H164:$BG164)&lt;52,IF('Capacity summary'!AQ164&lt;&gt;"",IF(LOWER('Capacity summary'!AQ164)="x",$BI45*AQ45,VALUE('Capacity summary'!AQ164)),0),AQ45*$BI45),AQ45*$BI45),0)</f>
        <v>0</v>
      </c>
      <c r="CU45" s="311">
        <f>IF($BI45&lt;&gt;"",IF('Capacity summary'!$D$14="Yes",IF(COUNTBLANK('Capacity summary'!$H164:$BG164)&lt;52,IF('Capacity summary'!AR164&lt;&gt;"",IF(LOWER('Capacity summary'!AR164)="x",$BI45*AR45,VALUE('Capacity summary'!AR164)),0),AR45*$BI45),AR45*$BI45),0)</f>
        <v>0</v>
      </c>
      <c r="CV45" s="311">
        <f>IF($BI45&lt;&gt;"",IF('Capacity summary'!$D$14="Yes",IF(COUNTBLANK('Capacity summary'!$H164:$BG164)&lt;52,IF('Capacity summary'!AS164&lt;&gt;"",IF(LOWER('Capacity summary'!AS164)="x",$BI45*AS45,VALUE('Capacity summary'!AS164)),0),AS45*$BI45),AS45*$BI45),0)</f>
        <v>0</v>
      </c>
      <c r="CW45" s="311">
        <f>IF($BI45&lt;&gt;"",IF('Capacity summary'!$D$14="Yes",IF(COUNTBLANK('Capacity summary'!$H164:$BG164)&lt;52,IF('Capacity summary'!AT164&lt;&gt;"",IF(LOWER('Capacity summary'!AT164)="x",$BI45*AT45,VALUE('Capacity summary'!AT164)),0),AT45*$BI45),AT45*$BI45),0)</f>
        <v>0</v>
      </c>
      <c r="CX45" s="311">
        <f>IF($BI45&lt;&gt;"",IF('Capacity summary'!$D$14="Yes",IF(COUNTBLANK('Capacity summary'!$H164:$BG164)&lt;52,IF('Capacity summary'!AU164&lt;&gt;"",IF(LOWER('Capacity summary'!AU164)="x",$BI45*AU45,VALUE('Capacity summary'!AU164)),0),AU45*$BI45),AU45*$BI45),0)</f>
        <v>0</v>
      </c>
      <c r="CY45" s="311">
        <f>IF($BI45&lt;&gt;"",IF('Capacity summary'!$D$14="Yes",IF(COUNTBLANK('Capacity summary'!$H164:$BG164)&lt;52,IF('Capacity summary'!AV164&lt;&gt;"",IF(LOWER('Capacity summary'!AV164)="x",$BI45*AV45,VALUE('Capacity summary'!AV164)),0),AV45*$BI45),AV45*$BI45),0)</f>
        <v>0</v>
      </c>
      <c r="CZ45" s="311">
        <f>IF($BI45&lt;&gt;"",IF('Capacity summary'!$D$14="Yes",IF(COUNTBLANK('Capacity summary'!$H164:$BG164)&lt;52,IF('Capacity summary'!AW164&lt;&gt;"",IF(LOWER('Capacity summary'!AW164)="x",$BI45*AW45,VALUE('Capacity summary'!AW164)),0),AW45*$BI45),AW45*$BI45),0)</f>
        <v>0</v>
      </c>
      <c r="DA45" s="311">
        <f>IF($BI45&lt;&gt;"",IF('Capacity summary'!$D$14="Yes",IF(COUNTBLANK('Capacity summary'!$H164:$BG164)&lt;52,IF('Capacity summary'!AX164&lt;&gt;"",IF(LOWER('Capacity summary'!AX164)="x",$BI45*AX45,VALUE('Capacity summary'!AX164)),0),AX45*$BI45),AX45*$BI45),0)</f>
        <v>0</v>
      </c>
      <c r="DB45" s="311">
        <f>IF($BI45&lt;&gt;"",IF('Capacity summary'!$D$14="Yes",IF(COUNTBLANK('Capacity summary'!$H164:$BG164)&lt;52,IF('Capacity summary'!AY164&lt;&gt;"",IF(LOWER('Capacity summary'!AY164)="x",$BI45*AY45,VALUE('Capacity summary'!AY164)),0),AY45*$BI45),AY45*$BI45),0)</f>
        <v>0</v>
      </c>
      <c r="DC45" s="311">
        <f>IF($BI45&lt;&gt;"",IF('Capacity summary'!$D$14="Yes",IF(COUNTBLANK('Capacity summary'!$H164:$BG164)&lt;52,IF('Capacity summary'!AZ164&lt;&gt;"",IF(LOWER('Capacity summary'!AZ164)="x",$BI45*AZ45,VALUE('Capacity summary'!AZ164)),0),AZ45*$BI45),AZ45*$BI45),0)</f>
        <v>0</v>
      </c>
      <c r="DD45" s="311">
        <f>IF($BI45&lt;&gt;"",IF('Capacity summary'!$D$14="Yes",IF(COUNTBLANK('Capacity summary'!$H164:$BG164)&lt;52,IF('Capacity summary'!BA164&lt;&gt;"",IF(LOWER('Capacity summary'!BA164)="x",$BI45*BA45,VALUE('Capacity summary'!BA164)),0),BA45*$BI45),BA45*$BI45),0)</f>
        <v>0</v>
      </c>
      <c r="DE45" s="311">
        <f>IF($BI45&lt;&gt;"",IF('Capacity summary'!$D$14="Yes",IF(COUNTBLANK('Capacity summary'!$H164:$BG164)&lt;52,IF('Capacity summary'!BB164&lt;&gt;"",IF(LOWER('Capacity summary'!BB164)="x",$BI45*BB45,VALUE('Capacity summary'!BB164)),0),BB45*$BI45),BB45*$BI45),0)</f>
        <v>0</v>
      </c>
      <c r="DF45" s="311">
        <f>IF($BI45&lt;&gt;"",IF('Capacity summary'!$D$14="Yes",IF(COUNTBLANK('Capacity summary'!$H164:$BG164)&lt;52,IF('Capacity summary'!BC164&lt;&gt;"",IF(LOWER('Capacity summary'!BC164)="x",$BI45*BC45,VALUE('Capacity summary'!BC164)),0),BC45*$BI45),BC45*$BI45),0)</f>
        <v>0</v>
      </c>
      <c r="DG45" s="311">
        <f>IF($BI45&lt;&gt;"",IF('Capacity summary'!$D$14="Yes",IF(COUNTBLANK('Capacity summary'!$H164:$BG164)&lt;52,IF('Capacity summary'!BD164&lt;&gt;"",IF(LOWER('Capacity summary'!BD164)="x",$BI45*BD45,VALUE('Capacity summary'!BD164)),0),BD45*$BI45),BD45*$BI45),0)</f>
        <v>0</v>
      </c>
      <c r="DH45" s="311">
        <f>IF($BI45&lt;&gt;"",IF('Capacity summary'!$D$14="Yes",IF(COUNTBLANK('Capacity summary'!$H164:$BG164)&lt;52,IF('Capacity summary'!BE164&lt;&gt;"",IF(LOWER('Capacity summary'!BE164)="x",$BI45*BE45,VALUE('Capacity summary'!BE164)),0),BE45*$BI45),BE45*$BI45),0)</f>
        <v>0</v>
      </c>
      <c r="DI45" s="311">
        <f>IF($BI45&lt;&gt;"",IF('Capacity summary'!$D$14="Yes",IF(COUNTBLANK('Capacity summary'!$H164:$BG164)&lt;52,IF('Capacity summary'!BF164&lt;&gt;"",IF(LOWER('Capacity summary'!BF164)="x",$BI45*BF45,VALUE('Capacity summary'!BF164)),0),BF45*$BI45),BF45*$BI45),0)</f>
        <v>0</v>
      </c>
      <c r="DJ45" s="311">
        <f>IF($BI45&lt;&gt;"",IF('Capacity summary'!$D$14="Yes",IF(COUNTBLANK('Capacity summary'!$H164:$BG164)&lt;52,IF('Capacity summary'!BG164&lt;&gt;"",IF(LOWER('Capacity summary'!BG164)="x",$BI45*BG45,VALUE('Capacity summary'!BG164)),0),BG45*$BI45),BG45*$BI45),0)</f>
        <v>0</v>
      </c>
      <c r="DK45" s="391">
        <f t="shared" si="2"/>
        <v>0</v>
      </c>
      <c r="DL45" s="136">
        <f t="shared" si="3"/>
        <v>0</v>
      </c>
      <c r="DM45" s="311" t="str">
        <f>Capacity!H57</f>
        <v/>
      </c>
      <c r="DQ45" s="5"/>
    </row>
    <row r="46" spans="1:121" x14ac:dyDescent="0.2">
      <c r="A46" s="67">
        <f>IF(Capacity!L58='Capacity summary'!BI165,1,0)</f>
        <v>1</v>
      </c>
      <c r="B46" s="67">
        <f>IF(Capacity!V58='Capacity summary'!BI65,1,0)</f>
        <v>1</v>
      </c>
      <c r="C46" s="67" t="str">
        <f>ROW(A42)&amp;". "&amp;Capacity!B58</f>
        <v xml:space="preserve">42. </v>
      </c>
      <c r="D46" s="67">
        <f>'Capacity setup'!C53</f>
        <v>0</v>
      </c>
      <c r="E46" s="67">
        <f>'Capacity setup'!D53</f>
        <v>0</v>
      </c>
      <c r="F46" s="67">
        <f>'Capacity setup'!E53</f>
        <v>0</v>
      </c>
      <c r="H46" s="67">
        <f ca="1">IF(LOWER(Capacity!$L58)="x",IF(AND(SUMIF(Capacity_Resource,$D46,'Critical resources (hide)'!U$6:U$105)+SUMIF(Capacity_Resource,$E46,'Critical resources (hide)'!U$6:U$105)+SUMIF(Capacity_Resource,$F46,'Critical resources (hide)'!U$6:U$105)&gt;0,$E$1=2),0,1),0)</f>
        <v>1</v>
      </c>
      <c r="I46" s="67">
        <f ca="1">IF(LOWER(Capacity!$L58)="x",IF(AND(SUMIF(Capacity_Resource,$D46,'Critical resources (hide)'!V$6:V$105)+SUMIF(Capacity_Resource,$E46,'Critical resources (hide)'!V$6:V$105)+SUMIF(Capacity_Resource,$F46,'Critical resources (hide)'!V$6:V$105)&gt;0,$E$1=2),0,1),0)</f>
        <v>1</v>
      </c>
      <c r="J46" s="67">
        <f ca="1">IF(LOWER(Capacity!$L58)="x",IF(AND(SUMIF(Capacity_Resource,$D46,'Critical resources (hide)'!W$6:W$105)+SUMIF(Capacity_Resource,$E46,'Critical resources (hide)'!W$6:W$105)+SUMIF(Capacity_Resource,$F46,'Critical resources (hide)'!W$6:W$105)&gt;0,$E$1=2),0,1),0)</f>
        <v>1</v>
      </c>
      <c r="K46" s="67">
        <f ca="1">IF(LOWER(Capacity!$L58)="x",IF(AND(SUMIF(Capacity_Resource,$D46,'Critical resources (hide)'!X$6:X$105)+SUMIF(Capacity_Resource,$E46,'Critical resources (hide)'!X$6:X$105)+SUMIF(Capacity_Resource,$F46,'Critical resources (hide)'!X$6:X$105)&gt;0,$E$1=2),0,1),0)</f>
        <v>1</v>
      </c>
      <c r="L46" s="67">
        <f ca="1">IF(LOWER(Capacity!$L58)="x",IF(AND(SUMIF(Capacity_Resource,$D46,'Critical resources (hide)'!Y$6:Y$105)+SUMIF(Capacity_Resource,$E46,'Critical resources (hide)'!Y$6:Y$105)+SUMIF(Capacity_Resource,$F46,'Critical resources (hide)'!Y$6:Y$105)&gt;0,$E$1=2),0,1),0)</f>
        <v>1</v>
      </c>
      <c r="M46" s="67">
        <f ca="1">IF(LOWER(Capacity!$L58)="x",IF(AND(SUMIF(Capacity_Resource,$D46,'Critical resources (hide)'!Z$6:Z$105)+SUMIF(Capacity_Resource,$E46,'Critical resources (hide)'!Z$6:Z$105)+SUMIF(Capacity_Resource,$F46,'Critical resources (hide)'!Z$6:Z$105)&gt;0,$E$1=2),0,1),0)</f>
        <v>1</v>
      </c>
      <c r="N46" s="67">
        <f ca="1">IF(LOWER(Capacity!$L58)="x",IF(AND(SUMIF(Capacity_Resource,$D46,'Critical resources (hide)'!AA$6:AA$105)+SUMIF(Capacity_Resource,$E46,'Critical resources (hide)'!AA$6:AA$105)+SUMIF(Capacity_Resource,$F46,'Critical resources (hide)'!AA$6:AA$105)&gt;0,$E$1=2),0,1),0)</f>
        <v>1</v>
      </c>
      <c r="O46" s="67">
        <f ca="1">IF(LOWER(Capacity!$L58)="x",IF(AND(SUMIF(Capacity_Resource,$D46,'Critical resources (hide)'!AB$6:AB$105)+SUMIF(Capacity_Resource,$E46,'Critical resources (hide)'!AB$6:AB$105)+SUMIF(Capacity_Resource,$F46,'Critical resources (hide)'!AB$6:AB$105)&gt;0,$E$1=2),0,1),0)</f>
        <v>1</v>
      </c>
      <c r="P46" s="67">
        <f ca="1">IF(LOWER(Capacity!$L58)="x",IF(AND(SUMIF(Capacity_Resource,$D46,'Critical resources (hide)'!AC$6:AC$105)+SUMIF(Capacity_Resource,$E46,'Critical resources (hide)'!AC$6:AC$105)+SUMIF(Capacity_Resource,$F46,'Critical resources (hide)'!AC$6:AC$105)&gt;0,$E$1=2),0,1),0)</f>
        <v>1</v>
      </c>
      <c r="Q46" s="67">
        <f ca="1">IF(LOWER(Capacity!$L58)="x",IF(AND(SUMIF(Capacity_Resource,$D46,'Critical resources (hide)'!AD$6:AD$105)+SUMIF(Capacity_Resource,$E46,'Critical resources (hide)'!AD$6:AD$105)+SUMIF(Capacity_Resource,$F46,'Critical resources (hide)'!AD$6:AD$105)&gt;0,$E$1=2),0,1),0)</f>
        <v>1</v>
      </c>
      <c r="R46" s="67">
        <f ca="1">IF(LOWER(Capacity!$L58)="x",IF(AND(SUMIF(Capacity_Resource,$D46,'Critical resources (hide)'!AE$6:AE$105)+SUMIF(Capacity_Resource,$E46,'Critical resources (hide)'!AE$6:AE$105)+SUMIF(Capacity_Resource,$F46,'Critical resources (hide)'!AE$6:AE$105)&gt;0,$E$1=2),0,1),0)</f>
        <v>1</v>
      </c>
      <c r="S46" s="67">
        <f ca="1">IF(LOWER(Capacity!$L58)="x",IF(AND(SUMIF(Capacity_Resource,$D46,'Critical resources (hide)'!AF$6:AF$105)+SUMIF(Capacity_Resource,$E46,'Critical resources (hide)'!AF$6:AF$105)+SUMIF(Capacity_Resource,$F46,'Critical resources (hide)'!AF$6:AF$105)&gt;0,$E$1=2),0,1),0)</f>
        <v>1</v>
      </c>
      <c r="T46" s="67">
        <f ca="1">IF(LOWER(Capacity!$L58)="x",IF(AND(SUMIF(Capacity_Resource,$D46,'Critical resources (hide)'!AG$6:AG$105)+SUMIF(Capacity_Resource,$E46,'Critical resources (hide)'!AG$6:AG$105)+SUMIF(Capacity_Resource,$F46,'Critical resources (hide)'!AG$6:AG$105)&gt;0,$E$1=2),0,1),0)</f>
        <v>1</v>
      </c>
      <c r="U46" s="67">
        <f ca="1">IF(LOWER(Capacity!$L58)="x",IF(AND(SUMIF(Capacity_Resource,$D46,'Critical resources (hide)'!AH$6:AH$105)+SUMIF(Capacity_Resource,$E46,'Critical resources (hide)'!AH$6:AH$105)+SUMIF(Capacity_Resource,$F46,'Critical resources (hide)'!AH$6:AH$105)&gt;0,$E$1=2),0,1),0)</f>
        <v>1</v>
      </c>
      <c r="V46" s="67">
        <f ca="1">IF(LOWER(Capacity!$L58)="x",IF(AND(SUMIF(Capacity_Resource,$D46,'Critical resources (hide)'!AI$6:AI$105)+SUMIF(Capacity_Resource,$E46,'Critical resources (hide)'!AI$6:AI$105)+SUMIF(Capacity_Resource,$F46,'Critical resources (hide)'!AI$6:AI$105)&gt;0,$E$1=2),0,1),0)</f>
        <v>1</v>
      </c>
      <c r="W46" s="67">
        <f ca="1">IF(LOWER(Capacity!$L58)="x",IF(AND(SUMIF(Capacity_Resource,$D46,'Critical resources (hide)'!AJ$6:AJ$105)+SUMIF(Capacity_Resource,$E46,'Critical resources (hide)'!AJ$6:AJ$105)+SUMIF(Capacity_Resource,$F46,'Critical resources (hide)'!AJ$6:AJ$105)&gt;0,$E$1=2),0,1),0)</f>
        <v>1</v>
      </c>
      <c r="X46" s="67">
        <f ca="1">IF(LOWER(Capacity!$L58)="x",IF(AND(SUMIF(Capacity_Resource,$D46,'Critical resources (hide)'!AK$6:AK$105)+SUMIF(Capacity_Resource,$E46,'Critical resources (hide)'!AK$6:AK$105)+SUMIF(Capacity_Resource,$F46,'Critical resources (hide)'!AK$6:AK$105)&gt;0,$E$1=2),0,1),0)</f>
        <v>1</v>
      </c>
      <c r="Y46" s="67">
        <f ca="1">IF(LOWER(Capacity!$L58)="x",IF(AND(SUMIF(Capacity_Resource,$D46,'Critical resources (hide)'!AL$6:AL$105)+SUMIF(Capacity_Resource,$E46,'Critical resources (hide)'!AL$6:AL$105)+SUMIF(Capacity_Resource,$F46,'Critical resources (hide)'!AL$6:AL$105)&gt;0,$E$1=2),0,1),0)</f>
        <v>1</v>
      </c>
      <c r="Z46" s="67">
        <f ca="1">IF(LOWER(Capacity!$L58)="x",IF(AND(SUMIF(Capacity_Resource,$D46,'Critical resources (hide)'!AM$6:AM$105)+SUMIF(Capacity_Resource,$E46,'Critical resources (hide)'!AM$6:AM$105)+SUMIF(Capacity_Resource,$F46,'Critical resources (hide)'!AM$6:AM$105)&gt;0,$E$1=2),0,1),0)</f>
        <v>1</v>
      </c>
      <c r="AA46" s="67">
        <f ca="1">IF(LOWER(Capacity!$L58)="x",IF(AND(SUMIF(Capacity_Resource,$D46,'Critical resources (hide)'!AN$6:AN$105)+SUMIF(Capacity_Resource,$E46,'Critical resources (hide)'!AN$6:AN$105)+SUMIF(Capacity_Resource,$F46,'Critical resources (hide)'!AN$6:AN$105)&gt;0,$E$1=2),0,1),0)</f>
        <v>1</v>
      </c>
      <c r="AB46" s="67">
        <f ca="1">IF(LOWER(Capacity!$L58)="x",IF(AND(SUMIF(Capacity_Resource,$D46,'Critical resources (hide)'!AO$6:AO$105)+SUMIF(Capacity_Resource,$E46,'Critical resources (hide)'!AO$6:AO$105)+SUMIF(Capacity_Resource,$F46,'Critical resources (hide)'!AO$6:AO$105)&gt;0,$E$1=2),0,1),0)</f>
        <v>1</v>
      </c>
      <c r="AC46" s="67">
        <f ca="1">IF(LOWER(Capacity!$L58)="x",IF(AND(SUMIF(Capacity_Resource,$D46,'Critical resources (hide)'!AP$6:AP$105)+SUMIF(Capacity_Resource,$E46,'Critical resources (hide)'!AP$6:AP$105)+SUMIF(Capacity_Resource,$F46,'Critical resources (hide)'!AP$6:AP$105)&gt;0,$E$1=2),0,1),0)</f>
        <v>1</v>
      </c>
      <c r="AD46" s="67">
        <f ca="1">IF(LOWER(Capacity!$L58)="x",IF(AND(SUMIF(Capacity_Resource,$D46,'Critical resources (hide)'!AQ$6:AQ$105)+SUMIF(Capacity_Resource,$E46,'Critical resources (hide)'!AQ$6:AQ$105)+SUMIF(Capacity_Resource,$F46,'Critical resources (hide)'!AQ$6:AQ$105)&gt;0,$E$1=2),0,1),0)</f>
        <v>1</v>
      </c>
      <c r="AE46" s="67">
        <f ca="1">IF(LOWER(Capacity!$L58)="x",IF(AND(SUMIF(Capacity_Resource,$D46,'Critical resources (hide)'!AR$6:AR$105)+SUMIF(Capacity_Resource,$E46,'Critical resources (hide)'!AR$6:AR$105)+SUMIF(Capacity_Resource,$F46,'Critical resources (hide)'!AR$6:AR$105)&gt;0,$E$1=2),0,1),0)</f>
        <v>1</v>
      </c>
      <c r="AF46" s="67">
        <f ca="1">IF(LOWER(Capacity!$L58)="x",IF(AND(SUMIF(Capacity_Resource,$D46,'Critical resources (hide)'!AS$6:AS$105)+SUMIF(Capacity_Resource,$E46,'Critical resources (hide)'!AS$6:AS$105)+SUMIF(Capacity_Resource,$F46,'Critical resources (hide)'!AS$6:AS$105)&gt;0,$E$1=2),0,1),0)</f>
        <v>1</v>
      </c>
      <c r="AG46" s="67">
        <f ca="1">IF(LOWER(Capacity!$L58)="x",IF(AND(SUMIF(Capacity_Resource,$D46,'Critical resources (hide)'!AT$6:AT$105)+SUMIF(Capacity_Resource,$E46,'Critical resources (hide)'!AT$6:AT$105)+SUMIF(Capacity_Resource,$F46,'Critical resources (hide)'!AT$6:AT$105)&gt;0,$E$1=2),0,1),0)</f>
        <v>1</v>
      </c>
      <c r="AH46" s="67">
        <f ca="1">IF(LOWER(Capacity!$L58)="x",IF(AND(SUMIF(Capacity_Resource,$D46,'Critical resources (hide)'!AU$6:AU$105)+SUMIF(Capacity_Resource,$E46,'Critical resources (hide)'!AU$6:AU$105)+SUMIF(Capacity_Resource,$F46,'Critical resources (hide)'!AU$6:AU$105)&gt;0,$E$1=2),0,1),0)</f>
        <v>1</v>
      </c>
      <c r="AI46" s="67">
        <f ca="1">IF(LOWER(Capacity!$L58)="x",IF(AND(SUMIF(Capacity_Resource,$D46,'Critical resources (hide)'!AV$6:AV$105)+SUMIF(Capacity_Resource,$E46,'Critical resources (hide)'!AV$6:AV$105)+SUMIF(Capacity_Resource,$F46,'Critical resources (hide)'!AV$6:AV$105)&gt;0,$E$1=2),0,1),0)</f>
        <v>1</v>
      </c>
      <c r="AJ46" s="67">
        <f ca="1">IF(LOWER(Capacity!$L58)="x",IF(AND(SUMIF(Capacity_Resource,$D46,'Critical resources (hide)'!AW$6:AW$105)+SUMIF(Capacity_Resource,$E46,'Critical resources (hide)'!AW$6:AW$105)+SUMIF(Capacity_Resource,$F46,'Critical resources (hide)'!AW$6:AW$105)&gt;0,$E$1=2),0,1),0)</f>
        <v>1</v>
      </c>
      <c r="AK46" s="67">
        <f ca="1">IF(LOWER(Capacity!$L58)="x",IF(AND(SUMIF(Capacity_Resource,$D46,'Critical resources (hide)'!AX$6:AX$105)+SUMIF(Capacity_Resource,$E46,'Critical resources (hide)'!AX$6:AX$105)+SUMIF(Capacity_Resource,$F46,'Critical resources (hide)'!AX$6:AX$105)&gt;0,$E$1=2),0,1),0)</f>
        <v>1</v>
      </c>
      <c r="AL46" s="67">
        <f ca="1">IF(LOWER(Capacity!$L58)="x",IF(AND(SUMIF(Capacity_Resource,$D46,'Critical resources (hide)'!AY$6:AY$105)+SUMIF(Capacity_Resource,$E46,'Critical resources (hide)'!AY$6:AY$105)+SUMIF(Capacity_Resource,$F46,'Critical resources (hide)'!AY$6:AY$105)&gt;0,$E$1=2),0,1),0)</f>
        <v>1</v>
      </c>
      <c r="AM46" s="67">
        <f ca="1">IF(LOWER(Capacity!$L58)="x",IF(AND(SUMIF(Capacity_Resource,$D46,'Critical resources (hide)'!AZ$6:AZ$105)+SUMIF(Capacity_Resource,$E46,'Critical resources (hide)'!AZ$6:AZ$105)+SUMIF(Capacity_Resource,$F46,'Critical resources (hide)'!AZ$6:AZ$105)&gt;0,$E$1=2),0,1),0)</f>
        <v>1</v>
      </c>
      <c r="AN46" s="67">
        <f ca="1">IF(LOWER(Capacity!$L58)="x",IF(AND(SUMIF(Capacity_Resource,$D46,'Critical resources (hide)'!BA$6:BA$105)+SUMIF(Capacity_Resource,$E46,'Critical resources (hide)'!BA$6:BA$105)+SUMIF(Capacity_Resource,$F46,'Critical resources (hide)'!BA$6:BA$105)&gt;0,$E$1=2),0,1),0)</f>
        <v>1</v>
      </c>
      <c r="AO46" s="67">
        <f ca="1">IF(LOWER(Capacity!$L58)="x",IF(AND(SUMIF(Capacity_Resource,$D46,'Critical resources (hide)'!BB$6:BB$105)+SUMIF(Capacity_Resource,$E46,'Critical resources (hide)'!BB$6:BB$105)+SUMIF(Capacity_Resource,$F46,'Critical resources (hide)'!BB$6:BB$105)&gt;0,$E$1=2),0,1),0)</f>
        <v>1</v>
      </c>
      <c r="AP46" s="67">
        <f ca="1">IF(LOWER(Capacity!$L58)="x",IF(AND(SUMIF(Capacity_Resource,$D46,'Critical resources (hide)'!BC$6:BC$105)+SUMIF(Capacity_Resource,$E46,'Critical resources (hide)'!BC$6:BC$105)+SUMIF(Capacity_Resource,$F46,'Critical resources (hide)'!BC$6:BC$105)&gt;0,$E$1=2),0,1),0)</f>
        <v>1</v>
      </c>
      <c r="AQ46" s="67">
        <f ca="1">IF(LOWER(Capacity!$L58)="x",IF(AND(SUMIF(Capacity_Resource,$D46,'Critical resources (hide)'!BD$6:BD$105)+SUMIF(Capacity_Resource,$E46,'Critical resources (hide)'!BD$6:BD$105)+SUMIF(Capacity_Resource,$F46,'Critical resources (hide)'!BD$6:BD$105)&gt;0,$E$1=2),0,1),0)</f>
        <v>1</v>
      </c>
      <c r="AR46" s="67">
        <f ca="1">IF(LOWER(Capacity!$L58)="x",IF(AND(SUMIF(Capacity_Resource,$D46,'Critical resources (hide)'!BE$6:BE$105)+SUMIF(Capacity_Resource,$E46,'Critical resources (hide)'!BE$6:BE$105)+SUMIF(Capacity_Resource,$F46,'Critical resources (hide)'!BE$6:BE$105)&gt;0,$E$1=2),0,1),0)</f>
        <v>1</v>
      </c>
      <c r="AS46" s="67">
        <f ca="1">IF(LOWER(Capacity!$L58)="x",IF(AND(SUMIF(Capacity_Resource,$D46,'Critical resources (hide)'!BF$6:BF$105)+SUMIF(Capacity_Resource,$E46,'Critical resources (hide)'!BF$6:BF$105)+SUMIF(Capacity_Resource,$F46,'Critical resources (hide)'!BF$6:BF$105)&gt;0,$E$1=2),0,1),0)</f>
        <v>1</v>
      </c>
      <c r="AT46" s="67">
        <f ca="1">IF(LOWER(Capacity!$L58)="x",IF(AND(SUMIF(Capacity_Resource,$D46,'Critical resources (hide)'!BG$6:BG$105)+SUMIF(Capacity_Resource,$E46,'Critical resources (hide)'!BG$6:BG$105)+SUMIF(Capacity_Resource,$F46,'Critical resources (hide)'!BG$6:BG$105)&gt;0,$E$1=2),0,1),0)</f>
        <v>1</v>
      </c>
      <c r="AU46" s="67">
        <f ca="1">IF(LOWER(Capacity!$L58)="x",IF(AND(SUMIF(Capacity_Resource,$D46,'Critical resources (hide)'!BH$6:BH$105)+SUMIF(Capacity_Resource,$E46,'Critical resources (hide)'!BH$6:BH$105)+SUMIF(Capacity_Resource,$F46,'Critical resources (hide)'!BH$6:BH$105)&gt;0,$E$1=2),0,1),0)</f>
        <v>1</v>
      </c>
      <c r="AV46" s="67">
        <f ca="1">IF(LOWER(Capacity!$L58)="x",IF(AND(SUMIF(Capacity_Resource,$D46,'Critical resources (hide)'!BI$6:BI$105)+SUMIF(Capacity_Resource,$E46,'Critical resources (hide)'!BI$6:BI$105)+SUMIF(Capacity_Resource,$F46,'Critical resources (hide)'!BI$6:BI$105)&gt;0,$E$1=2),0,1),0)</f>
        <v>1</v>
      </c>
      <c r="AW46" s="67">
        <f ca="1">IF(LOWER(Capacity!$L58)="x",IF(AND(SUMIF(Capacity_Resource,$D46,'Critical resources (hide)'!BJ$6:BJ$105)+SUMIF(Capacity_Resource,$E46,'Critical resources (hide)'!BJ$6:BJ$105)+SUMIF(Capacity_Resource,$F46,'Critical resources (hide)'!BJ$6:BJ$105)&gt;0,$E$1=2),0,1),0)</f>
        <v>1</v>
      </c>
      <c r="AX46" s="67">
        <f ca="1">IF(LOWER(Capacity!$L58)="x",IF(AND(SUMIF(Capacity_Resource,$D46,'Critical resources (hide)'!BK$6:BK$105)+SUMIF(Capacity_Resource,$E46,'Critical resources (hide)'!BK$6:BK$105)+SUMIF(Capacity_Resource,$F46,'Critical resources (hide)'!BK$6:BK$105)&gt;0,$E$1=2),0,1),0)</f>
        <v>1</v>
      </c>
      <c r="AY46" s="67">
        <f ca="1">IF(LOWER(Capacity!$L58)="x",IF(AND(SUMIF(Capacity_Resource,$D46,'Critical resources (hide)'!BL$6:BL$105)+SUMIF(Capacity_Resource,$E46,'Critical resources (hide)'!BL$6:BL$105)+SUMIF(Capacity_Resource,$F46,'Critical resources (hide)'!BL$6:BL$105)&gt;0,$E$1=2),0,1),0)</f>
        <v>1</v>
      </c>
      <c r="AZ46" s="67">
        <f ca="1">IF(LOWER(Capacity!$L58)="x",IF(AND(SUMIF(Capacity_Resource,$D46,'Critical resources (hide)'!BM$6:BM$105)+SUMIF(Capacity_Resource,$E46,'Critical resources (hide)'!BM$6:BM$105)+SUMIF(Capacity_Resource,$F46,'Critical resources (hide)'!BM$6:BM$105)&gt;0,$E$1=2),0,1),0)</f>
        <v>1</v>
      </c>
      <c r="BA46" s="67">
        <f ca="1">IF(LOWER(Capacity!$L58)="x",IF(AND(SUMIF(Capacity_Resource,$D46,'Critical resources (hide)'!BN$6:BN$105)+SUMIF(Capacity_Resource,$E46,'Critical resources (hide)'!BN$6:BN$105)+SUMIF(Capacity_Resource,$F46,'Critical resources (hide)'!BN$6:BN$105)&gt;0,$E$1=2),0,1),0)</f>
        <v>1</v>
      </c>
      <c r="BB46" s="67">
        <f ca="1">IF(LOWER(Capacity!$L58)="x",IF(AND(SUMIF(Capacity_Resource,$D46,'Critical resources (hide)'!BO$6:BO$105)+SUMIF(Capacity_Resource,$E46,'Critical resources (hide)'!BO$6:BO$105)+SUMIF(Capacity_Resource,$F46,'Critical resources (hide)'!BO$6:BO$105)&gt;0,$E$1=2),0,1),0)</f>
        <v>1</v>
      </c>
      <c r="BC46" s="67">
        <f ca="1">IF(LOWER(Capacity!$L58)="x",IF(AND(SUMIF(Capacity_Resource,$D46,'Critical resources (hide)'!BP$6:BP$105)+SUMIF(Capacity_Resource,$E46,'Critical resources (hide)'!BP$6:BP$105)+SUMIF(Capacity_Resource,$F46,'Critical resources (hide)'!BP$6:BP$105)&gt;0,$E$1=2),0,1),0)</f>
        <v>1</v>
      </c>
      <c r="BD46" s="67">
        <f ca="1">IF(LOWER(Capacity!$L58)="x",IF(AND(SUMIF(Capacity_Resource,$D46,'Critical resources (hide)'!BQ$6:BQ$105)+SUMIF(Capacity_Resource,$E46,'Critical resources (hide)'!BQ$6:BQ$105)+SUMIF(Capacity_Resource,$F46,'Critical resources (hide)'!BQ$6:BQ$105)&gt;0,$E$1=2),0,1),0)</f>
        <v>1</v>
      </c>
      <c r="BE46" s="67">
        <f ca="1">IF(LOWER(Capacity!$L58)="x",IF(AND(SUMIF(Capacity_Resource,$D46,'Critical resources (hide)'!BR$6:BR$105)+SUMIF(Capacity_Resource,$E46,'Critical resources (hide)'!BR$6:BR$105)+SUMIF(Capacity_Resource,$F46,'Critical resources (hide)'!BR$6:BR$105)&gt;0,$E$1=2),0,1),0)</f>
        <v>1</v>
      </c>
      <c r="BF46" s="67">
        <f ca="1">IF(LOWER(Capacity!$L58)="x",IF(AND(SUMIF(Capacity_Resource,$D46,'Critical resources (hide)'!BS$6:BS$105)+SUMIF(Capacity_Resource,$E46,'Critical resources (hide)'!BS$6:BS$105)+SUMIF(Capacity_Resource,$F46,'Critical resources (hide)'!BS$6:BS$105)&gt;0,$E$1=2),0,1),0)</f>
        <v>1</v>
      </c>
      <c r="BG46" s="67">
        <f ca="1">IF(LOWER(Capacity!$L58)="x",IF(AND(SUMIF(Capacity_Resource,$D46,'Critical resources (hide)'!BT$6:BT$105)+SUMIF(Capacity_Resource,$E46,'Critical resources (hide)'!BT$6:BT$105)+SUMIF(Capacity_Resource,$F46,'Critical resources (hide)'!BT$6:BT$105)&gt;0,$E$1=2),0,1),0)</f>
        <v>1</v>
      </c>
      <c r="BH46" s="67">
        <f>IF(ROW(C42)&lt;=Capacity!$A$16,IF('Capacity summary'!$D$14="No",SUM(H46:BG46),'Capacity summary'!$E165),0)</f>
        <v>0</v>
      </c>
      <c r="BI46" s="5" t="str">
        <f>IF(BH46&gt;0,IF(BH46&lt;Capacity!E58,Capacity!F58,Capacity!H58/'Capacity calculation (hide)'!BH46),"")</f>
        <v/>
      </c>
      <c r="BK46" s="311">
        <f>IF($BI46&lt;&gt;"",IF('Capacity summary'!$D$14="Yes",IF(COUNTBLANK('Capacity summary'!$H165:$BG165)&lt;52,IF('Capacity summary'!H165&lt;&gt;"",IF(LOWER('Capacity summary'!H165)="x",$BI46*H46,VALUE('Capacity summary'!H165)),0),H46*$BI46),H46*$BI46),0)</f>
        <v>0</v>
      </c>
      <c r="BL46" s="311">
        <f>IF($BI46&lt;&gt;"",IF('Capacity summary'!$D$14="Yes",IF(COUNTBLANK('Capacity summary'!$H165:$BG165)&lt;52,IF('Capacity summary'!I165&lt;&gt;"",IF(LOWER('Capacity summary'!I165)="x",$BI46*I46,VALUE('Capacity summary'!I165)),0),I46*$BI46),I46*$BI46),0)</f>
        <v>0</v>
      </c>
      <c r="BM46" s="311">
        <f>IF($BI46&lt;&gt;"",IF('Capacity summary'!$D$14="Yes",IF(COUNTBLANK('Capacity summary'!$H165:$BG165)&lt;52,IF('Capacity summary'!J165&lt;&gt;"",IF(LOWER('Capacity summary'!J165)="x",$BI46*J46,VALUE('Capacity summary'!J165)),0),J46*$BI46),J46*$BI46),0)</f>
        <v>0</v>
      </c>
      <c r="BN46" s="311">
        <f>IF($BI46&lt;&gt;"",IF('Capacity summary'!$D$14="Yes",IF(COUNTBLANK('Capacity summary'!$H165:$BG165)&lt;52,IF('Capacity summary'!K165&lt;&gt;"",IF(LOWER('Capacity summary'!K165)="x",$BI46*K46,VALUE('Capacity summary'!K165)),0),K46*$BI46),K46*$BI46),0)</f>
        <v>0</v>
      </c>
      <c r="BO46" s="311">
        <f>IF($BI46&lt;&gt;"",IF('Capacity summary'!$D$14="Yes",IF(COUNTBLANK('Capacity summary'!$H165:$BG165)&lt;52,IF('Capacity summary'!L165&lt;&gt;"",IF(LOWER('Capacity summary'!L165)="x",$BI46*L46,VALUE('Capacity summary'!L165)),0),L46*$BI46),L46*$BI46),0)</f>
        <v>0</v>
      </c>
      <c r="BP46" s="311">
        <f>IF($BI46&lt;&gt;"",IF('Capacity summary'!$D$14="Yes",IF(COUNTBLANK('Capacity summary'!$H165:$BG165)&lt;52,IF('Capacity summary'!M165&lt;&gt;"",IF(LOWER('Capacity summary'!M165)="x",$BI46*M46,VALUE('Capacity summary'!M165)),0),M46*$BI46),M46*$BI46),0)</f>
        <v>0</v>
      </c>
      <c r="BQ46" s="311">
        <f>IF($BI46&lt;&gt;"",IF('Capacity summary'!$D$14="Yes",IF(COUNTBLANK('Capacity summary'!$H165:$BG165)&lt;52,IF('Capacity summary'!N165&lt;&gt;"",IF(LOWER('Capacity summary'!N165)="x",$BI46*N46,VALUE('Capacity summary'!N165)),0),N46*$BI46),N46*$BI46),0)</f>
        <v>0</v>
      </c>
      <c r="BR46" s="311">
        <f>IF($BI46&lt;&gt;"",IF('Capacity summary'!$D$14="Yes",IF(COUNTBLANK('Capacity summary'!$H165:$BG165)&lt;52,IF('Capacity summary'!O165&lt;&gt;"",IF(LOWER('Capacity summary'!O165)="x",$BI46*O46,VALUE('Capacity summary'!O165)),0),O46*$BI46),O46*$BI46),0)</f>
        <v>0</v>
      </c>
      <c r="BS46" s="311">
        <f>IF($BI46&lt;&gt;"",IF('Capacity summary'!$D$14="Yes",IF(COUNTBLANK('Capacity summary'!$H165:$BG165)&lt;52,IF('Capacity summary'!P165&lt;&gt;"",IF(LOWER('Capacity summary'!P165)="x",$BI46*P46,VALUE('Capacity summary'!P165)),0),P46*$BI46),P46*$BI46),0)</f>
        <v>0</v>
      </c>
      <c r="BT46" s="311">
        <f>IF($BI46&lt;&gt;"",IF('Capacity summary'!$D$14="Yes",IF(COUNTBLANK('Capacity summary'!$H165:$BG165)&lt;52,IF('Capacity summary'!Q165&lt;&gt;"",IF(LOWER('Capacity summary'!Q165)="x",$BI46*Q46,VALUE('Capacity summary'!Q165)),0),Q46*$BI46),Q46*$BI46),0)</f>
        <v>0</v>
      </c>
      <c r="BU46" s="311">
        <f>IF($BI46&lt;&gt;"",IF('Capacity summary'!$D$14="Yes",IF(COUNTBLANK('Capacity summary'!$H165:$BG165)&lt;52,IF('Capacity summary'!R165&lt;&gt;"",IF(LOWER('Capacity summary'!R165)="x",$BI46*R46,VALUE('Capacity summary'!R165)),0),R46*$BI46),R46*$BI46),0)</f>
        <v>0</v>
      </c>
      <c r="BV46" s="311">
        <f>IF($BI46&lt;&gt;"",IF('Capacity summary'!$D$14="Yes",IF(COUNTBLANK('Capacity summary'!$H165:$BG165)&lt;52,IF('Capacity summary'!S165&lt;&gt;"",IF(LOWER('Capacity summary'!S165)="x",$BI46*S46,VALUE('Capacity summary'!S165)),0),S46*$BI46),S46*$BI46),0)</f>
        <v>0</v>
      </c>
      <c r="BW46" s="311">
        <f>IF($BI46&lt;&gt;"",IF('Capacity summary'!$D$14="Yes",IF(COUNTBLANK('Capacity summary'!$H165:$BG165)&lt;52,IF('Capacity summary'!T165&lt;&gt;"",IF(LOWER('Capacity summary'!T165)="x",$BI46*T46,VALUE('Capacity summary'!T165)),0),T46*$BI46),T46*$BI46),0)</f>
        <v>0</v>
      </c>
      <c r="BX46" s="311">
        <f>IF($BI46&lt;&gt;"",IF('Capacity summary'!$D$14="Yes",IF(COUNTBLANK('Capacity summary'!$H165:$BG165)&lt;52,IF('Capacity summary'!U165&lt;&gt;"",IF(LOWER('Capacity summary'!U165)="x",$BI46*U46,VALUE('Capacity summary'!U165)),0),U46*$BI46),U46*$BI46),0)</f>
        <v>0</v>
      </c>
      <c r="BY46" s="311">
        <f>IF($BI46&lt;&gt;"",IF('Capacity summary'!$D$14="Yes",IF(COUNTBLANK('Capacity summary'!$H165:$BG165)&lt;52,IF('Capacity summary'!V165&lt;&gt;"",IF(LOWER('Capacity summary'!V165)="x",$BI46*V46,VALUE('Capacity summary'!V165)),0),V46*$BI46),V46*$BI46),0)</f>
        <v>0</v>
      </c>
      <c r="BZ46" s="311">
        <f>IF($BI46&lt;&gt;"",IF('Capacity summary'!$D$14="Yes",IF(COUNTBLANK('Capacity summary'!$H165:$BG165)&lt;52,IF('Capacity summary'!W165&lt;&gt;"",IF(LOWER('Capacity summary'!W165)="x",$BI46*W46,VALUE('Capacity summary'!W165)),0),W46*$BI46),W46*$BI46),0)</f>
        <v>0</v>
      </c>
      <c r="CA46" s="311">
        <f>IF($BI46&lt;&gt;"",IF('Capacity summary'!$D$14="Yes",IF(COUNTBLANK('Capacity summary'!$H165:$BG165)&lt;52,IF('Capacity summary'!X165&lt;&gt;"",IF(LOWER('Capacity summary'!X165)="x",$BI46*X46,VALUE('Capacity summary'!X165)),0),X46*$BI46),X46*$BI46),0)</f>
        <v>0</v>
      </c>
      <c r="CB46" s="311">
        <f>IF($BI46&lt;&gt;"",IF('Capacity summary'!$D$14="Yes",IF(COUNTBLANK('Capacity summary'!$H165:$BG165)&lt;52,IF('Capacity summary'!Y165&lt;&gt;"",IF(LOWER('Capacity summary'!Y165)="x",$BI46*Y46,VALUE('Capacity summary'!Y165)),0),Y46*$BI46),Y46*$BI46),0)</f>
        <v>0</v>
      </c>
      <c r="CC46" s="311">
        <f>IF($BI46&lt;&gt;"",IF('Capacity summary'!$D$14="Yes",IF(COUNTBLANK('Capacity summary'!$H165:$BG165)&lt;52,IF('Capacity summary'!Z165&lt;&gt;"",IF(LOWER('Capacity summary'!Z165)="x",$BI46*Z46,VALUE('Capacity summary'!Z165)),0),Z46*$BI46),Z46*$BI46),0)</f>
        <v>0</v>
      </c>
      <c r="CD46" s="311">
        <f>IF($BI46&lt;&gt;"",IF('Capacity summary'!$D$14="Yes",IF(COUNTBLANK('Capacity summary'!$H165:$BG165)&lt;52,IF('Capacity summary'!AA165&lt;&gt;"",IF(LOWER('Capacity summary'!AA165)="x",$BI46*AA46,VALUE('Capacity summary'!AA165)),0),AA46*$BI46),AA46*$BI46),0)</f>
        <v>0</v>
      </c>
      <c r="CE46" s="311">
        <f>IF($BI46&lt;&gt;"",IF('Capacity summary'!$D$14="Yes",IF(COUNTBLANK('Capacity summary'!$H165:$BG165)&lt;52,IF('Capacity summary'!AB165&lt;&gt;"",IF(LOWER('Capacity summary'!AB165)="x",$BI46*AB46,VALUE('Capacity summary'!AB165)),0),AB46*$BI46),AB46*$BI46),0)</f>
        <v>0</v>
      </c>
      <c r="CF46" s="311">
        <f>IF($BI46&lt;&gt;"",IF('Capacity summary'!$D$14="Yes",IF(COUNTBLANK('Capacity summary'!$H165:$BG165)&lt;52,IF('Capacity summary'!AC165&lt;&gt;"",IF(LOWER('Capacity summary'!AC165)="x",$BI46*AC46,VALUE('Capacity summary'!AC165)),0),AC46*$BI46),AC46*$BI46),0)</f>
        <v>0</v>
      </c>
      <c r="CG46" s="311">
        <f>IF($BI46&lt;&gt;"",IF('Capacity summary'!$D$14="Yes",IF(COUNTBLANK('Capacity summary'!$H165:$BG165)&lt;52,IF('Capacity summary'!AD165&lt;&gt;"",IF(LOWER('Capacity summary'!AD165)="x",$BI46*AD46,VALUE('Capacity summary'!AD165)),0),AD46*$BI46),AD46*$BI46),0)</f>
        <v>0</v>
      </c>
      <c r="CH46" s="311">
        <f>IF($BI46&lt;&gt;"",IF('Capacity summary'!$D$14="Yes",IF(COUNTBLANK('Capacity summary'!$H165:$BG165)&lt;52,IF('Capacity summary'!AE165&lt;&gt;"",IF(LOWER('Capacity summary'!AE165)="x",$BI46*AE46,VALUE('Capacity summary'!AE165)),0),AE46*$BI46),AE46*$BI46),0)</f>
        <v>0</v>
      </c>
      <c r="CI46" s="311">
        <f>IF($BI46&lt;&gt;"",IF('Capacity summary'!$D$14="Yes",IF(COUNTBLANK('Capacity summary'!$H165:$BG165)&lt;52,IF('Capacity summary'!AF165&lt;&gt;"",IF(LOWER('Capacity summary'!AF165)="x",$BI46*AF46,VALUE('Capacity summary'!AF165)),0),AF46*$BI46),AF46*$BI46),0)</f>
        <v>0</v>
      </c>
      <c r="CJ46" s="311">
        <f>IF($BI46&lt;&gt;"",IF('Capacity summary'!$D$14="Yes",IF(COUNTBLANK('Capacity summary'!$H165:$BG165)&lt;52,IF('Capacity summary'!AG165&lt;&gt;"",IF(LOWER('Capacity summary'!AG165)="x",$BI46*AG46,VALUE('Capacity summary'!AG165)),0),AG46*$BI46),AG46*$BI46),0)</f>
        <v>0</v>
      </c>
      <c r="CK46" s="311">
        <f>IF($BI46&lt;&gt;"",IF('Capacity summary'!$D$14="Yes",IF(COUNTBLANK('Capacity summary'!$H165:$BG165)&lt;52,IF('Capacity summary'!AH165&lt;&gt;"",IF(LOWER('Capacity summary'!AH165)="x",$BI46*AH46,VALUE('Capacity summary'!AH165)),0),AH46*$BI46),AH46*$BI46),0)</f>
        <v>0</v>
      </c>
      <c r="CL46" s="311">
        <f>IF($BI46&lt;&gt;"",IF('Capacity summary'!$D$14="Yes",IF(COUNTBLANK('Capacity summary'!$H165:$BG165)&lt;52,IF('Capacity summary'!AI165&lt;&gt;"",IF(LOWER('Capacity summary'!AI165)="x",$BI46*AI46,VALUE('Capacity summary'!AI165)),0),AI46*$BI46),AI46*$BI46),0)</f>
        <v>0</v>
      </c>
      <c r="CM46" s="311">
        <f>IF($BI46&lt;&gt;"",IF('Capacity summary'!$D$14="Yes",IF(COUNTBLANK('Capacity summary'!$H165:$BG165)&lt;52,IF('Capacity summary'!AJ165&lt;&gt;"",IF(LOWER('Capacity summary'!AJ165)="x",$BI46*AJ46,VALUE('Capacity summary'!AJ165)),0),AJ46*$BI46),AJ46*$BI46),0)</f>
        <v>0</v>
      </c>
      <c r="CN46" s="311">
        <f>IF($BI46&lt;&gt;"",IF('Capacity summary'!$D$14="Yes",IF(COUNTBLANK('Capacity summary'!$H165:$BG165)&lt;52,IF('Capacity summary'!AK165&lt;&gt;"",IF(LOWER('Capacity summary'!AK165)="x",$BI46*AK46,VALUE('Capacity summary'!AK165)),0),AK46*$BI46),AK46*$BI46),0)</f>
        <v>0</v>
      </c>
      <c r="CO46" s="311">
        <f>IF($BI46&lt;&gt;"",IF('Capacity summary'!$D$14="Yes",IF(COUNTBLANK('Capacity summary'!$H165:$BG165)&lt;52,IF('Capacity summary'!AL165&lt;&gt;"",IF(LOWER('Capacity summary'!AL165)="x",$BI46*AL46,VALUE('Capacity summary'!AL165)),0),AL46*$BI46),AL46*$BI46),0)</f>
        <v>0</v>
      </c>
      <c r="CP46" s="311">
        <f>IF($BI46&lt;&gt;"",IF('Capacity summary'!$D$14="Yes",IF(COUNTBLANK('Capacity summary'!$H165:$BG165)&lt;52,IF('Capacity summary'!AM165&lt;&gt;"",IF(LOWER('Capacity summary'!AM165)="x",$BI46*AM46,VALUE('Capacity summary'!AM165)),0),AM46*$BI46),AM46*$BI46),0)</f>
        <v>0</v>
      </c>
      <c r="CQ46" s="311">
        <f>IF($BI46&lt;&gt;"",IF('Capacity summary'!$D$14="Yes",IF(COUNTBLANK('Capacity summary'!$H165:$BG165)&lt;52,IF('Capacity summary'!AN165&lt;&gt;"",IF(LOWER('Capacity summary'!AN165)="x",$BI46*AN46,VALUE('Capacity summary'!AN165)),0),AN46*$BI46),AN46*$BI46),0)</f>
        <v>0</v>
      </c>
      <c r="CR46" s="311">
        <f>IF($BI46&lt;&gt;"",IF('Capacity summary'!$D$14="Yes",IF(COUNTBLANK('Capacity summary'!$H165:$BG165)&lt;52,IF('Capacity summary'!AO165&lt;&gt;"",IF(LOWER('Capacity summary'!AO165)="x",$BI46*AO46,VALUE('Capacity summary'!AO165)),0),AO46*$BI46),AO46*$BI46),0)</f>
        <v>0</v>
      </c>
      <c r="CS46" s="311">
        <f>IF($BI46&lt;&gt;"",IF('Capacity summary'!$D$14="Yes",IF(COUNTBLANK('Capacity summary'!$H165:$BG165)&lt;52,IF('Capacity summary'!AP165&lt;&gt;"",IF(LOWER('Capacity summary'!AP165)="x",$BI46*AP46,VALUE('Capacity summary'!AP165)),0),AP46*$BI46),AP46*$BI46),0)</f>
        <v>0</v>
      </c>
      <c r="CT46" s="311">
        <f>IF($BI46&lt;&gt;"",IF('Capacity summary'!$D$14="Yes",IF(COUNTBLANK('Capacity summary'!$H165:$BG165)&lt;52,IF('Capacity summary'!AQ165&lt;&gt;"",IF(LOWER('Capacity summary'!AQ165)="x",$BI46*AQ46,VALUE('Capacity summary'!AQ165)),0),AQ46*$BI46),AQ46*$BI46),0)</f>
        <v>0</v>
      </c>
      <c r="CU46" s="311">
        <f>IF($BI46&lt;&gt;"",IF('Capacity summary'!$D$14="Yes",IF(COUNTBLANK('Capacity summary'!$H165:$BG165)&lt;52,IF('Capacity summary'!AR165&lt;&gt;"",IF(LOWER('Capacity summary'!AR165)="x",$BI46*AR46,VALUE('Capacity summary'!AR165)),0),AR46*$BI46),AR46*$BI46),0)</f>
        <v>0</v>
      </c>
      <c r="CV46" s="311">
        <f>IF($BI46&lt;&gt;"",IF('Capacity summary'!$D$14="Yes",IF(COUNTBLANK('Capacity summary'!$H165:$BG165)&lt;52,IF('Capacity summary'!AS165&lt;&gt;"",IF(LOWER('Capacity summary'!AS165)="x",$BI46*AS46,VALUE('Capacity summary'!AS165)),0),AS46*$BI46),AS46*$BI46),0)</f>
        <v>0</v>
      </c>
      <c r="CW46" s="311">
        <f>IF($BI46&lt;&gt;"",IF('Capacity summary'!$D$14="Yes",IF(COUNTBLANK('Capacity summary'!$H165:$BG165)&lt;52,IF('Capacity summary'!AT165&lt;&gt;"",IF(LOWER('Capacity summary'!AT165)="x",$BI46*AT46,VALUE('Capacity summary'!AT165)),0),AT46*$BI46),AT46*$BI46),0)</f>
        <v>0</v>
      </c>
      <c r="CX46" s="311">
        <f>IF($BI46&lt;&gt;"",IF('Capacity summary'!$D$14="Yes",IF(COUNTBLANK('Capacity summary'!$H165:$BG165)&lt;52,IF('Capacity summary'!AU165&lt;&gt;"",IF(LOWER('Capacity summary'!AU165)="x",$BI46*AU46,VALUE('Capacity summary'!AU165)),0),AU46*$BI46),AU46*$BI46),0)</f>
        <v>0</v>
      </c>
      <c r="CY46" s="311">
        <f>IF($BI46&lt;&gt;"",IF('Capacity summary'!$D$14="Yes",IF(COUNTBLANK('Capacity summary'!$H165:$BG165)&lt;52,IF('Capacity summary'!AV165&lt;&gt;"",IF(LOWER('Capacity summary'!AV165)="x",$BI46*AV46,VALUE('Capacity summary'!AV165)),0),AV46*$BI46),AV46*$BI46),0)</f>
        <v>0</v>
      </c>
      <c r="CZ46" s="311">
        <f>IF($BI46&lt;&gt;"",IF('Capacity summary'!$D$14="Yes",IF(COUNTBLANK('Capacity summary'!$H165:$BG165)&lt;52,IF('Capacity summary'!AW165&lt;&gt;"",IF(LOWER('Capacity summary'!AW165)="x",$BI46*AW46,VALUE('Capacity summary'!AW165)),0),AW46*$BI46),AW46*$BI46),0)</f>
        <v>0</v>
      </c>
      <c r="DA46" s="311">
        <f>IF($BI46&lt;&gt;"",IF('Capacity summary'!$D$14="Yes",IF(COUNTBLANK('Capacity summary'!$H165:$BG165)&lt;52,IF('Capacity summary'!AX165&lt;&gt;"",IF(LOWER('Capacity summary'!AX165)="x",$BI46*AX46,VALUE('Capacity summary'!AX165)),0),AX46*$BI46),AX46*$BI46),0)</f>
        <v>0</v>
      </c>
      <c r="DB46" s="311">
        <f>IF($BI46&lt;&gt;"",IF('Capacity summary'!$D$14="Yes",IF(COUNTBLANK('Capacity summary'!$H165:$BG165)&lt;52,IF('Capacity summary'!AY165&lt;&gt;"",IF(LOWER('Capacity summary'!AY165)="x",$BI46*AY46,VALUE('Capacity summary'!AY165)),0),AY46*$BI46),AY46*$BI46),0)</f>
        <v>0</v>
      </c>
      <c r="DC46" s="311">
        <f>IF($BI46&lt;&gt;"",IF('Capacity summary'!$D$14="Yes",IF(COUNTBLANK('Capacity summary'!$H165:$BG165)&lt;52,IF('Capacity summary'!AZ165&lt;&gt;"",IF(LOWER('Capacity summary'!AZ165)="x",$BI46*AZ46,VALUE('Capacity summary'!AZ165)),0),AZ46*$BI46),AZ46*$BI46),0)</f>
        <v>0</v>
      </c>
      <c r="DD46" s="311">
        <f>IF($BI46&lt;&gt;"",IF('Capacity summary'!$D$14="Yes",IF(COUNTBLANK('Capacity summary'!$H165:$BG165)&lt;52,IF('Capacity summary'!BA165&lt;&gt;"",IF(LOWER('Capacity summary'!BA165)="x",$BI46*BA46,VALUE('Capacity summary'!BA165)),0),BA46*$BI46),BA46*$BI46),0)</f>
        <v>0</v>
      </c>
      <c r="DE46" s="311">
        <f>IF($BI46&lt;&gt;"",IF('Capacity summary'!$D$14="Yes",IF(COUNTBLANK('Capacity summary'!$H165:$BG165)&lt;52,IF('Capacity summary'!BB165&lt;&gt;"",IF(LOWER('Capacity summary'!BB165)="x",$BI46*BB46,VALUE('Capacity summary'!BB165)),0),BB46*$BI46),BB46*$BI46),0)</f>
        <v>0</v>
      </c>
      <c r="DF46" s="311">
        <f>IF($BI46&lt;&gt;"",IF('Capacity summary'!$D$14="Yes",IF(COUNTBLANK('Capacity summary'!$H165:$BG165)&lt;52,IF('Capacity summary'!BC165&lt;&gt;"",IF(LOWER('Capacity summary'!BC165)="x",$BI46*BC46,VALUE('Capacity summary'!BC165)),0),BC46*$BI46),BC46*$BI46),0)</f>
        <v>0</v>
      </c>
      <c r="DG46" s="311">
        <f>IF($BI46&lt;&gt;"",IF('Capacity summary'!$D$14="Yes",IF(COUNTBLANK('Capacity summary'!$H165:$BG165)&lt;52,IF('Capacity summary'!BD165&lt;&gt;"",IF(LOWER('Capacity summary'!BD165)="x",$BI46*BD46,VALUE('Capacity summary'!BD165)),0),BD46*$BI46),BD46*$BI46),0)</f>
        <v>0</v>
      </c>
      <c r="DH46" s="311">
        <f>IF($BI46&lt;&gt;"",IF('Capacity summary'!$D$14="Yes",IF(COUNTBLANK('Capacity summary'!$H165:$BG165)&lt;52,IF('Capacity summary'!BE165&lt;&gt;"",IF(LOWER('Capacity summary'!BE165)="x",$BI46*BE46,VALUE('Capacity summary'!BE165)),0),BE46*$BI46),BE46*$BI46),0)</f>
        <v>0</v>
      </c>
      <c r="DI46" s="311">
        <f>IF($BI46&lt;&gt;"",IF('Capacity summary'!$D$14="Yes",IF(COUNTBLANK('Capacity summary'!$H165:$BG165)&lt;52,IF('Capacity summary'!BF165&lt;&gt;"",IF(LOWER('Capacity summary'!BF165)="x",$BI46*BF46,VALUE('Capacity summary'!BF165)),0),BF46*$BI46),BF46*$BI46),0)</f>
        <v>0</v>
      </c>
      <c r="DJ46" s="311">
        <f>IF($BI46&lt;&gt;"",IF('Capacity summary'!$D$14="Yes",IF(COUNTBLANK('Capacity summary'!$H165:$BG165)&lt;52,IF('Capacity summary'!BG165&lt;&gt;"",IF(LOWER('Capacity summary'!BG165)="x",$BI46*BG46,VALUE('Capacity summary'!BG165)),0),BG46*$BI46),BG46*$BI46),0)</f>
        <v>0</v>
      </c>
      <c r="DK46" s="391">
        <f t="shared" si="2"/>
        <v>0</v>
      </c>
      <c r="DL46" s="136">
        <f t="shared" si="3"/>
        <v>0</v>
      </c>
      <c r="DM46" s="311" t="str">
        <f>Capacity!H58</f>
        <v/>
      </c>
      <c r="DQ46" s="5"/>
    </row>
    <row r="47" spans="1:121" x14ac:dyDescent="0.2">
      <c r="A47" s="67">
        <f>IF(Capacity!L59='Capacity summary'!BI166,1,0)</f>
        <v>1</v>
      </c>
      <c r="B47" s="67">
        <f>IF(Capacity!V59='Capacity summary'!BI66,1,0)</f>
        <v>1</v>
      </c>
      <c r="C47" s="67" t="str">
        <f>ROW(A43)&amp;". "&amp;Capacity!B59</f>
        <v xml:space="preserve">43. </v>
      </c>
      <c r="D47" s="67">
        <f>'Capacity setup'!C54</f>
        <v>0</v>
      </c>
      <c r="E47" s="67">
        <f>'Capacity setup'!D54</f>
        <v>0</v>
      </c>
      <c r="F47" s="67">
        <f>'Capacity setup'!E54</f>
        <v>0</v>
      </c>
      <c r="H47" s="67">
        <f ca="1">IF(LOWER(Capacity!$L59)="x",IF(AND(SUMIF(Capacity_Resource,$D47,'Critical resources (hide)'!U$6:U$105)+SUMIF(Capacity_Resource,$E47,'Critical resources (hide)'!U$6:U$105)+SUMIF(Capacity_Resource,$F47,'Critical resources (hide)'!U$6:U$105)&gt;0,$E$1=2),0,1),0)</f>
        <v>1</v>
      </c>
      <c r="I47" s="67">
        <f ca="1">IF(LOWER(Capacity!$L59)="x",IF(AND(SUMIF(Capacity_Resource,$D47,'Critical resources (hide)'!V$6:V$105)+SUMIF(Capacity_Resource,$E47,'Critical resources (hide)'!V$6:V$105)+SUMIF(Capacity_Resource,$F47,'Critical resources (hide)'!V$6:V$105)&gt;0,$E$1=2),0,1),0)</f>
        <v>1</v>
      </c>
      <c r="J47" s="67">
        <f ca="1">IF(LOWER(Capacity!$L59)="x",IF(AND(SUMIF(Capacity_Resource,$D47,'Critical resources (hide)'!W$6:W$105)+SUMIF(Capacity_Resource,$E47,'Critical resources (hide)'!W$6:W$105)+SUMIF(Capacity_Resource,$F47,'Critical resources (hide)'!W$6:W$105)&gt;0,$E$1=2),0,1),0)</f>
        <v>1</v>
      </c>
      <c r="K47" s="67">
        <f ca="1">IF(LOWER(Capacity!$L59)="x",IF(AND(SUMIF(Capacity_Resource,$D47,'Critical resources (hide)'!X$6:X$105)+SUMIF(Capacity_Resource,$E47,'Critical resources (hide)'!X$6:X$105)+SUMIF(Capacity_Resource,$F47,'Critical resources (hide)'!X$6:X$105)&gt;0,$E$1=2),0,1),0)</f>
        <v>1</v>
      </c>
      <c r="L47" s="67">
        <f ca="1">IF(LOWER(Capacity!$L59)="x",IF(AND(SUMIF(Capacity_Resource,$D47,'Critical resources (hide)'!Y$6:Y$105)+SUMIF(Capacity_Resource,$E47,'Critical resources (hide)'!Y$6:Y$105)+SUMIF(Capacity_Resource,$F47,'Critical resources (hide)'!Y$6:Y$105)&gt;0,$E$1=2),0,1),0)</f>
        <v>1</v>
      </c>
      <c r="M47" s="67">
        <f ca="1">IF(LOWER(Capacity!$L59)="x",IF(AND(SUMIF(Capacity_Resource,$D47,'Critical resources (hide)'!Z$6:Z$105)+SUMIF(Capacity_Resource,$E47,'Critical resources (hide)'!Z$6:Z$105)+SUMIF(Capacity_Resource,$F47,'Critical resources (hide)'!Z$6:Z$105)&gt;0,$E$1=2),0,1),0)</f>
        <v>1</v>
      </c>
      <c r="N47" s="67">
        <f ca="1">IF(LOWER(Capacity!$L59)="x",IF(AND(SUMIF(Capacity_Resource,$D47,'Critical resources (hide)'!AA$6:AA$105)+SUMIF(Capacity_Resource,$E47,'Critical resources (hide)'!AA$6:AA$105)+SUMIF(Capacity_Resource,$F47,'Critical resources (hide)'!AA$6:AA$105)&gt;0,$E$1=2),0,1),0)</f>
        <v>1</v>
      </c>
      <c r="O47" s="67">
        <f ca="1">IF(LOWER(Capacity!$L59)="x",IF(AND(SUMIF(Capacity_Resource,$D47,'Critical resources (hide)'!AB$6:AB$105)+SUMIF(Capacity_Resource,$E47,'Critical resources (hide)'!AB$6:AB$105)+SUMIF(Capacity_Resource,$F47,'Critical resources (hide)'!AB$6:AB$105)&gt;0,$E$1=2),0,1),0)</f>
        <v>1</v>
      </c>
      <c r="P47" s="67">
        <f ca="1">IF(LOWER(Capacity!$L59)="x",IF(AND(SUMIF(Capacity_Resource,$D47,'Critical resources (hide)'!AC$6:AC$105)+SUMIF(Capacity_Resource,$E47,'Critical resources (hide)'!AC$6:AC$105)+SUMIF(Capacity_Resource,$F47,'Critical resources (hide)'!AC$6:AC$105)&gt;0,$E$1=2),0,1),0)</f>
        <v>1</v>
      </c>
      <c r="Q47" s="67">
        <f ca="1">IF(LOWER(Capacity!$L59)="x",IF(AND(SUMIF(Capacity_Resource,$D47,'Critical resources (hide)'!AD$6:AD$105)+SUMIF(Capacity_Resource,$E47,'Critical resources (hide)'!AD$6:AD$105)+SUMIF(Capacity_Resource,$F47,'Critical resources (hide)'!AD$6:AD$105)&gt;0,$E$1=2),0,1),0)</f>
        <v>1</v>
      </c>
      <c r="R47" s="67">
        <f ca="1">IF(LOWER(Capacity!$L59)="x",IF(AND(SUMIF(Capacity_Resource,$D47,'Critical resources (hide)'!AE$6:AE$105)+SUMIF(Capacity_Resource,$E47,'Critical resources (hide)'!AE$6:AE$105)+SUMIF(Capacity_Resource,$F47,'Critical resources (hide)'!AE$6:AE$105)&gt;0,$E$1=2),0,1),0)</f>
        <v>1</v>
      </c>
      <c r="S47" s="67">
        <f ca="1">IF(LOWER(Capacity!$L59)="x",IF(AND(SUMIF(Capacity_Resource,$D47,'Critical resources (hide)'!AF$6:AF$105)+SUMIF(Capacity_Resource,$E47,'Critical resources (hide)'!AF$6:AF$105)+SUMIF(Capacity_Resource,$F47,'Critical resources (hide)'!AF$6:AF$105)&gt;0,$E$1=2),0,1),0)</f>
        <v>1</v>
      </c>
      <c r="T47" s="67">
        <f ca="1">IF(LOWER(Capacity!$L59)="x",IF(AND(SUMIF(Capacity_Resource,$D47,'Critical resources (hide)'!AG$6:AG$105)+SUMIF(Capacity_Resource,$E47,'Critical resources (hide)'!AG$6:AG$105)+SUMIF(Capacity_Resource,$F47,'Critical resources (hide)'!AG$6:AG$105)&gt;0,$E$1=2),0,1),0)</f>
        <v>1</v>
      </c>
      <c r="U47" s="67">
        <f ca="1">IF(LOWER(Capacity!$L59)="x",IF(AND(SUMIF(Capacity_Resource,$D47,'Critical resources (hide)'!AH$6:AH$105)+SUMIF(Capacity_Resource,$E47,'Critical resources (hide)'!AH$6:AH$105)+SUMIF(Capacity_Resource,$F47,'Critical resources (hide)'!AH$6:AH$105)&gt;0,$E$1=2),0,1),0)</f>
        <v>1</v>
      </c>
      <c r="V47" s="67">
        <f ca="1">IF(LOWER(Capacity!$L59)="x",IF(AND(SUMIF(Capacity_Resource,$D47,'Critical resources (hide)'!AI$6:AI$105)+SUMIF(Capacity_Resource,$E47,'Critical resources (hide)'!AI$6:AI$105)+SUMIF(Capacity_Resource,$F47,'Critical resources (hide)'!AI$6:AI$105)&gt;0,$E$1=2),0,1),0)</f>
        <v>1</v>
      </c>
      <c r="W47" s="67">
        <f ca="1">IF(LOWER(Capacity!$L59)="x",IF(AND(SUMIF(Capacity_Resource,$D47,'Critical resources (hide)'!AJ$6:AJ$105)+SUMIF(Capacity_Resource,$E47,'Critical resources (hide)'!AJ$6:AJ$105)+SUMIF(Capacity_Resource,$F47,'Critical resources (hide)'!AJ$6:AJ$105)&gt;0,$E$1=2),0,1),0)</f>
        <v>1</v>
      </c>
      <c r="X47" s="67">
        <f ca="1">IF(LOWER(Capacity!$L59)="x",IF(AND(SUMIF(Capacity_Resource,$D47,'Critical resources (hide)'!AK$6:AK$105)+SUMIF(Capacity_Resource,$E47,'Critical resources (hide)'!AK$6:AK$105)+SUMIF(Capacity_Resource,$F47,'Critical resources (hide)'!AK$6:AK$105)&gt;0,$E$1=2),0,1),0)</f>
        <v>1</v>
      </c>
      <c r="Y47" s="67">
        <f ca="1">IF(LOWER(Capacity!$L59)="x",IF(AND(SUMIF(Capacity_Resource,$D47,'Critical resources (hide)'!AL$6:AL$105)+SUMIF(Capacity_Resource,$E47,'Critical resources (hide)'!AL$6:AL$105)+SUMIF(Capacity_Resource,$F47,'Critical resources (hide)'!AL$6:AL$105)&gt;0,$E$1=2),0,1),0)</f>
        <v>1</v>
      </c>
      <c r="Z47" s="67">
        <f ca="1">IF(LOWER(Capacity!$L59)="x",IF(AND(SUMIF(Capacity_Resource,$D47,'Critical resources (hide)'!AM$6:AM$105)+SUMIF(Capacity_Resource,$E47,'Critical resources (hide)'!AM$6:AM$105)+SUMIF(Capacity_Resource,$F47,'Critical resources (hide)'!AM$6:AM$105)&gt;0,$E$1=2),0,1),0)</f>
        <v>1</v>
      </c>
      <c r="AA47" s="67">
        <f ca="1">IF(LOWER(Capacity!$L59)="x",IF(AND(SUMIF(Capacity_Resource,$D47,'Critical resources (hide)'!AN$6:AN$105)+SUMIF(Capacity_Resource,$E47,'Critical resources (hide)'!AN$6:AN$105)+SUMIF(Capacity_Resource,$F47,'Critical resources (hide)'!AN$6:AN$105)&gt;0,$E$1=2),0,1),0)</f>
        <v>1</v>
      </c>
      <c r="AB47" s="67">
        <f ca="1">IF(LOWER(Capacity!$L59)="x",IF(AND(SUMIF(Capacity_Resource,$D47,'Critical resources (hide)'!AO$6:AO$105)+SUMIF(Capacity_Resource,$E47,'Critical resources (hide)'!AO$6:AO$105)+SUMIF(Capacity_Resource,$F47,'Critical resources (hide)'!AO$6:AO$105)&gt;0,$E$1=2),0,1),0)</f>
        <v>1</v>
      </c>
      <c r="AC47" s="67">
        <f ca="1">IF(LOWER(Capacity!$L59)="x",IF(AND(SUMIF(Capacity_Resource,$D47,'Critical resources (hide)'!AP$6:AP$105)+SUMIF(Capacity_Resource,$E47,'Critical resources (hide)'!AP$6:AP$105)+SUMIF(Capacity_Resource,$F47,'Critical resources (hide)'!AP$6:AP$105)&gt;0,$E$1=2),0,1),0)</f>
        <v>1</v>
      </c>
      <c r="AD47" s="67">
        <f ca="1">IF(LOWER(Capacity!$L59)="x",IF(AND(SUMIF(Capacity_Resource,$D47,'Critical resources (hide)'!AQ$6:AQ$105)+SUMIF(Capacity_Resource,$E47,'Critical resources (hide)'!AQ$6:AQ$105)+SUMIF(Capacity_Resource,$F47,'Critical resources (hide)'!AQ$6:AQ$105)&gt;0,$E$1=2),0,1),0)</f>
        <v>1</v>
      </c>
      <c r="AE47" s="67">
        <f ca="1">IF(LOWER(Capacity!$L59)="x",IF(AND(SUMIF(Capacity_Resource,$D47,'Critical resources (hide)'!AR$6:AR$105)+SUMIF(Capacity_Resource,$E47,'Critical resources (hide)'!AR$6:AR$105)+SUMIF(Capacity_Resource,$F47,'Critical resources (hide)'!AR$6:AR$105)&gt;0,$E$1=2),0,1),0)</f>
        <v>1</v>
      </c>
      <c r="AF47" s="67">
        <f ca="1">IF(LOWER(Capacity!$L59)="x",IF(AND(SUMIF(Capacity_Resource,$D47,'Critical resources (hide)'!AS$6:AS$105)+SUMIF(Capacity_Resource,$E47,'Critical resources (hide)'!AS$6:AS$105)+SUMIF(Capacity_Resource,$F47,'Critical resources (hide)'!AS$6:AS$105)&gt;0,$E$1=2),0,1),0)</f>
        <v>1</v>
      </c>
      <c r="AG47" s="67">
        <f ca="1">IF(LOWER(Capacity!$L59)="x",IF(AND(SUMIF(Capacity_Resource,$D47,'Critical resources (hide)'!AT$6:AT$105)+SUMIF(Capacity_Resource,$E47,'Critical resources (hide)'!AT$6:AT$105)+SUMIF(Capacity_Resource,$F47,'Critical resources (hide)'!AT$6:AT$105)&gt;0,$E$1=2),0,1),0)</f>
        <v>1</v>
      </c>
      <c r="AH47" s="67">
        <f ca="1">IF(LOWER(Capacity!$L59)="x",IF(AND(SUMIF(Capacity_Resource,$D47,'Critical resources (hide)'!AU$6:AU$105)+SUMIF(Capacity_Resource,$E47,'Critical resources (hide)'!AU$6:AU$105)+SUMIF(Capacity_Resource,$F47,'Critical resources (hide)'!AU$6:AU$105)&gt;0,$E$1=2),0,1),0)</f>
        <v>1</v>
      </c>
      <c r="AI47" s="67">
        <f ca="1">IF(LOWER(Capacity!$L59)="x",IF(AND(SUMIF(Capacity_Resource,$D47,'Critical resources (hide)'!AV$6:AV$105)+SUMIF(Capacity_Resource,$E47,'Critical resources (hide)'!AV$6:AV$105)+SUMIF(Capacity_Resource,$F47,'Critical resources (hide)'!AV$6:AV$105)&gt;0,$E$1=2),0,1),0)</f>
        <v>1</v>
      </c>
      <c r="AJ47" s="67">
        <f ca="1">IF(LOWER(Capacity!$L59)="x",IF(AND(SUMIF(Capacity_Resource,$D47,'Critical resources (hide)'!AW$6:AW$105)+SUMIF(Capacity_Resource,$E47,'Critical resources (hide)'!AW$6:AW$105)+SUMIF(Capacity_Resource,$F47,'Critical resources (hide)'!AW$6:AW$105)&gt;0,$E$1=2),0,1),0)</f>
        <v>1</v>
      </c>
      <c r="AK47" s="67">
        <f ca="1">IF(LOWER(Capacity!$L59)="x",IF(AND(SUMIF(Capacity_Resource,$D47,'Critical resources (hide)'!AX$6:AX$105)+SUMIF(Capacity_Resource,$E47,'Critical resources (hide)'!AX$6:AX$105)+SUMIF(Capacity_Resource,$F47,'Critical resources (hide)'!AX$6:AX$105)&gt;0,$E$1=2),0,1),0)</f>
        <v>1</v>
      </c>
      <c r="AL47" s="67">
        <f ca="1">IF(LOWER(Capacity!$L59)="x",IF(AND(SUMIF(Capacity_Resource,$D47,'Critical resources (hide)'!AY$6:AY$105)+SUMIF(Capacity_Resource,$E47,'Critical resources (hide)'!AY$6:AY$105)+SUMIF(Capacity_Resource,$F47,'Critical resources (hide)'!AY$6:AY$105)&gt;0,$E$1=2),0,1),0)</f>
        <v>1</v>
      </c>
      <c r="AM47" s="67">
        <f ca="1">IF(LOWER(Capacity!$L59)="x",IF(AND(SUMIF(Capacity_Resource,$D47,'Critical resources (hide)'!AZ$6:AZ$105)+SUMIF(Capacity_Resource,$E47,'Critical resources (hide)'!AZ$6:AZ$105)+SUMIF(Capacity_Resource,$F47,'Critical resources (hide)'!AZ$6:AZ$105)&gt;0,$E$1=2),0,1),0)</f>
        <v>1</v>
      </c>
      <c r="AN47" s="67">
        <f ca="1">IF(LOWER(Capacity!$L59)="x",IF(AND(SUMIF(Capacity_Resource,$D47,'Critical resources (hide)'!BA$6:BA$105)+SUMIF(Capacity_Resource,$E47,'Critical resources (hide)'!BA$6:BA$105)+SUMIF(Capacity_Resource,$F47,'Critical resources (hide)'!BA$6:BA$105)&gt;0,$E$1=2),0,1),0)</f>
        <v>1</v>
      </c>
      <c r="AO47" s="67">
        <f ca="1">IF(LOWER(Capacity!$L59)="x",IF(AND(SUMIF(Capacity_Resource,$D47,'Critical resources (hide)'!BB$6:BB$105)+SUMIF(Capacity_Resource,$E47,'Critical resources (hide)'!BB$6:BB$105)+SUMIF(Capacity_Resource,$F47,'Critical resources (hide)'!BB$6:BB$105)&gt;0,$E$1=2),0,1),0)</f>
        <v>1</v>
      </c>
      <c r="AP47" s="67">
        <f ca="1">IF(LOWER(Capacity!$L59)="x",IF(AND(SUMIF(Capacity_Resource,$D47,'Critical resources (hide)'!BC$6:BC$105)+SUMIF(Capacity_Resource,$E47,'Critical resources (hide)'!BC$6:BC$105)+SUMIF(Capacity_Resource,$F47,'Critical resources (hide)'!BC$6:BC$105)&gt;0,$E$1=2),0,1),0)</f>
        <v>1</v>
      </c>
      <c r="AQ47" s="67">
        <f ca="1">IF(LOWER(Capacity!$L59)="x",IF(AND(SUMIF(Capacity_Resource,$D47,'Critical resources (hide)'!BD$6:BD$105)+SUMIF(Capacity_Resource,$E47,'Critical resources (hide)'!BD$6:BD$105)+SUMIF(Capacity_Resource,$F47,'Critical resources (hide)'!BD$6:BD$105)&gt;0,$E$1=2),0,1),0)</f>
        <v>1</v>
      </c>
      <c r="AR47" s="67">
        <f ca="1">IF(LOWER(Capacity!$L59)="x",IF(AND(SUMIF(Capacity_Resource,$D47,'Critical resources (hide)'!BE$6:BE$105)+SUMIF(Capacity_Resource,$E47,'Critical resources (hide)'!BE$6:BE$105)+SUMIF(Capacity_Resource,$F47,'Critical resources (hide)'!BE$6:BE$105)&gt;0,$E$1=2),0,1),0)</f>
        <v>1</v>
      </c>
      <c r="AS47" s="67">
        <f ca="1">IF(LOWER(Capacity!$L59)="x",IF(AND(SUMIF(Capacity_Resource,$D47,'Critical resources (hide)'!BF$6:BF$105)+SUMIF(Capacity_Resource,$E47,'Critical resources (hide)'!BF$6:BF$105)+SUMIF(Capacity_Resource,$F47,'Critical resources (hide)'!BF$6:BF$105)&gt;0,$E$1=2),0,1),0)</f>
        <v>1</v>
      </c>
      <c r="AT47" s="67">
        <f ca="1">IF(LOWER(Capacity!$L59)="x",IF(AND(SUMIF(Capacity_Resource,$D47,'Critical resources (hide)'!BG$6:BG$105)+SUMIF(Capacity_Resource,$E47,'Critical resources (hide)'!BG$6:BG$105)+SUMIF(Capacity_Resource,$F47,'Critical resources (hide)'!BG$6:BG$105)&gt;0,$E$1=2),0,1),0)</f>
        <v>1</v>
      </c>
      <c r="AU47" s="67">
        <f ca="1">IF(LOWER(Capacity!$L59)="x",IF(AND(SUMIF(Capacity_Resource,$D47,'Critical resources (hide)'!BH$6:BH$105)+SUMIF(Capacity_Resource,$E47,'Critical resources (hide)'!BH$6:BH$105)+SUMIF(Capacity_Resource,$F47,'Critical resources (hide)'!BH$6:BH$105)&gt;0,$E$1=2),0,1),0)</f>
        <v>1</v>
      </c>
      <c r="AV47" s="67">
        <f ca="1">IF(LOWER(Capacity!$L59)="x",IF(AND(SUMIF(Capacity_Resource,$D47,'Critical resources (hide)'!BI$6:BI$105)+SUMIF(Capacity_Resource,$E47,'Critical resources (hide)'!BI$6:BI$105)+SUMIF(Capacity_Resource,$F47,'Critical resources (hide)'!BI$6:BI$105)&gt;0,$E$1=2),0,1),0)</f>
        <v>1</v>
      </c>
      <c r="AW47" s="67">
        <f ca="1">IF(LOWER(Capacity!$L59)="x",IF(AND(SUMIF(Capacity_Resource,$D47,'Critical resources (hide)'!BJ$6:BJ$105)+SUMIF(Capacity_Resource,$E47,'Critical resources (hide)'!BJ$6:BJ$105)+SUMIF(Capacity_Resource,$F47,'Critical resources (hide)'!BJ$6:BJ$105)&gt;0,$E$1=2),0,1),0)</f>
        <v>1</v>
      </c>
      <c r="AX47" s="67">
        <f ca="1">IF(LOWER(Capacity!$L59)="x",IF(AND(SUMIF(Capacity_Resource,$D47,'Critical resources (hide)'!BK$6:BK$105)+SUMIF(Capacity_Resource,$E47,'Critical resources (hide)'!BK$6:BK$105)+SUMIF(Capacity_Resource,$F47,'Critical resources (hide)'!BK$6:BK$105)&gt;0,$E$1=2),0,1),0)</f>
        <v>1</v>
      </c>
      <c r="AY47" s="67">
        <f ca="1">IF(LOWER(Capacity!$L59)="x",IF(AND(SUMIF(Capacity_Resource,$D47,'Critical resources (hide)'!BL$6:BL$105)+SUMIF(Capacity_Resource,$E47,'Critical resources (hide)'!BL$6:BL$105)+SUMIF(Capacity_Resource,$F47,'Critical resources (hide)'!BL$6:BL$105)&gt;0,$E$1=2),0,1),0)</f>
        <v>1</v>
      </c>
      <c r="AZ47" s="67">
        <f ca="1">IF(LOWER(Capacity!$L59)="x",IF(AND(SUMIF(Capacity_Resource,$D47,'Critical resources (hide)'!BM$6:BM$105)+SUMIF(Capacity_Resource,$E47,'Critical resources (hide)'!BM$6:BM$105)+SUMIF(Capacity_Resource,$F47,'Critical resources (hide)'!BM$6:BM$105)&gt;0,$E$1=2),0,1),0)</f>
        <v>1</v>
      </c>
      <c r="BA47" s="67">
        <f ca="1">IF(LOWER(Capacity!$L59)="x",IF(AND(SUMIF(Capacity_Resource,$D47,'Critical resources (hide)'!BN$6:BN$105)+SUMIF(Capacity_Resource,$E47,'Critical resources (hide)'!BN$6:BN$105)+SUMIF(Capacity_Resource,$F47,'Critical resources (hide)'!BN$6:BN$105)&gt;0,$E$1=2),0,1),0)</f>
        <v>1</v>
      </c>
      <c r="BB47" s="67">
        <f ca="1">IF(LOWER(Capacity!$L59)="x",IF(AND(SUMIF(Capacity_Resource,$D47,'Critical resources (hide)'!BO$6:BO$105)+SUMIF(Capacity_Resource,$E47,'Critical resources (hide)'!BO$6:BO$105)+SUMIF(Capacity_Resource,$F47,'Critical resources (hide)'!BO$6:BO$105)&gt;0,$E$1=2),0,1),0)</f>
        <v>1</v>
      </c>
      <c r="BC47" s="67">
        <f ca="1">IF(LOWER(Capacity!$L59)="x",IF(AND(SUMIF(Capacity_Resource,$D47,'Critical resources (hide)'!BP$6:BP$105)+SUMIF(Capacity_Resource,$E47,'Critical resources (hide)'!BP$6:BP$105)+SUMIF(Capacity_Resource,$F47,'Critical resources (hide)'!BP$6:BP$105)&gt;0,$E$1=2),0,1),0)</f>
        <v>1</v>
      </c>
      <c r="BD47" s="67">
        <f ca="1">IF(LOWER(Capacity!$L59)="x",IF(AND(SUMIF(Capacity_Resource,$D47,'Critical resources (hide)'!BQ$6:BQ$105)+SUMIF(Capacity_Resource,$E47,'Critical resources (hide)'!BQ$6:BQ$105)+SUMIF(Capacity_Resource,$F47,'Critical resources (hide)'!BQ$6:BQ$105)&gt;0,$E$1=2),0,1),0)</f>
        <v>1</v>
      </c>
      <c r="BE47" s="67">
        <f ca="1">IF(LOWER(Capacity!$L59)="x",IF(AND(SUMIF(Capacity_Resource,$D47,'Critical resources (hide)'!BR$6:BR$105)+SUMIF(Capacity_Resource,$E47,'Critical resources (hide)'!BR$6:BR$105)+SUMIF(Capacity_Resource,$F47,'Critical resources (hide)'!BR$6:BR$105)&gt;0,$E$1=2),0,1),0)</f>
        <v>1</v>
      </c>
      <c r="BF47" s="67">
        <f ca="1">IF(LOWER(Capacity!$L59)="x",IF(AND(SUMIF(Capacity_Resource,$D47,'Critical resources (hide)'!BS$6:BS$105)+SUMIF(Capacity_Resource,$E47,'Critical resources (hide)'!BS$6:BS$105)+SUMIF(Capacity_Resource,$F47,'Critical resources (hide)'!BS$6:BS$105)&gt;0,$E$1=2),0,1),0)</f>
        <v>1</v>
      </c>
      <c r="BG47" s="67">
        <f ca="1">IF(LOWER(Capacity!$L59)="x",IF(AND(SUMIF(Capacity_Resource,$D47,'Critical resources (hide)'!BT$6:BT$105)+SUMIF(Capacity_Resource,$E47,'Critical resources (hide)'!BT$6:BT$105)+SUMIF(Capacity_Resource,$F47,'Critical resources (hide)'!BT$6:BT$105)&gt;0,$E$1=2),0,1),0)</f>
        <v>1</v>
      </c>
      <c r="BH47" s="67">
        <f>IF(ROW(C43)&lt;=Capacity!$A$16,IF('Capacity summary'!$D$14="No",SUM(H47:BG47),'Capacity summary'!$E166),0)</f>
        <v>0</v>
      </c>
      <c r="BI47" s="5" t="str">
        <f>IF(BH47&gt;0,IF(BH47&lt;Capacity!E59,Capacity!F59,Capacity!H59/'Capacity calculation (hide)'!BH47),"")</f>
        <v/>
      </c>
      <c r="BK47" s="311">
        <f>IF($BI47&lt;&gt;"",IF('Capacity summary'!$D$14="Yes",IF(COUNTBLANK('Capacity summary'!$H166:$BG166)&lt;52,IF('Capacity summary'!H166&lt;&gt;"",IF(LOWER('Capacity summary'!H166)="x",$BI47*H47,VALUE('Capacity summary'!H166)),0),H47*$BI47),H47*$BI47),0)</f>
        <v>0</v>
      </c>
      <c r="BL47" s="311">
        <f>IF($BI47&lt;&gt;"",IF('Capacity summary'!$D$14="Yes",IF(COUNTBLANK('Capacity summary'!$H166:$BG166)&lt;52,IF('Capacity summary'!I166&lt;&gt;"",IF(LOWER('Capacity summary'!I166)="x",$BI47*I47,VALUE('Capacity summary'!I166)),0),I47*$BI47),I47*$BI47),0)</f>
        <v>0</v>
      </c>
      <c r="BM47" s="311">
        <f>IF($BI47&lt;&gt;"",IF('Capacity summary'!$D$14="Yes",IF(COUNTBLANK('Capacity summary'!$H166:$BG166)&lt;52,IF('Capacity summary'!J166&lt;&gt;"",IF(LOWER('Capacity summary'!J166)="x",$BI47*J47,VALUE('Capacity summary'!J166)),0),J47*$BI47),J47*$BI47),0)</f>
        <v>0</v>
      </c>
      <c r="BN47" s="311">
        <f>IF($BI47&lt;&gt;"",IF('Capacity summary'!$D$14="Yes",IF(COUNTBLANK('Capacity summary'!$H166:$BG166)&lt;52,IF('Capacity summary'!K166&lt;&gt;"",IF(LOWER('Capacity summary'!K166)="x",$BI47*K47,VALUE('Capacity summary'!K166)),0),K47*$BI47),K47*$BI47),0)</f>
        <v>0</v>
      </c>
      <c r="BO47" s="311">
        <f>IF($BI47&lt;&gt;"",IF('Capacity summary'!$D$14="Yes",IF(COUNTBLANK('Capacity summary'!$H166:$BG166)&lt;52,IF('Capacity summary'!L166&lt;&gt;"",IF(LOWER('Capacity summary'!L166)="x",$BI47*L47,VALUE('Capacity summary'!L166)),0),L47*$BI47),L47*$BI47),0)</f>
        <v>0</v>
      </c>
      <c r="BP47" s="311">
        <f>IF($BI47&lt;&gt;"",IF('Capacity summary'!$D$14="Yes",IF(COUNTBLANK('Capacity summary'!$H166:$BG166)&lt;52,IF('Capacity summary'!M166&lt;&gt;"",IF(LOWER('Capacity summary'!M166)="x",$BI47*M47,VALUE('Capacity summary'!M166)),0),M47*$BI47),M47*$BI47),0)</f>
        <v>0</v>
      </c>
      <c r="BQ47" s="311">
        <f>IF($BI47&lt;&gt;"",IF('Capacity summary'!$D$14="Yes",IF(COUNTBLANK('Capacity summary'!$H166:$BG166)&lt;52,IF('Capacity summary'!N166&lt;&gt;"",IF(LOWER('Capacity summary'!N166)="x",$BI47*N47,VALUE('Capacity summary'!N166)),0),N47*$BI47),N47*$BI47),0)</f>
        <v>0</v>
      </c>
      <c r="BR47" s="311">
        <f>IF($BI47&lt;&gt;"",IF('Capacity summary'!$D$14="Yes",IF(COUNTBLANK('Capacity summary'!$H166:$BG166)&lt;52,IF('Capacity summary'!O166&lt;&gt;"",IF(LOWER('Capacity summary'!O166)="x",$BI47*O47,VALUE('Capacity summary'!O166)),0),O47*$BI47),O47*$BI47),0)</f>
        <v>0</v>
      </c>
      <c r="BS47" s="311">
        <f>IF($BI47&lt;&gt;"",IF('Capacity summary'!$D$14="Yes",IF(COUNTBLANK('Capacity summary'!$H166:$BG166)&lt;52,IF('Capacity summary'!P166&lt;&gt;"",IF(LOWER('Capacity summary'!P166)="x",$BI47*P47,VALUE('Capacity summary'!P166)),0),P47*$BI47),P47*$BI47),0)</f>
        <v>0</v>
      </c>
      <c r="BT47" s="311">
        <f>IF($BI47&lt;&gt;"",IF('Capacity summary'!$D$14="Yes",IF(COUNTBLANK('Capacity summary'!$H166:$BG166)&lt;52,IF('Capacity summary'!Q166&lt;&gt;"",IF(LOWER('Capacity summary'!Q166)="x",$BI47*Q47,VALUE('Capacity summary'!Q166)),0),Q47*$BI47),Q47*$BI47),0)</f>
        <v>0</v>
      </c>
      <c r="BU47" s="311">
        <f>IF($BI47&lt;&gt;"",IF('Capacity summary'!$D$14="Yes",IF(COUNTBLANK('Capacity summary'!$H166:$BG166)&lt;52,IF('Capacity summary'!R166&lt;&gt;"",IF(LOWER('Capacity summary'!R166)="x",$BI47*R47,VALUE('Capacity summary'!R166)),0),R47*$BI47),R47*$BI47),0)</f>
        <v>0</v>
      </c>
      <c r="BV47" s="311">
        <f>IF($BI47&lt;&gt;"",IF('Capacity summary'!$D$14="Yes",IF(COUNTBLANK('Capacity summary'!$H166:$BG166)&lt;52,IF('Capacity summary'!S166&lt;&gt;"",IF(LOWER('Capacity summary'!S166)="x",$BI47*S47,VALUE('Capacity summary'!S166)),0),S47*$BI47),S47*$BI47),0)</f>
        <v>0</v>
      </c>
      <c r="BW47" s="311">
        <f>IF($BI47&lt;&gt;"",IF('Capacity summary'!$D$14="Yes",IF(COUNTBLANK('Capacity summary'!$H166:$BG166)&lt;52,IF('Capacity summary'!T166&lt;&gt;"",IF(LOWER('Capacity summary'!T166)="x",$BI47*T47,VALUE('Capacity summary'!T166)),0),T47*$BI47),T47*$BI47),0)</f>
        <v>0</v>
      </c>
      <c r="BX47" s="311">
        <f>IF($BI47&lt;&gt;"",IF('Capacity summary'!$D$14="Yes",IF(COUNTBLANK('Capacity summary'!$H166:$BG166)&lt;52,IF('Capacity summary'!U166&lt;&gt;"",IF(LOWER('Capacity summary'!U166)="x",$BI47*U47,VALUE('Capacity summary'!U166)),0),U47*$BI47),U47*$BI47),0)</f>
        <v>0</v>
      </c>
      <c r="BY47" s="311">
        <f>IF($BI47&lt;&gt;"",IF('Capacity summary'!$D$14="Yes",IF(COUNTBLANK('Capacity summary'!$H166:$BG166)&lt;52,IF('Capacity summary'!V166&lt;&gt;"",IF(LOWER('Capacity summary'!V166)="x",$BI47*V47,VALUE('Capacity summary'!V166)),0),V47*$BI47),V47*$BI47),0)</f>
        <v>0</v>
      </c>
      <c r="BZ47" s="311">
        <f>IF($BI47&lt;&gt;"",IF('Capacity summary'!$D$14="Yes",IF(COUNTBLANK('Capacity summary'!$H166:$BG166)&lt;52,IF('Capacity summary'!W166&lt;&gt;"",IF(LOWER('Capacity summary'!W166)="x",$BI47*W47,VALUE('Capacity summary'!W166)),0),W47*$BI47),W47*$BI47),0)</f>
        <v>0</v>
      </c>
      <c r="CA47" s="311">
        <f>IF($BI47&lt;&gt;"",IF('Capacity summary'!$D$14="Yes",IF(COUNTBLANK('Capacity summary'!$H166:$BG166)&lt;52,IF('Capacity summary'!X166&lt;&gt;"",IF(LOWER('Capacity summary'!X166)="x",$BI47*X47,VALUE('Capacity summary'!X166)),0),X47*$BI47),X47*$BI47),0)</f>
        <v>0</v>
      </c>
      <c r="CB47" s="311">
        <f>IF($BI47&lt;&gt;"",IF('Capacity summary'!$D$14="Yes",IF(COUNTBLANK('Capacity summary'!$H166:$BG166)&lt;52,IF('Capacity summary'!Y166&lt;&gt;"",IF(LOWER('Capacity summary'!Y166)="x",$BI47*Y47,VALUE('Capacity summary'!Y166)),0),Y47*$BI47),Y47*$BI47),0)</f>
        <v>0</v>
      </c>
      <c r="CC47" s="311">
        <f>IF($BI47&lt;&gt;"",IF('Capacity summary'!$D$14="Yes",IF(COUNTBLANK('Capacity summary'!$H166:$BG166)&lt;52,IF('Capacity summary'!Z166&lt;&gt;"",IF(LOWER('Capacity summary'!Z166)="x",$BI47*Z47,VALUE('Capacity summary'!Z166)),0),Z47*$BI47),Z47*$BI47),0)</f>
        <v>0</v>
      </c>
      <c r="CD47" s="311">
        <f>IF($BI47&lt;&gt;"",IF('Capacity summary'!$D$14="Yes",IF(COUNTBLANK('Capacity summary'!$H166:$BG166)&lt;52,IF('Capacity summary'!AA166&lt;&gt;"",IF(LOWER('Capacity summary'!AA166)="x",$BI47*AA47,VALUE('Capacity summary'!AA166)),0),AA47*$BI47),AA47*$BI47),0)</f>
        <v>0</v>
      </c>
      <c r="CE47" s="311">
        <f>IF($BI47&lt;&gt;"",IF('Capacity summary'!$D$14="Yes",IF(COUNTBLANK('Capacity summary'!$H166:$BG166)&lt;52,IF('Capacity summary'!AB166&lt;&gt;"",IF(LOWER('Capacity summary'!AB166)="x",$BI47*AB47,VALUE('Capacity summary'!AB166)),0),AB47*$BI47),AB47*$BI47),0)</f>
        <v>0</v>
      </c>
      <c r="CF47" s="311">
        <f>IF($BI47&lt;&gt;"",IF('Capacity summary'!$D$14="Yes",IF(COUNTBLANK('Capacity summary'!$H166:$BG166)&lt;52,IF('Capacity summary'!AC166&lt;&gt;"",IF(LOWER('Capacity summary'!AC166)="x",$BI47*AC47,VALUE('Capacity summary'!AC166)),0),AC47*$BI47),AC47*$BI47),0)</f>
        <v>0</v>
      </c>
      <c r="CG47" s="311">
        <f>IF($BI47&lt;&gt;"",IF('Capacity summary'!$D$14="Yes",IF(COUNTBLANK('Capacity summary'!$H166:$BG166)&lt;52,IF('Capacity summary'!AD166&lt;&gt;"",IF(LOWER('Capacity summary'!AD166)="x",$BI47*AD47,VALUE('Capacity summary'!AD166)),0),AD47*$BI47),AD47*$BI47),0)</f>
        <v>0</v>
      </c>
      <c r="CH47" s="311">
        <f>IF($BI47&lt;&gt;"",IF('Capacity summary'!$D$14="Yes",IF(COUNTBLANK('Capacity summary'!$H166:$BG166)&lt;52,IF('Capacity summary'!AE166&lt;&gt;"",IF(LOWER('Capacity summary'!AE166)="x",$BI47*AE47,VALUE('Capacity summary'!AE166)),0),AE47*$BI47),AE47*$BI47),0)</f>
        <v>0</v>
      </c>
      <c r="CI47" s="311">
        <f>IF($BI47&lt;&gt;"",IF('Capacity summary'!$D$14="Yes",IF(COUNTBLANK('Capacity summary'!$H166:$BG166)&lt;52,IF('Capacity summary'!AF166&lt;&gt;"",IF(LOWER('Capacity summary'!AF166)="x",$BI47*AF47,VALUE('Capacity summary'!AF166)),0),AF47*$BI47),AF47*$BI47),0)</f>
        <v>0</v>
      </c>
      <c r="CJ47" s="311">
        <f>IF($BI47&lt;&gt;"",IF('Capacity summary'!$D$14="Yes",IF(COUNTBLANK('Capacity summary'!$H166:$BG166)&lt;52,IF('Capacity summary'!AG166&lt;&gt;"",IF(LOWER('Capacity summary'!AG166)="x",$BI47*AG47,VALUE('Capacity summary'!AG166)),0),AG47*$BI47),AG47*$BI47),0)</f>
        <v>0</v>
      </c>
      <c r="CK47" s="311">
        <f>IF($BI47&lt;&gt;"",IF('Capacity summary'!$D$14="Yes",IF(COUNTBLANK('Capacity summary'!$H166:$BG166)&lt;52,IF('Capacity summary'!AH166&lt;&gt;"",IF(LOWER('Capacity summary'!AH166)="x",$BI47*AH47,VALUE('Capacity summary'!AH166)),0),AH47*$BI47),AH47*$BI47),0)</f>
        <v>0</v>
      </c>
      <c r="CL47" s="311">
        <f>IF($BI47&lt;&gt;"",IF('Capacity summary'!$D$14="Yes",IF(COUNTBLANK('Capacity summary'!$H166:$BG166)&lt;52,IF('Capacity summary'!AI166&lt;&gt;"",IF(LOWER('Capacity summary'!AI166)="x",$BI47*AI47,VALUE('Capacity summary'!AI166)),0),AI47*$BI47),AI47*$BI47),0)</f>
        <v>0</v>
      </c>
      <c r="CM47" s="311">
        <f>IF($BI47&lt;&gt;"",IF('Capacity summary'!$D$14="Yes",IF(COUNTBLANK('Capacity summary'!$H166:$BG166)&lt;52,IF('Capacity summary'!AJ166&lt;&gt;"",IF(LOWER('Capacity summary'!AJ166)="x",$BI47*AJ47,VALUE('Capacity summary'!AJ166)),0),AJ47*$BI47),AJ47*$BI47),0)</f>
        <v>0</v>
      </c>
      <c r="CN47" s="311">
        <f>IF($BI47&lt;&gt;"",IF('Capacity summary'!$D$14="Yes",IF(COUNTBLANK('Capacity summary'!$H166:$BG166)&lt;52,IF('Capacity summary'!AK166&lt;&gt;"",IF(LOWER('Capacity summary'!AK166)="x",$BI47*AK47,VALUE('Capacity summary'!AK166)),0),AK47*$BI47),AK47*$BI47),0)</f>
        <v>0</v>
      </c>
      <c r="CO47" s="311">
        <f>IF($BI47&lt;&gt;"",IF('Capacity summary'!$D$14="Yes",IF(COUNTBLANK('Capacity summary'!$H166:$BG166)&lt;52,IF('Capacity summary'!AL166&lt;&gt;"",IF(LOWER('Capacity summary'!AL166)="x",$BI47*AL47,VALUE('Capacity summary'!AL166)),0),AL47*$BI47),AL47*$BI47),0)</f>
        <v>0</v>
      </c>
      <c r="CP47" s="311">
        <f>IF($BI47&lt;&gt;"",IF('Capacity summary'!$D$14="Yes",IF(COUNTBLANK('Capacity summary'!$H166:$BG166)&lt;52,IF('Capacity summary'!AM166&lt;&gt;"",IF(LOWER('Capacity summary'!AM166)="x",$BI47*AM47,VALUE('Capacity summary'!AM166)),0),AM47*$BI47),AM47*$BI47),0)</f>
        <v>0</v>
      </c>
      <c r="CQ47" s="311">
        <f>IF($BI47&lt;&gt;"",IF('Capacity summary'!$D$14="Yes",IF(COUNTBLANK('Capacity summary'!$H166:$BG166)&lt;52,IF('Capacity summary'!AN166&lt;&gt;"",IF(LOWER('Capacity summary'!AN166)="x",$BI47*AN47,VALUE('Capacity summary'!AN166)),0),AN47*$BI47),AN47*$BI47),0)</f>
        <v>0</v>
      </c>
      <c r="CR47" s="311">
        <f>IF($BI47&lt;&gt;"",IF('Capacity summary'!$D$14="Yes",IF(COUNTBLANK('Capacity summary'!$H166:$BG166)&lt;52,IF('Capacity summary'!AO166&lt;&gt;"",IF(LOWER('Capacity summary'!AO166)="x",$BI47*AO47,VALUE('Capacity summary'!AO166)),0),AO47*$BI47),AO47*$BI47),0)</f>
        <v>0</v>
      </c>
      <c r="CS47" s="311">
        <f>IF($BI47&lt;&gt;"",IF('Capacity summary'!$D$14="Yes",IF(COUNTBLANK('Capacity summary'!$H166:$BG166)&lt;52,IF('Capacity summary'!AP166&lt;&gt;"",IF(LOWER('Capacity summary'!AP166)="x",$BI47*AP47,VALUE('Capacity summary'!AP166)),0),AP47*$BI47),AP47*$BI47),0)</f>
        <v>0</v>
      </c>
      <c r="CT47" s="311">
        <f>IF($BI47&lt;&gt;"",IF('Capacity summary'!$D$14="Yes",IF(COUNTBLANK('Capacity summary'!$H166:$BG166)&lt;52,IF('Capacity summary'!AQ166&lt;&gt;"",IF(LOWER('Capacity summary'!AQ166)="x",$BI47*AQ47,VALUE('Capacity summary'!AQ166)),0),AQ47*$BI47),AQ47*$BI47),0)</f>
        <v>0</v>
      </c>
      <c r="CU47" s="311">
        <f>IF($BI47&lt;&gt;"",IF('Capacity summary'!$D$14="Yes",IF(COUNTBLANK('Capacity summary'!$H166:$BG166)&lt;52,IF('Capacity summary'!AR166&lt;&gt;"",IF(LOWER('Capacity summary'!AR166)="x",$BI47*AR47,VALUE('Capacity summary'!AR166)),0),AR47*$BI47),AR47*$BI47),0)</f>
        <v>0</v>
      </c>
      <c r="CV47" s="311">
        <f>IF($BI47&lt;&gt;"",IF('Capacity summary'!$D$14="Yes",IF(COUNTBLANK('Capacity summary'!$H166:$BG166)&lt;52,IF('Capacity summary'!AS166&lt;&gt;"",IF(LOWER('Capacity summary'!AS166)="x",$BI47*AS47,VALUE('Capacity summary'!AS166)),0),AS47*$BI47),AS47*$BI47),0)</f>
        <v>0</v>
      </c>
      <c r="CW47" s="311">
        <f>IF($BI47&lt;&gt;"",IF('Capacity summary'!$D$14="Yes",IF(COUNTBLANK('Capacity summary'!$H166:$BG166)&lt;52,IF('Capacity summary'!AT166&lt;&gt;"",IF(LOWER('Capacity summary'!AT166)="x",$BI47*AT47,VALUE('Capacity summary'!AT166)),0),AT47*$BI47),AT47*$BI47),0)</f>
        <v>0</v>
      </c>
      <c r="CX47" s="311">
        <f>IF($BI47&lt;&gt;"",IF('Capacity summary'!$D$14="Yes",IF(COUNTBLANK('Capacity summary'!$H166:$BG166)&lt;52,IF('Capacity summary'!AU166&lt;&gt;"",IF(LOWER('Capacity summary'!AU166)="x",$BI47*AU47,VALUE('Capacity summary'!AU166)),0),AU47*$BI47),AU47*$BI47),0)</f>
        <v>0</v>
      </c>
      <c r="CY47" s="311">
        <f>IF($BI47&lt;&gt;"",IF('Capacity summary'!$D$14="Yes",IF(COUNTBLANK('Capacity summary'!$H166:$BG166)&lt;52,IF('Capacity summary'!AV166&lt;&gt;"",IF(LOWER('Capacity summary'!AV166)="x",$BI47*AV47,VALUE('Capacity summary'!AV166)),0),AV47*$BI47),AV47*$BI47),0)</f>
        <v>0</v>
      </c>
      <c r="CZ47" s="311">
        <f>IF($BI47&lt;&gt;"",IF('Capacity summary'!$D$14="Yes",IF(COUNTBLANK('Capacity summary'!$H166:$BG166)&lt;52,IF('Capacity summary'!AW166&lt;&gt;"",IF(LOWER('Capacity summary'!AW166)="x",$BI47*AW47,VALUE('Capacity summary'!AW166)),0),AW47*$BI47),AW47*$BI47),0)</f>
        <v>0</v>
      </c>
      <c r="DA47" s="311">
        <f>IF($BI47&lt;&gt;"",IF('Capacity summary'!$D$14="Yes",IF(COUNTBLANK('Capacity summary'!$H166:$BG166)&lt;52,IF('Capacity summary'!AX166&lt;&gt;"",IF(LOWER('Capacity summary'!AX166)="x",$BI47*AX47,VALUE('Capacity summary'!AX166)),0),AX47*$BI47),AX47*$BI47),0)</f>
        <v>0</v>
      </c>
      <c r="DB47" s="311">
        <f>IF($BI47&lt;&gt;"",IF('Capacity summary'!$D$14="Yes",IF(COUNTBLANK('Capacity summary'!$H166:$BG166)&lt;52,IF('Capacity summary'!AY166&lt;&gt;"",IF(LOWER('Capacity summary'!AY166)="x",$BI47*AY47,VALUE('Capacity summary'!AY166)),0),AY47*$BI47),AY47*$BI47),0)</f>
        <v>0</v>
      </c>
      <c r="DC47" s="311">
        <f>IF($BI47&lt;&gt;"",IF('Capacity summary'!$D$14="Yes",IF(COUNTBLANK('Capacity summary'!$H166:$BG166)&lt;52,IF('Capacity summary'!AZ166&lt;&gt;"",IF(LOWER('Capacity summary'!AZ166)="x",$BI47*AZ47,VALUE('Capacity summary'!AZ166)),0),AZ47*$BI47),AZ47*$BI47),0)</f>
        <v>0</v>
      </c>
      <c r="DD47" s="311">
        <f>IF($BI47&lt;&gt;"",IF('Capacity summary'!$D$14="Yes",IF(COUNTBLANK('Capacity summary'!$H166:$BG166)&lt;52,IF('Capacity summary'!BA166&lt;&gt;"",IF(LOWER('Capacity summary'!BA166)="x",$BI47*BA47,VALUE('Capacity summary'!BA166)),0),BA47*$BI47),BA47*$BI47),0)</f>
        <v>0</v>
      </c>
      <c r="DE47" s="311">
        <f>IF($BI47&lt;&gt;"",IF('Capacity summary'!$D$14="Yes",IF(COUNTBLANK('Capacity summary'!$H166:$BG166)&lt;52,IF('Capacity summary'!BB166&lt;&gt;"",IF(LOWER('Capacity summary'!BB166)="x",$BI47*BB47,VALUE('Capacity summary'!BB166)),0),BB47*$BI47),BB47*$BI47),0)</f>
        <v>0</v>
      </c>
      <c r="DF47" s="311">
        <f>IF($BI47&lt;&gt;"",IF('Capacity summary'!$D$14="Yes",IF(COUNTBLANK('Capacity summary'!$H166:$BG166)&lt;52,IF('Capacity summary'!BC166&lt;&gt;"",IF(LOWER('Capacity summary'!BC166)="x",$BI47*BC47,VALUE('Capacity summary'!BC166)),0),BC47*$BI47),BC47*$BI47),0)</f>
        <v>0</v>
      </c>
      <c r="DG47" s="311">
        <f>IF($BI47&lt;&gt;"",IF('Capacity summary'!$D$14="Yes",IF(COUNTBLANK('Capacity summary'!$H166:$BG166)&lt;52,IF('Capacity summary'!BD166&lt;&gt;"",IF(LOWER('Capacity summary'!BD166)="x",$BI47*BD47,VALUE('Capacity summary'!BD166)),0),BD47*$BI47),BD47*$BI47),0)</f>
        <v>0</v>
      </c>
      <c r="DH47" s="311">
        <f>IF($BI47&lt;&gt;"",IF('Capacity summary'!$D$14="Yes",IF(COUNTBLANK('Capacity summary'!$H166:$BG166)&lt;52,IF('Capacity summary'!BE166&lt;&gt;"",IF(LOWER('Capacity summary'!BE166)="x",$BI47*BE47,VALUE('Capacity summary'!BE166)),0),BE47*$BI47),BE47*$BI47),0)</f>
        <v>0</v>
      </c>
      <c r="DI47" s="311">
        <f>IF($BI47&lt;&gt;"",IF('Capacity summary'!$D$14="Yes",IF(COUNTBLANK('Capacity summary'!$H166:$BG166)&lt;52,IF('Capacity summary'!BF166&lt;&gt;"",IF(LOWER('Capacity summary'!BF166)="x",$BI47*BF47,VALUE('Capacity summary'!BF166)),0),BF47*$BI47),BF47*$BI47),0)</f>
        <v>0</v>
      </c>
      <c r="DJ47" s="311">
        <f>IF($BI47&lt;&gt;"",IF('Capacity summary'!$D$14="Yes",IF(COUNTBLANK('Capacity summary'!$H166:$BG166)&lt;52,IF('Capacity summary'!BG166&lt;&gt;"",IF(LOWER('Capacity summary'!BG166)="x",$BI47*BG47,VALUE('Capacity summary'!BG166)),0),BG47*$BI47),BG47*$BI47),0)</f>
        <v>0</v>
      </c>
      <c r="DK47" s="391">
        <f t="shared" si="2"/>
        <v>0</v>
      </c>
      <c r="DL47" s="136">
        <f t="shared" si="3"/>
        <v>0</v>
      </c>
      <c r="DM47" s="311" t="str">
        <f>Capacity!H59</f>
        <v/>
      </c>
      <c r="DQ47" s="5"/>
    </row>
    <row r="48" spans="1:121" x14ac:dyDescent="0.2">
      <c r="A48" s="67">
        <f>IF(Capacity!L60='Capacity summary'!BI167,1,0)</f>
        <v>1</v>
      </c>
      <c r="B48" s="67">
        <f>IF(Capacity!V60='Capacity summary'!BI67,1,0)</f>
        <v>1</v>
      </c>
      <c r="C48" s="67" t="str">
        <f>ROW(A44)&amp;". "&amp;Capacity!B60</f>
        <v xml:space="preserve">44. </v>
      </c>
      <c r="D48" s="67">
        <f>'Capacity setup'!C55</f>
        <v>0</v>
      </c>
      <c r="E48" s="67">
        <f>'Capacity setup'!D55</f>
        <v>0</v>
      </c>
      <c r="F48" s="67">
        <f>'Capacity setup'!E55</f>
        <v>0</v>
      </c>
      <c r="H48" s="67">
        <f ca="1">IF(LOWER(Capacity!$L60)="x",IF(AND(SUMIF(Capacity_Resource,$D48,'Critical resources (hide)'!U$6:U$105)+SUMIF(Capacity_Resource,$E48,'Critical resources (hide)'!U$6:U$105)+SUMIF(Capacity_Resource,$F48,'Critical resources (hide)'!U$6:U$105)&gt;0,$E$1=2),0,1),0)</f>
        <v>1</v>
      </c>
      <c r="I48" s="67">
        <f ca="1">IF(LOWER(Capacity!$L60)="x",IF(AND(SUMIF(Capacity_Resource,$D48,'Critical resources (hide)'!V$6:V$105)+SUMIF(Capacity_Resource,$E48,'Critical resources (hide)'!V$6:V$105)+SUMIF(Capacity_Resource,$F48,'Critical resources (hide)'!V$6:V$105)&gt;0,$E$1=2),0,1),0)</f>
        <v>1</v>
      </c>
      <c r="J48" s="67">
        <f ca="1">IF(LOWER(Capacity!$L60)="x",IF(AND(SUMIF(Capacity_Resource,$D48,'Critical resources (hide)'!W$6:W$105)+SUMIF(Capacity_Resource,$E48,'Critical resources (hide)'!W$6:W$105)+SUMIF(Capacity_Resource,$F48,'Critical resources (hide)'!W$6:W$105)&gt;0,$E$1=2),0,1),0)</f>
        <v>1</v>
      </c>
      <c r="K48" s="67">
        <f ca="1">IF(LOWER(Capacity!$L60)="x",IF(AND(SUMIF(Capacity_Resource,$D48,'Critical resources (hide)'!X$6:X$105)+SUMIF(Capacity_Resource,$E48,'Critical resources (hide)'!X$6:X$105)+SUMIF(Capacity_Resource,$F48,'Critical resources (hide)'!X$6:X$105)&gt;0,$E$1=2),0,1),0)</f>
        <v>1</v>
      </c>
      <c r="L48" s="67">
        <f ca="1">IF(LOWER(Capacity!$L60)="x",IF(AND(SUMIF(Capacity_Resource,$D48,'Critical resources (hide)'!Y$6:Y$105)+SUMIF(Capacity_Resource,$E48,'Critical resources (hide)'!Y$6:Y$105)+SUMIF(Capacity_Resource,$F48,'Critical resources (hide)'!Y$6:Y$105)&gt;0,$E$1=2),0,1),0)</f>
        <v>1</v>
      </c>
      <c r="M48" s="67">
        <f ca="1">IF(LOWER(Capacity!$L60)="x",IF(AND(SUMIF(Capacity_Resource,$D48,'Critical resources (hide)'!Z$6:Z$105)+SUMIF(Capacity_Resource,$E48,'Critical resources (hide)'!Z$6:Z$105)+SUMIF(Capacity_Resource,$F48,'Critical resources (hide)'!Z$6:Z$105)&gt;0,$E$1=2),0,1),0)</f>
        <v>1</v>
      </c>
      <c r="N48" s="67">
        <f ca="1">IF(LOWER(Capacity!$L60)="x",IF(AND(SUMIF(Capacity_Resource,$D48,'Critical resources (hide)'!AA$6:AA$105)+SUMIF(Capacity_Resource,$E48,'Critical resources (hide)'!AA$6:AA$105)+SUMIF(Capacity_Resource,$F48,'Critical resources (hide)'!AA$6:AA$105)&gt;0,$E$1=2),0,1),0)</f>
        <v>1</v>
      </c>
      <c r="O48" s="67">
        <f ca="1">IF(LOWER(Capacity!$L60)="x",IF(AND(SUMIF(Capacity_Resource,$D48,'Critical resources (hide)'!AB$6:AB$105)+SUMIF(Capacity_Resource,$E48,'Critical resources (hide)'!AB$6:AB$105)+SUMIF(Capacity_Resource,$F48,'Critical resources (hide)'!AB$6:AB$105)&gt;0,$E$1=2),0,1),0)</f>
        <v>1</v>
      </c>
      <c r="P48" s="67">
        <f ca="1">IF(LOWER(Capacity!$L60)="x",IF(AND(SUMIF(Capacity_Resource,$D48,'Critical resources (hide)'!AC$6:AC$105)+SUMIF(Capacity_Resource,$E48,'Critical resources (hide)'!AC$6:AC$105)+SUMIF(Capacity_Resource,$F48,'Critical resources (hide)'!AC$6:AC$105)&gt;0,$E$1=2),0,1),0)</f>
        <v>1</v>
      </c>
      <c r="Q48" s="67">
        <f ca="1">IF(LOWER(Capacity!$L60)="x",IF(AND(SUMIF(Capacity_Resource,$D48,'Critical resources (hide)'!AD$6:AD$105)+SUMIF(Capacity_Resource,$E48,'Critical resources (hide)'!AD$6:AD$105)+SUMIF(Capacity_Resource,$F48,'Critical resources (hide)'!AD$6:AD$105)&gt;0,$E$1=2),0,1),0)</f>
        <v>1</v>
      </c>
      <c r="R48" s="67">
        <f ca="1">IF(LOWER(Capacity!$L60)="x",IF(AND(SUMIF(Capacity_Resource,$D48,'Critical resources (hide)'!AE$6:AE$105)+SUMIF(Capacity_Resource,$E48,'Critical resources (hide)'!AE$6:AE$105)+SUMIF(Capacity_Resource,$F48,'Critical resources (hide)'!AE$6:AE$105)&gt;0,$E$1=2),0,1),0)</f>
        <v>1</v>
      </c>
      <c r="S48" s="67">
        <f ca="1">IF(LOWER(Capacity!$L60)="x",IF(AND(SUMIF(Capacity_Resource,$D48,'Critical resources (hide)'!AF$6:AF$105)+SUMIF(Capacity_Resource,$E48,'Critical resources (hide)'!AF$6:AF$105)+SUMIF(Capacity_Resource,$F48,'Critical resources (hide)'!AF$6:AF$105)&gt;0,$E$1=2),0,1),0)</f>
        <v>1</v>
      </c>
      <c r="T48" s="67">
        <f ca="1">IF(LOWER(Capacity!$L60)="x",IF(AND(SUMIF(Capacity_Resource,$D48,'Critical resources (hide)'!AG$6:AG$105)+SUMIF(Capacity_Resource,$E48,'Critical resources (hide)'!AG$6:AG$105)+SUMIF(Capacity_Resource,$F48,'Critical resources (hide)'!AG$6:AG$105)&gt;0,$E$1=2),0,1),0)</f>
        <v>1</v>
      </c>
      <c r="U48" s="67">
        <f ca="1">IF(LOWER(Capacity!$L60)="x",IF(AND(SUMIF(Capacity_Resource,$D48,'Critical resources (hide)'!AH$6:AH$105)+SUMIF(Capacity_Resource,$E48,'Critical resources (hide)'!AH$6:AH$105)+SUMIF(Capacity_Resource,$F48,'Critical resources (hide)'!AH$6:AH$105)&gt;0,$E$1=2),0,1),0)</f>
        <v>1</v>
      </c>
      <c r="V48" s="67">
        <f ca="1">IF(LOWER(Capacity!$L60)="x",IF(AND(SUMIF(Capacity_Resource,$D48,'Critical resources (hide)'!AI$6:AI$105)+SUMIF(Capacity_Resource,$E48,'Critical resources (hide)'!AI$6:AI$105)+SUMIF(Capacity_Resource,$F48,'Critical resources (hide)'!AI$6:AI$105)&gt;0,$E$1=2),0,1),0)</f>
        <v>1</v>
      </c>
      <c r="W48" s="67">
        <f ca="1">IF(LOWER(Capacity!$L60)="x",IF(AND(SUMIF(Capacity_Resource,$D48,'Critical resources (hide)'!AJ$6:AJ$105)+SUMIF(Capacity_Resource,$E48,'Critical resources (hide)'!AJ$6:AJ$105)+SUMIF(Capacity_Resource,$F48,'Critical resources (hide)'!AJ$6:AJ$105)&gt;0,$E$1=2),0,1),0)</f>
        <v>1</v>
      </c>
      <c r="X48" s="67">
        <f ca="1">IF(LOWER(Capacity!$L60)="x",IF(AND(SUMIF(Capacity_Resource,$D48,'Critical resources (hide)'!AK$6:AK$105)+SUMIF(Capacity_Resource,$E48,'Critical resources (hide)'!AK$6:AK$105)+SUMIF(Capacity_Resource,$F48,'Critical resources (hide)'!AK$6:AK$105)&gt;0,$E$1=2),0,1),0)</f>
        <v>1</v>
      </c>
      <c r="Y48" s="67">
        <f ca="1">IF(LOWER(Capacity!$L60)="x",IF(AND(SUMIF(Capacity_Resource,$D48,'Critical resources (hide)'!AL$6:AL$105)+SUMIF(Capacity_Resource,$E48,'Critical resources (hide)'!AL$6:AL$105)+SUMIF(Capacity_Resource,$F48,'Critical resources (hide)'!AL$6:AL$105)&gt;0,$E$1=2),0,1),0)</f>
        <v>1</v>
      </c>
      <c r="Z48" s="67">
        <f ca="1">IF(LOWER(Capacity!$L60)="x",IF(AND(SUMIF(Capacity_Resource,$D48,'Critical resources (hide)'!AM$6:AM$105)+SUMIF(Capacity_Resource,$E48,'Critical resources (hide)'!AM$6:AM$105)+SUMIF(Capacity_Resource,$F48,'Critical resources (hide)'!AM$6:AM$105)&gt;0,$E$1=2),0,1),0)</f>
        <v>1</v>
      </c>
      <c r="AA48" s="67">
        <f ca="1">IF(LOWER(Capacity!$L60)="x",IF(AND(SUMIF(Capacity_Resource,$D48,'Critical resources (hide)'!AN$6:AN$105)+SUMIF(Capacity_Resource,$E48,'Critical resources (hide)'!AN$6:AN$105)+SUMIF(Capacity_Resource,$F48,'Critical resources (hide)'!AN$6:AN$105)&gt;0,$E$1=2),0,1),0)</f>
        <v>1</v>
      </c>
      <c r="AB48" s="67">
        <f ca="1">IF(LOWER(Capacity!$L60)="x",IF(AND(SUMIF(Capacity_Resource,$D48,'Critical resources (hide)'!AO$6:AO$105)+SUMIF(Capacity_Resource,$E48,'Critical resources (hide)'!AO$6:AO$105)+SUMIF(Capacity_Resource,$F48,'Critical resources (hide)'!AO$6:AO$105)&gt;0,$E$1=2),0,1),0)</f>
        <v>1</v>
      </c>
      <c r="AC48" s="67">
        <f ca="1">IF(LOWER(Capacity!$L60)="x",IF(AND(SUMIF(Capacity_Resource,$D48,'Critical resources (hide)'!AP$6:AP$105)+SUMIF(Capacity_Resource,$E48,'Critical resources (hide)'!AP$6:AP$105)+SUMIF(Capacity_Resource,$F48,'Critical resources (hide)'!AP$6:AP$105)&gt;0,$E$1=2),0,1),0)</f>
        <v>1</v>
      </c>
      <c r="AD48" s="67">
        <f ca="1">IF(LOWER(Capacity!$L60)="x",IF(AND(SUMIF(Capacity_Resource,$D48,'Critical resources (hide)'!AQ$6:AQ$105)+SUMIF(Capacity_Resource,$E48,'Critical resources (hide)'!AQ$6:AQ$105)+SUMIF(Capacity_Resource,$F48,'Critical resources (hide)'!AQ$6:AQ$105)&gt;0,$E$1=2),0,1),0)</f>
        <v>1</v>
      </c>
      <c r="AE48" s="67">
        <f ca="1">IF(LOWER(Capacity!$L60)="x",IF(AND(SUMIF(Capacity_Resource,$D48,'Critical resources (hide)'!AR$6:AR$105)+SUMIF(Capacity_Resource,$E48,'Critical resources (hide)'!AR$6:AR$105)+SUMIF(Capacity_Resource,$F48,'Critical resources (hide)'!AR$6:AR$105)&gt;0,$E$1=2),0,1),0)</f>
        <v>1</v>
      </c>
      <c r="AF48" s="67">
        <f ca="1">IF(LOWER(Capacity!$L60)="x",IF(AND(SUMIF(Capacity_Resource,$D48,'Critical resources (hide)'!AS$6:AS$105)+SUMIF(Capacity_Resource,$E48,'Critical resources (hide)'!AS$6:AS$105)+SUMIF(Capacity_Resource,$F48,'Critical resources (hide)'!AS$6:AS$105)&gt;0,$E$1=2),0,1),0)</f>
        <v>1</v>
      </c>
      <c r="AG48" s="67">
        <f ca="1">IF(LOWER(Capacity!$L60)="x",IF(AND(SUMIF(Capacity_Resource,$D48,'Critical resources (hide)'!AT$6:AT$105)+SUMIF(Capacity_Resource,$E48,'Critical resources (hide)'!AT$6:AT$105)+SUMIF(Capacity_Resource,$F48,'Critical resources (hide)'!AT$6:AT$105)&gt;0,$E$1=2),0,1),0)</f>
        <v>1</v>
      </c>
      <c r="AH48" s="67">
        <f ca="1">IF(LOWER(Capacity!$L60)="x",IF(AND(SUMIF(Capacity_Resource,$D48,'Critical resources (hide)'!AU$6:AU$105)+SUMIF(Capacity_Resource,$E48,'Critical resources (hide)'!AU$6:AU$105)+SUMIF(Capacity_Resource,$F48,'Critical resources (hide)'!AU$6:AU$105)&gt;0,$E$1=2),0,1),0)</f>
        <v>1</v>
      </c>
      <c r="AI48" s="67">
        <f ca="1">IF(LOWER(Capacity!$L60)="x",IF(AND(SUMIF(Capacity_Resource,$D48,'Critical resources (hide)'!AV$6:AV$105)+SUMIF(Capacity_Resource,$E48,'Critical resources (hide)'!AV$6:AV$105)+SUMIF(Capacity_Resource,$F48,'Critical resources (hide)'!AV$6:AV$105)&gt;0,$E$1=2),0,1),0)</f>
        <v>1</v>
      </c>
      <c r="AJ48" s="67">
        <f ca="1">IF(LOWER(Capacity!$L60)="x",IF(AND(SUMIF(Capacity_Resource,$D48,'Critical resources (hide)'!AW$6:AW$105)+SUMIF(Capacity_Resource,$E48,'Critical resources (hide)'!AW$6:AW$105)+SUMIF(Capacity_Resource,$F48,'Critical resources (hide)'!AW$6:AW$105)&gt;0,$E$1=2),0,1),0)</f>
        <v>1</v>
      </c>
      <c r="AK48" s="67">
        <f ca="1">IF(LOWER(Capacity!$L60)="x",IF(AND(SUMIF(Capacity_Resource,$D48,'Critical resources (hide)'!AX$6:AX$105)+SUMIF(Capacity_Resource,$E48,'Critical resources (hide)'!AX$6:AX$105)+SUMIF(Capacity_Resource,$F48,'Critical resources (hide)'!AX$6:AX$105)&gt;0,$E$1=2),0,1),0)</f>
        <v>1</v>
      </c>
      <c r="AL48" s="67">
        <f ca="1">IF(LOWER(Capacity!$L60)="x",IF(AND(SUMIF(Capacity_Resource,$D48,'Critical resources (hide)'!AY$6:AY$105)+SUMIF(Capacity_Resource,$E48,'Critical resources (hide)'!AY$6:AY$105)+SUMIF(Capacity_Resource,$F48,'Critical resources (hide)'!AY$6:AY$105)&gt;0,$E$1=2),0,1),0)</f>
        <v>1</v>
      </c>
      <c r="AM48" s="67">
        <f ca="1">IF(LOWER(Capacity!$L60)="x",IF(AND(SUMIF(Capacity_Resource,$D48,'Critical resources (hide)'!AZ$6:AZ$105)+SUMIF(Capacity_Resource,$E48,'Critical resources (hide)'!AZ$6:AZ$105)+SUMIF(Capacity_Resource,$F48,'Critical resources (hide)'!AZ$6:AZ$105)&gt;0,$E$1=2),0,1),0)</f>
        <v>1</v>
      </c>
      <c r="AN48" s="67">
        <f ca="1">IF(LOWER(Capacity!$L60)="x",IF(AND(SUMIF(Capacity_Resource,$D48,'Critical resources (hide)'!BA$6:BA$105)+SUMIF(Capacity_Resource,$E48,'Critical resources (hide)'!BA$6:BA$105)+SUMIF(Capacity_Resource,$F48,'Critical resources (hide)'!BA$6:BA$105)&gt;0,$E$1=2),0,1),0)</f>
        <v>1</v>
      </c>
      <c r="AO48" s="67">
        <f ca="1">IF(LOWER(Capacity!$L60)="x",IF(AND(SUMIF(Capacity_Resource,$D48,'Critical resources (hide)'!BB$6:BB$105)+SUMIF(Capacity_Resource,$E48,'Critical resources (hide)'!BB$6:BB$105)+SUMIF(Capacity_Resource,$F48,'Critical resources (hide)'!BB$6:BB$105)&gt;0,$E$1=2),0,1),0)</f>
        <v>1</v>
      </c>
      <c r="AP48" s="67">
        <f ca="1">IF(LOWER(Capacity!$L60)="x",IF(AND(SUMIF(Capacity_Resource,$D48,'Critical resources (hide)'!BC$6:BC$105)+SUMIF(Capacity_Resource,$E48,'Critical resources (hide)'!BC$6:BC$105)+SUMIF(Capacity_Resource,$F48,'Critical resources (hide)'!BC$6:BC$105)&gt;0,$E$1=2),0,1),0)</f>
        <v>1</v>
      </c>
      <c r="AQ48" s="67">
        <f ca="1">IF(LOWER(Capacity!$L60)="x",IF(AND(SUMIF(Capacity_Resource,$D48,'Critical resources (hide)'!BD$6:BD$105)+SUMIF(Capacity_Resource,$E48,'Critical resources (hide)'!BD$6:BD$105)+SUMIF(Capacity_Resource,$F48,'Critical resources (hide)'!BD$6:BD$105)&gt;0,$E$1=2),0,1),0)</f>
        <v>1</v>
      </c>
      <c r="AR48" s="67">
        <f ca="1">IF(LOWER(Capacity!$L60)="x",IF(AND(SUMIF(Capacity_Resource,$D48,'Critical resources (hide)'!BE$6:BE$105)+SUMIF(Capacity_Resource,$E48,'Critical resources (hide)'!BE$6:BE$105)+SUMIF(Capacity_Resource,$F48,'Critical resources (hide)'!BE$6:BE$105)&gt;0,$E$1=2),0,1),0)</f>
        <v>1</v>
      </c>
      <c r="AS48" s="67">
        <f ca="1">IF(LOWER(Capacity!$L60)="x",IF(AND(SUMIF(Capacity_Resource,$D48,'Critical resources (hide)'!BF$6:BF$105)+SUMIF(Capacity_Resource,$E48,'Critical resources (hide)'!BF$6:BF$105)+SUMIF(Capacity_Resource,$F48,'Critical resources (hide)'!BF$6:BF$105)&gt;0,$E$1=2),0,1),0)</f>
        <v>1</v>
      </c>
      <c r="AT48" s="67">
        <f ca="1">IF(LOWER(Capacity!$L60)="x",IF(AND(SUMIF(Capacity_Resource,$D48,'Critical resources (hide)'!BG$6:BG$105)+SUMIF(Capacity_Resource,$E48,'Critical resources (hide)'!BG$6:BG$105)+SUMIF(Capacity_Resource,$F48,'Critical resources (hide)'!BG$6:BG$105)&gt;0,$E$1=2),0,1),0)</f>
        <v>1</v>
      </c>
      <c r="AU48" s="67">
        <f ca="1">IF(LOWER(Capacity!$L60)="x",IF(AND(SUMIF(Capacity_Resource,$D48,'Critical resources (hide)'!BH$6:BH$105)+SUMIF(Capacity_Resource,$E48,'Critical resources (hide)'!BH$6:BH$105)+SUMIF(Capacity_Resource,$F48,'Critical resources (hide)'!BH$6:BH$105)&gt;0,$E$1=2),0,1),0)</f>
        <v>1</v>
      </c>
      <c r="AV48" s="67">
        <f ca="1">IF(LOWER(Capacity!$L60)="x",IF(AND(SUMIF(Capacity_Resource,$D48,'Critical resources (hide)'!BI$6:BI$105)+SUMIF(Capacity_Resource,$E48,'Critical resources (hide)'!BI$6:BI$105)+SUMIF(Capacity_Resource,$F48,'Critical resources (hide)'!BI$6:BI$105)&gt;0,$E$1=2),0,1),0)</f>
        <v>1</v>
      </c>
      <c r="AW48" s="67">
        <f ca="1">IF(LOWER(Capacity!$L60)="x",IF(AND(SUMIF(Capacity_Resource,$D48,'Critical resources (hide)'!BJ$6:BJ$105)+SUMIF(Capacity_Resource,$E48,'Critical resources (hide)'!BJ$6:BJ$105)+SUMIF(Capacity_Resource,$F48,'Critical resources (hide)'!BJ$6:BJ$105)&gt;0,$E$1=2),0,1),0)</f>
        <v>1</v>
      </c>
      <c r="AX48" s="67">
        <f ca="1">IF(LOWER(Capacity!$L60)="x",IF(AND(SUMIF(Capacity_Resource,$D48,'Critical resources (hide)'!BK$6:BK$105)+SUMIF(Capacity_Resource,$E48,'Critical resources (hide)'!BK$6:BK$105)+SUMIF(Capacity_Resource,$F48,'Critical resources (hide)'!BK$6:BK$105)&gt;0,$E$1=2),0,1),0)</f>
        <v>1</v>
      </c>
      <c r="AY48" s="67">
        <f ca="1">IF(LOWER(Capacity!$L60)="x",IF(AND(SUMIF(Capacity_Resource,$D48,'Critical resources (hide)'!BL$6:BL$105)+SUMIF(Capacity_Resource,$E48,'Critical resources (hide)'!BL$6:BL$105)+SUMIF(Capacity_Resource,$F48,'Critical resources (hide)'!BL$6:BL$105)&gt;0,$E$1=2),0,1),0)</f>
        <v>1</v>
      </c>
      <c r="AZ48" s="67">
        <f ca="1">IF(LOWER(Capacity!$L60)="x",IF(AND(SUMIF(Capacity_Resource,$D48,'Critical resources (hide)'!BM$6:BM$105)+SUMIF(Capacity_Resource,$E48,'Critical resources (hide)'!BM$6:BM$105)+SUMIF(Capacity_Resource,$F48,'Critical resources (hide)'!BM$6:BM$105)&gt;0,$E$1=2),0,1),0)</f>
        <v>1</v>
      </c>
      <c r="BA48" s="67">
        <f ca="1">IF(LOWER(Capacity!$L60)="x",IF(AND(SUMIF(Capacity_Resource,$D48,'Critical resources (hide)'!BN$6:BN$105)+SUMIF(Capacity_Resource,$E48,'Critical resources (hide)'!BN$6:BN$105)+SUMIF(Capacity_Resource,$F48,'Critical resources (hide)'!BN$6:BN$105)&gt;0,$E$1=2),0,1),0)</f>
        <v>1</v>
      </c>
      <c r="BB48" s="67">
        <f ca="1">IF(LOWER(Capacity!$L60)="x",IF(AND(SUMIF(Capacity_Resource,$D48,'Critical resources (hide)'!BO$6:BO$105)+SUMIF(Capacity_Resource,$E48,'Critical resources (hide)'!BO$6:BO$105)+SUMIF(Capacity_Resource,$F48,'Critical resources (hide)'!BO$6:BO$105)&gt;0,$E$1=2),0,1),0)</f>
        <v>1</v>
      </c>
      <c r="BC48" s="67">
        <f ca="1">IF(LOWER(Capacity!$L60)="x",IF(AND(SUMIF(Capacity_Resource,$D48,'Critical resources (hide)'!BP$6:BP$105)+SUMIF(Capacity_Resource,$E48,'Critical resources (hide)'!BP$6:BP$105)+SUMIF(Capacity_Resource,$F48,'Critical resources (hide)'!BP$6:BP$105)&gt;0,$E$1=2),0,1),0)</f>
        <v>1</v>
      </c>
      <c r="BD48" s="67">
        <f ca="1">IF(LOWER(Capacity!$L60)="x",IF(AND(SUMIF(Capacity_Resource,$D48,'Critical resources (hide)'!BQ$6:BQ$105)+SUMIF(Capacity_Resource,$E48,'Critical resources (hide)'!BQ$6:BQ$105)+SUMIF(Capacity_Resource,$F48,'Critical resources (hide)'!BQ$6:BQ$105)&gt;0,$E$1=2),0,1),0)</f>
        <v>1</v>
      </c>
      <c r="BE48" s="67">
        <f ca="1">IF(LOWER(Capacity!$L60)="x",IF(AND(SUMIF(Capacity_Resource,$D48,'Critical resources (hide)'!BR$6:BR$105)+SUMIF(Capacity_Resource,$E48,'Critical resources (hide)'!BR$6:BR$105)+SUMIF(Capacity_Resource,$F48,'Critical resources (hide)'!BR$6:BR$105)&gt;0,$E$1=2),0,1),0)</f>
        <v>1</v>
      </c>
      <c r="BF48" s="67">
        <f ca="1">IF(LOWER(Capacity!$L60)="x",IF(AND(SUMIF(Capacity_Resource,$D48,'Critical resources (hide)'!BS$6:BS$105)+SUMIF(Capacity_Resource,$E48,'Critical resources (hide)'!BS$6:BS$105)+SUMIF(Capacity_Resource,$F48,'Critical resources (hide)'!BS$6:BS$105)&gt;0,$E$1=2),0,1),0)</f>
        <v>1</v>
      </c>
      <c r="BG48" s="67">
        <f ca="1">IF(LOWER(Capacity!$L60)="x",IF(AND(SUMIF(Capacity_Resource,$D48,'Critical resources (hide)'!BT$6:BT$105)+SUMIF(Capacity_Resource,$E48,'Critical resources (hide)'!BT$6:BT$105)+SUMIF(Capacity_Resource,$F48,'Critical resources (hide)'!BT$6:BT$105)&gt;0,$E$1=2),0,1),0)</f>
        <v>1</v>
      </c>
      <c r="BH48" s="67">
        <f>IF(ROW(C44)&lt;=Capacity!$A$16,IF('Capacity summary'!$D$14="No",SUM(H48:BG48),'Capacity summary'!$E167),0)</f>
        <v>0</v>
      </c>
      <c r="BI48" s="5" t="str">
        <f>IF(BH48&gt;0,IF(BH48&lt;Capacity!E60,Capacity!F60,Capacity!H60/'Capacity calculation (hide)'!BH48),"")</f>
        <v/>
      </c>
      <c r="BK48" s="311">
        <f>IF($BI48&lt;&gt;"",IF('Capacity summary'!$D$14="Yes",IF(COUNTBLANK('Capacity summary'!$H167:$BG167)&lt;52,IF('Capacity summary'!H167&lt;&gt;"",IF(LOWER('Capacity summary'!H167)="x",$BI48*H48,VALUE('Capacity summary'!H167)),0),H48*$BI48),H48*$BI48),0)</f>
        <v>0</v>
      </c>
      <c r="BL48" s="311">
        <f>IF($BI48&lt;&gt;"",IF('Capacity summary'!$D$14="Yes",IF(COUNTBLANK('Capacity summary'!$H167:$BG167)&lt;52,IF('Capacity summary'!I167&lt;&gt;"",IF(LOWER('Capacity summary'!I167)="x",$BI48*I48,VALUE('Capacity summary'!I167)),0),I48*$BI48),I48*$BI48),0)</f>
        <v>0</v>
      </c>
      <c r="BM48" s="311">
        <f>IF($BI48&lt;&gt;"",IF('Capacity summary'!$D$14="Yes",IF(COUNTBLANK('Capacity summary'!$H167:$BG167)&lt;52,IF('Capacity summary'!J167&lt;&gt;"",IF(LOWER('Capacity summary'!J167)="x",$BI48*J48,VALUE('Capacity summary'!J167)),0),J48*$BI48),J48*$BI48),0)</f>
        <v>0</v>
      </c>
      <c r="BN48" s="311">
        <f>IF($BI48&lt;&gt;"",IF('Capacity summary'!$D$14="Yes",IF(COUNTBLANK('Capacity summary'!$H167:$BG167)&lt;52,IF('Capacity summary'!K167&lt;&gt;"",IF(LOWER('Capacity summary'!K167)="x",$BI48*K48,VALUE('Capacity summary'!K167)),0),K48*$BI48),K48*$BI48),0)</f>
        <v>0</v>
      </c>
      <c r="BO48" s="311">
        <f>IF($BI48&lt;&gt;"",IF('Capacity summary'!$D$14="Yes",IF(COUNTBLANK('Capacity summary'!$H167:$BG167)&lt;52,IF('Capacity summary'!L167&lt;&gt;"",IF(LOWER('Capacity summary'!L167)="x",$BI48*L48,VALUE('Capacity summary'!L167)),0),L48*$BI48),L48*$BI48),0)</f>
        <v>0</v>
      </c>
      <c r="BP48" s="311">
        <f>IF($BI48&lt;&gt;"",IF('Capacity summary'!$D$14="Yes",IF(COUNTBLANK('Capacity summary'!$H167:$BG167)&lt;52,IF('Capacity summary'!M167&lt;&gt;"",IF(LOWER('Capacity summary'!M167)="x",$BI48*M48,VALUE('Capacity summary'!M167)),0),M48*$BI48),M48*$BI48),0)</f>
        <v>0</v>
      </c>
      <c r="BQ48" s="311">
        <f>IF($BI48&lt;&gt;"",IF('Capacity summary'!$D$14="Yes",IF(COUNTBLANK('Capacity summary'!$H167:$BG167)&lt;52,IF('Capacity summary'!N167&lt;&gt;"",IF(LOWER('Capacity summary'!N167)="x",$BI48*N48,VALUE('Capacity summary'!N167)),0),N48*$BI48),N48*$BI48),0)</f>
        <v>0</v>
      </c>
      <c r="BR48" s="311">
        <f>IF($BI48&lt;&gt;"",IF('Capacity summary'!$D$14="Yes",IF(COUNTBLANK('Capacity summary'!$H167:$BG167)&lt;52,IF('Capacity summary'!O167&lt;&gt;"",IF(LOWER('Capacity summary'!O167)="x",$BI48*O48,VALUE('Capacity summary'!O167)),0),O48*$BI48),O48*$BI48),0)</f>
        <v>0</v>
      </c>
      <c r="BS48" s="311">
        <f>IF($BI48&lt;&gt;"",IF('Capacity summary'!$D$14="Yes",IF(COUNTBLANK('Capacity summary'!$H167:$BG167)&lt;52,IF('Capacity summary'!P167&lt;&gt;"",IF(LOWER('Capacity summary'!P167)="x",$BI48*P48,VALUE('Capacity summary'!P167)),0),P48*$BI48),P48*$BI48),0)</f>
        <v>0</v>
      </c>
      <c r="BT48" s="311">
        <f>IF($BI48&lt;&gt;"",IF('Capacity summary'!$D$14="Yes",IF(COUNTBLANK('Capacity summary'!$H167:$BG167)&lt;52,IF('Capacity summary'!Q167&lt;&gt;"",IF(LOWER('Capacity summary'!Q167)="x",$BI48*Q48,VALUE('Capacity summary'!Q167)),0),Q48*$BI48),Q48*$BI48),0)</f>
        <v>0</v>
      </c>
      <c r="BU48" s="311">
        <f>IF($BI48&lt;&gt;"",IF('Capacity summary'!$D$14="Yes",IF(COUNTBLANK('Capacity summary'!$H167:$BG167)&lt;52,IF('Capacity summary'!R167&lt;&gt;"",IF(LOWER('Capacity summary'!R167)="x",$BI48*R48,VALUE('Capacity summary'!R167)),0),R48*$BI48),R48*$BI48),0)</f>
        <v>0</v>
      </c>
      <c r="BV48" s="311">
        <f>IF($BI48&lt;&gt;"",IF('Capacity summary'!$D$14="Yes",IF(COUNTBLANK('Capacity summary'!$H167:$BG167)&lt;52,IF('Capacity summary'!S167&lt;&gt;"",IF(LOWER('Capacity summary'!S167)="x",$BI48*S48,VALUE('Capacity summary'!S167)),0),S48*$BI48),S48*$BI48),0)</f>
        <v>0</v>
      </c>
      <c r="BW48" s="311">
        <f>IF($BI48&lt;&gt;"",IF('Capacity summary'!$D$14="Yes",IF(COUNTBLANK('Capacity summary'!$H167:$BG167)&lt;52,IF('Capacity summary'!T167&lt;&gt;"",IF(LOWER('Capacity summary'!T167)="x",$BI48*T48,VALUE('Capacity summary'!T167)),0),T48*$BI48),T48*$BI48),0)</f>
        <v>0</v>
      </c>
      <c r="BX48" s="311">
        <f>IF($BI48&lt;&gt;"",IF('Capacity summary'!$D$14="Yes",IF(COUNTBLANK('Capacity summary'!$H167:$BG167)&lt;52,IF('Capacity summary'!U167&lt;&gt;"",IF(LOWER('Capacity summary'!U167)="x",$BI48*U48,VALUE('Capacity summary'!U167)),0),U48*$BI48),U48*$BI48),0)</f>
        <v>0</v>
      </c>
      <c r="BY48" s="311">
        <f>IF($BI48&lt;&gt;"",IF('Capacity summary'!$D$14="Yes",IF(COUNTBLANK('Capacity summary'!$H167:$BG167)&lt;52,IF('Capacity summary'!V167&lt;&gt;"",IF(LOWER('Capacity summary'!V167)="x",$BI48*V48,VALUE('Capacity summary'!V167)),0),V48*$BI48),V48*$BI48),0)</f>
        <v>0</v>
      </c>
      <c r="BZ48" s="311">
        <f>IF($BI48&lt;&gt;"",IF('Capacity summary'!$D$14="Yes",IF(COUNTBLANK('Capacity summary'!$H167:$BG167)&lt;52,IF('Capacity summary'!W167&lt;&gt;"",IF(LOWER('Capacity summary'!W167)="x",$BI48*W48,VALUE('Capacity summary'!W167)),0),W48*$BI48),W48*$BI48),0)</f>
        <v>0</v>
      </c>
      <c r="CA48" s="311">
        <f>IF($BI48&lt;&gt;"",IF('Capacity summary'!$D$14="Yes",IF(COUNTBLANK('Capacity summary'!$H167:$BG167)&lt;52,IF('Capacity summary'!X167&lt;&gt;"",IF(LOWER('Capacity summary'!X167)="x",$BI48*X48,VALUE('Capacity summary'!X167)),0),X48*$BI48),X48*$BI48),0)</f>
        <v>0</v>
      </c>
      <c r="CB48" s="311">
        <f>IF($BI48&lt;&gt;"",IF('Capacity summary'!$D$14="Yes",IF(COUNTBLANK('Capacity summary'!$H167:$BG167)&lt;52,IF('Capacity summary'!Y167&lt;&gt;"",IF(LOWER('Capacity summary'!Y167)="x",$BI48*Y48,VALUE('Capacity summary'!Y167)),0),Y48*$BI48),Y48*$BI48),0)</f>
        <v>0</v>
      </c>
      <c r="CC48" s="311">
        <f>IF($BI48&lt;&gt;"",IF('Capacity summary'!$D$14="Yes",IF(COUNTBLANK('Capacity summary'!$H167:$BG167)&lt;52,IF('Capacity summary'!Z167&lt;&gt;"",IF(LOWER('Capacity summary'!Z167)="x",$BI48*Z48,VALUE('Capacity summary'!Z167)),0),Z48*$BI48),Z48*$BI48),0)</f>
        <v>0</v>
      </c>
      <c r="CD48" s="311">
        <f>IF($BI48&lt;&gt;"",IF('Capacity summary'!$D$14="Yes",IF(COUNTBLANK('Capacity summary'!$H167:$BG167)&lt;52,IF('Capacity summary'!AA167&lt;&gt;"",IF(LOWER('Capacity summary'!AA167)="x",$BI48*AA48,VALUE('Capacity summary'!AA167)),0),AA48*$BI48),AA48*$BI48),0)</f>
        <v>0</v>
      </c>
      <c r="CE48" s="311">
        <f>IF($BI48&lt;&gt;"",IF('Capacity summary'!$D$14="Yes",IF(COUNTBLANK('Capacity summary'!$H167:$BG167)&lt;52,IF('Capacity summary'!AB167&lt;&gt;"",IF(LOWER('Capacity summary'!AB167)="x",$BI48*AB48,VALUE('Capacity summary'!AB167)),0),AB48*$BI48),AB48*$BI48),0)</f>
        <v>0</v>
      </c>
      <c r="CF48" s="311">
        <f>IF($BI48&lt;&gt;"",IF('Capacity summary'!$D$14="Yes",IF(COUNTBLANK('Capacity summary'!$H167:$BG167)&lt;52,IF('Capacity summary'!AC167&lt;&gt;"",IF(LOWER('Capacity summary'!AC167)="x",$BI48*AC48,VALUE('Capacity summary'!AC167)),0),AC48*$BI48),AC48*$BI48),0)</f>
        <v>0</v>
      </c>
      <c r="CG48" s="311">
        <f>IF($BI48&lt;&gt;"",IF('Capacity summary'!$D$14="Yes",IF(COUNTBLANK('Capacity summary'!$H167:$BG167)&lt;52,IF('Capacity summary'!AD167&lt;&gt;"",IF(LOWER('Capacity summary'!AD167)="x",$BI48*AD48,VALUE('Capacity summary'!AD167)),0),AD48*$BI48),AD48*$BI48),0)</f>
        <v>0</v>
      </c>
      <c r="CH48" s="311">
        <f>IF($BI48&lt;&gt;"",IF('Capacity summary'!$D$14="Yes",IF(COUNTBLANK('Capacity summary'!$H167:$BG167)&lt;52,IF('Capacity summary'!AE167&lt;&gt;"",IF(LOWER('Capacity summary'!AE167)="x",$BI48*AE48,VALUE('Capacity summary'!AE167)),0),AE48*$BI48),AE48*$BI48),0)</f>
        <v>0</v>
      </c>
      <c r="CI48" s="311">
        <f>IF($BI48&lt;&gt;"",IF('Capacity summary'!$D$14="Yes",IF(COUNTBLANK('Capacity summary'!$H167:$BG167)&lt;52,IF('Capacity summary'!AF167&lt;&gt;"",IF(LOWER('Capacity summary'!AF167)="x",$BI48*AF48,VALUE('Capacity summary'!AF167)),0),AF48*$BI48),AF48*$BI48),0)</f>
        <v>0</v>
      </c>
      <c r="CJ48" s="311">
        <f>IF($BI48&lt;&gt;"",IF('Capacity summary'!$D$14="Yes",IF(COUNTBLANK('Capacity summary'!$H167:$BG167)&lt;52,IF('Capacity summary'!AG167&lt;&gt;"",IF(LOWER('Capacity summary'!AG167)="x",$BI48*AG48,VALUE('Capacity summary'!AG167)),0),AG48*$BI48),AG48*$BI48),0)</f>
        <v>0</v>
      </c>
      <c r="CK48" s="311">
        <f>IF($BI48&lt;&gt;"",IF('Capacity summary'!$D$14="Yes",IF(COUNTBLANK('Capacity summary'!$H167:$BG167)&lt;52,IF('Capacity summary'!AH167&lt;&gt;"",IF(LOWER('Capacity summary'!AH167)="x",$BI48*AH48,VALUE('Capacity summary'!AH167)),0),AH48*$BI48),AH48*$BI48),0)</f>
        <v>0</v>
      </c>
      <c r="CL48" s="311">
        <f>IF($BI48&lt;&gt;"",IF('Capacity summary'!$D$14="Yes",IF(COUNTBLANK('Capacity summary'!$H167:$BG167)&lt;52,IF('Capacity summary'!AI167&lt;&gt;"",IF(LOWER('Capacity summary'!AI167)="x",$BI48*AI48,VALUE('Capacity summary'!AI167)),0),AI48*$BI48),AI48*$BI48),0)</f>
        <v>0</v>
      </c>
      <c r="CM48" s="311">
        <f>IF($BI48&lt;&gt;"",IF('Capacity summary'!$D$14="Yes",IF(COUNTBLANK('Capacity summary'!$H167:$BG167)&lt;52,IF('Capacity summary'!AJ167&lt;&gt;"",IF(LOWER('Capacity summary'!AJ167)="x",$BI48*AJ48,VALUE('Capacity summary'!AJ167)),0),AJ48*$BI48),AJ48*$BI48),0)</f>
        <v>0</v>
      </c>
      <c r="CN48" s="311">
        <f>IF($BI48&lt;&gt;"",IF('Capacity summary'!$D$14="Yes",IF(COUNTBLANK('Capacity summary'!$H167:$BG167)&lt;52,IF('Capacity summary'!AK167&lt;&gt;"",IF(LOWER('Capacity summary'!AK167)="x",$BI48*AK48,VALUE('Capacity summary'!AK167)),0),AK48*$BI48),AK48*$BI48),0)</f>
        <v>0</v>
      </c>
      <c r="CO48" s="311">
        <f>IF($BI48&lt;&gt;"",IF('Capacity summary'!$D$14="Yes",IF(COUNTBLANK('Capacity summary'!$H167:$BG167)&lt;52,IF('Capacity summary'!AL167&lt;&gt;"",IF(LOWER('Capacity summary'!AL167)="x",$BI48*AL48,VALUE('Capacity summary'!AL167)),0),AL48*$BI48),AL48*$BI48),0)</f>
        <v>0</v>
      </c>
      <c r="CP48" s="311">
        <f>IF($BI48&lt;&gt;"",IF('Capacity summary'!$D$14="Yes",IF(COUNTBLANK('Capacity summary'!$H167:$BG167)&lt;52,IF('Capacity summary'!AM167&lt;&gt;"",IF(LOWER('Capacity summary'!AM167)="x",$BI48*AM48,VALUE('Capacity summary'!AM167)),0),AM48*$BI48),AM48*$BI48),0)</f>
        <v>0</v>
      </c>
      <c r="CQ48" s="311">
        <f>IF($BI48&lt;&gt;"",IF('Capacity summary'!$D$14="Yes",IF(COUNTBLANK('Capacity summary'!$H167:$BG167)&lt;52,IF('Capacity summary'!AN167&lt;&gt;"",IF(LOWER('Capacity summary'!AN167)="x",$BI48*AN48,VALUE('Capacity summary'!AN167)),0),AN48*$BI48),AN48*$BI48),0)</f>
        <v>0</v>
      </c>
      <c r="CR48" s="311">
        <f>IF($BI48&lt;&gt;"",IF('Capacity summary'!$D$14="Yes",IF(COUNTBLANK('Capacity summary'!$H167:$BG167)&lt;52,IF('Capacity summary'!AO167&lt;&gt;"",IF(LOWER('Capacity summary'!AO167)="x",$BI48*AO48,VALUE('Capacity summary'!AO167)),0),AO48*$BI48),AO48*$BI48),0)</f>
        <v>0</v>
      </c>
      <c r="CS48" s="311">
        <f>IF($BI48&lt;&gt;"",IF('Capacity summary'!$D$14="Yes",IF(COUNTBLANK('Capacity summary'!$H167:$BG167)&lt;52,IF('Capacity summary'!AP167&lt;&gt;"",IF(LOWER('Capacity summary'!AP167)="x",$BI48*AP48,VALUE('Capacity summary'!AP167)),0),AP48*$BI48),AP48*$BI48),0)</f>
        <v>0</v>
      </c>
      <c r="CT48" s="311">
        <f>IF($BI48&lt;&gt;"",IF('Capacity summary'!$D$14="Yes",IF(COUNTBLANK('Capacity summary'!$H167:$BG167)&lt;52,IF('Capacity summary'!AQ167&lt;&gt;"",IF(LOWER('Capacity summary'!AQ167)="x",$BI48*AQ48,VALUE('Capacity summary'!AQ167)),0),AQ48*$BI48),AQ48*$BI48),0)</f>
        <v>0</v>
      </c>
      <c r="CU48" s="311">
        <f>IF($BI48&lt;&gt;"",IF('Capacity summary'!$D$14="Yes",IF(COUNTBLANK('Capacity summary'!$H167:$BG167)&lt;52,IF('Capacity summary'!AR167&lt;&gt;"",IF(LOWER('Capacity summary'!AR167)="x",$BI48*AR48,VALUE('Capacity summary'!AR167)),0),AR48*$BI48),AR48*$BI48),0)</f>
        <v>0</v>
      </c>
      <c r="CV48" s="311">
        <f>IF($BI48&lt;&gt;"",IF('Capacity summary'!$D$14="Yes",IF(COUNTBLANK('Capacity summary'!$H167:$BG167)&lt;52,IF('Capacity summary'!AS167&lt;&gt;"",IF(LOWER('Capacity summary'!AS167)="x",$BI48*AS48,VALUE('Capacity summary'!AS167)),0),AS48*$BI48),AS48*$BI48),0)</f>
        <v>0</v>
      </c>
      <c r="CW48" s="311">
        <f>IF($BI48&lt;&gt;"",IF('Capacity summary'!$D$14="Yes",IF(COUNTBLANK('Capacity summary'!$H167:$BG167)&lt;52,IF('Capacity summary'!AT167&lt;&gt;"",IF(LOWER('Capacity summary'!AT167)="x",$BI48*AT48,VALUE('Capacity summary'!AT167)),0),AT48*$BI48),AT48*$BI48),0)</f>
        <v>0</v>
      </c>
      <c r="CX48" s="311">
        <f>IF($BI48&lt;&gt;"",IF('Capacity summary'!$D$14="Yes",IF(COUNTBLANK('Capacity summary'!$H167:$BG167)&lt;52,IF('Capacity summary'!AU167&lt;&gt;"",IF(LOWER('Capacity summary'!AU167)="x",$BI48*AU48,VALUE('Capacity summary'!AU167)),0),AU48*$BI48),AU48*$BI48),0)</f>
        <v>0</v>
      </c>
      <c r="CY48" s="311">
        <f>IF($BI48&lt;&gt;"",IF('Capacity summary'!$D$14="Yes",IF(COUNTBLANK('Capacity summary'!$H167:$BG167)&lt;52,IF('Capacity summary'!AV167&lt;&gt;"",IF(LOWER('Capacity summary'!AV167)="x",$BI48*AV48,VALUE('Capacity summary'!AV167)),0),AV48*$BI48),AV48*$BI48),0)</f>
        <v>0</v>
      </c>
      <c r="CZ48" s="311">
        <f>IF($BI48&lt;&gt;"",IF('Capacity summary'!$D$14="Yes",IF(COUNTBLANK('Capacity summary'!$H167:$BG167)&lt;52,IF('Capacity summary'!AW167&lt;&gt;"",IF(LOWER('Capacity summary'!AW167)="x",$BI48*AW48,VALUE('Capacity summary'!AW167)),0),AW48*$BI48),AW48*$BI48),0)</f>
        <v>0</v>
      </c>
      <c r="DA48" s="311">
        <f>IF($BI48&lt;&gt;"",IF('Capacity summary'!$D$14="Yes",IF(COUNTBLANK('Capacity summary'!$H167:$BG167)&lt;52,IF('Capacity summary'!AX167&lt;&gt;"",IF(LOWER('Capacity summary'!AX167)="x",$BI48*AX48,VALUE('Capacity summary'!AX167)),0),AX48*$BI48),AX48*$BI48),0)</f>
        <v>0</v>
      </c>
      <c r="DB48" s="311">
        <f>IF($BI48&lt;&gt;"",IF('Capacity summary'!$D$14="Yes",IF(COUNTBLANK('Capacity summary'!$H167:$BG167)&lt;52,IF('Capacity summary'!AY167&lt;&gt;"",IF(LOWER('Capacity summary'!AY167)="x",$BI48*AY48,VALUE('Capacity summary'!AY167)),0),AY48*$BI48),AY48*$BI48),0)</f>
        <v>0</v>
      </c>
      <c r="DC48" s="311">
        <f>IF($BI48&lt;&gt;"",IF('Capacity summary'!$D$14="Yes",IF(COUNTBLANK('Capacity summary'!$H167:$BG167)&lt;52,IF('Capacity summary'!AZ167&lt;&gt;"",IF(LOWER('Capacity summary'!AZ167)="x",$BI48*AZ48,VALUE('Capacity summary'!AZ167)),0),AZ48*$BI48),AZ48*$BI48),0)</f>
        <v>0</v>
      </c>
      <c r="DD48" s="311">
        <f>IF($BI48&lt;&gt;"",IF('Capacity summary'!$D$14="Yes",IF(COUNTBLANK('Capacity summary'!$H167:$BG167)&lt;52,IF('Capacity summary'!BA167&lt;&gt;"",IF(LOWER('Capacity summary'!BA167)="x",$BI48*BA48,VALUE('Capacity summary'!BA167)),0),BA48*$BI48),BA48*$BI48),0)</f>
        <v>0</v>
      </c>
      <c r="DE48" s="311">
        <f>IF($BI48&lt;&gt;"",IF('Capacity summary'!$D$14="Yes",IF(COUNTBLANK('Capacity summary'!$H167:$BG167)&lt;52,IF('Capacity summary'!BB167&lt;&gt;"",IF(LOWER('Capacity summary'!BB167)="x",$BI48*BB48,VALUE('Capacity summary'!BB167)),0),BB48*$BI48),BB48*$BI48),0)</f>
        <v>0</v>
      </c>
      <c r="DF48" s="311">
        <f>IF($BI48&lt;&gt;"",IF('Capacity summary'!$D$14="Yes",IF(COUNTBLANK('Capacity summary'!$H167:$BG167)&lt;52,IF('Capacity summary'!BC167&lt;&gt;"",IF(LOWER('Capacity summary'!BC167)="x",$BI48*BC48,VALUE('Capacity summary'!BC167)),0),BC48*$BI48),BC48*$BI48),0)</f>
        <v>0</v>
      </c>
      <c r="DG48" s="311">
        <f>IF($BI48&lt;&gt;"",IF('Capacity summary'!$D$14="Yes",IF(COUNTBLANK('Capacity summary'!$H167:$BG167)&lt;52,IF('Capacity summary'!BD167&lt;&gt;"",IF(LOWER('Capacity summary'!BD167)="x",$BI48*BD48,VALUE('Capacity summary'!BD167)),0),BD48*$BI48),BD48*$BI48),0)</f>
        <v>0</v>
      </c>
      <c r="DH48" s="311">
        <f>IF($BI48&lt;&gt;"",IF('Capacity summary'!$D$14="Yes",IF(COUNTBLANK('Capacity summary'!$H167:$BG167)&lt;52,IF('Capacity summary'!BE167&lt;&gt;"",IF(LOWER('Capacity summary'!BE167)="x",$BI48*BE48,VALUE('Capacity summary'!BE167)),0),BE48*$BI48),BE48*$BI48),0)</f>
        <v>0</v>
      </c>
      <c r="DI48" s="311">
        <f>IF($BI48&lt;&gt;"",IF('Capacity summary'!$D$14="Yes",IF(COUNTBLANK('Capacity summary'!$H167:$BG167)&lt;52,IF('Capacity summary'!BF167&lt;&gt;"",IF(LOWER('Capacity summary'!BF167)="x",$BI48*BF48,VALUE('Capacity summary'!BF167)),0),BF48*$BI48),BF48*$BI48),0)</f>
        <v>0</v>
      </c>
      <c r="DJ48" s="311">
        <f>IF($BI48&lt;&gt;"",IF('Capacity summary'!$D$14="Yes",IF(COUNTBLANK('Capacity summary'!$H167:$BG167)&lt;52,IF('Capacity summary'!BG167&lt;&gt;"",IF(LOWER('Capacity summary'!BG167)="x",$BI48*BG48,VALUE('Capacity summary'!BG167)),0),BG48*$BI48),BG48*$BI48),0)</f>
        <v>0</v>
      </c>
      <c r="DK48" s="391">
        <f t="shared" si="2"/>
        <v>0</v>
      </c>
      <c r="DL48" s="136">
        <f t="shared" si="3"/>
        <v>0</v>
      </c>
      <c r="DM48" s="311" t="str">
        <f>Capacity!H60</f>
        <v/>
      </c>
      <c r="DQ48" s="5"/>
    </row>
    <row r="49" spans="1:121" x14ac:dyDescent="0.2">
      <c r="A49" s="67">
        <f>IF(Capacity!L61='Capacity summary'!BI168,1,0)</f>
        <v>1</v>
      </c>
      <c r="B49" s="67">
        <f>IF(Capacity!V61='Capacity summary'!BI68,1,0)</f>
        <v>1</v>
      </c>
      <c r="C49" s="67" t="str">
        <f>ROW(A45)&amp;". "&amp;Capacity!B61</f>
        <v xml:space="preserve">45. </v>
      </c>
      <c r="D49" s="67">
        <f>'Capacity setup'!C56</f>
        <v>0</v>
      </c>
      <c r="E49" s="67">
        <f>'Capacity setup'!D56</f>
        <v>0</v>
      </c>
      <c r="F49" s="67">
        <f>'Capacity setup'!E56</f>
        <v>0</v>
      </c>
      <c r="H49" s="67">
        <f ca="1">IF(LOWER(Capacity!$L61)="x",IF(AND(SUMIF(Capacity_Resource,$D49,'Critical resources (hide)'!U$6:U$105)+SUMIF(Capacity_Resource,$E49,'Critical resources (hide)'!U$6:U$105)+SUMIF(Capacity_Resource,$F49,'Critical resources (hide)'!U$6:U$105)&gt;0,$E$1=2),0,1),0)</f>
        <v>1</v>
      </c>
      <c r="I49" s="67">
        <f ca="1">IF(LOWER(Capacity!$L61)="x",IF(AND(SUMIF(Capacity_Resource,$D49,'Critical resources (hide)'!V$6:V$105)+SUMIF(Capacity_Resource,$E49,'Critical resources (hide)'!V$6:V$105)+SUMIF(Capacity_Resource,$F49,'Critical resources (hide)'!V$6:V$105)&gt;0,$E$1=2),0,1),0)</f>
        <v>1</v>
      </c>
      <c r="J49" s="67">
        <f ca="1">IF(LOWER(Capacity!$L61)="x",IF(AND(SUMIF(Capacity_Resource,$D49,'Critical resources (hide)'!W$6:W$105)+SUMIF(Capacity_Resource,$E49,'Critical resources (hide)'!W$6:W$105)+SUMIF(Capacity_Resource,$F49,'Critical resources (hide)'!W$6:W$105)&gt;0,$E$1=2),0,1),0)</f>
        <v>1</v>
      </c>
      <c r="K49" s="67">
        <f ca="1">IF(LOWER(Capacity!$L61)="x",IF(AND(SUMIF(Capacity_Resource,$D49,'Critical resources (hide)'!X$6:X$105)+SUMIF(Capacity_Resource,$E49,'Critical resources (hide)'!X$6:X$105)+SUMIF(Capacity_Resource,$F49,'Critical resources (hide)'!X$6:X$105)&gt;0,$E$1=2),0,1),0)</f>
        <v>1</v>
      </c>
      <c r="L49" s="67">
        <f ca="1">IF(LOWER(Capacity!$L61)="x",IF(AND(SUMIF(Capacity_Resource,$D49,'Critical resources (hide)'!Y$6:Y$105)+SUMIF(Capacity_Resource,$E49,'Critical resources (hide)'!Y$6:Y$105)+SUMIF(Capacity_Resource,$F49,'Critical resources (hide)'!Y$6:Y$105)&gt;0,$E$1=2),0,1),0)</f>
        <v>1</v>
      </c>
      <c r="M49" s="67">
        <f ca="1">IF(LOWER(Capacity!$L61)="x",IF(AND(SUMIF(Capacity_Resource,$D49,'Critical resources (hide)'!Z$6:Z$105)+SUMIF(Capacity_Resource,$E49,'Critical resources (hide)'!Z$6:Z$105)+SUMIF(Capacity_Resource,$F49,'Critical resources (hide)'!Z$6:Z$105)&gt;0,$E$1=2),0,1),0)</f>
        <v>1</v>
      </c>
      <c r="N49" s="67">
        <f ca="1">IF(LOWER(Capacity!$L61)="x",IF(AND(SUMIF(Capacity_Resource,$D49,'Critical resources (hide)'!AA$6:AA$105)+SUMIF(Capacity_Resource,$E49,'Critical resources (hide)'!AA$6:AA$105)+SUMIF(Capacity_Resource,$F49,'Critical resources (hide)'!AA$6:AA$105)&gt;0,$E$1=2),0,1),0)</f>
        <v>1</v>
      </c>
      <c r="O49" s="67">
        <f ca="1">IF(LOWER(Capacity!$L61)="x",IF(AND(SUMIF(Capacity_Resource,$D49,'Critical resources (hide)'!AB$6:AB$105)+SUMIF(Capacity_Resource,$E49,'Critical resources (hide)'!AB$6:AB$105)+SUMIF(Capacity_Resource,$F49,'Critical resources (hide)'!AB$6:AB$105)&gt;0,$E$1=2),0,1),0)</f>
        <v>1</v>
      </c>
      <c r="P49" s="67">
        <f ca="1">IF(LOWER(Capacity!$L61)="x",IF(AND(SUMIF(Capacity_Resource,$D49,'Critical resources (hide)'!AC$6:AC$105)+SUMIF(Capacity_Resource,$E49,'Critical resources (hide)'!AC$6:AC$105)+SUMIF(Capacity_Resource,$F49,'Critical resources (hide)'!AC$6:AC$105)&gt;0,$E$1=2),0,1),0)</f>
        <v>1</v>
      </c>
      <c r="Q49" s="67">
        <f ca="1">IF(LOWER(Capacity!$L61)="x",IF(AND(SUMIF(Capacity_Resource,$D49,'Critical resources (hide)'!AD$6:AD$105)+SUMIF(Capacity_Resource,$E49,'Critical resources (hide)'!AD$6:AD$105)+SUMIF(Capacity_Resource,$F49,'Critical resources (hide)'!AD$6:AD$105)&gt;0,$E$1=2),0,1),0)</f>
        <v>1</v>
      </c>
      <c r="R49" s="67">
        <f ca="1">IF(LOWER(Capacity!$L61)="x",IF(AND(SUMIF(Capacity_Resource,$D49,'Critical resources (hide)'!AE$6:AE$105)+SUMIF(Capacity_Resource,$E49,'Critical resources (hide)'!AE$6:AE$105)+SUMIF(Capacity_Resource,$F49,'Critical resources (hide)'!AE$6:AE$105)&gt;0,$E$1=2),0,1),0)</f>
        <v>1</v>
      </c>
      <c r="S49" s="67">
        <f ca="1">IF(LOWER(Capacity!$L61)="x",IF(AND(SUMIF(Capacity_Resource,$D49,'Critical resources (hide)'!AF$6:AF$105)+SUMIF(Capacity_Resource,$E49,'Critical resources (hide)'!AF$6:AF$105)+SUMIF(Capacity_Resource,$F49,'Critical resources (hide)'!AF$6:AF$105)&gt;0,$E$1=2),0,1),0)</f>
        <v>1</v>
      </c>
      <c r="T49" s="67">
        <f ca="1">IF(LOWER(Capacity!$L61)="x",IF(AND(SUMIF(Capacity_Resource,$D49,'Critical resources (hide)'!AG$6:AG$105)+SUMIF(Capacity_Resource,$E49,'Critical resources (hide)'!AG$6:AG$105)+SUMIF(Capacity_Resource,$F49,'Critical resources (hide)'!AG$6:AG$105)&gt;0,$E$1=2),0,1),0)</f>
        <v>1</v>
      </c>
      <c r="U49" s="67">
        <f ca="1">IF(LOWER(Capacity!$L61)="x",IF(AND(SUMIF(Capacity_Resource,$D49,'Critical resources (hide)'!AH$6:AH$105)+SUMIF(Capacity_Resource,$E49,'Critical resources (hide)'!AH$6:AH$105)+SUMIF(Capacity_Resource,$F49,'Critical resources (hide)'!AH$6:AH$105)&gt;0,$E$1=2),0,1),0)</f>
        <v>1</v>
      </c>
      <c r="V49" s="67">
        <f ca="1">IF(LOWER(Capacity!$L61)="x",IF(AND(SUMIF(Capacity_Resource,$D49,'Critical resources (hide)'!AI$6:AI$105)+SUMIF(Capacity_Resource,$E49,'Critical resources (hide)'!AI$6:AI$105)+SUMIF(Capacity_Resource,$F49,'Critical resources (hide)'!AI$6:AI$105)&gt;0,$E$1=2),0,1),0)</f>
        <v>1</v>
      </c>
      <c r="W49" s="67">
        <f ca="1">IF(LOWER(Capacity!$L61)="x",IF(AND(SUMIF(Capacity_Resource,$D49,'Critical resources (hide)'!AJ$6:AJ$105)+SUMIF(Capacity_Resource,$E49,'Critical resources (hide)'!AJ$6:AJ$105)+SUMIF(Capacity_Resource,$F49,'Critical resources (hide)'!AJ$6:AJ$105)&gt;0,$E$1=2),0,1),0)</f>
        <v>1</v>
      </c>
      <c r="X49" s="67">
        <f ca="1">IF(LOWER(Capacity!$L61)="x",IF(AND(SUMIF(Capacity_Resource,$D49,'Critical resources (hide)'!AK$6:AK$105)+SUMIF(Capacity_Resource,$E49,'Critical resources (hide)'!AK$6:AK$105)+SUMIF(Capacity_Resource,$F49,'Critical resources (hide)'!AK$6:AK$105)&gt;0,$E$1=2),0,1),0)</f>
        <v>1</v>
      </c>
      <c r="Y49" s="67">
        <f ca="1">IF(LOWER(Capacity!$L61)="x",IF(AND(SUMIF(Capacity_Resource,$D49,'Critical resources (hide)'!AL$6:AL$105)+SUMIF(Capacity_Resource,$E49,'Critical resources (hide)'!AL$6:AL$105)+SUMIF(Capacity_Resource,$F49,'Critical resources (hide)'!AL$6:AL$105)&gt;0,$E$1=2),0,1),0)</f>
        <v>1</v>
      </c>
      <c r="Z49" s="67">
        <f ca="1">IF(LOWER(Capacity!$L61)="x",IF(AND(SUMIF(Capacity_Resource,$D49,'Critical resources (hide)'!AM$6:AM$105)+SUMIF(Capacity_Resource,$E49,'Critical resources (hide)'!AM$6:AM$105)+SUMIF(Capacity_Resource,$F49,'Critical resources (hide)'!AM$6:AM$105)&gt;0,$E$1=2),0,1),0)</f>
        <v>1</v>
      </c>
      <c r="AA49" s="67">
        <f ca="1">IF(LOWER(Capacity!$L61)="x",IF(AND(SUMIF(Capacity_Resource,$D49,'Critical resources (hide)'!AN$6:AN$105)+SUMIF(Capacity_Resource,$E49,'Critical resources (hide)'!AN$6:AN$105)+SUMIF(Capacity_Resource,$F49,'Critical resources (hide)'!AN$6:AN$105)&gt;0,$E$1=2),0,1),0)</f>
        <v>1</v>
      </c>
      <c r="AB49" s="67">
        <f ca="1">IF(LOWER(Capacity!$L61)="x",IF(AND(SUMIF(Capacity_Resource,$D49,'Critical resources (hide)'!AO$6:AO$105)+SUMIF(Capacity_Resource,$E49,'Critical resources (hide)'!AO$6:AO$105)+SUMIF(Capacity_Resource,$F49,'Critical resources (hide)'!AO$6:AO$105)&gt;0,$E$1=2),0,1),0)</f>
        <v>1</v>
      </c>
      <c r="AC49" s="67">
        <f ca="1">IF(LOWER(Capacity!$L61)="x",IF(AND(SUMIF(Capacity_Resource,$D49,'Critical resources (hide)'!AP$6:AP$105)+SUMIF(Capacity_Resource,$E49,'Critical resources (hide)'!AP$6:AP$105)+SUMIF(Capacity_Resource,$F49,'Critical resources (hide)'!AP$6:AP$105)&gt;0,$E$1=2),0,1),0)</f>
        <v>1</v>
      </c>
      <c r="AD49" s="67">
        <f ca="1">IF(LOWER(Capacity!$L61)="x",IF(AND(SUMIF(Capacity_Resource,$D49,'Critical resources (hide)'!AQ$6:AQ$105)+SUMIF(Capacity_Resource,$E49,'Critical resources (hide)'!AQ$6:AQ$105)+SUMIF(Capacity_Resource,$F49,'Critical resources (hide)'!AQ$6:AQ$105)&gt;0,$E$1=2),0,1),0)</f>
        <v>1</v>
      </c>
      <c r="AE49" s="67">
        <f ca="1">IF(LOWER(Capacity!$L61)="x",IF(AND(SUMIF(Capacity_Resource,$D49,'Critical resources (hide)'!AR$6:AR$105)+SUMIF(Capacity_Resource,$E49,'Critical resources (hide)'!AR$6:AR$105)+SUMIF(Capacity_Resource,$F49,'Critical resources (hide)'!AR$6:AR$105)&gt;0,$E$1=2),0,1),0)</f>
        <v>1</v>
      </c>
      <c r="AF49" s="67">
        <f ca="1">IF(LOWER(Capacity!$L61)="x",IF(AND(SUMIF(Capacity_Resource,$D49,'Critical resources (hide)'!AS$6:AS$105)+SUMIF(Capacity_Resource,$E49,'Critical resources (hide)'!AS$6:AS$105)+SUMIF(Capacity_Resource,$F49,'Critical resources (hide)'!AS$6:AS$105)&gt;0,$E$1=2),0,1),0)</f>
        <v>1</v>
      </c>
      <c r="AG49" s="67">
        <f ca="1">IF(LOWER(Capacity!$L61)="x",IF(AND(SUMIF(Capacity_Resource,$D49,'Critical resources (hide)'!AT$6:AT$105)+SUMIF(Capacity_Resource,$E49,'Critical resources (hide)'!AT$6:AT$105)+SUMIF(Capacity_Resource,$F49,'Critical resources (hide)'!AT$6:AT$105)&gt;0,$E$1=2),0,1),0)</f>
        <v>1</v>
      </c>
      <c r="AH49" s="67">
        <f ca="1">IF(LOWER(Capacity!$L61)="x",IF(AND(SUMIF(Capacity_Resource,$D49,'Critical resources (hide)'!AU$6:AU$105)+SUMIF(Capacity_Resource,$E49,'Critical resources (hide)'!AU$6:AU$105)+SUMIF(Capacity_Resource,$F49,'Critical resources (hide)'!AU$6:AU$105)&gt;0,$E$1=2),0,1),0)</f>
        <v>1</v>
      </c>
      <c r="AI49" s="67">
        <f ca="1">IF(LOWER(Capacity!$L61)="x",IF(AND(SUMIF(Capacity_Resource,$D49,'Critical resources (hide)'!AV$6:AV$105)+SUMIF(Capacity_Resource,$E49,'Critical resources (hide)'!AV$6:AV$105)+SUMIF(Capacity_Resource,$F49,'Critical resources (hide)'!AV$6:AV$105)&gt;0,$E$1=2),0,1),0)</f>
        <v>1</v>
      </c>
      <c r="AJ49" s="67">
        <f ca="1">IF(LOWER(Capacity!$L61)="x",IF(AND(SUMIF(Capacity_Resource,$D49,'Critical resources (hide)'!AW$6:AW$105)+SUMIF(Capacity_Resource,$E49,'Critical resources (hide)'!AW$6:AW$105)+SUMIF(Capacity_Resource,$F49,'Critical resources (hide)'!AW$6:AW$105)&gt;0,$E$1=2),0,1),0)</f>
        <v>1</v>
      </c>
      <c r="AK49" s="67">
        <f ca="1">IF(LOWER(Capacity!$L61)="x",IF(AND(SUMIF(Capacity_Resource,$D49,'Critical resources (hide)'!AX$6:AX$105)+SUMIF(Capacity_Resource,$E49,'Critical resources (hide)'!AX$6:AX$105)+SUMIF(Capacity_Resource,$F49,'Critical resources (hide)'!AX$6:AX$105)&gt;0,$E$1=2),0,1),0)</f>
        <v>1</v>
      </c>
      <c r="AL49" s="67">
        <f ca="1">IF(LOWER(Capacity!$L61)="x",IF(AND(SUMIF(Capacity_Resource,$D49,'Critical resources (hide)'!AY$6:AY$105)+SUMIF(Capacity_Resource,$E49,'Critical resources (hide)'!AY$6:AY$105)+SUMIF(Capacity_Resource,$F49,'Critical resources (hide)'!AY$6:AY$105)&gt;0,$E$1=2),0,1),0)</f>
        <v>1</v>
      </c>
      <c r="AM49" s="67">
        <f ca="1">IF(LOWER(Capacity!$L61)="x",IF(AND(SUMIF(Capacity_Resource,$D49,'Critical resources (hide)'!AZ$6:AZ$105)+SUMIF(Capacity_Resource,$E49,'Critical resources (hide)'!AZ$6:AZ$105)+SUMIF(Capacity_Resource,$F49,'Critical resources (hide)'!AZ$6:AZ$105)&gt;0,$E$1=2),0,1),0)</f>
        <v>1</v>
      </c>
      <c r="AN49" s="67">
        <f ca="1">IF(LOWER(Capacity!$L61)="x",IF(AND(SUMIF(Capacity_Resource,$D49,'Critical resources (hide)'!BA$6:BA$105)+SUMIF(Capacity_Resource,$E49,'Critical resources (hide)'!BA$6:BA$105)+SUMIF(Capacity_Resource,$F49,'Critical resources (hide)'!BA$6:BA$105)&gt;0,$E$1=2),0,1),0)</f>
        <v>1</v>
      </c>
      <c r="AO49" s="67">
        <f ca="1">IF(LOWER(Capacity!$L61)="x",IF(AND(SUMIF(Capacity_Resource,$D49,'Critical resources (hide)'!BB$6:BB$105)+SUMIF(Capacity_Resource,$E49,'Critical resources (hide)'!BB$6:BB$105)+SUMIF(Capacity_Resource,$F49,'Critical resources (hide)'!BB$6:BB$105)&gt;0,$E$1=2),0,1),0)</f>
        <v>1</v>
      </c>
      <c r="AP49" s="67">
        <f ca="1">IF(LOWER(Capacity!$L61)="x",IF(AND(SUMIF(Capacity_Resource,$D49,'Critical resources (hide)'!BC$6:BC$105)+SUMIF(Capacity_Resource,$E49,'Critical resources (hide)'!BC$6:BC$105)+SUMIF(Capacity_Resource,$F49,'Critical resources (hide)'!BC$6:BC$105)&gt;0,$E$1=2),0,1),0)</f>
        <v>1</v>
      </c>
      <c r="AQ49" s="67">
        <f ca="1">IF(LOWER(Capacity!$L61)="x",IF(AND(SUMIF(Capacity_Resource,$D49,'Critical resources (hide)'!BD$6:BD$105)+SUMIF(Capacity_Resource,$E49,'Critical resources (hide)'!BD$6:BD$105)+SUMIF(Capacity_Resource,$F49,'Critical resources (hide)'!BD$6:BD$105)&gt;0,$E$1=2),0,1),0)</f>
        <v>1</v>
      </c>
      <c r="AR49" s="67">
        <f ca="1">IF(LOWER(Capacity!$L61)="x",IF(AND(SUMIF(Capacity_Resource,$D49,'Critical resources (hide)'!BE$6:BE$105)+SUMIF(Capacity_Resource,$E49,'Critical resources (hide)'!BE$6:BE$105)+SUMIF(Capacity_Resource,$F49,'Critical resources (hide)'!BE$6:BE$105)&gt;0,$E$1=2),0,1),0)</f>
        <v>1</v>
      </c>
      <c r="AS49" s="67">
        <f ca="1">IF(LOWER(Capacity!$L61)="x",IF(AND(SUMIF(Capacity_Resource,$D49,'Critical resources (hide)'!BF$6:BF$105)+SUMIF(Capacity_Resource,$E49,'Critical resources (hide)'!BF$6:BF$105)+SUMIF(Capacity_Resource,$F49,'Critical resources (hide)'!BF$6:BF$105)&gt;0,$E$1=2),0,1),0)</f>
        <v>1</v>
      </c>
      <c r="AT49" s="67">
        <f ca="1">IF(LOWER(Capacity!$L61)="x",IF(AND(SUMIF(Capacity_Resource,$D49,'Critical resources (hide)'!BG$6:BG$105)+SUMIF(Capacity_Resource,$E49,'Critical resources (hide)'!BG$6:BG$105)+SUMIF(Capacity_Resource,$F49,'Critical resources (hide)'!BG$6:BG$105)&gt;0,$E$1=2),0,1),0)</f>
        <v>1</v>
      </c>
      <c r="AU49" s="67">
        <f ca="1">IF(LOWER(Capacity!$L61)="x",IF(AND(SUMIF(Capacity_Resource,$D49,'Critical resources (hide)'!BH$6:BH$105)+SUMIF(Capacity_Resource,$E49,'Critical resources (hide)'!BH$6:BH$105)+SUMIF(Capacity_Resource,$F49,'Critical resources (hide)'!BH$6:BH$105)&gt;0,$E$1=2),0,1),0)</f>
        <v>1</v>
      </c>
      <c r="AV49" s="67">
        <f ca="1">IF(LOWER(Capacity!$L61)="x",IF(AND(SUMIF(Capacity_Resource,$D49,'Critical resources (hide)'!BI$6:BI$105)+SUMIF(Capacity_Resource,$E49,'Critical resources (hide)'!BI$6:BI$105)+SUMIF(Capacity_Resource,$F49,'Critical resources (hide)'!BI$6:BI$105)&gt;0,$E$1=2),0,1),0)</f>
        <v>1</v>
      </c>
      <c r="AW49" s="67">
        <f ca="1">IF(LOWER(Capacity!$L61)="x",IF(AND(SUMIF(Capacity_Resource,$D49,'Critical resources (hide)'!BJ$6:BJ$105)+SUMIF(Capacity_Resource,$E49,'Critical resources (hide)'!BJ$6:BJ$105)+SUMIF(Capacity_Resource,$F49,'Critical resources (hide)'!BJ$6:BJ$105)&gt;0,$E$1=2),0,1),0)</f>
        <v>1</v>
      </c>
      <c r="AX49" s="67">
        <f ca="1">IF(LOWER(Capacity!$L61)="x",IF(AND(SUMIF(Capacity_Resource,$D49,'Critical resources (hide)'!BK$6:BK$105)+SUMIF(Capacity_Resource,$E49,'Critical resources (hide)'!BK$6:BK$105)+SUMIF(Capacity_Resource,$F49,'Critical resources (hide)'!BK$6:BK$105)&gt;0,$E$1=2),0,1),0)</f>
        <v>1</v>
      </c>
      <c r="AY49" s="67">
        <f ca="1">IF(LOWER(Capacity!$L61)="x",IF(AND(SUMIF(Capacity_Resource,$D49,'Critical resources (hide)'!BL$6:BL$105)+SUMIF(Capacity_Resource,$E49,'Critical resources (hide)'!BL$6:BL$105)+SUMIF(Capacity_Resource,$F49,'Critical resources (hide)'!BL$6:BL$105)&gt;0,$E$1=2),0,1),0)</f>
        <v>1</v>
      </c>
      <c r="AZ49" s="67">
        <f ca="1">IF(LOWER(Capacity!$L61)="x",IF(AND(SUMIF(Capacity_Resource,$D49,'Critical resources (hide)'!BM$6:BM$105)+SUMIF(Capacity_Resource,$E49,'Critical resources (hide)'!BM$6:BM$105)+SUMIF(Capacity_Resource,$F49,'Critical resources (hide)'!BM$6:BM$105)&gt;0,$E$1=2),0,1),0)</f>
        <v>1</v>
      </c>
      <c r="BA49" s="67">
        <f ca="1">IF(LOWER(Capacity!$L61)="x",IF(AND(SUMIF(Capacity_Resource,$D49,'Critical resources (hide)'!BN$6:BN$105)+SUMIF(Capacity_Resource,$E49,'Critical resources (hide)'!BN$6:BN$105)+SUMIF(Capacity_Resource,$F49,'Critical resources (hide)'!BN$6:BN$105)&gt;0,$E$1=2),0,1),0)</f>
        <v>1</v>
      </c>
      <c r="BB49" s="67">
        <f ca="1">IF(LOWER(Capacity!$L61)="x",IF(AND(SUMIF(Capacity_Resource,$D49,'Critical resources (hide)'!BO$6:BO$105)+SUMIF(Capacity_Resource,$E49,'Critical resources (hide)'!BO$6:BO$105)+SUMIF(Capacity_Resource,$F49,'Critical resources (hide)'!BO$6:BO$105)&gt;0,$E$1=2),0,1),0)</f>
        <v>1</v>
      </c>
      <c r="BC49" s="67">
        <f ca="1">IF(LOWER(Capacity!$L61)="x",IF(AND(SUMIF(Capacity_Resource,$D49,'Critical resources (hide)'!BP$6:BP$105)+SUMIF(Capacity_Resource,$E49,'Critical resources (hide)'!BP$6:BP$105)+SUMIF(Capacity_Resource,$F49,'Critical resources (hide)'!BP$6:BP$105)&gt;0,$E$1=2),0,1),0)</f>
        <v>1</v>
      </c>
      <c r="BD49" s="67">
        <f ca="1">IF(LOWER(Capacity!$L61)="x",IF(AND(SUMIF(Capacity_Resource,$D49,'Critical resources (hide)'!BQ$6:BQ$105)+SUMIF(Capacity_Resource,$E49,'Critical resources (hide)'!BQ$6:BQ$105)+SUMIF(Capacity_Resource,$F49,'Critical resources (hide)'!BQ$6:BQ$105)&gt;0,$E$1=2),0,1),0)</f>
        <v>1</v>
      </c>
      <c r="BE49" s="67">
        <f ca="1">IF(LOWER(Capacity!$L61)="x",IF(AND(SUMIF(Capacity_Resource,$D49,'Critical resources (hide)'!BR$6:BR$105)+SUMIF(Capacity_Resource,$E49,'Critical resources (hide)'!BR$6:BR$105)+SUMIF(Capacity_Resource,$F49,'Critical resources (hide)'!BR$6:BR$105)&gt;0,$E$1=2),0,1),0)</f>
        <v>1</v>
      </c>
      <c r="BF49" s="67">
        <f ca="1">IF(LOWER(Capacity!$L61)="x",IF(AND(SUMIF(Capacity_Resource,$D49,'Critical resources (hide)'!BS$6:BS$105)+SUMIF(Capacity_Resource,$E49,'Critical resources (hide)'!BS$6:BS$105)+SUMIF(Capacity_Resource,$F49,'Critical resources (hide)'!BS$6:BS$105)&gt;0,$E$1=2),0,1),0)</f>
        <v>1</v>
      </c>
      <c r="BG49" s="67">
        <f ca="1">IF(LOWER(Capacity!$L61)="x",IF(AND(SUMIF(Capacity_Resource,$D49,'Critical resources (hide)'!BT$6:BT$105)+SUMIF(Capacity_Resource,$E49,'Critical resources (hide)'!BT$6:BT$105)+SUMIF(Capacity_Resource,$F49,'Critical resources (hide)'!BT$6:BT$105)&gt;0,$E$1=2),0,1),0)</f>
        <v>1</v>
      </c>
      <c r="BH49" s="67">
        <f>IF(ROW(C45)&lt;=Capacity!$A$16,IF('Capacity summary'!$D$14="No",SUM(H49:BG49),'Capacity summary'!$E168),0)</f>
        <v>0</v>
      </c>
      <c r="BI49" s="5" t="str">
        <f>IF(BH49&gt;0,IF(BH49&lt;Capacity!E61,Capacity!F61,Capacity!H61/'Capacity calculation (hide)'!BH49),"")</f>
        <v/>
      </c>
      <c r="BK49" s="311">
        <f>IF($BI49&lt;&gt;"",IF('Capacity summary'!$D$14="Yes",IF(COUNTBLANK('Capacity summary'!$H168:$BG168)&lt;52,IF('Capacity summary'!H168&lt;&gt;"",IF(LOWER('Capacity summary'!H168)="x",$BI49*H49,VALUE('Capacity summary'!H168)),0),H49*$BI49),H49*$BI49),0)</f>
        <v>0</v>
      </c>
      <c r="BL49" s="311">
        <f>IF($BI49&lt;&gt;"",IF('Capacity summary'!$D$14="Yes",IF(COUNTBLANK('Capacity summary'!$H168:$BG168)&lt;52,IF('Capacity summary'!I168&lt;&gt;"",IF(LOWER('Capacity summary'!I168)="x",$BI49*I49,VALUE('Capacity summary'!I168)),0),I49*$BI49),I49*$BI49),0)</f>
        <v>0</v>
      </c>
      <c r="BM49" s="311">
        <f>IF($BI49&lt;&gt;"",IF('Capacity summary'!$D$14="Yes",IF(COUNTBLANK('Capacity summary'!$H168:$BG168)&lt;52,IF('Capacity summary'!J168&lt;&gt;"",IF(LOWER('Capacity summary'!J168)="x",$BI49*J49,VALUE('Capacity summary'!J168)),0),J49*$BI49),J49*$BI49),0)</f>
        <v>0</v>
      </c>
      <c r="BN49" s="311">
        <f>IF($BI49&lt;&gt;"",IF('Capacity summary'!$D$14="Yes",IF(COUNTBLANK('Capacity summary'!$H168:$BG168)&lt;52,IF('Capacity summary'!K168&lt;&gt;"",IF(LOWER('Capacity summary'!K168)="x",$BI49*K49,VALUE('Capacity summary'!K168)),0),K49*$BI49),K49*$BI49),0)</f>
        <v>0</v>
      </c>
      <c r="BO49" s="311">
        <f>IF($BI49&lt;&gt;"",IF('Capacity summary'!$D$14="Yes",IF(COUNTBLANK('Capacity summary'!$H168:$BG168)&lt;52,IF('Capacity summary'!L168&lt;&gt;"",IF(LOWER('Capacity summary'!L168)="x",$BI49*L49,VALUE('Capacity summary'!L168)),0),L49*$BI49),L49*$BI49),0)</f>
        <v>0</v>
      </c>
      <c r="BP49" s="311">
        <f>IF($BI49&lt;&gt;"",IF('Capacity summary'!$D$14="Yes",IF(COUNTBLANK('Capacity summary'!$H168:$BG168)&lt;52,IF('Capacity summary'!M168&lt;&gt;"",IF(LOWER('Capacity summary'!M168)="x",$BI49*M49,VALUE('Capacity summary'!M168)),0),M49*$BI49),M49*$BI49),0)</f>
        <v>0</v>
      </c>
      <c r="BQ49" s="311">
        <f>IF($BI49&lt;&gt;"",IF('Capacity summary'!$D$14="Yes",IF(COUNTBLANK('Capacity summary'!$H168:$BG168)&lt;52,IF('Capacity summary'!N168&lt;&gt;"",IF(LOWER('Capacity summary'!N168)="x",$BI49*N49,VALUE('Capacity summary'!N168)),0),N49*$BI49),N49*$BI49),0)</f>
        <v>0</v>
      </c>
      <c r="BR49" s="311">
        <f>IF($BI49&lt;&gt;"",IF('Capacity summary'!$D$14="Yes",IF(COUNTBLANK('Capacity summary'!$H168:$BG168)&lt;52,IF('Capacity summary'!O168&lt;&gt;"",IF(LOWER('Capacity summary'!O168)="x",$BI49*O49,VALUE('Capacity summary'!O168)),0),O49*$BI49),O49*$BI49),0)</f>
        <v>0</v>
      </c>
      <c r="BS49" s="311">
        <f>IF($BI49&lt;&gt;"",IF('Capacity summary'!$D$14="Yes",IF(COUNTBLANK('Capacity summary'!$H168:$BG168)&lt;52,IF('Capacity summary'!P168&lt;&gt;"",IF(LOWER('Capacity summary'!P168)="x",$BI49*P49,VALUE('Capacity summary'!P168)),0),P49*$BI49),P49*$BI49),0)</f>
        <v>0</v>
      </c>
      <c r="BT49" s="311">
        <f>IF($BI49&lt;&gt;"",IF('Capacity summary'!$D$14="Yes",IF(COUNTBLANK('Capacity summary'!$H168:$BG168)&lt;52,IF('Capacity summary'!Q168&lt;&gt;"",IF(LOWER('Capacity summary'!Q168)="x",$BI49*Q49,VALUE('Capacity summary'!Q168)),0),Q49*$BI49),Q49*$BI49),0)</f>
        <v>0</v>
      </c>
      <c r="BU49" s="311">
        <f>IF($BI49&lt;&gt;"",IF('Capacity summary'!$D$14="Yes",IF(COUNTBLANK('Capacity summary'!$H168:$BG168)&lt;52,IF('Capacity summary'!R168&lt;&gt;"",IF(LOWER('Capacity summary'!R168)="x",$BI49*R49,VALUE('Capacity summary'!R168)),0),R49*$BI49),R49*$BI49),0)</f>
        <v>0</v>
      </c>
      <c r="BV49" s="311">
        <f>IF($BI49&lt;&gt;"",IF('Capacity summary'!$D$14="Yes",IF(COUNTBLANK('Capacity summary'!$H168:$BG168)&lt;52,IF('Capacity summary'!S168&lt;&gt;"",IF(LOWER('Capacity summary'!S168)="x",$BI49*S49,VALUE('Capacity summary'!S168)),0),S49*$BI49),S49*$BI49),0)</f>
        <v>0</v>
      </c>
      <c r="BW49" s="311">
        <f>IF($BI49&lt;&gt;"",IF('Capacity summary'!$D$14="Yes",IF(COUNTBLANK('Capacity summary'!$H168:$BG168)&lt;52,IF('Capacity summary'!T168&lt;&gt;"",IF(LOWER('Capacity summary'!T168)="x",$BI49*T49,VALUE('Capacity summary'!T168)),0),T49*$BI49),T49*$BI49),0)</f>
        <v>0</v>
      </c>
      <c r="BX49" s="311">
        <f>IF($BI49&lt;&gt;"",IF('Capacity summary'!$D$14="Yes",IF(COUNTBLANK('Capacity summary'!$H168:$BG168)&lt;52,IF('Capacity summary'!U168&lt;&gt;"",IF(LOWER('Capacity summary'!U168)="x",$BI49*U49,VALUE('Capacity summary'!U168)),0),U49*$BI49),U49*$BI49),0)</f>
        <v>0</v>
      </c>
      <c r="BY49" s="311">
        <f>IF($BI49&lt;&gt;"",IF('Capacity summary'!$D$14="Yes",IF(COUNTBLANK('Capacity summary'!$H168:$BG168)&lt;52,IF('Capacity summary'!V168&lt;&gt;"",IF(LOWER('Capacity summary'!V168)="x",$BI49*V49,VALUE('Capacity summary'!V168)),0),V49*$BI49),V49*$BI49),0)</f>
        <v>0</v>
      </c>
      <c r="BZ49" s="311">
        <f>IF($BI49&lt;&gt;"",IF('Capacity summary'!$D$14="Yes",IF(COUNTBLANK('Capacity summary'!$H168:$BG168)&lt;52,IF('Capacity summary'!W168&lt;&gt;"",IF(LOWER('Capacity summary'!W168)="x",$BI49*W49,VALUE('Capacity summary'!W168)),0),W49*$BI49),W49*$BI49),0)</f>
        <v>0</v>
      </c>
      <c r="CA49" s="311">
        <f>IF($BI49&lt;&gt;"",IF('Capacity summary'!$D$14="Yes",IF(COUNTBLANK('Capacity summary'!$H168:$BG168)&lt;52,IF('Capacity summary'!X168&lt;&gt;"",IF(LOWER('Capacity summary'!X168)="x",$BI49*X49,VALUE('Capacity summary'!X168)),0),X49*$BI49),X49*$BI49),0)</f>
        <v>0</v>
      </c>
      <c r="CB49" s="311">
        <f>IF($BI49&lt;&gt;"",IF('Capacity summary'!$D$14="Yes",IF(COUNTBLANK('Capacity summary'!$H168:$BG168)&lt;52,IF('Capacity summary'!Y168&lt;&gt;"",IF(LOWER('Capacity summary'!Y168)="x",$BI49*Y49,VALUE('Capacity summary'!Y168)),0),Y49*$BI49),Y49*$BI49),0)</f>
        <v>0</v>
      </c>
      <c r="CC49" s="311">
        <f>IF($BI49&lt;&gt;"",IF('Capacity summary'!$D$14="Yes",IF(COUNTBLANK('Capacity summary'!$H168:$BG168)&lt;52,IF('Capacity summary'!Z168&lt;&gt;"",IF(LOWER('Capacity summary'!Z168)="x",$BI49*Z49,VALUE('Capacity summary'!Z168)),0),Z49*$BI49),Z49*$BI49),0)</f>
        <v>0</v>
      </c>
      <c r="CD49" s="311">
        <f>IF($BI49&lt;&gt;"",IF('Capacity summary'!$D$14="Yes",IF(COUNTBLANK('Capacity summary'!$H168:$BG168)&lt;52,IF('Capacity summary'!AA168&lt;&gt;"",IF(LOWER('Capacity summary'!AA168)="x",$BI49*AA49,VALUE('Capacity summary'!AA168)),0),AA49*$BI49),AA49*$BI49),0)</f>
        <v>0</v>
      </c>
      <c r="CE49" s="311">
        <f>IF($BI49&lt;&gt;"",IF('Capacity summary'!$D$14="Yes",IF(COUNTBLANK('Capacity summary'!$H168:$BG168)&lt;52,IF('Capacity summary'!AB168&lt;&gt;"",IF(LOWER('Capacity summary'!AB168)="x",$BI49*AB49,VALUE('Capacity summary'!AB168)),0),AB49*$BI49),AB49*$BI49),0)</f>
        <v>0</v>
      </c>
      <c r="CF49" s="311">
        <f>IF($BI49&lt;&gt;"",IF('Capacity summary'!$D$14="Yes",IF(COUNTBLANK('Capacity summary'!$H168:$BG168)&lt;52,IF('Capacity summary'!AC168&lt;&gt;"",IF(LOWER('Capacity summary'!AC168)="x",$BI49*AC49,VALUE('Capacity summary'!AC168)),0),AC49*$BI49),AC49*$BI49),0)</f>
        <v>0</v>
      </c>
      <c r="CG49" s="311">
        <f>IF($BI49&lt;&gt;"",IF('Capacity summary'!$D$14="Yes",IF(COUNTBLANK('Capacity summary'!$H168:$BG168)&lt;52,IF('Capacity summary'!AD168&lt;&gt;"",IF(LOWER('Capacity summary'!AD168)="x",$BI49*AD49,VALUE('Capacity summary'!AD168)),0),AD49*$BI49),AD49*$BI49),0)</f>
        <v>0</v>
      </c>
      <c r="CH49" s="311">
        <f>IF($BI49&lt;&gt;"",IF('Capacity summary'!$D$14="Yes",IF(COUNTBLANK('Capacity summary'!$H168:$BG168)&lt;52,IF('Capacity summary'!AE168&lt;&gt;"",IF(LOWER('Capacity summary'!AE168)="x",$BI49*AE49,VALUE('Capacity summary'!AE168)),0),AE49*$BI49),AE49*$BI49),0)</f>
        <v>0</v>
      </c>
      <c r="CI49" s="311">
        <f>IF($BI49&lt;&gt;"",IF('Capacity summary'!$D$14="Yes",IF(COUNTBLANK('Capacity summary'!$H168:$BG168)&lt;52,IF('Capacity summary'!AF168&lt;&gt;"",IF(LOWER('Capacity summary'!AF168)="x",$BI49*AF49,VALUE('Capacity summary'!AF168)),0),AF49*$BI49),AF49*$BI49),0)</f>
        <v>0</v>
      </c>
      <c r="CJ49" s="311">
        <f>IF($BI49&lt;&gt;"",IF('Capacity summary'!$D$14="Yes",IF(COUNTBLANK('Capacity summary'!$H168:$BG168)&lt;52,IF('Capacity summary'!AG168&lt;&gt;"",IF(LOWER('Capacity summary'!AG168)="x",$BI49*AG49,VALUE('Capacity summary'!AG168)),0),AG49*$BI49),AG49*$BI49),0)</f>
        <v>0</v>
      </c>
      <c r="CK49" s="311">
        <f>IF($BI49&lt;&gt;"",IF('Capacity summary'!$D$14="Yes",IF(COUNTBLANK('Capacity summary'!$H168:$BG168)&lt;52,IF('Capacity summary'!AH168&lt;&gt;"",IF(LOWER('Capacity summary'!AH168)="x",$BI49*AH49,VALUE('Capacity summary'!AH168)),0),AH49*$BI49),AH49*$BI49),0)</f>
        <v>0</v>
      </c>
      <c r="CL49" s="311">
        <f>IF($BI49&lt;&gt;"",IF('Capacity summary'!$D$14="Yes",IF(COUNTBLANK('Capacity summary'!$H168:$BG168)&lt;52,IF('Capacity summary'!AI168&lt;&gt;"",IF(LOWER('Capacity summary'!AI168)="x",$BI49*AI49,VALUE('Capacity summary'!AI168)),0),AI49*$BI49),AI49*$BI49),0)</f>
        <v>0</v>
      </c>
      <c r="CM49" s="311">
        <f>IF($BI49&lt;&gt;"",IF('Capacity summary'!$D$14="Yes",IF(COUNTBLANK('Capacity summary'!$H168:$BG168)&lt;52,IF('Capacity summary'!AJ168&lt;&gt;"",IF(LOWER('Capacity summary'!AJ168)="x",$BI49*AJ49,VALUE('Capacity summary'!AJ168)),0),AJ49*$BI49),AJ49*$BI49),0)</f>
        <v>0</v>
      </c>
      <c r="CN49" s="311">
        <f>IF($BI49&lt;&gt;"",IF('Capacity summary'!$D$14="Yes",IF(COUNTBLANK('Capacity summary'!$H168:$BG168)&lt;52,IF('Capacity summary'!AK168&lt;&gt;"",IF(LOWER('Capacity summary'!AK168)="x",$BI49*AK49,VALUE('Capacity summary'!AK168)),0),AK49*$BI49),AK49*$BI49),0)</f>
        <v>0</v>
      </c>
      <c r="CO49" s="311">
        <f>IF($BI49&lt;&gt;"",IF('Capacity summary'!$D$14="Yes",IF(COUNTBLANK('Capacity summary'!$H168:$BG168)&lt;52,IF('Capacity summary'!AL168&lt;&gt;"",IF(LOWER('Capacity summary'!AL168)="x",$BI49*AL49,VALUE('Capacity summary'!AL168)),0),AL49*$BI49),AL49*$BI49),0)</f>
        <v>0</v>
      </c>
      <c r="CP49" s="311">
        <f>IF($BI49&lt;&gt;"",IF('Capacity summary'!$D$14="Yes",IF(COUNTBLANK('Capacity summary'!$H168:$BG168)&lt;52,IF('Capacity summary'!AM168&lt;&gt;"",IF(LOWER('Capacity summary'!AM168)="x",$BI49*AM49,VALUE('Capacity summary'!AM168)),0),AM49*$BI49),AM49*$BI49),0)</f>
        <v>0</v>
      </c>
      <c r="CQ49" s="311">
        <f>IF($BI49&lt;&gt;"",IF('Capacity summary'!$D$14="Yes",IF(COUNTBLANK('Capacity summary'!$H168:$BG168)&lt;52,IF('Capacity summary'!AN168&lt;&gt;"",IF(LOWER('Capacity summary'!AN168)="x",$BI49*AN49,VALUE('Capacity summary'!AN168)),0),AN49*$BI49),AN49*$BI49),0)</f>
        <v>0</v>
      </c>
      <c r="CR49" s="311">
        <f>IF($BI49&lt;&gt;"",IF('Capacity summary'!$D$14="Yes",IF(COUNTBLANK('Capacity summary'!$H168:$BG168)&lt;52,IF('Capacity summary'!AO168&lt;&gt;"",IF(LOWER('Capacity summary'!AO168)="x",$BI49*AO49,VALUE('Capacity summary'!AO168)),0),AO49*$BI49),AO49*$BI49),0)</f>
        <v>0</v>
      </c>
      <c r="CS49" s="311">
        <f>IF($BI49&lt;&gt;"",IF('Capacity summary'!$D$14="Yes",IF(COUNTBLANK('Capacity summary'!$H168:$BG168)&lt;52,IF('Capacity summary'!AP168&lt;&gt;"",IF(LOWER('Capacity summary'!AP168)="x",$BI49*AP49,VALUE('Capacity summary'!AP168)),0),AP49*$BI49),AP49*$BI49),0)</f>
        <v>0</v>
      </c>
      <c r="CT49" s="311">
        <f>IF($BI49&lt;&gt;"",IF('Capacity summary'!$D$14="Yes",IF(COUNTBLANK('Capacity summary'!$H168:$BG168)&lt;52,IF('Capacity summary'!AQ168&lt;&gt;"",IF(LOWER('Capacity summary'!AQ168)="x",$BI49*AQ49,VALUE('Capacity summary'!AQ168)),0),AQ49*$BI49),AQ49*$BI49),0)</f>
        <v>0</v>
      </c>
      <c r="CU49" s="311">
        <f>IF($BI49&lt;&gt;"",IF('Capacity summary'!$D$14="Yes",IF(COUNTBLANK('Capacity summary'!$H168:$BG168)&lt;52,IF('Capacity summary'!AR168&lt;&gt;"",IF(LOWER('Capacity summary'!AR168)="x",$BI49*AR49,VALUE('Capacity summary'!AR168)),0),AR49*$BI49),AR49*$BI49),0)</f>
        <v>0</v>
      </c>
      <c r="CV49" s="311">
        <f>IF($BI49&lt;&gt;"",IF('Capacity summary'!$D$14="Yes",IF(COUNTBLANK('Capacity summary'!$H168:$BG168)&lt;52,IF('Capacity summary'!AS168&lt;&gt;"",IF(LOWER('Capacity summary'!AS168)="x",$BI49*AS49,VALUE('Capacity summary'!AS168)),0),AS49*$BI49),AS49*$BI49),0)</f>
        <v>0</v>
      </c>
      <c r="CW49" s="311">
        <f>IF($BI49&lt;&gt;"",IF('Capacity summary'!$D$14="Yes",IF(COUNTBLANK('Capacity summary'!$H168:$BG168)&lt;52,IF('Capacity summary'!AT168&lt;&gt;"",IF(LOWER('Capacity summary'!AT168)="x",$BI49*AT49,VALUE('Capacity summary'!AT168)),0),AT49*$BI49),AT49*$BI49),0)</f>
        <v>0</v>
      </c>
      <c r="CX49" s="311">
        <f>IF($BI49&lt;&gt;"",IF('Capacity summary'!$D$14="Yes",IF(COUNTBLANK('Capacity summary'!$H168:$BG168)&lt;52,IF('Capacity summary'!AU168&lt;&gt;"",IF(LOWER('Capacity summary'!AU168)="x",$BI49*AU49,VALUE('Capacity summary'!AU168)),0),AU49*$BI49),AU49*$BI49),0)</f>
        <v>0</v>
      </c>
      <c r="CY49" s="311">
        <f>IF($BI49&lt;&gt;"",IF('Capacity summary'!$D$14="Yes",IF(COUNTBLANK('Capacity summary'!$H168:$BG168)&lt;52,IF('Capacity summary'!AV168&lt;&gt;"",IF(LOWER('Capacity summary'!AV168)="x",$BI49*AV49,VALUE('Capacity summary'!AV168)),0),AV49*$BI49),AV49*$BI49),0)</f>
        <v>0</v>
      </c>
      <c r="CZ49" s="311">
        <f>IF($BI49&lt;&gt;"",IF('Capacity summary'!$D$14="Yes",IF(COUNTBLANK('Capacity summary'!$H168:$BG168)&lt;52,IF('Capacity summary'!AW168&lt;&gt;"",IF(LOWER('Capacity summary'!AW168)="x",$BI49*AW49,VALUE('Capacity summary'!AW168)),0),AW49*$BI49),AW49*$BI49),0)</f>
        <v>0</v>
      </c>
      <c r="DA49" s="311">
        <f>IF($BI49&lt;&gt;"",IF('Capacity summary'!$D$14="Yes",IF(COUNTBLANK('Capacity summary'!$H168:$BG168)&lt;52,IF('Capacity summary'!AX168&lt;&gt;"",IF(LOWER('Capacity summary'!AX168)="x",$BI49*AX49,VALUE('Capacity summary'!AX168)),0),AX49*$BI49),AX49*$BI49),0)</f>
        <v>0</v>
      </c>
      <c r="DB49" s="311">
        <f>IF($BI49&lt;&gt;"",IF('Capacity summary'!$D$14="Yes",IF(COUNTBLANK('Capacity summary'!$H168:$BG168)&lt;52,IF('Capacity summary'!AY168&lt;&gt;"",IF(LOWER('Capacity summary'!AY168)="x",$BI49*AY49,VALUE('Capacity summary'!AY168)),0),AY49*$BI49),AY49*$BI49),0)</f>
        <v>0</v>
      </c>
      <c r="DC49" s="311">
        <f>IF($BI49&lt;&gt;"",IF('Capacity summary'!$D$14="Yes",IF(COUNTBLANK('Capacity summary'!$H168:$BG168)&lt;52,IF('Capacity summary'!AZ168&lt;&gt;"",IF(LOWER('Capacity summary'!AZ168)="x",$BI49*AZ49,VALUE('Capacity summary'!AZ168)),0),AZ49*$BI49),AZ49*$BI49),0)</f>
        <v>0</v>
      </c>
      <c r="DD49" s="311">
        <f>IF($BI49&lt;&gt;"",IF('Capacity summary'!$D$14="Yes",IF(COUNTBLANK('Capacity summary'!$H168:$BG168)&lt;52,IF('Capacity summary'!BA168&lt;&gt;"",IF(LOWER('Capacity summary'!BA168)="x",$BI49*BA49,VALUE('Capacity summary'!BA168)),0),BA49*$BI49),BA49*$BI49),0)</f>
        <v>0</v>
      </c>
      <c r="DE49" s="311">
        <f>IF($BI49&lt;&gt;"",IF('Capacity summary'!$D$14="Yes",IF(COUNTBLANK('Capacity summary'!$H168:$BG168)&lt;52,IF('Capacity summary'!BB168&lt;&gt;"",IF(LOWER('Capacity summary'!BB168)="x",$BI49*BB49,VALUE('Capacity summary'!BB168)),0),BB49*$BI49),BB49*$BI49),0)</f>
        <v>0</v>
      </c>
      <c r="DF49" s="311">
        <f>IF($BI49&lt;&gt;"",IF('Capacity summary'!$D$14="Yes",IF(COUNTBLANK('Capacity summary'!$H168:$BG168)&lt;52,IF('Capacity summary'!BC168&lt;&gt;"",IF(LOWER('Capacity summary'!BC168)="x",$BI49*BC49,VALUE('Capacity summary'!BC168)),0),BC49*$BI49),BC49*$BI49),0)</f>
        <v>0</v>
      </c>
      <c r="DG49" s="311">
        <f>IF($BI49&lt;&gt;"",IF('Capacity summary'!$D$14="Yes",IF(COUNTBLANK('Capacity summary'!$H168:$BG168)&lt;52,IF('Capacity summary'!BD168&lt;&gt;"",IF(LOWER('Capacity summary'!BD168)="x",$BI49*BD49,VALUE('Capacity summary'!BD168)),0),BD49*$BI49),BD49*$BI49),0)</f>
        <v>0</v>
      </c>
      <c r="DH49" s="311">
        <f>IF($BI49&lt;&gt;"",IF('Capacity summary'!$D$14="Yes",IF(COUNTBLANK('Capacity summary'!$H168:$BG168)&lt;52,IF('Capacity summary'!BE168&lt;&gt;"",IF(LOWER('Capacity summary'!BE168)="x",$BI49*BE49,VALUE('Capacity summary'!BE168)),0),BE49*$BI49),BE49*$BI49),0)</f>
        <v>0</v>
      </c>
      <c r="DI49" s="311">
        <f>IF($BI49&lt;&gt;"",IF('Capacity summary'!$D$14="Yes",IF(COUNTBLANK('Capacity summary'!$H168:$BG168)&lt;52,IF('Capacity summary'!BF168&lt;&gt;"",IF(LOWER('Capacity summary'!BF168)="x",$BI49*BF49,VALUE('Capacity summary'!BF168)),0),BF49*$BI49),BF49*$BI49),0)</f>
        <v>0</v>
      </c>
      <c r="DJ49" s="311">
        <f>IF($BI49&lt;&gt;"",IF('Capacity summary'!$D$14="Yes",IF(COUNTBLANK('Capacity summary'!$H168:$BG168)&lt;52,IF('Capacity summary'!BG168&lt;&gt;"",IF(LOWER('Capacity summary'!BG168)="x",$BI49*BG49,VALUE('Capacity summary'!BG168)),0),BG49*$BI49),BG49*$BI49),0)</f>
        <v>0</v>
      </c>
      <c r="DK49" s="391">
        <f t="shared" si="2"/>
        <v>0</v>
      </c>
      <c r="DL49" s="136">
        <f t="shared" si="3"/>
        <v>0</v>
      </c>
      <c r="DM49" s="311" t="str">
        <f>Capacity!H61</f>
        <v/>
      </c>
      <c r="DQ49" s="5"/>
    </row>
    <row r="50" spans="1:121" x14ac:dyDescent="0.2">
      <c r="A50" s="67">
        <f>IF(Capacity!L62='Capacity summary'!BI169,1,0)</f>
        <v>1</v>
      </c>
      <c r="B50" s="67">
        <f>IF(Capacity!V62='Capacity summary'!BI69,1,0)</f>
        <v>1</v>
      </c>
      <c r="C50" s="67" t="str">
        <f>ROW(A46)&amp;". "&amp;Capacity!B62</f>
        <v xml:space="preserve">46. </v>
      </c>
      <c r="D50" s="67">
        <f>'Capacity setup'!C57</f>
        <v>0</v>
      </c>
      <c r="E50" s="67">
        <f>'Capacity setup'!D57</f>
        <v>0</v>
      </c>
      <c r="F50" s="67">
        <f>'Capacity setup'!E57</f>
        <v>0</v>
      </c>
      <c r="H50" s="67">
        <f ca="1">IF(LOWER(Capacity!$L62)="x",IF(AND(SUMIF(Capacity_Resource,$D50,'Critical resources (hide)'!U$6:U$105)+SUMIF(Capacity_Resource,$E50,'Critical resources (hide)'!U$6:U$105)+SUMIF(Capacity_Resource,$F50,'Critical resources (hide)'!U$6:U$105)&gt;0,$E$1=2),0,1),0)</f>
        <v>1</v>
      </c>
      <c r="I50" s="67">
        <f ca="1">IF(LOWER(Capacity!$L62)="x",IF(AND(SUMIF(Capacity_Resource,$D50,'Critical resources (hide)'!V$6:V$105)+SUMIF(Capacity_Resource,$E50,'Critical resources (hide)'!V$6:V$105)+SUMIF(Capacity_Resource,$F50,'Critical resources (hide)'!V$6:V$105)&gt;0,$E$1=2),0,1),0)</f>
        <v>1</v>
      </c>
      <c r="J50" s="67">
        <f ca="1">IF(LOWER(Capacity!$L62)="x",IF(AND(SUMIF(Capacity_Resource,$D50,'Critical resources (hide)'!W$6:W$105)+SUMIF(Capacity_Resource,$E50,'Critical resources (hide)'!W$6:W$105)+SUMIF(Capacity_Resource,$F50,'Critical resources (hide)'!W$6:W$105)&gt;0,$E$1=2),0,1),0)</f>
        <v>1</v>
      </c>
      <c r="K50" s="67">
        <f ca="1">IF(LOWER(Capacity!$L62)="x",IF(AND(SUMIF(Capacity_Resource,$D50,'Critical resources (hide)'!X$6:X$105)+SUMIF(Capacity_Resource,$E50,'Critical resources (hide)'!X$6:X$105)+SUMIF(Capacity_Resource,$F50,'Critical resources (hide)'!X$6:X$105)&gt;0,$E$1=2),0,1),0)</f>
        <v>1</v>
      </c>
      <c r="L50" s="67">
        <f ca="1">IF(LOWER(Capacity!$L62)="x",IF(AND(SUMIF(Capacity_Resource,$D50,'Critical resources (hide)'!Y$6:Y$105)+SUMIF(Capacity_Resource,$E50,'Critical resources (hide)'!Y$6:Y$105)+SUMIF(Capacity_Resource,$F50,'Critical resources (hide)'!Y$6:Y$105)&gt;0,$E$1=2),0,1),0)</f>
        <v>1</v>
      </c>
      <c r="M50" s="67">
        <f ca="1">IF(LOWER(Capacity!$L62)="x",IF(AND(SUMIF(Capacity_Resource,$D50,'Critical resources (hide)'!Z$6:Z$105)+SUMIF(Capacity_Resource,$E50,'Critical resources (hide)'!Z$6:Z$105)+SUMIF(Capacity_Resource,$F50,'Critical resources (hide)'!Z$6:Z$105)&gt;0,$E$1=2),0,1),0)</f>
        <v>1</v>
      </c>
      <c r="N50" s="67">
        <f ca="1">IF(LOWER(Capacity!$L62)="x",IF(AND(SUMIF(Capacity_Resource,$D50,'Critical resources (hide)'!AA$6:AA$105)+SUMIF(Capacity_Resource,$E50,'Critical resources (hide)'!AA$6:AA$105)+SUMIF(Capacity_Resource,$F50,'Critical resources (hide)'!AA$6:AA$105)&gt;0,$E$1=2),0,1),0)</f>
        <v>1</v>
      </c>
      <c r="O50" s="67">
        <f ca="1">IF(LOWER(Capacity!$L62)="x",IF(AND(SUMIF(Capacity_Resource,$D50,'Critical resources (hide)'!AB$6:AB$105)+SUMIF(Capacity_Resource,$E50,'Critical resources (hide)'!AB$6:AB$105)+SUMIF(Capacity_Resource,$F50,'Critical resources (hide)'!AB$6:AB$105)&gt;0,$E$1=2),0,1),0)</f>
        <v>1</v>
      </c>
      <c r="P50" s="67">
        <f ca="1">IF(LOWER(Capacity!$L62)="x",IF(AND(SUMIF(Capacity_Resource,$D50,'Critical resources (hide)'!AC$6:AC$105)+SUMIF(Capacity_Resource,$E50,'Critical resources (hide)'!AC$6:AC$105)+SUMIF(Capacity_Resource,$F50,'Critical resources (hide)'!AC$6:AC$105)&gt;0,$E$1=2),0,1),0)</f>
        <v>1</v>
      </c>
      <c r="Q50" s="67">
        <f ca="1">IF(LOWER(Capacity!$L62)="x",IF(AND(SUMIF(Capacity_Resource,$D50,'Critical resources (hide)'!AD$6:AD$105)+SUMIF(Capacity_Resource,$E50,'Critical resources (hide)'!AD$6:AD$105)+SUMIF(Capacity_Resource,$F50,'Critical resources (hide)'!AD$6:AD$105)&gt;0,$E$1=2),0,1),0)</f>
        <v>1</v>
      </c>
      <c r="R50" s="67">
        <f ca="1">IF(LOWER(Capacity!$L62)="x",IF(AND(SUMIF(Capacity_Resource,$D50,'Critical resources (hide)'!AE$6:AE$105)+SUMIF(Capacity_Resource,$E50,'Critical resources (hide)'!AE$6:AE$105)+SUMIF(Capacity_Resource,$F50,'Critical resources (hide)'!AE$6:AE$105)&gt;0,$E$1=2),0,1),0)</f>
        <v>1</v>
      </c>
      <c r="S50" s="67">
        <f ca="1">IF(LOWER(Capacity!$L62)="x",IF(AND(SUMIF(Capacity_Resource,$D50,'Critical resources (hide)'!AF$6:AF$105)+SUMIF(Capacity_Resource,$E50,'Critical resources (hide)'!AF$6:AF$105)+SUMIF(Capacity_Resource,$F50,'Critical resources (hide)'!AF$6:AF$105)&gt;0,$E$1=2),0,1),0)</f>
        <v>1</v>
      </c>
      <c r="T50" s="67">
        <f ca="1">IF(LOWER(Capacity!$L62)="x",IF(AND(SUMIF(Capacity_Resource,$D50,'Critical resources (hide)'!AG$6:AG$105)+SUMIF(Capacity_Resource,$E50,'Critical resources (hide)'!AG$6:AG$105)+SUMIF(Capacity_Resource,$F50,'Critical resources (hide)'!AG$6:AG$105)&gt;0,$E$1=2),0,1),0)</f>
        <v>1</v>
      </c>
      <c r="U50" s="67">
        <f ca="1">IF(LOWER(Capacity!$L62)="x",IF(AND(SUMIF(Capacity_Resource,$D50,'Critical resources (hide)'!AH$6:AH$105)+SUMIF(Capacity_Resource,$E50,'Critical resources (hide)'!AH$6:AH$105)+SUMIF(Capacity_Resource,$F50,'Critical resources (hide)'!AH$6:AH$105)&gt;0,$E$1=2),0,1),0)</f>
        <v>1</v>
      </c>
      <c r="V50" s="67">
        <f ca="1">IF(LOWER(Capacity!$L62)="x",IF(AND(SUMIF(Capacity_Resource,$D50,'Critical resources (hide)'!AI$6:AI$105)+SUMIF(Capacity_Resource,$E50,'Critical resources (hide)'!AI$6:AI$105)+SUMIF(Capacity_Resource,$F50,'Critical resources (hide)'!AI$6:AI$105)&gt;0,$E$1=2),0,1),0)</f>
        <v>1</v>
      </c>
      <c r="W50" s="67">
        <f ca="1">IF(LOWER(Capacity!$L62)="x",IF(AND(SUMIF(Capacity_Resource,$D50,'Critical resources (hide)'!AJ$6:AJ$105)+SUMIF(Capacity_Resource,$E50,'Critical resources (hide)'!AJ$6:AJ$105)+SUMIF(Capacity_Resource,$F50,'Critical resources (hide)'!AJ$6:AJ$105)&gt;0,$E$1=2),0,1),0)</f>
        <v>1</v>
      </c>
      <c r="X50" s="67">
        <f ca="1">IF(LOWER(Capacity!$L62)="x",IF(AND(SUMIF(Capacity_Resource,$D50,'Critical resources (hide)'!AK$6:AK$105)+SUMIF(Capacity_Resource,$E50,'Critical resources (hide)'!AK$6:AK$105)+SUMIF(Capacity_Resource,$F50,'Critical resources (hide)'!AK$6:AK$105)&gt;0,$E$1=2),0,1),0)</f>
        <v>1</v>
      </c>
      <c r="Y50" s="67">
        <f ca="1">IF(LOWER(Capacity!$L62)="x",IF(AND(SUMIF(Capacity_Resource,$D50,'Critical resources (hide)'!AL$6:AL$105)+SUMIF(Capacity_Resource,$E50,'Critical resources (hide)'!AL$6:AL$105)+SUMIF(Capacity_Resource,$F50,'Critical resources (hide)'!AL$6:AL$105)&gt;0,$E$1=2),0,1),0)</f>
        <v>1</v>
      </c>
      <c r="Z50" s="67">
        <f ca="1">IF(LOWER(Capacity!$L62)="x",IF(AND(SUMIF(Capacity_Resource,$D50,'Critical resources (hide)'!AM$6:AM$105)+SUMIF(Capacity_Resource,$E50,'Critical resources (hide)'!AM$6:AM$105)+SUMIF(Capacity_Resource,$F50,'Critical resources (hide)'!AM$6:AM$105)&gt;0,$E$1=2),0,1),0)</f>
        <v>1</v>
      </c>
      <c r="AA50" s="67">
        <f ca="1">IF(LOWER(Capacity!$L62)="x",IF(AND(SUMIF(Capacity_Resource,$D50,'Critical resources (hide)'!AN$6:AN$105)+SUMIF(Capacity_Resource,$E50,'Critical resources (hide)'!AN$6:AN$105)+SUMIF(Capacity_Resource,$F50,'Critical resources (hide)'!AN$6:AN$105)&gt;0,$E$1=2),0,1),0)</f>
        <v>1</v>
      </c>
      <c r="AB50" s="67">
        <f ca="1">IF(LOWER(Capacity!$L62)="x",IF(AND(SUMIF(Capacity_Resource,$D50,'Critical resources (hide)'!AO$6:AO$105)+SUMIF(Capacity_Resource,$E50,'Critical resources (hide)'!AO$6:AO$105)+SUMIF(Capacity_Resource,$F50,'Critical resources (hide)'!AO$6:AO$105)&gt;0,$E$1=2),0,1),0)</f>
        <v>1</v>
      </c>
      <c r="AC50" s="67">
        <f ca="1">IF(LOWER(Capacity!$L62)="x",IF(AND(SUMIF(Capacity_Resource,$D50,'Critical resources (hide)'!AP$6:AP$105)+SUMIF(Capacity_Resource,$E50,'Critical resources (hide)'!AP$6:AP$105)+SUMIF(Capacity_Resource,$F50,'Critical resources (hide)'!AP$6:AP$105)&gt;0,$E$1=2),0,1),0)</f>
        <v>1</v>
      </c>
      <c r="AD50" s="67">
        <f ca="1">IF(LOWER(Capacity!$L62)="x",IF(AND(SUMIF(Capacity_Resource,$D50,'Critical resources (hide)'!AQ$6:AQ$105)+SUMIF(Capacity_Resource,$E50,'Critical resources (hide)'!AQ$6:AQ$105)+SUMIF(Capacity_Resource,$F50,'Critical resources (hide)'!AQ$6:AQ$105)&gt;0,$E$1=2),0,1),0)</f>
        <v>1</v>
      </c>
      <c r="AE50" s="67">
        <f ca="1">IF(LOWER(Capacity!$L62)="x",IF(AND(SUMIF(Capacity_Resource,$D50,'Critical resources (hide)'!AR$6:AR$105)+SUMIF(Capacity_Resource,$E50,'Critical resources (hide)'!AR$6:AR$105)+SUMIF(Capacity_Resource,$F50,'Critical resources (hide)'!AR$6:AR$105)&gt;0,$E$1=2),0,1),0)</f>
        <v>1</v>
      </c>
      <c r="AF50" s="67">
        <f ca="1">IF(LOWER(Capacity!$L62)="x",IF(AND(SUMIF(Capacity_Resource,$D50,'Critical resources (hide)'!AS$6:AS$105)+SUMIF(Capacity_Resource,$E50,'Critical resources (hide)'!AS$6:AS$105)+SUMIF(Capacity_Resource,$F50,'Critical resources (hide)'!AS$6:AS$105)&gt;0,$E$1=2),0,1),0)</f>
        <v>1</v>
      </c>
      <c r="AG50" s="67">
        <f ca="1">IF(LOWER(Capacity!$L62)="x",IF(AND(SUMIF(Capacity_Resource,$D50,'Critical resources (hide)'!AT$6:AT$105)+SUMIF(Capacity_Resource,$E50,'Critical resources (hide)'!AT$6:AT$105)+SUMIF(Capacity_Resource,$F50,'Critical resources (hide)'!AT$6:AT$105)&gt;0,$E$1=2),0,1),0)</f>
        <v>1</v>
      </c>
      <c r="AH50" s="67">
        <f ca="1">IF(LOWER(Capacity!$L62)="x",IF(AND(SUMIF(Capacity_Resource,$D50,'Critical resources (hide)'!AU$6:AU$105)+SUMIF(Capacity_Resource,$E50,'Critical resources (hide)'!AU$6:AU$105)+SUMIF(Capacity_Resource,$F50,'Critical resources (hide)'!AU$6:AU$105)&gt;0,$E$1=2),0,1),0)</f>
        <v>1</v>
      </c>
      <c r="AI50" s="67">
        <f ca="1">IF(LOWER(Capacity!$L62)="x",IF(AND(SUMIF(Capacity_Resource,$D50,'Critical resources (hide)'!AV$6:AV$105)+SUMIF(Capacity_Resource,$E50,'Critical resources (hide)'!AV$6:AV$105)+SUMIF(Capacity_Resource,$F50,'Critical resources (hide)'!AV$6:AV$105)&gt;0,$E$1=2),0,1),0)</f>
        <v>1</v>
      </c>
      <c r="AJ50" s="67">
        <f ca="1">IF(LOWER(Capacity!$L62)="x",IF(AND(SUMIF(Capacity_Resource,$D50,'Critical resources (hide)'!AW$6:AW$105)+SUMIF(Capacity_Resource,$E50,'Critical resources (hide)'!AW$6:AW$105)+SUMIF(Capacity_Resource,$F50,'Critical resources (hide)'!AW$6:AW$105)&gt;0,$E$1=2),0,1),0)</f>
        <v>1</v>
      </c>
      <c r="AK50" s="67">
        <f ca="1">IF(LOWER(Capacity!$L62)="x",IF(AND(SUMIF(Capacity_Resource,$D50,'Critical resources (hide)'!AX$6:AX$105)+SUMIF(Capacity_Resource,$E50,'Critical resources (hide)'!AX$6:AX$105)+SUMIF(Capacity_Resource,$F50,'Critical resources (hide)'!AX$6:AX$105)&gt;0,$E$1=2),0,1),0)</f>
        <v>1</v>
      </c>
      <c r="AL50" s="67">
        <f ca="1">IF(LOWER(Capacity!$L62)="x",IF(AND(SUMIF(Capacity_Resource,$D50,'Critical resources (hide)'!AY$6:AY$105)+SUMIF(Capacity_Resource,$E50,'Critical resources (hide)'!AY$6:AY$105)+SUMIF(Capacity_Resource,$F50,'Critical resources (hide)'!AY$6:AY$105)&gt;0,$E$1=2),0,1),0)</f>
        <v>1</v>
      </c>
      <c r="AM50" s="67">
        <f ca="1">IF(LOWER(Capacity!$L62)="x",IF(AND(SUMIF(Capacity_Resource,$D50,'Critical resources (hide)'!AZ$6:AZ$105)+SUMIF(Capacity_Resource,$E50,'Critical resources (hide)'!AZ$6:AZ$105)+SUMIF(Capacity_Resource,$F50,'Critical resources (hide)'!AZ$6:AZ$105)&gt;0,$E$1=2),0,1),0)</f>
        <v>1</v>
      </c>
      <c r="AN50" s="67">
        <f ca="1">IF(LOWER(Capacity!$L62)="x",IF(AND(SUMIF(Capacity_Resource,$D50,'Critical resources (hide)'!BA$6:BA$105)+SUMIF(Capacity_Resource,$E50,'Critical resources (hide)'!BA$6:BA$105)+SUMIF(Capacity_Resource,$F50,'Critical resources (hide)'!BA$6:BA$105)&gt;0,$E$1=2),0,1),0)</f>
        <v>1</v>
      </c>
      <c r="AO50" s="67">
        <f ca="1">IF(LOWER(Capacity!$L62)="x",IF(AND(SUMIF(Capacity_Resource,$D50,'Critical resources (hide)'!BB$6:BB$105)+SUMIF(Capacity_Resource,$E50,'Critical resources (hide)'!BB$6:BB$105)+SUMIF(Capacity_Resource,$F50,'Critical resources (hide)'!BB$6:BB$105)&gt;0,$E$1=2),0,1),0)</f>
        <v>1</v>
      </c>
      <c r="AP50" s="67">
        <f ca="1">IF(LOWER(Capacity!$L62)="x",IF(AND(SUMIF(Capacity_Resource,$D50,'Critical resources (hide)'!BC$6:BC$105)+SUMIF(Capacity_Resource,$E50,'Critical resources (hide)'!BC$6:BC$105)+SUMIF(Capacity_Resource,$F50,'Critical resources (hide)'!BC$6:BC$105)&gt;0,$E$1=2),0,1),0)</f>
        <v>1</v>
      </c>
      <c r="AQ50" s="67">
        <f ca="1">IF(LOWER(Capacity!$L62)="x",IF(AND(SUMIF(Capacity_Resource,$D50,'Critical resources (hide)'!BD$6:BD$105)+SUMIF(Capacity_Resource,$E50,'Critical resources (hide)'!BD$6:BD$105)+SUMIF(Capacity_Resource,$F50,'Critical resources (hide)'!BD$6:BD$105)&gt;0,$E$1=2),0,1),0)</f>
        <v>1</v>
      </c>
      <c r="AR50" s="67">
        <f ca="1">IF(LOWER(Capacity!$L62)="x",IF(AND(SUMIF(Capacity_Resource,$D50,'Critical resources (hide)'!BE$6:BE$105)+SUMIF(Capacity_Resource,$E50,'Critical resources (hide)'!BE$6:BE$105)+SUMIF(Capacity_Resource,$F50,'Critical resources (hide)'!BE$6:BE$105)&gt;0,$E$1=2),0,1),0)</f>
        <v>1</v>
      </c>
      <c r="AS50" s="67">
        <f ca="1">IF(LOWER(Capacity!$L62)="x",IF(AND(SUMIF(Capacity_Resource,$D50,'Critical resources (hide)'!BF$6:BF$105)+SUMIF(Capacity_Resource,$E50,'Critical resources (hide)'!BF$6:BF$105)+SUMIF(Capacity_Resource,$F50,'Critical resources (hide)'!BF$6:BF$105)&gt;0,$E$1=2),0,1),0)</f>
        <v>1</v>
      </c>
      <c r="AT50" s="67">
        <f ca="1">IF(LOWER(Capacity!$L62)="x",IF(AND(SUMIF(Capacity_Resource,$D50,'Critical resources (hide)'!BG$6:BG$105)+SUMIF(Capacity_Resource,$E50,'Critical resources (hide)'!BG$6:BG$105)+SUMIF(Capacity_Resource,$F50,'Critical resources (hide)'!BG$6:BG$105)&gt;0,$E$1=2),0,1),0)</f>
        <v>1</v>
      </c>
      <c r="AU50" s="67">
        <f ca="1">IF(LOWER(Capacity!$L62)="x",IF(AND(SUMIF(Capacity_Resource,$D50,'Critical resources (hide)'!BH$6:BH$105)+SUMIF(Capacity_Resource,$E50,'Critical resources (hide)'!BH$6:BH$105)+SUMIF(Capacity_Resource,$F50,'Critical resources (hide)'!BH$6:BH$105)&gt;0,$E$1=2),0,1),0)</f>
        <v>1</v>
      </c>
      <c r="AV50" s="67">
        <f ca="1">IF(LOWER(Capacity!$L62)="x",IF(AND(SUMIF(Capacity_Resource,$D50,'Critical resources (hide)'!BI$6:BI$105)+SUMIF(Capacity_Resource,$E50,'Critical resources (hide)'!BI$6:BI$105)+SUMIF(Capacity_Resource,$F50,'Critical resources (hide)'!BI$6:BI$105)&gt;0,$E$1=2),0,1),0)</f>
        <v>1</v>
      </c>
      <c r="AW50" s="67">
        <f ca="1">IF(LOWER(Capacity!$L62)="x",IF(AND(SUMIF(Capacity_Resource,$D50,'Critical resources (hide)'!BJ$6:BJ$105)+SUMIF(Capacity_Resource,$E50,'Critical resources (hide)'!BJ$6:BJ$105)+SUMIF(Capacity_Resource,$F50,'Critical resources (hide)'!BJ$6:BJ$105)&gt;0,$E$1=2),0,1),0)</f>
        <v>1</v>
      </c>
      <c r="AX50" s="67">
        <f ca="1">IF(LOWER(Capacity!$L62)="x",IF(AND(SUMIF(Capacity_Resource,$D50,'Critical resources (hide)'!BK$6:BK$105)+SUMIF(Capacity_Resource,$E50,'Critical resources (hide)'!BK$6:BK$105)+SUMIF(Capacity_Resource,$F50,'Critical resources (hide)'!BK$6:BK$105)&gt;0,$E$1=2),0,1),0)</f>
        <v>1</v>
      </c>
      <c r="AY50" s="67">
        <f ca="1">IF(LOWER(Capacity!$L62)="x",IF(AND(SUMIF(Capacity_Resource,$D50,'Critical resources (hide)'!BL$6:BL$105)+SUMIF(Capacity_Resource,$E50,'Critical resources (hide)'!BL$6:BL$105)+SUMIF(Capacity_Resource,$F50,'Critical resources (hide)'!BL$6:BL$105)&gt;0,$E$1=2),0,1),0)</f>
        <v>1</v>
      </c>
      <c r="AZ50" s="67">
        <f ca="1">IF(LOWER(Capacity!$L62)="x",IF(AND(SUMIF(Capacity_Resource,$D50,'Critical resources (hide)'!BM$6:BM$105)+SUMIF(Capacity_Resource,$E50,'Critical resources (hide)'!BM$6:BM$105)+SUMIF(Capacity_Resource,$F50,'Critical resources (hide)'!BM$6:BM$105)&gt;0,$E$1=2),0,1),0)</f>
        <v>1</v>
      </c>
      <c r="BA50" s="67">
        <f ca="1">IF(LOWER(Capacity!$L62)="x",IF(AND(SUMIF(Capacity_Resource,$D50,'Critical resources (hide)'!BN$6:BN$105)+SUMIF(Capacity_Resource,$E50,'Critical resources (hide)'!BN$6:BN$105)+SUMIF(Capacity_Resource,$F50,'Critical resources (hide)'!BN$6:BN$105)&gt;0,$E$1=2),0,1),0)</f>
        <v>1</v>
      </c>
      <c r="BB50" s="67">
        <f ca="1">IF(LOWER(Capacity!$L62)="x",IF(AND(SUMIF(Capacity_Resource,$D50,'Critical resources (hide)'!BO$6:BO$105)+SUMIF(Capacity_Resource,$E50,'Critical resources (hide)'!BO$6:BO$105)+SUMIF(Capacity_Resource,$F50,'Critical resources (hide)'!BO$6:BO$105)&gt;0,$E$1=2),0,1),0)</f>
        <v>1</v>
      </c>
      <c r="BC50" s="67">
        <f ca="1">IF(LOWER(Capacity!$L62)="x",IF(AND(SUMIF(Capacity_Resource,$D50,'Critical resources (hide)'!BP$6:BP$105)+SUMIF(Capacity_Resource,$E50,'Critical resources (hide)'!BP$6:BP$105)+SUMIF(Capacity_Resource,$F50,'Critical resources (hide)'!BP$6:BP$105)&gt;0,$E$1=2),0,1),0)</f>
        <v>1</v>
      </c>
      <c r="BD50" s="67">
        <f ca="1">IF(LOWER(Capacity!$L62)="x",IF(AND(SUMIF(Capacity_Resource,$D50,'Critical resources (hide)'!BQ$6:BQ$105)+SUMIF(Capacity_Resource,$E50,'Critical resources (hide)'!BQ$6:BQ$105)+SUMIF(Capacity_Resource,$F50,'Critical resources (hide)'!BQ$6:BQ$105)&gt;0,$E$1=2),0,1),0)</f>
        <v>1</v>
      </c>
      <c r="BE50" s="67">
        <f ca="1">IF(LOWER(Capacity!$L62)="x",IF(AND(SUMIF(Capacity_Resource,$D50,'Critical resources (hide)'!BR$6:BR$105)+SUMIF(Capacity_Resource,$E50,'Critical resources (hide)'!BR$6:BR$105)+SUMIF(Capacity_Resource,$F50,'Critical resources (hide)'!BR$6:BR$105)&gt;0,$E$1=2),0,1),0)</f>
        <v>1</v>
      </c>
      <c r="BF50" s="67">
        <f ca="1">IF(LOWER(Capacity!$L62)="x",IF(AND(SUMIF(Capacity_Resource,$D50,'Critical resources (hide)'!BS$6:BS$105)+SUMIF(Capacity_Resource,$E50,'Critical resources (hide)'!BS$6:BS$105)+SUMIF(Capacity_Resource,$F50,'Critical resources (hide)'!BS$6:BS$105)&gt;0,$E$1=2),0,1),0)</f>
        <v>1</v>
      </c>
      <c r="BG50" s="67">
        <f ca="1">IF(LOWER(Capacity!$L62)="x",IF(AND(SUMIF(Capacity_Resource,$D50,'Critical resources (hide)'!BT$6:BT$105)+SUMIF(Capacity_Resource,$E50,'Critical resources (hide)'!BT$6:BT$105)+SUMIF(Capacity_Resource,$F50,'Critical resources (hide)'!BT$6:BT$105)&gt;0,$E$1=2),0,1),0)</f>
        <v>1</v>
      </c>
      <c r="BH50" s="67">
        <f>IF(ROW(C46)&lt;=Capacity!$A$16,IF('Capacity summary'!$D$14="No",SUM(H50:BG50),'Capacity summary'!$E169),0)</f>
        <v>0</v>
      </c>
      <c r="BI50" s="5" t="str">
        <f>IF(BH50&gt;0,IF(BH50&lt;Capacity!E62,Capacity!F62,Capacity!H62/'Capacity calculation (hide)'!BH50),"")</f>
        <v/>
      </c>
      <c r="BK50" s="311">
        <f>IF($BI50&lt;&gt;"",IF('Capacity summary'!$D$14="Yes",IF(COUNTBLANK('Capacity summary'!$H169:$BG169)&lt;52,IF('Capacity summary'!H169&lt;&gt;"",IF(LOWER('Capacity summary'!H169)="x",$BI50*H50,VALUE('Capacity summary'!H169)),0),H50*$BI50),H50*$BI50),0)</f>
        <v>0</v>
      </c>
      <c r="BL50" s="311">
        <f>IF($BI50&lt;&gt;"",IF('Capacity summary'!$D$14="Yes",IF(COUNTBLANK('Capacity summary'!$H169:$BG169)&lt;52,IF('Capacity summary'!I169&lt;&gt;"",IF(LOWER('Capacity summary'!I169)="x",$BI50*I50,VALUE('Capacity summary'!I169)),0),I50*$BI50),I50*$BI50),0)</f>
        <v>0</v>
      </c>
      <c r="BM50" s="311">
        <f>IF($BI50&lt;&gt;"",IF('Capacity summary'!$D$14="Yes",IF(COUNTBLANK('Capacity summary'!$H169:$BG169)&lt;52,IF('Capacity summary'!J169&lt;&gt;"",IF(LOWER('Capacity summary'!J169)="x",$BI50*J50,VALUE('Capacity summary'!J169)),0),J50*$BI50),J50*$BI50),0)</f>
        <v>0</v>
      </c>
      <c r="BN50" s="311">
        <f>IF($BI50&lt;&gt;"",IF('Capacity summary'!$D$14="Yes",IF(COUNTBLANK('Capacity summary'!$H169:$BG169)&lt;52,IF('Capacity summary'!K169&lt;&gt;"",IF(LOWER('Capacity summary'!K169)="x",$BI50*K50,VALUE('Capacity summary'!K169)),0),K50*$BI50),K50*$BI50),0)</f>
        <v>0</v>
      </c>
      <c r="BO50" s="311">
        <f>IF($BI50&lt;&gt;"",IF('Capacity summary'!$D$14="Yes",IF(COUNTBLANK('Capacity summary'!$H169:$BG169)&lt;52,IF('Capacity summary'!L169&lt;&gt;"",IF(LOWER('Capacity summary'!L169)="x",$BI50*L50,VALUE('Capacity summary'!L169)),0),L50*$BI50),L50*$BI50),0)</f>
        <v>0</v>
      </c>
      <c r="BP50" s="311">
        <f>IF($BI50&lt;&gt;"",IF('Capacity summary'!$D$14="Yes",IF(COUNTBLANK('Capacity summary'!$H169:$BG169)&lt;52,IF('Capacity summary'!M169&lt;&gt;"",IF(LOWER('Capacity summary'!M169)="x",$BI50*M50,VALUE('Capacity summary'!M169)),0),M50*$BI50),M50*$BI50),0)</f>
        <v>0</v>
      </c>
      <c r="BQ50" s="311">
        <f>IF($BI50&lt;&gt;"",IF('Capacity summary'!$D$14="Yes",IF(COUNTBLANK('Capacity summary'!$H169:$BG169)&lt;52,IF('Capacity summary'!N169&lt;&gt;"",IF(LOWER('Capacity summary'!N169)="x",$BI50*N50,VALUE('Capacity summary'!N169)),0),N50*$BI50),N50*$BI50),0)</f>
        <v>0</v>
      </c>
      <c r="BR50" s="311">
        <f>IF($BI50&lt;&gt;"",IF('Capacity summary'!$D$14="Yes",IF(COUNTBLANK('Capacity summary'!$H169:$BG169)&lt;52,IF('Capacity summary'!O169&lt;&gt;"",IF(LOWER('Capacity summary'!O169)="x",$BI50*O50,VALUE('Capacity summary'!O169)),0),O50*$BI50),O50*$BI50),0)</f>
        <v>0</v>
      </c>
      <c r="BS50" s="311">
        <f>IF($BI50&lt;&gt;"",IF('Capacity summary'!$D$14="Yes",IF(COUNTBLANK('Capacity summary'!$H169:$BG169)&lt;52,IF('Capacity summary'!P169&lt;&gt;"",IF(LOWER('Capacity summary'!P169)="x",$BI50*P50,VALUE('Capacity summary'!P169)),0),P50*$BI50),P50*$BI50),0)</f>
        <v>0</v>
      </c>
      <c r="BT50" s="311">
        <f>IF($BI50&lt;&gt;"",IF('Capacity summary'!$D$14="Yes",IF(COUNTBLANK('Capacity summary'!$H169:$BG169)&lt;52,IF('Capacity summary'!Q169&lt;&gt;"",IF(LOWER('Capacity summary'!Q169)="x",$BI50*Q50,VALUE('Capacity summary'!Q169)),0),Q50*$BI50),Q50*$BI50),0)</f>
        <v>0</v>
      </c>
      <c r="BU50" s="311">
        <f>IF($BI50&lt;&gt;"",IF('Capacity summary'!$D$14="Yes",IF(COUNTBLANK('Capacity summary'!$H169:$BG169)&lt;52,IF('Capacity summary'!R169&lt;&gt;"",IF(LOWER('Capacity summary'!R169)="x",$BI50*R50,VALUE('Capacity summary'!R169)),0),R50*$BI50),R50*$BI50),0)</f>
        <v>0</v>
      </c>
      <c r="BV50" s="311">
        <f>IF($BI50&lt;&gt;"",IF('Capacity summary'!$D$14="Yes",IF(COUNTBLANK('Capacity summary'!$H169:$BG169)&lt;52,IF('Capacity summary'!S169&lt;&gt;"",IF(LOWER('Capacity summary'!S169)="x",$BI50*S50,VALUE('Capacity summary'!S169)),0),S50*$BI50),S50*$BI50),0)</f>
        <v>0</v>
      </c>
      <c r="BW50" s="311">
        <f>IF($BI50&lt;&gt;"",IF('Capacity summary'!$D$14="Yes",IF(COUNTBLANK('Capacity summary'!$H169:$BG169)&lt;52,IF('Capacity summary'!T169&lt;&gt;"",IF(LOWER('Capacity summary'!T169)="x",$BI50*T50,VALUE('Capacity summary'!T169)),0),T50*$BI50),T50*$BI50),0)</f>
        <v>0</v>
      </c>
      <c r="BX50" s="311">
        <f>IF($BI50&lt;&gt;"",IF('Capacity summary'!$D$14="Yes",IF(COUNTBLANK('Capacity summary'!$H169:$BG169)&lt;52,IF('Capacity summary'!U169&lt;&gt;"",IF(LOWER('Capacity summary'!U169)="x",$BI50*U50,VALUE('Capacity summary'!U169)),0),U50*$BI50),U50*$BI50),0)</f>
        <v>0</v>
      </c>
      <c r="BY50" s="311">
        <f>IF($BI50&lt;&gt;"",IF('Capacity summary'!$D$14="Yes",IF(COUNTBLANK('Capacity summary'!$H169:$BG169)&lt;52,IF('Capacity summary'!V169&lt;&gt;"",IF(LOWER('Capacity summary'!V169)="x",$BI50*V50,VALUE('Capacity summary'!V169)),0),V50*$BI50),V50*$BI50),0)</f>
        <v>0</v>
      </c>
      <c r="BZ50" s="311">
        <f>IF($BI50&lt;&gt;"",IF('Capacity summary'!$D$14="Yes",IF(COUNTBLANK('Capacity summary'!$H169:$BG169)&lt;52,IF('Capacity summary'!W169&lt;&gt;"",IF(LOWER('Capacity summary'!W169)="x",$BI50*W50,VALUE('Capacity summary'!W169)),0),W50*$BI50),W50*$BI50),0)</f>
        <v>0</v>
      </c>
      <c r="CA50" s="311">
        <f>IF($BI50&lt;&gt;"",IF('Capacity summary'!$D$14="Yes",IF(COUNTBLANK('Capacity summary'!$H169:$BG169)&lt;52,IF('Capacity summary'!X169&lt;&gt;"",IF(LOWER('Capacity summary'!X169)="x",$BI50*X50,VALUE('Capacity summary'!X169)),0),X50*$BI50),X50*$BI50),0)</f>
        <v>0</v>
      </c>
      <c r="CB50" s="311">
        <f>IF($BI50&lt;&gt;"",IF('Capacity summary'!$D$14="Yes",IF(COUNTBLANK('Capacity summary'!$H169:$BG169)&lt;52,IF('Capacity summary'!Y169&lt;&gt;"",IF(LOWER('Capacity summary'!Y169)="x",$BI50*Y50,VALUE('Capacity summary'!Y169)),0),Y50*$BI50),Y50*$BI50),0)</f>
        <v>0</v>
      </c>
      <c r="CC50" s="311">
        <f>IF($BI50&lt;&gt;"",IF('Capacity summary'!$D$14="Yes",IF(COUNTBLANK('Capacity summary'!$H169:$BG169)&lt;52,IF('Capacity summary'!Z169&lt;&gt;"",IF(LOWER('Capacity summary'!Z169)="x",$BI50*Z50,VALUE('Capacity summary'!Z169)),0),Z50*$BI50),Z50*$BI50),0)</f>
        <v>0</v>
      </c>
      <c r="CD50" s="311">
        <f>IF($BI50&lt;&gt;"",IF('Capacity summary'!$D$14="Yes",IF(COUNTBLANK('Capacity summary'!$H169:$BG169)&lt;52,IF('Capacity summary'!AA169&lt;&gt;"",IF(LOWER('Capacity summary'!AA169)="x",$BI50*AA50,VALUE('Capacity summary'!AA169)),0),AA50*$BI50),AA50*$BI50),0)</f>
        <v>0</v>
      </c>
      <c r="CE50" s="311">
        <f>IF($BI50&lt;&gt;"",IF('Capacity summary'!$D$14="Yes",IF(COUNTBLANK('Capacity summary'!$H169:$BG169)&lt;52,IF('Capacity summary'!AB169&lt;&gt;"",IF(LOWER('Capacity summary'!AB169)="x",$BI50*AB50,VALUE('Capacity summary'!AB169)),0),AB50*$BI50),AB50*$BI50),0)</f>
        <v>0</v>
      </c>
      <c r="CF50" s="311">
        <f>IF($BI50&lt;&gt;"",IF('Capacity summary'!$D$14="Yes",IF(COUNTBLANK('Capacity summary'!$H169:$BG169)&lt;52,IF('Capacity summary'!AC169&lt;&gt;"",IF(LOWER('Capacity summary'!AC169)="x",$BI50*AC50,VALUE('Capacity summary'!AC169)),0),AC50*$BI50),AC50*$BI50),0)</f>
        <v>0</v>
      </c>
      <c r="CG50" s="311">
        <f>IF($BI50&lt;&gt;"",IF('Capacity summary'!$D$14="Yes",IF(COUNTBLANK('Capacity summary'!$H169:$BG169)&lt;52,IF('Capacity summary'!AD169&lt;&gt;"",IF(LOWER('Capacity summary'!AD169)="x",$BI50*AD50,VALUE('Capacity summary'!AD169)),0),AD50*$BI50),AD50*$BI50),0)</f>
        <v>0</v>
      </c>
      <c r="CH50" s="311">
        <f>IF($BI50&lt;&gt;"",IF('Capacity summary'!$D$14="Yes",IF(COUNTBLANK('Capacity summary'!$H169:$BG169)&lt;52,IF('Capacity summary'!AE169&lt;&gt;"",IF(LOWER('Capacity summary'!AE169)="x",$BI50*AE50,VALUE('Capacity summary'!AE169)),0),AE50*$BI50),AE50*$BI50),0)</f>
        <v>0</v>
      </c>
      <c r="CI50" s="311">
        <f>IF($BI50&lt;&gt;"",IF('Capacity summary'!$D$14="Yes",IF(COUNTBLANK('Capacity summary'!$H169:$BG169)&lt;52,IF('Capacity summary'!AF169&lt;&gt;"",IF(LOWER('Capacity summary'!AF169)="x",$BI50*AF50,VALUE('Capacity summary'!AF169)),0),AF50*$BI50),AF50*$BI50),0)</f>
        <v>0</v>
      </c>
      <c r="CJ50" s="311">
        <f>IF($BI50&lt;&gt;"",IF('Capacity summary'!$D$14="Yes",IF(COUNTBLANK('Capacity summary'!$H169:$BG169)&lt;52,IF('Capacity summary'!AG169&lt;&gt;"",IF(LOWER('Capacity summary'!AG169)="x",$BI50*AG50,VALUE('Capacity summary'!AG169)),0),AG50*$BI50),AG50*$BI50),0)</f>
        <v>0</v>
      </c>
      <c r="CK50" s="311">
        <f>IF($BI50&lt;&gt;"",IF('Capacity summary'!$D$14="Yes",IF(COUNTBLANK('Capacity summary'!$H169:$BG169)&lt;52,IF('Capacity summary'!AH169&lt;&gt;"",IF(LOWER('Capacity summary'!AH169)="x",$BI50*AH50,VALUE('Capacity summary'!AH169)),0),AH50*$BI50),AH50*$BI50),0)</f>
        <v>0</v>
      </c>
      <c r="CL50" s="311">
        <f>IF($BI50&lt;&gt;"",IF('Capacity summary'!$D$14="Yes",IF(COUNTBLANK('Capacity summary'!$H169:$BG169)&lt;52,IF('Capacity summary'!AI169&lt;&gt;"",IF(LOWER('Capacity summary'!AI169)="x",$BI50*AI50,VALUE('Capacity summary'!AI169)),0),AI50*$BI50),AI50*$BI50),0)</f>
        <v>0</v>
      </c>
      <c r="CM50" s="311">
        <f>IF($BI50&lt;&gt;"",IF('Capacity summary'!$D$14="Yes",IF(COUNTBLANK('Capacity summary'!$H169:$BG169)&lt;52,IF('Capacity summary'!AJ169&lt;&gt;"",IF(LOWER('Capacity summary'!AJ169)="x",$BI50*AJ50,VALUE('Capacity summary'!AJ169)),0),AJ50*$BI50),AJ50*$BI50),0)</f>
        <v>0</v>
      </c>
      <c r="CN50" s="311">
        <f>IF($BI50&lt;&gt;"",IF('Capacity summary'!$D$14="Yes",IF(COUNTBLANK('Capacity summary'!$H169:$BG169)&lt;52,IF('Capacity summary'!AK169&lt;&gt;"",IF(LOWER('Capacity summary'!AK169)="x",$BI50*AK50,VALUE('Capacity summary'!AK169)),0),AK50*$BI50),AK50*$BI50),0)</f>
        <v>0</v>
      </c>
      <c r="CO50" s="311">
        <f>IF($BI50&lt;&gt;"",IF('Capacity summary'!$D$14="Yes",IF(COUNTBLANK('Capacity summary'!$H169:$BG169)&lt;52,IF('Capacity summary'!AL169&lt;&gt;"",IF(LOWER('Capacity summary'!AL169)="x",$BI50*AL50,VALUE('Capacity summary'!AL169)),0),AL50*$BI50),AL50*$BI50),0)</f>
        <v>0</v>
      </c>
      <c r="CP50" s="311">
        <f>IF($BI50&lt;&gt;"",IF('Capacity summary'!$D$14="Yes",IF(COUNTBLANK('Capacity summary'!$H169:$BG169)&lt;52,IF('Capacity summary'!AM169&lt;&gt;"",IF(LOWER('Capacity summary'!AM169)="x",$BI50*AM50,VALUE('Capacity summary'!AM169)),0),AM50*$BI50),AM50*$BI50),0)</f>
        <v>0</v>
      </c>
      <c r="CQ50" s="311">
        <f>IF($BI50&lt;&gt;"",IF('Capacity summary'!$D$14="Yes",IF(COUNTBLANK('Capacity summary'!$H169:$BG169)&lt;52,IF('Capacity summary'!AN169&lt;&gt;"",IF(LOWER('Capacity summary'!AN169)="x",$BI50*AN50,VALUE('Capacity summary'!AN169)),0),AN50*$BI50),AN50*$BI50),0)</f>
        <v>0</v>
      </c>
      <c r="CR50" s="311">
        <f>IF($BI50&lt;&gt;"",IF('Capacity summary'!$D$14="Yes",IF(COUNTBLANK('Capacity summary'!$H169:$BG169)&lt;52,IF('Capacity summary'!AO169&lt;&gt;"",IF(LOWER('Capacity summary'!AO169)="x",$BI50*AO50,VALUE('Capacity summary'!AO169)),0),AO50*$BI50),AO50*$BI50),0)</f>
        <v>0</v>
      </c>
      <c r="CS50" s="311">
        <f>IF($BI50&lt;&gt;"",IF('Capacity summary'!$D$14="Yes",IF(COUNTBLANK('Capacity summary'!$H169:$BG169)&lt;52,IF('Capacity summary'!AP169&lt;&gt;"",IF(LOWER('Capacity summary'!AP169)="x",$BI50*AP50,VALUE('Capacity summary'!AP169)),0),AP50*$BI50),AP50*$BI50),0)</f>
        <v>0</v>
      </c>
      <c r="CT50" s="311">
        <f>IF($BI50&lt;&gt;"",IF('Capacity summary'!$D$14="Yes",IF(COUNTBLANK('Capacity summary'!$H169:$BG169)&lt;52,IF('Capacity summary'!AQ169&lt;&gt;"",IF(LOWER('Capacity summary'!AQ169)="x",$BI50*AQ50,VALUE('Capacity summary'!AQ169)),0),AQ50*$BI50),AQ50*$BI50),0)</f>
        <v>0</v>
      </c>
      <c r="CU50" s="311">
        <f>IF($BI50&lt;&gt;"",IF('Capacity summary'!$D$14="Yes",IF(COUNTBLANK('Capacity summary'!$H169:$BG169)&lt;52,IF('Capacity summary'!AR169&lt;&gt;"",IF(LOWER('Capacity summary'!AR169)="x",$BI50*AR50,VALUE('Capacity summary'!AR169)),0),AR50*$BI50),AR50*$BI50),0)</f>
        <v>0</v>
      </c>
      <c r="CV50" s="311">
        <f>IF($BI50&lt;&gt;"",IF('Capacity summary'!$D$14="Yes",IF(COUNTBLANK('Capacity summary'!$H169:$BG169)&lt;52,IF('Capacity summary'!AS169&lt;&gt;"",IF(LOWER('Capacity summary'!AS169)="x",$BI50*AS50,VALUE('Capacity summary'!AS169)),0),AS50*$BI50),AS50*$BI50),0)</f>
        <v>0</v>
      </c>
      <c r="CW50" s="311">
        <f>IF($BI50&lt;&gt;"",IF('Capacity summary'!$D$14="Yes",IF(COUNTBLANK('Capacity summary'!$H169:$BG169)&lt;52,IF('Capacity summary'!AT169&lt;&gt;"",IF(LOWER('Capacity summary'!AT169)="x",$BI50*AT50,VALUE('Capacity summary'!AT169)),0),AT50*$BI50),AT50*$BI50),0)</f>
        <v>0</v>
      </c>
      <c r="CX50" s="311">
        <f>IF($BI50&lt;&gt;"",IF('Capacity summary'!$D$14="Yes",IF(COUNTBLANK('Capacity summary'!$H169:$BG169)&lt;52,IF('Capacity summary'!AU169&lt;&gt;"",IF(LOWER('Capacity summary'!AU169)="x",$BI50*AU50,VALUE('Capacity summary'!AU169)),0),AU50*$BI50),AU50*$BI50),0)</f>
        <v>0</v>
      </c>
      <c r="CY50" s="311">
        <f>IF($BI50&lt;&gt;"",IF('Capacity summary'!$D$14="Yes",IF(COUNTBLANK('Capacity summary'!$H169:$BG169)&lt;52,IF('Capacity summary'!AV169&lt;&gt;"",IF(LOWER('Capacity summary'!AV169)="x",$BI50*AV50,VALUE('Capacity summary'!AV169)),0),AV50*$BI50),AV50*$BI50),0)</f>
        <v>0</v>
      </c>
      <c r="CZ50" s="311">
        <f>IF($BI50&lt;&gt;"",IF('Capacity summary'!$D$14="Yes",IF(COUNTBLANK('Capacity summary'!$H169:$BG169)&lt;52,IF('Capacity summary'!AW169&lt;&gt;"",IF(LOWER('Capacity summary'!AW169)="x",$BI50*AW50,VALUE('Capacity summary'!AW169)),0),AW50*$BI50),AW50*$BI50),0)</f>
        <v>0</v>
      </c>
      <c r="DA50" s="311">
        <f>IF($BI50&lt;&gt;"",IF('Capacity summary'!$D$14="Yes",IF(COUNTBLANK('Capacity summary'!$H169:$BG169)&lt;52,IF('Capacity summary'!AX169&lt;&gt;"",IF(LOWER('Capacity summary'!AX169)="x",$BI50*AX50,VALUE('Capacity summary'!AX169)),0),AX50*$BI50),AX50*$BI50),0)</f>
        <v>0</v>
      </c>
      <c r="DB50" s="311">
        <f>IF($BI50&lt;&gt;"",IF('Capacity summary'!$D$14="Yes",IF(COUNTBLANK('Capacity summary'!$H169:$BG169)&lt;52,IF('Capacity summary'!AY169&lt;&gt;"",IF(LOWER('Capacity summary'!AY169)="x",$BI50*AY50,VALUE('Capacity summary'!AY169)),0),AY50*$BI50),AY50*$BI50),0)</f>
        <v>0</v>
      </c>
      <c r="DC50" s="311">
        <f>IF($BI50&lt;&gt;"",IF('Capacity summary'!$D$14="Yes",IF(COUNTBLANK('Capacity summary'!$H169:$BG169)&lt;52,IF('Capacity summary'!AZ169&lt;&gt;"",IF(LOWER('Capacity summary'!AZ169)="x",$BI50*AZ50,VALUE('Capacity summary'!AZ169)),0),AZ50*$BI50),AZ50*$BI50),0)</f>
        <v>0</v>
      </c>
      <c r="DD50" s="311">
        <f>IF($BI50&lt;&gt;"",IF('Capacity summary'!$D$14="Yes",IF(COUNTBLANK('Capacity summary'!$H169:$BG169)&lt;52,IF('Capacity summary'!BA169&lt;&gt;"",IF(LOWER('Capacity summary'!BA169)="x",$BI50*BA50,VALUE('Capacity summary'!BA169)),0),BA50*$BI50),BA50*$BI50),0)</f>
        <v>0</v>
      </c>
      <c r="DE50" s="311">
        <f>IF($BI50&lt;&gt;"",IF('Capacity summary'!$D$14="Yes",IF(COUNTBLANK('Capacity summary'!$H169:$BG169)&lt;52,IF('Capacity summary'!BB169&lt;&gt;"",IF(LOWER('Capacity summary'!BB169)="x",$BI50*BB50,VALUE('Capacity summary'!BB169)),0),BB50*$BI50),BB50*$BI50),0)</f>
        <v>0</v>
      </c>
      <c r="DF50" s="311">
        <f>IF($BI50&lt;&gt;"",IF('Capacity summary'!$D$14="Yes",IF(COUNTBLANK('Capacity summary'!$H169:$BG169)&lt;52,IF('Capacity summary'!BC169&lt;&gt;"",IF(LOWER('Capacity summary'!BC169)="x",$BI50*BC50,VALUE('Capacity summary'!BC169)),0),BC50*$BI50),BC50*$BI50),0)</f>
        <v>0</v>
      </c>
      <c r="DG50" s="311">
        <f>IF($BI50&lt;&gt;"",IF('Capacity summary'!$D$14="Yes",IF(COUNTBLANK('Capacity summary'!$H169:$BG169)&lt;52,IF('Capacity summary'!BD169&lt;&gt;"",IF(LOWER('Capacity summary'!BD169)="x",$BI50*BD50,VALUE('Capacity summary'!BD169)),0),BD50*$BI50),BD50*$BI50),0)</f>
        <v>0</v>
      </c>
      <c r="DH50" s="311">
        <f>IF($BI50&lt;&gt;"",IF('Capacity summary'!$D$14="Yes",IF(COUNTBLANK('Capacity summary'!$H169:$BG169)&lt;52,IF('Capacity summary'!BE169&lt;&gt;"",IF(LOWER('Capacity summary'!BE169)="x",$BI50*BE50,VALUE('Capacity summary'!BE169)),0),BE50*$BI50),BE50*$BI50),0)</f>
        <v>0</v>
      </c>
      <c r="DI50" s="311">
        <f>IF($BI50&lt;&gt;"",IF('Capacity summary'!$D$14="Yes",IF(COUNTBLANK('Capacity summary'!$H169:$BG169)&lt;52,IF('Capacity summary'!BF169&lt;&gt;"",IF(LOWER('Capacity summary'!BF169)="x",$BI50*BF50,VALUE('Capacity summary'!BF169)),0),BF50*$BI50),BF50*$BI50),0)</f>
        <v>0</v>
      </c>
      <c r="DJ50" s="311">
        <f>IF($BI50&lt;&gt;"",IF('Capacity summary'!$D$14="Yes",IF(COUNTBLANK('Capacity summary'!$H169:$BG169)&lt;52,IF('Capacity summary'!BG169&lt;&gt;"",IF(LOWER('Capacity summary'!BG169)="x",$BI50*BG50,VALUE('Capacity summary'!BG169)),0),BG50*$BI50),BG50*$BI50),0)</f>
        <v>0</v>
      </c>
      <c r="DK50" s="391">
        <f t="shared" si="2"/>
        <v>0</v>
      </c>
      <c r="DL50" s="136">
        <f t="shared" si="3"/>
        <v>0</v>
      </c>
      <c r="DM50" s="311" t="str">
        <f>Capacity!H62</f>
        <v/>
      </c>
      <c r="DQ50" s="5"/>
    </row>
    <row r="51" spans="1:121" x14ac:dyDescent="0.2">
      <c r="A51" s="67">
        <f>IF(Capacity!L63='Capacity summary'!BI170,1,0)</f>
        <v>1</v>
      </c>
      <c r="B51" s="67">
        <f>IF(Capacity!V63='Capacity summary'!BI70,1,0)</f>
        <v>1</v>
      </c>
      <c r="C51" s="67" t="str">
        <f>ROW(A47)&amp;". "&amp;Capacity!B63</f>
        <v xml:space="preserve">47. </v>
      </c>
      <c r="D51" s="67">
        <f>'Capacity setup'!C58</f>
        <v>0</v>
      </c>
      <c r="E51" s="67">
        <f>'Capacity setup'!D58</f>
        <v>0</v>
      </c>
      <c r="F51" s="67">
        <f>'Capacity setup'!E58</f>
        <v>0</v>
      </c>
      <c r="H51" s="67">
        <f ca="1">IF(LOWER(Capacity!$L63)="x",IF(AND(SUMIF(Capacity_Resource,$D51,'Critical resources (hide)'!U$6:U$105)+SUMIF(Capacity_Resource,$E51,'Critical resources (hide)'!U$6:U$105)+SUMIF(Capacity_Resource,$F51,'Critical resources (hide)'!U$6:U$105)&gt;0,$E$1=2),0,1),0)</f>
        <v>1</v>
      </c>
      <c r="I51" s="67">
        <f ca="1">IF(LOWER(Capacity!$L63)="x",IF(AND(SUMIF(Capacity_Resource,$D51,'Critical resources (hide)'!V$6:V$105)+SUMIF(Capacity_Resource,$E51,'Critical resources (hide)'!V$6:V$105)+SUMIF(Capacity_Resource,$F51,'Critical resources (hide)'!V$6:V$105)&gt;0,$E$1=2),0,1),0)</f>
        <v>1</v>
      </c>
      <c r="J51" s="67">
        <f ca="1">IF(LOWER(Capacity!$L63)="x",IF(AND(SUMIF(Capacity_Resource,$D51,'Critical resources (hide)'!W$6:W$105)+SUMIF(Capacity_Resource,$E51,'Critical resources (hide)'!W$6:W$105)+SUMIF(Capacity_Resource,$F51,'Critical resources (hide)'!W$6:W$105)&gt;0,$E$1=2),0,1),0)</f>
        <v>1</v>
      </c>
      <c r="K51" s="67">
        <f ca="1">IF(LOWER(Capacity!$L63)="x",IF(AND(SUMIF(Capacity_Resource,$D51,'Critical resources (hide)'!X$6:X$105)+SUMIF(Capacity_Resource,$E51,'Critical resources (hide)'!X$6:X$105)+SUMIF(Capacity_Resource,$F51,'Critical resources (hide)'!X$6:X$105)&gt;0,$E$1=2),0,1),0)</f>
        <v>1</v>
      </c>
      <c r="L51" s="67">
        <f ca="1">IF(LOWER(Capacity!$L63)="x",IF(AND(SUMIF(Capacity_Resource,$D51,'Critical resources (hide)'!Y$6:Y$105)+SUMIF(Capacity_Resource,$E51,'Critical resources (hide)'!Y$6:Y$105)+SUMIF(Capacity_Resource,$F51,'Critical resources (hide)'!Y$6:Y$105)&gt;0,$E$1=2),0,1),0)</f>
        <v>1</v>
      </c>
      <c r="M51" s="67">
        <f ca="1">IF(LOWER(Capacity!$L63)="x",IF(AND(SUMIF(Capacity_Resource,$D51,'Critical resources (hide)'!Z$6:Z$105)+SUMIF(Capacity_Resource,$E51,'Critical resources (hide)'!Z$6:Z$105)+SUMIF(Capacity_Resource,$F51,'Critical resources (hide)'!Z$6:Z$105)&gt;0,$E$1=2),0,1),0)</f>
        <v>1</v>
      </c>
      <c r="N51" s="67">
        <f ca="1">IF(LOWER(Capacity!$L63)="x",IF(AND(SUMIF(Capacity_Resource,$D51,'Critical resources (hide)'!AA$6:AA$105)+SUMIF(Capacity_Resource,$E51,'Critical resources (hide)'!AA$6:AA$105)+SUMIF(Capacity_Resource,$F51,'Critical resources (hide)'!AA$6:AA$105)&gt;0,$E$1=2),0,1),0)</f>
        <v>1</v>
      </c>
      <c r="O51" s="67">
        <f ca="1">IF(LOWER(Capacity!$L63)="x",IF(AND(SUMIF(Capacity_Resource,$D51,'Critical resources (hide)'!AB$6:AB$105)+SUMIF(Capacity_Resource,$E51,'Critical resources (hide)'!AB$6:AB$105)+SUMIF(Capacity_Resource,$F51,'Critical resources (hide)'!AB$6:AB$105)&gt;0,$E$1=2),0,1),0)</f>
        <v>1</v>
      </c>
      <c r="P51" s="67">
        <f ca="1">IF(LOWER(Capacity!$L63)="x",IF(AND(SUMIF(Capacity_Resource,$D51,'Critical resources (hide)'!AC$6:AC$105)+SUMIF(Capacity_Resource,$E51,'Critical resources (hide)'!AC$6:AC$105)+SUMIF(Capacity_Resource,$F51,'Critical resources (hide)'!AC$6:AC$105)&gt;0,$E$1=2),0,1),0)</f>
        <v>1</v>
      </c>
      <c r="Q51" s="67">
        <f ca="1">IF(LOWER(Capacity!$L63)="x",IF(AND(SUMIF(Capacity_Resource,$D51,'Critical resources (hide)'!AD$6:AD$105)+SUMIF(Capacity_Resource,$E51,'Critical resources (hide)'!AD$6:AD$105)+SUMIF(Capacity_Resource,$F51,'Critical resources (hide)'!AD$6:AD$105)&gt;0,$E$1=2),0,1),0)</f>
        <v>1</v>
      </c>
      <c r="R51" s="67">
        <f ca="1">IF(LOWER(Capacity!$L63)="x",IF(AND(SUMIF(Capacity_Resource,$D51,'Critical resources (hide)'!AE$6:AE$105)+SUMIF(Capacity_Resource,$E51,'Critical resources (hide)'!AE$6:AE$105)+SUMIF(Capacity_Resource,$F51,'Critical resources (hide)'!AE$6:AE$105)&gt;0,$E$1=2),0,1),0)</f>
        <v>1</v>
      </c>
      <c r="S51" s="67">
        <f ca="1">IF(LOWER(Capacity!$L63)="x",IF(AND(SUMIF(Capacity_Resource,$D51,'Critical resources (hide)'!AF$6:AF$105)+SUMIF(Capacity_Resource,$E51,'Critical resources (hide)'!AF$6:AF$105)+SUMIF(Capacity_Resource,$F51,'Critical resources (hide)'!AF$6:AF$105)&gt;0,$E$1=2),0,1),0)</f>
        <v>1</v>
      </c>
      <c r="T51" s="67">
        <f ca="1">IF(LOWER(Capacity!$L63)="x",IF(AND(SUMIF(Capacity_Resource,$D51,'Critical resources (hide)'!AG$6:AG$105)+SUMIF(Capacity_Resource,$E51,'Critical resources (hide)'!AG$6:AG$105)+SUMIF(Capacity_Resource,$F51,'Critical resources (hide)'!AG$6:AG$105)&gt;0,$E$1=2),0,1),0)</f>
        <v>1</v>
      </c>
      <c r="U51" s="67">
        <f ca="1">IF(LOWER(Capacity!$L63)="x",IF(AND(SUMIF(Capacity_Resource,$D51,'Critical resources (hide)'!AH$6:AH$105)+SUMIF(Capacity_Resource,$E51,'Critical resources (hide)'!AH$6:AH$105)+SUMIF(Capacity_Resource,$F51,'Critical resources (hide)'!AH$6:AH$105)&gt;0,$E$1=2),0,1),0)</f>
        <v>1</v>
      </c>
      <c r="V51" s="67">
        <f ca="1">IF(LOWER(Capacity!$L63)="x",IF(AND(SUMIF(Capacity_Resource,$D51,'Critical resources (hide)'!AI$6:AI$105)+SUMIF(Capacity_Resource,$E51,'Critical resources (hide)'!AI$6:AI$105)+SUMIF(Capacity_Resource,$F51,'Critical resources (hide)'!AI$6:AI$105)&gt;0,$E$1=2),0,1),0)</f>
        <v>1</v>
      </c>
      <c r="W51" s="67">
        <f ca="1">IF(LOWER(Capacity!$L63)="x",IF(AND(SUMIF(Capacity_Resource,$D51,'Critical resources (hide)'!AJ$6:AJ$105)+SUMIF(Capacity_Resource,$E51,'Critical resources (hide)'!AJ$6:AJ$105)+SUMIF(Capacity_Resource,$F51,'Critical resources (hide)'!AJ$6:AJ$105)&gt;0,$E$1=2),0,1),0)</f>
        <v>1</v>
      </c>
      <c r="X51" s="67">
        <f ca="1">IF(LOWER(Capacity!$L63)="x",IF(AND(SUMIF(Capacity_Resource,$D51,'Critical resources (hide)'!AK$6:AK$105)+SUMIF(Capacity_Resource,$E51,'Critical resources (hide)'!AK$6:AK$105)+SUMIF(Capacity_Resource,$F51,'Critical resources (hide)'!AK$6:AK$105)&gt;0,$E$1=2),0,1),0)</f>
        <v>1</v>
      </c>
      <c r="Y51" s="67">
        <f ca="1">IF(LOWER(Capacity!$L63)="x",IF(AND(SUMIF(Capacity_Resource,$D51,'Critical resources (hide)'!AL$6:AL$105)+SUMIF(Capacity_Resource,$E51,'Critical resources (hide)'!AL$6:AL$105)+SUMIF(Capacity_Resource,$F51,'Critical resources (hide)'!AL$6:AL$105)&gt;0,$E$1=2),0,1),0)</f>
        <v>1</v>
      </c>
      <c r="Z51" s="67">
        <f ca="1">IF(LOWER(Capacity!$L63)="x",IF(AND(SUMIF(Capacity_Resource,$D51,'Critical resources (hide)'!AM$6:AM$105)+SUMIF(Capacity_Resource,$E51,'Critical resources (hide)'!AM$6:AM$105)+SUMIF(Capacity_Resource,$F51,'Critical resources (hide)'!AM$6:AM$105)&gt;0,$E$1=2),0,1),0)</f>
        <v>1</v>
      </c>
      <c r="AA51" s="67">
        <f ca="1">IF(LOWER(Capacity!$L63)="x",IF(AND(SUMIF(Capacity_Resource,$D51,'Critical resources (hide)'!AN$6:AN$105)+SUMIF(Capacity_Resource,$E51,'Critical resources (hide)'!AN$6:AN$105)+SUMIF(Capacity_Resource,$F51,'Critical resources (hide)'!AN$6:AN$105)&gt;0,$E$1=2),0,1),0)</f>
        <v>1</v>
      </c>
      <c r="AB51" s="67">
        <f ca="1">IF(LOWER(Capacity!$L63)="x",IF(AND(SUMIF(Capacity_Resource,$D51,'Critical resources (hide)'!AO$6:AO$105)+SUMIF(Capacity_Resource,$E51,'Critical resources (hide)'!AO$6:AO$105)+SUMIF(Capacity_Resource,$F51,'Critical resources (hide)'!AO$6:AO$105)&gt;0,$E$1=2),0,1),0)</f>
        <v>1</v>
      </c>
      <c r="AC51" s="67">
        <f ca="1">IF(LOWER(Capacity!$L63)="x",IF(AND(SUMIF(Capacity_Resource,$D51,'Critical resources (hide)'!AP$6:AP$105)+SUMIF(Capacity_Resource,$E51,'Critical resources (hide)'!AP$6:AP$105)+SUMIF(Capacity_Resource,$F51,'Critical resources (hide)'!AP$6:AP$105)&gt;0,$E$1=2),0,1),0)</f>
        <v>1</v>
      </c>
      <c r="AD51" s="67">
        <f ca="1">IF(LOWER(Capacity!$L63)="x",IF(AND(SUMIF(Capacity_Resource,$D51,'Critical resources (hide)'!AQ$6:AQ$105)+SUMIF(Capacity_Resource,$E51,'Critical resources (hide)'!AQ$6:AQ$105)+SUMIF(Capacity_Resource,$F51,'Critical resources (hide)'!AQ$6:AQ$105)&gt;0,$E$1=2),0,1),0)</f>
        <v>1</v>
      </c>
      <c r="AE51" s="67">
        <f ca="1">IF(LOWER(Capacity!$L63)="x",IF(AND(SUMIF(Capacity_Resource,$D51,'Critical resources (hide)'!AR$6:AR$105)+SUMIF(Capacity_Resource,$E51,'Critical resources (hide)'!AR$6:AR$105)+SUMIF(Capacity_Resource,$F51,'Critical resources (hide)'!AR$6:AR$105)&gt;0,$E$1=2),0,1),0)</f>
        <v>1</v>
      </c>
      <c r="AF51" s="67">
        <f ca="1">IF(LOWER(Capacity!$L63)="x",IF(AND(SUMIF(Capacity_Resource,$D51,'Critical resources (hide)'!AS$6:AS$105)+SUMIF(Capacity_Resource,$E51,'Critical resources (hide)'!AS$6:AS$105)+SUMIF(Capacity_Resource,$F51,'Critical resources (hide)'!AS$6:AS$105)&gt;0,$E$1=2),0,1),0)</f>
        <v>1</v>
      </c>
      <c r="AG51" s="67">
        <f ca="1">IF(LOWER(Capacity!$L63)="x",IF(AND(SUMIF(Capacity_Resource,$D51,'Critical resources (hide)'!AT$6:AT$105)+SUMIF(Capacity_Resource,$E51,'Critical resources (hide)'!AT$6:AT$105)+SUMIF(Capacity_Resource,$F51,'Critical resources (hide)'!AT$6:AT$105)&gt;0,$E$1=2),0,1),0)</f>
        <v>1</v>
      </c>
      <c r="AH51" s="67">
        <f ca="1">IF(LOWER(Capacity!$L63)="x",IF(AND(SUMIF(Capacity_Resource,$D51,'Critical resources (hide)'!AU$6:AU$105)+SUMIF(Capacity_Resource,$E51,'Critical resources (hide)'!AU$6:AU$105)+SUMIF(Capacity_Resource,$F51,'Critical resources (hide)'!AU$6:AU$105)&gt;0,$E$1=2),0,1),0)</f>
        <v>1</v>
      </c>
      <c r="AI51" s="67">
        <f ca="1">IF(LOWER(Capacity!$L63)="x",IF(AND(SUMIF(Capacity_Resource,$D51,'Critical resources (hide)'!AV$6:AV$105)+SUMIF(Capacity_Resource,$E51,'Critical resources (hide)'!AV$6:AV$105)+SUMIF(Capacity_Resource,$F51,'Critical resources (hide)'!AV$6:AV$105)&gt;0,$E$1=2),0,1),0)</f>
        <v>1</v>
      </c>
      <c r="AJ51" s="67">
        <f ca="1">IF(LOWER(Capacity!$L63)="x",IF(AND(SUMIF(Capacity_Resource,$D51,'Critical resources (hide)'!AW$6:AW$105)+SUMIF(Capacity_Resource,$E51,'Critical resources (hide)'!AW$6:AW$105)+SUMIF(Capacity_Resource,$F51,'Critical resources (hide)'!AW$6:AW$105)&gt;0,$E$1=2),0,1),0)</f>
        <v>1</v>
      </c>
      <c r="AK51" s="67">
        <f ca="1">IF(LOWER(Capacity!$L63)="x",IF(AND(SUMIF(Capacity_Resource,$D51,'Critical resources (hide)'!AX$6:AX$105)+SUMIF(Capacity_Resource,$E51,'Critical resources (hide)'!AX$6:AX$105)+SUMIF(Capacity_Resource,$F51,'Critical resources (hide)'!AX$6:AX$105)&gt;0,$E$1=2),0,1),0)</f>
        <v>1</v>
      </c>
      <c r="AL51" s="67">
        <f ca="1">IF(LOWER(Capacity!$L63)="x",IF(AND(SUMIF(Capacity_Resource,$D51,'Critical resources (hide)'!AY$6:AY$105)+SUMIF(Capacity_Resource,$E51,'Critical resources (hide)'!AY$6:AY$105)+SUMIF(Capacity_Resource,$F51,'Critical resources (hide)'!AY$6:AY$105)&gt;0,$E$1=2),0,1),0)</f>
        <v>1</v>
      </c>
      <c r="AM51" s="67">
        <f ca="1">IF(LOWER(Capacity!$L63)="x",IF(AND(SUMIF(Capacity_Resource,$D51,'Critical resources (hide)'!AZ$6:AZ$105)+SUMIF(Capacity_Resource,$E51,'Critical resources (hide)'!AZ$6:AZ$105)+SUMIF(Capacity_Resource,$F51,'Critical resources (hide)'!AZ$6:AZ$105)&gt;0,$E$1=2),0,1),0)</f>
        <v>1</v>
      </c>
      <c r="AN51" s="67">
        <f ca="1">IF(LOWER(Capacity!$L63)="x",IF(AND(SUMIF(Capacity_Resource,$D51,'Critical resources (hide)'!BA$6:BA$105)+SUMIF(Capacity_Resource,$E51,'Critical resources (hide)'!BA$6:BA$105)+SUMIF(Capacity_Resource,$F51,'Critical resources (hide)'!BA$6:BA$105)&gt;0,$E$1=2),0,1),0)</f>
        <v>1</v>
      </c>
      <c r="AO51" s="67">
        <f ca="1">IF(LOWER(Capacity!$L63)="x",IF(AND(SUMIF(Capacity_Resource,$D51,'Critical resources (hide)'!BB$6:BB$105)+SUMIF(Capacity_Resource,$E51,'Critical resources (hide)'!BB$6:BB$105)+SUMIF(Capacity_Resource,$F51,'Critical resources (hide)'!BB$6:BB$105)&gt;0,$E$1=2),0,1),0)</f>
        <v>1</v>
      </c>
      <c r="AP51" s="67">
        <f ca="1">IF(LOWER(Capacity!$L63)="x",IF(AND(SUMIF(Capacity_Resource,$D51,'Critical resources (hide)'!BC$6:BC$105)+SUMIF(Capacity_Resource,$E51,'Critical resources (hide)'!BC$6:BC$105)+SUMIF(Capacity_Resource,$F51,'Critical resources (hide)'!BC$6:BC$105)&gt;0,$E$1=2),0,1),0)</f>
        <v>1</v>
      </c>
      <c r="AQ51" s="67">
        <f ca="1">IF(LOWER(Capacity!$L63)="x",IF(AND(SUMIF(Capacity_Resource,$D51,'Critical resources (hide)'!BD$6:BD$105)+SUMIF(Capacity_Resource,$E51,'Critical resources (hide)'!BD$6:BD$105)+SUMIF(Capacity_Resource,$F51,'Critical resources (hide)'!BD$6:BD$105)&gt;0,$E$1=2),0,1),0)</f>
        <v>1</v>
      </c>
      <c r="AR51" s="67">
        <f ca="1">IF(LOWER(Capacity!$L63)="x",IF(AND(SUMIF(Capacity_Resource,$D51,'Critical resources (hide)'!BE$6:BE$105)+SUMIF(Capacity_Resource,$E51,'Critical resources (hide)'!BE$6:BE$105)+SUMIF(Capacity_Resource,$F51,'Critical resources (hide)'!BE$6:BE$105)&gt;0,$E$1=2),0,1),0)</f>
        <v>1</v>
      </c>
      <c r="AS51" s="67">
        <f ca="1">IF(LOWER(Capacity!$L63)="x",IF(AND(SUMIF(Capacity_Resource,$D51,'Critical resources (hide)'!BF$6:BF$105)+SUMIF(Capacity_Resource,$E51,'Critical resources (hide)'!BF$6:BF$105)+SUMIF(Capacity_Resource,$F51,'Critical resources (hide)'!BF$6:BF$105)&gt;0,$E$1=2),0,1),0)</f>
        <v>1</v>
      </c>
      <c r="AT51" s="67">
        <f ca="1">IF(LOWER(Capacity!$L63)="x",IF(AND(SUMIF(Capacity_Resource,$D51,'Critical resources (hide)'!BG$6:BG$105)+SUMIF(Capacity_Resource,$E51,'Critical resources (hide)'!BG$6:BG$105)+SUMIF(Capacity_Resource,$F51,'Critical resources (hide)'!BG$6:BG$105)&gt;0,$E$1=2),0,1),0)</f>
        <v>1</v>
      </c>
      <c r="AU51" s="67">
        <f ca="1">IF(LOWER(Capacity!$L63)="x",IF(AND(SUMIF(Capacity_Resource,$D51,'Critical resources (hide)'!BH$6:BH$105)+SUMIF(Capacity_Resource,$E51,'Critical resources (hide)'!BH$6:BH$105)+SUMIF(Capacity_Resource,$F51,'Critical resources (hide)'!BH$6:BH$105)&gt;0,$E$1=2),0,1),0)</f>
        <v>1</v>
      </c>
      <c r="AV51" s="67">
        <f ca="1">IF(LOWER(Capacity!$L63)="x",IF(AND(SUMIF(Capacity_Resource,$D51,'Critical resources (hide)'!BI$6:BI$105)+SUMIF(Capacity_Resource,$E51,'Critical resources (hide)'!BI$6:BI$105)+SUMIF(Capacity_Resource,$F51,'Critical resources (hide)'!BI$6:BI$105)&gt;0,$E$1=2),0,1),0)</f>
        <v>1</v>
      </c>
      <c r="AW51" s="67">
        <f ca="1">IF(LOWER(Capacity!$L63)="x",IF(AND(SUMIF(Capacity_Resource,$D51,'Critical resources (hide)'!BJ$6:BJ$105)+SUMIF(Capacity_Resource,$E51,'Critical resources (hide)'!BJ$6:BJ$105)+SUMIF(Capacity_Resource,$F51,'Critical resources (hide)'!BJ$6:BJ$105)&gt;0,$E$1=2),0,1),0)</f>
        <v>1</v>
      </c>
      <c r="AX51" s="67">
        <f ca="1">IF(LOWER(Capacity!$L63)="x",IF(AND(SUMIF(Capacity_Resource,$D51,'Critical resources (hide)'!BK$6:BK$105)+SUMIF(Capacity_Resource,$E51,'Critical resources (hide)'!BK$6:BK$105)+SUMIF(Capacity_Resource,$F51,'Critical resources (hide)'!BK$6:BK$105)&gt;0,$E$1=2),0,1),0)</f>
        <v>1</v>
      </c>
      <c r="AY51" s="67">
        <f ca="1">IF(LOWER(Capacity!$L63)="x",IF(AND(SUMIF(Capacity_Resource,$D51,'Critical resources (hide)'!BL$6:BL$105)+SUMIF(Capacity_Resource,$E51,'Critical resources (hide)'!BL$6:BL$105)+SUMIF(Capacity_Resource,$F51,'Critical resources (hide)'!BL$6:BL$105)&gt;0,$E$1=2),0,1),0)</f>
        <v>1</v>
      </c>
      <c r="AZ51" s="67">
        <f ca="1">IF(LOWER(Capacity!$L63)="x",IF(AND(SUMIF(Capacity_Resource,$D51,'Critical resources (hide)'!BM$6:BM$105)+SUMIF(Capacity_Resource,$E51,'Critical resources (hide)'!BM$6:BM$105)+SUMIF(Capacity_Resource,$F51,'Critical resources (hide)'!BM$6:BM$105)&gt;0,$E$1=2),0,1),0)</f>
        <v>1</v>
      </c>
      <c r="BA51" s="67">
        <f ca="1">IF(LOWER(Capacity!$L63)="x",IF(AND(SUMIF(Capacity_Resource,$D51,'Critical resources (hide)'!BN$6:BN$105)+SUMIF(Capacity_Resource,$E51,'Critical resources (hide)'!BN$6:BN$105)+SUMIF(Capacity_Resource,$F51,'Critical resources (hide)'!BN$6:BN$105)&gt;0,$E$1=2),0,1),0)</f>
        <v>1</v>
      </c>
      <c r="BB51" s="67">
        <f ca="1">IF(LOWER(Capacity!$L63)="x",IF(AND(SUMIF(Capacity_Resource,$D51,'Critical resources (hide)'!BO$6:BO$105)+SUMIF(Capacity_Resource,$E51,'Critical resources (hide)'!BO$6:BO$105)+SUMIF(Capacity_Resource,$F51,'Critical resources (hide)'!BO$6:BO$105)&gt;0,$E$1=2),0,1),0)</f>
        <v>1</v>
      </c>
      <c r="BC51" s="67">
        <f ca="1">IF(LOWER(Capacity!$L63)="x",IF(AND(SUMIF(Capacity_Resource,$D51,'Critical resources (hide)'!BP$6:BP$105)+SUMIF(Capacity_Resource,$E51,'Critical resources (hide)'!BP$6:BP$105)+SUMIF(Capacity_Resource,$F51,'Critical resources (hide)'!BP$6:BP$105)&gt;0,$E$1=2),0,1),0)</f>
        <v>1</v>
      </c>
      <c r="BD51" s="67">
        <f ca="1">IF(LOWER(Capacity!$L63)="x",IF(AND(SUMIF(Capacity_Resource,$D51,'Critical resources (hide)'!BQ$6:BQ$105)+SUMIF(Capacity_Resource,$E51,'Critical resources (hide)'!BQ$6:BQ$105)+SUMIF(Capacity_Resource,$F51,'Critical resources (hide)'!BQ$6:BQ$105)&gt;0,$E$1=2),0,1),0)</f>
        <v>1</v>
      </c>
      <c r="BE51" s="67">
        <f ca="1">IF(LOWER(Capacity!$L63)="x",IF(AND(SUMIF(Capacity_Resource,$D51,'Critical resources (hide)'!BR$6:BR$105)+SUMIF(Capacity_Resource,$E51,'Critical resources (hide)'!BR$6:BR$105)+SUMIF(Capacity_Resource,$F51,'Critical resources (hide)'!BR$6:BR$105)&gt;0,$E$1=2),0,1),0)</f>
        <v>1</v>
      </c>
      <c r="BF51" s="67">
        <f ca="1">IF(LOWER(Capacity!$L63)="x",IF(AND(SUMIF(Capacity_Resource,$D51,'Critical resources (hide)'!BS$6:BS$105)+SUMIF(Capacity_Resource,$E51,'Critical resources (hide)'!BS$6:BS$105)+SUMIF(Capacity_Resource,$F51,'Critical resources (hide)'!BS$6:BS$105)&gt;0,$E$1=2),0,1),0)</f>
        <v>1</v>
      </c>
      <c r="BG51" s="67">
        <f ca="1">IF(LOWER(Capacity!$L63)="x",IF(AND(SUMIF(Capacity_Resource,$D51,'Critical resources (hide)'!BT$6:BT$105)+SUMIF(Capacity_Resource,$E51,'Critical resources (hide)'!BT$6:BT$105)+SUMIF(Capacity_Resource,$F51,'Critical resources (hide)'!BT$6:BT$105)&gt;0,$E$1=2),0,1),0)</f>
        <v>1</v>
      </c>
      <c r="BH51" s="67">
        <f>IF(ROW(C47)&lt;=Capacity!$A$16,IF('Capacity summary'!$D$14="No",SUM(H51:BG51),'Capacity summary'!$E170),0)</f>
        <v>0</v>
      </c>
      <c r="BI51" s="5" t="str">
        <f>IF(BH51&gt;0,IF(BH51&lt;Capacity!E63,Capacity!F63,Capacity!H63/'Capacity calculation (hide)'!BH51),"")</f>
        <v/>
      </c>
      <c r="BK51" s="311">
        <f>IF($BI51&lt;&gt;"",IF('Capacity summary'!$D$14="Yes",IF(COUNTBLANK('Capacity summary'!$H170:$BG170)&lt;52,IF('Capacity summary'!H170&lt;&gt;"",IF(LOWER('Capacity summary'!H170)="x",$BI51*H51,VALUE('Capacity summary'!H170)),0),H51*$BI51),H51*$BI51),0)</f>
        <v>0</v>
      </c>
      <c r="BL51" s="311">
        <f>IF($BI51&lt;&gt;"",IF('Capacity summary'!$D$14="Yes",IF(COUNTBLANK('Capacity summary'!$H170:$BG170)&lt;52,IF('Capacity summary'!I170&lt;&gt;"",IF(LOWER('Capacity summary'!I170)="x",$BI51*I51,VALUE('Capacity summary'!I170)),0),I51*$BI51),I51*$BI51),0)</f>
        <v>0</v>
      </c>
      <c r="BM51" s="311">
        <f>IF($BI51&lt;&gt;"",IF('Capacity summary'!$D$14="Yes",IF(COUNTBLANK('Capacity summary'!$H170:$BG170)&lt;52,IF('Capacity summary'!J170&lt;&gt;"",IF(LOWER('Capacity summary'!J170)="x",$BI51*J51,VALUE('Capacity summary'!J170)),0),J51*$BI51),J51*$BI51),0)</f>
        <v>0</v>
      </c>
      <c r="BN51" s="311">
        <f>IF($BI51&lt;&gt;"",IF('Capacity summary'!$D$14="Yes",IF(COUNTBLANK('Capacity summary'!$H170:$BG170)&lt;52,IF('Capacity summary'!K170&lt;&gt;"",IF(LOWER('Capacity summary'!K170)="x",$BI51*K51,VALUE('Capacity summary'!K170)),0),K51*$BI51),K51*$BI51),0)</f>
        <v>0</v>
      </c>
      <c r="BO51" s="311">
        <f>IF($BI51&lt;&gt;"",IF('Capacity summary'!$D$14="Yes",IF(COUNTBLANK('Capacity summary'!$H170:$BG170)&lt;52,IF('Capacity summary'!L170&lt;&gt;"",IF(LOWER('Capacity summary'!L170)="x",$BI51*L51,VALUE('Capacity summary'!L170)),0),L51*$BI51),L51*$BI51),0)</f>
        <v>0</v>
      </c>
      <c r="BP51" s="311">
        <f>IF($BI51&lt;&gt;"",IF('Capacity summary'!$D$14="Yes",IF(COUNTBLANK('Capacity summary'!$H170:$BG170)&lt;52,IF('Capacity summary'!M170&lt;&gt;"",IF(LOWER('Capacity summary'!M170)="x",$BI51*M51,VALUE('Capacity summary'!M170)),0),M51*$BI51),M51*$BI51),0)</f>
        <v>0</v>
      </c>
      <c r="BQ51" s="311">
        <f>IF($BI51&lt;&gt;"",IF('Capacity summary'!$D$14="Yes",IF(COUNTBLANK('Capacity summary'!$H170:$BG170)&lt;52,IF('Capacity summary'!N170&lt;&gt;"",IF(LOWER('Capacity summary'!N170)="x",$BI51*N51,VALUE('Capacity summary'!N170)),0),N51*$BI51),N51*$BI51),0)</f>
        <v>0</v>
      </c>
      <c r="BR51" s="311">
        <f>IF($BI51&lt;&gt;"",IF('Capacity summary'!$D$14="Yes",IF(COUNTBLANK('Capacity summary'!$H170:$BG170)&lt;52,IF('Capacity summary'!O170&lt;&gt;"",IF(LOWER('Capacity summary'!O170)="x",$BI51*O51,VALUE('Capacity summary'!O170)),0),O51*$BI51),O51*$BI51),0)</f>
        <v>0</v>
      </c>
      <c r="BS51" s="311">
        <f>IF($BI51&lt;&gt;"",IF('Capacity summary'!$D$14="Yes",IF(COUNTBLANK('Capacity summary'!$H170:$BG170)&lt;52,IF('Capacity summary'!P170&lt;&gt;"",IF(LOWER('Capacity summary'!P170)="x",$BI51*P51,VALUE('Capacity summary'!P170)),0),P51*$BI51),P51*$BI51),0)</f>
        <v>0</v>
      </c>
      <c r="BT51" s="311">
        <f>IF($BI51&lt;&gt;"",IF('Capacity summary'!$D$14="Yes",IF(COUNTBLANK('Capacity summary'!$H170:$BG170)&lt;52,IF('Capacity summary'!Q170&lt;&gt;"",IF(LOWER('Capacity summary'!Q170)="x",$BI51*Q51,VALUE('Capacity summary'!Q170)),0),Q51*$BI51),Q51*$BI51),0)</f>
        <v>0</v>
      </c>
      <c r="BU51" s="311">
        <f>IF($BI51&lt;&gt;"",IF('Capacity summary'!$D$14="Yes",IF(COUNTBLANK('Capacity summary'!$H170:$BG170)&lt;52,IF('Capacity summary'!R170&lt;&gt;"",IF(LOWER('Capacity summary'!R170)="x",$BI51*R51,VALUE('Capacity summary'!R170)),0),R51*$BI51),R51*$BI51),0)</f>
        <v>0</v>
      </c>
      <c r="BV51" s="311">
        <f>IF($BI51&lt;&gt;"",IF('Capacity summary'!$D$14="Yes",IF(COUNTBLANK('Capacity summary'!$H170:$BG170)&lt;52,IF('Capacity summary'!S170&lt;&gt;"",IF(LOWER('Capacity summary'!S170)="x",$BI51*S51,VALUE('Capacity summary'!S170)),0),S51*$BI51),S51*$BI51),0)</f>
        <v>0</v>
      </c>
      <c r="BW51" s="311">
        <f>IF($BI51&lt;&gt;"",IF('Capacity summary'!$D$14="Yes",IF(COUNTBLANK('Capacity summary'!$H170:$BG170)&lt;52,IF('Capacity summary'!T170&lt;&gt;"",IF(LOWER('Capacity summary'!T170)="x",$BI51*T51,VALUE('Capacity summary'!T170)),0),T51*$BI51),T51*$BI51),0)</f>
        <v>0</v>
      </c>
      <c r="BX51" s="311">
        <f>IF($BI51&lt;&gt;"",IF('Capacity summary'!$D$14="Yes",IF(COUNTBLANK('Capacity summary'!$H170:$BG170)&lt;52,IF('Capacity summary'!U170&lt;&gt;"",IF(LOWER('Capacity summary'!U170)="x",$BI51*U51,VALUE('Capacity summary'!U170)),0),U51*$BI51),U51*$BI51),0)</f>
        <v>0</v>
      </c>
      <c r="BY51" s="311">
        <f>IF($BI51&lt;&gt;"",IF('Capacity summary'!$D$14="Yes",IF(COUNTBLANK('Capacity summary'!$H170:$BG170)&lt;52,IF('Capacity summary'!V170&lt;&gt;"",IF(LOWER('Capacity summary'!V170)="x",$BI51*V51,VALUE('Capacity summary'!V170)),0),V51*$BI51),V51*$BI51),0)</f>
        <v>0</v>
      </c>
      <c r="BZ51" s="311">
        <f>IF($BI51&lt;&gt;"",IF('Capacity summary'!$D$14="Yes",IF(COUNTBLANK('Capacity summary'!$H170:$BG170)&lt;52,IF('Capacity summary'!W170&lt;&gt;"",IF(LOWER('Capacity summary'!W170)="x",$BI51*W51,VALUE('Capacity summary'!W170)),0),W51*$BI51),W51*$BI51),0)</f>
        <v>0</v>
      </c>
      <c r="CA51" s="311">
        <f>IF($BI51&lt;&gt;"",IF('Capacity summary'!$D$14="Yes",IF(COUNTBLANK('Capacity summary'!$H170:$BG170)&lt;52,IF('Capacity summary'!X170&lt;&gt;"",IF(LOWER('Capacity summary'!X170)="x",$BI51*X51,VALUE('Capacity summary'!X170)),0),X51*$BI51),X51*$BI51),0)</f>
        <v>0</v>
      </c>
      <c r="CB51" s="311">
        <f>IF($BI51&lt;&gt;"",IF('Capacity summary'!$D$14="Yes",IF(COUNTBLANK('Capacity summary'!$H170:$BG170)&lt;52,IF('Capacity summary'!Y170&lt;&gt;"",IF(LOWER('Capacity summary'!Y170)="x",$BI51*Y51,VALUE('Capacity summary'!Y170)),0),Y51*$BI51),Y51*$BI51),0)</f>
        <v>0</v>
      </c>
      <c r="CC51" s="311">
        <f>IF($BI51&lt;&gt;"",IF('Capacity summary'!$D$14="Yes",IF(COUNTBLANK('Capacity summary'!$H170:$BG170)&lt;52,IF('Capacity summary'!Z170&lt;&gt;"",IF(LOWER('Capacity summary'!Z170)="x",$BI51*Z51,VALUE('Capacity summary'!Z170)),0),Z51*$BI51),Z51*$BI51),0)</f>
        <v>0</v>
      </c>
      <c r="CD51" s="311">
        <f>IF($BI51&lt;&gt;"",IF('Capacity summary'!$D$14="Yes",IF(COUNTBLANK('Capacity summary'!$H170:$BG170)&lt;52,IF('Capacity summary'!AA170&lt;&gt;"",IF(LOWER('Capacity summary'!AA170)="x",$BI51*AA51,VALUE('Capacity summary'!AA170)),0),AA51*$BI51),AA51*$BI51),0)</f>
        <v>0</v>
      </c>
      <c r="CE51" s="311">
        <f>IF($BI51&lt;&gt;"",IF('Capacity summary'!$D$14="Yes",IF(COUNTBLANK('Capacity summary'!$H170:$BG170)&lt;52,IF('Capacity summary'!AB170&lt;&gt;"",IF(LOWER('Capacity summary'!AB170)="x",$BI51*AB51,VALUE('Capacity summary'!AB170)),0),AB51*$BI51),AB51*$BI51),0)</f>
        <v>0</v>
      </c>
      <c r="CF51" s="311">
        <f>IF($BI51&lt;&gt;"",IF('Capacity summary'!$D$14="Yes",IF(COUNTBLANK('Capacity summary'!$H170:$BG170)&lt;52,IF('Capacity summary'!AC170&lt;&gt;"",IF(LOWER('Capacity summary'!AC170)="x",$BI51*AC51,VALUE('Capacity summary'!AC170)),0),AC51*$BI51),AC51*$BI51),0)</f>
        <v>0</v>
      </c>
      <c r="CG51" s="311">
        <f>IF($BI51&lt;&gt;"",IF('Capacity summary'!$D$14="Yes",IF(COUNTBLANK('Capacity summary'!$H170:$BG170)&lt;52,IF('Capacity summary'!AD170&lt;&gt;"",IF(LOWER('Capacity summary'!AD170)="x",$BI51*AD51,VALUE('Capacity summary'!AD170)),0),AD51*$BI51),AD51*$BI51),0)</f>
        <v>0</v>
      </c>
      <c r="CH51" s="311">
        <f>IF($BI51&lt;&gt;"",IF('Capacity summary'!$D$14="Yes",IF(COUNTBLANK('Capacity summary'!$H170:$BG170)&lt;52,IF('Capacity summary'!AE170&lt;&gt;"",IF(LOWER('Capacity summary'!AE170)="x",$BI51*AE51,VALUE('Capacity summary'!AE170)),0),AE51*$BI51),AE51*$BI51),0)</f>
        <v>0</v>
      </c>
      <c r="CI51" s="311">
        <f>IF($BI51&lt;&gt;"",IF('Capacity summary'!$D$14="Yes",IF(COUNTBLANK('Capacity summary'!$H170:$BG170)&lt;52,IF('Capacity summary'!AF170&lt;&gt;"",IF(LOWER('Capacity summary'!AF170)="x",$BI51*AF51,VALUE('Capacity summary'!AF170)),0),AF51*$BI51),AF51*$BI51),0)</f>
        <v>0</v>
      </c>
      <c r="CJ51" s="311">
        <f>IF($BI51&lt;&gt;"",IF('Capacity summary'!$D$14="Yes",IF(COUNTBLANK('Capacity summary'!$H170:$BG170)&lt;52,IF('Capacity summary'!AG170&lt;&gt;"",IF(LOWER('Capacity summary'!AG170)="x",$BI51*AG51,VALUE('Capacity summary'!AG170)),0),AG51*$BI51),AG51*$BI51),0)</f>
        <v>0</v>
      </c>
      <c r="CK51" s="311">
        <f>IF($BI51&lt;&gt;"",IF('Capacity summary'!$D$14="Yes",IF(COUNTBLANK('Capacity summary'!$H170:$BG170)&lt;52,IF('Capacity summary'!AH170&lt;&gt;"",IF(LOWER('Capacity summary'!AH170)="x",$BI51*AH51,VALUE('Capacity summary'!AH170)),0),AH51*$BI51),AH51*$BI51),0)</f>
        <v>0</v>
      </c>
      <c r="CL51" s="311">
        <f>IF($BI51&lt;&gt;"",IF('Capacity summary'!$D$14="Yes",IF(COUNTBLANK('Capacity summary'!$H170:$BG170)&lt;52,IF('Capacity summary'!AI170&lt;&gt;"",IF(LOWER('Capacity summary'!AI170)="x",$BI51*AI51,VALUE('Capacity summary'!AI170)),0),AI51*$BI51),AI51*$BI51),0)</f>
        <v>0</v>
      </c>
      <c r="CM51" s="311">
        <f>IF($BI51&lt;&gt;"",IF('Capacity summary'!$D$14="Yes",IF(COUNTBLANK('Capacity summary'!$H170:$BG170)&lt;52,IF('Capacity summary'!AJ170&lt;&gt;"",IF(LOWER('Capacity summary'!AJ170)="x",$BI51*AJ51,VALUE('Capacity summary'!AJ170)),0),AJ51*$BI51),AJ51*$BI51),0)</f>
        <v>0</v>
      </c>
      <c r="CN51" s="311">
        <f>IF($BI51&lt;&gt;"",IF('Capacity summary'!$D$14="Yes",IF(COUNTBLANK('Capacity summary'!$H170:$BG170)&lt;52,IF('Capacity summary'!AK170&lt;&gt;"",IF(LOWER('Capacity summary'!AK170)="x",$BI51*AK51,VALUE('Capacity summary'!AK170)),0),AK51*$BI51),AK51*$BI51),0)</f>
        <v>0</v>
      </c>
      <c r="CO51" s="311">
        <f>IF($BI51&lt;&gt;"",IF('Capacity summary'!$D$14="Yes",IF(COUNTBLANK('Capacity summary'!$H170:$BG170)&lt;52,IF('Capacity summary'!AL170&lt;&gt;"",IF(LOWER('Capacity summary'!AL170)="x",$BI51*AL51,VALUE('Capacity summary'!AL170)),0),AL51*$BI51),AL51*$BI51),0)</f>
        <v>0</v>
      </c>
      <c r="CP51" s="311">
        <f>IF($BI51&lt;&gt;"",IF('Capacity summary'!$D$14="Yes",IF(COUNTBLANK('Capacity summary'!$H170:$BG170)&lt;52,IF('Capacity summary'!AM170&lt;&gt;"",IF(LOWER('Capacity summary'!AM170)="x",$BI51*AM51,VALUE('Capacity summary'!AM170)),0),AM51*$BI51),AM51*$BI51),0)</f>
        <v>0</v>
      </c>
      <c r="CQ51" s="311">
        <f>IF($BI51&lt;&gt;"",IF('Capacity summary'!$D$14="Yes",IF(COUNTBLANK('Capacity summary'!$H170:$BG170)&lt;52,IF('Capacity summary'!AN170&lt;&gt;"",IF(LOWER('Capacity summary'!AN170)="x",$BI51*AN51,VALUE('Capacity summary'!AN170)),0),AN51*$BI51),AN51*$BI51),0)</f>
        <v>0</v>
      </c>
      <c r="CR51" s="311">
        <f>IF($BI51&lt;&gt;"",IF('Capacity summary'!$D$14="Yes",IF(COUNTBLANK('Capacity summary'!$H170:$BG170)&lt;52,IF('Capacity summary'!AO170&lt;&gt;"",IF(LOWER('Capacity summary'!AO170)="x",$BI51*AO51,VALUE('Capacity summary'!AO170)),0),AO51*$BI51),AO51*$BI51),0)</f>
        <v>0</v>
      </c>
      <c r="CS51" s="311">
        <f>IF($BI51&lt;&gt;"",IF('Capacity summary'!$D$14="Yes",IF(COUNTBLANK('Capacity summary'!$H170:$BG170)&lt;52,IF('Capacity summary'!AP170&lt;&gt;"",IF(LOWER('Capacity summary'!AP170)="x",$BI51*AP51,VALUE('Capacity summary'!AP170)),0),AP51*$BI51),AP51*$BI51),0)</f>
        <v>0</v>
      </c>
      <c r="CT51" s="311">
        <f>IF($BI51&lt;&gt;"",IF('Capacity summary'!$D$14="Yes",IF(COUNTBLANK('Capacity summary'!$H170:$BG170)&lt;52,IF('Capacity summary'!AQ170&lt;&gt;"",IF(LOWER('Capacity summary'!AQ170)="x",$BI51*AQ51,VALUE('Capacity summary'!AQ170)),0),AQ51*$BI51),AQ51*$BI51),0)</f>
        <v>0</v>
      </c>
      <c r="CU51" s="311">
        <f>IF($BI51&lt;&gt;"",IF('Capacity summary'!$D$14="Yes",IF(COUNTBLANK('Capacity summary'!$H170:$BG170)&lt;52,IF('Capacity summary'!AR170&lt;&gt;"",IF(LOWER('Capacity summary'!AR170)="x",$BI51*AR51,VALUE('Capacity summary'!AR170)),0),AR51*$BI51),AR51*$BI51),0)</f>
        <v>0</v>
      </c>
      <c r="CV51" s="311">
        <f>IF($BI51&lt;&gt;"",IF('Capacity summary'!$D$14="Yes",IF(COUNTBLANK('Capacity summary'!$H170:$BG170)&lt;52,IF('Capacity summary'!AS170&lt;&gt;"",IF(LOWER('Capacity summary'!AS170)="x",$BI51*AS51,VALUE('Capacity summary'!AS170)),0),AS51*$BI51),AS51*$BI51),0)</f>
        <v>0</v>
      </c>
      <c r="CW51" s="311">
        <f>IF($BI51&lt;&gt;"",IF('Capacity summary'!$D$14="Yes",IF(COUNTBLANK('Capacity summary'!$H170:$BG170)&lt;52,IF('Capacity summary'!AT170&lt;&gt;"",IF(LOWER('Capacity summary'!AT170)="x",$BI51*AT51,VALUE('Capacity summary'!AT170)),0),AT51*$BI51),AT51*$BI51),0)</f>
        <v>0</v>
      </c>
      <c r="CX51" s="311">
        <f>IF($BI51&lt;&gt;"",IF('Capacity summary'!$D$14="Yes",IF(COUNTBLANK('Capacity summary'!$H170:$BG170)&lt;52,IF('Capacity summary'!AU170&lt;&gt;"",IF(LOWER('Capacity summary'!AU170)="x",$BI51*AU51,VALUE('Capacity summary'!AU170)),0),AU51*$BI51),AU51*$BI51),0)</f>
        <v>0</v>
      </c>
      <c r="CY51" s="311">
        <f>IF($BI51&lt;&gt;"",IF('Capacity summary'!$D$14="Yes",IF(COUNTBLANK('Capacity summary'!$H170:$BG170)&lt;52,IF('Capacity summary'!AV170&lt;&gt;"",IF(LOWER('Capacity summary'!AV170)="x",$BI51*AV51,VALUE('Capacity summary'!AV170)),0),AV51*$BI51),AV51*$BI51),0)</f>
        <v>0</v>
      </c>
      <c r="CZ51" s="311">
        <f>IF($BI51&lt;&gt;"",IF('Capacity summary'!$D$14="Yes",IF(COUNTBLANK('Capacity summary'!$H170:$BG170)&lt;52,IF('Capacity summary'!AW170&lt;&gt;"",IF(LOWER('Capacity summary'!AW170)="x",$BI51*AW51,VALUE('Capacity summary'!AW170)),0),AW51*$BI51),AW51*$BI51),0)</f>
        <v>0</v>
      </c>
      <c r="DA51" s="311">
        <f>IF($BI51&lt;&gt;"",IF('Capacity summary'!$D$14="Yes",IF(COUNTBLANK('Capacity summary'!$H170:$BG170)&lt;52,IF('Capacity summary'!AX170&lt;&gt;"",IF(LOWER('Capacity summary'!AX170)="x",$BI51*AX51,VALUE('Capacity summary'!AX170)),0),AX51*$BI51),AX51*$BI51),0)</f>
        <v>0</v>
      </c>
      <c r="DB51" s="311">
        <f>IF($BI51&lt;&gt;"",IF('Capacity summary'!$D$14="Yes",IF(COUNTBLANK('Capacity summary'!$H170:$BG170)&lt;52,IF('Capacity summary'!AY170&lt;&gt;"",IF(LOWER('Capacity summary'!AY170)="x",$BI51*AY51,VALUE('Capacity summary'!AY170)),0),AY51*$BI51),AY51*$BI51),0)</f>
        <v>0</v>
      </c>
      <c r="DC51" s="311">
        <f>IF($BI51&lt;&gt;"",IF('Capacity summary'!$D$14="Yes",IF(COUNTBLANK('Capacity summary'!$H170:$BG170)&lt;52,IF('Capacity summary'!AZ170&lt;&gt;"",IF(LOWER('Capacity summary'!AZ170)="x",$BI51*AZ51,VALUE('Capacity summary'!AZ170)),0),AZ51*$BI51),AZ51*$BI51),0)</f>
        <v>0</v>
      </c>
      <c r="DD51" s="311">
        <f>IF($BI51&lt;&gt;"",IF('Capacity summary'!$D$14="Yes",IF(COUNTBLANK('Capacity summary'!$H170:$BG170)&lt;52,IF('Capacity summary'!BA170&lt;&gt;"",IF(LOWER('Capacity summary'!BA170)="x",$BI51*BA51,VALUE('Capacity summary'!BA170)),0),BA51*$BI51),BA51*$BI51),0)</f>
        <v>0</v>
      </c>
      <c r="DE51" s="311">
        <f>IF($BI51&lt;&gt;"",IF('Capacity summary'!$D$14="Yes",IF(COUNTBLANK('Capacity summary'!$H170:$BG170)&lt;52,IF('Capacity summary'!BB170&lt;&gt;"",IF(LOWER('Capacity summary'!BB170)="x",$BI51*BB51,VALUE('Capacity summary'!BB170)),0),BB51*$BI51),BB51*$BI51),0)</f>
        <v>0</v>
      </c>
      <c r="DF51" s="311">
        <f>IF($BI51&lt;&gt;"",IF('Capacity summary'!$D$14="Yes",IF(COUNTBLANK('Capacity summary'!$H170:$BG170)&lt;52,IF('Capacity summary'!BC170&lt;&gt;"",IF(LOWER('Capacity summary'!BC170)="x",$BI51*BC51,VALUE('Capacity summary'!BC170)),0),BC51*$BI51),BC51*$BI51),0)</f>
        <v>0</v>
      </c>
      <c r="DG51" s="311">
        <f>IF($BI51&lt;&gt;"",IF('Capacity summary'!$D$14="Yes",IF(COUNTBLANK('Capacity summary'!$H170:$BG170)&lt;52,IF('Capacity summary'!BD170&lt;&gt;"",IF(LOWER('Capacity summary'!BD170)="x",$BI51*BD51,VALUE('Capacity summary'!BD170)),0),BD51*$BI51),BD51*$BI51),0)</f>
        <v>0</v>
      </c>
      <c r="DH51" s="311">
        <f>IF($BI51&lt;&gt;"",IF('Capacity summary'!$D$14="Yes",IF(COUNTBLANK('Capacity summary'!$H170:$BG170)&lt;52,IF('Capacity summary'!BE170&lt;&gt;"",IF(LOWER('Capacity summary'!BE170)="x",$BI51*BE51,VALUE('Capacity summary'!BE170)),0),BE51*$BI51),BE51*$BI51),0)</f>
        <v>0</v>
      </c>
      <c r="DI51" s="311">
        <f>IF($BI51&lt;&gt;"",IF('Capacity summary'!$D$14="Yes",IF(COUNTBLANK('Capacity summary'!$H170:$BG170)&lt;52,IF('Capacity summary'!BF170&lt;&gt;"",IF(LOWER('Capacity summary'!BF170)="x",$BI51*BF51,VALUE('Capacity summary'!BF170)),0),BF51*$BI51),BF51*$BI51),0)</f>
        <v>0</v>
      </c>
      <c r="DJ51" s="311">
        <f>IF($BI51&lt;&gt;"",IF('Capacity summary'!$D$14="Yes",IF(COUNTBLANK('Capacity summary'!$H170:$BG170)&lt;52,IF('Capacity summary'!BG170&lt;&gt;"",IF(LOWER('Capacity summary'!BG170)="x",$BI51*BG51,VALUE('Capacity summary'!BG170)),0),BG51*$BI51),BG51*$BI51),0)</f>
        <v>0</v>
      </c>
      <c r="DK51" s="391">
        <f t="shared" si="2"/>
        <v>0</v>
      </c>
      <c r="DL51" s="136">
        <f t="shared" si="3"/>
        <v>0</v>
      </c>
      <c r="DM51" s="311" t="str">
        <f>Capacity!H63</f>
        <v/>
      </c>
      <c r="DQ51" s="5"/>
    </row>
    <row r="52" spans="1:121" x14ac:dyDescent="0.2">
      <c r="A52" s="67">
        <f>IF(Capacity!L64='Capacity summary'!BI171,1,0)</f>
        <v>1</v>
      </c>
      <c r="B52" s="67">
        <f>IF(Capacity!V64='Capacity summary'!BI71,1,0)</f>
        <v>1</v>
      </c>
      <c r="C52" s="67" t="str">
        <f>ROW(A48)&amp;". "&amp;Capacity!B64</f>
        <v xml:space="preserve">48. </v>
      </c>
      <c r="D52" s="67">
        <f>'Capacity setup'!C59</f>
        <v>0</v>
      </c>
      <c r="E52" s="67">
        <f>'Capacity setup'!D59</f>
        <v>0</v>
      </c>
      <c r="F52" s="67">
        <f>'Capacity setup'!E59</f>
        <v>0</v>
      </c>
      <c r="H52" s="67">
        <f ca="1">IF(LOWER(Capacity!$L64)="x",IF(AND(SUMIF(Capacity_Resource,$D52,'Critical resources (hide)'!U$6:U$105)+SUMIF(Capacity_Resource,$E52,'Critical resources (hide)'!U$6:U$105)+SUMIF(Capacity_Resource,$F52,'Critical resources (hide)'!U$6:U$105)&gt;0,$E$1=2),0,1),0)</f>
        <v>1</v>
      </c>
      <c r="I52" s="67">
        <f ca="1">IF(LOWER(Capacity!$L64)="x",IF(AND(SUMIF(Capacity_Resource,$D52,'Critical resources (hide)'!V$6:V$105)+SUMIF(Capacity_Resource,$E52,'Critical resources (hide)'!V$6:V$105)+SUMIF(Capacity_Resource,$F52,'Critical resources (hide)'!V$6:V$105)&gt;0,$E$1=2),0,1),0)</f>
        <v>1</v>
      </c>
      <c r="J52" s="67">
        <f ca="1">IF(LOWER(Capacity!$L64)="x",IF(AND(SUMIF(Capacity_Resource,$D52,'Critical resources (hide)'!W$6:W$105)+SUMIF(Capacity_Resource,$E52,'Critical resources (hide)'!W$6:W$105)+SUMIF(Capacity_Resource,$F52,'Critical resources (hide)'!W$6:W$105)&gt;0,$E$1=2),0,1),0)</f>
        <v>1</v>
      </c>
      <c r="K52" s="67">
        <f ca="1">IF(LOWER(Capacity!$L64)="x",IF(AND(SUMIF(Capacity_Resource,$D52,'Critical resources (hide)'!X$6:X$105)+SUMIF(Capacity_Resource,$E52,'Critical resources (hide)'!X$6:X$105)+SUMIF(Capacity_Resource,$F52,'Critical resources (hide)'!X$6:X$105)&gt;0,$E$1=2),0,1),0)</f>
        <v>1</v>
      </c>
      <c r="L52" s="67">
        <f ca="1">IF(LOWER(Capacity!$L64)="x",IF(AND(SUMIF(Capacity_Resource,$D52,'Critical resources (hide)'!Y$6:Y$105)+SUMIF(Capacity_Resource,$E52,'Critical resources (hide)'!Y$6:Y$105)+SUMIF(Capacity_Resource,$F52,'Critical resources (hide)'!Y$6:Y$105)&gt;0,$E$1=2),0,1),0)</f>
        <v>1</v>
      </c>
      <c r="M52" s="67">
        <f ca="1">IF(LOWER(Capacity!$L64)="x",IF(AND(SUMIF(Capacity_Resource,$D52,'Critical resources (hide)'!Z$6:Z$105)+SUMIF(Capacity_Resource,$E52,'Critical resources (hide)'!Z$6:Z$105)+SUMIF(Capacity_Resource,$F52,'Critical resources (hide)'!Z$6:Z$105)&gt;0,$E$1=2),0,1),0)</f>
        <v>1</v>
      </c>
      <c r="N52" s="67">
        <f ca="1">IF(LOWER(Capacity!$L64)="x",IF(AND(SUMIF(Capacity_Resource,$D52,'Critical resources (hide)'!AA$6:AA$105)+SUMIF(Capacity_Resource,$E52,'Critical resources (hide)'!AA$6:AA$105)+SUMIF(Capacity_Resource,$F52,'Critical resources (hide)'!AA$6:AA$105)&gt;0,$E$1=2),0,1),0)</f>
        <v>1</v>
      </c>
      <c r="O52" s="67">
        <f ca="1">IF(LOWER(Capacity!$L64)="x",IF(AND(SUMIF(Capacity_Resource,$D52,'Critical resources (hide)'!AB$6:AB$105)+SUMIF(Capacity_Resource,$E52,'Critical resources (hide)'!AB$6:AB$105)+SUMIF(Capacity_Resource,$F52,'Critical resources (hide)'!AB$6:AB$105)&gt;0,$E$1=2),0,1),0)</f>
        <v>1</v>
      </c>
      <c r="P52" s="67">
        <f ca="1">IF(LOWER(Capacity!$L64)="x",IF(AND(SUMIF(Capacity_Resource,$D52,'Critical resources (hide)'!AC$6:AC$105)+SUMIF(Capacity_Resource,$E52,'Critical resources (hide)'!AC$6:AC$105)+SUMIF(Capacity_Resource,$F52,'Critical resources (hide)'!AC$6:AC$105)&gt;0,$E$1=2),0,1),0)</f>
        <v>1</v>
      </c>
      <c r="Q52" s="67">
        <f ca="1">IF(LOWER(Capacity!$L64)="x",IF(AND(SUMIF(Capacity_Resource,$D52,'Critical resources (hide)'!AD$6:AD$105)+SUMIF(Capacity_Resource,$E52,'Critical resources (hide)'!AD$6:AD$105)+SUMIF(Capacity_Resource,$F52,'Critical resources (hide)'!AD$6:AD$105)&gt;0,$E$1=2),0,1),0)</f>
        <v>1</v>
      </c>
      <c r="R52" s="67">
        <f ca="1">IF(LOWER(Capacity!$L64)="x",IF(AND(SUMIF(Capacity_Resource,$D52,'Critical resources (hide)'!AE$6:AE$105)+SUMIF(Capacity_Resource,$E52,'Critical resources (hide)'!AE$6:AE$105)+SUMIF(Capacity_Resource,$F52,'Critical resources (hide)'!AE$6:AE$105)&gt;0,$E$1=2),0,1),0)</f>
        <v>1</v>
      </c>
      <c r="S52" s="67">
        <f ca="1">IF(LOWER(Capacity!$L64)="x",IF(AND(SUMIF(Capacity_Resource,$D52,'Critical resources (hide)'!AF$6:AF$105)+SUMIF(Capacity_Resource,$E52,'Critical resources (hide)'!AF$6:AF$105)+SUMIF(Capacity_Resource,$F52,'Critical resources (hide)'!AF$6:AF$105)&gt;0,$E$1=2),0,1),0)</f>
        <v>1</v>
      </c>
      <c r="T52" s="67">
        <f ca="1">IF(LOWER(Capacity!$L64)="x",IF(AND(SUMIF(Capacity_Resource,$D52,'Critical resources (hide)'!AG$6:AG$105)+SUMIF(Capacity_Resource,$E52,'Critical resources (hide)'!AG$6:AG$105)+SUMIF(Capacity_Resource,$F52,'Critical resources (hide)'!AG$6:AG$105)&gt;0,$E$1=2),0,1),0)</f>
        <v>1</v>
      </c>
      <c r="U52" s="67">
        <f ca="1">IF(LOWER(Capacity!$L64)="x",IF(AND(SUMIF(Capacity_Resource,$D52,'Critical resources (hide)'!AH$6:AH$105)+SUMIF(Capacity_Resource,$E52,'Critical resources (hide)'!AH$6:AH$105)+SUMIF(Capacity_Resource,$F52,'Critical resources (hide)'!AH$6:AH$105)&gt;0,$E$1=2),0,1),0)</f>
        <v>1</v>
      </c>
      <c r="V52" s="67">
        <f ca="1">IF(LOWER(Capacity!$L64)="x",IF(AND(SUMIF(Capacity_Resource,$D52,'Critical resources (hide)'!AI$6:AI$105)+SUMIF(Capacity_Resource,$E52,'Critical resources (hide)'!AI$6:AI$105)+SUMIF(Capacity_Resource,$F52,'Critical resources (hide)'!AI$6:AI$105)&gt;0,$E$1=2),0,1),0)</f>
        <v>1</v>
      </c>
      <c r="W52" s="67">
        <f ca="1">IF(LOWER(Capacity!$L64)="x",IF(AND(SUMIF(Capacity_Resource,$D52,'Critical resources (hide)'!AJ$6:AJ$105)+SUMIF(Capacity_Resource,$E52,'Critical resources (hide)'!AJ$6:AJ$105)+SUMIF(Capacity_Resource,$F52,'Critical resources (hide)'!AJ$6:AJ$105)&gt;0,$E$1=2),0,1),0)</f>
        <v>1</v>
      </c>
      <c r="X52" s="67">
        <f ca="1">IF(LOWER(Capacity!$L64)="x",IF(AND(SUMIF(Capacity_Resource,$D52,'Critical resources (hide)'!AK$6:AK$105)+SUMIF(Capacity_Resource,$E52,'Critical resources (hide)'!AK$6:AK$105)+SUMIF(Capacity_Resource,$F52,'Critical resources (hide)'!AK$6:AK$105)&gt;0,$E$1=2),0,1),0)</f>
        <v>1</v>
      </c>
      <c r="Y52" s="67">
        <f ca="1">IF(LOWER(Capacity!$L64)="x",IF(AND(SUMIF(Capacity_Resource,$D52,'Critical resources (hide)'!AL$6:AL$105)+SUMIF(Capacity_Resource,$E52,'Critical resources (hide)'!AL$6:AL$105)+SUMIF(Capacity_Resource,$F52,'Critical resources (hide)'!AL$6:AL$105)&gt;0,$E$1=2),0,1),0)</f>
        <v>1</v>
      </c>
      <c r="Z52" s="67">
        <f ca="1">IF(LOWER(Capacity!$L64)="x",IF(AND(SUMIF(Capacity_Resource,$D52,'Critical resources (hide)'!AM$6:AM$105)+SUMIF(Capacity_Resource,$E52,'Critical resources (hide)'!AM$6:AM$105)+SUMIF(Capacity_Resource,$F52,'Critical resources (hide)'!AM$6:AM$105)&gt;0,$E$1=2),0,1),0)</f>
        <v>1</v>
      </c>
      <c r="AA52" s="67">
        <f ca="1">IF(LOWER(Capacity!$L64)="x",IF(AND(SUMIF(Capacity_Resource,$D52,'Critical resources (hide)'!AN$6:AN$105)+SUMIF(Capacity_Resource,$E52,'Critical resources (hide)'!AN$6:AN$105)+SUMIF(Capacity_Resource,$F52,'Critical resources (hide)'!AN$6:AN$105)&gt;0,$E$1=2),0,1),0)</f>
        <v>1</v>
      </c>
      <c r="AB52" s="67">
        <f ca="1">IF(LOWER(Capacity!$L64)="x",IF(AND(SUMIF(Capacity_Resource,$D52,'Critical resources (hide)'!AO$6:AO$105)+SUMIF(Capacity_Resource,$E52,'Critical resources (hide)'!AO$6:AO$105)+SUMIF(Capacity_Resource,$F52,'Critical resources (hide)'!AO$6:AO$105)&gt;0,$E$1=2),0,1),0)</f>
        <v>1</v>
      </c>
      <c r="AC52" s="67">
        <f ca="1">IF(LOWER(Capacity!$L64)="x",IF(AND(SUMIF(Capacity_Resource,$D52,'Critical resources (hide)'!AP$6:AP$105)+SUMIF(Capacity_Resource,$E52,'Critical resources (hide)'!AP$6:AP$105)+SUMIF(Capacity_Resource,$F52,'Critical resources (hide)'!AP$6:AP$105)&gt;0,$E$1=2),0,1),0)</f>
        <v>1</v>
      </c>
      <c r="AD52" s="67">
        <f ca="1">IF(LOWER(Capacity!$L64)="x",IF(AND(SUMIF(Capacity_Resource,$D52,'Critical resources (hide)'!AQ$6:AQ$105)+SUMIF(Capacity_Resource,$E52,'Critical resources (hide)'!AQ$6:AQ$105)+SUMIF(Capacity_Resource,$F52,'Critical resources (hide)'!AQ$6:AQ$105)&gt;0,$E$1=2),0,1),0)</f>
        <v>1</v>
      </c>
      <c r="AE52" s="67">
        <f ca="1">IF(LOWER(Capacity!$L64)="x",IF(AND(SUMIF(Capacity_Resource,$D52,'Critical resources (hide)'!AR$6:AR$105)+SUMIF(Capacity_Resource,$E52,'Critical resources (hide)'!AR$6:AR$105)+SUMIF(Capacity_Resource,$F52,'Critical resources (hide)'!AR$6:AR$105)&gt;0,$E$1=2),0,1),0)</f>
        <v>1</v>
      </c>
      <c r="AF52" s="67">
        <f ca="1">IF(LOWER(Capacity!$L64)="x",IF(AND(SUMIF(Capacity_Resource,$D52,'Critical resources (hide)'!AS$6:AS$105)+SUMIF(Capacity_Resource,$E52,'Critical resources (hide)'!AS$6:AS$105)+SUMIF(Capacity_Resource,$F52,'Critical resources (hide)'!AS$6:AS$105)&gt;0,$E$1=2),0,1),0)</f>
        <v>1</v>
      </c>
      <c r="AG52" s="67">
        <f ca="1">IF(LOWER(Capacity!$L64)="x",IF(AND(SUMIF(Capacity_Resource,$D52,'Critical resources (hide)'!AT$6:AT$105)+SUMIF(Capacity_Resource,$E52,'Critical resources (hide)'!AT$6:AT$105)+SUMIF(Capacity_Resource,$F52,'Critical resources (hide)'!AT$6:AT$105)&gt;0,$E$1=2),0,1),0)</f>
        <v>1</v>
      </c>
      <c r="AH52" s="67">
        <f ca="1">IF(LOWER(Capacity!$L64)="x",IF(AND(SUMIF(Capacity_Resource,$D52,'Critical resources (hide)'!AU$6:AU$105)+SUMIF(Capacity_Resource,$E52,'Critical resources (hide)'!AU$6:AU$105)+SUMIF(Capacity_Resource,$F52,'Critical resources (hide)'!AU$6:AU$105)&gt;0,$E$1=2),0,1),0)</f>
        <v>1</v>
      </c>
      <c r="AI52" s="67">
        <f ca="1">IF(LOWER(Capacity!$L64)="x",IF(AND(SUMIF(Capacity_Resource,$D52,'Critical resources (hide)'!AV$6:AV$105)+SUMIF(Capacity_Resource,$E52,'Critical resources (hide)'!AV$6:AV$105)+SUMIF(Capacity_Resource,$F52,'Critical resources (hide)'!AV$6:AV$105)&gt;0,$E$1=2),0,1),0)</f>
        <v>1</v>
      </c>
      <c r="AJ52" s="67">
        <f ca="1">IF(LOWER(Capacity!$L64)="x",IF(AND(SUMIF(Capacity_Resource,$D52,'Critical resources (hide)'!AW$6:AW$105)+SUMIF(Capacity_Resource,$E52,'Critical resources (hide)'!AW$6:AW$105)+SUMIF(Capacity_Resource,$F52,'Critical resources (hide)'!AW$6:AW$105)&gt;0,$E$1=2),0,1),0)</f>
        <v>1</v>
      </c>
      <c r="AK52" s="67">
        <f ca="1">IF(LOWER(Capacity!$L64)="x",IF(AND(SUMIF(Capacity_Resource,$D52,'Critical resources (hide)'!AX$6:AX$105)+SUMIF(Capacity_Resource,$E52,'Critical resources (hide)'!AX$6:AX$105)+SUMIF(Capacity_Resource,$F52,'Critical resources (hide)'!AX$6:AX$105)&gt;0,$E$1=2),0,1),0)</f>
        <v>1</v>
      </c>
      <c r="AL52" s="67">
        <f ca="1">IF(LOWER(Capacity!$L64)="x",IF(AND(SUMIF(Capacity_Resource,$D52,'Critical resources (hide)'!AY$6:AY$105)+SUMIF(Capacity_Resource,$E52,'Critical resources (hide)'!AY$6:AY$105)+SUMIF(Capacity_Resource,$F52,'Critical resources (hide)'!AY$6:AY$105)&gt;0,$E$1=2),0,1),0)</f>
        <v>1</v>
      </c>
      <c r="AM52" s="67">
        <f ca="1">IF(LOWER(Capacity!$L64)="x",IF(AND(SUMIF(Capacity_Resource,$D52,'Critical resources (hide)'!AZ$6:AZ$105)+SUMIF(Capacity_Resource,$E52,'Critical resources (hide)'!AZ$6:AZ$105)+SUMIF(Capacity_Resource,$F52,'Critical resources (hide)'!AZ$6:AZ$105)&gt;0,$E$1=2),0,1),0)</f>
        <v>1</v>
      </c>
      <c r="AN52" s="67">
        <f ca="1">IF(LOWER(Capacity!$L64)="x",IF(AND(SUMIF(Capacity_Resource,$D52,'Critical resources (hide)'!BA$6:BA$105)+SUMIF(Capacity_Resource,$E52,'Critical resources (hide)'!BA$6:BA$105)+SUMIF(Capacity_Resource,$F52,'Critical resources (hide)'!BA$6:BA$105)&gt;0,$E$1=2),0,1),0)</f>
        <v>1</v>
      </c>
      <c r="AO52" s="67">
        <f ca="1">IF(LOWER(Capacity!$L64)="x",IF(AND(SUMIF(Capacity_Resource,$D52,'Critical resources (hide)'!BB$6:BB$105)+SUMIF(Capacity_Resource,$E52,'Critical resources (hide)'!BB$6:BB$105)+SUMIF(Capacity_Resource,$F52,'Critical resources (hide)'!BB$6:BB$105)&gt;0,$E$1=2),0,1),0)</f>
        <v>1</v>
      </c>
      <c r="AP52" s="67">
        <f ca="1">IF(LOWER(Capacity!$L64)="x",IF(AND(SUMIF(Capacity_Resource,$D52,'Critical resources (hide)'!BC$6:BC$105)+SUMIF(Capacity_Resource,$E52,'Critical resources (hide)'!BC$6:BC$105)+SUMIF(Capacity_Resource,$F52,'Critical resources (hide)'!BC$6:BC$105)&gt;0,$E$1=2),0,1),0)</f>
        <v>1</v>
      </c>
      <c r="AQ52" s="67">
        <f ca="1">IF(LOWER(Capacity!$L64)="x",IF(AND(SUMIF(Capacity_Resource,$D52,'Critical resources (hide)'!BD$6:BD$105)+SUMIF(Capacity_Resource,$E52,'Critical resources (hide)'!BD$6:BD$105)+SUMIF(Capacity_Resource,$F52,'Critical resources (hide)'!BD$6:BD$105)&gt;0,$E$1=2),0,1),0)</f>
        <v>1</v>
      </c>
      <c r="AR52" s="67">
        <f ca="1">IF(LOWER(Capacity!$L64)="x",IF(AND(SUMIF(Capacity_Resource,$D52,'Critical resources (hide)'!BE$6:BE$105)+SUMIF(Capacity_Resource,$E52,'Critical resources (hide)'!BE$6:BE$105)+SUMIF(Capacity_Resource,$F52,'Critical resources (hide)'!BE$6:BE$105)&gt;0,$E$1=2),0,1),0)</f>
        <v>1</v>
      </c>
      <c r="AS52" s="67">
        <f ca="1">IF(LOWER(Capacity!$L64)="x",IF(AND(SUMIF(Capacity_Resource,$D52,'Critical resources (hide)'!BF$6:BF$105)+SUMIF(Capacity_Resource,$E52,'Critical resources (hide)'!BF$6:BF$105)+SUMIF(Capacity_Resource,$F52,'Critical resources (hide)'!BF$6:BF$105)&gt;0,$E$1=2),0,1),0)</f>
        <v>1</v>
      </c>
      <c r="AT52" s="67">
        <f ca="1">IF(LOWER(Capacity!$L64)="x",IF(AND(SUMIF(Capacity_Resource,$D52,'Critical resources (hide)'!BG$6:BG$105)+SUMIF(Capacity_Resource,$E52,'Critical resources (hide)'!BG$6:BG$105)+SUMIF(Capacity_Resource,$F52,'Critical resources (hide)'!BG$6:BG$105)&gt;0,$E$1=2),0,1),0)</f>
        <v>1</v>
      </c>
      <c r="AU52" s="67">
        <f ca="1">IF(LOWER(Capacity!$L64)="x",IF(AND(SUMIF(Capacity_Resource,$D52,'Critical resources (hide)'!BH$6:BH$105)+SUMIF(Capacity_Resource,$E52,'Critical resources (hide)'!BH$6:BH$105)+SUMIF(Capacity_Resource,$F52,'Critical resources (hide)'!BH$6:BH$105)&gt;0,$E$1=2),0,1),0)</f>
        <v>1</v>
      </c>
      <c r="AV52" s="67">
        <f ca="1">IF(LOWER(Capacity!$L64)="x",IF(AND(SUMIF(Capacity_Resource,$D52,'Critical resources (hide)'!BI$6:BI$105)+SUMIF(Capacity_Resource,$E52,'Critical resources (hide)'!BI$6:BI$105)+SUMIF(Capacity_Resource,$F52,'Critical resources (hide)'!BI$6:BI$105)&gt;0,$E$1=2),0,1),0)</f>
        <v>1</v>
      </c>
      <c r="AW52" s="67">
        <f ca="1">IF(LOWER(Capacity!$L64)="x",IF(AND(SUMIF(Capacity_Resource,$D52,'Critical resources (hide)'!BJ$6:BJ$105)+SUMIF(Capacity_Resource,$E52,'Critical resources (hide)'!BJ$6:BJ$105)+SUMIF(Capacity_Resource,$F52,'Critical resources (hide)'!BJ$6:BJ$105)&gt;0,$E$1=2),0,1),0)</f>
        <v>1</v>
      </c>
      <c r="AX52" s="67">
        <f ca="1">IF(LOWER(Capacity!$L64)="x",IF(AND(SUMIF(Capacity_Resource,$D52,'Critical resources (hide)'!BK$6:BK$105)+SUMIF(Capacity_Resource,$E52,'Critical resources (hide)'!BK$6:BK$105)+SUMIF(Capacity_Resource,$F52,'Critical resources (hide)'!BK$6:BK$105)&gt;0,$E$1=2),0,1),0)</f>
        <v>1</v>
      </c>
      <c r="AY52" s="67">
        <f ca="1">IF(LOWER(Capacity!$L64)="x",IF(AND(SUMIF(Capacity_Resource,$D52,'Critical resources (hide)'!BL$6:BL$105)+SUMIF(Capacity_Resource,$E52,'Critical resources (hide)'!BL$6:BL$105)+SUMIF(Capacity_Resource,$F52,'Critical resources (hide)'!BL$6:BL$105)&gt;0,$E$1=2),0,1),0)</f>
        <v>1</v>
      </c>
      <c r="AZ52" s="67">
        <f ca="1">IF(LOWER(Capacity!$L64)="x",IF(AND(SUMIF(Capacity_Resource,$D52,'Critical resources (hide)'!BM$6:BM$105)+SUMIF(Capacity_Resource,$E52,'Critical resources (hide)'!BM$6:BM$105)+SUMIF(Capacity_Resource,$F52,'Critical resources (hide)'!BM$6:BM$105)&gt;0,$E$1=2),0,1),0)</f>
        <v>1</v>
      </c>
      <c r="BA52" s="67">
        <f ca="1">IF(LOWER(Capacity!$L64)="x",IF(AND(SUMIF(Capacity_Resource,$D52,'Critical resources (hide)'!BN$6:BN$105)+SUMIF(Capacity_Resource,$E52,'Critical resources (hide)'!BN$6:BN$105)+SUMIF(Capacity_Resource,$F52,'Critical resources (hide)'!BN$6:BN$105)&gt;0,$E$1=2),0,1),0)</f>
        <v>1</v>
      </c>
      <c r="BB52" s="67">
        <f ca="1">IF(LOWER(Capacity!$L64)="x",IF(AND(SUMIF(Capacity_Resource,$D52,'Critical resources (hide)'!BO$6:BO$105)+SUMIF(Capacity_Resource,$E52,'Critical resources (hide)'!BO$6:BO$105)+SUMIF(Capacity_Resource,$F52,'Critical resources (hide)'!BO$6:BO$105)&gt;0,$E$1=2),0,1),0)</f>
        <v>1</v>
      </c>
      <c r="BC52" s="67">
        <f ca="1">IF(LOWER(Capacity!$L64)="x",IF(AND(SUMIF(Capacity_Resource,$D52,'Critical resources (hide)'!BP$6:BP$105)+SUMIF(Capacity_Resource,$E52,'Critical resources (hide)'!BP$6:BP$105)+SUMIF(Capacity_Resource,$F52,'Critical resources (hide)'!BP$6:BP$105)&gt;0,$E$1=2),0,1),0)</f>
        <v>1</v>
      </c>
      <c r="BD52" s="67">
        <f ca="1">IF(LOWER(Capacity!$L64)="x",IF(AND(SUMIF(Capacity_Resource,$D52,'Critical resources (hide)'!BQ$6:BQ$105)+SUMIF(Capacity_Resource,$E52,'Critical resources (hide)'!BQ$6:BQ$105)+SUMIF(Capacity_Resource,$F52,'Critical resources (hide)'!BQ$6:BQ$105)&gt;0,$E$1=2),0,1),0)</f>
        <v>1</v>
      </c>
      <c r="BE52" s="67">
        <f ca="1">IF(LOWER(Capacity!$L64)="x",IF(AND(SUMIF(Capacity_Resource,$D52,'Critical resources (hide)'!BR$6:BR$105)+SUMIF(Capacity_Resource,$E52,'Critical resources (hide)'!BR$6:BR$105)+SUMIF(Capacity_Resource,$F52,'Critical resources (hide)'!BR$6:BR$105)&gt;0,$E$1=2),0,1),0)</f>
        <v>1</v>
      </c>
      <c r="BF52" s="67">
        <f ca="1">IF(LOWER(Capacity!$L64)="x",IF(AND(SUMIF(Capacity_Resource,$D52,'Critical resources (hide)'!BS$6:BS$105)+SUMIF(Capacity_Resource,$E52,'Critical resources (hide)'!BS$6:BS$105)+SUMIF(Capacity_Resource,$F52,'Critical resources (hide)'!BS$6:BS$105)&gt;0,$E$1=2),0,1),0)</f>
        <v>1</v>
      </c>
      <c r="BG52" s="67">
        <f ca="1">IF(LOWER(Capacity!$L64)="x",IF(AND(SUMIF(Capacity_Resource,$D52,'Critical resources (hide)'!BT$6:BT$105)+SUMIF(Capacity_Resource,$E52,'Critical resources (hide)'!BT$6:BT$105)+SUMIF(Capacity_Resource,$F52,'Critical resources (hide)'!BT$6:BT$105)&gt;0,$E$1=2),0,1),0)</f>
        <v>1</v>
      </c>
      <c r="BH52" s="67">
        <f>IF(ROW(C48)&lt;=Capacity!$A$16,IF('Capacity summary'!$D$14="No",SUM(H52:BG52),'Capacity summary'!$E171),0)</f>
        <v>0</v>
      </c>
      <c r="BI52" s="5" t="str">
        <f>IF(BH52&gt;0,IF(BH52&lt;Capacity!E64,Capacity!F64,Capacity!H64/'Capacity calculation (hide)'!BH52),"")</f>
        <v/>
      </c>
      <c r="BK52" s="311">
        <f>IF($BI52&lt;&gt;"",IF('Capacity summary'!$D$14="Yes",IF(COUNTBLANK('Capacity summary'!$H171:$BG171)&lt;52,IF('Capacity summary'!H171&lt;&gt;"",IF(LOWER('Capacity summary'!H171)="x",$BI52*H52,VALUE('Capacity summary'!H171)),0),H52*$BI52),H52*$BI52),0)</f>
        <v>0</v>
      </c>
      <c r="BL52" s="311">
        <f>IF($BI52&lt;&gt;"",IF('Capacity summary'!$D$14="Yes",IF(COUNTBLANK('Capacity summary'!$H171:$BG171)&lt;52,IF('Capacity summary'!I171&lt;&gt;"",IF(LOWER('Capacity summary'!I171)="x",$BI52*I52,VALUE('Capacity summary'!I171)),0),I52*$BI52),I52*$BI52),0)</f>
        <v>0</v>
      </c>
      <c r="BM52" s="311">
        <f>IF($BI52&lt;&gt;"",IF('Capacity summary'!$D$14="Yes",IF(COUNTBLANK('Capacity summary'!$H171:$BG171)&lt;52,IF('Capacity summary'!J171&lt;&gt;"",IF(LOWER('Capacity summary'!J171)="x",$BI52*J52,VALUE('Capacity summary'!J171)),0),J52*$BI52),J52*$BI52),0)</f>
        <v>0</v>
      </c>
      <c r="BN52" s="311">
        <f>IF($BI52&lt;&gt;"",IF('Capacity summary'!$D$14="Yes",IF(COUNTBLANK('Capacity summary'!$H171:$BG171)&lt;52,IF('Capacity summary'!K171&lt;&gt;"",IF(LOWER('Capacity summary'!K171)="x",$BI52*K52,VALUE('Capacity summary'!K171)),0),K52*$BI52),K52*$BI52),0)</f>
        <v>0</v>
      </c>
      <c r="BO52" s="311">
        <f>IF($BI52&lt;&gt;"",IF('Capacity summary'!$D$14="Yes",IF(COUNTBLANK('Capacity summary'!$H171:$BG171)&lt;52,IF('Capacity summary'!L171&lt;&gt;"",IF(LOWER('Capacity summary'!L171)="x",$BI52*L52,VALUE('Capacity summary'!L171)),0),L52*$BI52),L52*$BI52),0)</f>
        <v>0</v>
      </c>
      <c r="BP52" s="311">
        <f>IF($BI52&lt;&gt;"",IF('Capacity summary'!$D$14="Yes",IF(COUNTBLANK('Capacity summary'!$H171:$BG171)&lt;52,IF('Capacity summary'!M171&lt;&gt;"",IF(LOWER('Capacity summary'!M171)="x",$BI52*M52,VALUE('Capacity summary'!M171)),0),M52*$BI52),M52*$BI52),0)</f>
        <v>0</v>
      </c>
      <c r="BQ52" s="311">
        <f>IF($BI52&lt;&gt;"",IF('Capacity summary'!$D$14="Yes",IF(COUNTBLANK('Capacity summary'!$H171:$BG171)&lt;52,IF('Capacity summary'!N171&lt;&gt;"",IF(LOWER('Capacity summary'!N171)="x",$BI52*N52,VALUE('Capacity summary'!N171)),0),N52*$BI52),N52*$BI52),0)</f>
        <v>0</v>
      </c>
      <c r="BR52" s="311">
        <f>IF($BI52&lt;&gt;"",IF('Capacity summary'!$D$14="Yes",IF(COUNTBLANK('Capacity summary'!$H171:$BG171)&lt;52,IF('Capacity summary'!O171&lt;&gt;"",IF(LOWER('Capacity summary'!O171)="x",$BI52*O52,VALUE('Capacity summary'!O171)),0),O52*$BI52),O52*$BI52),0)</f>
        <v>0</v>
      </c>
      <c r="BS52" s="311">
        <f>IF($BI52&lt;&gt;"",IF('Capacity summary'!$D$14="Yes",IF(COUNTBLANK('Capacity summary'!$H171:$BG171)&lt;52,IF('Capacity summary'!P171&lt;&gt;"",IF(LOWER('Capacity summary'!P171)="x",$BI52*P52,VALUE('Capacity summary'!P171)),0),P52*$BI52),P52*$BI52),0)</f>
        <v>0</v>
      </c>
      <c r="BT52" s="311">
        <f>IF($BI52&lt;&gt;"",IF('Capacity summary'!$D$14="Yes",IF(COUNTBLANK('Capacity summary'!$H171:$BG171)&lt;52,IF('Capacity summary'!Q171&lt;&gt;"",IF(LOWER('Capacity summary'!Q171)="x",$BI52*Q52,VALUE('Capacity summary'!Q171)),0),Q52*$BI52),Q52*$BI52),0)</f>
        <v>0</v>
      </c>
      <c r="BU52" s="311">
        <f>IF($BI52&lt;&gt;"",IF('Capacity summary'!$D$14="Yes",IF(COUNTBLANK('Capacity summary'!$H171:$BG171)&lt;52,IF('Capacity summary'!R171&lt;&gt;"",IF(LOWER('Capacity summary'!R171)="x",$BI52*R52,VALUE('Capacity summary'!R171)),0),R52*$BI52),R52*$BI52),0)</f>
        <v>0</v>
      </c>
      <c r="BV52" s="311">
        <f>IF($BI52&lt;&gt;"",IF('Capacity summary'!$D$14="Yes",IF(COUNTBLANK('Capacity summary'!$H171:$BG171)&lt;52,IF('Capacity summary'!S171&lt;&gt;"",IF(LOWER('Capacity summary'!S171)="x",$BI52*S52,VALUE('Capacity summary'!S171)),0),S52*$BI52),S52*$BI52),0)</f>
        <v>0</v>
      </c>
      <c r="BW52" s="311">
        <f>IF($BI52&lt;&gt;"",IF('Capacity summary'!$D$14="Yes",IF(COUNTBLANK('Capacity summary'!$H171:$BG171)&lt;52,IF('Capacity summary'!T171&lt;&gt;"",IF(LOWER('Capacity summary'!T171)="x",$BI52*T52,VALUE('Capacity summary'!T171)),0),T52*$BI52),T52*$BI52),0)</f>
        <v>0</v>
      </c>
      <c r="BX52" s="311">
        <f>IF($BI52&lt;&gt;"",IF('Capacity summary'!$D$14="Yes",IF(COUNTBLANK('Capacity summary'!$H171:$BG171)&lt;52,IF('Capacity summary'!U171&lt;&gt;"",IF(LOWER('Capacity summary'!U171)="x",$BI52*U52,VALUE('Capacity summary'!U171)),0),U52*$BI52),U52*$BI52),0)</f>
        <v>0</v>
      </c>
      <c r="BY52" s="311">
        <f>IF($BI52&lt;&gt;"",IF('Capacity summary'!$D$14="Yes",IF(COUNTBLANK('Capacity summary'!$H171:$BG171)&lt;52,IF('Capacity summary'!V171&lt;&gt;"",IF(LOWER('Capacity summary'!V171)="x",$BI52*V52,VALUE('Capacity summary'!V171)),0),V52*$BI52),V52*$BI52),0)</f>
        <v>0</v>
      </c>
      <c r="BZ52" s="311">
        <f>IF($BI52&lt;&gt;"",IF('Capacity summary'!$D$14="Yes",IF(COUNTBLANK('Capacity summary'!$H171:$BG171)&lt;52,IF('Capacity summary'!W171&lt;&gt;"",IF(LOWER('Capacity summary'!W171)="x",$BI52*W52,VALUE('Capacity summary'!W171)),0),W52*$BI52),W52*$BI52),0)</f>
        <v>0</v>
      </c>
      <c r="CA52" s="311">
        <f>IF($BI52&lt;&gt;"",IF('Capacity summary'!$D$14="Yes",IF(COUNTBLANK('Capacity summary'!$H171:$BG171)&lt;52,IF('Capacity summary'!X171&lt;&gt;"",IF(LOWER('Capacity summary'!X171)="x",$BI52*X52,VALUE('Capacity summary'!X171)),0),X52*$BI52),X52*$BI52),0)</f>
        <v>0</v>
      </c>
      <c r="CB52" s="311">
        <f>IF($BI52&lt;&gt;"",IF('Capacity summary'!$D$14="Yes",IF(COUNTBLANK('Capacity summary'!$H171:$BG171)&lt;52,IF('Capacity summary'!Y171&lt;&gt;"",IF(LOWER('Capacity summary'!Y171)="x",$BI52*Y52,VALUE('Capacity summary'!Y171)),0),Y52*$BI52),Y52*$BI52),0)</f>
        <v>0</v>
      </c>
      <c r="CC52" s="311">
        <f>IF($BI52&lt;&gt;"",IF('Capacity summary'!$D$14="Yes",IF(COUNTBLANK('Capacity summary'!$H171:$BG171)&lt;52,IF('Capacity summary'!Z171&lt;&gt;"",IF(LOWER('Capacity summary'!Z171)="x",$BI52*Z52,VALUE('Capacity summary'!Z171)),0),Z52*$BI52),Z52*$BI52),0)</f>
        <v>0</v>
      </c>
      <c r="CD52" s="311">
        <f>IF($BI52&lt;&gt;"",IF('Capacity summary'!$D$14="Yes",IF(COUNTBLANK('Capacity summary'!$H171:$BG171)&lt;52,IF('Capacity summary'!AA171&lt;&gt;"",IF(LOWER('Capacity summary'!AA171)="x",$BI52*AA52,VALUE('Capacity summary'!AA171)),0),AA52*$BI52),AA52*$BI52),0)</f>
        <v>0</v>
      </c>
      <c r="CE52" s="311">
        <f>IF($BI52&lt;&gt;"",IF('Capacity summary'!$D$14="Yes",IF(COUNTBLANK('Capacity summary'!$H171:$BG171)&lt;52,IF('Capacity summary'!AB171&lt;&gt;"",IF(LOWER('Capacity summary'!AB171)="x",$BI52*AB52,VALUE('Capacity summary'!AB171)),0),AB52*$BI52),AB52*$BI52),0)</f>
        <v>0</v>
      </c>
      <c r="CF52" s="311">
        <f>IF($BI52&lt;&gt;"",IF('Capacity summary'!$D$14="Yes",IF(COUNTBLANK('Capacity summary'!$H171:$BG171)&lt;52,IF('Capacity summary'!AC171&lt;&gt;"",IF(LOWER('Capacity summary'!AC171)="x",$BI52*AC52,VALUE('Capacity summary'!AC171)),0),AC52*$BI52),AC52*$BI52),0)</f>
        <v>0</v>
      </c>
      <c r="CG52" s="311">
        <f>IF($BI52&lt;&gt;"",IF('Capacity summary'!$D$14="Yes",IF(COUNTBLANK('Capacity summary'!$H171:$BG171)&lt;52,IF('Capacity summary'!AD171&lt;&gt;"",IF(LOWER('Capacity summary'!AD171)="x",$BI52*AD52,VALUE('Capacity summary'!AD171)),0),AD52*$BI52),AD52*$BI52),0)</f>
        <v>0</v>
      </c>
      <c r="CH52" s="311">
        <f>IF($BI52&lt;&gt;"",IF('Capacity summary'!$D$14="Yes",IF(COUNTBLANK('Capacity summary'!$H171:$BG171)&lt;52,IF('Capacity summary'!AE171&lt;&gt;"",IF(LOWER('Capacity summary'!AE171)="x",$BI52*AE52,VALUE('Capacity summary'!AE171)),0),AE52*$BI52),AE52*$BI52),0)</f>
        <v>0</v>
      </c>
      <c r="CI52" s="311">
        <f>IF($BI52&lt;&gt;"",IF('Capacity summary'!$D$14="Yes",IF(COUNTBLANK('Capacity summary'!$H171:$BG171)&lt;52,IF('Capacity summary'!AF171&lt;&gt;"",IF(LOWER('Capacity summary'!AF171)="x",$BI52*AF52,VALUE('Capacity summary'!AF171)),0),AF52*$BI52),AF52*$BI52),0)</f>
        <v>0</v>
      </c>
      <c r="CJ52" s="311">
        <f>IF($BI52&lt;&gt;"",IF('Capacity summary'!$D$14="Yes",IF(COUNTBLANK('Capacity summary'!$H171:$BG171)&lt;52,IF('Capacity summary'!AG171&lt;&gt;"",IF(LOWER('Capacity summary'!AG171)="x",$BI52*AG52,VALUE('Capacity summary'!AG171)),0),AG52*$BI52),AG52*$BI52),0)</f>
        <v>0</v>
      </c>
      <c r="CK52" s="311">
        <f>IF($BI52&lt;&gt;"",IF('Capacity summary'!$D$14="Yes",IF(COUNTBLANK('Capacity summary'!$H171:$BG171)&lt;52,IF('Capacity summary'!AH171&lt;&gt;"",IF(LOWER('Capacity summary'!AH171)="x",$BI52*AH52,VALUE('Capacity summary'!AH171)),0),AH52*$BI52),AH52*$BI52),0)</f>
        <v>0</v>
      </c>
      <c r="CL52" s="311">
        <f>IF($BI52&lt;&gt;"",IF('Capacity summary'!$D$14="Yes",IF(COUNTBLANK('Capacity summary'!$H171:$BG171)&lt;52,IF('Capacity summary'!AI171&lt;&gt;"",IF(LOWER('Capacity summary'!AI171)="x",$BI52*AI52,VALUE('Capacity summary'!AI171)),0),AI52*$BI52),AI52*$BI52),0)</f>
        <v>0</v>
      </c>
      <c r="CM52" s="311">
        <f>IF($BI52&lt;&gt;"",IF('Capacity summary'!$D$14="Yes",IF(COUNTBLANK('Capacity summary'!$H171:$BG171)&lt;52,IF('Capacity summary'!AJ171&lt;&gt;"",IF(LOWER('Capacity summary'!AJ171)="x",$BI52*AJ52,VALUE('Capacity summary'!AJ171)),0),AJ52*$BI52),AJ52*$BI52),0)</f>
        <v>0</v>
      </c>
      <c r="CN52" s="311">
        <f>IF($BI52&lt;&gt;"",IF('Capacity summary'!$D$14="Yes",IF(COUNTBLANK('Capacity summary'!$H171:$BG171)&lt;52,IF('Capacity summary'!AK171&lt;&gt;"",IF(LOWER('Capacity summary'!AK171)="x",$BI52*AK52,VALUE('Capacity summary'!AK171)),0),AK52*$BI52),AK52*$BI52),0)</f>
        <v>0</v>
      </c>
      <c r="CO52" s="311">
        <f>IF($BI52&lt;&gt;"",IF('Capacity summary'!$D$14="Yes",IF(COUNTBLANK('Capacity summary'!$H171:$BG171)&lt;52,IF('Capacity summary'!AL171&lt;&gt;"",IF(LOWER('Capacity summary'!AL171)="x",$BI52*AL52,VALUE('Capacity summary'!AL171)),0),AL52*$BI52),AL52*$BI52),0)</f>
        <v>0</v>
      </c>
      <c r="CP52" s="311">
        <f>IF($BI52&lt;&gt;"",IF('Capacity summary'!$D$14="Yes",IF(COUNTBLANK('Capacity summary'!$H171:$BG171)&lt;52,IF('Capacity summary'!AM171&lt;&gt;"",IF(LOWER('Capacity summary'!AM171)="x",$BI52*AM52,VALUE('Capacity summary'!AM171)),0),AM52*$BI52),AM52*$BI52),0)</f>
        <v>0</v>
      </c>
      <c r="CQ52" s="311">
        <f>IF($BI52&lt;&gt;"",IF('Capacity summary'!$D$14="Yes",IF(COUNTBLANK('Capacity summary'!$H171:$BG171)&lt;52,IF('Capacity summary'!AN171&lt;&gt;"",IF(LOWER('Capacity summary'!AN171)="x",$BI52*AN52,VALUE('Capacity summary'!AN171)),0),AN52*$BI52),AN52*$BI52),0)</f>
        <v>0</v>
      </c>
      <c r="CR52" s="311">
        <f>IF($BI52&lt;&gt;"",IF('Capacity summary'!$D$14="Yes",IF(COUNTBLANK('Capacity summary'!$H171:$BG171)&lt;52,IF('Capacity summary'!AO171&lt;&gt;"",IF(LOWER('Capacity summary'!AO171)="x",$BI52*AO52,VALUE('Capacity summary'!AO171)),0),AO52*$BI52),AO52*$BI52),0)</f>
        <v>0</v>
      </c>
      <c r="CS52" s="311">
        <f>IF($BI52&lt;&gt;"",IF('Capacity summary'!$D$14="Yes",IF(COUNTBLANK('Capacity summary'!$H171:$BG171)&lt;52,IF('Capacity summary'!AP171&lt;&gt;"",IF(LOWER('Capacity summary'!AP171)="x",$BI52*AP52,VALUE('Capacity summary'!AP171)),0),AP52*$BI52),AP52*$BI52),0)</f>
        <v>0</v>
      </c>
      <c r="CT52" s="311">
        <f>IF($BI52&lt;&gt;"",IF('Capacity summary'!$D$14="Yes",IF(COUNTBLANK('Capacity summary'!$H171:$BG171)&lt;52,IF('Capacity summary'!AQ171&lt;&gt;"",IF(LOWER('Capacity summary'!AQ171)="x",$BI52*AQ52,VALUE('Capacity summary'!AQ171)),0),AQ52*$BI52),AQ52*$BI52),0)</f>
        <v>0</v>
      </c>
      <c r="CU52" s="311">
        <f>IF($BI52&lt;&gt;"",IF('Capacity summary'!$D$14="Yes",IF(COUNTBLANK('Capacity summary'!$H171:$BG171)&lt;52,IF('Capacity summary'!AR171&lt;&gt;"",IF(LOWER('Capacity summary'!AR171)="x",$BI52*AR52,VALUE('Capacity summary'!AR171)),0),AR52*$BI52),AR52*$BI52),0)</f>
        <v>0</v>
      </c>
      <c r="CV52" s="311">
        <f>IF($BI52&lt;&gt;"",IF('Capacity summary'!$D$14="Yes",IF(COUNTBLANK('Capacity summary'!$H171:$BG171)&lt;52,IF('Capacity summary'!AS171&lt;&gt;"",IF(LOWER('Capacity summary'!AS171)="x",$BI52*AS52,VALUE('Capacity summary'!AS171)),0),AS52*$BI52),AS52*$BI52),0)</f>
        <v>0</v>
      </c>
      <c r="CW52" s="311">
        <f>IF($BI52&lt;&gt;"",IF('Capacity summary'!$D$14="Yes",IF(COUNTBLANK('Capacity summary'!$H171:$BG171)&lt;52,IF('Capacity summary'!AT171&lt;&gt;"",IF(LOWER('Capacity summary'!AT171)="x",$BI52*AT52,VALUE('Capacity summary'!AT171)),0),AT52*$BI52),AT52*$BI52),0)</f>
        <v>0</v>
      </c>
      <c r="CX52" s="311">
        <f>IF($BI52&lt;&gt;"",IF('Capacity summary'!$D$14="Yes",IF(COUNTBLANK('Capacity summary'!$H171:$BG171)&lt;52,IF('Capacity summary'!AU171&lt;&gt;"",IF(LOWER('Capacity summary'!AU171)="x",$BI52*AU52,VALUE('Capacity summary'!AU171)),0),AU52*$BI52),AU52*$BI52),0)</f>
        <v>0</v>
      </c>
      <c r="CY52" s="311">
        <f>IF($BI52&lt;&gt;"",IF('Capacity summary'!$D$14="Yes",IF(COUNTBLANK('Capacity summary'!$H171:$BG171)&lt;52,IF('Capacity summary'!AV171&lt;&gt;"",IF(LOWER('Capacity summary'!AV171)="x",$BI52*AV52,VALUE('Capacity summary'!AV171)),0),AV52*$BI52),AV52*$BI52),0)</f>
        <v>0</v>
      </c>
      <c r="CZ52" s="311">
        <f>IF($BI52&lt;&gt;"",IF('Capacity summary'!$D$14="Yes",IF(COUNTBLANK('Capacity summary'!$H171:$BG171)&lt;52,IF('Capacity summary'!AW171&lt;&gt;"",IF(LOWER('Capacity summary'!AW171)="x",$BI52*AW52,VALUE('Capacity summary'!AW171)),0),AW52*$BI52),AW52*$BI52),0)</f>
        <v>0</v>
      </c>
      <c r="DA52" s="311">
        <f>IF($BI52&lt;&gt;"",IF('Capacity summary'!$D$14="Yes",IF(COUNTBLANK('Capacity summary'!$H171:$BG171)&lt;52,IF('Capacity summary'!AX171&lt;&gt;"",IF(LOWER('Capacity summary'!AX171)="x",$BI52*AX52,VALUE('Capacity summary'!AX171)),0),AX52*$BI52),AX52*$BI52),0)</f>
        <v>0</v>
      </c>
      <c r="DB52" s="311">
        <f>IF($BI52&lt;&gt;"",IF('Capacity summary'!$D$14="Yes",IF(COUNTBLANK('Capacity summary'!$H171:$BG171)&lt;52,IF('Capacity summary'!AY171&lt;&gt;"",IF(LOWER('Capacity summary'!AY171)="x",$BI52*AY52,VALUE('Capacity summary'!AY171)),0),AY52*$BI52),AY52*$BI52),0)</f>
        <v>0</v>
      </c>
      <c r="DC52" s="311">
        <f>IF($BI52&lt;&gt;"",IF('Capacity summary'!$D$14="Yes",IF(COUNTBLANK('Capacity summary'!$H171:$BG171)&lt;52,IF('Capacity summary'!AZ171&lt;&gt;"",IF(LOWER('Capacity summary'!AZ171)="x",$BI52*AZ52,VALUE('Capacity summary'!AZ171)),0),AZ52*$BI52),AZ52*$BI52),0)</f>
        <v>0</v>
      </c>
      <c r="DD52" s="311">
        <f>IF($BI52&lt;&gt;"",IF('Capacity summary'!$D$14="Yes",IF(COUNTBLANK('Capacity summary'!$H171:$BG171)&lt;52,IF('Capacity summary'!BA171&lt;&gt;"",IF(LOWER('Capacity summary'!BA171)="x",$BI52*BA52,VALUE('Capacity summary'!BA171)),0),BA52*$BI52),BA52*$BI52),0)</f>
        <v>0</v>
      </c>
      <c r="DE52" s="311">
        <f>IF($BI52&lt;&gt;"",IF('Capacity summary'!$D$14="Yes",IF(COUNTBLANK('Capacity summary'!$H171:$BG171)&lt;52,IF('Capacity summary'!BB171&lt;&gt;"",IF(LOWER('Capacity summary'!BB171)="x",$BI52*BB52,VALUE('Capacity summary'!BB171)),0),BB52*$BI52),BB52*$BI52),0)</f>
        <v>0</v>
      </c>
      <c r="DF52" s="311">
        <f>IF($BI52&lt;&gt;"",IF('Capacity summary'!$D$14="Yes",IF(COUNTBLANK('Capacity summary'!$H171:$BG171)&lt;52,IF('Capacity summary'!BC171&lt;&gt;"",IF(LOWER('Capacity summary'!BC171)="x",$BI52*BC52,VALUE('Capacity summary'!BC171)),0),BC52*$BI52),BC52*$BI52),0)</f>
        <v>0</v>
      </c>
      <c r="DG52" s="311">
        <f>IF($BI52&lt;&gt;"",IF('Capacity summary'!$D$14="Yes",IF(COUNTBLANK('Capacity summary'!$H171:$BG171)&lt;52,IF('Capacity summary'!BD171&lt;&gt;"",IF(LOWER('Capacity summary'!BD171)="x",$BI52*BD52,VALUE('Capacity summary'!BD171)),0),BD52*$BI52),BD52*$BI52),0)</f>
        <v>0</v>
      </c>
      <c r="DH52" s="311">
        <f>IF($BI52&lt;&gt;"",IF('Capacity summary'!$D$14="Yes",IF(COUNTBLANK('Capacity summary'!$H171:$BG171)&lt;52,IF('Capacity summary'!BE171&lt;&gt;"",IF(LOWER('Capacity summary'!BE171)="x",$BI52*BE52,VALUE('Capacity summary'!BE171)),0),BE52*$BI52),BE52*$BI52),0)</f>
        <v>0</v>
      </c>
      <c r="DI52" s="311">
        <f>IF($BI52&lt;&gt;"",IF('Capacity summary'!$D$14="Yes",IF(COUNTBLANK('Capacity summary'!$H171:$BG171)&lt;52,IF('Capacity summary'!BF171&lt;&gt;"",IF(LOWER('Capacity summary'!BF171)="x",$BI52*BF52,VALUE('Capacity summary'!BF171)),0),BF52*$BI52),BF52*$BI52),0)</f>
        <v>0</v>
      </c>
      <c r="DJ52" s="311">
        <f>IF($BI52&lt;&gt;"",IF('Capacity summary'!$D$14="Yes",IF(COUNTBLANK('Capacity summary'!$H171:$BG171)&lt;52,IF('Capacity summary'!BG171&lt;&gt;"",IF(LOWER('Capacity summary'!BG171)="x",$BI52*BG52,VALUE('Capacity summary'!BG171)),0),BG52*$BI52),BG52*$BI52),0)</f>
        <v>0</v>
      </c>
      <c r="DK52" s="391">
        <f t="shared" si="2"/>
        <v>0</v>
      </c>
      <c r="DL52" s="136">
        <f t="shared" si="3"/>
        <v>0</v>
      </c>
      <c r="DM52" s="311" t="str">
        <f>Capacity!H64</f>
        <v/>
      </c>
      <c r="DQ52" s="5"/>
    </row>
    <row r="53" spans="1:121" x14ac:dyDescent="0.2">
      <c r="A53" s="67">
        <f>IF(Capacity!L65='Capacity summary'!BI172,1,0)</f>
        <v>1</v>
      </c>
      <c r="B53" s="67">
        <f>IF(Capacity!V65='Capacity summary'!BI72,1,0)</f>
        <v>1</v>
      </c>
      <c r="C53" s="67" t="str">
        <f>ROW(A49)&amp;". "&amp;Capacity!B65</f>
        <v xml:space="preserve">49. </v>
      </c>
      <c r="D53" s="67">
        <f>'Capacity setup'!C60</f>
        <v>0</v>
      </c>
      <c r="E53" s="67">
        <f>'Capacity setup'!D60</f>
        <v>0</v>
      </c>
      <c r="F53" s="67">
        <f>'Capacity setup'!E60</f>
        <v>0</v>
      </c>
      <c r="H53" s="67">
        <f ca="1">IF(LOWER(Capacity!$L65)="x",IF(AND(SUMIF(Capacity_Resource,$D53,'Critical resources (hide)'!U$6:U$105)+SUMIF(Capacity_Resource,$E53,'Critical resources (hide)'!U$6:U$105)+SUMIF(Capacity_Resource,$F53,'Critical resources (hide)'!U$6:U$105)&gt;0,$E$1=2),0,1),0)</f>
        <v>1</v>
      </c>
      <c r="I53" s="67">
        <f ca="1">IF(LOWER(Capacity!$L65)="x",IF(AND(SUMIF(Capacity_Resource,$D53,'Critical resources (hide)'!V$6:V$105)+SUMIF(Capacity_Resource,$E53,'Critical resources (hide)'!V$6:V$105)+SUMIF(Capacity_Resource,$F53,'Critical resources (hide)'!V$6:V$105)&gt;0,$E$1=2),0,1),0)</f>
        <v>1</v>
      </c>
      <c r="J53" s="67">
        <f ca="1">IF(LOWER(Capacity!$L65)="x",IF(AND(SUMIF(Capacity_Resource,$D53,'Critical resources (hide)'!W$6:W$105)+SUMIF(Capacity_Resource,$E53,'Critical resources (hide)'!W$6:W$105)+SUMIF(Capacity_Resource,$F53,'Critical resources (hide)'!W$6:W$105)&gt;0,$E$1=2),0,1),0)</f>
        <v>1</v>
      </c>
      <c r="K53" s="67">
        <f ca="1">IF(LOWER(Capacity!$L65)="x",IF(AND(SUMIF(Capacity_Resource,$D53,'Critical resources (hide)'!X$6:X$105)+SUMIF(Capacity_Resource,$E53,'Critical resources (hide)'!X$6:X$105)+SUMIF(Capacity_Resource,$F53,'Critical resources (hide)'!X$6:X$105)&gt;0,$E$1=2),0,1),0)</f>
        <v>1</v>
      </c>
      <c r="L53" s="67">
        <f ca="1">IF(LOWER(Capacity!$L65)="x",IF(AND(SUMIF(Capacity_Resource,$D53,'Critical resources (hide)'!Y$6:Y$105)+SUMIF(Capacity_Resource,$E53,'Critical resources (hide)'!Y$6:Y$105)+SUMIF(Capacity_Resource,$F53,'Critical resources (hide)'!Y$6:Y$105)&gt;0,$E$1=2),0,1),0)</f>
        <v>1</v>
      </c>
      <c r="M53" s="67">
        <f ca="1">IF(LOWER(Capacity!$L65)="x",IF(AND(SUMIF(Capacity_Resource,$D53,'Critical resources (hide)'!Z$6:Z$105)+SUMIF(Capacity_Resource,$E53,'Critical resources (hide)'!Z$6:Z$105)+SUMIF(Capacity_Resource,$F53,'Critical resources (hide)'!Z$6:Z$105)&gt;0,$E$1=2),0,1),0)</f>
        <v>1</v>
      </c>
      <c r="N53" s="67">
        <f ca="1">IF(LOWER(Capacity!$L65)="x",IF(AND(SUMIF(Capacity_Resource,$D53,'Critical resources (hide)'!AA$6:AA$105)+SUMIF(Capacity_Resource,$E53,'Critical resources (hide)'!AA$6:AA$105)+SUMIF(Capacity_Resource,$F53,'Critical resources (hide)'!AA$6:AA$105)&gt;0,$E$1=2),0,1),0)</f>
        <v>1</v>
      </c>
      <c r="O53" s="67">
        <f ca="1">IF(LOWER(Capacity!$L65)="x",IF(AND(SUMIF(Capacity_Resource,$D53,'Critical resources (hide)'!AB$6:AB$105)+SUMIF(Capacity_Resource,$E53,'Critical resources (hide)'!AB$6:AB$105)+SUMIF(Capacity_Resource,$F53,'Critical resources (hide)'!AB$6:AB$105)&gt;0,$E$1=2),0,1),0)</f>
        <v>1</v>
      </c>
      <c r="P53" s="67">
        <f ca="1">IF(LOWER(Capacity!$L65)="x",IF(AND(SUMIF(Capacity_Resource,$D53,'Critical resources (hide)'!AC$6:AC$105)+SUMIF(Capacity_Resource,$E53,'Critical resources (hide)'!AC$6:AC$105)+SUMIF(Capacity_Resource,$F53,'Critical resources (hide)'!AC$6:AC$105)&gt;0,$E$1=2),0,1),0)</f>
        <v>1</v>
      </c>
      <c r="Q53" s="67">
        <f ca="1">IF(LOWER(Capacity!$L65)="x",IF(AND(SUMIF(Capacity_Resource,$D53,'Critical resources (hide)'!AD$6:AD$105)+SUMIF(Capacity_Resource,$E53,'Critical resources (hide)'!AD$6:AD$105)+SUMIF(Capacity_Resource,$F53,'Critical resources (hide)'!AD$6:AD$105)&gt;0,$E$1=2),0,1),0)</f>
        <v>1</v>
      </c>
      <c r="R53" s="67">
        <f ca="1">IF(LOWER(Capacity!$L65)="x",IF(AND(SUMIF(Capacity_Resource,$D53,'Critical resources (hide)'!AE$6:AE$105)+SUMIF(Capacity_Resource,$E53,'Critical resources (hide)'!AE$6:AE$105)+SUMIF(Capacity_Resource,$F53,'Critical resources (hide)'!AE$6:AE$105)&gt;0,$E$1=2),0,1),0)</f>
        <v>1</v>
      </c>
      <c r="S53" s="67">
        <f ca="1">IF(LOWER(Capacity!$L65)="x",IF(AND(SUMIF(Capacity_Resource,$D53,'Critical resources (hide)'!AF$6:AF$105)+SUMIF(Capacity_Resource,$E53,'Critical resources (hide)'!AF$6:AF$105)+SUMIF(Capacity_Resource,$F53,'Critical resources (hide)'!AF$6:AF$105)&gt;0,$E$1=2),0,1),0)</f>
        <v>1</v>
      </c>
      <c r="T53" s="67">
        <f ca="1">IF(LOWER(Capacity!$L65)="x",IF(AND(SUMIF(Capacity_Resource,$D53,'Critical resources (hide)'!AG$6:AG$105)+SUMIF(Capacity_Resource,$E53,'Critical resources (hide)'!AG$6:AG$105)+SUMIF(Capacity_Resource,$F53,'Critical resources (hide)'!AG$6:AG$105)&gt;0,$E$1=2),0,1),0)</f>
        <v>1</v>
      </c>
      <c r="U53" s="67">
        <f ca="1">IF(LOWER(Capacity!$L65)="x",IF(AND(SUMIF(Capacity_Resource,$D53,'Critical resources (hide)'!AH$6:AH$105)+SUMIF(Capacity_Resource,$E53,'Critical resources (hide)'!AH$6:AH$105)+SUMIF(Capacity_Resource,$F53,'Critical resources (hide)'!AH$6:AH$105)&gt;0,$E$1=2),0,1),0)</f>
        <v>1</v>
      </c>
      <c r="V53" s="67">
        <f ca="1">IF(LOWER(Capacity!$L65)="x",IF(AND(SUMIF(Capacity_Resource,$D53,'Critical resources (hide)'!AI$6:AI$105)+SUMIF(Capacity_Resource,$E53,'Critical resources (hide)'!AI$6:AI$105)+SUMIF(Capacity_Resource,$F53,'Critical resources (hide)'!AI$6:AI$105)&gt;0,$E$1=2),0,1),0)</f>
        <v>1</v>
      </c>
      <c r="W53" s="67">
        <f ca="1">IF(LOWER(Capacity!$L65)="x",IF(AND(SUMIF(Capacity_Resource,$D53,'Critical resources (hide)'!AJ$6:AJ$105)+SUMIF(Capacity_Resource,$E53,'Critical resources (hide)'!AJ$6:AJ$105)+SUMIF(Capacity_Resource,$F53,'Critical resources (hide)'!AJ$6:AJ$105)&gt;0,$E$1=2),0,1),0)</f>
        <v>1</v>
      </c>
      <c r="X53" s="67">
        <f ca="1">IF(LOWER(Capacity!$L65)="x",IF(AND(SUMIF(Capacity_Resource,$D53,'Critical resources (hide)'!AK$6:AK$105)+SUMIF(Capacity_Resource,$E53,'Critical resources (hide)'!AK$6:AK$105)+SUMIF(Capacity_Resource,$F53,'Critical resources (hide)'!AK$6:AK$105)&gt;0,$E$1=2),0,1),0)</f>
        <v>1</v>
      </c>
      <c r="Y53" s="67">
        <f ca="1">IF(LOWER(Capacity!$L65)="x",IF(AND(SUMIF(Capacity_Resource,$D53,'Critical resources (hide)'!AL$6:AL$105)+SUMIF(Capacity_Resource,$E53,'Critical resources (hide)'!AL$6:AL$105)+SUMIF(Capacity_Resource,$F53,'Critical resources (hide)'!AL$6:AL$105)&gt;0,$E$1=2),0,1),0)</f>
        <v>1</v>
      </c>
      <c r="Z53" s="67">
        <f ca="1">IF(LOWER(Capacity!$L65)="x",IF(AND(SUMIF(Capacity_Resource,$D53,'Critical resources (hide)'!AM$6:AM$105)+SUMIF(Capacity_Resource,$E53,'Critical resources (hide)'!AM$6:AM$105)+SUMIF(Capacity_Resource,$F53,'Critical resources (hide)'!AM$6:AM$105)&gt;0,$E$1=2),0,1),0)</f>
        <v>1</v>
      </c>
      <c r="AA53" s="67">
        <f ca="1">IF(LOWER(Capacity!$L65)="x",IF(AND(SUMIF(Capacity_Resource,$D53,'Critical resources (hide)'!AN$6:AN$105)+SUMIF(Capacity_Resource,$E53,'Critical resources (hide)'!AN$6:AN$105)+SUMIF(Capacity_Resource,$F53,'Critical resources (hide)'!AN$6:AN$105)&gt;0,$E$1=2),0,1),0)</f>
        <v>1</v>
      </c>
      <c r="AB53" s="67">
        <f ca="1">IF(LOWER(Capacity!$L65)="x",IF(AND(SUMIF(Capacity_Resource,$D53,'Critical resources (hide)'!AO$6:AO$105)+SUMIF(Capacity_Resource,$E53,'Critical resources (hide)'!AO$6:AO$105)+SUMIF(Capacity_Resource,$F53,'Critical resources (hide)'!AO$6:AO$105)&gt;0,$E$1=2),0,1),0)</f>
        <v>1</v>
      </c>
      <c r="AC53" s="67">
        <f ca="1">IF(LOWER(Capacity!$L65)="x",IF(AND(SUMIF(Capacity_Resource,$D53,'Critical resources (hide)'!AP$6:AP$105)+SUMIF(Capacity_Resource,$E53,'Critical resources (hide)'!AP$6:AP$105)+SUMIF(Capacity_Resource,$F53,'Critical resources (hide)'!AP$6:AP$105)&gt;0,$E$1=2),0,1),0)</f>
        <v>1</v>
      </c>
      <c r="AD53" s="67">
        <f ca="1">IF(LOWER(Capacity!$L65)="x",IF(AND(SUMIF(Capacity_Resource,$D53,'Critical resources (hide)'!AQ$6:AQ$105)+SUMIF(Capacity_Resource,$E53,'Critical resources (hide)'!AQ$6:AQ$105)+SUMIF(Capacity_Resource,$F53,'Critical resources (hide)'!AQ$6:AQ$105)&gt;0,$E$1=2),0,1),0)</f>
        <v>1</v>
      </c>
      <c r="AE53" s="67">
        <f ca="1">IF(LOWER(Capacity!$L65)="x",IF(AND(SUMIF(Capacity_Resource,$D53,'Critical resources (hide)'!AR$6:AR$105)+SUMIF(Capacity_Resource,$E53,'Critical resources (hide)'!AR$6:AR$105)+SUMIF(Capacity_Resource,$F53,'Critical resources (hide)'!AR$6:AR$105)&gt;0,$E$1=2),0,1),0)</f>
        <v>1</v>
      </c>
      <c r="AF53" s="67">
        <f ca="1">IF(LOWER(Capacity!$L65)="x",IF(AND(SUMIF(Capacity_Resource,$D53,'Critical resources (hide)'!AS$6:AS$105)+SUMIF(Capacity_Resource,$E53,'Critical resources (hide)'!AS$6:AS$105)+SUMIF(Capacity_Resource,$F53,'Critical resources (hide)'!AS$6:AS$105)&gt;0,$E$1=2),0,1),0)</f>
        <v>1</v>
      </c>
      <c r="AG53" s="67">
        <f ca="1">IF(LOWER(Capacity!$L65)="x",IF(AND(SUMIF(Capacity_Resource,$D53,'Critical resources (hide)'!AT$6:AT$105)+SUMIF(Capacity_Resource,$E53,'Critical resources (hide)'!AT$6:AT$105)+SUMIF(Capacity_Resource,$F53,'Critical resources (hide)'!AT$6:AT$105)&gt;0,$E$1=2),0,1),0)</f>
        <v>1</v>
      </c>
      <c r="AH53" s="67">
        <f ca="1">IF(LOWER(Capacity!$L65)="x",IF(AND(SUMIF(Capacity_Resource,$D53,'Critical resources (hide)'!AU$6:AU$105)+SUMIF(Capacity_Resource,$E53,'Critical resources (hide)'!AU$6:AU$105)+SUMIF(Capacity_Resource,$F53,'Critical resources (hide)'!AU$6:AU$105)&gt;0,$E$1=2),0,1),0)</f>
        <v>1</v>
      </c>
      <c r="AI53" s="67">
        <f ca="1">IF(LOWER(Capacity!$L65)="x",IF(AND(SUMIF(Capacity_Resource,$D53,'Critical resources (hide)'!AV$6:AV$105)+SUMIF(Capacity_Resource,$E53,'Critical resources (hide)'!AV$6:AV$105)+SUMIF(Capacity_Resource,$F53,'Critical resources (hide)'!AV$6:AV$105)&gt;0,$E$1=2),0,1),0)</f>
        <v>1</v>
      </c>
      <c r="AJ53" s="67">
        <f ca="1">IF(LOWER(Capacity!$L65)="x",IF(AND(SUMIF(Capacity_Resource,$D53,'Critical resources (hide)'!AW$6:AW$105)+SUMIF(Capacity_Resource,$E53,'Critical resources (hide)'!AW$6:AW$105)+SUMIF(Capacity_Resource,$F53,'Critical resources (hide)'!AW$6:AW$105)&gt;0,$E$1=2),0,1),0)</f>
        <v>1</v>
      </c>
      <c r="AK53" s="67">
        <f ca="1">IF(LOWER(Capacity!$L65)="x",IF(AND(SUMIF(Capacity_Resource,$D53,'Critical resources (hide)'!AX$6:AX$105)+SUMIF(Capacity_Resource,$E53,'Critical resources (hide)'!AX$6:AX$105)+SUMIF(Capacity_Resource,$F53,'Critical resources (hide)'!AX$6:AX$105)&gt;0,$E$1=2),0,1),0)</f>
        <v>1</v>
      </c>
      <c r="AL53" s="67">
        <f ca="1">IF(LOWER(Capacity!$L65)="x",IF(AND(SUMIF(Capacity_Resource,$D53,'Critical resources (hide)'!AY$6:AY$105)+SUMIF(Capacity_Resource,$E53,'Critical resources (hide)'!AY$6:AY$105)+SUMIF(Capacity_Resource,$F53,'Critical resources (hide)'!AY$6:AY$105)&gt;0,$E$1=2),0,1),0)</f>
        <v>1</v>
      </c>
      <c r="AM53" s="67">
        <f ca="1">IF(LOWER(Capacity!$L65)="x",IF(AND(SUMIF(Capacity_Resource,$D53,'Critical resources (hide)'!AZ$6:AZ$105)+SUMIF(Capacity_Resource,$E53,'Critical resources (hide)'!AZ$6:AZ$105)+SUMIF(Capacity_Resource,$F53,'Critical resources (hide)'!AZ$6:AZ$105)&gt;0,$E$1=2),0,1),0)</f>
        <v>1</v>
      </c>
      <c r="AN53" s="67">
        <f ca="1">IF(LOWER(Capacity!$L65)="x",IF(AND(SUMIF(Capacity_Resource,$D53,'Critical resources (hide)'!BA$6:BA$105)+SUMIF(Capacity_Resource,$E53,'Critical resources (hide)'!BA$6:BA$105)+SUMIF(Capacity_Resource,$F53,'Critical resources (hide)'!BA$6:BA$105)&gt;0,$E$1=2),0,1),0)</f>
        <v>1</v>
      </c>
      <c r="AO53" s="67">
        <f ca="1">IF(LOWER(Capacity!$L65)="x",IF(AND(SUMIF(Capacity_Resource,$D53,'Critical resources (hide)'!BB$6:BB$105)+SUMIF(Capacity_Resource,$E53,'Critical resources (hide)'!BB$6:BB$105)+SUMIF(Capacity_Resource,$F53,'Critical resources (hide)'!BB$6:BB$105)&gt;0,$E$1=2),0,1),0)</f>
        <v>1</v>
      </c>
      <c r="AP53" s="67">
        <f ca="1">IF(LOWER(Capacity!$L65)="x",IF(AND(SUMIF(Capacity_Resource,$D53,'Critical resources (hide)'!BC$6:BC$105)+SUMIF(Capacity_Resource,$E53,'Critical resources (hide)'!BC$6:BC$105)+SUMIF(Capacity_Resource,$F53,'Critical resources (hide)'!BC$6:BC$105)&gt;0,$E$1=2),0,1),0)</f>
        <v>1</v>
      </c>
      <c r="AQ53" s="67">
        <f ca="1">IF(LOWER(Capacity!$L65)="x",IF(AND(SUMIF(Capacity_Resource,$D53,'Critical resources (hide)'!BD$6:BD$105)+SUMIF(Capacity_Resource,$E53,'Critical resources (hide)'!BD$6:BD$105)+SUMIF(Capacity_Resource,$F53,'Critical resources (hide)'!BD$6:BD$105)&gt;0,$E$1=2),0,1),0)</f>
        <v>1</v>
      </c>
      <c r="AR53" s="67">
        <f ca="1">IF(LOWER(Capacity!$L65)="x",IF(AND(SUMIF(Capacity_Resource,$D53,'Critical resources (hide)'!BE$6:BE$105)+SUMIF(Capacity_Resource,$E53,'Critical resources (hide)'!BE$6:BE$105)+SUMIF(Capacity_Resource,$F53,'Critical resources (hide)'!BE$6:BE$105)&gt;0,$E$1=2),0,1),0)</f>
        <v>1</v>
      </c>
      <c r="AS53" s="67">
        <f ca="1">IF(LOWER(Capacity!$L65)="x",IF(AND(SUMIF(Capacity_Resource,$D53,'Critical resources (hide)'!BF$6:BF$105)+SUMIF(Capacity_Resource,$E53,'Critical resources (hide)'!BF$6:BF$105)+SUMIF(Capacity_Resource,$F53,'Critical resources (hide)'!BF$6:BF$105)&gt;0,$E$1=2),0,1),0)</f>
        <v>1</v>
      </c>
      <c r="AT53" s="67">
        <f ca="1">IF(LOWER(Capacity!$L65)="x",IF(AND(SUMIF(Capacity_Resource,$D53,'Critical resources (hide)'!BG$6:BG$105)+SUMIF(Capacity_Resource,$E53,'Critical resources (hide)'!BG$6:BG$105)+SUMIF(Capacity_Resource,$F53,'Critical resources (hide)'!BG$6:BG$105)&gt;0,$E$1=2),0,1),0)</f>
        <v>1</v>
      </c>
      <c r="AU53" s="67">
        <f ca="1">IF(LOWER(Capacity!$L65)="x",IF(AND(SUMIF(Capacity_Resource,$D53,'Critical resources (hide)'!BH$6:BH$105)+SUMIF(Capacity_Resource,$E53,'Critical resources (hide)'!BH$6:BH$105)+SUMIF(Capacity_Resource,$F53,'Critical resources (hide)'!BH$6:BH$105)&gt;0,$E$1=2),0,1),0)</f>
        <v>1</v>
      </c>
      <c r="AV53" s="67">
        <f ca="1">IF(LOWER(Capacity!$L65)="x",IF(AND(SUMIF(Capacity_Resource,$D53,'Critical resources (hide)'!BI$6:BI$105)+SUMIF(Capacity_Resource,$E53,'Critical resources (hide)'!BI$6:BI$105)+SUMIF(Capacity_Resource,$F53,'Critical resources (hide)'!BI$6:BI$105)&gt;0,$E$1=2),0,1),0)</f>
        <v>1</v>
      </c>
      <c r="AW53" s="67">
        <f ca="1">IF(LOWER(Capacity!$L65)="x",IF(AND(SUMIF(Capacity_Resource,$D53,'Critical resources (hide)'!BJ$6:BJ$105)+SUMIF(Capacity_Resource,$E53,'Critical resources (hide)'!BJ$6:BJ$105)+SUMIF(Capacity_Resource,$F53,'Critical resources (hide)'!BJ$6:BJ$105)&gt;0,$E$1=2),0,1),0)</f>
        <v>1</v>
      </c>
      <c r="AX53" s="67">
        <f ca="1">IF(LOWER(Capacity!$L65)="x",IF(AND(SUMIF(Capacity_Resource,$D53,'Critical resources (hide)'!BK$6:BK$105)+SUMIF(Capacity_Resource,$E53,'Critical resources (hide)'!BK$6:BK$105)+SUMIF(Capacity_Resource,$F53,'Critical resources (hide)'!BK$6:BK$105)&gt;0,$E$1=2),0,1),0)</f>
        <v>1</v>
      </c>
      <c r="AY53" s="67">
        <f ca="1">IF(LOWER(Capacity!$L65)="x",IF(AND(SUMIF(Capacity_Resource,$D53,'Critical resources (hide)'!BL$6:BL$105)+SUMIF(Capacity_Resource,$E53,'Critical resources (hide)'!BL$6:BL$105)+SUMIF(Capacity_Resource,$F53,'Critical resources (hide)'!BL$6:BL$105)&gt;0,$E$1=2),0,1),0)</f>
        <v>1</v>
      </c>
      <c r="AZ53" s="67">
        <f ca="1">IF(LOWER(Capacity!$L65)="x",IF(AND(SUMIF(Capacity_Resource,$D53,'Critical resources (hide)'!BM$6:BM$105)+SUMIF(Capacity_Resource,$E53,'Critical resources (hide)'!BM$6:BM$105)+SUMIF(Capacity_Resource,$F53,'Critical resources (hide)'!BM$6:BM$105)&gt;0,$E$1=2),0,1),0)</f>
        <v>1</v>
      </c>
      <c r="BA53" s="67">
        <f ca="1">IF(LOWER(Capacity!$L65)="x",IF(AND(SUMIF(Capacity_Resource,$D53,'Critical resources (hide)'!BN$6:BN$105)+SUMIF(Capacity_Resource,$E53,'Critical resources (hide)'!BN$6:BN$105)+SUMIF(Capacity_Resource,$F53,'Critical resources (hide)'!BN$6:BN$105)&gt;0,$E$1=2),0,1),0)</f>
        <v>1</v>
      </c>
      <c r="BB53" s="67">
        <f ca="1">IF(LOWER(Capacity!$L65)="x",IF(AND(SUMIF(Capacity_Resource,$D53,'Critical resources (hide)'!BO$6:BO$105)+SUMIF(Capacity_Resource,$E53,'Critical resources (hide)'!BO$6:BO$105)+SUMIF(Capacity_Resource,$F53,'Critical resources (hide)'!BO$6:BO$105)&gt;0,$E$1=2),0,1),0)</f>
        <v>1</v>
      </c>
      <c r="BC53" s="67">
        <f ca="1">IF(LOWER(Capacity!$L65)="x",IF(AND(SUMIF(Capacity_Resource,$D53,'Critical resources (hide)'!BP$6:BP$105)+SUMIF(Capacity_Resource,$E53,'Critical resources (hide)'!BP$6:BP$105)+SUMIF(Capacity_Resource,$F53,'Critical resources (hide)'!BP$6:BP$105)&gt;0,$E$1=2),0,1),0)</f>
        <v>1</v>
      </c>
      <c r="BD53" s="67">
        <f ca="1">IF(LOWER(Capacity!$L65)="x",IF(AND(SUMIF(Capacity_Resource,$D53,'Critical resources (hide)'!BQ$6:BQ$105)+SUMIF(Capacity_Resource,$E53,'Critical resources (hide)'!BQ$6:BQ$105)+SUMIF(Capacity_Resource,$F53,'Critical resources (hide)'!BQ$6:BQ$105)&gt;0,$E$1=2),0,1),0)</f>
        <v>1</v>
      </c>
      <c r="BE53" s="67">
        <f ca="1">IF(LOWER(Capacity!$L65)="x",IF(AND(SUMIF(Capacity_Resource,$D53,'Critical resources (hide)'!BR$6:BR$105)+SUMIF(Capacity_Resource,$E53,'Critical resources (hide)'!BR$6:BR$105)+SUMIF(Capacity_Resource,$F53,'Critical resources (hide)'!BR$6:BR$105)&gt;0,$E$1=2),0,1),0)</f>
        <v>1</v>
      </c>
      <c r="BF53" s="67">
        <f ca="1">IF(LOWER(Capacity!$L65)="x",IF(AND(SUMIF(Capacity_Resource,$D53,'Critical resources (hide)'!BS$6:BS$105)+SUMIF(Capacity_Resource,$E53,'Critical resources (hide)'!BS$6:BS$105)+SUMIF(Capacity_Resource,$F53,'Critical resources (hide)'!BS$6:BS$105)&gt;0,$E$1=2),0,1),0)</f>
        <v>1</v>
      </c>
      <c r="BG53" s="67">
        <f ca="1">IF(LOWER(Capacity!$L65)="x",IF(AND(SUMIF(Capacity_Resource,$D53,'Critical resources (hide)'!BT$6:BT$105)+SUMIF(Capacity_Resource,$E53,'Critical resources (hide)'!BT$6:BT$105)+SUMIF(Capacity_Resource,$F53,'Critical resources (hide)'!BT$6:BT$105)&gt;0,$E$1=2),0,1),0)</f>
        <v>1</v>
      </c>
      <c r="BH53" s="67">
        <f>IF(ROW(C49)&lt;=Capacity!$A$16,IF('Capacity summary'!$D$14="No",SUM(H53:BG53),'Capacity summary'!$E172),0)</f>
        <v>0</v>
      </c>
      <c r="BI53" s="5" t="str">
        <f>IF(BH53&gt;0,IF(BH53&lt;Capacity!E65,Capacity!F65,Capacity!H65/'Capacity calculation (hide)'!BH53),"")</f>
        <v/>
      </c>
      <c r="BK53" s="311">
        <f>IF($BI53&lt;&gt;"",IF('Capacity summary'!$D$14="Yes",IF(COUNTBLANK('Capacity summary'!$H172:$BG172)&lt;52,IF('Capacity summary'!H172&lt;&gt;"",IF(LOWER('Capacity summary'!H172)="x",$BI53*H53,VALUE('Capacity summary'!H172)),0),H53*$BI53),H53*$BI53),0)</f>
        <v>0</v>
      </c>
      <c r="BL53" s="311">
        <f>IF($BI53&lt;&gt;"",IF('Capacity summary'!$D$14="Yes",IF(COUNTBLANK('Capacity summary'!$H172:$BG172)&lt;52,IF('Capacity summary'!I172&lt;&gt;"",IF(LOWER('Capacity summary'!I172)="x",$BI53*I53,VALUE('Capacity summary'!I172)),0),I53*$BI53),I53*$BI53),0)</f>
        <v>0</v>
      </c>
      <c r="BM53" s="311">
        <f>IF($BI53&lt;&gt;"",IF('Capacity summary'!$D$14="Yes",IF(COUNTBLANK('Capacity summary'!$H172:$BG172)&lt;52,IF('Capacity summary'!J172&lt;&gt;"",IF(LOWER('Capacity summary'!J172)="x",$BI53*J53,VALUE('Capacity summary'!J172)),0),J53*$BI53),J53*$BI53),0)</f>
        <v>0</v>
      </c>
      <c r="BN53" s="311">
        <f>IF($BI53&lt;&gt;"",IF('Capacity summary'!$D$14="Yes",IF(COUNTBLANK('Capacity summary'!$H172:$BG172)&lt;52,IF('Capacity summary'!K172&lt;&gt;"",IF(LOWER('Capacity summary'!K172)="x",$BI53*K53,VALUE('Capacity summary'!K172)),0),K53*$BI53),K53*$BI53),0)</f>
        <v>0</v>
      </c>
      <c r="BO53" s="311">
        <f>IF($BI53&lt;&gt;"",IF('Capacity summary'!$D$14="Yes",IF(COUNTBLANK('Capacity summary'!$H172:$BG172)&lt;52,IF('Capacity summary'!L172&lt;&gt;"",IF(LOWER('Capacity summary'!L172)="x",$BI53*L53,VALUE('Capacity summary'!L172)),0),L53*$BI53),L53*$BI53),0)</f>
        <v>0</v>
      </c>
      <c r="BP53" s="311">
        <f>IF($BI53&lt;&gt;"",IF('Capacity summary'!$D$14="Yes",IF(COUNTBLANK('Capacity summary'!$H172:$BG172)&lt;52,IF('Capacity summary'!M172&lt;&gt;"",IF(LOWER('Capacity summary'!M172)="x",$BI53*M53,VALUE('Capacity summary'!M172)),0),M53*$BI53),M53*$BI53),0)</f>
        <v>0</v>
      </c>
      <c r="BQ53" s="311">
        <f>IF($BI53&lt;&gt;"",IF('Capacity summary'!$D$14="Yes",IF(COUNTBLANK('Capacity summary'!$H172:$BG172)&lt;52,IF('Capacity summary'!N172&lt;&gt;"",IF(LOWER('Capacity summary'!N172)="x",$BI53*N53,VALUE('Capacity summary'!N172)),0),N53*$BI53),N53*$BI53),0)</f>
        <v>0</v>
      </c>
      <c r="BR53" s="311">
        <f>IF($BI53&lt;&gt;"",IF('Capacity summary'!$D$14="Yes",IF(COUNTBLANK('Capacity summary'!$H172:$BG172)&lt;52,IF('Capacity summary'!O172&lt;&gt;"",IF(LOWER('Capacity summary'!O172)="x",$BI53*O53,VALUE('Capacity summary'!O172)),0),O53*$BI53),O53*$BI53),0)</f>
        <v>0</v>
      </c>
      <c r="BS53" s="311">
        <f>IF($BI53&lt;&gt;"",IF('Capacity summary'!$D$14="Yes",IF(COUNTBLANK('Capacity summary'!$H172:$BG172)&lt;52,IF('Capacity summary'!P172&lt;&gt;"",IF(LOWER('Capacity summary'!P172)="x",$BI53*P53,VALUE('Capacity summary'!P172)),0),P53*$BI53),P53*$BI53),0)</f>
        <v>0</v>
      </c>
      <c r="BT53" s="311">
        <f>IF($BI53&lt;&gt;"",IF('Capacity summary'!$D$14="Yes",IF(COUNTBLANK('Capacity summary'!$H172:$BG172)&lt;52,IF('Capacity summary'!Q172&lt;&gt;"",IF(LOWER('Capacity summary'!Q172)="x",$BI53*Q53,VALUE('Capacity summary'!Q172)),0),Q53*$BI53),Q53*$BI53),0)</f>
        <v>0</v>
      </c>
      <c r="BU53" s="311">
        <f>IF($BI53&lt;&gt;"",IF('Capacity summary'!$D$14="Yes",IF(COUNTBLANK('Capacity summary'!$H172:$BG172)&lt;52,IF('Capacity summary'!R172&lt;&gt;"",IF(LOWER('Capacity summary'!R172)="x",$BI53*R53,VALUE('Capacity summary'!R172)),0),R53*$BI53),R53*$BI53),0)</f>
        <v>0</v>
      </c>
      <c r="BV53" s="311">
        <f>IF($BI53&lt;&gt;"",IF('Capacity summary'!$D$14="Yes",IF(COUNTBLANK('Capacity summary'!$H172:$BG172)&lt;52,IF('Capacity summary'!S172&lt;&gt;"",IF(LOWER('Capacity summary'!S172)="x",$BI53*S53,VALUE('Capacity summary'!S172)),0),S53*$BI53),S53*$BI53),0)</f>
        <v>0</v>
      </c>
      <c r="BW53" s="311">
        <f>IF($BI53&lt;&gt;"",IF('Capacity summary'!$D$14="Yes",IF(COUNTBLANK('Capacity summary'!$H172:$BG172)&lt;52,IF('Capacity summary'!T172&lt;&gt;"",IF(LOWER('Capacity summary'!T172)="x",$BI53*T53,VALUE('Capacity summary'!T172)),0),T53*$BI53),T53*$BI53),0)</f>
        <v>0</v>
      </c>
      <c r="BX53" s="311">
        <f>IF($BI53&lt;&gt;"",IF('Capacity summary'!$D$14="Yes",IF(COUNTBLANK('Capacity summary'!$H172:$BG172)&lt;52,IF('Capacity summary'!U172&lt;&gt;"",IF(LOWER('Capacity summary'!U172)="x",$BI53*U53,VALUE('Capacity summary'!U172)),0),U53*$BI53),U53*$BI53),0)</f>
        <v>0</v>
      </c>
      <c r="BY53" s="311">
        <f>IF($BI53&lt;&gt;"",IF('Capacity summary'!$D$14="Yes",IF(COUNTBLANK('Capacity summary'!$H172:$BG172)&lt;52,IF('Capacity summary'!V172&lt;&gt;"",IF(LOWER('Capacity summary'!V172)="x",$BI53*V53,VALUE('Capacity summary'!V172)),0),V53*$BI53),V53*$BI53),0)</f>
        <v>0</v>
      </c>
      <c r="BZ53" s="311">
        <f>IF($BI53&lt;&gt;"",IF('Capacity summary'!$D$14="Yes",IF(COUNTBLANK('Capacity summary'!$H172:$BG172)&lt;52,IF('Capacity summary'!W172&lt;&gt;"",IF(LOWER('Capacity summary'!W172)="x",$BI53*W53,VALUE('Capacity summary'!W172)),0),W53*$BI53),W53*$BI53),0)</f>
        <v>0</v>
      </c>
      <c r="CA53" s="311">
        <f>IF($BI53&lt;&gt;"",IF('Capacity summary'!$D$14="Yes",IF(COUNTBLANK('Capacity summary'!$H172:$BG172)&lt;52,IF('Capacity summary'!X172&lt;&gt;"",IF(LOWER('Capacity summary'!X172)="x",$BI53*X53,VALUE('Capacity summary'!X172)),0),X53*$BI53),X53*$BI53),0)</f>
        <v>0</v>
      </c>
      <c r="CB53" s="311">
        <f>IF($BI53&lt;&gt;"",IF('Capacity summary'!$D$14="Yes",IF(COUNTBLANK('Capacity summary'!$H172:$BG172)&lt;52,IF('Capacity summary'!Y172&lt;&gt;"",IF(LOWER('Capacity summary'!Y172)="x",$BI53*Y53,VALUE('Capacity summary'!Y172)),0),Y53*$BI53),Y53*$BI53),0)</f>
        <v>0</v>
      </c>
      <c r="CC53" s="311">
        <f>IF($BI53&lt;&gt;"",IF('Capacity summary'!$D$14="Yes",IF(COUNTBLANK('Capacity summary'!$H172:$BG172)&lt;52,IF('Capacity summary'!Z172&lt;&gt;"",IF(LOWER('Capacity summary'!Z172)="x",$BI53*Z53,VALUE('Capacity summary'!Z172)),0),Z53*$BI53),Z53*$BI53),0)</f>
        <v>0</v>
      </c>
      <c r="CD53" s="311">
        <f>IF($BI53&lt;&gt;"",IF('Capacity summary'!$D$14="Yes",IF(COUNTBLANK('Capacity summary'!$H172:$BG172)&lt;52,IF('Capacity summary'!AA172&lt;&gt;"",IF(LOWER('Capacity summary'!AA172)="x",$BI53*AA53,VALUE('Capacity summary'!AA172)),0),AA53*$BI53),AA53*$BI53),0)</f>
        <v>0</v>
      </c>
      <c r="CE53" s="311">
        <f>IF($BI53&lt;&gt;"",IF('Capacity summary'!$D$14="Yes",IF(COUNTBLANK('Capacity summary'!$H172:$BG172)&lt;52,IF('Capacity summary'!AB172&lt;&gt;"",IF(LOWER('Capacity summary'!AB172)="x",$BI53*AB53,VALUE('Capacity summary'!AB172)),0),AB53*$BI53),AB53*$BI53),0)</f>
        <v>0</v>
      </c>
      <c r="CF53" s="311">
        <f>IF($BI53&lt;&gt;"",IF('Capacity summary'!$D$14="Yes",IF(COUNTBLANK('Capacity summary'!$H172:$BG172)&lt;52,IF('Capacity summary'!AC172&lt;&gt;"",IF(LOWER('Capacity summary'!AC172)="x",$BI53*AC53,VALUE('Capacity summary'!AC172)),0),AC53*$BI53),AC53*$BI53),0)</f>
        <v>0</v>
      </c>
      <c r="CG53" s="311">
        <f>IF($BI53&lt;&gt;"",IF('Capacity summary'!$D$14="Yes",IF(COUNTBLANK('Capacity summary'!$H172:$BG172)&lt;52,IF('Capacity summary'!AD172&lt;&gt;"",IF(LOWER('Capacity summary'!AD172)="x",$BI53*AD53,VALUE('Capacity summary'!AD172)),0),AD53*$BI53),AD53*$BI53),0)</f>
        <v>0</v>
      </c>
      <c r="CH53" s="311">
        <f>IF($BI53&lt;&gt;"",IF('Capacity summary'!$D$14="Yes",IF(COUNTBLANK('Capacity summary'!$H172:$BG172)&lt;52,IF('Capacity summary'!AE172&lt;&gt;"",IF(LOWER('Capacity summary'!AE172)="x",$BI53*AE53,VALUE('Capacity summary'!AE172)),0),AE53*$BI53),AE53*$BI53),0)</f>
        <v>0</v>
      </c>
      <c r="CI53" s="311">
        <f>IF($BI53&lt;&gt;"",IF('Capacity summary'!$D$14="Yes",IF(COUNTBLANK('Capacity summary'!$H172:$BG172)&lt;52,IF('Capacity summary'!AF172&lt;&gt;"",IF(LOWER('Capacity summary'!AF172)="x",$BI53*AF53,VALUE('Capacity summary'!AF172)),0),AF53*$BI53),AF53*$BI53),0)</f>
        <v>0</v>
      </c>
      <c r="CJ53" s="311">
        <f>IF($BI53&lt;&gt;"",IF('Capacity summary'!$D$14="Yes",IF(COUNTBLANK('Capacity summary'!$H172:$BG172)&lt;52,IF('Capacity summary'!AG172&lt;&gt;"",IF(LOWER('Capacity summary'!AG172)="x",$BI53*AG53,VALUE('Capacity summary'!AG172)),0),AG53*$BI53),AG53*$BI53),0)</f>
        <v>0</v>
      </c>
      <c r="CK53" s="311">
        <f>IF($BI53&lt;&gt;"",IF('Capacity summary'!$D$14="Yes",IF(COUNTBLANK('Capacity summary'!$H172:$BG172)&lt;52,IF('Capacity summary'!AH172&lt;&gt;"",IF(LOWER('Capacity summary'!AH172)="x",$BI53*AH53,VALUE('Capacity summary'!AH172)),0),AH53*$BI53),AH53*$BI53),0)</f>
        <v>0</v>
      </c>
      <c r="CL53" s="311">
        <f>IF($BI53&lt;&gt;"",IF('Capacity summary'!$D$14="Yes",IF(COUNTBLANK('Capacity summary'!$H172:$BG172)&lt;52,IF('Capacity summary'!AI172&lt;&gt;"",IF(LOWER('Capacity summary'!AI172)="x",$BI53*AI53,VALUE('Capacity summary'!AI172)),0),AI53*$BI53),AI53*$BI53),0)</f>
        <v>0</v>
      </c>
      <c r="CM53" s="311">
        <f>IF($BI53&lt;&gt;"",IF('Capacity summary'!$D$14="Yes",IF(COUNTBLANK('Capacity summary'!$H172:$BG172)&lt;52,IF('Capacity summary'!AJ172&lt;&gt;"",IF(LOWER('Capacity summary'!AJ172)="x",$BI53*AJ53,VALUE('Capacity summary'!AJ172)),0),AJ53*$BI53),AJ53*$BI53),0)</f>
        <v>0</v>
      </c>
      <c r="CN53" s="311">
        <f>IF($BI53&lt;&gt;"",IF('Capacity summary'!$D$14="Yes",IF(COUNTBLANK('Capacity summary'!$H172:$BG172)&lt;52,IF('Capacity summary'!AK172&lt;&gt;"",IF(LOWER('Capacity summary'!AK172)="x",$BI53*AK53,VALUE('Capacity summary'!AK172)),0),AK53*$BI53),AK53*$BI53),0)</f>
        <v>0</v>
      </c>
      <c r="CO53" s="311">
        <f>IF($BI53&lt;&gt;"",IF('Capacity summary'!$D$14="Yes",IF(COUNTBLANK('Capacity summary'!$H172:$BG172)&lt;52,IF('Capacity summary'!AL172&lt;&gt;"",IF(LOWER('Capacity summary'!AL172)="x",$BI53*AL53,VALUE('Capacity summary'!AL172)),0),AL53*$BI53),AL53*$BI53),0)</f>
        <v>0</v>
      </c>
      <c r="CP53" s="311">
        <f>IF($BI53&lt;&gt;"",IF('Capacity summary'!$D$14="Yes",IF(COUNTBLANK('Capacity summary'!$H172:$BG172)&lt;52,IF('Capacity summary'!AM172&lt;&gt;"",IF(LOWER('Capacity summary'!AM172)="x",$BI53*AM53,VALUE('Capacity summary'!AM172)),0),AM53*$BI53),AM53*$BI53),0)</f>
        <v>0</v>
      </c>
      <c r="CQ53" s="311">
        <f>IF($BI53&lt;&gt;"",IF('Capacity summary'!$D$14="Yes",IF(COUNTBLANK('Capacity summary'!$H172:$BG172)&lt;52,IF('Capacity summary'!AN172&lt;&gt;"",IF(LOWER('Capacity summary'!AN172)="x",$BI53*AN53,VALUE('Capacity summary'!AN172)),0),AN53*$BI53),AN53*$BI53),0)</f>
        <v>0</v>
      </c>
      <c r="CR53" s="311">
        <f>IF($BI53&lt;&gt;"",IF('Capacity summary'!$D$14="Yes",IF(COUNTBLANK('Capacity summary'!$H172:$BG172)&lt;52,IF('Capacity summary'!AO172&lt;&gt;"",IF(LOWER('Capacity summary'!AO172)="x",$BI53*AO53,VALUE('Capacity summary'!AO172)),0),AO53*$BI53),AO53*$BI53),0)</f>
        <v>0</v>
      </c>
      <c r="CS53" s="311">
        <f>IF($BI53&lt;&gt;"",IF('Capacity summary'!$D$14="Yes",IF(COUNTBLANK('Capacity summary'!$H172:$BG172)&lt;52,IF('Capacity summary'!AP172&lt;&gt;"",IF(LOWER('Capacity summary'!AP172)="x",$BI53*AP53,VALUE('Capacity summary'!AP172)),0),AP53*$BI53),AP53*$BI53),0)</f>
        <v>0</v>
      </c>
      <c r="CT53" s="311">
        <f>IF($BI53&lt;&gt;"",IF('Capacity summary'!$D$14="Yes",IF(COUNTBLANK('Capacity summary'!$H172:$BG172)&lt;52,IF('Capacity summary'!AQ172&lt;&gt;"",IF(LOWER('Capacity summary'!AQ172)="x",$BI53*AQ53,VALUE('Capacity summary'!AQ172)),0),AQ53*$BI53),AQ53*$BI53),0)</f>
        <v>0</v>
      </c>
      <c r="CU53" s="311">
        <f>IF($BI53&lt;&gt;"",IF('Capacity summary'!$D$14="Yes",IF(COUNTBLANK('Capacity summary'!$H172:$BG172)&lt;52,IF('Capacity summary'!AR172&lt;&gt;"",IF(LOWER('Capacity summary'!AR172)="x",$BI53*AR53,VALUE('Capacity summary'!AR172)),0),AR53*$BI53),AR53*$BI53),0)</f>
        <v>0</v>
      </c>
      <c r="CV53" s="311">
        <f>IF($BI53&lt;&gt;"",IF('Capacity summary'!$D$14="Yes",IF(COUNTBLANK('Capacity summary'!$H172:$BG172)&lt;52,IF('Capacity summary'!AS172&lt;&gt;"",IF(LOWER('Capacity summary'!AS172)="x",$BI53*AS53,VALUE('Capacity summary'!AS172)),0),AS53*$BI53),AS53*$BI53),0)</f>
        <v>0</v>
      </c>
      <c r="CW53" s="311">
        <f>IF($BI53&lt;&gt;"",IF('Capacity summary'!$D$14="Yes",IF(COUNTBLANK('Capacity summary'!$H172:$BG172)&lt;52,IF('Capacity summary'!AT172&lt;&gt;"",IF(LOWER('Capacity summary'!AT172)="x",$BI53*AT53,VALUE('Capacity summary'!AT172)),0),AT53*$BI53),AT53*$BI53),0)</f>
        <v>0</v>
      </c>
      <c r="CX53" s="311">
        <f>IF($BI53&lt;&gt;"",IF('Capacity summary'!$D$14="Yes",IF(COUNTBLANK('Capacity summary'!$H172:$BG172)&lt;52,IF('Capacity summary'!AU172&lt;&gt;"",IF(LOWER('Capacity summary'!AU172)="x",$BI53*AU53,VALUE('Capacity summary'!AU172)),0),AU53*$BI53),AU53*$BI53),0)</f>
        <v>0</v>
      </c>
      <c r="CY53" s="311">
        <f>IF($BI53&lt;&gt;"",IF('Capacity summary'!$D$14="Yes",IF(COUNTBLANK('Capacity summary'!$H172:$BG172)&lt;52,IF('Capacity summary'!AV172&lt;&gt;"",IF(LOWER('Capacity summary'!AV172)="x",$BI53*AV53,VALUE('Capacity summary'!AV172)),0),AV53*$BI53),AV53*$BI53),0)</f>
        <v>0</v>
      </c>
      <c r="CZ53" s="311">
        <f>IF($BI53&lt;&gt;"",IF('Capacity summary'!$D$14="Yes",IF(COUNTBLANK('Capacity summary'!$H172:$BG172)&lt;52,IF('Capacity summary'!AW172&lt;&gt;"",IF(LOWER('Capacity summary'!AW172)="x",$BI53*AW53,VALUE('Capacity summary'!AW172)),0),AW53*$BI53),AW53*$BI53),0)</f>
        <v>0</v>
      </c>
      <c r="DA53" s="311">
        <f>IF($BI53&lt;&gt;"",IF('Capacity summary'!$D$14="Yes",IF(COUNTBLANK('Capacity summary'!$H172:$BG172)&lt;52,IF('Capacity summary'!AX172&lt;&gt;"",IF(LOWER('Capacity summary'!AX172)="x",$BI53*AX53,VALUE('Capacity summary'!AX172)),0),AX53*$BI53),AX53*$BI53),0)</f>
        <v>0</v>
      </c>
      <c r="DB53" s="311">
        <f>IF($BI53&lt;&gt;"",IF('Capacity summary'!$D$14="Yes",IF(COUNTBLANK('Capacity summary'!$H172:$BG172)&lt;52,IF('Capacity summary'!AY172&lt;&gt;"",IF(LOWER('Capacity summary'!AY172)="x",$BI53*AY53,VALUE('Capacity summary'!AY172)),0),AY53*$BI53),AY53*$BI53),0)</f>
        <v>0</v>
      </c>
      <c r="DC53" s="311">
        <f>IF($BI53&lt;&gt;"",IF('Capacity summary'!$D$14="Yes",IF(COUNTBLANK('Capacity summary'!$H172:$BG172)&lt;52,IF('Capacity summary'!AZ172&lt;&gt;"",IF(LOWER('Capacity summary'!AZ172)="x",$BI53*AZ53,VALUE('Capacity summary'!AZ172)),0),AZ53*$BI53),AZ53*$BI53),0)</f>
        <v>0</v>
      </c>
      <c r="DD53" s="311">
        <f>IF($BI53&lt;&gt;"",IF('Capacity summary'!$D$14="Yes",IF(COUNTBLANK('Capacity summary'!$H172:$BG172)&lt;52,IF('Capacity summary'!BA172&lt;&gt;"",IF(LOWER('Capacity summary'!BA172)="x",$BI53*BA53,VALUE('Capacity summary'!BA172)),0),BA53*$BI53),BA53*$BI53),0)</f>
        <v>0</v>
      </c>
      <c r="DE53" s="311">
        <f>IF($BI53&lt;&gt;"",IF('Capacity summary'!$D$14="Yes",IF(COUNTBLANK('Capacity summary'!$H172:$BG172)&lt;52,IF('Capacity summary'!BB172&lt;&gt;"",IF(LOWER('Capacity summary'!BB172)="x",$BI53*BB53,VALUE('Capacity summary'!BB172)),0),BB53*$BI53),BB53*$BI53),0)</f>
        <v>0</v>
      </c>
      <c r="DF53" s="311">
        <f>IF($BI53&lt;&gt;"",IF('Capacity summary'!$D$14="Yes",IF(COUNTBLANK('Capacity summary'!$H172:$BG172)&lt;52,IF('Capacity summary'!BC172&lt;&gt;"",IF(LOWER('Capacity summary'!BC172)="x",$BI53*BC53,VALUE('Capacity summary'!BC172)),0),BC53*$BI53),BC53*$BI53),0)</f>
        <v>0</v>
      </c>
      <c r="DG53" s="311">
        <f>IF($BI53&lt;&gt;"",IF('Capacity summary'!$D$14="Yes",IF(COUNTBLANK('Capacity summary'!$H172:$BG172)&lt;52,IF('Capacity summary'!BD172&lt;&gt;"",IF(LOWER('Capacity summary'!BD172)="x",$BI53*BD53,VALUE('Capacity summary'!BD172)),0),BD53*$BI53),BD53*$BI53),0)</f>
        <v>0</v>
      </c>
      <c r="DH53" s="311">
        <f>IF($BI53&lt;&gt;"",IF('Capacity summary'!$D$14="Yes",IF(COUNTBLANK('Capacity summary'!$H172:$BG172)&lt;52,IF('Capacity summary'!BE172&lt;&gt;"",IF(LOWER('Capacity summary'!BE172)="x",$BI53*BE53,VALUE('Capacity summary'!BE172)),0),BE53*$BI53),BE53*$BI53),0)</f>
        <v>0</v>
      </c>
      <c r="DI53" s="311">
        <f>IF($BI53&lt;&gt;"",IF('Capacity summary'!$D$14="Yes",IF(COUNTBLANK('Capacity summary'!$H172:$BG172)&lt;52,IF('Capacity summary'!BF172&lt;&gt;"",IF(LOWER('Capacity summary'!BF172)="x",$BI53*BF53,VALUE('Capacity summary'!BF172)),0),BF53*$BI53),BF53*$BI53),0)</f>
        <v>0</v>
      </c>
      <c r="DJ53" s="311">
        <f>IF($BI53&lt;&gt;"",IF('Capacity summary'!$D$14="Yes",IF(COUNTBLANK('Capacity summary'!$H172:$BG172)&lt;52,IF('Capacity summary'!BG172&lt;&gt;"",IF(LOWER('Capacity summary'!BG172)="x",$BI53*BG53,VALUE('Capacity summary'!BG172)),0),BG53*$BI53),BG53*$BI53),0)</f>
        <v>0</v>
      </c>
      <c r="DK53" s="391">
        <f t="shared" si="2"/>
        <v>0</v>
      </c>
      <c r="DL53" s="136">
        <f t="shared" si="3"/>
        <v>0</v>
      </c>
      <c r="DM53" s="311" t="str">
        <f>Capacity!H65</f>
        <v/>
      </c>
      <c r="DQ53" s="5"/>
    </row>
    <row r="54" spans="1:121" x14ac:dyDescent="0.2">
      <c r="A54" s="67">
        <f>IF(Capacity!L66='Capacity summary'!BI173,1,0)</f>
        <v>1</v>
      </c>
      <c r="B54" s="67">
        <f>IF(Capacity!V66='Capacity summary'!BI73,1,0)</f>
        <v>1</v>
      </c>
      <c r="C54" s="67" t="str">
        <f>ROW(A50)&amp;". "&amp;Capacity!B66</f>
        <v xml:space="preserve">50. </v>
      </c>
      <c r="D54" s="67">
        <f>'Capacity setup'!C61</f>
        <v>0</v>
      </c>
      <c r="E54" s="67">
        <f>'Capacity setup'!D61</f>
        <v>0</v>
      </c>
      <c r="F54" s="67">
        <f>'Capacity setup'!E61</f>
        <v>0</v>
      </c>
      <c r="H54" s="67">
        <f ca="1">IF(LOWER(Capacity!$L66)="x",IF(AND(SUMIF(Capacity_Resource,$D54,'Critical resources (hide)'!U$6:U$105)+SUMIF(Capacity_Resource,$E54,'Critical resources (hide)'!U$6:U$105)+SUMIF(Capacity_Resource,$F54,'Critical resources (hide)'!U$6:U$105)&gt;0,$E$1=2),0,1),0)</f>
        <v>1</v>
      </c>
      <c r="I54" s="67">
        <f ca="1">IF(LOWER(Capacity!$L66)="x",IF(AND(SUMIF(Capacity_Resource,$D54,'Critical resources (hide)'!V$6:V$105)+SUMIF(Capacity_Resource,$E54,'Critical resources (hide)'!V$6:V$105)+SUMIF(Capacity_Resource,$F54,'Critical resources (hide)'!V$6:V$105)&gt;0,$E$1=2),0,1),0)</f>
        <v>1</v>
      </c>
      <c r="J54" s="67">
        <f ca="1">IF(LOWER(Capacity!$L66)="x",IF(AND(SUMIF(Capacity_Resource,$D54,'Critical resources (hide)'!W$6:W$105)+SUMIF(Capacity_Resource,$E54,'Critical resources (hide)'!W$6:W$105)+SUMIF(Capacity_Resource,$F54,'Critical resources (hide)'!W$6:W$105)&gt;0,$E$1=2),0,1),0)</f>
        <v>1</v>
      </c>
      <c r="K54" s="67">
        <f ca="1">IF(LOWER(Capacity!$L66)="x",IF(AND(SUMIF(Capacity_Resource,$D54,'Critical resources (hide)'!X$6:X$105)+SUMIF(Capacity_Resource,$E54,'Critical resources (hide)'!X$6:X$105)+SUMIF(Capacity_Resource,$F54,'Critical resources (hide)'!X$6:X$105)&gt;0,$E$1=2),0,1),0)</f>
        <v>1</v>
      </c>
      <c r="L54" s="67">
        <f ca="1">IF(LOWER(Capacity!$L66)="x",IF(AND(SUMIF(Capacity_Resource,$D54,'Critical resources (hide)'!Y$6:Y$105)+SUMIF(Capacity_Resource,$E54,'Critical resources (hide)'!Y$6:Y$105)+SUMIF(Capacity_Resource,$F54,'Critical resources (hide)'!Y$6:Y$105)&gt;0,$E$1=2),0,1),0)</f>
        <v>1</v>
      </c>
      <c r="M54" s="67">
        <f ca="1">IF(LOWER(Capacity!$L66)="x",IF(AND(SUMIF(Capacity_Resource,$D54,'Critical resources (hide)'!Z$6:Z$105)+SUMIF(Capacity_Resource,$E54,'Critical resources (hide)'!Z$6:Z$105)+SUMIF(Capacity_Resource,$F54,'Critical resources (hide)'!Z$6:Z$105)&gt;0,$E$1=2),0,1),0)</f>
        <v>1</v>
      </c>
      <c r="N54" s="67">
        <f ca="1">IF(LOWER(Capacity!$L66)="x",IF(AND(SUMIF(Capacity_Resource,$D54,'Critical resources (hide)'!AA$6:AA$105)+SUMIF(Capacity_Resource,$E54,'Critical resources (hide)'!AA$6:AA$105)+SUMIF(Capacity_Resource,$F54,'Critical resources (hide)'!AA$6:AA$105)&gt;0,$E$1=2),0,1),0)</f>
        <v>1</v>
      </c>
      <c r="O54" s="67">
        <f ca="1">IF(LOWER(Capacity!$L66)="x",IF(AND(SUMIF(Capacity_Resource,$D54,'Critical resources (hide)'!AB$6:AB$105)+SUMIF(Capacity_Resource,$E54,'Critical resources (hide)'!AB$6:AB$105)+SUMIF(Capacity_Resource,$F54,'Critical resources (hide)'!AB$6:AB$105)&gt;0,$E$1=2),0,1),0)</f>
        <v>1</v>
      </c>
      <c r="P54" s="67">
        <f ca="1">IF(LOWER(Capacity!$L66)="x",IF(AND(SUMIF(Capacity_Resource,$D54,'Critical resources (hide)'!AC$6:AC$105)+SUMIF(Capacity_Resource,$E54,'Critical resources (hide)'!AC$6:AC$105)+SUMIF(Capacity_Resource,$F54,'Critical resources (hide)'!AC$6:AC$105)&gt;0,$E$1=2),0,1),0)</f>
        <v>1</v>
      </c>
      <c r="Q54" s="67">
        <f ca="1">IF(LOWER(Capacity!$L66)="x",IF(AND(SUMIF(Capacity_Resource,$D54,'Critical resources (hide)'!AD$6:AD$105)+SUMIF(Capacity_Resource,$E54,'Critical resources (hide)'!AD$6:AD$105)+SUMIF(Capacity_Resource,$F54,'Critical resources (hide)'!AD$6:AD$105)&gt;0,$E$1=2),0,1),0)</f>
        <v>1</v>
      </c>
      <c r="R54" s="67">
        <f ca="1">IF(LOWER(Capacity!$L66)="x",IF(AND(SUMIF(Capacity_Resource,$D54,'Critical resources (hide)'!AE$6:AE$105)+SUMIF(Capacity_Resource,$E54,'Critical resources (hide)'!AE$6:AE$105)+SUMIF(Capacity_Resource,$F54,'Critical resources (hide)'!AE$6:AE$105)&gt;0,$E$1=2),0,1),0)</f>
        <v>1</v>
      </c>
      <c r="S54" s="67">
        <f ca="1">IF(LOWER(Capacity!$L66)="x",IF(AND(SUMIF(Capacity_Resource,$D54,'Critical resources (hide)'!AF$6:AF$105)+SUMIF(Capacity_Resource,$E54,'Critical resources (hide)'!AF$6:AF$105)+SUMIF(Capacity_Resource,$F54,'Critical resources (hide)'!AF$6:AF$105)&gt;0,$E$1=2),0,1),0)</f>
        <v>1</v>
      </c>
      <c r="T54" s="67">
        <f ca="1">IF(LOWER(Capacity!$L66)="x",IF(AND(SUMIF(Capacity_Resource,$D54,'Critical resources (hide)'!AG$6:AG$105)+SUMIF(Capacity_Resource,$E54,'Critical resources (hide)'!AG$6:AG$105)+SUMIF(Capacity_Resource,$F54,'Critical resources (hide)'!AG$6:AG$105)&gt;0,$E$1=2),0,1),0)</f>
        <v>1</v>
      </c>
      <c r="U54" s="67">
        <f ca="1">IF(LOWER(Capacity!$L66)="x",IF(AND(SUMIF(Capacity_Resource,$D54,'Critical resources (hide)'!AH$6:AH$105)+SUMIF(Capacity_Resource,$E54,'Critical resources (hide)'!AH$6:AH$105)+SUMIF(Capacity_Resource,$F54,'Critical resources (hide)'!AH$6:AH$105)&gt;0,$E$1=2),0,1),0)</f>
        <v>1</v>
      </c>
      <c r="V54" s="67">
        <f ca="1">IF(LOWER(Capacity!$L66)="x",IF(AND(SUMIF(Capacity_Resource,$D54,'Critical resources (hide)'!AI$6:AI$105)+SUMIF(Capacity_Resource,$E54,'Critical resources (hide)'!AI$6:AI$105)+SUMIF(Capacity_Resource,$F54,'Critical resources (hide)'!AI$6:AI$105)&gt;0,$E$1=2),0,1),0)</f>
        <v>1</v>
      </c>
      <c r="W54" s="67">
        <f ca="1">IF(LOWER(Capacity!$L66)="x",IF(AND(SUMIF(Capacity_Resource,$D54,'Critical resources (hide)'!AJ$6:AJ$105)+SUMIF(Capacity_Resource,$E54,'Critical resources (hide)'!AJ$6:AJ$105)+SUMIF(Capacity_Resource,$F54,'Critical resources (hide)'!AJ$6:AJ$105)&gt;0,$E$1=2),0,1),0)</f>
        <v>1</v>
      </c>
      <c r="X54" s="67">
        <f ca="1">IF(LOWER(Capacity!$L66)="x",IF(AND(SUMIF(Capacity_Resource,$D54,'Critical resources (hide)'!AK$6:AK$105)+SUMIF(Capacity_Resource,$E54,'Critical resources (hide)'!AK$6:AK$105)+SUMIF(Capacity_Resource,$F54,'Critical resources (hide)'!AK$6:AK$105)&gt;0,$E$1=2),0,1),0)</f>
        <v>1</v>
      </c>
      <c r="Y54" s="67">
        <f ca="1">IF(LOWER(Capacity!$L66)="x",IF(AND(SUMIF(Capacity_Resource,$D54,'Critical resources (hide)'!AL$6:AL$105)+SUMIF(Capacity_Resource,$E54,'Critical resources (hide)'!AL$6:AL$105)+SUMIF(Capacity_Resource,$F54,'Critical resources (hide)'!AL$6:AL$105)&gt;0,$E$1=2),0,1),0)</f>
        <v>1</v>
      </c>
      <c r="Z54" s="67">
        <f ca="1">IF(LOWER(Capacity!$L66)="x",IF(AND(SUMIF(Capacity_Resource,$D54,'Critical resources (hide)'!AM$6:AM$105)+SUMIF(Capacity_Resource,$E54,'Critical resources (hide)'!AM$6:AM$105)+SUMIF(Capacity_Resource,$F54,'Critical resources (hide)'!AM$6:AM$105)&gt;0,$E$1=2),0,1),0)</f>
        <v>1</v>
      </c>
      <c r="AA54" s="67">
        <f ca="1">IF(LOWER(Capacity!$L66)="x",IF(AND(SUMIF(Capacity_Resource,$D54,'Critical resources (hide)'!AN$6:AN$105)+SUMIF(Capacity_Resource,$E54,'Critical resources (hide)'!AN$6:AN$105)+SUMIF(Capacity_Resource,$F54,'Critical resources (hide)'!AN$6:AN$105)&gt;0,$E$1=2),0,1),0)</f>
        <v>1</v>
      </c>
      <c r="AB54" s="67">
        <f ca="1">IF(LOWER(Capacity!$L66)="x",IF(AND(SUMIF(Capacity_Resource,$D54,'Critical resources (hide)'!AO$6:AO$105)+SUMIF(Capacity_Resource,$E54,'Critical resources (hide)'!AO$6:AO$105)+SUMIF(Capacity_Resource,$F54,'Critical resources (hide)'!AO$6:AO$105)&gt;0,$E$1=2),0,1),0)</f>
        <v>1</v>
      </c>
      <c r="AC54" s="67">
        <f ca="1">IF(LOWER(Capacity!$L66)="x",IF(AND(SUMIF(Capacity_Resource,$D54,'Critical resources (hide)'!AP$6:AP$105)+SUMIF(Capacity_Resource,$E54,'Critical resources (hide)'!AP$6:AP$105)+SUMIF(Capacity_Resource,$F54,'Critical resources (hide)'!AP$6:AP$105)&gt;0,$E$1=2),0,1),0)</f>
        <v>1</v>
      </c>
      <c r="AD54" s="67">
        <f ca="1">IF(LOWER(Capacity!$L66)="x",IF(AND(SUMIF(Capacity_Resource,$D54,'Critical resources (hide)'!AQ$6:AQ$105)+SUMIF(Capacity_Resource,$E54,'Critical resources (hide)'!AQ$6:AQ$105)+SUMIF(Capacity_Resource,$F54,'Critical resources (hide)'!AQ$6:AQ$105)&gt;0,$E$1=2),0,1),0)</f>
        <v>1</v>
      </c>
      <c r="AE54" s="67">
        <f ca="1">IF(LOWER(Capacity!$L66)="x",IF(AND(SUMIF(Capacity_Resource,$D54,'Critical resources (hide)'!AR$6:AR$105)+SUMIF(Capacity_Resource,$E54,'Critical resources (hide)'!AR$6:AR$105)+SUMIF(Capacity_Resource,$F54,'Critical resources (hide)'!AR$6:AR$105)&gt;0,$E$1=2),0,1),0)</f>
        <v>1</v>
      </c>
      <c r="AF54" s="67">
        <f ca="1">IF(LOWER(Capacity!$L66)="x",IF(AND(SUMIF(Capacity_Resource,$D54,'Critical resources (hide)'!AS$6:AS$105)+SUMIF(Capacity_Resource,$E54,'Critical resources (hide)'!AS$6:AS$105)+SUMIF(Capacity_Resource,$F54,'Critical resources (hide)'!AS$6:AS$105)&gt;0,$E$1=2),0,1),0)</f>
        <v>1</v>
      </c>
      <c r="AG54" s="67">
        <f ca="1">IF(LOWER(Capacity!$L66)="x",IF(AND(SUMIF(Capacity_Resource,$D54,'Critical resources (hide)'!AT$6:AT$105)+SUMIF(Capacity_Resource,$E54,'Critical resources (hide)'!AT$6:AT$105)+SUMIF(Capacity_Resource,$F54,'Critical resources (hide)'!AT$6:AT$105)&gt;0,$E$1=2),0,1),0)</f>
        <v>1</v>
      </c>
      <c r="AH54" s="67">
        <f ca="1">IF(LOWER(Capacity!$L66)="x",IF(AND(SUMIF(Capacity_Resource,$D54,'Critical resources (hide)'!AU$6:AU$105)+SUMIF(Capacity_Resource,$E54,'Critical resources (hide)'!AU$6:AU$105)+SUMIF(Capacity_Resource,$F54,'Critical resources (hide)'!AU$6:AU$105)&gt;0,$E$1=2),0,1),0)</f>
        <v>1</v>
      </c>
      <c r="AI54" s="67">
        <f ca="1">IF(LOWER(Capacity!$L66)="x",IF(AND(SUMIF(Capacity_Resource,$D54,'Critical resources (hide)'!AV$6:AV$105)+SUMIF(Capacity_Resource,$E54,'Critical resources (hide)'!AV$6:AV$105)+SUMIF(Capacity_Resource,$F54,'Critical resources (hide)'!AV$6:AV$105)&gt;0,$E$1=2),0,1),0)</f>
        <v>1</v>
      </c>
      <c r="AJ54" s="67">
        <f ca="1">IF(LOWER(Capacity!$L66)="x",IF(AND(SUMIF(Capacity_Resource,$D54,'Critical resources (hide)'!AW$6:AW$105)+SUMIF(Capacity_Resource,$E54,'Critical resources (hide)'!AW$6:AW$105)+SUMIF(Capacity_Resource,$F54,'Critical resources (hide)'!AW$6:AW$105)&gt;0,$E$1=2),0,1),0)</f>
        <v>1</v>
      </c>
      <c r="AK54" s="67">
        <f ca="1">IF(LOWER(Capacity!$L66)="x",IF(AND(SUMIF(Capacity_Resource,$D54,'Critical resources (hide)'!AX$6:AX$105)+SUMIF(Capacity_Resource,$E54,'Critical resources (hide)'!AX$6:AX$105)+SUMIF(Capacity_Resource,$F54,'Critical resources (hide)'!AX$6:AX$105)&gt;0,$E$1=2),0,1),0)</f>
        <v>1</v>
      </c>
      <c r="AL54" s="67">
        <f ca="1">IF(LOWER(Capacity!$L66)="x",IF(AND(SUMIF(Capacity_Resource,$D54,'Critical resources (hide)'!AY$6:AY$105)+SUMIF(Capacity_Resource,$E54,'Critical resources (hide)'!AY$6:AY$105)+SUMIF(Capacity_Resource,$F54,'Critical resources (hide)'!AY$6:AY$105)&gt;0,$E$1=2),0,1),0)</f>
        <v>1</v>
      </c>
      <c r="AM54" s="67">
        <f ca="1">IF(LOWER(Capacity!$L66)="x",IF(AND(SUMIF(Capacity_Resource,$D54,'Critical resources (hide)'!AZ$6:AZ$105)+SUMIF(Capacity_Resource,$E54,'Critical resources (hide)'!AZ$6:AZ$105)+SUMIF(Capacity_Resource,$F54,'Critical resources (hide)'!AZ$6:AZ$105)&gt;0,$E$1=2),0,1),0)</f>
        <v>1</v>
      </c>
      <c r="AN54" s="67">
        <f ca="1">IF(LOWER(Capacity!$L66)="x",IF(AND(SUMIF(Capacity_Resource,$D54,'Critical resources (hide)'!BA$6:BA$105)+SUMIF(Capacity_Resource,$E54,'Critical resources (hide)'!BA$6:BA$105)+SUMIF(Capacity_Resource,$F54,'Critical resources (hide)'!BA$6:BA$105)&gt;0,$E$1=2),0,1),0)</f>
        <v>1</v>
      </c>
      <c r="AO54" s="67">
        <f ca="1">IF(LOWER(Capacity!$L66)="x",IF(AND(SUMIF(Capacity_Resource,$D54,'Critical resources (hide)'!BB$6:BB$105)+SUMIF(Capacity_Resource,$E54,'Critical resources (hide)'!BB$6:BB$105)+SUMIF(Capacity_Resource,$F54,'Critical resources (hide)'!BB$6:BB$105)&gt;0,$E$1=2),0,1),0)</f>
        <v>1</v>
      </c>
      <c r="AP54" s="67">
        <f ca="1">IF(LOWER(Capacity!$L66)="x",IF(AND(SUMIF(Capacity_Resource,$D54,'Critical resources (hide)'!BC$6:BC$105)+SUMIF(Capacity_Resource,$E54,'Critical resources (hide)'!BC$6:BC$105)+SUMIF(Capacity_Resource,$F54,'Critical resources (hide)'!BC$6:BC$105)&gt;0,$E$1=2),0,1),0)</f>
        <v>1</v>
      </c>
      <c r="AQ54" s="67">
        <f ca="1">IF(LOWER(Capacity!$L66)="x",IF(AND(SUMIF(Capacity_Resource,$D54,'Critical resources (hide)'!BD$6:BD$105)+SUMIF(Capacity_Resource,$E54,'Critical resources (hide)'!BD$6:BD$105)+SUMIF(Capacity_Resource,$F54,'Critical resources (hide)'!BD$6:BD$105)&gt;0,$E$1=2),0,1),0)</f>
        <v>1</v>
      </c>
      <c r="AR54" s="67">
        <f ca="1">IF(LOWER(Capacity!$L66)="x",IF(AND(SUMIF(Capacity_Resource,$D54,'Critical resources (hide)'!BE$6:BE$105)+SUMIF(Capacity_Resource,$E54,'Critical resources (hide)'!BE$6:BE$105)+SUMIF(Capacity_Resource,$F54,'Critical resources (hide)'!BE$6:BE$105)&gt;0,$E$1=2),0,1),0)</f>
        <v>1</v>
      </c>
      <c r="AS54" s="67">
        <f ca="1">IF(LOWER(Capacity!$L66)="x",IF(AND(SUMIF(Capacity_Resource,$D54,'Critical resources (hide)'!BF$6:BF$105)+SUMIF(Capacity_Resource,$E54,'Critical resources (hide)'!BF$6:BF$105)+SUMIF(Capacity_Resource,$F54,'Critical resources (hide)'!BF$6:BF$105)&gt;0,$E$1=2),0,1),0)</f>
        <v>1</v>
      </c>
      <c r="AT54" s="67">
        <f ca="1">IF(LOWER(Capacity!$L66)="x",IF(AND(SUMIF(Capacity_Resource,$D54,'Critical resources (hide)'!BG$6:BG$105)+SUMIF(Capacity_Resource,$E54,'Critical resources (hide)'!BG$6:BG$105)+SUMIF(Capacity_Resource,$F54,'Critical resources (hide)'!BG$6:BG$105)&gt;0,$E$1=2),0,1),0)</f>
        <v>1</v>
      </c>
      <c r="AU54" s="67">
        <f ca="1">IF(LOWER(Capacity!$L66)="x",IF(AND(SUMIF(Capacity_Resource,$D54,'Critical resources (hide)'!BH$6:BH$105)+SUMIF(Capacity_Resource,$E54,'Critical resources (hide)'!BH$6:BH$105)+SUMIF(Capacity_Resource,$F54,'Critical resources (hide)'!BH$6:BH$105)&gt;0,$E$1=2),0,1),0)</f>
        <v>1</v>
      </c>
      <c r="AV54" s="67">
        <f ca="1">IF(LOWER(Capacity!$L66)="x",IF(AND(SUMIF(Capacity_Resource,$D54,'Critical resources (hide)'!BI$6:BI$105)+SUMIF(Capacity_Resource,$E54,'Critical resources (hide)'!BI$6:BI$105)+SUMIF(Capacity_Resource,$F54,'Critical resources (hide)'!BI$6:BI$105)&gt;0,$E$1=2),0,1),0)</f>
        <v>1</v>
      </c>
      <c r="AW54" s="67">
        <f ca="1">IF(LOWER(Capacity!$L66)="x",IF(AND(SUMIF(Capacity_Resource,$D54,'Critical resources (hide)'!BJ$6:BJ$105)+SUMIF(Capacity_Resource,$E54,'Critical resources (hide)'!BJ$6:BJ$105)+SUMIF(Capacity_Resource,$F54,'Critical resources (hide)'!BJ$6:BJ$105)&gt;0,$E$1=2),0,1),0)</f>
        <v>1</v>
      </c>
      <c r="AX54" s="67">
        <f ca="1">IF(LOWER(Capacity!$L66)="x",IF(AND(SUMIF(Capacity_Resource,$D54,'Critical resources (hide)'!BK$6:BK$105)+SUMIF(Capacity_Resource,$E54,'Critical resources (hide)'!BK$6:BK$105)+SUMIF(Capacity_Resource,$F54,'Critical resources (hide)'!BK$6:BK$105)&gt;0,$E$1=2),0,1),0)</f>
        <v>1</v>
      </c>
      <c r="AY54" s="67">
        <f ca="1">IF(LOWER(Capacity!$L66)="x",IF(AND(SUMIF(Capacity_Resource,$D54,'Critical resources (hide)'!BL$6:BL$105)+SUMIF(Capacity_Resource,$E54,'Critical resources (hide)'!BL$6:BL$105)+SUMIF(Capacity_Resource,$F54,'Critical resources (hide)'!BL$6:BL$105)&gt;0,$E$1=2),0,1),0)</f>
        <v>1</v>
      </c>
      <c r="AZ54" s="67">
        <f ca="1">IF(LOWER(Capacity!$L66)="x",IF(AND(SUMIF(Capacity_Resource,$D54,'Critical resources (hide)'!BM$6:BM$105)+SUMIF(Capacity_Resource,$E54,'Critical resources (hide)'!BM$6:BM$105)+SUMIF(Capacity_Resource,$F54,'Critical resources (hide)'!BM$6:BM$105)&gt;0,$E$1=2),0,1),0)</f>
        <v>1</v>
      </c>
      <c r="BA54" s="67">
        <f ca="1">IF(LOWER(Capacity!$L66)="x",IF(AND(SUMIF(Capacity_Resource,$D54,'Critical resources (hide)'!BN$6:BN$105)+SUMIF(Capacity_Resource,$E54,'Critical resources (hide)'!BN$6:BN$105)+SUMIF(Capacity_Resource,$F54,'Critical resources (hide)'!BN$6:BN$105)&gt;0,$E$1=2),0,1),0)</f>
        <v>1</v>
      </c>
      <c r="BB54" s="67">
        <f ca="1">IF(LOWER(Capacity!$L66)="x",IF(AND(SUMIF(Capacity_Resource,$D54,'Critical resources (hide)'!BO$6:BO$105)+SUMIF(Capacity_Resource,$E54,'Critical resources (hide)'!BO$6:BO$105)+SUMIF(Capacity_Resource,$F54,'Critical resources (hide)'!BO$6:BO$105)&gt;0,$E$1=2),0,1),0)</f>
        <v>1</v>
      </c>
      <c r="BC54" s="67">
        <f ca="1">IF(LOWER(Capacity!$L66)="x",IF(AND(SUMIF(Capacity_Resource,$D54,'Critical resources (hide)'!BP$6:BP$105)+SUMIF(Capacity_Resource,$E54,'Critical resources (hide)'!BP$6:BP$105)+SUMIF(Capacity_Resource,$F54,'Critical resources (hide)'!BP$6:BP$105)&gt;0,$E$1=2),0,1),0)</f>
        <v>1</v>
      </c>
      <c r="BD54" s="67">
        <f ca="1">IF(LOWER(Capacity!$L66)="x",IF(AND(SUMIF(Capacity_Resource,$D54,'Critical resources (hide)'!BQ$6:BQ$105)+SUMIF(Capacity_Resource,$E54,'Critical resources (hide)'!BQ$6:BQ$105)+SUMIF(Capacity_Resource,$F54,'Critical resources (hide)'!BQ$6:BQ$105)&gt;0,$E$1=2),0,1),0)</f>
        <v>1</v>
      </c>
      <c r="BE54" s="67">
        <f ca="1">IF(LOWER(Capacity!$L66)="x",IF(AND(SUMIF(Capacity_Resource,$D54,'Critical resources (hide)'!BR$6:BR$105)+SUMIF(Capacity_Resource,$E54,'Critical resources (hide)'!BR$6:BR$105)+SUMIF(Capacity_Resource,$F54,'Critical resources (hide)'!BR$6:BR$105)&gt;0,$E$1=2),0,1),0)</f>
        <v>1</v>
      </c>
      <c r="BF54" s="67">
        <f ca="1">IF(LOWER(Capacity!$L66)="x",IF(AND(SUMIF(Capacity_Resource,$D54,'Critical resources (hide)'!BS$6:BS$105)+SUMIF(Capacity_Resource,$E54,'Critical resources (hide)'!BS$6:BS$105)+SUMIF(Capacity_Resource,$F54,'Critical resources (hide)'!BS$6:BS$105)&gt;0,$E$1=2),0,1),0)</f>
        <v>1</v>
      </c>
      <c r="BG54" s="67">
        <f ca="1">IF(LOWER(Capacity!$L66)="x",IF(AND(SUMIF(Capacity_Resource,$D54,'Critical resources (hide)'!BT$6:BT$105)+SUMIF(Capacity_Resource,$E54,'Critical resources (hide)'!BT$6:BT$105)+SUMIF(Capacity_Resource,$F54,'Critical resources (hide)'!BT$6:BT$105)&gt;0,$E$1=2),0,1),0)</f>
        <v>1</v>
      </c>
      <c r="BH54" s="67">
        <f>IF(ROW(C50)&lt;=Capacity!$A$16,IF('Capacity summary'!$D$14="No",SUM(H54:BG54),'Capacity summary'!$E173),0)</f>
        <v>0</v>
      </c>
      <c r="BI54" s="5" t="str">
        <f>IF(BH54&gt;0,IF(BH54&lt;Capacity!E66,Capacity!F66,Capacity!H66/'Capacity calculation (hide)'!BH54),"")</f>
        <v/>
      </c>
      <c r="BK54" s="311">
        <f>IF($BI54&lt;&gt;"",IF('Capacity summary'!$D$14="Yes",IF(COUNTBLANK('Capacity summary'!$H173:$BG173)&lt;52,IF('Capacity summary'!H173&lt;&gt;"",IF(LOWER('Capacity summary'!H173)="x",$BI54*H54,VALUE('Capacity summary'!H173)),0),H54*$BI54),H54*$BI54),0)</f>
        <v>0</v>
      </c>
      <c r="BL54" s="311">
        <f>IF($BI54&lt;&gt;"",IF('Capacity summary'!$D$14="Yes",IF(COUNTBLANK('Capacity summary'!$H173:$BG173)&lt;52,IF('Capacity summary'!I173&lt;&gt;"",IF(LOWER('Capacity summary'!I173)="x",$BI54*I54,VALUE('Capacity summary'!I173)),0),I54*$BI54),I54*$BI54),0)</f>
        <v>0</v>
      </c>
      <c r="BM54" s="311">
        <f>IF($BI54&lt;&gt;"",IF('Capacity summary'!$D$14="Yes",IF(COUNTBLANK('Capacity summary'!$H173:$BG173)&lt;52,IF('Capacity summary'!J173&lt;&gt;"",IF(LOWER('Capacity summary'!J173)="x",$BI54*J54,VALUE('Capacity summary'!J173)),0),J54*$BI54),J54*$BI54),0)</f>
        <v>0</v>
      </c>
      <c r="BN54" s="311">
        <f>IF($BI54&lt;&gt;"",IF('Capacity summary'!$D$14="Yes",IF(COUNTBLANK('Capacity summary'!$H173:$BG173)&lt;52,IF('Capacity summary'!K173&lt;&gt;"",IF(LOWER('Capacity summary'!K173)="x",$BI54*K54,VALUE('Capacity summary'!K173)),0),K54*$BI54),K54*$BI54),0)</f>
        <v>0</v>
      </c>
      <c r="BO54" s="311">
        <f>IF($BI54&lt;&gt;"",IF('Capacity summary'!$D$14="Yes",IF(COUNTBLANK('Capacity summary'!$H173:$BG173)&lt;52,IF('Capacity summary'!L173&lt;&gt;"",IF(LOWER('Capacity summary'!L173)="x",$BI54*L54,VALUE('Capacity summary'!L173)),0),L54*$BI54),L54*$BI54),0)</f>
        <v>0</v>
      </c>
      <c r="BP54" s="311">
        <f>IF($BI54&lt;&gt;"",IF('Capacity summary'!$D$14="Yes",IF(COUNTBLANK('Capacity summary'!$H173:$BG173)&lt;52,IF('Capacity summary'!M173&lt;&gt;"",IF(LOWER('Capacity summary'!M173)="x",$BI54*M54,VALUE('Capacity summary'!M173)),0),M54*$BI54),M54*$BI54),0)</f>
        <v>0</v>
      </c>
      <c r="BQ54" s="311">
        <f>IF($BI54&lt;&gt;"",IF('Capacity summary'!$D$14="Yes",IF(COUNTBLANK('Capacity summary'!$H173:$BG173)&lt;52,IF('Capacity summary'!N173&lt;&gt;"",IF(LOWER('Capacity summary'!N173)="x",$BI54*N54,VALUE('Capacity summary'!N173)),0),N54*$BI54),N54*$BI54),0)</f>
        <v>0</v>
      </c>
      <c r="BR54" s="311">
        <f>IF($BI54&lt;&gt;"",IF('Capacity summary'!$D$14="Yes",IF(COUNTBLANK('Capacity summary'!$H173:$BG173)&lt;52,IF('Capacity summary'!O173&lt;&gt;"",IF(LOWER('Capacity summary'!O173)="x",$BI54*O54,VALUE('Capacity summary'!O173)),0),O54*$BI54),O54*$BI54),0)</f>
        <v>0</v>
      </c>
      <c r="BS54" s="311">
        <f>IF($BI54&lt;&gt;"",IF('Capacity summary'!$D$14="Yes",IF(COUNTBLANK('Capacity summary'!$H173:$BG173)&lt;52,IF('Capacity summary'!P173&lt;&gt;"",IF(LOWER('Capacity summary'!P173)="x",$BI54*P54,VALUE('Capacity summary'!P173)),0),P54*$BI54),P54*$BI54),0)</f>
        <v>0</v>
      </c>
      <c r="BT54" s="311">
        <f>IF($BI54&lt;&gt;"",IF('Capacity summary'!$D$14="Yes",IF(COUNTBLANK('Capacity summary'!$H173:$BG173)&lt;52,IF('Capacity summary'!Q173&lt;&gt;"",IF(LOWER('Capacity summary'!Q173)="x",$BI54*Q54,VALUE('Capacity summary'!Q173)),0),Q54*$BI54),Q54*$BI54),0)</f>
        <v>0</v>
      </c>
      <c r="BU54" s="311">
        <f>IF($BI54&lt;&gt;"",IF('Capacity summary'!$D$14="Yes",IF(COUNTBLANK('Capacity summary'!$H173:$BG173)&lt;52,IF('Capacity summary'!R173&lt;&gt;"",IF(LOWER('Capacity summary'!R173)="x",$BI54*R54,VALUE('Capacity summary'!R173)),0),R54*$BI54),R54*$BI54),0)</f>
        <v>0</v>
      </c>
      <c r="BV54" s="311">
        <f>IF($BI54&lt;&gt;"",IF('Capacity summary'!$D$14="Yes",IF(COUNTBLANK('Capacity summary'!$H173:$BG173)&lt;52,IF('Capacity summary'!S173&lt;&gt;"",IF(LOWER('Capacity summary'!S173)="x",$BI54*S54,VALUE('Capacity summary'!S173)),0),S54*$BI54),S54*$BI54),0)</f>
        <v>0</v>
      </c>
      <c r="BW54" s="311">
        <f>IF($BI54&lt;&gt;"",IF('Capacity summary'!$D$14="Yes",IF(COUNTBLANK('Capacity summary'!$H173:$BG173)&lt;52,IF('Capacity summary'!T173&lt;&gt;"",IF(LOWER('Capacity summary'!T173)="x",$BI54*T54,VALUE('Capacity summary'!T173)),0),T54*$BI54),T54*$BI54),0)</f>
        <v>0</v>
      </c>
      <c r="BX54" s="311">
        <f>IF($BI54&lt;&gt;"",IF('Capacity summary'!$D$14="Yes",IF(COUNTBLANK('Capacity summary'!$H173:$BG173)&lt;52,IF('Capacity summary'!U173&lt;&gt;"",IF(LOWER('Capacity summary'!U173)="x",$BI54*U54,VALUE('Capacity summary'!U173)),0),U54*$BI54),U54*$BI54),0)</f>
        <v>0</v>
      </c>
      <c r="BY54" s="311">
        <f>IF($BI54&lt;&gt;"",IF('Capacity summary'!$D$14="Yes",IF(COUNTBLANK('Capacity summary'!$H173:$BG173)&lt;52,IF('Capacity summary'!V173&lt;&gt;"",IF(LOWER('Capacity summary'!V173)="x",$BI54*V54,VALUE('Capacity summary'!V173)),0),V54*$BI54),V54*$BI54),0)</f>
        <v>0</v>
      </c>
      <c r="BZ54" s="311">
        <f>IF($BI54&lt;&gt;"",IF('Capacity summary'!$D$14="Yes",IF(COUNTBLANK('Capacity summary'!$H173:$BG173)&lt;52,IF('Capacity summary'!W173&lt;&gt;"",IF(LOWER('Capacity summary'!W173)="x",$BI54*W54,VALUE('Capacity summary'!W173)),0),W54*$BI54),W54*$BI54),0)</f>
        <v>0</v>
      </c>
      <c r="CA54" s="311">
        <f>IF($BI54&lt;&gt;"",IF('Capacity summary'!$D$14="Yes",IF(COUNTBLANK('Capacity summary'!$H173:$BG173)&lt;52,IF('Capacity summary'!X173&lt;&gt;"",IF(LOWER('Capacity summary'!X173)="x",$BI54*X54,VALUE('Capacity summary'!X173)),0),X54*$BI54),X54*$BI54),0)</f>
        <v>0</v>
      </c>
      <c r="CB54" s="311">
        <f>IF($BI54&lt;&gt;"",IF('Capacity summary'!$D$14="Yes",IF(COUNTBLANK('Capacity summary'!$H173:$BG173)&lt;52,IF('Capacity summary'!Y173&lt;&gt;"",IF(LOWER('Capacity summary'!Y173)="x",$BI54*Y54,VALUE('Capacity summary'!Y173)),0),Y54*$BI54),Y54*$BI54),0)</f>
        <v>0</v>
      </c>
      <c r="CC54" s="311">
        <f>IF($BI54&lt;&gt;"",IF('Capacity summary'!$D$14="Yes",IF(COUNTBLANK('Capacity summary'!$H173:$BG173)&lt;52,IF('Capacity summary'!Z173&lt;&gt;"",IF(LOWER('Capacity summary'!Z173)="x",$BI54*Z54,VALUE('Capacity summary'!Z173)),0),Z54*$BI54),Z54*$BI54),0)</f>
        <v>0</v>
      </c>
      <c r="CD54" s="311">
        <f>IF($BI54&lt;&gt;"",IF('Capacity summary'!$D$14="Yes",IF(COUNTBLANK('Capacity summary'!$H173:$BG173)&lt;52,IF('Capacity summary'!AA173&lt;&gt;"",IF(LOWER('Capacity summary'!AA173)="x",$BI54*AA54,VALUE('Capacity summary'!AA173)),0),AA54*$BI54),AA54*$BI54),0)</f>
        <v>0</v>
      </c>
      <c r="CE54" s="311">
        <f>IF($BI54&lt;&gt;"",IF('Capacity summary'!$D$14="Yes",IF(COUNTBLANK('Capacity summary'!$H173:$BG173)&lt;52,IF('Capacity summary'!AB173&lt;&gt;"",IF(LOWER('Capacity summary'!AB173)="x",$BI54*AB54,VALUE('Capacity summary'!AB173)),0),AB54*$BI54),AB54*$BI54),0)</f>
        <v>0</v>
      </c>
      <c r="CF54" s="311">
        <f>IF($BI54&lt;&gt;"",IF('Capacity summary'!$D$14="Yes",IF(COUNTBLANK('Capacity summary'!$H173:$BG173)&lt;52,IF('Capacity summary'!AC173&lt;&gt;"",IF(LOWER('Capacity summary'!AC173)="x",$BI54*AC54,VALUE('Capacity summary'!AC173)),0),AC54*$BI54),AC54*$BI54),0)</f>
        <v>0</v>
      </c>
      <c r="CG54" s="311">
        <f>IF($BI54&lt;&gt;"",IF('Capacity summary'!$D$14="Yes",IF(COUNTBLANK('Capacity summary'!$H173:$BG173)&lt;52,IF('Capacity summary'!AD173&lt;&gt;"",IF(LOWER('Capacity summary'!AD173)="x",$BI54*AD54,VALUE('Capacity summary'!AD173)),0),AD54*$BI54),AD54*$BI54),0)</f>
        <v>0</v>
      </c>
      <c r="CH54" s="311">
        <f>IF($BI54&lt;&gt;"",IF('Capacity summary'!$D$14="Yes",IF(COUNTBLANK('Capacity summary'!$H173:$BG173)&lt;52,IF('Capacity summary'!AE173&lt;&gt;"",IF(LOWER('Capacity summary'!AE173)="x",$BI54*AE54,VALUE('Capacity summary'!AE173)),0),AE54*$BI54),AE54*$BI54),0)</f>
        <v>0</v>
      </c>
      <c r="CI54" s="311">
        <f>IF($BI54&lt;&gt;"",IF('Capacity summary'!$D$14="Yes",IF(COUNTBLANK('Capacity summary'!$H173:$BG173)&lt;52,IF('Capacity summary'!AF173&lt;&gt;"",IF(LOWER('Capacity summary'!AF173)="x",$BI54*AF54,VALUE('Capacity summary'!AF173)),0),AF54*$BI54),AF54*$BI54),0)</f>
        <v>0</v>
      </c>
      <c r="CJ54" s="311">
        <f>IF($BI54&lt;&gt;"",IF('Capacity summary'!$D$14="Yes",IF(COUNTBLANK('Capacity summary'!$H173:$BG173)&lt;52,IF('Capacity summary'!AG173&lt;&gt;"",IF(LOWER('Capacity summary'!AG173)="x",$BI54*AG54,VALUE('Capacity summary'!AG173)),0),AG54*$BI54),AG54*$BI54),0)</f>
        <v>0</v>
      </c>
      <c r="CK54" s="311">
        <f>IF($BI54&lt;&gt;"",IF('Capacity summary'!$D$14="Yes",IF(COUNTBLANK('Capacity summary'!$H173:$BG173)&lt;52,IF('Capacity summary'!AH173&lt;&gt;"",IF(LOWER('Capacity summary'!AH173)="x",$BI54*AH54,VALUE('Capacity summary'!AH173)),0),AH54*$BI54),AH54*$BI54),0)</f>
        <v>0</v>
      </c>
      <c r="CL54" s="311">
        <f>IF($BI54&lt;&gt;"",IF('Capacity summary'!$D$14="Yes",IF(COUNTBLANK('Capacity summary'!$H173:$BG173)&lt;52,IF('Capacity summary'!AI173&lt;&gt;"",IF(LOWER('Capacity summary'!AI173)="x",$BI54*AI54,VALUE('Capacity summary'!AI173)),0),AI54*$BI54),AI54*$BI54),0)</f>
        <v>0</v>
      </c>
      <c r="CM54" s="311">
        <f>IF($BI54&lt;&gt;"",IF('Capacity summary'!$D$14="Yes",IF(COUNTBLANK('Capacity summary'!$H173:$BG173)&lt;52,IF('Capacity summary'!AJ173&lt;&gt;"",IF(LOWER('Capacity summary'!AJ173)="x",$BI54*AJ54,VALUE('Capacity summary'!AJ173)),0),AJ54*$BI54),AJ54*$BI54),0)</f>
        <v>0</v>
      </c>
      <c r="CN54" s="311">
        <f>IF($BI54&lt;&gt;"",IF('Capacity summary'!$D$14="Yes",IF(COUNTBLANK('Capacity summary'!$H173:$BG173)&lt;52,IF('Capacity summary'!AK173&lt;&gt;"",IF(LOWER('Capacity summary'!AK173)="x",$BI54*AK54,VALUE('Capacity summary'!AK173)),0),AK54*$BI54),AK54*$BI54),0)</f>
        <v>0</v>
      </c>
      <c r="CO54" s="311">
        <f>IF($BI54&lt;&gt;"",IF('Capacity summary'!$D$14="Yes",IF(COUNTBLANK('Capacity summary'!$H173:$BG173)&lt;52,IF('Capacity summary'!AL173&lt;&gt;"",IF(LOWER('Capacity summary'!AL173)="x",$BI54*AL54,VALUE('Capacity summary'!AL173)),0),AL54*$BI54),AL54*$BI54),0)</f>
        <v>0</v>
      </c>
      <c r="CP54" s="311">
        <f>IF($BI54&lt;&gt;"",IF('Capacity summary'!$D$14="Yes",IF(COUNTBLANK('Capacity summary'!$H173:$BG173)&lt;52,IF('Capacity summary'!AM173&lt;&gt;"",IF(LOWER('Capacity summary'!AM173)="x",$BI54*AM54,VALUE('Capacity summary'!AM173)),0),AM54*$BI54),AM54*$BI54),0)</f>
        <v>0</v>
      </c>
      <c r="CQ54" s="311">
        <f>IF($BI54&lt;&gt;"",IF('Capacity summary'!$D$14="Yes",IF(COUNTBLANK('Capacity summary'!$H173:$BG173)&lt;52,IF('Capacity summary'!AN173&lt;&gt;"",IF(LOWER('Capacity summary'!AN173)="x",$BI54*AN54,VALUE('Capacity summary'!AN173)),0),AN54*$BI54),AN54*$BI54),0)</f>
        <v>0</v>
      </c>
      <c r="CR54" s="311">
        <f>IF($BI54&lt;&gt;"",IF('Capacity summary'!$D$14="Yes",IF(COUNTBLANK('Capacity summary'!$H173:$BG173)&lt;52,IF('Capacity summary'!AO173&lt;&gt;"",IF(LOWER('Capacity summary'!AO173)="x",$BI54*AO54,VALUE('Capacity summary'!AO173)),0),AO54*$BI54),AO54*$BI54),0)</f>
        <v>0</v>
      </c>
      <c r="CS54" s="311">
        <f>IF($BI54&lt;&gt;"",IF('Capacity summary'!$D$14="Yes",IF(COUNTBLANK('Capacity summary'!$H173:$BG173)&lt;52,IF('Capacity summary'!AP173&lt;&gt;"",IF(LOWER('Capacity summary'!AP173)="x",$BI54*AP54,VALUE('Capacity summary'!AP173)),0),AP54*$BI54),AP54*$BI54),0)</f>
        <v>0</v>
      </c>
      <c r="CT54" s="311">
        <f>IF($BI54&lt;&gt;"",IF('Capacity summary'!$D$14="Yes",IF(COUNTBLANK('Capacity summary'!$H173:$BG173)&lt;52,IF('Capacity summary'!AQ173&lt;&gt;"",IF(LOWER('Capacity summary'!AQ173)="x",$BI54*AQ54,VALUE('Capacity summary'!AQ173)),0),AQ54*$BI54),AQ54*$BI54),0)</f>
        <v>0</v>
      </c>
      <c r="CU54" s="311">
        <f>IF($BI54&lt;&gt;"",IF('Capacity summary'!$D$14="Yes",IF(COUNTBLANK('Capacity summary'!$H173:$BG173)&lt;52,IF('Capacity summary'!AR173&lt;&gt;"",IF(LOWER('Capacity summary'!AR173)="x",$BI54*AR54,VALUE('Capacity summary'!AR173)),0),AR54*$BI54),AR54*$BI54),0)</f>
        <v>0</v>
      </c>
      <c r="CV54" s="311">
        <f>IF($BI54&lt;&gt;"",IF('Capacity summary'!$D$14="Yes",IF(COUNTBLANK('Capacity summary'!$H173:$BG173)&lt;52,IF('Capacity summary'!AS173&lt;&gt;"",IF(LOWER('Capacity summary'!AS173)="x",$BI54*AS54,VALUE('Capacity summary'!AS173)),0),AS54*$BI54),AS54*$BI54),0)</f>
        <v>0</v>
      </c>
      <c r="CW54" s="311">
        <f>IF($BI54&lt;&gt;"",IF('Capacity summary'!$D$14="Yes",IF(COUNTBLANK('Capacity summary'!$H173:$BG173)&lt;52,IF('Capacity summary'!AT173&lt;&gt;"",IF(LOWER('Capacity summary'!AT173)="x",$BI54*AT54,VALUE('Capacity summary'!AT173)),0),AT54*$BI54),AT54*$BI54),0)</f>
        <v>0</v>
      </c>
      <c r="CX54" s="311">
        <f>IF($BI54&lt;&gt;"",IF('Capacity summary'!$D$14="Yes",IF(COUNTBLANK('Capacity summary'!$H173:$BG173)&lt;52,IF('Capacity summary'!AU173&lt;&gt;"",IF(LOWER('Capacity summary'!AU173)="x",$BI54*AU54,VALUE('Capacity summary'!AU173)),0),AU54*$BI54),AU54*$BI54),0)</f>
        <v>0</v>
      </c>
      <c r="CY54" s="311">
        <f>IF($BI54&lt;&gt;"",IF('Capacity summary'!$D$14="Yes",IF(COUNTBLANK('Capacity summary'!$H173:$BG173)&lt;52,IF('Capacity summary'!AV173&lt;&gt;"",IF(LOWER('Capacity summary'!AV173)="x",$BI54*AV54,VALUE('Capacity summary'!AV173)),0),AV54*$BI54),AV54*$BI54),0)</f>
        <v>0</v>
      </c>
      <c r="CZ54" s="311">
        <f>IF($BI54&lt;&gt;"",IF('Capacity summary'!$D$14="Yes",IF(COUNTBLANK('Capacity summary'!$H173:$BG173)&lt;52,IF('Capacity summary'!AW173&lt;&gt;"",IF(LOWER('Capacity summary'!AW173)="x",$BI54*AW54,VALUE('Capacity summary'!AW173)),0),AW54*$BI54),AW54*$BI54),0)</f>
        <v>0</v>
      </c>
      <c r="DA54" s="311">
        <f>IF($BI54&lt;&gt;"",IF('Capacity summary'!$D$14="Yes",IF(COUNTBLANK('Capacity summary'!$H173:$BG173)&lt;52,IF('Capacity summary'!AX173&lt;&gt;"",IF(LOWER('Capacity summary'!AX173)="x",$BI54*AX54,VALUE('Capacity summary'!AX173)),0),AX54*$BI54),AX54*$BI54),0)</f>
        <v>0</v>
      </c>
      <c r="DB54" s="311">
        <f>IF($BI54&lt;&gt;"",IF('Capacity summary'!$D$14="Yes",IF(COUNTBLANK('Capacity summary'!$H173:$BG173)&lt;52,IF('Capacity summary'!AY173&lt;&gt;"",IF(LOWER('Capacity summary'!AY173)="x",$BI54*AY54,VALUE('Capacity summary'!AY173)),0),AY54*$BI54),AY54*$BI54),0)</f>
        <v>0</v>
      </c>
      <c r="DC54" s="311">
        <f>IF($BI54&lt;&gt;"",IF('Capacity summary'!$D$14="Yes",IF(COUNTBLANK('Capacity summary'!$H173:$BG173)&lt;52,IF('Capacity summary'!AZ173&lt;&gt;"",IF(LOWER('Capacity summary'!AZ173)="x",$BI54*AZ54,VALUE('Capacity summary'!AZ173)),0),AZ54*$BI54),AZ54*$BI54),0)</f>
        <v>0</v>
      </c>
      <c r="DD54" s="311">
        <f>IF($BI54&lt;&gt;"",IF('Capacity summary'!$D$14="Yes",IF(COUNTBLANK('Capacity summary'!$H173:$BG173)&lt;52,IF('Capacity summary'!BA173&lt;&gt;"",IF(LOWER('Capacity summary'!BA173)="x",$BI54*BA54,VALUE('Capacity summary'!BA173)),0),BA54*$BI54),BA54*$BI54),0)</f>
        <v>0</v>
      </c>
      <c r="DE54" s="311">
        <f>IF($BI54&lt;&gt;"",IF('Capacity summary'!$D$14="Yes",IF(COUNTBLANK('Capacity summary'!$H173:$BG173)&lt;52,IF('Capacity summary'!BB173&lt;&gt;"",IF(LOWER('Capacity summary'!BB173)="x",$BI54*BB54,VALUE('Capacity summary'!BB173)),0),BB54*$BI54),BB54*$BI54),0)</f>
        <v>0</v>
      </c>
      <c r="DF54" s="311">
        <f>IF($BI54&lt;&gt;"",IF('Capacity summary'!$D$14="Yes",IF(COUNTBLANK('Capacity summary'!$H173:$BG173)&lt;52,IF('Capacity summary'!BC173&lt;&gt;"",IF(LOWER('Capacity summary'!BC173)="x",$BI54*BC54,VALUE('Capacity summary'!BC173)),0),BC54*$BI54),BC54*$BI54),0)</f>
        <v>0</v>
      </c>
      <c r="DG54" s="311">
        <f>IF($BI54&lt;&gt;"",IF('Capacity summary'!$D$14="Yes",IF(COUNTBLANK('Capacity summary'!$H173:$BG173)&lt;52,IF('Capacity summary'!BD173&lt;&gt;"",IF(LOWER('Capacity summary'!BD173)="x",$BI54*BD54,VALUE('Capacity summary'!BD173)),0),BD54*$BI54),BD54*$BI54),0)</f>
        <v>0</v>
      </c>
      <c r="DH54" s="311">
        <f>IF($BI54&lt;&gt;"",IF('Capacity summary'!$D$14="Yes",IF(COUNTBLANK('Capacity summary'!$H173:$BG173)&lt;52,IF('Capacity summary'!BE173&lt;&gt;"",IF(LOWER('Capacity summary'!BE173)="x",$BI54*BE54,VALUE('Capacity summary'!BE173)),0),BE54*$BI54),BE54*$BI54),0)</f>
        <v>0</v>
      </c>
      <c r="DI54" s="311">
        <f>IF($BI54&lt;&gt;"",IF('Capacity summary'!$D$14="Yes",IF(COUNTBLANK('Capacity summary'!$H173:$BG173)&lt;52,IF('Capacity summary'!BF173&lt;&gt;"",IF(LOWER('Capacity summary'!BF173)="x",$BI54*BF54,VALUE('Capacity summary'!BF173)),0),BF54*$BI54),BF54*$BI54),0)</f>
        <v>0</v>
      </c>
      <c r="DJ54" s="311">
        <f>IF($BI54&lt;&gt;"",IF('Capacity summary'!$D$14="Yes",IF(COUNTBLANK('Capacity summary'!$H173:$BG173)&lt;52,IF('Capacity summary'!BG173&lt;&gt;"",IF(LOWER('Capacity summary'!BG173)="x",$BI54*BG54,VALUE('Capacity summary'!BG173)),0),BG54*$BI54),BG54*$BI54),0)</f>
        <v>0</v>
      </c>
      <c r="DK54" s="391">
        <f t="shared" si="2"/>
        <v>0</v>
      </c>
      <c r="DL54" s="136">
        <f t="shared" si="3"/>
        <v>0</v>
      </c>
      <c r="DM54" s="311" t="str">
        <f>Capacity!H66</f>
        <v/>
      </c>
      <c r="DQ54" s="5"/>
    </row>
    <row r="55" spans="1:121" x14ac:dyDescent="0.2">
      <c r="A55" s="67">
        <f>IF(Capacity!L67='Capacity summary'!BI174,1,0)</f>
        <v>1</v>
      </c>
      <c r="B55" s="67">
        <f>IF(Capacity!V67='Capacity summary'!BI74,1,0)</f>
        <v>1</v>
      </c>
      <c r="C55" s="67" t="str">
        <f>ROW(A51)&amp;". "&amp;Capacity!B67</f>
        <v xml:space="preserve">51. </v>
      </c>
      <c r="D55" s="67">
        <f>'Capacity setup'!C62</f>
        <v>0</v>
      </c>
      <c r="E55" s="67">
        <f>'Capacity setup'!D62</f>
        <v>0</v>
      </c>
      <c r="F55" s="67">
        <f>'Capacity setup'!E62</f>
        <v>0</v>
      </c>
      <c r="H55" s="67">
        <f ca="1">IF(LOWER(Capacity!$L67)="x",IF(AND(SUMIF(Capacity_Resource,$D55,'Critical resources (hide)'!U$6:U$105)+SUMIF(Capacity_Resource,$E55,'Critical resources (hide)'!U$6:U$105)+SUMIF(Capacity_Resource,$F55,'Critical resources (hide)'!U$6:U$105)&gt;0,$E$1=2),0,1),0)</f>
        <v>1</v>
      </c>
      <c r="I55" s="67">
        <f ca="1">IF(LOWER(Capacity!$L67)="x",IF(AND(SUMIF(Capacity_Resource,$D55,'Critical resources (hide)'!V$6:V$105)+SUMIF(Capacity_Resource,$E55,'Critical resources (hide)'!V$6:V$105)+SUMIF(Capacity_Resource,$F55,'Critical resources (hide)'!V$6:V$105)&gt;0,$E$1=2),0,1),0)</f>
        <v>1</v>
      </c>
      <c r="J55" s="67">
        <f ca="1">IF(LOWER(Capacity!$L67)="x",IF(AND(SUMIF(Capacity_Resource,$D55,'Critical resources (hide)'!W$6:W$105)+SUMIF(Capacity_Resource,$E55,'Critical resources (hide)'!W$6:W$105)+SUMIF(Capacity_Resource,$F55,'Critical resources (hide)'!W$6:W$105)&gt;0,$E$1=2),0,1),0)</f>
        <v>1</v>
      </c>
      <c r="K55" s="67">
        <f ca="1">IF(LOWER(Capacity!$L67)="x",IF(AND(SUMIF(Capacity_Resource,$D55,'Critical resources (hide)'!X$6:X$105)+SUMIF(Capacity_Resource,$E55,'Critical resources (hide)'!X$6:X$105)+SUMIF(Capacity_Resource,$F55,'Critical resources (hide)'!X$6:X$105)&gt;0,$E$1=2),0,1),0)</f>
        <v>1</v>
      </c>
      <c r="L55" s="67">
        <f ca="1">IF(LOWER(Capacity!$L67)="x",IF(AND(SUMIF(Capacity_Resource,$D55,'Critical resources (hide)'!Y$6:Y$105)+SUMIF(Capacity_Resource,$E55,'Critical resources (hide)'!Y$6:Y$105)+SUMIF(Capacity_Resource,$F55,'Critical resources (hide)'!Y$6:Y$105)&gt;0,$E$1=2),0,1),0)</f>
        <v>1</v>
      </c>
      <c r="M55" s="67">
        <f ca="1">IF(LOWER(Capacity!$L67)="x",IF(AND(SUMIF(Capacity_Resource,$D55,'Critical resources (hide)'!Z$6:Z$105)+SUMIF(Capacity_Resource,$E55,'Critical resources (hide)'!Z$6:Z$105)+SUMIF(Capacity_Resource,$F55,'Critical resources (hide)'!Z$6:Z$105)&gt;0,$E$1=2),0,1),0)</f>
        <v>1</v>
      </c>
      <c r="N55" s="67">
        <f ca="1">IF(LOWER(Capacity!$L67)="x",IF(AND(SUMIF(Capacity_Resource,$D55,'Critical resources (hide)'!AA$6:AA$105)+SUMIF(Capacity_Resource,$E55,'Critical resources (hide)'!AA$6:AA$105)+SUMIF(Capacity_Resource,$F55,'Critical resources (hide)'!AA$6:AA$105)&gt;0,$E$1=2),0,1),0)</f>
        <v>1</v>
      </c>
      <c r="O55" s="67">
        <f ca="1">IF(LOWER(Capacity!$L67)="x",IF(AND(SUMIF(Capacity_Resource,$D55,'Critical resources (hide)'!AB$6:AB$105)+SUMIF(Capacity_Resource,$E55,'Critical resources (hide)'!AB$6:AB$105)+SUMIF(Capacity_Resource,$F55,'Critical resources (hide)'!AB$6:AB$105)&gt;0,$E$1=2),0,1),0)</f>
        <v>1</v>
      </c>
      <c r="P55" s="67">
        <f ca="1">IF(LOWER(Capacity!$L67)="x",IF(AND(SUMIF(Capacity_Resource,$D55,'Critical resources (hide)'!AC$6:AC$105)+SUMIF(Capacity_Resource,$E55,'Critical resources (hide)'!AC$6:AC$105)+SUMIF(Capacity_Resource,$F55,'Critical resources (hide)'!AC$6:AC$105)&gt;0,$E$1=2),0,1),0)</f>
        <v>1</v>
      </c>
      <c r="Q55" s="67">
        <f ca="1">IF(LOWER(Capacity!$L67)="x",IF(AND(SUMIF(Capacity_Resource,$D55,'Critical resources (hide)'!AD$6:AD$105)+SUMIF(Capacity_Resource,$E55,'Critical resources (hide)'!AD$6:AD$105)+SUMIF(Capacity_Resource,$F55,'Critical resources (hide)'!AD$6:AD$105)&gt;0,$E$1=2),0,1),0)</f>
        <v>1</v>
      </c>
      <c r="R55" s="67">
        <f ca="1">IF(LOWER(Capacity!$L67)="x",IF(AND(SUMIF(Capacity_Resource,$D55,'Critical resources (hide)'!AE$6:AE$105)+SUMIF(Capacity_Resource,$E55,'Critical resources (hide)'!AE$6:AE$105)+SUMIF(Capacity_Resource,$F55,'Critical resources (hide)'!AE$6:AE$105)&gt;0,$E$1=2),0,1),0)</f>
        <v>1</v>
      </c>
      <c r="S55" s="67">
        <f ca="1">IF(LOWER(Capacity!$L67)="x",IF(AND(SUMIF(Capacity_Resource,$D55,'Critical resources (hide)'!AF$6:AF$105)+SUMIF(Capacity_Resource,$E55,'Critical resources (hide)'!AF$6:AF$105)+SUMIF(Capacity_Resource,$F55,'Critical resources (hide)'!AF$6:AF$105)&gt;0,$E$1=2),0,1),0)</f>
        <v>1</v>
      </c>
      <c r="T55" s="67">
        <f ca="1">IF(LOWER(Capacity!$L67)="x",IF(AND(SUMIF(Capacity_Resource,$D55,'Critical resources (hide)'!AG$6:AG$105)+SUMIF(Capacity_Resource,$E55,'Critical resources (hide)'!AG$6:AG$105)+SUMIF(Capacity_Resource,$F55,'Critical resources (hide)'!AG$6:AG$105)&gt;0,$E$1=2),0,1),0)</f>
        <v>1</v>
      </c>
      <c r="U55" s="67">
        <f ca="1">IF(LOWER(Capacity!$L67)="x",IF(AND(SUMIF(Capacity_Resource,$D55,'Critical resources (hide)'!AH$6:AH$105)+SUMIF(Capacity_Resource,$E55,'Critical resources (hide)'!AH$6:AH$105)+SUMIF(Capacity_Resource,$F55,'Critical resources (hide)'!AH$6:AH$105)&gt;0,$E$1=2),0,1),0)</f>
        <v>1</v>
      </c>
      <c r="V55" s="67">
        <f ca="1">IF(LOWER(Capacity!$L67)="x",IF(AND(SUMIF(Capacity_Resource,$D55,'Critical resources (hide)'!AI$6:AI$105)+SUMIF(Capacity_Resource,$E55,'Critical resources (hide)'!AI$6:AI$105)+SUMIF(Capacity_Resource,$F55,'Critical resources (hide)'!AI$6:AI$105)&gt;0,$E$1=2),0,1),0)</f>
        <v>1</v>
      </c>
      <c r="W55" s="67">
        <f ca="1">IF(LOWER(Capacity!$L67)="x",IF(AND(SUMIF(Capacity_Resource,$D55,'Critical resources (hide)'!AJ$6:AJ$105)+SUMIF(Capacity_Resource,$E55,'Critical resources (hide)'!AJ$6:AJ$105)+SUMIF(Capacity_Resource,$F55,'Critical resources (hide)'!AJ$6:AJ$105)&gt;0,$E$1=2),0,1),0)</f>
        <v>1</v>
      </c>
      <c r="X55" s="67">
        <f ca="1">IF(LOWER(Capacity!$L67)="x",IF(AND(SUMIF(Capacity_Resource,$D55,'Critical resources (hide)'!AK$6:AK$105)+SUMIF(Capacity_Resource,$E55,'Critical resources (hide)'!AK$6:AK$105)+SUMIF(Capacity_Resource,$F55,'Critical resources (hide)'!AK$6:AK$105)&gt;0,$E$1=2),0,1),0)</f>
        <v>1</v>
      </c>
      <c r="Y55" s="67">
        <f ca="1">IF(LOWER(Capacity!$L67)="x",IF(AND(SUMIF(Capacity_Resource,$D55,'Critical resources (hide)'!AL$6:AL$105)+SUMIF(Capacity_Resource,$E55,'Critical resources (hide)'!AL$6:AL$105)+SUMIF(Capacity_Resource,$F55,'Critical resources (hide)'!AL$6:AL$105)&gt;0,$E$1=2),0,1),0)</f>
        <v>1</v>
      </c>
      <c r="Z55" s="67">
        <f ca="1">IF(LOWER(Capacity!$L67)="x",IF(AND(SUMIF(Capacity_Resource,$D55,'Critical resources (hide)'!AM$6:AM$105)+SUMIF(Capacity_Resource,$E55,'Critical resources (hide)'!AM$6:AM$105)+SUMIF(Capacity_Resource,$F55,'Critical resources (hide)'!AM$6:AM$105)&gt;0,$E$1=2),0,1),0)</f>
        <v>1</v>
      </c>
      <c r="AA55" s="67">
        <f ca="1">IF(LOWER(Capacity!$L67)="x",IF(AND(SUMIF(Capacity_Resource,$D55,'Critical resources (hide)'!AN$6:AN$105)+SUMIF(Capacity_Resource,$E55,'Critical resources (hide)'!AN$6:AN$105)+SUMIF(Capacity_Resource,$F55,'Critical resources (hide)'!AN$6:AN$105)&gt;0,$E$1=2),0,1),0)</f>
        <v>1</v>
      </c>
      <c r="AB55" s="67">
        <f ca="1">IF(LOWER(Capacity!$L67)="x",IF(AND(SUMIF(Capacity_Resource,$D55,'Critical resources (hide)'!AO$6:AO$105)+SUMIF(Capacity_Resource,$E55,'Critical resources (hide)'!AO$6:AO$105)+SUMIF(Capacity_Resource,$F55,'Critical resources (hide)'!AO$6:AO$105)&gt;0,$E$1=2),0,1),0)</f>
        <v>1</v>
      </c>
      <c r="AC55" s="67">
        <f ca="1">IF(LOWER(Capacity!$L67)="x",IF(AND(SUMIF(Capacity_Resource,$D55,'Critical resources (hide)'!AP$6:AP$105)+SUMIF(Capacity_Resource,$E55,'Critical resources (hide)'!AP$6:AP$105)+SUMIF(Capacity_Resource,$F55,'Critical resources (hide)'!AP$6:AP$105)&gt;0,$E$1=2),0,1),0)</f>
        <v>1</v>
      </c>
      <c r="AD55" s="67">
        <f ca="1">IF(LOWER(Capacity!$L67)="x",IF(AND(SUMIF(Capacity_Resource,$D55,'Critical resources (hide)'!AQ$6:AQ$105)+SUMIF(Capacity_Resource,$E55,'Critical resources (hide)'!AQ$6:AQ$105)+SUMIF(Capacity_Resource,$F55,'Critical resources (hide)'!AQ$6:AQ$105)&gt;0,$E$1=2),0,1),0)</f>
        <v>1</v>
      </c>
      <c r="AE55" s="67">
        <f ca="1">IF(LOWER(Capacity!$L67)="x",IF(AND(SUMIF(Capacity_Resource,$D55,'Critical resources (hide)'!AR$6:AR$105)+SUMIF(Capacity_Resource,$E55,'Critical resources (hide)'!AR$6:AR$105)+SUMIF(Capacity_Resource,$F55,'Critical resources (hide)'!AR$6:AR$105)&gt;0,$E$1=2),0,1),0)</f>
        <v>1</v>
      </c>
      <c r="AF55" s="67">
        <f ca="1">IF(LOWER(Capacity!$L67)="x",IF(AND(SUMIF(Capacity_Resource,$D55,'Critical resources (hide)'!AS$6:AS$105)+SUMIF(Capacity_Resource,$E55,'Critical resources (hide)'!AS$6:AS$105)+SUMIF(Capacity_Resource,$F55,'Critical resources (hide)'!AS$6:AS$105)&gt;0,$E$1=2),0,1),0)</f>
        <v>1</v>
      </c>
      <c r="AG55" s="67">
        <f ca="1">IF(LOWER(Capacity!$L67)="x",IF(AND(SUMIF(Capacity_Resource,$D55,'Critical resources (hide)'!AT$6:AT$105)+SUMIF(Capacity_Resource,$E55,'Critical resources (hide)'!AT$6:AT$105)+SUMIF(Capacity_Resource,$F55,'Critical resources (hide)'!AT$6:AT$105)&gt;0,$E$1=2),0,1),0)</f>
        <v>1</v>
      </c>
      <c r="AH55" s="67">
        <f ca="1">IF(LOWER(Capacity!$L67)="x",IF(AND(SUMIF(Capacity_Resource,$D55,'Critical resources (hide)'!AU$6:AU$105)+SUMIF(Capacity_Resource,$E55,'Critical resources (hide)'!AU$6:AU$105)+SUMIF(Capacity_Resource,$F55,'Critical resources (hide)'!AU$6:AU$105)&gt;0,$E$1=2),0,1),0)</f>
        <v>1</v>
      </c>
      <c r="AI55" s="67">
        <f ca="1">IF(LOWER(Capacity!$L67)="x",IF(AND(SUMIF(Capacity_Resource,$D55,'Critical resources (hide)'!AV$6:AV$105)+SUMIF(Capacity_Resource,$E55,'Critical resources (hide)'!AV$6:AV$105)+SUMIF(Capacity_Resource,$F55,'Critical resources (hide)'!AV$6:AV$105)&gt;0,$E$1=2),0,1),0)</f>
        <v>1</v>
      </c>
      <c r="AJ55" s="67">
        <f ca="1">IF(LOWER(Capacity!$L67)="x",IF(AND(SUMIF(Capacity_Resource,$D55,'Critical resources (hide)'!AW$6:AW$105)+SUMIF(Capacity_Resource,$E55,'Critical resources (hide)'!AW$6:AW$105)+SUMIF(Capacity_Resource,$F55,'Critical resources (hide)'!AW$6:AW$105)&gt;0,$E$1=2),0,1),0)</f>
        <v>1</v>
      </c>
      <c r="AK55" s="67">
        <f ca="1">IF(LOWER(Capacity!$L67)="x",IF(AND(SUMIF(Capacity_Resource,$D55,'Critical resources (hide)'!AX$6:AX$105)+SUMIF(Capacity_Resource,$E55,'Critical resources (hide)'!AX$6:AX$105)+SUMIF(Capacity_Resource,$F55,'Critical resources (hide)'!AX$6:AX$105)&gt;0,$E$1=2),0,1),0)</f>
        <v>1</v>
      </c>
      <c r="AL55" s="67">
        <f ca="1">IF(LOWER(Capacity!$L67)="x",IF(AND(SUMIF(Capacity_Resource,$D55,'Critical resources (hide)'!AY$6:AY$105)+SUMIF(Capacity_Resource,$E55,'Critical resources (hide)'!AY$6:AY$105)+SUMIF(Capacity_Resource,$F55,'Critical resources (hide)'!AY$6:AY$105)&gt;0,$E$1=2),0,1),0)</f>
        <v>1</v>
      </c>
      <c r="AM55" s="67">
        <f ca="1">IF(LOWER(Capacity!$L67)="x",IF(AND(SUMIF(Capacity_Resource,$D55,'Critical resources (hide)'!AZ$6:AZ$105)+SUMIF(Capacity_Resource,$E55,'Critical resources (hide)'!AZ$6:AZ$105)+SUMIF(Capacity_Resource,$F55,'Critical resources (hide)'!AZ$6:AZ$105)&gt;0,$E$1=2),0,1),0)</f>
        <v>1</v>
      </c>
      <c r="AN55" s="67">
        <f ca="1">IF(LOWER(Capacity!$L67)="x",IF(AND(SUMIF(Capacity_Resource,$D55,'Critical resources (hide)'!BA$6:BA$105)+SUMIF(Capacity_Resource,$E55,'Critical resources (hide)'!BA$6:BA$105)+SUMIF(Capacity_Resource,$F55,'Critical resources (hide)'!BA$6:BA$105)&gt;0,$E$1=2),0,1),0)</f>
        <v>1</v>
      </c>
      <c r="AO55" s="67">
        <f ca="1">IF(LOWER(Capacity!$L67)="x",IF(AND(SUMIF(Capacity_Resource,$D55,'Critical resources (hide)'!BB$6:BB$105)+SUMIF(Capacity_Resource,$E55,'Critical resources (hide)'!BB$6:BB$105)+SUMIF(Capacity_Resource,$F55,'Critical resources (hide)'!BB$6:BB$105)&gt;0,$E$1=2),0,1),0)</f>
        <v>1</v>
      </c>
      <c r="AP55" s="67">
        <f ca="1">IF(LOWER(Capacity!$L67)="x",IF(AND(SUMIF(Capacity_Resource,$D55,'Critical resources (hide)'!BC$6:BC$105)+SUMIF(Capacity_Resource,$E55,'Critical resources (hide)'!BC$6:BC$105)+SUMIF(Capacity_Resource,$F55,'Critical resources (hide)'!BC$6:BC$105)&gt;0,$E$1=2),0,1),0)</f>
        <v>1</v>
      </c>
      <c r="AQ55" s="67">
        <f ca="1">IF(LOWER(Capacity!$L67)="x",IF(AND(SUMIF(Capacity_Resource,$D55,'Critical resources (hide)'!BD$6:BD$105)+SUMIF(Capacity_Resource,$E55,'Critical resources (hide)'!BD$6:BD$105)+SUMIF(Capacity_Resource,$F55,'Critical resources (hide)'!BD$6:BD$105)&gt;0,$E$1=2),0,1),0)</f>
        <v>1</v>
      </c>
      <c r="AR55" s="67">
        <f ca="1">IF(LOWER(Capacity!$L67)="x",IF(AND(SUMIF(Capacity_Resource,$D55,'Critical resources (hide)'!BE$6:BE$105)+SUMIF(Capacity_Resource,$E55,'Critical resources (hide)'!BE$6:BE$105)+SUMIF(Capacity_Resource,$F55,'Critical resources (hide)'!BE$6:BE$105)&gt;0,$E$1=2),0,1),0)</f>
        <v>1</v>
      </c>
      <c r="AS55" s="67">
        <f ca="1">IF(LOWER(Capacity!$L67)="x",IF(AND(SUMIF(Capacity_Resource,$D55,'Critical resources (hide)'!BF$6:BF$105)+SUMIF(Capacity_Resource,$E55,'Critical resources (hide)'!BF$6:BF$105)+SUMIF(Capacity_Resource,$F55,'Critical resources (hide)'!BF$6:BF$105)&gt;0,$E$1=2),0,1),0)</f>
        <v>1</v>
      </c>
      <c r="AT55" s="67">
        <f ca="1">IF(LOWER(Capacity!$L67)="x",IF(AND(SUMIF(Capacity_Resource,$D55,'Critical resources (hide)'!BG$6:BG$105)+SUMIF(Capacity_Resource,$E55,'Critical resources (hide)'!BG$6:BG$105)+SUMIF(Capacity_Resource,$F55,'Critical resources (hide)'!BG$6:BG$105)&gt;0,$E$1=2),0,1),0)</f>
        <v>1</v>
      </c>
      <c r="AU55" s="67">
        <f ca="1">IF(LOWER(Capacity!$L67)="x",IF(AND(SUMIF(Capacity_Resource,$D55,'Critical resources (hide)'!BH$6:BH$105)+SUMIF(Capacity_Resource,$E55,'Critical resources (hide)'!BH$6:BH$105)+SUMIF(Capacity_Resource,$F55,'Critical resources (hide)'!BH$6:BH$105)&gt;0,$E$1=2),0,1),0)</f>
        <v>1</v>
      </c>
      <c r="AV55" s="67">
        <f ca="1">IF(LOWER(Capacity!$L67)="x",IF(AND(SUMIF(Capacity_Resource,$D55,'Critical resources (hide)'!BI$6:BI$105)+SUMIF(Capacity_Resource,$E55,'Critical resources (hide)'!BI$6:BI$105)+SUMIF(Capacity_Resource,$F55,'Critical resources (hide)'!BI$6:BI$105)&gt;0,$E$1=2),0,1),0)</f>
        <v>1</v>
      </c>
      <c r="AW55" s="67">
        <f ca="1">IF(LOWER(Capacity!$L67)="x",IF(AND(SUMIF(Capacity_Resource,$D55,'Critical resources (hide)'!BJ$6:BJ$105)+SUMIF(Capacity_Resource,$E55,'Critical resources (hide)'!BJ$6:BJ$105)+SUMIF(Capacity_Resource,$F55,'Critical resources (hide)'!BJ$6:BJ$105)&gt;0,$E$1=2),0,1),0)</f>
        <v>1</v>
      </c>
      <c r="AX55" s="67">
        <f ca="1">IF(LOWER(Capacity!$L67)="x",IF(AND(SUMIF(Capacity_Resource,$D55,'Critical resources (hide)'!BK$6:BK$105)+SUMIF(Capacity_Resource,$E55,'Critical resources (hide)'!BK$6:BK$105)+SUMIF(Capacity_Resource,$F55,'Critical resources (hide)'!BK$6:BK$105)&gt;0,$E$1=2),0,1),0)</f>
        <v>1</v>
      </c>
      <c r="AY55" s="67">
        <f ca="1">IF(LOWER(Capacity!$L67)="x",IF(AND(SUMIF(Capacity_Resource,$D55,'Critical resources (hide)'!BL$6:BL$105)+SUMIF(Capacity_Resource,$E55,'Critical resources (hide)'!BL$6:BL$105)+SUMIF(Capacity_Resource,$F55,'Critical resources (hide)'!BL$6:BL$105)&gt;0,$E$1=2),0,1),0)</f>
        <v>1</v>
      </c>
      <c r="AZ55" s="67">
        <f ca="1">IF(LOWER(Capacity!$L67)="x",IF(AND(SUMIF(Capacity_Resource,$D55,'Critical resources (hide)'!BM$6:BM$105)+SUMIF(Capacity_Resource,$E55,'Critical resources (hide)'!BM$6:BM$105)+SUMIF(Capacity_Resource,$F55,'Critical resources (hide)'!BM$6:BM$105)&gt;0,$E$1=2),0,1),0)</f>
        <v>1</v>
      </c>
      <c r="BA55" s="67">
        <f ca="1">IF(LOWER(Capacity!$L67)="x",IF(AND(SUMIF(Capacity_Resource,$D55,'Critical resources (hide)'!BN$6:BN$105)+SUMIF(Capacity_Resource,$E55,'Critical resources (hide)'!BN$6:BN$105)+SUMIF(Capacity_Resource,$F55,'Critical resources (hide)'!BN$6:BN$105)&gt;0,$E$1=2),0,1),0)</f>
        <v>1</v>
      </c>
      <c r="BB55" s="67">
        <f ca="1">IF(LOWER(Capacity!$L67)="x",IF(AND(SUMIF(Capacity_Resource,$D55,'Critical resources (hide)'!BO$6:BO$105)+SUMIF(Capacity_Resource,$E55,'Critical resources (hide)'!BO$6:BO$105)+SUMIF(Capacity_Resource,$F55,'Critical resources (hide)'!BO$6:BO$105)&gt;0,$E$1=2),0,1),0)</f>
        <v>1</v>
      </c>
      <c r="BC55" s="67">
        <f ca="1">IF(LOWER(Capacity!$L67)="x",IF(AND(SUMIF(Capacity_Resource,$D55,'Critical resources (hide)'!BP$6:BP$105)+SUMIF(Capacity_Resource,$E55,'Critical resources (hide)'!BP$6:BP$105)+SUMIF(Capacity_Resource,$F55,'Critical resources (hide)'!BP$6:BP$105)&gt;0,$E$1=2),0,1),0)</f>
        <v>1</v>
      </c>
      <c r="BD55" s="67">
        <f ca="1">IF(LOWER(Capacity!$L67)="x",IF(AND(SUMIF(Capacity_Resource,$D55,'Critical resources (hide)'!BQ$6:BQ$105)+SUMIF(Capacity_Resource,$E55,'Critical resources (hide)'!BQ$6:BQ$105)+SUMIF(Capacity_Resource,$F55,'Critical resources (hide)'!BQ$6:BQ$105)&gt;0,$E$1=2),0,1),0)</f>
        <v>1</v>
      </c>
      <c r="BE55" s="67">
        <f ca="1">IF(LOWER(Capacity!$L67)="x",IF(AND(SUMIF(Capacity_Resource,$D55,'Critical resources (hide)'!BR$6:BR$105)+SUMIF(Capacity_Resource,$E55,'Critical resources (hide)'!BR$6:BR$105)+SUMIF(Capacity_Resource,$F55,'Critical resources (hide)'!BR$6:BR$105)&gt;0,$E$1=2),0,1),0)</f>
        <v>1</v>
      </c>
      <c r="BF55" s="67">
        <f ca="1">IF(LOWER(Capacity!$L67)="x",IF(AND(SUMIF(Capacity_Resource,$D55,'Critical resources (hide)'!BS$6:BS$105)+SUMIF(Capacity_Resource,$E55,'Critical resources (hide)'!BS$6:BS$105)+SUMIF(Capacity_Resource,$F55,'Critical resources (hide)'!BS$6:BS$105)&gt;0,$E$1=2),0,1),0)</f>
        <v>1</v>
      </c>
      <c r="BG55" s="67">
        <f ca="1">IF(LOWER(Capacity!$L67)="x",IF(AND(SUMIF(Capacity_Resource,$D55,'Critical resources (hide)'!BT$6:BT$105)+SUMIF(Capacity_Resource,$E55,'Critical resources (hide)'!BT$6:BT$105)+SUMIF(Capacity_Resource,$F55,'Critical resources (hide)'!BT$6:BT$105)&gt;0,$E$1=2),0,1),0)</f>
        <v>1</v>
      </c>
      <c r="BH55" s="67">
        <f>IF(ROW(C51)&lt;=Capacity!$A$16,IF('Capacity summary'!$D$14="No",SUM(H55:BG55),'Capacity summary'!$E174),0)</f>
        <v>0</v>
      </c>
      <c r="BI55" s="5" t="str">
        <f>IF(BH55&gt;0,IF(BH55&lt;Capacity!E67,Capacity!F67,Capacity!H67/'Capacity calculation (hide)'!BH55),"")</f>
        <v/>
      </c>
      <c r="BK55" s="311">
        <f>IF($BI55&lt;&gt;"",IF('Capacity summary'!$D$14="Yes",IF(COUNTBLANK('Capacity summary'!$H174:$BG174)&lt;52,IF('Capacity summary'!H174&lt;&gt;"",IF(LOWER('Capacity summary'!H174)="x",$BI55*H55,VALUE('Capacity summary'!H174)),0),H55*$BI55),H55*$BI55),0)</f>
        <v>0</v>
      </c>
      <c r="BL55" s="311">
        <f>IF($BI55&lt;&gt;"",IF('Capacity summary'!$D$14="Yes",IF(COUNTBLANK('Capacity summary'!$H174:$BG174)&lt;52,IF('Capacity summary'!I174&lt;&gt;"",IF(LOWER('Capacity summary'!I174)="x",$BI55*I55,VALUE('Capacity summary'!I174)),0),I55*$BI55),I55*$BI55),0)</f>
        <v>0</v>
      </c>
      <c r="BM55" s="311">
        <f>IF($BI55&lt;&gt;"",IF('Capacity summary'!$D$14="Yes",IF(COUNTBLANK('Capacity summary'!$H174:$BG174)&lt;52,IF('Capacity summary'!J174&lt;&gt;"",IF(LOWER('Capacity summary'!J174)="x",$BI55*J55,VALUE('Capacity summary'!J174)),0),J55*$BI55),J55*$BI55),0)</f>
        <v>0</v>
      </c>
      <c r="BN55" s="311">
        <f>IF($BI55&lt;&gt;"",IF('Capacity summary'!$D$14="Yes",IF(COUNTBLANK('Capacity summary'!$H174:$BG174)&lt;52,IF('Capacity summary'!K174&lt;&gt;"",IF(LOWER('Capacity summary'!K174)="x",$BI55*K55,VALUE('Capacity summary'!K174)),0),K55*$BI55),K55*$BI55),0)</f>
        <v>0</v>
      </c>
      <c r="BO55" s="311">
        <f>IF($BI55&lt;&gt;"",IF('Capacity summary'!$D$14="Yes",IF(COUNTBLANK('Capacity summary'!$H174:$BG174)&lt;52,IF('Capacity summary'!L174&lt;&gt;"",IF(LOWER('Capacity summary'!L174)="x",$BI55*L55,VALUE('Capacity summary'!L174)),0),L55*$BI55),L55*$BI55),0)</f>
        <v>0</v>
      </c>
      <c r="BP55" s="311">
        <f>IF($BI55&lt;&gt;"",IF('Capacity summary'!$D$14="Yes",IF(COUNTBLANK('Capacity summary'!$H174:$BG174)&lt;52,IF('Capacity summary'!M174&lt;&gt;"",IF(LOWER('Capacity summary'!M174)="x",$BI55*M55,VALUE('Capacity summary'!M174)),0),M55*$BI55),M55*$BI55),0)</f>
        <v>0</v>
      </c>
      <c r="BQ55" s="311">
        <f>IF($BI55&lt;&gt;"",IF('Capacity summary'!$D$14="Yes",IF(COUNTBLANK('Capacity summary'!$H174:$BG174)&lt;52,IF('Capacity summary'!N174&lt;&gt;"",IF(LOWER('Capacity summary'!N174)="x",$BI55*N55,VALUE('Capacity summary'!N174)),0),N55*$BI55),N55*$BI55),0)</f>
        <v>0</v>
      </c>
      <c r="BR55" s="311">
        <f>IF($BI55&lt;&gt;"",IF('Capacity summary'!$D$14="Yes",IF(COUNTBLANK('Capacity summary'!$H174:$BG174)&lt;52,IF('Capacity summary'!O174&lt;&gt;"",IF(LOWER('Capacity summary'!O174)="x",$BI55*O55,VALUE('Capacity summary'!O174)),0),O55*$BI55),O55*$BI55),0)</f>
        <v>0</v>
      </c>
      <c r="BS55" s="311">
        <f>IF($BI55&lt;&gt;"",IF('Capacity summary'!$D$14="Yes",IF(COUNTBLANK('Capacity summary'!$H174:$BG174)&lt;52,IF('Capacity summary'!P174&lt;&gt;"",IF(LOWER('Capacity summary'!P174)="x",$BI55*P55,VALUE('Capacity summary'!P174)),0),P55*$BI55),P55*$BI55),0)</f>
        <v>0</v>
      </c>
      <c r="BT55" s="311">
        <f>IF($BI55&lt;&gt;"",IF('Capacity summary'!$D$14="Yes",IF(COUNTBLANK('Capacity summary'!$H174:$BG174)&lt;52,IF('Capacity summary'!Q174&lt;&gt;"",IF(LOWER('Capacity summary'!Q174)="x",$BI55*Q55,VALUE('Capacity summary'!Q174)),0),Q55*$BI55),Q55*$BI55),0)</f>
        <v>0</v>
      </c>
      <c r="BU55" s="311">
        <f>IF($BI55&lt;&gt;"",IF('Capacity summary'!$D$14="Yes",IF(COUNTBLANK('Capacity summary'!$H174:$BG174)&lt;52,IF('Capacity summary'!R174&lt;&gt;"",IF(LOWER('Capacity summary'!R174)="x",$BI55*R55,VALUE('Capacity summary'!R174)),0),R55*$BI55),R55*$BI55),0)</f>
        <v>0</v>
      </c>
      <c r="BV55" s="311">
        <f>IF($BI55&lt;&gt;"",IF('Capacity summary'!$D$14="Yes",IF(COUNTBLANK('Capacity summary'!$H174:$BG174)&lt;52,IF('Capacity summary'!S174&lt;&gt;"",IF(LOWER('Capacity summary'!S174)="x",$BI55*S55,VALUE('Capacity summary'!S174)),0),S55*$BI55),S55*$BI55),0)</f>
        <v>0</v>
      </c>
      <c r="BW55" s="311">
        <f>IF($BI55&lt;&gt;"",IF('Capacity summary'!$D$14="Yes",IF(COUNTBLANK('Capacity summary'!$H174:$BG174)&lt;52,IF('Capacity summary'!T174&lt;&gt;"",IF(LOWER('Capacity summary'!T174)="x",$BI55*T55,VALUE('Capacity summary'!T174)),0),T55*$BI55),T55*$BI55),0)</f>
        <v>0</v>
      </c>
      <c r="BX55" s="311">
        <f>IF($BI55&lt;&gt;"",IF('Capacity summary'!$D$14="Yes",IF(COUNTBLANK('Capacity summary'!$H174:$BG174)&lt;52,IF('Capacity summary'!U174&lt;&gt;"",IF(LOWER('Capacity summary'!U174)="x",$BI55*U55,VALUE('Capacity summary'!U174)),0),U55*$BI55),U55*$BI55),0)</f>
        <v>0</v>
      </c>
      <c r="BY55" s="311">
        <f>IF($BI55&lt;&gt;"",IF('Capacity summary'!$D$14="Yes",IF(COUNTBLANK('Capacity summary'!$H174:$BG174)&lt;52,IF('Capacity summary'!V174&lt;&gt;"",IF(LOWER('Capacity summary'!V174)="x",$BI55*V55,VALUE('Capacity summary'!V174)),0),V55*$BI55),V55*$BI55),0)</f>
        <v>0</v>
      </c>
      <c r="BZ55" s="311">
        <f>IF($BI55&lt;&gt;"",IF('Capacity summary'!$D$14="Yes",IF(COUNTBLANK('Capacity summary'!$H174:$BG174)&lt;52,IF('Capacity summary'!W174&lt;&gt;"",IF(LOWER('Capacity summary'!W174)="x",$BI55*W55,VALUE('Capacity summary'!W174)),0),W55*$BI55),W55*$BI55),0)</f>
        <v>0</v>
      </c>
      <c r="CA55" s="311">
        <f>IF($BI55&lt;&gt;"",IF('Capacity summary'!$D$14="Yes",IF(COUNTBLANK('Capacity summary'!$H174:$BG174)&lt;52,IF('Capacity summary'!X174&lt;&gt;"",IF(LOWER('Capacity summary'!X174)="x",$BI55*X55,VALUE('Capacity summary'!X174)),0),X55*$BI55),X55*$BI55),0)</f>
        <v>0</v>
      </c>
      <c r="CB55" s="311">
        <f>IF($BI55&lt;&gt;"",IF('Capacity summary'!$D$14="Yes",IF(COUNTBLANK('Capacity summary'!$H174:$BG174)&lt;52,IF('Capacity summary'!Y174&lt;&gt;"",IF(LOWER('Capacity summary'!Y174)="x",$BI55*Y55,VALUE('Capacity summary'!Y174)),0),Y55*$BI55),Y55*$BI55),0)</f>
        <v>0</v>
      </c>
      <c r="CC55" s="311">
        <f>IF($BI55&lt;&gt;"",IF('Capacity summary'!$D$14="Yes",IF(COUNTBLANK('Capacity summary'!$H174:$BG174)&lt;52,IF('Capacity summary'!Z174&lt;&gt;"",IF(LOWER('Capacity summary'!Z174)="x",$BI55*Z55,VALUE('Capacity summary'!Z174)),0),Z55*$BI55),Z55*$BI55),0)</f>
        <v>0</v>
      </c>
      <c r="CD55" s="311">
        <f>IF($BI55&lt;&gt;"",IF('Capacity summary'!$D$14="Yes",IF(COUNTBLANK('Capacity summary'!$H174:$BG174)&lt;52,IF('Capacity summary'!AA174&lt;&gt;"",IF(LOWER('Capacity summary'!AA174)="x",$BI55*AA55,VALUE('Capacity summary'!AA174)),0),AA55*$BI55),AA55*$BI55),0)</f>
        <v>0</v>
      </c>
      <c r="CE55" s="311">
        <f>IF($BI55&lt;&gt;"",IF('Capacity summary'!$D$14="Yes",IF(COUNTBLANK('Capacity summary'!$H174:$BG174)&lt;52,IF('Capacity summary'!AB174&lt;&gt;"",IF(LOWER('Capacity summary'!AB174)="x",$BI55*AB55,VALUE('Capacity summary'!AB174)),0),AB55*$BI55),AB55*$BI55),0)</f>
        <v>0</v>
      </c>
      <c r="CF55" s="311">
        <f>IF($BI55&lt;&gt;"",IF('Capacity summary'!$D$14="Yes",IF(COUNTBLANK('Capacity summary'!$H174:$BG174)&lt;52,IF('Capacity summary'!AC174&lt;&gt;"",IF(LOWER('Capacity summary'!AC174)="x",$BI55*AC55,VALUE('Capacity summary'!AC174)),0),AC55*$BI55),AC55*$BI55),0)</f>
        <v>0</v>
      </c>
      <c r="CG55" s="311">
        <f>IF($BI55&lt;&gt;"",IF('Capacity summary'!$D$14="Yes",IF(COUNTBLANK('Capacity summary'!$H174:$BG174)&lt;52,IF('Capacity summary'!AD174&lt;&gt;"",IF(LOWER('Capacity summary'!AD174)="x",$BI55*AD55,VALUE('Capacity summary'!AD174)),0),AD55*$BI55),AD55*$BI55),0)</f>
        <v>0</v>
      </c>
      <c r="CH55" s="311">
        <f>IF($BI55&lt;&gt;"",IF('Capacity summary'!$D$14="Yes",IF(COUNTBLANK('Capacity summary'!$H174:$BG174)&lt;52,IF('Capacity summary'!AE174&lt;&gt;"",IF(LOWER('Capacity summary'!AE174)="x",$BI55*AE55,VALUE('Capacity summary'!AE174)),0),AE55*$BI55),AE55*$BI55),0)</f>
        <v>0</v>
      </c>
      <c r="CI55" s="311">
        <f>IF($BI55&lt;&gt;"",IF('Capacity summary'!$D$14="Yes",IF(COUNTBLANK('Capacity summary'!$H174:$BG174)&lt;52,IF('Capacity summary'!AF174&lt;&gt;"",IF(LOWER('Capacity summary'!AF174)="x",$BI55*AF55,VALUE('Capacity summary'!AF174)),0),AF55*$BI55),AF55*$BI55),0)</f>
        <v>0</v>
      </c>
      <c r="CJ55" s="311">
        <f>IF($BI55&lt;&gt;"",IF('Capacity summary'!$D$14="Yes",IF(COUNTBLANK('Capacity summary'!$H174:$BG174)&lt;52,IF('Capacity summary'!AG174&lt;&gt;"",IF(LOWER('Capacity summary'!AG174)="x",$BI55*AG55,VALUE('Capacity summary'!AG174)),0),AG55*$BI55),AG55*$BI55),0)</f>
        <v>0</v>
      </c>
      <c r="CK55" s="311">
        <f>IF($BI55&lt;&gt;"",IF('Capacity summary'!$D$14="Yes",IF(COUNTBLANK('Capacity summary'!$H174:$BG174)&lt;52,IF('Capacity summary'!AH174&lt;&gt;"",IF(LOWER('Capacity summary'!AH174)="x",$BI55*AH55,VALUE('Capacity summary'!AH174)),0),AH55*$BI55),AH55*$BI55),0)</f>
        <v>0</v>
      </c>
      <c r="CL55" s="311">
        <f>IF($BI55&lt;&gt;"",IF('Capacity summary'!$D$14="Yes",IF(COUNTBLANK('Capacity summary'!$H174:$BG174)&lt;52,IF('Capacity summary'!AI174&lt;&gt;"",IF(LOWER('Capacity summary'!AI174)="x",$BI55*AI55,VALUE('Capacity summary'!AI174)),0),AI55*$BI55),AI55*$BI55),0)</f>
        <v>0</v>
      </c>
      <c r="CM55" s="311">
        <f>IF($BI55&lt;&gt;"",IF('Capacity summary'!$D$14="Yes",IF(COUNTBLANK('Capacity summary'!$H174:$BG174)&lt;52,IF('Capacity summary'!AJ174&lt;&gt;"",IF(LOWER('Capacity summary'!AJ174)="x",$BI55*AJ55,VALUE('Capacity summary'!AJ174)),0),AJ55*$BI55),AJ55*$BI55),0)</f>
        <v>0</v>
      </c>
      <c r="CN55" s="311">
        <f>IF($BI55&lt;&gt;"",IF('Capacity summary'!$D$14="Yes",IF(COUNTBLANK('Capacity summary'!$H174:$BG174)&lt;52,IF('Capacity summary'!AK174&lt;&gt;"",IF(LOWER('Capacity summary'!AK174)="x",$BI55*AK55,VALUE('Capacity summary'!AK174)),0),AK55*$BI55),AK55*$BI55),0)</f>
        <v>0</v>
      </c>
      <c r="CO55" s="311">
        <f>IF($BI55&lt;&gt;"",IF('Capacity summary'!$D$14="Yes",IF(COUNTBLANK('Capacity summary'!$H174:$BG174)&lt;52,IF('Capacity summary'!AL174&lt;&gt;"",IF(LOWER('Capacity summary'!AL174)="x",$BI55*AL55,VALUE('Capacity summary'!AL174)),0),AL55*$BI55),AL55*$BI55),0)</f>
        <v>0</v>
      </c>
      <c r="CP55" s="311">
        <f>IF($BI55&lt;&gt;"",IF('Capacity summary'!$D$14="Yes",IF(COUNTBLANK('Capacity summary'!$H174:$BG174)&lt;52,IF('Capacity summary'!AM174&lt;&gt;"",IF(LOWER('Capacity summary'!AM174)="x",$BI55*AM55,VALUE('Capacity summary'!AM174)),0),AM55*$BI55),AM55*$BI55),0)</f>
        <v>0</v>
      </c>
      <c r="CQ55" s="311">
        <f>IF($BI55&lt;&gt;"",IF('Capacity summary'!$D$14="Yes",IF(COUNTBLANK('Capacity summary'!$H174:$BG174)&lt;52,IF('Capacity summary'!AN174&lt;&gt;"",IF(LOWER('Capacity summary'!AN174)="x",$BI55*AN55,VALUE('Capacity summary'!AN174)),0),AN55*$BI55),AN55*$BI55),0)</f>
        <v>0</v>
      </c>
      <c r="CR55" s="311">
        <f>IF($BI55&lt;&gt;"",IF('Capacity summary'!$D$14="Yes",IF(COUNTBLANK('Capacity summary'!$H174:$BG174)&lt;52,IF('Capacity summary'!AO174&lt;&gt;"",IF(LOWER('Capacity summary'!AO174)="x",$BI55*AO55,VALUE('Capacity summary'!AO174)),0),AO55*$BI55),AO55*$BI55),0)</f>
        <v>0</v>
      </c>
      <c r="CS55" s="311">
        <f>IF($BI55&lt;&gt;"",IF('Capacity summary'!$D$14="Yes",IF(COUNTBLANK('Capacity summary'!$H174:$BG174)&lt;52,IF('Capacity summary'!AP174&lt;&gt;"",IF(LOWER('Capacity summary'!AP174)="x",$BI55*AP55,VALUE('Capacity summary'!AP174)),0),AP55*$BI55),AP55*$BI55),0)</f>
        <v>0</v>
      </c>
      <c r="CT55" s="311">
        <f>IF($BI55&lt;&gt;"",IF('Capacity summary'!$D$14="Yes",IF(COUNTBLANK('Capacity summary'!$H174:$BG174)&lt;52,IF('Capacity summary'!AQ174&lt;&gt;"",IF(LOWER('Capacity summary'!AQ174)="x",$BI55*AQ55,VALUE('Capacity summary'!AQ174)),0),AQ55*$BI55),AQ55*$BI55),0)</f>
        <v>0</v>
      </c>
      <c r="CU55" s="311">
        <f>IF($BI55&lt;&gt;"",IF('Capacity summary'!$D$14="Yes",IF(COUNTBLANK('Capacity summary'!$H174:$BG174)&lt;52,IF('Capacity summary'!AR174&lt;&gt;"",IF(LOWER('Capacity summary'!AR174)="x",$BI55*AR55,VALUE('Capacity summary'!AR174)),0),AR55*$BI55),AR55*$BI55),0)</f>
        <v>0</v>
      </c>
      <c r="CV55" s="311">
        <f>IF($BI55&lt;&gt;"",IF('Capacity summary'!$D$14="Yes",IF(COUNTBLANK('Capacity summary'!$H174:$BG174)&lt;52,IF('Capacity summary'!AS174&lt;&gt;"",IF(LOWER('Capacity summary'!AS174)="x",$BI55*AS55,VALUE('Capacity summary'!AS174)),0),AS55*$BI55),AS55*$BI55),0)</f>
        <v>0</v>
      </c>
      <c r="CW55" s="311">
        <f>IF($BI55&lt;&gt;"",IF('Capacity summary'!$D$14="Yes",IF(COUNTBLANK('Capacity summary'!$H174:$BG174)&lt;52,IF('Capacity summary'!AT174&lt;&gt;"",IF(LOWER('Capacity summary'!AT174)="x",$BI55*AT55,VALUE('Capacity summary'!AT174)),0),AT55*$BI55),AT55*$BI55),0)</f>
        <v>0</v>
      </c>
      <c r="CX55" s="311">
        <f>IF($BI55&lt;&gt;"",IF('Capacity summary'!$D$14="Yes",IF(COUNTBLANK('Capacity summary'!$H174:$BG174)&lt;52,IF('Capacity summary'!AU174&lt;&gt;"",IF(LOWER('Capacity summary'!AU174)="x",$BI55*AU55,VALUE('Capacity summary'!AU174)),0),AU55*$BI55),AU55*$BI55),0)</f>
        <v>0</v>
      </c>
      <c r="CY55" s="311">
        <f>IF($BI55&lt;&gt;"",IF('Capacity summary'!$D$14="Yes",IF(COUNTBLANK('Capacity summary'!$H174:$BG174)&lt;52,IF('Capacity summary'!AV174&lt;&gt;"",IF(LOWER('Capacity summary'!AV174)="x",$BI55*AV55,VALUE('Capacity summary'!AV174)),0),AV55*$BI55),AV55*$BI55),0)</f>
        <v>0</v>
      </c>
      <c r="CZ55" s="311">
        <f>IF($BI55&lt;&gt;"",IF('Capacity summary'!$D$14="Yes",IF(COUNTBLANK('Capacity summary'!$H174:$BG174)&lt;52,IF('Capacity summary'!AW174&lt;&gt;"",IF(LOWER('Capacity summary'!AW174)="x",$BI55*AW55,VALUE('Capacity summary'!AW174)),0),AW55*$BI55),AW55*$BI55),0)</f>
        <v>0</v>
      </c>
      <c r="DA55" s="311">
        <f>IF($BI55&lt;&gt;"",IF('Capacity summary'!$D$14="Yes",IF(COUNTBLANK('Capacity summary'!$H174:$BG174)&lt;52,IF('Capacity summary'!AX174&lt;&gt;"",IF(LOWER('Capacity summary'!AX174)="x",$BI55*AX55,VALUE('Capacity summary'!AX174)),0),AX55*$BI55),AX55*$BI55),0)</f>
        <v>0</v>
      </c>
      <c r="DB55" s="311">
        <f>IF($BI55&lt;&gt;"",IF('Capacity summary'!$D$14="Yes",IF(COUNTBLANK('Capacity summary'!$H174:$BG174)&lt;52,IF('Capacity summary'!AY174&lt;&gt;"",IF(LOWER('Capacity summary'!AY174)="x",$BI55*AY55,VALUE('Capacity summary'!AY174)),0),AY55*$BI55),AY55*$BI55),0)</f>
        <v>0</v>
      </c>
      <c r="DC55" s="311">
        <f>IF($BI55&lt;&gt;"",IF('Capacity summary'!$D$14="Yes",IF(COUNTBLANK('Capacity summary'!$H174:$BG174)&lt;52,IF('Capacity summary'!AZ174&lt;&gt;"",IF(LOWER('Capacity summary'!AZ174)="x",$BI55*AZ55,VALUE('Capacity summary'!AZ174)),0),AZ55*$BI55),AZ55*$BI55),0)</f>
        <v>0</v>
      </c>
      <c r="DD55" s="311">
        <f>IF($BI55&lt;&gt;"",IF('Capacity summary'!$D$14="Yes",IF(COUNTBLANK('Capacity summary'!$H174:$BG174)&lt;52,IF('Capacity summary'!BA174&lt;&gt;"",IF(LOWER('Capacity summary'!BA174)="x",$BI55*BA55,VALUE('Capacity summary'!BA174)),0),BA55*$BI55),BA55*$BI55),0)</f>
        <v>0</v>
      </c>
      <c r="DE55" s="311">
        <f>IF($BI55&lt;&gt;"",IF('Capacity summary'!$D$14="Yes",IF(COUNTBLANK('Capacity summary'!$H174:$BG174)&lt;52,IF('Capacity summary'!BB174&lt;&gt;"",IF(LOWER('Capacity summary'!BB174)="x",$BI55*BB55,VALUE('Capacity summary'!BB174)),0),BB55*$BI55),BB55*$BI55),0)</f>
        <v>0</v>
      </c>
      <c r="DF55" s="311">
        <f>IF($BI55&lt;&gt;"",IF('Capacity summary'!$D$14="Yes",IF(COUNTBLANK('Capacity summary'!$H174:$BG174)&lt;52,IF('Capacity summary'!BC174&lt;&gt;"",IF(LOWER('Capacity summary'!BC174)="x",$BI55*BC55,VALUE('Capacity summary'!BC174)),0),BC55*$BI55),BC55*$BI55),0)</f>
        <v>0</v>
      </c>
      <c r="DG55" s="311">
        <f>IF($BI55&lt;&gt;"",IF('Capacity summary'!$D$14="Yes",IF(COUNTBLANK('Capacity summary'!$H174:$BG174)&lt;52,IF('Capacity summary'!BD174&lt;&gt;"",IF(LOWER('Capacity summary'!BD174)="x",$BI55*BD55,VALUE('Capacity summary'!BD174)),0),BD55*$BI55),BD55*$BI55),0)</f>
        <v>0</v>
      </c>
      <c r="DH55" s="311">
        <f>IF($BI55&lt;&gt;"",IF('Capacity summary'!$D$14="Yes",IF(COUNTBLANK('Capacity summary'!$H174:$BG174)&lt;52,IF('Capacity summary'!BE174&lt;&gt;"",IF(LOWER('Capacity summary'!BE174)="x",$BI55*BE55,VALUE('Capacity summary'!BE174)),0),BE55*$BI55),BE55*$BI55),0)</f>
        <v>0</v>
      </c>
      <c r="DI55" s="311">
        <f>IF($BI55&lt;&gt;"",IF('Capacity summary'!$D$14="Yes",IF(COUNTBLANK('Capacity summary'!$H174:$BG174)&lt;52,IF('Capacity summary'!BF174&lt;&gt;"",IF(LOWER('Capacity summary'!BF174)="x",$BI55*BF55,VALUE('Capacity summary'!BF174)),0),BF55*$BI55),BF55*$BI55),0)</f>
        <v>0</v>
      </c>
      <c r="DJ55" s="311">
        <f>IF($BI55&lt;&gt;"",IF('Capacity summary'!$D$14="Yes",IF(COUNTBLANK('Capacity summary'!$H174:$BG174)&lt;52,IF('Capacity summary'!BG174&lt;&gt;"",IF(LOWER('Capacity summary'!BG174)="x",$BI55*BG55,VALUE('Capacity summary'!BG174)),0),BG55*$BI55),BG55*$BI55),0)</f>
        <v>0</v>
      </c>
      <c r="DK55" s="391">
        <f t="shared" si="2"/>
        <v>0</v>
      </c>
      <c r="DL55" s="136">
        <f t="shared" si="3"/>
        <v>0</v>
      </c>
      <c r="DM55" s="311" t="str">
        <f>Capacity!H67</f>
        <v/>
      </c>
      <c r="DQ55" s="5"/>
    </row>
    <row r="56" spans="1:121" x14ac:dyDescent="0.2">
      <c r="A56" s="67">
        <f>IF(Capacity!L68='Capacity summary'!BI175,1,0)</f>
        <v>1</v>
      </c>
      <c r="B56" s="67">
        <f>IF(Capacity!V68='Capacity summary'!BI75,1,0)</f>
        <v>1</v>
      </c>
      <c r="C56" s="67" t="str">
        <f>ROW(A52)&amp;". "&amp;Capacity!B68</f>
        <v xml:space="preserve">52. </v>
      </c>
      <c r="D56" s="67">
        <f>'Capacity setup'!C63</f>
        <v>0</v>
      </c>
      <c r="E56" s="67">
        <f>'Capacity setup'!D63</f>
        <v>0</v>
      </c>
      <c r="F56" s="67">
        <f>'Capacity setup'!E63</f>
        <v>0</v>
      </c>
      <c r="H56" s="67">
        <f ca="1">IF(LOWER(Capacity!$L68)="x",IF(AND(SUMIF(Capacity_Resource,$D56,'Critical resources (hide)'!U$6:U$105)+SUMIF(Capacity_Resource,$E56,'Critical resources (hide)'!U$6:U$105)+SUMIF(Capacity_Resource,$F56,'Critical resources (hide)'!U$6:U$105)&gt;0,$E$1=2),0,1),0)</f>
        <v>1</v>
      </c>
      <c r="I56" s="67">
        <f ca="1">IF(LOWER(Capacity!$L68)="x",IF(AND(SUMIF(Capacity_Resource,$D56,'Critical resources (hide)'!V$6:V$105)+SUMIF(Capacity_Resource,$E56,'Critical resources (hide)'!V$6:V$105)+SUMIF(Capacity_Resource,$F56,'Critical resources (hide)'!V$6:V$105)&gt;0,$E$1=2),0,1),0)</f>
        <v>1</v>
      </c>
      <c r="J56" s="67">
        <f ca="1">IF(LOWER(Capacity!$L68)="x",IF(AND(SUMIF(Capacity_Resource,$D56,'Critical resources (hide)'!W$6:W$105)+SUMIF(Capacity_Resource,$E56,'Critical resources (hide)'!W$6:W$105)+SUMIF(Capacity_Resource,$F56,'Critical resources (hide)'!W$6:W$105)&gt;0,$E$1=2),0,1),0)</f>
        <v>1</v>
      </c>
      <c r="K56" s="67">
        <f ca="1">IF(LOWER(Capacity!$L68)="x",IF(AND(SUMIF(Capacity_Resource,$D56,'Critical resources (hide)'!X$6:X$105)+SUMIF(Capacity_Resource,$E56,'Critical resources (hide)'!X$6:X$105)+SUMIF(Capacity_Resource,$F56,'Critical resources (hide)'!X$6:X$105)&gt;0,$E$1=2),0,1),0)</f>
        <v>1</v>
      </c>
      <c r="L56" s="67">
        <f ca="1">IF(LOWER(Capacity!$L68)="x",IF(AND(SUMIF(Capacity_Resource,$D56,'Critical resources (hide)'!Y$6:Y$105)+SUMIF(Capacity_Resource,$E56,'Critical resources (hide)'!Y$6:Y$105)+SUMIF(Capacity_Resource,$F56,'Critical resources (hide)'!Y$6:Y$105)&gt;0,$E$1=2),0,1),0)</f>
        <v>1</v>
      </c>
      <c r="M56" s="67">
        <f ca="1">IF(LOWER(Capacity!$L68)="x",IF(AND(SUMIF(Capacity_Resource,$D56,'Critical resources (hide)'!Z$6:Z$105)+SUMIF(Capacity_Resource,$E56,'Critical resources (hide)'!Z$6:Z$105)+SUMIF(Capacity_Resource,$F56,'Critical resources (hide)'!Z$6:Z$105)&gt;0,$E$1=2),0,1),0)</f>
        <v>1</v>
      </c>
      <c r="N56" s="67">
        <f ca="1">IF(LOWER(Capacity!$L68)="x",IF(AND(SUMIF(Capacity_Resource,$D56,'Critical resources (hide)'!AA$6:AA$105)+SUMIF(Capacity_Resource,$E56,'Critical resources (hide)'!AA$6:AA$105)+SUMIF(Capacity_Resource,$F56,'Critical resources (hide)'!AA$6:AA$105)&gt;0,$E$1=2),0,1),0)</f>
        <v>1</v>
      </c>
      <c r="O56" s="67">
        <f ca="1">IF(LOWER(Capacity!$L68)="x",IF(AND(SUMIF(Capacity_Resource,$D56,'Critical resources (hide)'!AB$6:AB$105)+SUMIF(Capacity_Resource,$E56,'Critical resources (hide)'!AB$6:AB$105)+SUMIF(Capacity_Resource,$F56,'Critical resources (hide)'!AB$6:AB$105)&gt;0,$E$1=2),0,1),0)</f>
        <v>1</v>
      </c>
      <c r="P56" s="67">
        <f ca="1">IF(LOWER(Capacity!$L68)="x",IF(AND(SUMIF(Capacity_Resource,$D56,'Critical resources (hide)'!AC$6:AC$105)+SUMIF(Capacity_Resource,$E56,'Critical resources (hide)'!AC$6:AC$105)+SUMIF(Capacity_Resource,$F56,'Critical resources (hide)'!AC$6:AC$105)&gt;0,$E$1=2),0,1),0)</f>
        <v>1</v>
      </c>
      <c r="Q56" s="67">
        <f ca="1">IF(LOWER(Capacity!$L68)="x",IF(AND(SUMIF(Capacity_Resource,$D56,'Critical resources (hide)'!AD$6:AD$105)+SUMIF(Capacity_Resource,$E56,'Critical resources (hide)'!AD$6:AD$105)+SUMIF(Capacity_Resource,$F56,'Critical resources (hide)'!AD$6:AD$105)&gt;0,$E$1=2),0,1),0)</f>
        <v>1</v>
      </c>
      <c r="R56" s="67">
        <f ca="1">IF(LOWER(Capacity!$L68)="x",IF(AND(SUMIF(Capacity_Resource,$D56,'Critical resources (hide)'!AE$6:AE$105)+SUMIF(Capacity_Resource,$E56,'Critical resources (hide)'!AE$6:AE$105)+SUMIF(Capacity_Resource,$F56,'Critical resources (hide)'!AE$6:AE$105)&gt;0,$E$1=2),0,1),0)</f>
        <v>1</v>
      </c>
      <c r="S56" s="67">
        <f ca="1">IF(LOWER(Capacity!$L68)="x",IF(AND(SUMIF(Capacity_Resource,$D56,'Critical resources (hide)'!AF$6:AF$105)+SUMIF(Capacity_Resource,$E56,'Critical resources (hide)'!AF$6:AF$105)+SUMIF(Capacity_Resource,$F56,'Critical resources (hide)'!AF$6:AF$105)&gt;0,$E$1=2),0,1),0)</f>
        <v>1</v>
      </c>
      <c r="T56" s="67">
        <f ca="1">IF(LOWER(Capacity!$L68)="x",IF(AND(SUMIF(Capacity_Resource,$D56,'Critical resources (hide)'!AG$6:AG$105)+SUMIF(Capacity_Resource,$E56,'Critical resources (hide)'!AG$6:AG$105)+SUMIF(Capacity_Resource,$F56,'Critical resources (hide)'!AG$6:AG$105)&gt;0,$E$1=2),0,1),0)</f>
        <v>1</v>
      </c>
      <c r="U56" s="67">
        <f ca="1">IF(LOWER(Capacity!$L68)="x",IF(AND(SUMIF(Capacity_Resource,$D56,'Critical resources (hide)'!AH$6:AH$105)+SUMIF(Capacity_Resource,$E56,'Critical resources (hide)'!AH$6:AH$105)+SUMIF(Capacity_Resource,$F56,'Critical resources (hide)'!AH$6:AH$105)&gt;0,$E$1=2),0,1),0)</f>
        <v>1</v>
      </c>
      <c r="V56" s="67">
        <f ca="1">IF(LOWER(Capacity!$L68)="x",IF(AND(SUMIF(Capacity_Resource,$D56,'Critical resources (hide)'!AI$6:AI$105)+SUMIF(Capacity_Resource,$E56,'Critical resources (hide)'!AI$6:AI$105)+SUMIF(Capacity_Resource,$F56,'Critical resources (hide)'!AI$6:AI$105)&gt;0,$E$1=2),0,1),0)</f>
        <v>1</v>
      </c>
      <c r="W56" s="67">
        <f ca="1">IF(LOWER(Capacity!$L68)="x",IF(AND(SUMIF(Capacity_Resource,$D56,'Critical resources (hide)'!AJ$6:AJ$105)+SUMIF(Capacity_Resource,$E56,'Critical resources (hide)'!AJ$6:AJ$105)+SUMIF(Capacity_Resource,$F56,'Critical resources (hide)'!AJ$6:AJ$105)&gt;0,$E$1=2),0,1),0)</f>
        <v>1</v>
      </c>
      <c r="X56" s="67">
        <f ca="1">IF(LOWER(Capacity!$L68)="x",IF(AND(SUMIF(Capacity_Resource,$D56,'Critical resources (hide)'!AK$6:AK$105)+SUMIF(Capacity_Resource,$E56,'Critical resources (hide)'!AK$6:AK$105)+SUMIF(Capacity_Resource,$F56,'Critical resources (hide)'!AK$6:AK$105)&gt;0,$E$1=2),0,1),0)</f>
        <v>1</v>
      </c>
      <c r="Y56" s="67">
        <f ca="1">IF(LOWER(Capacity!$L68)="x",IF(AND(SUMIF(Capacity_Resource,$D56,'Critical resources (hide)'!AL$6:AL$105)+SUMIF(Capacity_Resource,$E56,'Critical resources (hide)'!AL$6:AL$105)+SUMIF(Capacity_Resource,$F56,'Critical resources (hide)'!AL$6:AL$105)&gt;0,$E$1=2),0,1),0)</f>
        <v>1</v>
      </c>
      <c r="Z56" s="67">
        <f ca="1">IF(LOWER(Capacity!$L68)="x",IF(AND(SUMIF(Capacity_Resource,$D56,'Critical resources (hide)'!AM$6:AM$105)+SUMIF(Capacity_Resource,$E56,'Critical resources (hide)'!AM$6:AM$105)+SUMIF(Capacity_Resource,$F56,'Critical resources (hide)'!AM$6:AM$105)&gt;0,$E$1=2),0,1),0)</f>
        <v>1</v>
      </c>
      <c r="AA56" s="67">
        <f ca="1">IF(LOWER(Capacity!$L68)="x",IF(AND(SUMIF(Capacity_Resource,$D56,'Critical resources (hide)'!AN$6:AN$105)+SUMIF(Capacity_Resource,$E56,'Critical resources (hide)'!AN$6:AN$105)+SUMIF(Capacity_Resource,$F56,'Critical resources (hide)'!AN$6:AN$105)&gt;0,$E$1=2),0,1),0)</f>
        <v>1</v>
      </c>
      <c r="AB56" s="67">
        <f ca="1">IF(LOWER(Capacity!$L68)="x",IF(AND(SUMIF(Capacity_Resource,$D56,'Critical resources (hide)'!AO$6:AO$105)+SUMIF(Capacity_Resource,$E56,'Critical resources (hide)'!AO$6:AO$105)+SUMIF(Capacity_Resource,$F56,'Critical resources (hide)'!AO$6:AO$105)&gt;0,$E$1=2),0,1),0)</f>
        <v>1</v>
      </c>
      <c r="AC56" s="67">
        <f ca="1">IF(LOWER(Capacity!$L68)="x",IF(AND(SUMIF(Capacity_Resource,$D56,'Critical resources (hide)'!AP$6:AP$105)+SUMIF(Capacity_Resource,$E56,'Critical resources (hide)'!AP$6:AP$105)+SUMIF(Capacity_Resource,$F56,'Critical resources (hide)'!AP$6:AP$105)&gt;0,$E$1=2),0,1),0)</f>
        <v>1</v>
      </c>
      <c r="AD56" s="67">
        <f ca="1">IF(LOWER(Capacity!$L68)="x",IF(AND(SUMIF(Capacity_Resource,$D56,'Critical resources (hide)'!AQ$6:AQ$105)+SUMIF(Capacity_Resource,$E56,'Critical resources (hide)'!AQ$6:AQ$105)+SUMIF(Capacity_Resource,$F56,'Critical resources (hide)'!AQ$6:AQ$105)&gt;0,$E$1=2),0,1),0)</f>
        <v>1</v>
      </c>
      <c r="AE56" s="67">
        <f ca="1">IF(LOWER(Capacity!$L68)="x",IF(AND(SUMIF(Capacity_Resource,$D56,'Critical resources (hide)'!AR$6:AR$105)+SUMIF(Capacity_Resource,$E56,'Critical resources (hide)'!AR$6:AR$105)+SUMIF(Capacity_Resource,$F56,'Critical resources (hide)'!AR$6:AR$105)&gt;0,$E$1=2),0,1),0)</f>
        <v>1</v>
      </c>
      <c r="AF56" s="67">
        <f ca="1">IF(LOWER(Capacity!$L68)="x",IF(AND(SUMIF(Capacity_Resource,$D56,'Critical resources (hide)'!AS$6:AS$105)+SUMIF(Capacity_Resource,$E56,'Critical resources (hide)'!AS$6:AS$105)+SUMIF(Capacity_Resource,$F56,'Critical resources (hide)'!AS$6:AS$105)&gt;0,$E$1=2),0,1),0)</f>
        <v>1</v>
      </c>
      <c r="AG56" s="67">
        <f ca="1">IF(LOWER(Capacity!$L68)="x",IF(AND(SUMIF(Capacity_Resource,$D56,'Critical resources (hide)'!AT$6:AT$105)+SUMIF(Capacity_Resource,$E56,'Critical resources (hide)'!AT$6:AT$105)+SUMIF(Capacity_Resource,$F56,'Critical resources (hide)'!AT$6:AT$105)&gt;0,$E$1=2),0,1),0)</f>
        <v>1</v>
      </c>
      <c r="AH56" s="67">
        <f ca="1">IF(LOWER(Capacity!$L68)="x",IF(AND(SUMIF(Capacity_Resource,$D56,'Critical resources (hide)'!AU$6:AU$105)+SUMIF(Capacity_Resource,$E56,'Critical resources (hide)'!AU$6:AU$105)+SUMIF(Capacity_Resource,$F56,'Critical resources (hide)'!AU$6:AU$105)&gt;0,$E$1=2),0,1),0)</f>
        <v>1</v>
      </c>
      <c r="AI56" s="67">
        <f ca="1">IF(LOWER(Capacity!$L68)="x",IF(AND(SUMIF(Capacity_Resource,$D56,'Critical resources (hide)'!AV$6:AV$105)+SUMIF(Capacity_Resource,$E56,'Critical resources (hide)'!AV$6:AV$105)+SUMIF(Capacity_Resource,$F56,'Critical resources (hide)'!AV$6:AV$105)&gt;0,$E$1=2),0,1),0)</f>
        <v>1</v>
      </c>
      <c r="AJ56" s="67">
        <f ca="1">IF(LOWER(Capacity!$L68)="x",IF(AND(SUMIF(Capacity_Resource,$D56,'Critical resources (hide)'!AW$6:AW$105)+SUMIF(Capacity_Resource,$E56,'Critical resources (hide)'!AW$6:AW$105)+SUMIF(Capacity_Resource,$F56,'Critical resources (hide)'!AW$6:AW$105)&gt;0,$E$1=2),0,1),0)</f>
        <v>1</v>
      </c>
      <c r="AK56" s="67">
        <f ca="1">IF(LOWER(Capacity!$L68)="x",IF(AND(SUMIF(Capacity_Resource,$D56,'Critical resources (hide)'!AX$6:AX$105)+SUMIF(Capacity_Resource,$E56,'Critical resources (hide)'!AX$6:AX$105)+SUMIF(Capacity_Resource,$F56,'Critical resources (hide)'!AX$6:AX$105)&gt;0,$E$1=2),0,1),0)</f>
        <v>1</v>
      </c>
      <c r="AL56" s="67">
        <f ca="1">IF(LOWER(Capacity!$L68)="x",IF(AND(SUMIF(Capacity_Resource,$D56,'Critical resources (hide)'!AY$6:AY$105)+SUMIF(Capacity_Resource,$E56,'Critical resources (hide)'!AY$6:AY$105)+SUMIF(Capacity_Resource,$F56,'Critical resources (hide)'!AY$6:AY$105)&gt;0,$E$1=2),0,1),0)</f>
        <v>1</v>
      </c>
      <c r="AM56" s="67">
        <f ca="1">IF(LOWER(Capacity!$L68)="x",IF(AND(SUMIF(Capacity_Resource,$D56,'Critical resources (hide)'!AZ$6:AZ$105)+SUMIF(Capacity_Resource,$E56,'Critical resources (hide)'!AZ$6:AZ$105)+SUMIF(Capacity_Resource,$F56,'Critical resources (hide)'!AZ$6:AZ$105)&gt;0,$E$1=2),0,1),0)</f>
        <v>1</v>
      </c>
      <c r="AN56" s="67">
        <f ca="1">IF(LOWER(Capacity!$L68)="x",IF(AND(SUMIF(Capacity_Resource,$D56,'Critical resources (hide)'!BA$6:BA$105)+SUMIF(Capacity_Resource,$E56,'Critical resources (hide)'!BA$6:BA$105)+SUMIF(Capacity_Resource,$F56,'Critical resources (hide)'!BA$6:BA$105)&gt;0,$E$1=2),0,1),0)</f>
        <v>1</v>
      </c>
      <c r="AO56" s="67">
        <f ca="1">IF(LOWER(Capacity!$L68)="x",IF(AND(SUMIF(Capacity_Resource,$D56,'Critical resources (hide)'!BB$6:BB$105)+SUMIF(Capacity_Resource,$E56,'Critical resources (hide)'!BB$6:BB$105)+SUMIF(Capacity_Resource,$F56,'Critical resources (hide)'!BB$6:BB$105)&gt;0,$E$1=2),0,1),0)</f>
        <v>1</v>
      </c>
      <c r="AP56" s="67">
        <f ca="1">IF(LOWER(Capacity!$L68)="x",IF(AND(SUMIF(Capacity_Resource,$D56,'Critical resources (hide)'!BC$6:BC$105)+SUMIF(Capacity_Resource,$E56,'Critical resources (hide)'!BC$6:BC$105)+SUMIF(Capacity_Resource,$F56,'Critical resources (hide)'!BC$6:BC$105)&gt;0,$E$1=2),0,1),0)</f>
        <v>1</v>
      </c>
      <c r="AQ56" s="67">
        <f ca="1">IF(LOWER(Capacity!$L68)="x",IF(AND(SUMIF(Capacity_Resource,$D56,'Critical resources (hide)'!BD$6:BD$105)+SUMIF(Capacity_Resource,$E56,'Critical resources (hide)'!BD$6:BD$105)+SUMIF(Capacity_Resource,$F56,'Critical resources (hide)'!BD$6:BD$105)&gt;0,$E$1=2),0,1),0)</f>
        <v>1</v>
      </c>
      <c r="AR56" s="67">
        <f ca="1">IF(LOWER(Capacity!$L68)="x",IF(AND(SUMIF(Capacity_Resource,$D56,'Critical resources (hide)'!BE$6:BE$105)+SUMIF(Capacity_Resource,$E56,'Critical resources (hide)'!BE$6:BE$105)+SUMIF(Capacity_Resource,$F56,'Critical resources (hide)'!BE$6:BE$105)&gt;0,$E$1=2),0,1),0)</f>
        <v>1</v>
      </c>
      <c r="AS56" s="67">
        <f ca="1">IF(LOWER(Capacity!$L68)="x",IF(AND(SUMIF(Capacity_Resource,$D56,'Critical resources (hide)'!BF$6:BF$105)+SUMIF(Capacity_Resource,$E56,'Critical resources (hide)'!BF$6:BF$105)+SUMIF(Capacity_Resource,$F56,'Critical resources (hide)'!BF$6:BF$105)&gt;0,$E$1=2),0,1),0)</f>
        <v>1</v>
      </c>
      <c r="AT56" s="67">
        <f ca="1">IF(LOWER(Capacity!$L68)="x",IF(AND(SUMIF(Capacity_Resource,$D56,'Critical resources (hide)'!BG$6:BG$105)+SUMIF(Capacity_Resource,$E56,'Critical resources (hide)'!BG$6:BG$105)+SUMIF(Capacity_Resource,$F56,'Critical resources (hide)'!BG$6:BG$105)&gt;0,$E$1=2),0,1),0)</f>
        <v>1</v>
      </c>
      <c r="AU56" s="67">
        <f ca="1">IF(LOWER(Capacity!$L68)="x",IF(AND(SUMIF(Capacity_Resource,$D56,'Critical resources (hide)'!BH$6:BH$105)+SUMIF(Capacity_Resource,$E56,'Critical resources (hide)'!BH$6:BH$105)+SUMIF(Capacity_Resource,$F56,'Critical resources (hide)'!BH$6:BH$105)&gt;0,$E$1=2),0,1),0)</f>
        <v>1</v>
      </c>
      <c r="AV56" s="67">
        <f ca="1">IF(LOWER(Capacity!$L68)="x",IF(AND(SUMIF(Capacity_Resource,$D56,'Critical resources (hide)'!BI$6:BI$105)+SUMIF(Capacity_Resource,$E56,'Critical resources (hide)'!BI$6:BI$105)+SUMIF(Capacity_Resource,$F56,'Critical resources (hide)'!BI$6:BI$105)&gt;0,$E$1=2),0,1),0)</f>
        <v>1</v>
      </c>
      <c r="AW56" s="67">
        <f ca="1">IF(LOWER(Capacity!$L68)="x",IF(AND(SUMIF(Capacity_Resource,$D56,'Critical resources (hide)'!BJ$6:BJ$105)+SUMIF(Capacity_Resource,$E56,'Critical resources (hide)'!BJ$6:BJ$105)+SUMIF(Capacity_Resource,$F56,'Critical resources (hide)'!BJ$6:BJ$105)&gt;0,$E$1=2),0,1),0)</f>
        <v>1</v>
      </c>
      <c r="AX56" s="67">
        <f ca="1">IF(LOWER(Capacity!$L68)="x",IF(AND(SUMIF(Capacity_Resource,$D56,'Critical resources (hide)'!BK$6:BK$105)+SUMIF(Capacity_Resource,$E56,'Critical resources (hide)'!BK$6:BK$105)+SUMIF(Capacity_Resource,$F56,'Critical resources (hide)'!BK$6:BK$105)&gt;0,$E$1=2),0,1),0)</f>
        <v>1</v>
      </c>
      <c r="AY56" s="67">
        <f ca="1">IF(LOWER(Capacity!$L68)="x",IF(AND(SUMIF(Capacity_Resource,$D56,'Critical resources (hide)'!BL$6:BL$105)+SUMIF(Capacity_Resource,$E56,'Critical resources (hide)'!BL$6:BL$105)+SUMIF(Capacity_Resource,$F56,'Critical resources (hide)'!BL$6:BL$105)&gt;0,$E$1=2),0,1),0)</f>
        <v>1</v>
      </c>
      <c r="AZ56" s="67">
        <f ca="1">IF(LOWER(Capacity!$L68)="x",IF(AND(SUMIF(Capacity_Resource,$D56,'Critical resources (hide)'!BM$6:BM$105)+SUMIF(Capacity_Resource,$E56,'Critical resources (hide)'!BM$6:BM$105)+SUMIF(Capacity_Resource,$F56,'Critical resources (hide)'!BM$6:BM$105)&gt;0,$E$1=2),0,1),0)</f>
        <v>1</v>
      </c>
      <c r="BA56" s="67">
        <f ca="1">IF(LOWER(Capacity!$L68)="x",IF(AND(SUMIF(Capacity_Resource,$D56,'Critical resources (hide)'!BN$6:BN$105)+SUMIF(Capacity_Resource,$E56,'Critical resources (hide)'!BN$6:BN$105)+SUMIF(Capacity_Resource,$F56,'Critical resources (hide)'!BN$6:BN$105)&gt;0,$E$1=2),0,1),0)</f>
        <v>1</v>
      </c>
      <c r="BB56" s="67">
        <f ca="1">IF(LOWER(Capacity!$L68)="x",IF(AND(SUMIF(Capacity_Resource,$D56,'Critical resources (hide)'!BO$6:BO$105)+SUMIF(Capacity_Resource,$E56,'Critical resources (hide)'!BO$6:BO$105)+SUMIF(Capacity_Resource,$F56,'Critical resources (hide)'!BO$6:BO$105)&gt;0,$E$1=2),0,1),0)</f>
        <v>1</v>
      </c>
      <c r="BC56" s="67">
        <f ca="1">IF(LOWER(Capacity!$L68)="x",IF(AND(SUMIF(Capacity_Resource,$D56,'Critical resources (hide)'!BP$6:BP$105)+SUMIF(Capacity_Resource,$E56,'Critical resources (hide)'!BP$6:BP$105)+SUMIF(Capacity_Resource,$F56,'Critical resources (hide)'!BP$6:BP$105)&gt;0,$E$1=2),0,1),0)</f>
        <v>1</v>
      </c>
      <c r="BD56" s="67">
        <f ca="1">IF(LOWER(Capacity!$L68)="x",IF(AND(SUMIF(Capacity_Resource,$D56,'Critical resources (hide)'!BQ$6:BQ$105)+SUMIF(Capacity_Resource,$E56,'Critical resources (hide)'!BQ$6:BQ$105)+SUMIF(Capacity_Resource,$F56,'Critical resources (hide)'!BQ$6:BQ$105)&gt;0,$E$1=2),0,1),0)</f>
        <v>1</v>
      </c>
      <c r="BE56" s="67">
        <f ca="1">IF(LOWER(Capacity!$L68)="x",IF(AND(SUMIF(Capacity_Resource,$D56,'Critical resources (hide)'!BR$6:BR$105)+SUMIF(Capacity_Resource,$E56,'Critical resources (hide)'!BR$6:BR$105)+SUMIF(Capacity_Resource,$F56,'Critical resources (hide)'!BR$6:BR$105)&gt;0,$E$1=2),0,1),0)</f>
        <v>1</v>
      </c>
      <c r="BF56" s="67">
        <f ca="1">IF(LOWER(Capacity!$L68)="x",IF(AND(SUMIF(Capacity_Resource,$D56,'Critical resources (hide)'!BS$6:BS$105)+SUMIF(Capacity_Resource,$E56,'Critical resources (hide)'!BS$6:BS$105)+SUMIF(Capacity_Resource,$F56,'Critical resources (hide)'!BS$6:BS$105)&gt;0,$E$1=2),0,1),0)</f>
        <v>1</v>
      </c>
      <c r="BG56" s="67">
        <f ca="1">IF(LOWER(Capacity!$L68)="x",IF(AND(SUMIF(Capacity_Resource,$D56,'Critical resources (hide)'!BT$6:BT$105)+SUMIF(Capacity_Resource,$E56,'Critical resources (hide)'!BT$6:BT$105)+SUMIF(Capacity_Resource,$F56,'Critical resources (hide)'!BT$6:BT$105)&gt;0,$E$1=2),0,1),0)</f>
        <v>1</v>
      </c>
      <c r="BH56" s="67">
        <f>IF(ROW(C52)&lt;=Capacity!$A$16,IF('Capacity summary'!$D$14="No",SUM(H56:BG56),'Capacity summary'!$E175),0)</f>
        <v>0</v>
      </c>
      <c r="BI56" s="5" t="str">
        <f>IF(BH56&gt;0,IF(BH56&lt;Capacity!E68,Capacity!F68,Capacity!H68/'Capacity calculation (hide)'!BH56),"")</f>
        <v/>
      </c>
      <c r="BK56" s="311">
        <f>IF($BI56&lt;&gt;"",IF('Capacity summary'!$D$14="Yes",IF(COUNTBLANK('Capacity summary'!$H175:$BG175)&lt;52,IF('Capacity summary'!H175&lt;&gt;"",IF(LOWER('Capacity summary'!H175)="x",$BI56*H56,VALUE('Capacity summary'!H175)),0),H56*$BI56),H56*$BI56),0)</f>
        <v>0</v>
      </c>
      <c r="BL56" s="311">
        <f>IF($BI56&lt;&gt;"",IF('Capacity summary'!$D$14="Yes",IF(COUNTBLANK('Capacity summary'!$H175:$BG175)&lt;52,IF('Capacity summary'!I175&lt;&gt;"",IF(LOWER('Capacity summary'!I175)="x",$BI56*I56,VALUE('Capacity summary'!I175)),0),I56*$BI56),I56*$BI56),0)</f>
        <v>0</v>
      </c>
      <c r="BM56" s="311">
        <f>IF($BI56&lt;&gt;"",IF('Capacity summary'!$D$14="Yes",IF(COUNTBLANK('Capacity summary'!$H175:$BG175)&lt;52,IF('Capacity summary'!J175&lt;&gt;"",IF(LOWER('Capacity summary'!J175)="x",$BI56*J56,VALUE('Capacity summary'!J175)),0),J56*$BI56),J56*$BI56),0)</f>
        <v>0</v>
      </c>
      <c r="BN56" s="311">
        <f>IF($BI56&lt;&gt;"",IF('Capacity summary'!$D$14="Yes",IF(COUNTBLANK('Capacity summary'!$H175:$BG175)&lt;52,IF('Capacity summary'!K175&lt;&gt;"",IF(LOWER('Capacity summary'!K175)="x",$BI56*K56,VALUE('Capacity summary'!K175)),0),K56*$BI56),K56*$BI56),0)</f>
        <v>0</v>
      </c>
      <c r="BO56" s="311">
        <f>IF($BI56&lt;&gt;"",IF('Capacity summary'!$D$14="Yes",IF(COUNTBLANK('Capacity summary'!$H175:$BG175)&lt;52,IF('Capacity summary'!L175&lt;&gt;"",IF(LOWER('Capacity summary'!L175)="x",$BI56*L56,VALUE('Capacity summary'!L175)),0),L56*$BI56),L56*$BI56),0)</f>
        <v>0</v>
      </c>
      <c r="BP56" s="311">
        <f>IF($BI56&lt;&gt;"",IF('Capacity summary'!$D$14="Yes",IF(COUNTBLANK('Capacity summary'!$H175:$BG175)&lt;52,IF('Capacity summary'!M175&lt;&gt;"",IF(LOWER('Capacity summary'!M175)="x",$BI56*M56,VALUE('Capacity summary'!M175)),0),M56*$BI56),M56*$BI56),0)</f>
        <v>0</v>
      </c>
      <c r="BQ56" s="311">
        <f>IF($BI56&lt;&gt;"",IF('Capacity summary'!$D$14="Yes",IF(COUNTBLANK('Capacity summary'!$H175:$BG175)&lt;52,IF('Capacity summary'!N175&lt;&gt;"",IF(LOWER('Capacity summary'!N175)="x",$BI56*N56,VALUE('Capacity summary'!N175)),0),N56*$BI56),N56*$BI56),0)</f>
        <v>0</v>
      </c>
      <c r="BR56" s="311">
        <f>IF($BI56&lt;&gt;"",IF('Capacity summary'!$D$14="Yes",IF(COUNTBLANK('Capacity summary'!$H175:$BG175)&lt;52,IF('Capacity summary'!O175&lt;&gt;"",IF(LOWER('Capacity summary'!O175)="x",$BI56*O56,VALUE('Capacity summary'!O175)),0),O56*$BI56),O56*$BI56),0)</f>
        <v>0</v>
      </c>
      <c r="BS56" s="311">
        <f>IF($BI56&lt;&gt;"",IF('Capacity summary'!$D$14="Yes",IF(COUNTBLANK('Capacity summary'!$H175:$BG175)&lt;52,IF('Capacity summary'!P175&lt;&gt;"",IF(LOWER('Capacity summary'!P175)="x",$BI56*P56,VALUE('Capacity summary'!P175)),0),P56*$BI56),P56*$BI56),0)</f>
        <v>0</v>
      </c>
      <c r="BT56" s="311">
        <f>IF($BI56&lt;&gt;"",IF('Capacity summary'!$D$14="Yes",IF(COUNTBLANK('Capacity summary'!$H175:$BG175)&lt;52,IF('Capacity summary'!Q175&lt;&gt;"",IF(LOWER('Capacity summary'!Q175)="x",$BI56*Q56,VALUE('Capacity summary'!Q175)),0),Q56*$BI56),Q56*$BI56),0)</f>
        <v>0</v>
      </c>
      <c r="BU56" s="311">
        <f>IF($BI56&lt;&gt;"",IF('Capacity summary'!$D$14="Yes",IF(COUNTBLANK('Capacity summary'!$H175:$BG175)&lt;52,IF('Capacity summary'!R175&lt;&gt;"",IF(LOWER('Capacity summary'!R175)="x",$BI56*R56,VALUE('Capacity summary'!R175)),0),R56*$BI56),R56*$BI56),0)</f>
        <v>0</v>
      </c>
      <c r="BV56" s="311">
        <f>IF($BI56&lt;&gt;"",IF('Capacity summary'!$D$14="Yes",IF(COUNTBLANK('Capacity summary'!$H175:$BG175)&lt;52,IF('Capacity summary'!S175&lt;&gt;"",IF(LOWER('Capacity summary'!S175)="x",$BI56*S56,VALUE('Capacity summary'!S175)),0),S56*$BI56),S56*$BI56),0)</f>
        <v>0</v>
      </c>
      <c r="BW56" s="311">
        <f>IF($BI56&lt;&gt;"",IF('Capacity summary'!$D$14="Yes",IF(COUNTBLANK('Capacity summary'!$H175:$BG175)&lt;52,IF('Capacity summary'!T175&lt;&gt;"",IF(LOWER('Capacity summary'!T175)="x",$BI56*T56,VALUE('Capacity summary'!T175)),0),T56*$BI56),T56*$BI56),0)</f>
        <v>0</v>
      </c>
      <c r="BX56" s="311">
        <f>IF($BI56&lt;&gt;"",IF('Capacity summary'!$D$14="Yes",IF(COUNTBLANK('Capacity summary'!$H175:$BG175)&lt;52,IF('Capacity summary'!U175&lt;&gt;"",IF(LOWER('Capacity summary'!U175)="x",$BI56*U56,VALUE('Capacity summary'!U175)),0),U56*$BI56),U56*$BI56),0)</f>
        <v>0</v>
      </c>
      <c r="BY56" s="311">
        <f>IF($BI56&lt;&gt;"",IF('Capacity summary'!$D$14="Yes",IF(COUNTBLANK('Capacity summary'!$H175:$BG175)&lt;52,IF('Capacity summary'!V175&lt;&gt;"",IF(LOWER('Capacity summary'!V175)="x",$BI56*V56,VALUE('Capacity summary'!V175)),0),V56*$BI56),V56*$BI56),0)</f>
        <v>0</v>
      </c>
      <c r="BZ56" s="311">
        <f>IF($BI56&lt;&gt;"",IF('Capacity summary'!$D$14="Yes",IF(COUNTBLANK('Capacity summary'!$H175:$BG175)&lt;52,IF('Capacity summary'!W175&lt;&gt;"",IF(LOWER('Capacity summary'!W175)="x",$BI56*W56,VALUE('Capacity summary'!W175)),0),W56*$BI56),W56*$BI56),0)</f>
        <v>0</v>
      </c>
      <c r="CA56" s="311">
        <f>IF($BI56&lt;&gt;"",IF('Capacity summary'!$D$14="Yes",IF(COUNTBLANK('Capacity summary'!$H175:$BG175)&lt;52,IF('Capacity summary'!X175&lt;&gt;"",IF(LOWER('Capacity summary'!X175)="x",$BI56*X56,VALUE('Capacity summary'!X175)),0),X56*$BI56),X56*$BI56),0)</f>
        <v>0</v>
      </c>
      <c r="CB56" s="311">
        <f>IF($BI56&lt;&gt;"",IF('Capacity summary'!$D$14="Yes",IF(COUNTBLANK('Capacity summary'!$H175:$BG175)&lt;52,IF('Capacity summary'!Y175&lt;&gt;"",IF(LOWER('Capacity summary'!Y175)="x",$BI56*Y56,VALUE('Capacity summary'!Y175)),0),Y56*$BI56),Y56*$BI56),0)</f>
        <v>0</v>
      </c>
      <c r="CC56" s="311">
        <f>IF($BI56&lt;&gt;"",IF('Capacity summary'!$D$14="Yes",IF(COUNTBLANK('Capacity summary'!$H175:$BG175)&lt;52,IF('Capacity summary'!Z175&lt;&gt;"",IF(LOWER('Capacity summary'!Z175)="x",$BI56*Z56,VALUE('Capacity summary'!Z175)),0),Z56*$BI56),Z56*$BI56),0)</f>
        <v>0</v>
      </c>
      <c r="CD56" s="311">
        <f>IF($BI56&lt;&gt;"",IF('Capacity summary'!$D$14="Yes",IF(COUNTBLANK('Capacity summary'!$H175:$BG175)&lt;52,IF('Capacity summary'!AA175&lt;&gt;"",IF(LOWER('Capacity summary'!AA175)="x",$BI56*AA56,VALUE('Capacity summary'!AA175)),0),AA56*$BI56),AA56*$BI56),0)</f>
        <v>0</v>
      </c>
      <c r="CE56" s="311">
        <f>IF($BI56&lt;&gt;"",IF('Capacity summary'!$D$14="Yes",IF(COUNTBLANK('Capacity summary'!$H175:$BG175)&lt;52,IF('Capacity summary'!AB175&lt;&gt;"",IF(LOWER('Capacity summary'!AB175)="x",$BI56*AB56,VALUE('Capacity summary'!AB175)),0),AB56*$BI56),AB56*$BI56),0)</f>
        <v>0</v>
      </c>
      <c r="CF56" s="311">
        <f>IF($BI56&lt;&gt;"",IF('Capacity summary'!$D$14="Yes",IF(COUNTBLANK('Capacity summary'!$H175:$BG175)&lt;52,IF('Capacity summary'!AC175&lt;&gt;"",IF(LOWER('Capacity summary'!AC175)="x",$BI56*AC56,VALUE('Capacity summary'!AC175)),0),AC56*$BI56),AC56*$BI56),0)</f>
        <v>0</v>
      </c>
      <c r="CG56" s="311">
        <f>IF($BI56&lt;&gt;"",IF('Capacity summary'!$D$14="Yes",IF(COUNTBLANK('Capacity summary'!$H175:$BG175)&lt;52,IF('Capacity summary'!AD175&lt;&gt;"",IF(LOWER('Capacity summary'!AD175)="x",$BI56*AD56,VALUE('Capacity summary'!AD175)),0),AD56*$BI56),AD56*$BI56),0)</f>
        <v>0</v>
      </c>
      <c r="CH56" s="311">
        <f>IF($BI56&lt;&gt;"",IF('Capacity summary'!$D$14="Yes",IF(COUNTBLANK('Capacity summary'!$H175:$BG175)&lt;52,IF('Capacity summary'!AE175&lt;&gt;"",IF(LOWER('Capacity summary'!AE175)="x",$BI56*AE56,VALUE('Capacity summary'!AE175)),0),AE56*$BI56),AE56*$BI56),0)</f>
        <v>0</v>
      </c>
      <c r="CI56" s="311">
        <f>IF($BI56&lt;&gt;"",IF('Capacity summary'!$D$14="Yes",IF(COUNTBLANK('Capacity summary'!$H175:$BG175)&lt;52,IF('Capacity summary'!AF175&lt;&gt;"",IF(LOWER('Capacity summary'!AF175)="x",$BI56*AF56,VALUE('Capacity summary'!AF175)),0),AF56*$BI56),AF56*$BI56),0)</f>
        <v>0</v>
      </c>
      <c r="CJ56" s="311">
        <f>IF($BI56&lt;&gt;"",IF('Capacity summary'!$D$14="Yes",IF(COUNTBLANK('Capacity summary'!$H175:$BG175)&lt;52,IF('Capacity summary'!AG175&lt;&gt;"",IF(LOWER('Capacity summary'!AG175)="x",$BI56*AG56,VALUE('Capacity summary'!AG175)),0),AG56*$BI56),AG56*$BI56),0)</f>
        <v>0</v>
      </c>
      <c r="CK56" s="311">
        <f>IF($BI56&lt;&gt;"",IF('Capacity summary'!$D$14="Yes",IF(COUNTBLANK('Capacity summary'!$H175:$BG175)&lt;52,IF('Capacity summary'!AH175&lt;&gt;"",IF(LOWER('Capacity summary'!AH175)="x",$BI56*AH56,VALUE('Capacity summary'!AH175)),0),AH56*$BI56),AH56*$BI56),0)</f>
        <v>0</v>
      </c>
      <c r="CL56" s="311">
        <f>IF($BI56&lt;&gt;"",IF('Capacity summary'!$D$14="Yes",IF(COUNTBLANK('Capacity summary'!$H175:$BG175)&lt;52,IF('Capacity summary'!AI175&lt;&gt;"",IF(LOWER('Capacity summary'!AI175)="x",$BI56*AI56,VALUE('Capacity summary'!AI175)),0),AI56*$BI56),AI56*$BI56),0)</f>
        <v>0</v>
      </c>
      <c r="CM56" s="311">
        <f>IF($BI56&lt;&gt;"",IF('Capacity summary'!$D$14="Yes",IF(COUNTBLANK('Capacity summary'!$H175:$BG175)&lt;52,IF('Capacity summary'!AJ175&lt;&gt;"",IF(LOWER('Capacity summary'!AJ175)="x",$BI56*AJ56,VALUE('Capacity summary'!AJ175)),0),AJ56*$BI56),AJ56*$BI56),0)</f>
        <v>0</v>
      </c>
      <c r="CN56" s="311">
        <f>IF($BI56&lt;&gt;"",IF('Capacity summary'!$D$14="Yes",IF(COUNTBLANK('Capacity summary'!$H175:$BG175)&lt;52,IF('Capacity summary'!AK175&lt;&gt;"",IF(LOWER('Capacity summary'!AK175)="x",$BI56*AK56,VALUE('Capacity summary'!AK175)),0),AK56*$BI56),AK56*$BI56),0)</f>
        <v>0</v>
      </c>
      <c r="CO56" s="311">
        <f>IF($BI56&lt;&gt;"",IF('Capacity summary'!$D$14="Yes",IF(COUNTBLANK('Capacity summary'!$H175:$BG175)&lt;52,IF('Capacity summary'!AL175&lt;&gt;"",IF(LOWER('Capacity summary'!AL175)="x",$BI56*AL56,VALUE('Capacity summary'!AL175)),0),AL56*$BI56),AL56*$BI56),0)</f>
        <v>0</v>
      </c>
      <c r="CP56" s="311">
        <f>IF($BI56&lt;&gt;"",IF('Capacity summary'!$D$14="Yes",IF(COUNTBLANK('Capacity summary'!$H175:$BG175)&lt;52,IF('Capacity summary'!AM175&lt;&gt;"",IF(LOWER('Capacity summary'!AM175)="x",$BI56*AM56,VALUE('Capacity summary'!AM175)),0),AM56*$BI56),AM56*$BI56),0)</f>
        <v>0</v>
      </c>
      <c r="CQ56" s="311">
        <f>IF($BI56&lt;&gt;"",IF('Capacity summary'!$D$14="Yes",IF(COUNTBLANK('Capacity summary'!$H175:$BG175)&lt;52,IF('Capacity summary'!AN175&lt;&gt;"",IF(LOWER('Capacity summary'!AN175)="x",$BI56*AN56,VALUE('Capacity summary'!AN175)),0),AN56*$BI56),AN56*$BI56),0)</f>
        <v>0</v>
      </c>
      <c r="CR56" s="311">
        <f>IF($BI56&lt;&gt;"",IF('Capacity summary'!$D$14="Yes",IF(COUNTBLANK('Capacity summary'!$H175:$BG175)&lt;52,IF('Capacity summary'!AO175&lt;&gt;"",IF(LOWER('Capacity summary'!AO175)="x",$BI56*AO56,VALUE('Capacity summary'!AO175)),0),AO56*$BI56),AO56*$BI56),0)</f>
        <v>0</v>
      </c>
      <c r="CS56" s="311">
        <f>IF($BI56&lt;&gt;"",IF('Capacity summary'!$D$14="Yes",IF(COUNTBLANK('Capacity summary'!$H175:$BG175)&lt;52,IF('Capacity summary'!AP175&lt;&gt;"",IF(LOWER('Capacity summary'!AP175)="x",$BI56*AP56,VALUE('Capacity summary'!AP175)),0),AP56*$BI56),AP56*$BI56),0)</f>
        <v>0</v>
      </c>
      <c r="CT56" s="311">
        <f>IF($BI56&lt;&gt;"",IF('Capacity summary'!$D$14="Yes",IF(COUNTBLANK('Capacity summary'!$H175:$BG175)&lt;52,IF('Capacity summary'!AQ175&lt;&gt;"",IF(LOWER('Capacity summary'!AQ175)="x",$BI56*AQ56,VALUE('Capacity summary'!AQ175)),0),AQ56*$BI56),AQ56*$BI56),0)</f>
        <v>0</v>
      </c>
      <c r="CU56" s="311">
        <f>IF($BI56&lt;&gt;"",IF('Capacity summary'!$D$14="Yes",IF(COUNTBLANK('Capacity summary'!$H175:$BG175)&lt;52,IF('Capacity summary'!AR175&lt;&gt;"",IF(LOWER('Capacity summary'!AR175)="x",$BI56*AR56,VALUE('Capacity summary'!AR175)),0),AR56*$BI56),AR56*$BI56),0)</f>
        <v>0</v>
      </c>
      <c r="CV56" s="311">
        <f>IF($BI56&lt;&gt;"",IF('Capacity summary'!$D$14="Yes",IF(COUNTBLANK('Capacity summary'!$H175:$BG175)&lt;52,IF('Capacity summary'!AS175&lt;&gt;"",IF(LOWER('Capacity summary'!AS175)="x",$BI56*AS56,VALUE('Capacity summary'!AS175)),0),AS56*$BI56),AS56*$BI56),0)</f>
        <v>0</v>
      </c>
      <c r="CW56" s="311">
        <f>IF($BI56&lt;&gt;"",IF('Capacity summary'!$D$14="Yes",IF(COUNTBLANK('Capacity summary'!$H175:$BG175)&lt;52,IF('Capacity summary'!AT175&lt;&gt;"",IF(LOWER('Capacity summary'!AT175)="x",$BI56*AT56,VALUE('Capacity summary'!AT175)),0),AT56*$BI56),AT56*$BI56),0)</f>
        <v>0</v>
      </c>
      <c r="CX56" s="311">
        <f>IF($BI56&lt;&gt;"",IF('Capacity summary'!$D$14="Yes",IF(COUNTBLANK('Capacity summary'!$H175:$BG175)&lt;52,IF('Capacity summary'!AU175&lt;&gt;"",IF(LOWER('Capacity summary'!AU175)="x",$BI56*AU56,VALUE('Capacity summary'!AU175)),0),AU56*$BI56),AU56*$BI56),0)</f>
        <v>0</v>
      </c>
      <c r="CY56" s="311">
        <f>IF($BI56&lt;&gt;"",IF('Capacity summary'!$D$14="Yes",IF(COUNTBLANK('Capacity summary'!$H175:$BG175)&lt;52,IF('Capacity summary'!AV175&lt;&gt;"",IF(LOWER('Capacity summary'!AV175)="x",$BI56*AV56,VALUE('Capacity summary'!AV175)),0),AV56*$BI56),AV56*$BI56),0)</f>
        <v>0</v>
      </c>
      <c r="CZ56" s="311">
        <f>IF($BI56&lt;&gt;"",IF('Capacity summary'!$D$14="Yes",IF(COUNTBLANK('Capacity summary'!$H175:$BG175)&lt;52,IF('Capacity summary'!AW175&lt;&gt;"",IF(LOWER('Capacity summary'!AW175)="x",$BI56*AW56,VALUE('Capacity summary'!AW175)),0),AW56*$BI56),AW56*$BI56),0)</f>
        <v>0</v>
      </c>
      <c r="DA56" s="311">
        <f>IF($BI56&lt;&gt;"",IF('Capacity summary'!$D$14="Yes",IF(COUNTBLANK('Capacity summary'!$H175:$BG175)&lt;52,IF('Capacity summary'!AX175&lt;&gt;"",IF(LOWER('Capacity summary'!AX175)="x",$BI56*AX56,VALUE('Capacity summary'!AX175)),0),AX56*$BI56),AX56*$BI56),0)</f>
        <v>0</v>
      </c>
      <c r="DB56" s="311">
        <f>IF($BI56&lt;&gt;"",IF('Capacity summary'!$D$14="Yes",IF(COUNTBLANK('Capacity summary'!$H175:$BG175)&lt;52,IF('Capacity summary'!AY175&lt;&gt;"",IF(LOWER('Capacity summary'!AY175)="x",$BI56*AY56,VALUE('Capacity summary'!AY175)),0),AY56*$BI56),AY56*$BI56),0)</f>
        <v>0</v>
      </c>
      <c r="DC56" s="311">
        <f>IF($BI56&lt;&gt;"",IF('Capacity summary'!$D$14="Yes",IF(COUNTBLANK('Capacity summary'!$H175:$BG175)&lt;52,IF('Capacity summary'!AZ175&lt;&gt;"",IF(LOWER('Capacity summary'!AZ175)="x",$BI56*AZ56,VALUE('Capacity summary'!AZ175)),0),AZ56*$BI56),AZ56*$BI56),0)</f>
        <v>0</v>
      </c>
      <c r="DD56" s="311">
        <f>IF($BI56&lt;&gt;"",IF('Capacity summary'!$D$14="Yes",IF(COUNTBLANK('Capacity summary'!$H175:$BG175)&lt;52,IF('Capacity summary'!BA175&lt;&gt;"",IF(LOWER('Capacity summary'!BA175)="x",$BI56*BA56,VALUE('Capacity summary'!BA175)),0),BA56*$BI56),BA56*$BI56),0)</f>
        <v>0</v>
      </c>
      <c r="DE56" s="311">
        <f>IF($BI56&lt;&gt;"",IF('Capacity summary'!$D$14="Yes",IF(COUNTBLANK('Capacity summary'!$H175:$BG175)&lt;52,IF('Capacity summary'!BB175&lt;&gt;"",IF(LOWER('Capacity summary'!BB175)="x",$BI56*BB56,VALUE('Capacity summary'!BB175)),0),BB56*$BI56),BB56*$BI56),0)</f>
        <v>0</v>
      </c>
      <c r="DF56" s="311">
        <f>IF($BI56&lt;&gt;"",IF('Capacity summary'!$D$14="Yes",IF(COUNTBLANK('Capacity summary'!$H175:$BG175)&lt;52,IF('Capacity summary'!BC175&lt;&gt;"",IF(LOWER('Capacity summary'!BC175)="x",$BI56*BC56,VALUE('Capacity summary'!BC175)),0),BC56*$BI56),BC56*$BI56),0)</f>
        <v>0</v>
      </c>
      <c r="DG56" s="311">
        <f>IF($BI56&lt;&gt;"",IF('Capacity summary'!$D$14="Yes",IF(COUNTBLANK('Capacity summary'!$H175:$BG175)&lt;52,IF('Capacity summary'!BD175&lt;&gt;"",IF(LOWER('Capacity summary'!BD175)="x",$BI56*BD56,VALUE('Capacity summary'!BD175)),0),BD56*$BI56),BD56*$BI56),0)</f>
        <v>0</v>
      </c>
      <c r="DH56" s="311">
        <f>IF($BI56&lt;&gt;"",IF('Capacity summary'!$D$14="Yes",IF(COUNTBLANK('Capacity summary'!$H175:$BG175)&lt;52,IF('Capacity summary'!BE175&lt;&gt;"",IF(LOWER('Capacity summary'!BE175)="x",$BI56*BE56,VALUE('Capacity summary'!BE175)),0),BE56*$BI56),BE56*$BI56),0)</f>
        <v>0</v>
      </c>
      <c r="DI56" s="311">
        <f>IF($BI56&lt;&gt;"",IF('Capacity summary'!$D$14="Yes",IF(COUNTBLANK('Capacity summary'!$H175:$BG175)&lt;52,IF('Capacity summary'!BF175&lt;&gt;"",IF(LOWER('Capacity summary'!BF175)="x",$BI56*BF56,VALUE('Capacity summary'!BF175)),0),BF56*$BI56),BF56*$BI56),0)</f>
        <v>0</v>
      </c>
      <c r="DJ56" s="311">
        <f>IF($BI56&lt;&gt;"",IF('Capacity summary'!$D$14="Yes",IF(COUNTBLANK('Capacity summary'!$H175:$BG175)&lt;52,IF('Capacity summary'!BG175&lt;&gt;"",IF(LOWER('Capacity summary'!BG175)="x",$BI56*BG56,VALUE('Capacity summary'!BG175)),0),BG56*$BI56),BG56*$BI56),0)</f>
        <v>0</v>
      </c>
      <c r="DK56" s="391">
        <f t="shared" si="2"/>
        <v>0</v>
      </c>
      <c r="DL56" s="136">
        <f t="shared" si="3"/>
        <v>0</v>
      </c>
      <c r="DM56" s="311" t="str">
        <f>Capacity!H68</f>
        <v/>
      </c>
      <c r="DQ56" s="5"/>
    </row>
    <row r="57" spans="1:121" x14ac:dyDescent="0.2">
      <c r="A57" s="67">
        <f>IF(Capacity!L69='Capacity summary'!BI176,1,0)</f>
        <v>1</v>
      </c>
      <c r="B57" s="67">
        <f>IF(Capacity!V69='Capacity summary'!BI76,1,0)</f>
        <v>1</v>
      </c>
      <c r="C57" s="67" t="str">
        <f>ROW(A53)&amp;". "&amp;Capacity!B69</f>
        <v xml:space="preserve">53. </v>
      </c>
      <c r="D57" s="67">
        <f>'Capacity setup'!C64</f>
        <v>0</v>
      </c>
      <c r="E57" s="67">
        <f>'Capacity setup'!D64</f>
        <v>0</v>
      </c>
      <c r="F57" s="67">
        <f>'Capacity setup'!E64</f>
        <v>0</v>
      </c>
      <c r="H57" s="67">
        <f ca="1">IF(LOWER(Capacity!$L69)="x",IF(AND(SUMIF(Capacity_Resource,$D57,'Critical resources (hide)'!U$6:U$105)+SUMIF(Capacity_Resource,$E57,'Critical resources (hide)'!U$6:U$105)+SUMIF(Capacity_Resource,$F57,'Critical resources (hide)'!U$6:U$105)&gt;0,$E$1=2),0,1),0)</f>
        <v>1</v>
      </c>
      <c r="I57" s="67">
        <f ca="1">IF(LOWER(Capacity!$L69)="x",IF(AND(SUMIF(Capacity_Resource,$D57,'Critical resources (hide)'!V$6:V$105)+SUMIF(Capacity_Resource,$E57,'Critical resources (hide)'!V$6:V$105)+SUMIF(Capacity_Resource,$F57,'Critical resources (hide)'!V$6:V$105)&gt;0,$E$1=2),0,1),0)</f>
        <v>1</v>
      </c>
      <c r="J57" s="67">
        <f ca="1">IF(LOWER(Capacity!$L69)="x",IF(AND(SUMIF(Capacity_Resource,$D57,'Critical resources (hide)'!W$6:W$105)+SUMIF(Capacity_Resource,$E57,'Critical resources (hide)'!W$6:W$105)+SUMIF(Capacity_Resource,$F57,'Critical resources (hide)'!W$6:W$105)&gt;0,$E$1=2),0,1),0)</f>
        <v>1</v>
      </c>
      <c r="K57" s="67">
        <f ca="1">IF(LOWER(Capacity!$L69)="x",IF(AND(SUMIF(Capacity_Resource,$D57,'Critical resources (hide)'!X$6:X$105)+SUMIF(Capacity_Resource,$E57,'Critical resources (hide)'!X$6:X$105)+SUMIF(Capacity_Resource,$F57,'Critical resources (hide)'!X$6:X$105)&gt;0,$E$1=2),0,1),0)</f>
        <v>1</v>
      </c>
      <c r="L57" s="67">
        <f ca="1">IF(LOWER(Capacity!$L69)="x",IF(AND(SUMIF(Capacity_Resource,$D57,'Critical resources (hide)'!Y$6:Y$105)+SUMIF(Capacity_Resource,$E57,'Critical resources (hide)'!Y$6:Y$105)+SUMIF(Capacity_Resource,$F57,'Critical resources (hide)'!Y$6:Y$105)&gt;0,$E$1=2),0,1),0)</f>
        <v>1</v>
      </c>
      <c r="M57" s="67">
        <f ca="1">IF(LOWER(Capacity!$L69)="x",IF(AND(SUMIF(Capacity_Resource,$D57,'Critical resources (hide)'!Z$6:Z$105)+SUMIF(Capacity_Resource,$E57,'Critical resources (hide)'!Z$6:Z$105)+SUMIF(Capacity_Resource,$F57,'Critical resources (hide)'!Z$6:Z$105)&gt;0,$E$1=2),0,1),0)</f>
        <v>1</v>
      </c>
      <c r="N57" s="67">
        <f ca="1">IF(LOWER(Capacity!$L69)="x",IF(AND(SUMIF(Capacity_Resource,$D57,'Critical resources (hide)'!AA$6:AA$105)+SUMIF(Capacity_Resource,$E57,'Critical resources (hide)'!AA$6:AA$105)+SUMIF(Capacity_Resource,$F57,'Critical resources (hide)'!AA$6:AA$105)&gt;0,$E$1=2),0,1),0)</f>
        <v>1</v>
      </c>
      <c r="O57" s="67">
        <f ca="1">IF(LOWER(Capacity!$L69)="x",IF(AND(SUMIF(Capacity_Resource,$D57,'Critical resources (hide)'!AB$6:AB$105)+SUMIF(Capacity_Resource,$E57,'Critical resources (hide)'!AB$6:AB$105)+SUMIF(Capacity_Resource,$F57,'Critical resources (hide)'!AB$6:AB$105)&gt;0,$E$1=2),0,1),0)</f>
        <v>1</v>
      </c>
      <c r="P57" s="67">
        <f ca="1">IF(LOWER(Capacity!$L69)="x",IF(AND(SUMIF(Capacity_Resource,$D57,'Critical resources (hide)'!AC$6:AC$105)+SUMIF(Capacity_Resource,$E57,'Critical resources (hide)'!AC$6:AC$105)+SUMIF(Capacity_Resource,$F57,'Critical resources (hide)'!AC$6:AC$105)&gt;0,$E$1=2),0,1),0)</f>
        <v>1</v>
      </c>
      <c r="Q57" s="67">
        <f ca="1">IF(LOWER(Capacity!$L69)="x",IF(AND(SUMIF(Capacity_Resource,$D57,'Critical resources (hide)'!AD$6:AD$105)+SUMIF(Capacity_Resource,$E57,'Critical resources (hide)'!AD$6:AD$105)+SUMIF(Capacity_Resource,$F57,'Critical resources (hide)'!AD$6:AD$105)&gt;0,$E$1=2),0,1),0)</f>
        <v>1</v>
      </c>
      <c r="R57" s="67">
        <f ca="1">IF(LOWER(Capacity!$L69)="x",IF(AND(SUMIF(Capacity_Resource,$D57,'Critical resources (hide)'!AE$6:AE$105)+SUMIF(Capacity_Resource,$E57,'Critical resources (hide)'!AE$6:AE$105)+SUMIF(Capacity_Resource,$F57,'Critical resources (hide)'!AE$6:AE$105)&gt;0,$E$1=2),0,1),0)</f>
        <v>1</v>
      </c>
      <c r="S57" s="67">
        <f ca="1">IF(LOWER(Capacity!$L69)="x",IF(AND(SUMIF(Capacity_Resource,$D57,'Critical resources (hide)'!AF$6:AF$105)+SUMIF(Capacity_Resource,$E57,'Critical resources (hide)'!AF$6:AF$105)+SUMIF(Capacity_Resource,$F57,'Critical resources (hide)'!AF$6:AF$105)&gt;0,$E$1=2),0,1),0)</f>
        <v>1</v>
      </c>
      <c r="T57" s="67">
        <f ca="1">IF(LOWER(Capacity!$L69)="x",IF(AND(SUMIF(Capacity_Resource,$D57,'Critical resources (hide)'!AG$6:AG$105)+SUMIF(Capacity_Resource,$E57,'Critical resources (hide)'!AG$6:AG$105)+SUMIF(Capacity_Resource,$F57,'Critical resources (hide)'!AG$6:AG$105)&gt;0,$E$1=2),0,1),0)</f>
        <v>1</v>
      </c>
      <c r="U57" s="67">
        <f ca="1">IF(LOWER(Capacity!$L69)="x",IF(AND(SUMIF(Capacity_Resource,$D57,'Critical resources (hide)'!AH$6:AH$105)+SUMIF(Capacity_Resource,$E57,'Critical resources (hide)'!AH$6:AH$105)+SUMIF(Capacity_Resource,$F57,'Critical resources (hide)'!AH$6:AH$105)&gt;0,$E$1=2),0,1),0)</f>
        <v>1</v>
      </c>
      <c r="V57" s="67">
        <f ca="1">IF(LOWER(Capacity!$L69)="x",IF(AND(SUMIF(Capacity_Resource,$D57,'Critical resources (hide)'!AI$6:AI$105)+SUMIF(Capacity_Resource,$E57,'Critical resources (hide)'!AI$6:AI$105)+SUMIF(Capacity_Resource,$F57,'Critical resources (hide)'!AI$6:AI$105)&gt;0,$E$1=2),0,1),0)</f>
        <v>1</v>
      </c>
      <c r="W57" s="67">
        <f ca="1">IF(LOWER(Capacity!$L69)="x",IF(AND(SUMIF(Capacity_Resource,$D57,'Critical resources (hide)'!AJ$6:AJ$105)+SUMIF(Capacity_Resource,$E57,'Critical resources (hide)'!AJ$6:AJ$105)+SUMIF(Capacity_Resource,$F57,'Critical resources (hide)'!AJ$6:AJ$105)&gt;0,$E$1=2),0,1),0)</f>
        <v>1</v>
      </c>
      <c r="X57" s="67">
        <f ca="1">IF(LOWER(Capacity!$L69)="x",IF(AND(SUMIF(Capacity_Resource,$D57,'Critical resources (hide)'!AK$6:AK$105)+SUMIF(Capacity_Resource,$E57,'Critical resources (hide)'!AK$6:AK$105)+SUMIF(Capacity_Resource,$F57,'Critical resources (hide)'!AK$6:AK$105)&gt;0,$E$1=2),0,1),0)</f>
        <v>1</v>
      </c>
      <c r="Y57" s="67">
        <f ca="1">IF(LOWER(Capacity!$L69)="x",IF(AND(SUMIF(Capacity_Resource,$D57,'Critical resources (hide)'!AL$6:AL$105)+SUMIF(Capacity_Resource,$E57,'Critical resources (hide)'!AL$6:AL$105)+SUMIF(Capacity_Resource,$F57,'Critical resources (hide)'!AL$6:AL$105)&gt;0,$E$1=2),0,1),0)</f>
        <v>1</v>
      </c>
      <c r="Z57" s="67">
        <f ca="1">IF(LOWER(Capacity!$L69)="x",IF(AND(SUMIF(Capacity_Resource,$D57,'Critical resources (hide)'!AM$6:AM$105)+SUMIF(Capacity_Resource,$E57,'Critical resources (hide)'!AM$6:AM$105)+SUMIF(Capacity_Resource,$F57,'Critical resources (hide)'!AM$6:AM$105)&gt;0,$E$1=2),0,1),0)</f>
        <v>1</v>
      </c>
      <c r="AA57" s="67">
        <f ca="1">IF(LOWER(Capacity!$L69)="x",IF(AND(SUMIF(Capacity_Resource,$D57,'Critical resources (hide)'!AN$6:AN$105)+SUMIF(Capacity_Resource,$E57,'Critical resources (hide)'!AN$6:AN$105)+SUMIF(Capacity_Resource,$F57,'Critical resources (hide)'!AN$6:AN$105)&gt;0,$E$1=2),0,1),0)</f>
        <v>1</v>
      </c>
      <c r="AB57" s="67">
        <f ca="1">IF(LOWER(Capacity!$L69)="x",IF(AND(SUMIF(Capacity_Resource,$D57,'Critical resources (hide)'!AO$6:AO$105)+SUMIF(Capacity_Resource,$E57,'Critical resources (hide)'!AO$6:AO$105)+SUMIF(Capacity_Resource,$F57,'Critical resources (hide)'!AO$6:AO$105)&gt;0,$E$1=2),0,1),0)</f>
        <v>1</v>
      </c>
      <c r="AC57" s="67">
        <f ca="1">IF(LOWER(Capacity!$L69)="x",IF(AND(SUMIF(Capacity_Resource,$D57,'Critical resources (hide)'!AP$6:AP$105)+SUMIF(Capacity_Resource,$E57,'Critical resources (hide)'!AP$6:AP$105)+SUMIF(Capacity_Resource,$F57,'Critical resources (hide)'!AP$6:AP$105)&gt;0,$E$1=2),0,1),0)</f>
        <v>1</v>
      </c>
      <c r="AD57" s="67">
        <f ca="1">IF(LOWER(Capacity!$L69)="x",IF(AND(SUMIF(Capacity_Resource,$D57,'Critical resources (hide)'!AQ$6:AQ$105)+SUMIF(Capacity_Resource,$E57,'Critical resources (hide)'!AQ$6:AQ$105)+SUMIF(Capacity_Resource,$F57,'Critical resources (hide)'!AQ$6:AQ$105)&gt;0,$E$1=2),0,1),0)</f>
        <v>1</v>
      </c>
      <c r="AE57" s="67">
        <f ca="1">IF(LOWER(Capacity!$L69)="x",IF(AND(SUMIF(Capacity_Resource,$D57,'Critical resources (hide)'!AR$6:AR$105)+SUMIF(Capacity_Resource,$E57,'Critical resources (hide)'!AR$6:AR$105)+SUMIF(Capacity_Resource,$F57,'Critical resources (hide)'!AR$6:AR$105)&gt;0,$E$1=2),0,1),0)</f>
        <v>1</v>
      </c>
      <c r="AF57" s="67">
        <f ca="1">IF(LOWER(Capacity!$L69)="x",IF(AND(SUMIF(Capacity_Resource,$D57,'Critical resources (hide)'!AS$6:AS$105)+SUMIF(Capacity_Resource,$E57,'Critical resources (hide)'!AS$6:AS$105)+SUMIF(Capacity_Resource,$F57,'Critical resources (hide)'!AS$6:AS$105)&gt;0,$E$1=2),0,1),0)</f>
        <v>1</v>
      </c>
      <c r="AG57" s="67">
        <f ca="1">IF(LOWER(Capacity!$L69)="x",IF(AND(SUMIF(Capacity_Resource,$D57,'Critical resources (hide)'!AT$6:AT$105)+SUMIF(Capacity_Resource,$E57,'Critical resources (hide)'!AT$6:AT$105)+SUMIF(Capacity_Resource,$F57,'Critical resources (hide)'!AT$6:AT$105)&gt;0,$E$1=2),0,1),0)</f>
        <v>1</v>
      </c>
      <c r="AH57" s="67">
        <f ca="1">IF(LOWER(Capacity!$L69)="x",IF(AND(SUMIF(Capacity_Resource,$D57,'Critical resources (hide)'!AU$6:AU$105)+SUMIF(Capacity_Resource,$E57,'Critical resources (hide)'!AU$6:AU$105)+SUMIF(Capacity_Resource,$F57,'Critical resources (hide)'!AU$6:AU$105)&gt;0,$E$1=2),0,1),0)</f>
        <v>1</v>
      </c>
      <c r="AI57" s="67">
        <f ca="1">IF(LOWER(Capacity!$L69)="x",IF(AND(SUMIF(Capacity_Resource,$D57,'Critical resources (hide)'!AV$6:AV$105)+SUMIF(Capacity_Resource,$E57,'Critical resources (hide)'!AV$6:AV$105)+SUMIF(Capacity_Resource,$F57,'Critical resources (hide)'!AV$6:AV$105)&gt;0,$E$1=2),0,1),0)</f>
        <v>1</v>
      </c>
      <c r="AJ57" s="67">
        <f ca="1">IF(LOWER(Capacity!$L69)="x",IF(AND(SUMIF(Capacity_Resource,$D57,'Critical resources (hide)'!AW$6:AW$105)+SUMIF(Capacity_Resource,$E57,'Critical resources (hide)'!AW$6:AW$105)+SUMIF(Capacity_Resource,$F57,'Critical resources (hide)'!AW$6:AW$105)&gt;0,$E$1=2),0,1),0)</f>
        <v>1</v>
      </c>
      <c r="AK57" s="67">
        <f ca="1">IF(LOWER(Capacity!$L69)="x",IF(AND(SUMIF(Capacity_Resource,$D57,'Critical resources (hide)'!AX$6:AX$105)+SUMIF(Capacity_Resource,$E57,'Critical resources (hide)'!AX$6:AX$105)+SUMIF(Capacity_Resource,$F57,'Critical resources (hide)'!AX$6:AX$105)&gt;0,$E$1=2),0,1),0)</f>
        <v>1</v>
      </c>
      <c r="AL57" s="67">
        <f ca="1">IF(LOWER(Capacity!$L69)="x",IF(AND(SUMIF(Capacity_Resource,$D57,'Critical resources (hide)'!AY$6:AY$105)+SUMIF(Capacity_Resource,$E57,'Critical resources (hide)'!AY$6:AY$105)+SUMIF(Capacity_Resource,$F57,'Critical resources (hide)'!AY$6:AY$105)&gt;0,$E$1=2),0,1),0)</f>
        <v>1</v>
      </c>
      <c r="AM57" s="67">
        <f ca="1">IF(LOWER(Capacity!$L69)="x",IF(AND(SUMIF(Capacity_Resource,$D57,'Critical resources (hide)'!AZ$6:AZ$105)+SUMIF(Capacity_Resource,$E57,'Critical resources (hide)'!AZ$6:AZ$105)+SUMIF(Capacity_Resource,$F57,'Critical resources (hide)'!AZ$6:AZ$105)&gt;0,$E$1=2),0,1),0)</f>
        <v>1</v>
      </c>
      <c r="AN57" s="67">
        <f ca="1">IF(LOWER(Capacity!$L69)="x",IF(AND(SUMIF(Capacity_Resource,$D57,'Critical resources (hide)'!BA$6:BA$105)+SUMIF(Capacity_Resource,$E57,'Critical resources (hide)'!BA$6:BA$105)+SUMIF(Capacity_Resource,$F57,'Critical resources (hide)'!BA$6:BA$105)&gt;0,$E$1=2),0,1),0)</f>
        <v>1</v>
      </c>
      <c r="AO57" s="67">
        <f ca="1">IF(LOWER(Capacity!$L69)="x",IF(AND(SUMIF(Capacity_Resource,$D57,'Critical resources (hide)'!BB$6:BB$105)+SUMIF(Capacity_Resource,$E57,'Critical resources (hide)'!BB$6:BB$105)+SUMIF(Capacity_Resource,$F57,'Critical resources (hide)'!BB$6:BB$105)&gt;0,$E$1=2),0,1),0)</f>
        <v>1</v>
      </c>
      <c r="AP57" s="67">
        <f ca="1">IF(LOWER(Capacity!$L69)="x",IF(AND(SUMIF(Capacity_Resource,$D57,'Critical resources (hide)'!BC$6:BC$105)+SUMIF(Capacity_Resource,$E57,'Critical resources (hide)'!BC$6:BC$105)+SUMIF(Capacity_Resource,$F57,'Critical resources (hide)'!BC$6:BC$105)&gt;0,$E$1=2),0,1),0)</f>
        <v>1</v>
      </c>
      <c r="AQ57" s="67">
        <f ca="1">IF(LOWER(Capacity!$L69)="x",IF(AND(SUMIF(Capacity_Resource,$D57,'Critical resources (hide)'!BD$6:BD$105)+SUMIF(Capacity_Resource,$E57,'Critical resources (hide)'!BD$6:BD$105)+SUMIF(Capacity_Resource,$F57,'Critical resources (hide)'!BD$6:BD$105)&gt;0,$E$1=2),0,1),0)</f>
        <v>1</v>
      </c>
      <c r="AR57" s="67">
        <f ca="1">IF(LOWER(Capacity!$L69)="x",IF(AND(SUMIF(Capacity_Resource,$D57,'Critical resources (hide)'!BE$6:BE$105)+SUMIF(Capacity_Resource,$E57,'Critical resources (hide)'!BE$6:BE$105)+SUMIF(Capacity_Resource,$F57,'Critical resources (hide)'!BE$6:BE$105)&gt;0,$E$1=2),0,1),0)</f>
        <v>1</v>
      </c>
      <c r="AS57" s="67">
        <f ca="1">IF(LOWER(Capacity!$L69)="x",IF(AND(SUMIF(Capacity_Resource,$D57,'Critical resources (hide)'!BF$6:BF$105)+SUMIF(Capacity_Resource,$E57,'Critical resources (hide)'!BF$6:BF$105)+SUMIF(Capacity_Resource,$F57,'Critical resources (hide)'!BF$6:BF$105)&gt;0,$E$1=2),0,1),0)</f>
        <v>1</v>
      </c>
      <c r="AT57" s="67">
        <f ca="1">IF(LOWER(Capacity!$L69)="x",IF(AND(SUMIF(Capacity_Resource,$D57,'Critical resources (hide)'!BG$6:BG$105)+SUMIF(Capacity_Resource,$E57,'Critical resources (hide)'!BG$6:BG$105)+SUMIF(Capacity_Resource,$F57,'Critical resources (hide)'!BG$6:BG$105)&gt;0,$E$1=2),0,1),0)</f>
        <v>1</v>
      </c>
      <c r="AU57" s="67">
        <f ca="1">IF(LOWER(Capacity!$L69)="x",IF(AND(SUMIF(Capacity_Resource,$D57,'Critical resources (hide)'!BH$6:BH$105)+SUMIF(Capacity_Resource,$E57,'Critical resources (hide)'!BH$6:BH$105)+SUMIF(Capacity_Resource,$F57,'Critical resources (hide)'!BH$6:BH$105)&gt;0,$E$1=2),0,1),0)</f>
        <v>1</v>
      </c>
      <c r="AV57" s="67">
        <f ca="1">IF(LOWER(Capacity!$L69)="x",IF(AND(SUMIF(Capacity_Resource,$D57,'Critical resources (hide)'!BI$6:BI$105)+SUMIF(Capacity_Resource,$E57,'Critical resources (hide)'!BI$6:BI$105)+SUMIF(Capacity_Resource,$F57,'Critical resources (hide)'!BI$6:BI$105)&gt;0,$E$1=2),0,1),0)</f>
        <v>1</v>
      </c>
      <c r="AW57" s="67">
        <f ca="1">IF(LOWER(Capacity!$L69)="x",IF(AND(SUMIF(Capacity_Resource,$D57,'Critical resources (hide)'!BJ$6:BJ$105)+SUMIF(Capacity_Resource,$E57,'Critical resources (hide)'!BJ$6:BJ$105)+SUMIF(Capacity_Resource,$F57,'Critical resources (hide)'!BJ$6:BJ$105)&gt;0,$E$1=2),0,1),0)</f>
        <v>1</v>
      </c>
      <c r="AX57" s="67">
        <f ca="1">IF(LOWER(Capacity!$L69)="x",IF(AND(SUMIF(Capacity_Resource,$D57,'Critical resources (hide)'!BK$6:BK$105)+SUMIF(Capacity_Resource,$E57,'Critical resources (hide)'!BK$6:BK$105)+SUMIF(Capacity_Resource,$F57,'Critical resources (hide)'!BK$6:BK$105)&gt;0,$E$1=2),0,1),0)</f>
        <v>1</v>
      </c>
      <c r="AY57" s="67">
        <f ca="1">IF(LOWER(Capacity!$L69)="x",IF(AND(SUMIF(Capacity_Resource,$D57,'Critical resources (hide)'!BL$6:BL$105)+SUMIF(Capacity_Resource,$E57,'Critical resources (hide)'!BL$6:BL$105)+SUMIF(Capacity_Resource,$F57,'Critical resources (hide)'!BL$6:BL$105)&gt;0,$E$1=2),0,1),0)</f>
        <v>1</v>
      </c>
      <c r="AZ57" s="67">
        <f ca="1">IF(LOWER(Capacity!$L69)="x",IF(AND(SUMIF(Capacity_Resource,$D57,'Critical resources (hide)'!BM$6:BM$105)+SUMIF(Capacity_Resource,$E57,'Critical resources (hide)'!BM$6:BM$105)+SUMIF(Capacity_Resource,$F57,'Critical resources (hide)'!BM$6:BM$105)&gt;0,$E$1=2),0,1),0)</f>
        <v>1</v>
      </c>
      <c r="BA57" s="67">
        <f ca="1">IF(LOWER(Capacity!$L69)="x",IF(AND(SUMIF(Capacity_Resource,$D57,'Critical resources (hide)'!BN$6:BN$105)+SUMIF(Capacity_Resource,$E57,'Critical resources (hide)'!BN$6:BN$105)+SUMIF(Capacity_Resource,$F57,'Critical resources (hide)'!BN$6:BN$105)&gt;0,$E$1=2),0,1),0)</f>
        <v>1</v>
      </c>
      <c r="BB57" s="67">
        <f ca="1">IF(LOWER(Capacity!$L69)="x",IF(AND(SUMIF(Capacity_Resource,$D57,'Critical resources (hide)'!BO$6:BO$105)+SUMIF(Capacity_Resource,$E57,'Critical resources (hide)'!BO$6:BO$105)+SUMIF(Capacity_Resource,$F57,'Critical resources (hide)'!BO$6:BO$105)&gt;0,$E$1=2),0,1),0)</f>
        <v>1</v>
      </c>
      <c r="BC57" s="67">
        <f ca="1">IF(LOWER(Capacity!$L69)="x",IF(AND(SUMIF(Capacity_Resource,$D57,'Critical resources (hide)'!BP$6:BP$105)+SUMIF(Capacity_Resource,$E57,'Critical resources (hide)'!BP$6:BP$105)+SUMIF(Capacity_Resource,$F57,'Critical resources (hide)'!BP$6:BP$105)&gt;0,$E$1=2),0,1),0)</f>
        <v>1</v>
      </c>
      <c r="BD57" s="67">
        <f ca="1">IF(LOWER(Capacity!$L69)="x",IF(AND(SUMIF(Capacity_Resource,$D57,'Critical resources (hide)'!BQ$6:BQ$105)+SUMIF(Capacity_Resource,$E57,'Critical resources (hide)'!BQ$6:BQ$105)+SUMIF(Capacity_Resource,$F57,'Critical resources (hide)'!BQ$6:BQ$105)&gt;0,$E$1=2),0,1),0)</f>
        <v>1</v>
      </c>
      <c r="BE57" s="67">
        <f ca="1">IF(LOWER(Capacity!$L69)="x",IF(AND(SUMIF(Capacity_Resource,$D57,'Critical resources (hide)'!BR$6:BR$105)+SUMIF(Capacity_Resource,$E57,'Critical resources (hide)'!BR$6:BR$105)+SUMIF(Capacity_Resource,$F57,'Critical resources (hide)'!BR$6:BR$105)&gt;0,$E$1=2),0,1),0)</f>
        <v>1</v>
      </c>
      <c r="BF57" s="67">
        <f ca="1">IF(LOWER(Capacity!$L69)="x",IF(AND(SUMIF(Capacity_Resource,$D57,'Critical resources (hide)'!BS$6:BS$105)+SUMIF(Capacity_Resource,$E57,'Critical resources (hide)'!BS$6:BS$105)+SUMIF(Capacity_Resource,$F57,'Critical resources (hide)'!BS$6:BS$105)&gt;0,$E$1=2),0,1),0)</f>
        <v>1</v>
      </c>
      <c r="BG57" s="67">
        <f ca="1">IF(LOWER(Capacity!$L69)="x",IF(AND(SUMIF(Capacity_Resource,$D57,'Critical resources (hide)'!BT$6:BT$105)+SUMIF(Capacity_Resource,$E57,'Critical resources (hide)'!BT$6:BT$105)+SUMIF(Capacity_Resource,$F57,'Critical resources (hide)'!BT$6:BT$105)&gt;0,$E$1=2),0,1),0)</f>
        <v>1</v>
      </c>
      <c r="BH57" s="67">
        <f>IF(ROW(C53)&lt;=Capacity!$A$16,IF('Capacity summary'!$D$14="No",SUM(H57:BG57),'Capacity summary'!$E176),0)</f>
        <v>0</v>
      </c>
      <c r="BI57" s="5" t="str">
        <f>IF(BH57&gt;0,IF(BH57&lt;Capacity!E69,Capacity!F69,Capacity!H69/'Capacity calculation (hide)'!BH57),"")</f>
        <v/>
      </c>
      <c r="BK57" s="311">
        <f>IF($BI57&lt;&gt;"",IF('Capacity summary'!$D$14="Yes",IF(COUNTBLANK('Capacity summary'!$H176:$BG176)&lt;52,IF('Capacity summary'!H176&lt;&gt;"",IF(LOWER('Capacity summary'!H176)="x",$BI57*H57,VALUE('Capacity summary'!H176)),0),H57*$BI57),H57*$BI57),0)</f>
        <v>0</v>
      </c>
      <c r="BL57" s="311">
        <f>IF($BI57&lt;&gt;"",IF('Capacity summary'!$D$14="Yes",IF(COUNTBLANK('Capacity summary'!$H176:$BG176)&lt;52,IF('Capacity summary'!I176&lt;&gt;"",IF(LOWER('Capacity summary'!I176)="x",$BI57*I57,VALUE('Capacity summary'!I176)),0),I57*$BI57),I57*$BI57),0)</f>
        <v>0</v>
      </c>
      <c r="BM57" s="311">
        <f>IF($BI57&lt;&gt;"",IF('Capacity summary'!$D$14="Yes",IF(COUNTBLANK('Capacity summary'!$H176:$BG176)&lt;52,IF('Capacity summary'!J176&lt;&gt;"",IF(LOWER('Capacity summary'!J176)="x",$BI57*J57,VALUE('Capacity summary'!J176)),0),J57*$BI57),J57*$BI57),0)</f>
        <v>0</v>
      </c>
      <c r="BN57" s="311">
        <f>IF($BI57&lt;&gt;"",IF('Capacity summary'!$D$14="Yes",IF(COUNTBLANK('Capacity summary'!$H176:$BG176)&lt;52,IF('Capacity summary'!K176&lt;&gt;"",IF(LOWER('Capacity summary'!K176)="x",$BI57*K57,VALUE('Capacity summary'!K176)),0),K57*$BI57),K57*$BI57),0)</f>
        <v>0</v>
      </c>
      <c r="BO57" s="311">
        <f>IF($BI57&lt;&gt;"",IF('Capacity summary'!$D$14="Yes",IF(COUNTBLANK('Capacity summary'!$H176:$BG176)&lt;52,IF('Capacity summary'!L176&lt;&gt;"",IF(LOWER('Capacity summary'!L176)="x",$BI57*L57,VALUE('Capacity summary'!L176)),0),L57*$BI57),L57*$BI57),0)</f>
        <v>0</v>
      </c>
      <c r="BP57" s="311">
        <f>IF($BI57&lt;&gt;"",IF('Capacity summary'!$D$14="Yes",IF(COUNTBLANK('Capacity summary'!$H176:$BG176)&lt;52,IF('Capacity summary'!M176&lt;&gt;"",IF(LOWER('Capacity summary'!M176)="x",$BI57*M57,VALUE('Capacity summary'!M176)),0),M57*$BI57),M57*$BI57),0)</f>
        <v>0</v>
      </c>
      <c r="BQ57" s="311">
        <f>IF($BI57&lt;&gt;"",IF('Capacity summary'!$D$14="Yes",IF(COUNTBLANK('Capacity summary'!$H176:$BG176)&lt;52,IF('Capacity summary'!N176&lt;&gt;"",IF(LOWER('Capacity summary'!N176)="x",$BI57*N57,VALUE('Capacity summary'!N176)),0),N57*$BI57),N57*$BI57),0)</f>
        <v>0</v>
      </c>
      <c r="BR57" s="311">
        <f>IF($BI57&lt;&gt;"",IF('Capacity summary'!$D$14="Yes",IF(COUNTBLANK('Capacity summary'!$H176:$BG176)&lt;52,IF('Capacity summary'!O176&lt;&gt;"",IF(LOWER('Capacity summary'!O176)="x",$BI57*O57,VALUE('Capacity summary'!O176)),0),O57*$BI57),O57*$BI57),0)</f>
        <v>0</v>
      </c>
      <c r="BS57" s="311">
        <f>IF($BI57&lt;&gt;"",IF('Capacity summary'!$D$14="Yes",IF(COUNTBLANK('Capacity summary'!$H176:$BG176)&lt;52,IF('Capacity summary'!P176&lt;&gt;"",IF(LOWER('Capacity summary'!P176)="x",$BI57*P57,VALUE('Capacity summary'!P176)),0),P57*$BI57),P57*$BI57),0)</f>
        <v>0</v>
      </c>
      <c r="BT57" s="311">
        <f>IF($BI57&lt;&gt;"",IF('Capacity summary'!$D$14="Yes",IF(COUNTBLANK('Capacity summary'!$H176:$BG176)&lt;52,IF('Capacity summary'!Q176&lt;&gt;"",IF(LOWER('Capacity summary'!Q176)="x",$BI57*Q57,VALUE('Capacity summary'!Q176)),0),Q57*$BI57),Q57*$BI57),0)</f>
        <v>0</v>
      </c>
      <c r="BU57" s="311">
        <f>IF($BI57&lt;&gt;"",IF('Capacity summary'!$D$14="Yes",IF(COUNTBLANK('Capacity summary'!$H176:$BG176)&lt;52,IF('Capacity summary'!R176&lt;&gt;"",IF(LOWER('Capacity summary'!R176)="x",$BI57*R57,VALUE('Capacity summary'!R176)),0),R57*$BI57),R57*$BI57),0)</f>
        <v>0</v>
      </c>
      <c r="BV57" s="311">
        <f>IF($BI57&lt;&gt;"",IF('Capacity summary'!$D$14="Yes",IF(COUNTBLANK('Capacity summary'!$H176:$BG176)&lt;52,IF('Capacity summary'!S176&lt;&gt;"",IF(LOWER('Capacity summary'!S176)="x",$BI57*S57,VALUE('Capacity summary'!S176)),0),S57*$BI57),S57*$BI57),0)</f>
        <v>0</v>
      </c>
      <c r="BW57" s="311">
        <f>IF($BI57&lt;&gt;"",IF('Capacity summary'!$D$14="Yes",IF(COUNTBLANK('Capacity summary'!$H176:$BG176)&lt;52,IF('Capacity summary'!T176&lt;&gt;"",IF(LOWER('Capacity summary'!T176)="x",$BI57*T57,VALUE('Capacity summary'!T176)),0),T57*$BI57),T57*$BI57),0)</f>
        <v>0</v>
      </c>
      <c r="BX57" s="311">
        <f>IF($BI57&lt;&gt;"",IF('Capacity summary'!$D$14="Yes",IF(COUNTBLANK('Capacity summary'!$H176:$BG176)&lt;52,IF('Capacity summary'!U176&lt;&gt;"",IF(LOWER('Capacity summary'!U176)="x",$BI57*U57,VALUE('Capacity summary'!U176)),0),U57*$BI57),U57*$BI57),0)</f>
        <v>0</v>
      </c>
      <c r="BY57" s="311">
        <f>IF($BI57&lt;&gt;"",IF('Capacity summary'!$D$14="Yes",IF(COUNTBLANK('Capacity summary'!$H176:$BG176)&lt;52,IF('Capacity summary'!V176&lt;&gt;"",IF(LOWER('Capacity summary'!V176)="x",$BI57*V57,VALUE('Capacity summary'!V176)),0),V57*$BI57),V57*$BI57),0)</f>
        <v>0</v>
      </c>
      <c r="BZ57" s="311">
        <f>IF($BI57&lt;&gt;"",IF('Capacity summary'!$D$14="Yes",IF(COUNTBLANK('Capacity summary'!$H176:$BG176)&lt;52,IF('Capacity summary'!W176&lt;&gt;"",IF(LOWER('Capacity summary'!W176)="x",$BI57*W57,VALUE('Capacity summary'!W176)),0),W57*$BI57),W57*$BI57),0)</f>
        <v>0</v>
      </c>
      <c r="CA57" s="311">
        <f>IF($BI57&lt;&gt;"",IF('Capacity summary'!$D$14="Yes",IF(COUNTBLANK('Capacity summary'!$H176:$BG176)&lt;52,IF('Capacity summary'!X176&lt;&gt;"",IF(LOWER('Capacity summary'!X176)="x",$BI57*X57,VALUE('Capacity summary'!X176)),0),X57*$BI57),X57*$BI57),0)</f>
        <v>0</v>
      </c>
      <c r="CB57" s="311">
        <f>IF($BI57&lt;&gt;"",IF('Capacity summary'!$D$14="Yes",IF(COUNTBLANK('Capacity summary'!$H176:$BG176)&lt;52,IF('Capacity summary'!Y176&lt;&gt;"",IF(LOWER('Capacity summary'!Y176)="x",$BI57*Y57,VALUE('Capacity summary'!Y176)),0),Y57*$BI57),Y57*$BI57),0)</f>
        <v>0</v>
      </c>
      <c r="CC57" s="311">
        <f>IF($BI57&lt;&gt;"",IF('Capacity summary'!$D$14="Yes",IF(COUNTBLANK('Capacity summary'!$H176:$BG176)&lt;52,IF('Capacity summary'!Z176&lt;&gt;"",IF(LOWER('Capacity summary'!Z176)="x",$BI57*Z57,VALUE('Capacity summary'!Z176)),0),Z57*$BI57),Z57*$BI57),0)</f>
        <v>0</v>
      </c>
      <c r="CD57" s="311">
        <f>IF($BI57&lt;&gt;"",IF('Capacity summary'!$D$14="Yes",IF(COUNTBLANK('Capacity summary'!$H176:$BG176)&lt;52,IF('Capacity summary'!AA176&lt;&gt;"",IF(LOWER('Capacity summary'!AA176)="x",$BI57*AA57,VALUE('Capacity summary'!AA176)),0),AA57*$BI57),AA57*$BI57),0)</f>
        <v>0</v>
      </c>
      <c r="CE57" s="311">
        <f>IF($BI57&lt;&gt;"",IF('Capacity summary'!$D$14="Yes",IF(COUNTBLANK('Capacity summary'!$H176:$BG176)&lt;52,IF('Capacity summary'!AB176&lt;&gt;"",IF(LOWER('Capacity summary'!AB176)="x",$BI57*AB57,VALUE('Capacity summary'!AB176)),0),AB57*$BI57),AB57*$BI57),0)</f>
        <v>0</v>
      </c>
      <c r="CF57" s="311">
        <f>IF($BI57&lt;&gt;"",IF('Capacity summary'!$D$14="Yes",IF(COUNTBLANK('Capacity summary'!$H176:$BG176)&lt;52,IF('Capacity summary'!AC176&lt;&gt;"",IF(LOWER('Capacity summary'!AC176)="x",$BI57*AC57,VALUE('Capacity summary'!AC176)),0),AC57*$BI57),AC57*$BI57),0)</f>
        <v>0</v>
      </c>
      <c r="CG57" s="311">
        <f>IF($BI57&lt;&gt;"",IF('Capacity summary'!$D$14="Yes",IF(COUNTBLANK('Capacity summary'!$H176:$BG176)&lt;52,IF('Capacity summary'!AD176&lt;&gt;"",IF(LOWER('Capacity summary'!AD176)="x",$BI57*AD57,VALUE('Capacity summary'!AD176)),0),AD57*$BI57),AD57*$BI57),0)</f>
        <v>0</v>
      </c>
      <c r="CH57" s="311">
        <f>IF($BI57&lt;&gt;"",IF('Capacity summary'!$D$14="Yes",IF(COUNTBLANK('Capacity summary'!$H176:$BG176)&lt;52,IF('Capacity summary'!AE176&lt;&gt;"",IF(LOWER('Capacity summary'!AE176)="x",$BI57*AE57,VALUE('Capacity summary'!AE176)),0),AE57*$BI57),AE57*$BI57),0)</f>
        <v>0</v>
      </c>
      <c r="CI57" s="311">
        <f>IF($BI57&lt;&gt;"",IF('Capacity summary'!$D$14="Yes",IF(COUNTBLANK('Capacity summary'!$H176:$BG176)&lt;52,IF('Capacity summary'!AF176&lt;&gt;"",IF(LOWER('Capacity summary'!AF176)="x",$BI57*AF57,VALUE('Capacity summary'!AF176)),0),AF57*$BI57),AF57*$BI57),0)</f>
        <v>0</v>
      </c>
      <c r="CJ57" s="311">
        <f>IF($BI57&lt;&gt;"",IF('Capacity summary'!$D$14="Yes",IF(COUNTBLANK('Capacity summary'!$H176:$BG176)&lt;52,IF('Capacity summary'!AG176&lt;&gt;"",IF(LOWER('Capacity summary'!AG176)="x",$BI57*AG57,VALUE('Capacity summary'!AG176)),0),AG57*$BI57),AG57*$BI57),0)</f>
        <v>0</v>
      </c>
      <c r="CK57" s="311">
        <f>IF($BI57&lt;&gt;"",IF('Capacity summary'!$D$14="Yes",IF(COUNTBLANK('Capacity summary'!$H176:$BG176)&lt;52,IF('Capacity summary'!AH176&lt;&gt;"",IF(LOWER('Capacity summary'!AH176)="x",$BI57*AH57,VALUE('Capacity summary'!AH176)),0),AH57*$BI57),AH57*$BI57),0)</f>
        <v>0</v>
      </c>
      <c r="CL57" s="311">
        <f>IF($BI57&lt;&gt;"",IF('Capacity summary'!$D$14="Yes",IF(COUNTBLANK('Capacity summary'!$H176:$BG176)&lt;52,IF('Capacity summary'!AI176&lt;&gt;"",IF(LOWER('Capacity summary'!AI176)="x",$BI57*AI57,VALUE('Capacity summary'!AI176)),0),AI57*$BI57),AI57*$BI57),0)</f>
        <v>0</v>
      </c>
      <c r="CM57" s="311">
        <f>IF($BI57&lt;&gt;"",IF('Capacity summary'!$D$14="Yes",IF(COUNTBLANK('Capacity summary'!$H176:$BG176)&lt;52,IF('Capacity summary'!AJ176&lt;&gt;"",IF(LOWER('Capacity summary'!AJ176)="x",$BI57*AJ57,VALUE('Capacity summary'!AJ176)),0),AJ57*$BI57),AJ57*$BI57),0)</f>
        <v>0</v>
      </c>
      <c r="CN57" s="311">
        <f>IF($BI57&lt;&gt;"",IF('Capacity summary'!$D$14="Yes",IF(COUNTBLANK('Capacity summary'!$H176:$BG176)&lt;52,IF('Capacity summary'!AK176&lt;&gt;"",IF(LOWER('Capacity summary'!AK176)="x",$BI57*AK57,VALUE('Capacity summary'!AK176)),0),AK57*$BI57),AK57*$BI57),0)</f>
        <v>0</v>
      </c>
      <c r="CO57" s="311">
        <f>IF($BI57&lt;&gt;"",IF('Capacity summary'!$D$14="Yes",IF(COUNTBLANK('Capacity summary'!$H176:$BG176)&lt;52,IF('Capacity summary'!AL176&lt;&gt;"",IF(LOWER('Capacity summary'!AL176)="x",$BI57*AL57,VALUE('Capacity summary'!AL176)),0),AL57*$BI57),AL57*$BI57),0)</f>
        <v>0</v>
      </c>
      <c r="CP57" s="311">
        <f>IF($BI57&lt;&gt;"",IF('Capacity summary'!$D$14="Yes",IF(COUNTBLANK('Capacity summary'!$H176:$BG176)&lt;52,IF('Capacity summary'!AM176&lt;&gt;"",IF(LOWER('Capacity summary'!AM176)="x",$BI57*AM57,VALUE('Capacity summary'!AM176)),0),AM57*$BI57),AM57*$BI57),0)</f>
        <v>0</v>
      </c>
      <c r="CQ57" s="311">
        <f>IF($BI57&lt;&gt;"",IF('Capacity summary'!$D$14="Yes",IF(COUNTBLANK('Capacity summary'!$H176:$BG176)&lt;52,IF('Capacity summary'!AN176&lt;&gt;"",IF(LOWER('Capacity summary'!AN176)="x",$BI57*AN57,VALUE('Capacity summary'!AN176)),0),AN57*$BI57),AN57*$BI57),0)</f>
        <v>0</v>
      </c>
      <c r="CR57" s="311">
        <f>IF($BI57&lt;&gt;"",IF('Capacity summary'!$D$14="Yes",IF(COUNTBLANK('Capacity summary'!$H176:$BG176)&lt;52,IF('Capacity summary'!AO176&lt;&gt;"",IF(LOWER('Capacity summary'!AO176)="x",$BI57*AO57,VALUE('Capacity summary'!AO176)),0),AO57*$BI57),AO57*$BI57),0)</f>
        <v>0</v>
      </c>
      <c r="CS57" s="311">
        <f>IF($BI57&lt;&gt;"",IF('Capacity summary'!$D$14="Yes",IF(COUNTBLANK('Capacity summary'!$H176:$BG176)&lt;52,IF('Capacity summary'!AP176&lt;&gt;"",IF(LOWER('Capacity summary'!AP176)="x",$BI57*AP57,VALUE('Capacity summary'!AP176)),0),AP57*$BI57),AP57*$BI57),0)</f>
        <v>0</v>
      </c>
      <c r="CT57" s="311">
        <f>IF($BI57&lt;&gt;"",IF('Capacity summary'!$D$14="Yes",IF(COUNTBLANK('Capacity summary'!$H176:$BG176)&lt;52,IF('Capacity summary'!AQ176&lt;&gt;"",IF(LOWER('Capacity summary'!AQ176)="x",$BI57*AQ57,VALUE('Capacity summary'!AQ176)),0),AQ57*$BI57),AQ57*$BI57),0)</f>
        <v>0</v>
      </c>
      <c r="CU57" s="311">
        <f>IF($BI57&lt;&gt;"",IF('Capacity summary'!$D$14="Yes",IF(COUNTBLANK('Capacity summary'!$H176:$BG176)&lt;52,IF('Capacity summary'!AR176&lt;&gt;"",IF(LOWER('Capacity summary'!AR176)="x",$BI57*AR57,VALUE('Capacity summary'!AR176)),0),AR57*$BI57),AR57*$BI57),0)</f>
        <v>0</v>
      </c>
      <c r="CV57" s="311">
        <f>IF($BI57&lt;&gt;"",IF('Capacity summary'!$D$14="Yes",IF(COUNTBLANK('Capacity summary'!$H176:$BG176)&lt;52,IF('Capacity summary'!AS176&lt;&gt;"",IF(LOWER('Capacity summary'!AS176)="x",$BI57*AS57,VALUE('Capacity summary'!AS176)),0),AS57*$BI57),AS57*$BI57),0)</f>
        <v>0</v>
      </c>
      <c r="CW57" s="311">
        <f>IF($BI57&lt;&gt;"",IF('Capacity summary'!$D$14="Yes",IF(COUNTBLANK('Capacity summary'!$H176:$BG176)&lt;52,IF('Capacity summary'!AT176&lt;&gt;"",IF(LOWER('Capacity summary'!AT176)="x",$BI57*AT57,VALUE('Capacity summary'!AT176)),0),AT57*$BI57),AT57*$BI57),0)</f>
        <v>0</v>
      </c>
      <c r="CX57" s="311">
        <f>IF($BI57&lt;&gt;"",IF('Capacity summary'!$D$14="Yes",IF(COUNTBLANK('Capacity summary'!$H176:$BG176)&lt;52,IF('Capacity summary'!AU176&lt;&gt;"",IF(LOWER('Capacity summary'!AU176)="x",$BI57*AU57,VALUE('Capacity summary'!AU176)),0),AU57*$BI57),AU57*$BI57),0)</f>
        <v>0</v>
      </c>
      <c r="CY57" s="311">
        <f>IF($BI57&lt;&gt;"",IF('Capacity summary'!$D$14="Yes",IF(COUNTBLANK('Capacity summary'!$H176:$BG176)&lt;52,IF('Capacity summary'!AV176&lt;&gt;"",IF(LOWER('Capacity summary'!AV176)="x",$BI57*AV57,VALUE('Capacity summary'!AV176)),0),AV57*$BI57),AV57*$BI57),0)</f>
        <v>0</v>
      </c>
      <c r="CZ57" s="311">
        <f>IF($BI57&lt;&gt;"",IF('Capacity summary'!$D$14="Yes",IF(COUNTBLANK('Capacity summary'!$H176:$BG176)&lt;52,IF('Capacity summary'!AW176&lt;&gt;"",IF(LOWER('Capacity summary'!AW176)="x",$BI57*AW57,VALUE('Capacity summary'!AW176)),0),AW57*$BI57),AW57*$BI57),0)</f>
        <v>0</v>
      </c>
      <c r="DA57" s="311">
        <f>IF($BI57&lt;&gt;"",IF('Capacity summary'!$D$14="Yes",IF(COUNTBLANK('Capacity summary'!$H176:$BG176)&lt;52,IF('Capacity summary'!AX176&lt;&gt;"",IF(LOWER('Capacity summary'!AX176)="x",$BI57*AX57,VALUE('Capacity summary'!AX176)),0),AX57*$BI57),AX57*$BI57),0)</f>
        <v>0</v>
      </c>
      <c r="DB57" s="311">
        <f>IF($BI57&lt;&gt;"",IF('Capacity summary'!$D$14="Yes",IF(COUNTBLANK('Capacity summary'!$H176:$BG176)&lt;52,IF('Capacity summary'!AY176&lt;&gt;"",IF(LOWER('Capacity summary'!AY176)="x",$BI57*AY57,VALUE('Capacity summary'!AY176)),0),AY57*$BI57),AY57*$BI57),0)</f>
        <v>0</v>
      </c>
      <c r="DC57" s="311">
        <f>IF($BI57&lt;&gt;"",IF('Capacity summary'!$D$14="Yes",IF(COUNTBLANK('Capacity summary'!$H176:$BG176)&lt;52,IF('Capacity summary'!AZ176&lt;&gt;"",IF(LOWER('Capacity summary'!AZ176)="x",$BI57*AZ57,VALUE('Capacity summary'!AZ176)),0),AZ57*$BI57),AZ57*$BI57),0)</f>
        <v>0</v>
      </c>
      <c r="DD57" s="311">
        <f>IF($BI57&lt;&gt;"",IF('Capacity summary'!$D$14="Yes",IF(COUNTBLANK('Capacity summary'!$H176:$BG176)&lt;52,IF('Capacity summary'!BA176&lt;&gt;"",IF(LOWER('Capacity summary'!BA176)="x",$BI57*BA57,VALUE('Capacity summary'!BA176)),0),BA57*$BI57),BA57*$BI57),0)</f>
        <v>0</v>
      </c>
      <c r="DE57" s="311">
        <f>IF($BI57&lt;&gt;"",IF('Capacity summary'!$D$14="Yes",IF(COUNTBLANK('Capacity summary'!$H176:$BG176)&lt;52,IF('Capacity summary'!BB176&lt;&gt;"",IF(LOWER('Capacity summary'!BB176)="x",$BI57*BB57,VALUE('Capacity summary'!BB176)),0),BB57*$BI57),BB57*$BI57),0)</f>
        <v>0</v>
      </c>
      <c r="DF57" s="311">
        <f>IF($BI57&lt;&gt;"",IF('Capacity summary'!$D$14="Yes",IF(COUNTBLANK('Capacity summary'!$H176:$BG176)&lt;52,IF('Capacity summary'!BC176&lt;&gt;"",IF(LOWER('Capacity summary'!BC176)="x",$BI57*BC57,VALUE('Capacity summary'!BC176)),0),BC57*$BI57),BC57*$BI57),0)</f>
        <v>0</v>
      </c>
      <c r="DG57" s="311">
        <f>IF($BI57&lt;&gt;"",IF('Capacity summary'!$D$14="Yes",IF(COUNTBLANK('Capacity summary'!$H176:$BG176)&lt;52,IF('Capacity summary'!BD176&lt;&gt;"",IF(LOWER('Capacity summary'!BD176)="x",$BI57*BD57,VALUE('Capacity summary'!BD176)),0),BD57*$BI57),BD57*$BI57),0)</f>
        <v>0</v>
      </c>
      <c r="DH57" s="311">
        <f>IF($BI57&lt;&gt;"",IF('Capacity summary'!$D$14="Yes",IF(COUNTBLANK('Capacity summary'!$H176:$BG176)&lt;52,IF('Capacity summary'!BE176&lt;&gt;"",IF(LOWER('Capacity summary'!BE176)="x",$BI57*BE57,VALUE('Capacity summary'!BE176)),0),BE57*$BI57),BE57*$BI57),0)</f>
        <v>0</v>
      </c>
      <c r="DI57" s="311">
        <f>IF($BI57&lt;&gt;"",IF('Capacity summary'!$D$14="Yes",IF(COUNTBLANK('Capacity summary'!$H176:$BG176)&lt;52,IF('Capacity summary'!BF176&lt;&gt;"",IF(LOWER('Capacity summary'!BF176)="x",$BI57*BF57,VALUE('Capacity summary'!BF176)),0),BF57*$BI57),BF57*$BI57),0)</f>
        <v>0</v>
      </c>
      <c r="DJ57" s="311">
        <f>IF($BI57&lt;&gt;"",IF('Capacity summary'!$D$14="Yes",IF(COUNTBLANK('Capacity summary'!$H176:$BG176)&lt;52,IF('Capacity summary'!BG176&lt;&gt;"",IF(LOWER('Capacity summary'!BG176)="x",$BI57*BG57,VALUE('Capacity summary'!BG176)),0),BG57*$BI57),BG57*$BI57),0)</f>
        <v>0</v>
      </c>
      <c r="DK57" s="391">
        <f t="shared" si="2"/>
        <v>0</v>
      </c>
      <c r="DL57" s="136">
        <f t="shared" si="3"/>
        <v>0</v>
      </c>
      <c r="DM57" s="311" t="str">
        <f>Capacity!H69</f>
        <v/>
      </c>
    </row>
    <row r="58" spans="1:121" x14ac:dyDescent="0.2">
      <c r="A58" s="67">
        <f>IF(Capacity!L70='Capacity summary'!BI177,1,0)</f>
        <v>1</v>
      </c>
      <c r="B58" s="67">
        <f>IF(Capacity!V70='Capacity summary'!BI77,1,0)</f>
        <v>1</v>
      </c>
      <c r="C58" s="67" t="str">
        <f>ROW(A54)&amp;". "&amp;Capacity!B70</f>
        <v xml:space="preserve">54. </v>
      </c>
      <c r="D58" s="67">
        <f>'Capacity setup'!C65</f>
        <v>0</v>
      </c>
      <c r="E58" s="67">
        <f>'Capacity setup'!D65</f>
        <v>0</v>
      </c>
      <c r="F58" s="67">
        <f>'Capacity setup'!E65</f>
        <v>0</v>
      </c>
      <c r="H58" s="67">
        <f ca="1">IF(LOWER(Capacity!$L70)="x",IF(AND(SUMIF(Capacity_Resource,$D58,'Critical resources (hide)'!U$6:U$105)+SUMIF(Capacity_Resource,$E58,'Critical resources (hide)'!U$6:U$105)+SUMIF(Capacity_Resource,$F58,'Critical resources (hide)'!U$6:U$105)&gt;0,$E$1=2),0,1),0)</f>
        <v>1</v>
      </c>
      <c r="I58" s="67">
        <f ca="1">IF(LOWER(Capacity!$L70)="x",IF(AND(SUMIF(Capacity_Resource,$D58,'Critical resources (hide)'!V$6:V$105)+SUMIF(Capacity_Resource,$E58,'Critical resources (hide)'!V$6:V$105)+SUMIF(Capacity_Resource,$F58,'Critical resources (hide)'!V$6:V$105)&gt;0,$E$1=2),0,1),0)</f>
        <v>1</v>
      </c>
      <c r="J58" s="67">
        <f ca="1">IF(LOWER(Capacity!$L70)="x",IF(AND(SUMIF(Capacity_Resource,$D58,'Critical resources (hide)'!W$6:W$105)+SUMIF(Capacity_Resource,$E58,'Critical resources (hide)'!W$6:W$105)+SUMIF(Capacity_Resource,$F58,'Critical resources (hide)'!W$6:W$105)&gt;0,$E$1=2),0,1),0)</f>
        <v>1</v>
      </c>
      <c r="K58" s="67">
        <f ca="1">IF(LOWER(Capacity!$L70)="x",IF(AND(SUMIF(Capacity_Resource,$D58,'Critical resources (hide)'!X$6:X$105)+SUMIF(Capacity_Resource,$E58,'Critical resources (hide)'!X$6:X$105)+SUMIF(Capacity_Resource,$F58,'Critical resources (hide)'!X$6:X$105)&gt;0,$E$1=2),0,1),0)</f>
        <v>1</v>
      </c>
      <c r="L58" s="67">
        <f ca="1">IF(LOWER(Capacity!$L70)="x",IF(AND(SUMIF(Capacity_Resource,$D58,'Critical resources (hide)'!Y$6:Y$105)+SUMIF(Capacity_Resource,$E58,'Critical resources (hide)'!Y$6:Y$105)+SUMIF(Capacity_Resource,$F58,'Critical resources (hide)'!Y$6:Y$105)&gt;0,$E$1=2),0,1),0)</f>
        <v>1</v>
      </c>
      <c r="M58" s="67">
        <f ca="1">IF(LOWER(Capacity!$L70)="x",IF(AND(SUMIF(Capacity_Resource,$D58,'Critical resources (hide)'!Z$6:Z$105)+SUMIF(Capacity_Resource,$E58,'Critical resources (hide)'!Z$6:Z$105)+SUMIF(Capacity_Resource,$F58,'Critical resources (hide)'!Z$6:Z$105)&gt;0,$E$1=2),0,1),0)</f>
        <v>1</v>
      </c>
      <c r="N58" s="67">
        <f ca="1">IF(LOWER(Capacity!$L70)="x",IF(AND(SUMIF(Capacity_Resource,$D58,'Critical resources (hide)'!AA$6:AA$105)+SUMIF(Capacity_Resource,$E58,'Critical resources (hide)'!AA$6:AA$105)+SUMIF(Capacity_Resource,$F58,'Critical resources (hide)'!AA$6:AA$105)&gt;0,$E$1=2),0,1),0)</f>
        <v>1</v>
      </c>
      <c r="O58" s="67">
        <f ca="1">IF(LOWER(Capacity!$L70)="x",IF(AND(SUMIF(Capacity_Resource,$D58,'Critical resources (hide)'!AB$6:AB$105)+SUMIF(Capacity_Resource,$E58,'Critical resources (hide)'!AB$6:AB$105)+SUMIF(Capacity_Resource,$F58,'Critical resources (hide)'!AB$6:AB$105)&gt;0,$E$1=2),0,1),0)</f>
        <v>1</v>
      </c>
      <c r="P58" s="67">
        <f ca="1">IF(LOWER(Capacity!$L70)="x",IF(AND(SUMIF(Capacity_Resource,$D58,'Critical resources (hide)'!AC$6:AC$105)+SUMIF(Capacity_Resource,$E58,'Critical resources (hide)'!AC$6:AC$105)+SUMIF(Capacity_Resource,$F58,'Critical resources (hide)'!AC$6:AC$105)&gt;0,$E$1=2),0,1),0)</f>
        <v>1</v>
      </c>
      <c r="Q58" s="67">
        <f ca="1">IF(LOWER(Capacity!$L70)="x",IF(AND(SUMIF(Capacity_Resource,$D58,'Critical resources (hide)'!AD$6:AD$105)+SUMIF(Capacity_Resource,$E58,'Critical resources (hide)'!AD$6:AD$105)+SUMIF(Capacity_Resource,$F58,'Critical resources (hide)'!AD$6:AD$105)&gt;0,$E$1=2),0,1),0)</f>
        <v>1</v>
      </c>
      <c r="R58" s="67">
        <f ca="1">IF(LOWER(Capacity!$L70)="x",IF(AND(SUMIF(Capacity_Resource,$D58,'Critical resources (hide)'!AE$6:AE$105)+SUMIF(Capacity_Resource,$E58,'Critical resources (hide)'!AE$6:AE$105)+SUMIF(Capacity_Resource,$F58,'Critical resources (hide)'!AE$6:AE$105)&gt;0,$E$1=2),0,1),0)</f>
        <v>1</v>
      </c>
      <c r="S58" s="67">
        <f ca="1">IF(LOWER(Capacity!$L70)="x",IF(AND(SUMIF(Capacity_Resource,$D58,'Critical resources (hide)'!AF$6:AF$105)+SUMIF(Capacity_Resource,$E58,'Critical resources (hide)'!AF$6:AF$105)+SUMIF(Capacity_Resource,$F58,'Critical resources (hide)'!AF$6:AF$105)&gt;0,$E$1=2),0,1),0)</f>
        <v>1</v>
      </c>
      <c r="T58" s="67">
        <f ca="1">IF(LOWER(Capacity!$L70)="x",IF(AND(SUMIF(Capacity_Resource,$D58,'Critical resources (hide)'!AG$6:AG$105)+SUMIF(Capacity_Resource,$E58,'Critical resources (hide)'!AG$6:AG$105)+SUMIF(Capacity_Resource,$F58,'Critical resources (hide)'!AG$6:AG$105)&gt;0,$E$1=2),0,1),0)</f>
        <v>1</v>
      </c>
      <c r="U58" s="67">
        <f ca="1">IF(LOWER(Capacity!$L70)="x",IF(AND(SUMIF(Capacity_Resource,$D58,'Critical resources (hide)'!AH$6:AH$105)+SUMIF(Capacity_Resource,$E58,'Critical resources (hide)'!AH$6:AH$105)+SUMIF(Capacity_Resource,$F58,'Critical resources (hide)'!AH$6:AH$105)&gt;0,$E$1=2),0,1),0)</f>
        <v>1</v>
      </c>
      <c r="V58" s="67">
        <f ca="1">IF(LOWER(Capacity!$L70)="x",IF(AND(SUMIF(Capacity_Resource,$D58,'Critical resources (hide)'!AI$6:AI$105)+SUMIF(Capacity_Resource,$E58,'Critical resources (hide)'!AI$6:AI$105)+SUMIF(Capacity_Resource,$F58,'Critical resources (hide)'!AI$6:AI$105)&gt;0,$E$1=2),0,1),0)</f>
        <v>1</v>
      </c>
      <c r="W58" s="67">
        <f ca="1">IF(LOWER(Capacity!$L70)="x",IF(AND(SUMIF(Capacity_Resource,$D58,'Critical resources (hide)'!AJ$6:AJ$105)+SUMIF(Capacity_Resource,$E58,'Critical resources (hide)'!AJ$6:AJ$105)+SUMIF(Capacity_Resource,$F58,'Critical resources (hide)'!AJ$6:AJ$105)&gt;0,$E$1=2),0,1),0)</f>
        <v>1</v>
      </c>
      <c r="X58" s="67">
        <f ca="1">IF(LOWER(Capacity!$L70)="x",IF(AND(SUMIF(Capacity_Resource,$D58,'Critical resources (hide)'!AK$6:AK$105)+SUMIF(Capacity_Resource,$E58,'Critical resources (hide)'!AK$6:AK$105)+SUMIF(Capacity_Resource,$F58,'Critical resources (hide)'!AK$6:AK$105)&gt;0,$E$1=2),0,1),0)</f>
        <v>1</v>
      </c>
      <c r="Y58" s="67">
        <f ca="1">IF(LOWER(Capacity!$L70)="x",IF(AND(SUMIF(Capacity_Resource,$D58,'Critical resources (hide)'!AL$6:AL$105)+SUMIF(Capacity_Resource,$E58,'Critical resources (hide)'!AL$6:AL$105)+SUMIF(Capacity_Resource,$F58,'Critical resources (hide)'!AL$6:AL$105)&gt;0,$E$1=2),0,1),0)</f>
        <v>1</v>
      </c>
      <c r="Z58" s="67">
        <f ca="1">IF(LOWER(Capacity!$L70)="x",IF(AND(SUMIF(Capacity_Resource,$D58,'Critical resources (hide)'!AM$6:AM$105)+SUMIF(Capacity_Resource,$E58,'Critical resources (hide)'!AM$6:AM$105)+SUMIF(Capacity_Resource,$F58,'Critical resources (hide)'!AM$6:AM$105)&gt;0,$E$1=2),0,1),0)</f>
        <v>1</v>
      </c>
      <c r="AA58" s="67">
        <f ca="1">IF(LOWER(Capacity!$L70)="x",IF(AND(SUMIF(Capacity_Resource,$D58,'Critical resources (hide)'!AN$6:AN$105)+SUMIF(Capacity_Resource,$E58,'Critical resources (hide)'!AN$6:AN$105)+SUMIF(Capacity_Resource,$F58,'Critical resources (hide)'!AN$6:AN$105)&gt;0,$E$1=2),0,1),0)</f>
        <v>1</v>
      </c>
      <c r="AB58" s="67">
        <f ca="1">IF(LOWER(Capacity!$L70)="x",IF(AND(SUMIF(Capacity_Resource,$D58,'Critical resources (hide)'!AO$6:AO$105)+SUMIF(Capacity_Resource,$E58,'Critical resources (hide)'!AO$6:AO$105)+SUMIF(Capacity_Resource,$F58,'Critical resources (hide)'!AO$6:AO$105)&gt;0,$E$1=2),0,1),0)</f>
        <v>1</v>
      </c>
      <c r="AC58" s="67">
        <f ca="1">IF(LOWER(Capacity!$L70)="x",IF(AND(SUMIF(Capacity_Resource,$D58,'Critical resources (hide)'!AP$6:AP$105)+SUMIF(Capacity_Resource,$E58,'Critical resources (hide)'!AP$6:AP$105)+SUMIF(Capacity_Resource,$F58,'Critical resources (hide)'!AP$6:AP$105)&gt;0,$E$1=2),0,1),0)</f>
        <v>1</v>
      </c>
      <c r="AD58" s="67">
        <f ca="1">IF(LOWER(Capacity!$L70)="x",IF(AND(SUMIF(Capacity_Resource,$D58,'Critical resources (hide)'!AQ$6:AQ$105)+SUMIF(Capacity_Resource,$E58,'Critical resources (hide)'!AQ$6:AQ$105)+SUMIF(Capacity_Resource,$F58,'Critical resources (hide)'!AQ$6:AQ$105)&gt;0,$E$1=2),0,1),0)</f>
        <v>1</v>
      </c>
      <c r="AE58" s="67">
        <f ca="1">IF(LOWER(Capacity!$L70)="x",IF(AND(SUMIF(Capacity_Resource,$D58,'Critical resources (hide)'!AR$6:AR$105)+SUMIF(Capacity_Resource,$E58,'Critical resources (hide)'!AR$6:AR$105)+SUMIF(Capacity_Resource,$F58,'Critical resources (hide)'!AR$6:AR$105)&gt;0,$E$1=2),0,1),0)</f>
        <v>1</v>
      </c>
      <c r="AF58" s="67">
        <f ca="1">IF(LOWER(Capacity!$L70)="x",IF(AND(SUMIF(Capacity_Resource,$D58,'Critical resources (hide)'!AS$6:AS$105)+SUMIF(Capacity_Resource,$E58,'Critical resources (hide)'!AS$6:AS$105)+SUMIF(Capacity_Resource,$F58,'Critical resources (hide)'!AS$6:AS$105)&gt;0,$E$1=2),0,1),0)</f>
        <v>1</v>
      </c>
      <c r="AG58" s="67">
        <f ca="1">IF(LOWER(Capacity!$L70)="x",IF(AND(SUMIF(Capacity_Resource,$D58,'Critical resources (hide)'!AT$6:AT$105)+SUMIF(Capacity_Resource,$E58,'Critical resources (hide)'!AT$6:AT$105)+SUMIF(Capacity_Resource,$F58,'Critical resources (hide)'!AT$6:AT$105)&gt;0,$E$1=2),0,1),0)</f>
        <v>1</v>
      </c>
      <c r="AH58" s="67">
        <f ca="1">IF(LOWER(Capacity!$L70)="x",IF(AND(SUMIF(Capacity_Resource,$D58,'Critical resources (hide)'!AU$6:AU$105)+SUMIF(Capacity_Resource,$E58,'Critical resources (hide)'!AU$6:AU$105)+SUMIF(Capacity_Resource,$F58,'Critical resources (hide)'!AU$6:AU$105)&gt;0,$E$1=2),0,1),0)</f>
        <v>1</v>
      </c>
      <c r="AI58" s="67">
        <f ca="1">IF(LOWER(Capacity!$L70)="x",IF(AND(SUMIF(Capacity_Resource,$D58,'Critical resources (hide)'!AV$6:AV$105)+SUMIF(Capacity_Resource,$E58,'Critical resources (hide)'!AV$6:AV$105)+SUMIF(Capacity_Resource,$F58,'Critical resources (hide)'!AV$6:AV$105)&gt;0,$E$1=2),0,1),0)</f>
        <v>1</v>
      </c>
      <c r="AJ58" s="67">
        <f ca="1">IF(LOWER(Capacity!$L70)="x",IF(AND(SUMIF(Capacity_Resource,$D58,'Critical resources (hide)'!AW$6:AW$105)+SUMIF(Capacity_Resource,$E58,'Critical resources (hide)'!AW$6:AW$105)+SUMIF(Capacity_Resource,$F58,'Critical resources (hide)'!AW$6:AW$105)&gt;0,$E$1=2),0,1),0)</f>
        <v>1</v>
      </c>
      <c r="AK58" s="67">
        <f ca="1">IF(LOWER(Capacity!$L70)="x",IF(AND(SUMIF(Capacity_Resource,$D58,'Critical resources (hide)'!AX$6:AX$105)+SUMIF(Capacity_Resource,$E58,'Critical resources (hide)'!AX$6:AX$105)+SUMIF(Capacity_Resource,$F58,'Critical resources (hide)'!AX$6:AX$105)&gt;0,$E$1=2),0,1),0)</f>
        <v>1</v>
      </c>
      <c r="AL58" s="67">
        <f ca="1">IF(LOWER(Capacity!$L70)="x",IF(AND(SUMIF(Capacity_Resource,$D58,'Critical resources (hide)'!AY$6:AY$105)+SUMIF(Capacity_Resource,$E58,'Critical resources (hide)'!AY$6:AY$105)+SUMIF(Capacity_Resource,$F58,'Critical resources (hide)'!AY$6:AY$105)&gt;0,$E$1=2),0,1),0)</f>
        <v>1</v>
      </c>
      <c r="AM58" s="67">
        <f ca="1">IF(LOWER(Capacity!$L70)="x",IF(AND(SUMIF(Capacity_Resource,$D58,'Critical resources (hide)'!AZ$6:AZ$105)+SUMIF(Capacity_Resource,$E58,'Critical resources (hide)'!AZ$6:AZ$105)+SUMIF(Capacity_Resource,$F58,'Critical resources (hide)'!AZ$6:AZ$105)&gt;0,$E$1=2),0,1),0)</f>
        <v>1</v>
      </c>
      <c r="AN58" s="67">
        <f ca="1">IF(LOWER(Capacity!$L70)="x",IF(AND(SUMIF(Capacity_Resource,$D58,'Critical resources (hide)'!BA$6:BA$105)+SUMIF(Capacity_Resource,$E58,'Critical resources (hide)'!BA$6:BA$105)+SUMIF(Capacity_Resource,$F58,'Critical resources (hide)'!BA$6:BA$105)&gt;0,$E$1=2),0,1),0)</f>
        <v>1</v>
      </c>
      <c r="AO58" s="67">
        <f ca="1">IF(LOWER(Capacity!$L70)="x",IF(AND(SUMIF(Capacity_Resource,$D58,'Critical resources (hide)'!BB$6:BB$105)+SUMIF(Capacity_Resource,$E58,'Critical resources (hide)'!BB$6:BB$105)+SUMIF(Capacity_Resource,$F58,'Critical resources (hide)'!BB$6:BB$105)&gt;0,$E$1=2),0,1),0)</f>
        <v>1</v>
      </c>
      <c r="AP58" s="67">
        <f ca="1">IF(LOWER(Capacity!$L70)="x",IF(AND(SUMIF(Capacity_Resource,$D58,'Critical resources (hide)'!BC$6:BC$105)+SUMIF(Capacity_Resource,$E58,'Critical resources (hide)'!BC$6:BC$105)+SUMIF(Capacity_Resource,$F58,'Critical resources (hide)'!BC$6:BC$105)&gt;0,$E$1=2),0,1),0)</f>
        <v>1</v>
      </c>
      <c r="AQ58" s="67">
        <f ca="1">IF(LOWER(Capacity!$L70)="x",IF(AND(SUMIF(Capacity_Resource,$D58,'Critical resources (hide)'!BD$6:BD$105)+SUMIF(Capacity_Resource,$E58,'Critical resources (hide)'!BD$6:BD$105)+SUMIF(Capacity_Resource,$F58,'Critical resources (hide)'!BD$6:BD$105)&gt;0,$E$1=2),0,1),0)</f>
        <v>1</v>
      </c>
      <c r="AR58" s="67">
        <f ca="1">IF(LOWER(Capacity!$L70)="x",IF(AND(SUMIF(Capacity_Resource,$D58,'Critical resources (hide)'!BE$6:BE$105)+SUMIF(Capacity_Resource,$E58,'Critical resources (hide)'!BE$6:BE$105)+SUMIF(Capacity_Resource,$F58,'Critical resources (hide)'!BE$6:BE$105)&gt;0,$E$1=2),0,1),0)</f>
        <v>1</v>
      </c>
      <c r="AS58" s="67">
        <f ca="1">IF(LOWER(Capacity!$L70)="x",IF(AND(SUMIF(Capacity_Resource,$D58,'Critical resources (hide)'!BF$6:BF$105)+SUMIF(Capacity_Resource,$E58,'Critical resources (hide)'!BF$6:BF$105)+SUMIF(Capacity_Resource,$F58,'Critical resources (hide)'!BF$6:BF$105)&gt;0,$E$1=2),0,1),0)</f>
        <v>1</v>
      </c>
      <c r="AT58" s="67">
        <f ca="1">IF(LOWER(Capacity!$L70)="x",IF(AND(SUMIF(Capacity_Resource,$D58,'Critical resources (hide)'!BG$6:BG$105)+SUMIF(Capacity_Resource,$E58,'Critical resources (hide)'!BG$6:BG$105)+SUMIF(Capacity_Resource,$F58,'Critical resources (hide)'!BG$6:BG$105)&gt;0,$E$1=2),0,1),0)</f>
        <v>1</v>
      </c>
      <c r="AU58" s="67">
        <f ca="1">IF(LOWER(Capacity!$L70)="x",IF(AND(SUMIF(Capacity_Resource,$D58,'Critical resources (hide)'!BH$6:BH$105)+SUMIF(Capacity_Resource,$E58,'Critical resources (hide)'!BH$6:BH$105)+SUMIF(Capacity_Resource,$F58,'Critical resources (hide)'!BH$6:BH$105)&gt;0,$E$1=2),0,1),0)</f>
        <v>1</v>
      </c>
      <c r="AV58" s="67">
        <f ca="1">IF(LOWER(Capacity!$L70)="x",IF(AND(SUMIF(Capacity_Resource,$D58,'Critical resources (hide)'!BI$6:BI$105)+SUMIF(Capacity_Resource,$E58,'Critical resources (hide)'!BI$6:BI$105)+SUMIF(Capacity_Resource,$F58,'Critical resources (hide)'!BI$6:BI$105)&gt;0,$E$1=2),0,1),0)</f>
        <v>1</v>
      </c>
      <c r="AW58" s="67">
        <f ca="1">IF(LOWER(Capacity!$L70)="x",IF(AND(SUMIF(Capacity_Resource,$D58,'Critical resources (hide)'!BJ$6:BJ$105)+SUMIF(Capacity_Resource,$E58,'Critical resources (hide)'!BJ$6:BJ$105)+SUMIF(Capacity_Resource,$F58,'Critical resources (hide)'!BJ$6:BJ$105)&gt;0,$E$1=2),0,1),0)</f>
        <v>1</v>
      </c>
      <c r="AX58" s="67">
        <f ca="1">IF(LOWER(Capacity!$L70)="x",IF(AND(SUMIF(Capacity_Resource,$D58,'Critical resources (hide)'!BK$6:BK$105)+SUMIF(Capacity_Resource,$E58,'Critical resources (hide)'!BK$6:BK$105)+SUMIF(Capacity_Resource,$F58,'Critical resources (hide)'!BK$6:BK$105)&gt;0,$E$1=2),0,1),0)</f>
        <v>1</v>
      </c>
      <c r="AY58" s="67">
        <f ca="1">IF(LOWER(Capacity!$L70)="x",IF(AND(SUMIF(Capacity_Resource,$D58,'Critical resources (hide)'!BL$6:BL$105)+SUMIF(Capacity_Resource,$E58,'Critical resources (hide)'!BL$6:BL$105)+SUMIF(Capacity_Resource,$F58,'Critical resources (hide)'!BL$6:BL$105)&gt;0,$E$1=2),0,1),0)</f>
        <v>1</v>
      </c>
      <c r="AZ58" s="67">
        <f ca="1">IF(LOWER(Capacity!$L70)="x",IF(AND(SUMIF(Capacity_Resource,$D58,'Critical resources (hide)'!BM$6:BM$105)+SUMIF(Capacity_Resource,$E58,'Critical resources (hide)'!BM$6:BM$105)+SUMIF(Capacity_Resource,$F58,'Critical resources (hide)'!BM$6:BM$105)&gt;0,$E$1=2),0,1),0)</f>
        <v>1</v>
      </c>
      <c r="BA58" s="67">
        <f ca="1">IF(LOWER(Capacity!$L70)="x",IF(AND(SUMIF(Capacity_Resource,$D58,'Critical resources (hide)'!BN$6:BN$105)+SUMIF(Capacity_Resource,$E58,'Critical resources (hide)'!BN$6:BN$105)+SUMIF(Capacity_Resource,$F58,'Critical resources (hide)'!BN$6:BN$105)&gt;0,$E$1=2),0,1),0)</f>
        <v>1</v>
      </c>
      <c r="BB58" s="67">
        <f ca="1">IF(LOWER(Capacity!$L70)="x",IF(AND(SUMIF(Capacity_Resource,$D58,'Critical resources (hide)'!BO$6:BO$105)+SUMIF(Capacity_Resource,$E58,'Critical resources (hide)'!BO$6:BO$105)+SUMIF(Capacity_Resource,$F58,'Critical resources (hide)'!BO$6:BO$105)&gt;0,$E$1=2),0,1),0)</f>
        <v>1</v>
      </c>
      <c r="BC58" s="67">
        <f ca="1">IF(LOWER(Capacity!$L70)="x",IF(AND(SUMIF(Capacity_Resource,$D58,'Critical resources (hide)'!BP$6:BP$105)+SUMIF(Capacity_Resource,$E58,'Critical resources (hide)'!BP$6:BP$105)+SUMIF(Capacity_Resource,$F58,'Critical resources (hide)'!BP$6:BP$105)&gt;0,$E$1=2),0,1),0)</f>
        <v>1</v>
      </c>
      <c r="BD58" s="67">
        <f ca="1">IF(LOWER(Capacity!$L70)="x",IF(AND(SUMIF(Capacity_Resource,$D58,'Critical resources (hide)'!BQ$6:BQ$105)+SUMIF(Capacity_Resource,$E58,'Critical resources (hide)'!BQ$6:BQ$105)+SUMIF(Capacity_Resource,$F58,'Critical resources (hide)'!BQ$6:BQ$105)&gt;0,$E$1=2),0,1),0)</f>
        <v>1</v>
      </c>
      <c r="BE58" s="67">
        <f ca="1">IF(LOWER(Capacity!$L70)="x",IF(AND(SUMIF(Capacity_Resource,$D58,'Critical resources (hide)'!BR$6:BR$105)+SUMIF(Capacity_Resource,$E58,'Critical resources (hide)'!BR$6:BR$105)+SUMIF(Capacity_Resource,$F58,'Critical resources (hide)'!BR$6:BR$105)&gt;0,$E$1=2),0,1),0)</f>
        <v>1</v>
      </c>
      <c r="BF58" s="67">
        <f ca="1">IF(LOWER(Capacity!$L70)="x",IF(AND(SUMIF(Capacity_Resource,$D58,'Critical resources (hide)'!BS$6:BS$105)+SUMIF(Capacity_Resource,$E58,'Critical resources (hide)'!BS$6:BS$105)+SUMIF(Capacity_Resource,$F58,'Critical resources (hide)'!BS$6:BS$105)&gt;0,$E$1=2),0,1),0)</f>
        <v>1</v>
      </c>
      <c r="BG58" s="67">
        <f ca="1">IF(LOWER(Capacity!$L70)="x",IF(AND(SUMIF(Capacity_Resource,$D58,'Critical resources (hide)'!BT$6:BT$105)+SUMIF(Capacity_Resource,$E58,'Critical resources (hide)'!BT$6:BT$105)+SUMIF(Capacity_Resource,$F58,'Critical resources (hide)'!BT$6:BT$105)&gt;0,$E$1=2),0,1),0)</f>
        <v>1</v>
      </c>
      <c r="BH58" s="67">
        <f>IF(ROW(C54)&lt;=Capacity!$A$16,IF('Capacity summary'!$D$14="No",SUM(H58:BG58),'Capacity summary'!$E177),0)</f>
        <v>0</v>
      </c>
      <c r="BI58" s="5" t="str">
        <f>IF(BH58&gt;0,IF(BH58&lt;Capacity!E70,Capacity!F70,Capacity!H70/'Capacity calculation (hide)'!BH58),"")</f>
        <v/>
      </c>
      <c r="BK58" s="311">
        <f>IF($BI58&lt;&gt;"",IF('Capacity summary'!$D$14="Yes",IF(COUNTBLANK('Capacity summary'!$H177:$BG177)&lt;52,IF('Capacity summary'!H177&lt;&gt;"",IF(LOWER('Capacity summary'!H177)="x",$BI58*H58,VALUE('Capacity summary'!H177)),0),H58*$BI58),H58*$BI58),0)</f>
        <v>0</v>
      </c>
      <c r="BL58" s="311">
        <f>IF($BI58&lt;&gt;"",IF('Capacity summary'!$D$14="Yes",IF(COUNTBLANK('Capacity summary'!$H177:$BG177)&lt;52,IF('Capacity summary'!I177&lt;&gt;"",IF(LOWER('Capacity summary'!I177)="x",$BI58*I58,VALUE('Capacity summary'!I177)),0),I58*$BI58),I58*$BI58),0)</f>
        <v>0</v>
      </c>
      <c r="BM58" s="311">
        <f>IF($BI58&lt;&gt;"",IF('Capacity summary'!$D$14="Yes",IF(COUNTBLANK('Capacity summary'!$H177:$BG177)&lt;52,IF('Capacity summary'!J177&lt;&gt;"",IF(LOWER('Capacity summary'!J177)="x",$BI58*J58,VALUE('Capacity summary'!J177)),0),J58*$BI58),J58*$BI58),0)</f>
        <v>0</v>
      </c>
      <c r="BN58" s="311">
        <f>IF($BI58&lt;&gt;"",IF('Capacity summary'!$D$14="Yes",IF(COUNTBLANK('Capacity summary'!$H177:$BG177)&lt;52,IF('Capacity summary'!K177&lt;&gt;"",IF(LOWER('Capacity summary'!K177)="x",$BI58*K58,VALUE('Capacity summary'!K177)),0),K58*$BI58),K58*$BI58),0)</f>
        <v>0</v>
      </c>
      <c r="BO58" s="311">
        <f>IF($BI58&lt;&gt;"",IF('Capacity summary'!$D$14="Yes",IF(COUNTBLANK('Capacity summary'!$H177:$BG177)&lt;52,IF('Capacity summary'!L177&lt;&gt;"",IF(LOWER('Capacity summary'!L177)="x",$BI58*L58,VALUE('Capacity summary'!L177)),0),L58*$BI58),L58*$BI58),0)</f>
        <v>0</v>
      </c>
      <c r="BP58" s="311">
        <f>IF($BI58&lt;&gt;"",IF('Capacity summary'!$D$14="Yes",IF(COUNTBLANK('Capacity summary'!$H177:$BG177)&lt;52,IF('Capacity summary'!M177&lt;&gt;"",IF(LOWER('Capacity summary'!M177)="x",$BI58*M58,VALUE('Capacity summary'!M177)),0),M58*$BI58),M58*$BI58),0)</f>
        <v>0</v>
      </c>
      <c r="BQ58" s="311">
        <f>IF($BI58&lt;&gt;"",IF('Capacity summary'!$D$14="Yes",IF(COUNTBLANK('Capacity summary'!$H177:$BG177)&lt;52,IF('Capacity summary'!N177&lt;&gt;"",IF(LOWER('Capacity summary'!N177)="x",$BI58*N58,VALUE('Capacity summary'!N177)),0),N58*$BI58),N58*$BI58),0)</f>
        <v>0</v>
      </c>
      <c r="BR58" s="311">
        <f>IF($BI58&lt;&gt;"",IF('Capacity summary'!$D$14="Yes",IF(COUNTBLANK('Capacity summary'!$H177:$BG177)&lt;52,IF('Capacity summary'!O177&lt;&gt;"",IF(LOWER('Capacity summary'!O177)="x",$BI58*O58,VALUE('Capacity summary'!O177)),0),O58*$BI58),O58*$BI58),0)</f>
        <v>0</v>
      </c>
      <c r="BS58" s="311">
        <f>IF($BI58&lt;&gt;"",IF('Capacity summary'!$D$14="Yes",IF(COUNTBLANK('Capacity summary'!$H177:$BG177)&lt;52,IF('Capacity summary'!P177&lt;&gt;"",IF(LOWER('Capacity summary'!P177)="x",$BI58*P58,VALUE('Capacity summary'!P177)),0),P58*$BI58),P58*$BI58),0)</f>
        <v>0</v>
      </c>
      <c r="BT58" s="311">
        <f>IF($BI58&lt;&gt;"",IF('Capacity summary'!$D$14="Yes",IF(COUNTBLANK('Capacity summary'!$H177:$BG177)&lt;52,IF('Capacity summary'!Q177&lt;&gt;"",IF(LOWER('Capacity summary'!Q177)="x",$BI58*Q58,VALUE('Capacity summary'!Q177)),0),Q58*$BI58),Q58*$BI58),0)</f>
        <v>0</v>
      </c>
      <c r="BU58" s="311">
        <f>IF($BI58&lt;&gt;"",IF('Capacity summary'!$D$14="Yes",IF(COUNTBLANK('Capacity summary'!$H177:$BG177)&lt;52,IF('Capacity summary'!R177&lt;&gt;"",IF(LOWER('Capacity summary'!R177)="x",$BI58*R58,VALUE('Capacity summary'!R177)),0),R58*$BI58),R58*$BI58),0)</f>
        <v>0</v>
      </c>
      <c r="BV58" s="311">
        <f>IF($BI58&lt;&gt;"",IF('Capacity summary'!$D$14="Yes",IF(COUNTBLANK('Capacity summary'!$H177:$BG177)&lt;52,IF('Capacity summary'!S177&lt;&gt;"",IF(LOWER('Capacity summary'!S177)="x",$BI58*S58,VALUE('Capacity summary'!S177)),0),S58*$BI58),S58*$BI58),0)</f>
        <v>0</v>
      </c>
      <c r="BW58" s="311">
        <f>IF($BI58&lt;&gt;"",IF('Capacity summary'!$D$14="Yes",IF(COUNTBLANK('Capacity summary'!$H177:$BG177)&lt;52,IF('Capacity summary'!T177&lt;&gt;"",IF(LOWER('Capacity summary'!T177)="x",$BI58*T58,VALUE('Capacity summary'!T177)),0),T58*$BI58),T58*$BI58),0)</f>
        <v>0</v>
      </c>
      <c r="BX58" s="311">
        <f>IF($BI58&lt;&gt;"",IF('Capacity summary'!$D$14="Yes",IF(COUNTBLANK('Capacity summary'!$H177:$BG177)&lt;52,IF('Capacity summary'!U177&lt;&gt;"",IF(LOWER('Capacity summary'!U177)="x",$BI58*U58,VALUE('Capacity summary'!U177)),0),U58*$BI58),U58*$BI58),0)</f>
        <v>0</v>
      </c>
      <c r="BY58" s="311">
        <f>IF($BI58&lt;&gt;"",IF('Capacity summary'!$D$14="Yes",IF(COUNTBLANK('Capacity summary'!$H177:$BG177)&lt;52,IF('Capacity summary'!V177&lt;&gt;"",IF(LOWER('Capacity summary'!V177)="x",$BI58*V58,VALUE('Capacity summary'!V177)),0),V58*$BI58),V58*$BI58),0)</f>
        <v>0</v>
      </c>
      <c r="BZ58" s="311">
        <f>IF($BI58&lt;&gt;"",IF('Capacity summary'!$D$14="Yes",IF(COUNTBLANK('Capacity summary'!$H177:$BG177)&lt;52,IF('Capacity summary'!W177&lt;&gt;"",IF(LOWER('Capacity summary'!W177)="x",$BI58*W58,VALUE('Capacity summary'!W177)),0),W58*$BI58),W58*$BI58),0)</f>
        <v>0</v>
      </c>
      <c r="CA58" s="311">
        <f>IF($BI58&lt;&gt;"",IF('Capacity summary'!$D$14="Yes",IF(COUNTBLANK('Capacity summary'!$H177:$BG177)&lt;52,IF('Capacity summary'!X177&lt;&gt;"",IF(LOWER('Capacity summary'!X177)="x",$BI58*X58,VALUE('Capacity summary'!X177)),0),X58*$BI58),X58*$BI58),0)</f>
        <v>0</v>
      </c>
      <c r="CB58" s="311">
        <f>IF($BI58&lt;&gt;"",IF('Capacity summary'!$D$14="Yes",IF(COUNTBLANK('Capacity summary'!$H177:$BG177)&lt;52,IF('Capacity summary'!Y177&lt;&gt;"",IF(LOWER('Capacity summary'!Y177)="x",$BI58*Y58,VALUE('Capacity summary'!Y177)),0),Y58*$BI58),Y58*$BI58),0)</f>
        <v>0</v>
      </c>
      <c r="CC58" s="311">
        <f>IF($BI58&lt;&gt;"",IF('Capacity summary'!$D$14="Yes",IF(COUNTBLANK('Capacity summary'!$H177:$BG177)&lt;52,IF('Capacity summary'!Z177&lt;&gt;"",IF(LOWER('Capacity summary'!Z177)="x",$BI58*Z58,VALUE('Capacity summary'!Z177)),0),Z58*$BI58),Z58*$BI58),0)</f>
        <v>0</v>
      </c>
      <c r="CD58" s="311">
        <f>IF($BI58&lt;&gt;"",IF('Capacity summary'!$D$14="Yes",IF(COUNTBLANK('Capacity summary'!$H177:$BG177)&lt;52,IF('Capacity summary'!AA177&lt;&gt;"",IF(LOWER('Capacity summary'!AA177)="x",$BI58*AA58,VALUE('Capacity summary'!AA177)),0),AA58*$BI58),AA58*$BI58),0)</f>
        <v>0</v>
      </c>
      <c r="CE58" s="311">
        <f>IF($BI58&lt;&gt;"",IF('Capacity summary'!$D$14="Yes",IF(COUNTBLANK('Capacity summary'!$H177:$BG177)&lt;52,IF('Capacity summary'!AB177&lt;&gt;"",IF(LOWER('Capacity summary'!AB177)="x",$BI58*AB58,VALUE('Capacity summary'!AB177)),0),AB58*$BI58),AB58*$BI58),0)</f>
        <v>0</v>
      </c>
      <c r="CF58" s="311">
        <f>IF($BI58&lt;&gt;"",IF('Capacity summary'!$D$14="Yes",IF(COUNTBLANK('Capacity summary'!$H177:$BG177)&lt;52,IF('Capacity summary'!AC177&lt;&gt;"",IF(LOWER('Capacity summary'!AC177)="x",$BI58*AC58,VALUE('Capacity summary'!AC177)),0),AC58*$BI58),AC58*$BI58),0)</f>
        <v>0</v>
      </c>
      <c r="CG58" s="311">
        <f>IF($BI58&lt;&gt;"",IF('Capacity summary'!$D$14="Yes",IF(COUNTBLANK('Capacity summary'!$H177:$BG177)&lt;52,IF('Capacity summary'!AD177&lt;&gt;"",IF(LOWER('Capacity summary'!AD177)="x",$BI58*AD58,VALUE('Capacity summary'!AD177)),0),AD58*$BI58),AD58*$BI58),0)</f>
        <v>0</v>
      </c>
      <c r="CH58" s="311">
        <f>IF($BI58&lt;&gt;"",IF('Capacity summary'!$D$14="Yes",IF(COUNTBLANK('Capacity summary'!$H177:$BG177)&lt;52,IF('Capacity summary'!AE177&lt;&gt;"",IF(LOWER('Capacity summary'!AE177)="x",$BI58*AE58,VALUE('Capacity summary'!AE177)),0),AE58*$BI58),AE58*$BI58),0)</f>
        <v>0</v>
      </c>
      <c r="CI58" s="311">
        <f>IF($BI58&lt;&gt;"",IF('Capacity summary'!$D$14="Yes",IF(COUNTBLANK('Capacity summary'!$H177:$BG177)&lt;52,IF('Capacity summary'!AF177&lt;&gt;"",IF(LOWER('Capacity summary'!AF177)="x",$BI58*AF58,VALUE('Capacity summary'!AF177)),0),AF58*$BI58),AF58*$BI58),0)</f>
        <v>0</v>
      </c>
      <c r="CJ58" s="311">
        <f>IF($BI58&lt;&gt;"",IF('Capacity summary'!$D$14="Yes",IF(COUNTBLANK('Capacity summary'!$H177:$BG177)&lt;52,IF('Capacity summary'!AG177&lt;&gt;"",IF(LOWER('Capacity summary'!AG177)="x",$BI58*AG58,VALUE('Capacity summary'!AG177)),0),AG58*$BI58),AG58*$BI58),0)</f>
        <v>0</v>
      </c>
      <c r="CK58" s="311">
        <f>IF($BI58&lt;&gt;"",IF('Capacity summary'!$D$14="Yes",IF(COUNTBLANK('Capacity summary'!$H177:$BG177)&lt;52,IF('Capacity summary'!AH177&lt;&gt;"",IF(LOWER('Capacity summary'!AH177)="x",$BI58*AH58,VALUE('Capacity summary'!AH177)),0),AH58*$BI58),AH58*$BI58),0)</f>
        <v>0</v>
      </c>
      <c r="CL58" s="311">
        <f>IF($BI58&lt;&gt;"",IF('Capacity summary'!$D$14="Yes",IF(COUNTBLANK('Capacity summary'!$H177:$BG177)&lt;52,IF('Capacity summary'!AI177&lt;&gt;"",IF(LOWER('Capacity summary'!AI177)="x",$BI58*AI58,VALUE('Capacity summary'!AI177)),0),AI58*$BI58),AI58*$BI58),0)</f>
        <v>0</v>
      </c>
      <c r="CM58" s="311">
        <f>IF($BI58&lt;&gt;"",IF('Capacity summary'!$D$14="Yes",IF(COUNTBLANK('Capacity summary'!$H177:$BG177)&lt;52,IF('Capacity summary'!AJ177&lt;&gt;"",IF(LOWER('Capacity summary'!AJ177)="x",$BI58*AJ58,VALUE('Capacity summary'!AJ177)),0),AJ58*$BI58),AJ58*$BI58),0)</f>
        <v>0</v>
      </c>
      <c r="CN58" s="311">
        <f>IF($BI58&lt;&gt;"",IF('Capacity summary'!$D$14="Yes",IF(COUNTBLANK('Capacity summary'!$H177:$BG177)&lt;52,IF('Capacity summary'!AK177&lt;&gt;"",IF(LOWER('Capacity summary'!AK177)="x",$BI58*AK58,VALUE('Capacity summary'!AK177)),0),AK58*$BI58),AK58*$BI58),0)</f>
        <v>0</v>
      </c>
      <c r="CO58" s="311">
        <f>IF($BI58&lt;&gt;"",IF('Capacity summary'!$D$14="Yes",IF(COUNTBLANK('Capacity summary'!$H177:$BG177)&lt;52,IF('Capacity summary'!AL177&lt;&gt;"",IF(LOWER('Capacity summary'!AL177)="x",$BI58*AL58,VALUE('Capacity summary'!AL177)),0),AL58*$BI58),AL58*$BI58),0)</f>
        <v>0</v>
      </c>
      <c r="CP58" s="311">
        <f>IF($BI58&lt;&gt;"",IF('Capacity summary'!$D$14="Yes",IF(COUNTBLANK('Capacity summary'!$H177:$BG177)&lt;52,IF('Capacity summary'!AM177&lt;&gt;"",IF(LOWER('Capacity summary'!AM177)="x",$BI58*AM58,VALUE('Capacity summary'!AM177)),0),AM58*$BI58),AM58*$BI58),0)</f>
        <v>0</v>
      </c>
      <c r="CQ58" s="311">
        <f>IF($BI58&lt;&gt;"",IF('Capacity summary'!$D$14="Yes",IF(COUNTBLANK('Capacity summary'!$H177:$BG177)&lt;52,IF('Capacity summary'!AN177&lt;&gt;"",IF(LOWER('Capacity summary'!AN177)="x",$BI58*AN58,VALUE('Capacity summary'!AN177)),0),AN58*$BI58),AN58*$BI58),0)</f>
        <v>0</v>
      </c>
      <c r="CR58" s="311">
        <f>IF($BI58&lt;&gt;"",IF('Capacity summary'!$D$14="Yes",IF(COUNTBLANK('Capacity summary'!$H177:$BG177)&lt;52,IF('Capacity summary'!AO177&lt;&gt;"",IF(LOWER('Capacity summary'!AO177)="x",$BI58*AO58,VALUE('Capacity summary'!AO177)),0),AO58*$BI58),AO58*$BI58),0)</f>
        <v>0</v>
      </c>
      <c r="CS58" s="311">
        <f>IF($BI58&lt;&gt;"",IF('Capacity summary'!$D$14="Yes",IF(COUNTBLANK('Capacity summary'!$H177:$BG177)&lt;52,IF('Capacity summary'!AP177&lt;&gt;"",IF(LOWER('Capacity summary'!AP177)="x",$BI58*AP58,VALUE('Capacity summary'!AP177)),0),AP58*$BI58),AP58*$BI58),0)</f>
        <v>0</v>
      </c>
      <c r="CT58" s="311">
        <f>IF($BI58&lt;&gt;"",IF('Capacity summary'!$D$14="Yes",IF(COUNTBLANK('Capacity summary'!$H177:$BG177)&lt;52,IF('Capacity summary'!AQ177&lt;&gt;"",IF(LOWER('Capacity summary'!AQ177)="x",$BI58*AQ58,VALUE('Capacity summary'!AQ177)),0),AQ58*$BI58),AQ58*$BI58),0)</f>
        <v>0</v>
      </c>
      <c r="CU58" s="311">
        <f>IF($BI58&lt;&gt;"",IF('Capacity summary'!$D$14="Yes",IF(COUNTBLANK('Capacity summary'!$H177:$BG177)&lt;52,IF('Capacity summary'!AR177&lt;&gt;"",IF(LOWER('Capacity summary'!AR177)="x",$BI58*AR58,VALUE('Capacity summary'!AR177)),0),AR58*$BI58),AR58*$BI58),0)</f>
        <v>0</v>
      </c>
      <c r="CV58" s="311">
        <f>IF($BI58&lt;&gt;"",IF('Capacity summary'!$D$14="Yes",IF(COUNTBLANK('Capacity summary'!$H177:$BG177)&lt;52,IF('Capacity summary'!AS177&lt;&gt;"",IF(LOWER('Capacity summary'!AS177)="x",$BI58*AS58,VALUE('Capacity summary'!AS177)),0),AS58*$BI58),AS58*$BI58),0)</f>
        <v>0</v>
      </c>
      <c r="CW58" s="311">
        <f>IF($BI58&lt;&gt;"",IF('Capacity summary'!$D$14="Yes",IF(COUNTBLANK('Capacity summary'!$H177:$BG177)&lt;52,IF('Capacity summary'!AT177&lt;&gt;"",IF(LOWER('Capacity summary'!AT177)="x",$BI58*AT58,VALUE('Capacity summary'!AT177)),0),AT58*$BI58),AT58*$BI58),0)</f>
        <v>0</v>
      </c>
      <c r="CX58" s="311">
        <f>IF($BI58&lt;&gt;"",IF('Capacity summary'!$D$14="Yes",IF(COUNTBLANK('Capacity summary'!$H177:$BG177)&lt;52,IF('Capacity summary'!AU177&lt;&gt;"",IF(LOWER('Capacity summary'!AU177)="x",$BI58*AU58,VALUE('Capacity summary'!AU177)),0),AU58*$BI58),AU58*$BI58),0)</f>
        <v>0</v>
      </c>
      <c r="CY58" s="311">
        <f>IF($BI58&lt;&gt;"",IF('Capacity summary'!$D$14="Yes",IF(COUNTBLANK('Capacity summary'!$H177:$BG177)&lt;52,IF('Capacity summary'!AV177&lt;&gt;"",IF(LOWER('Capacity summary'!AV177)="x",$BI58*AV58,VALUE('Capacity summary'!AV177)),0),AV58*$BI58),AV58*$BI58),0)</f>
        <v>0</v>
      </c>
      <c r="CZ58" s="311">
        <f>IF($BI58&lt;&gt;"",IF('Capacity summary'!$D$14="Yes",IF(COUNTBLANK('Capacity summary'!$H177:$BG177)&lt;52,IF('Capacity summary'!AW177&lt;&gt;"",IF(LOWER('Capacity summary'!AW177)="x",$BI58*AW58,VALUE('Capacity summary'!AW177)),0),AW58*$BI58),AW58*$BI58),0)</f>
        <v>0</v>
      </c>
      <c r="DA58" s="311">
        <f>IF($BI58&lt;&gt;"",IF('Capacity summary'!$D$14="Yes",IF(COUNTBLANK('Capacity summary'!$H177:$BG177)&lt;52,IF('Capacity summary'!AX177&lt;&gt;"",IF(LOWER('Capacity summary'!AX177)="x",$BI58*AX58,VALUE('Capacity summary'!AX177)),0),AX58*$BI58),AX58*$BI58),0)</f>
        <v>0</v>
      </c>
      <c r="DB58" s="311">
        <f>IF($BI58&lt;&gt;"",IF('Capacity summary'!$D$14="Yes",IF(COUNTBLANK('Capacity summary'!$H177:$BG177)&lt;52,IF('Capacity summary'!AY177&lt;&gt;"",IF(LOWER('Capacity summary'!AY177)="x",$BI58*AY58,VALUE('Capacity summary'!AY177)),0),AY58*$BI58),AY58*$BI58),0)</f>
        <v>0</v>
      </c>
      <c r="DC58" s="311">
        <f>IF($BI58&lt;&gt;"",IF('Capacity summary'!$D$14="Yes",IF(COUNTBLANK('Capacity summary'!$H177:$BG177)&lt;52,IF('Capacity summary'!AZ177&lt;&gt;"",IF(LOWER('Capacity summary'!AZ177)="x",$BI58*AZ58,VALUE('Capacity summary'!AZ177)),0),AZ58*$BI58),AZ58*$BI58),0)</f>
        <v>0</v>
      </c>
      <c r="DD58" s="311">
        <f>IF($BI58&lt;&gt;"",IF('Capacity summary'!$D$14="Yes",IF(COUNTBLANK('Capacity summary'!$H177:$BG177)&lt;52,IF('Capacity summary'!BA177&lt;&gt;"",IF(LOWER('Capacity summary'!BA177)="x",$BI58*BA58,VALUE('Capacity summary'!BA177)),0),BA58*$BI58),BA58*$BI58),0)</f>
        <v>0</v>
      </c>
      <c r="DE58" s="311">
        <f>IF($BI58&lt;&gt;"",IF('Capacity summary'!$D$14="Yes",IF(COUNTBLANK('Capacity summary'!$H177:$BG177)&lt;52,IF('Capacity summary'!BB177&lt;&gt;"",IF(LOWER('Capacity summary'!BB177)="x",$BI58*BB58,VALUE('Capacity summary'!BB177)),0),BB58*$BI58),BB58*$BI58),0)</f>
        <v>0</v>
      </c>
      <c r="DF58" s="311">
        <f>IF($BI58&lt;&gt;"",IF('Capacity summary'!$D$14="Yes",IF(COUNTBLANK('Capacity summary'!$H177:$BG177)&lt;52,IF('Capacity summary'!BC177&lt;&gt;"",IF(LOWER('Capacity summary'!BC177)="x",$BI58*BC58,VALUE('Capacity summary'!BC177)),0),BC58*$BI58),BC58*$BI58),0)</f>
        <v>0</v>
      </c>
      <c r="DG58" s="311">
        <f>IF($BI58&lt;&gt;"",IF('Capacity summary'!$D$14="Yes",IF(COUNTBLANK('Capacity summary'!$H177:$BG177)&lt;52,IF('Capacity summary'!BD177&lt;&gt;"",IF(LOWER('Capacity summary'!BD177)="x",$BI58*BD58,VALUE('Capacity summary'!BD177)),0),BD58*$BI58),BD58*$BI58),0)</f>
        <v>0</v>
      </c>
      <c r="DH58" s="311">
        <f>IF($BI58&lt;&gt;"",IF('Capacity summary'!$D$14="Yes",IF(COUNTBLANK('Capacity summary'!$H177:$BG177)&lt;52,IF('Capacity summary'!BE177&lt;&gt;"",IF(LOWER('Capacity summary'!BE177)="x",$BI58*BE58,VALUE('Capacity summary'!BE177)),0),BE58*$BI58),BE58*$BI58),0)</f>
        <v>0</v>
      </c>
      <c r="DI58" s="311">
        <f>IF($BI58&lt;&gt;"",IF('Capacity summary'!$D$14="Yes",IF(COUNTBLANK('Capacity summary'!$H177:$BG177)&lt;52,IF('Capacity summary'!BF177&lt;&gt;"",IF(LOWER('Capacity summary'!BF177)="x",$BI58*BF58,VALUE('Capacity summary'!BF177)),0),BF58*$BI58),BF58*$BI58),0)</f>
        <v>0</v>
      </c>
      <c r="DJ58" s="311">
        <f>IF($BI58&lt;&gt;"",IF('Capacity summary'!$D$14="Yes",IF(COUNTBLANK('Capacity summary'!$H177:$BG177)&lt;52,IF('Capacity summary'!BG177&lt;&gt;"",IF(LOWER('Capacity summary'!BG177)="x",$BI58*BG58,VALUE('Capacity summary'!BG177)),0),BG58*$BI58),BG58*$BI58),0)</f>
        <v>0</v>
      </c>
      <c r="DK58" s="391">
        <f t="shared" si="2"/>
        <v>0</v>
      </c>
      <c r="DL58" s="136">
        <f t="shared" si="3"/>
        <v>0</v>
      </c>
      <c r="DM58" s="311" t="str">
        <f>Capacity!H70</f>
        <v/>
      </c>
    </row>
    <row r="59" spans="1:121" x14ac:dyDescent="0.2">
      <c r="A59" s="67">
        <f>IF(Capacity!L71='Capacity summary'!BI178,1,0)</f>
        <v>1</v>
      </c>
      <c r="B59" s="67">
        <f>IF(Capacity!V71='Capacity summary'!BI78,1,0)</f>
        <v>1</v>
      </c>
      <c r="C59" s="67" t="str">
        <f>ROW(A55)&amp;". "&amp;Capacity!B71</f>
        <v xml:space="preserve">55. </v>
      </c>
      <c r="D59" s="67">
        <f>'Capacity setup'!C66</f>
        <v>0</v>
      </c>
      <c r="E59" s="67">
        <f>'Capacity setup'!D66</f>
        <v>0</v>
      </c>
      <c r="F59" s="67">
        <f>'Capacity setup'!E66</f>
        <v>0</v>
      </c>
      <c r="H59" s="67">
        <f ca="1">IF(LOWER(Capacity!$L71)="x",IF(AND(SUMIF(Capacity_Resource,$D59,'Critical resources (hide)'!U$6:U$105)+SUMIF(Capacity_Resource,$E59,'Critical resources (hide)'!U$6:U$105)+SUMIF(Capacity_Resource,$F59,'Critical resources (hide)'!U$6:U$105)&gt;0,$E$1=2),0,1),0)</f>
        <v>1</v>
      </c>
      <c r="I59" s="67">
        <f ca="1">IF(LOWER(Capacity!$L71)="x",IF(AND(SUMIF(Capacity_Resource,$D59,'Critical resources (hide)'!V$6:V$105)+SUMIF(Capacity_Resource,$E59,'Critical resources (hide)'!V$6:V$105)+SUMIF(Capacity_Resource,$F59,'Critical resources (hide)'!V$6:V$105)&gt;0,$E$1=2),0,1),0)</f>
        <v>1</v>
      </c>
      <c r="J59" s="67">
        <f ca="1">IF(LOWER(Capacity!$L71)="x",IF(AND(SUMIF(Capacity_Resource,$D59,'Critical resources (hide)'!W$6:W$105)+SUMIF(Capacity_Resource,$E59,'Critical resources (hide)'!W$6:W$105)+SUMIF(Capacity_Resource,$F59,'Critical resources (hide)'!W$6:W$105)&gt;0,$E$1=2),0,1),0)</f>
        <v>1</v>
      </c>
      <c r="K59" s="67">
        <f ca="1">IF(LOWER(Capacity!$L71)="x",IF(AND(SUMIF(Capacity_Resource,$D59,'Critical resources (hide)'!X$6:X$105)+SUMIF(Capacity_Resource,$E59,'Critical resources (hide)'!X$6:X$105)+SUMIF(Capacity_Resource,$F59,'Critical resources (hide)'!X$6:X$105)&gt;0,$E$1=2),0,1),0)</f>
        <v>1</v>
      </c>
      <c r="L59" s="67">
        <f ca="1">IF(LOWER(Capacity!$L71)="x",IF(AND(SUMIF(Capacity_Resource,$D59,'Critical resources (hide)'!Y$6:Y$105)+SUMIF(Capacity_Resource,$E59,'Critical resources (hide)'!Y$6:Y$105)+SUMIF(Capacity_Resource,$F59,'Critical resources (hide)'!Y$6:Y$105)&gt;0,$E$1=2),0,1),0)</f>
        <v>1</v>
      </c>
      <c r="M59" s="67">
        <f ca="1">IF(LOWER(Capacity!$L71)="x",IF(AND(SUMIF(Capacity_Resource,$D59,'Critical resources (hide)'!Z$6:Z$105)+SUMIF(Capacity_Resource,$E59,'Critical resources (hide)'!Z$6:Z$105)+SUMIF(Capacity_Resource,$F59,'Critical resources (hide)'!Z$6:Z$105)&gt;0,$E$1=2),0,1),0)</f>
        <v>1</v>
      </c>
      <c r="N59" s="67">
        <f ca="1">IF(LOWER(Capacity!$L71)="x",IF(AND(SUMIF(Capacity_Resource,$D59,'Critical resources (hide)'!AA$6:AA$105)+SUMIF(Capacity_Resource,$E59,'Critical resources (hide)'!AA$6:AA$105)+SUMIF(Capacity_Resource,$F59,'Critical resources (hide)'!AA$6:AA$105)&gt;0,$E$1=2),0,1),0)</f>
        <v>1</v>
      </c>
      <c r="O59" s="67">
        <f ca="1">IF(LOWER(Capacity!$L71)="x",IF(AND(SUMIF(Capacity_Resource,$D59,'Critical resources (hide)'!AB$6:AB$105)+SUMIF(Capacity_Resource,$E59,'Critical resources (hide)'!AB$6:AB$105)+SUMIF(Capacity_Resource,$F59,'Critical resources (hide)'!AB$6:AB$105)&gt;0,$E$1=2),0,1),0)</f>
        <v>1</v>
      </c>
      <c r="P59" s="67">
        <f ca="1">IF(LOWER(Capacity!$L71)="x",IF(AND(SUMIF(Capacity_Resource,$D59,'Critical resources (hide)'!AC$6:AC$105)+SUMIF(Capacity_Resource,$E59,'Critical resources (hide)'!AC$6:AC$105)+SUMIF(Capacity_Resource,$F59,'Critical resources (hide)'!AC$6:AC$105)&gt;0,$E$1=2),0,1),0)</f>
        <v>1</v>
      </c>
      <c r="Q59" s="67">
        <f ca="1">IF(LOWER(Capacity!$L71)="x",IF(AND(SUMIF(Capacity_Resource,$D59,'Critical resources (hide)'!AD$6:AD$105)+SUMIF(Capacity_Resource,$E59,'Critical resources (hide)'!AD$6:AD$105)+SUMIF(Capacity_Resource,$F59,'Critical resources (hide)'!AD$6:AD$105)&gt;0,$E$1=2),0,1),0)</f>
        <v>1</v>
      </c>
      <c r="R59" s="67">
        <f ca="1">IF(LOWER(Capacity!$L71)="x",IF(AND(SUMIF(Capacity_Resource,$D59,'Critical resources (hide)'!AE$6:AE$105)+SUMIF(Capacity_Resource,$E59,'Critical resources (hide)'!AE$6:AE$105)+SUMIF(Capacity_Resource,$F59,'Critical resources (hide)'!AE$6:AE$105)&gt;0,$E$1=2),0,1),0)</f>
        <v>1</v>
      </c>
      <c r="S59" s="67">
        <f ca="1">IF(LOWER(Capacity!$L71)="x",IF(AND(SUMIF(Capacity_Resource,$D59,'Critical resources (hide)'!AF$6:AF$105)+SUMIF(Capacity_Resource,$E59,'Critical resources (hide)'!AF$6:AF$105)+SUMIF(Capacity_Resource,$F59,'Critical resources (hide)'!AF$6:AF$105)&gt;0,$E$1=2),0,1),0)</f>
        <v>1</v>
      </c>
      <c r="T59" s="67">
        <f ca="1">IF(LOWER(Capacity!$L71)="x",IF(AND(SUMIF(Capacity_Resource,$D59,'Critical resources (hide)'!AG$6:AG$105)+SUMIF(Capacity_Resource,$E59,'Critical resources (hide)'!AG$6:AG$105)+SUMIF(Capacity_Resource,$F59,'Critical resources (hide)'!AG$6:AG$105)&gt;0,$E$1=2),0,1),0)</f>
        <v>1</v>
      </c>
      <c r="U59" s="67">
        <f ca="1">IF(LOWER(Capacity!$L71)="x",IF(AND(SUMIF(Capacity_Resource,$D59,'Critical resources (hide)'!AH$6:AH$105)+SUMIF(Capacity_Resource,$E59,'Critical resources (hide)'!AH$6:AH$105)+SUMIF(Capacity_Resource,$F59,'Critical resources (hide)'!AH$6:AH$105)&gt;0,$E$1=2),0,1),0)</f>
        <v>1</v>
      </c>
      <c r="V59" s="67">
        <f ca="1">IF(LOWER(Capacity!$L71)="x",IF(AND(SUMIF(Capacity_Resource,$D59,'Critical resources (hide)'!AI$6:AI$105)+SUMIF(Capacity_Resource,$E59,'Critical resources (hide)'!AI$6:AI$105)+SUMIF(Capacity_Resource,$F59,'Critical resources (hide)'!AI$6:AI$105)&gt;0,$E$1=2),0,1),0)</f>
        <v>1</v>
      </c>
      <c r="W59" s="67">
        <f ca="1">IF(LOWER(Capacity!$L71)="x",IF(AND(SUMIF(Capacity_Resource,$D59,'Critical resources (hide)'!AJ$6:AJ$105)+SUMIF(Capacity_Resource,$E59,'Critical resources (hide)'!AJ$6:AJ$105)+SUMIF(Capacity_Resource,$F59,'Critical resources (hide)'!AJ$6:AJ$105)&gt;0,$E$1=2),0,1),0)</f>
        <v>1</v>
      </c>
      <c r="X59" s="67">
        <f ca="1">IF(LOWER(Capacity!$L71)="x",IF(AND(SUMIF(Capacity_Resource,$D59,'Critical resources (hide)'!AK$6:AK$105)+SUMIF(Capacity_Resource,$E59,'Critical resources (hide)'!AK$6:AK$105)+SUMIF(Capacity_Resource,$F59,'Critical resources (hide)'!AK$6:AK$105)&gt;0,$E$1=2),0,1),0)</f>
        <v>1</v>
      </c>
      <c r="Y59" s="67">
        <f ca="1">IF(LOWER(Capacity!$L71)="x",IF(AND(SUMIF(Capacity_Resource,$D59,'Critical resources (hide)'!AL$6:AL$105)+SUMIF(Capacity_Resource,$E59,'Critical resources (hide)'!AL$6:AL$105)+SUMIF(Capacity_Resource,$F59,'Critical resources (hide)'!AL$6:AL$105)&gt;0,$E$1=2),0,1),0)</f>
        <v>1</v>
      </c>
      <c r="Z59" s="67">
        <f ca="1">IF(LOWER(Capacity!$L71)="x",IF(AND(SUMIF(Capacity_Resource,$D59,'Critical resources (hide)'!AM$6:AM$105)+SUMIF(Capacity_Resource,$E59,'Critical resources (hide)'!AM$6:AM$105)+SUMIF(Capacity_Resource,$F59,'Critical resources (hide)'!AM$6:AM$105)&gt;0,$E$1=2),0,1),0)</f>
        <v>1</v>
      </c>
      <c r="AA59" s="67">
        <f ca="1">IF(LOWER(Capacity!$L71)="x",IF(AND(SUMIF(Capacity_Resource,$D59,'Critical resources (hide)'!AN$6:AN$105)+SUMIF(Capacity_Resource,$E59,'Critical resources (hide)'!AN$6:AN$105)+SUMIF(Capacity_Resource,$F59,'Critical resources (hide)'!AN$6:AN$105)&gt;0,$E$1=2),0,1),0)</f>
        <v>1</v>
      </c>
      <c r="AB59" s="67">
        <f ca="1">IF(LOWER(Capacity!$L71)="x",IF(AND(SUMIF(Capacity_Resource,$D59,'Critical resources (hide)'!AO$6:AO$105)+SUMIF(Capacity_Resource,$E59,'Critical resources (hide)'!AO$6:AO$105)+SUMIF(Capacity_Resource,$F59,'Critical resources (hide)'!AO$6:AO$105)&gt;0,$E$1=2),0,1),0)</f>
        <v>1</v>
      </c>
      <c r="AC59" s="67">
        <f ca="1">IF(LOWER(Capacity!$L71)="x",IF(AND(SUMIF(Capacity_Resource,$D59,'Critical resources (hide)'!AP$6:AP$105)+SUMIF(Capacity_Resource,$E59,'Critical resources (hide)'!AP$6:AP$105)+SUMIF(Capacity_Resource,$F59,'Critical resources (hide)'!AP$6:AP$105)&gt;0,$E$1=2),0,1),0)</f>
        <v>1</v>
      </c>
      <c r="AD59" s="67">
        <f ca="1">IF(LOWER(Capacity!$L71)="x",IF(AND(SUMIF(Capacity_Resource,$D59,'Critical resources (hide)'!AQ$6:AQ$105)+SUMIF(Capacity_Resource,$E59,'Critical resources (hide)'!AQ$6:AQ$105)+SUMIF(Capacity_Resource,$F59,'Critical resources (hide)'!AQ$6:AQ$105)&gt;0,$E$1=2),0,1),0)</f>
        <v>1</v>
      </c>
      <c r="AE59" s="67">
        <f ca="1">IF(LOWER(Capacity!$L71)="x",IF(AND(SUMIF(Capacity_Resource,$D59,'Critical resources (hide)'!AR$6:AR$105)+SUMIF(Capacity_Resource,$E59,'Critical resources (hide)'!AR$6:AR$105)+SUMIF(Capacity_Resource,$F59,'Critical resources (hide)'!AR$6:AR$105)&gt;0,$E$1=2),0,1),0)</f>
        <v>1</v>
      </c>
      <c r="AF59" s="67">
        <f ca="1">IF(LOWER(Capacity!$L71)="x",IF(AND(SUMIF(Capacity_Resource,$D59,'Critical resources (hide)'!AS$6:AS$105)+SUMIF(Capacity_Resource,$E59,'Critical resources (hide)'!AS$6:AS$105)+SUMIF(Capacity_Resource,$F59,'Critical resources (hide)'!AS$6:AS$105)&gt;0,$E$1=2),0,1),0)</f>
        <v>1</v>
      </c>
      <c r="AG59" s="67">
        <f ca="1">IF(LOWER(Capacity!$L71)="x",IF(AND(SUMIF(Capacity_Resource,$D59,'Critical resources (hide)'!AT$6:AT$105)+SUMIF(Capacity_Resource,$E59,'Critical resources (hide)'!AT$6:AT$105)+SUMIF(Capacity_Resource,$F59,'Critical resources (hide)'!AT$6:AT$105)&gt;0,$E$1=2),0,1),0)</f>
        <v>1</v>
      </c>
      <c r="AH59" s="67">
        <f ca="1">IF(LOWER(Capacity!$L71)="x",IF(AND(SUMIF(Capacity_Resource,$D59,'Critical resources (hide)'!AU$6:AU$105)+SUMIF(Capacity_Resource,$E59,'Critical resources (hide)'!AU$6:AU$105)+SUMIF(Capacity_Resource,$F59,'Critical resources (hide)'!AU$6:AU$105)&gt;0,$E$1=2),0,1),0)</f>
        <v>1</v>
      </c>
      <c r="AI59" s="67">
        <f ca="1">IF(LOWER(Capacity!$L71)="x",IF(AND(SUMIF(Capacity_Resource,$D59,'Critical resources (hide)'!AV$6:AV$105)+SUMIF(Capacity_Resource,$E59,'Critical resources (hide)'!AV$6:AV$105)+SUMIF(Capacity_Resource,$F59,'Critical resources (hide)'!AV$6:AV$105)&gt;0,$E$1=2),0,1),0)</f>
        <v>1</v>
      </c>
      <c r="AJ59" s="67">
        <f ca="1">IF(LOWER(Capacity!$L71)="x",IF(AND(SUMIF(Capacity_Resource,$D59,'Critical resources (hide)'!AW$6:AW$105)+SUMIF(Capacity_Resource,$E59,'Critical resources (hide)'!AW$6:AW$105)+SUMIF(Capacity_Resource,$F59,'Critical resources (hide)'!AW$6:AW$105)&gt;0,$E$1=2),0,1),0)</f>
        <v>1</v>
      </c>
      <c r="AK59" s="67">
        <f ca="1">IF(LOWER(Capacity!$L71)="x",IF(AND(SUMIF(Capacity_Resource,$D59,'Critical resources (hide)'!AX$6:AX$105)+SUMIF(Capacity_Resource,$E59,'Critical resources (hide)'!AX$6:AX$105)+SUMIF(Capacity_Resource,$F59,'Critical resources (hide)'!AX$6:AX$105)&gt;0,$E$1=2),0,1),0)</f>
        <v>1</v>
      </c>
      <c r="AL59" s="67">
        <f ca="1">IF(LOWER(Capacity!$L71)="x",IF(AND(SUMIF(Capacity_Resource,$D59,'Critical resources (hide)'!AY$6:AY$105)+SUMIF(Capacity_Resource,$E59,'Critical resources (hide)'!AY$6:AY$105)+SUMIF(Capacity_Resource,$F59,'Critical resources (hide)'!AY$6:AY$105)&gt;0,$E$1=2),0,1),0)</f>
        <v>1</v>
      </c>
      <c r="AM59" s="67">
        <f ca="1">IF(LOWER(Capacity!$L71)="x",IF(AND(SUMIF(Capacity_Resource,$D59,'Critical resources (hide)'!AZ$6:AZ$105)+SUMIF(Capacity_Resource,$E59,'Critical resources (hide)'!AZ$6:AZ$105)+SUMIF(Capacity_Resource,$F59,'Critical resources (hide)'!AZ$6:AZ$105)&gt;0,$E$1=2),0,1),0)</f>
        <v>1</v>
      </c>
      <c r="AN59" s="67">
        <f ca="1">IF(LOWER(Capacity!$L71)="x",IF(AND(SUMIF(Capacity_Resource,$D59,'Critical resources (hide)'!BA$6:BA$105)+SUMIF(Capacity_Resource,$E59,'Critical resources (hide)'!BA$6:BA$105)+SUMIF(Capacity_Resource,$F59,'Critical resources (hide)'!BA$6:BA$105)&gt;0,$E$1=2),0,1),0)</f>
        <v>1</v>
      </c>
      <c r="AO59" s="67">
        <f ca="1">IF(LOWER(Capacity!$L71)="x",IF(AND(SUMIF(Capacity_Resource,$D59,'Critical resources (hide)'!BB$6:BB$105)+SUMIF(Capacity_Resource,$E59,'Critical resources (hide)'!BB$6:BB$105)+SUMIF(Capacity_Resource,$F59,'Critical resources (hide)'!BB$6:BB$105)&gt;0,$E$1=2),0,1),0)</f>
        <v>1</v>
      </c>
      <c r="AP59" s="67">
        <f ca="1">IF(LOWER(Capacity!$L71)="x",IF(AND(SUMIF(Capacity_Resource,$D59,'Critical resources (hide)'!BC$6:BC$105)+SUMIF(Capacity_Resource,$E59,'Critical resources (hide)'!BC$6:BC$105)+SUMIF(Capacity_Resource,$F59,'Critical resources (hide)'!BC$6:BC$105)&gt;0,$E$1=2),0,1),0)</f>
        <v>1</v>
      </c>
      <c r="AQ59" s="67">
        <f ca="1">IF(LOWER(Capacity!$L71)="x",IF(AND(SUMIF(Capacity_Resource,$D59,'Critical resources (hide)'!BD$6:BD$105)+SUMIF(Capacity_Resource,$E59,'Critical resources (hide)'!BD$6:BD$105)+SUMIF(Capacity_Resource,$F59,'Critical resources (hide)'!BD$6:BD$105)&gt;0,$E$1=2),0,1),0)</f>
        <v>1</v>
      </c>
      <c r="AR59" s="67">
        <f ca="1">IF(LOWER(Capacity!$L71)="x",IF(AND(SUMIF(Capacity_Resource,$D59,'Critical resources (hide)'!BE$6:BE$105)+SUMIF(Capacity_Resource,$E59,'Critical resources (hide)'!BE$6:BE$105)+SUMIF(Capacity_Resource,$F59,'Critical resources (hide)'!BE$6:BE$105)&gt;0,$E$1=2),0,1),0)</f>
        <v>1</v>
      </c>
      <c r="AS59" s="67">
        <f ca="1">IF(LOWER(Capacity!$L71)="x",IF(AND(SUMIF(Capacity_Resource,$D59,'Critical resources (hide)'!BF$6:BF$105)+SUMIF(Capacity_Resource,$E59,'Critical resources (hide)'!BF$6:BF$105)+SUMIF(Capacity_Resource,$F59,'Critical resources (hide)'!BF$6:BF$105)&gt;0,$E$1=2),0,1),0)</f>
        <v>1</v>
      </c>
      <c r="AT59" s="67">
        <f ca="1">IF(LOWER(Capacity!$L71)="x",IF(AND(SUMIF(Capacity_Resource,$D59,'Critical resources (hide)'!BG$6:BG$105)+SUMIF(Capacity_Resource,$E59,'Critical resources (hide)'!BG$6:BG$105)+SUMIF(Capacity_Resource,$F59,'Critical resources (hide)'!BG$6:BG$105)&gt;0,$E$1=2),0,1),0)</f>
        <v>1</v>
      </c>
      <c r="AU59" s="67">
        <f ca="1">IF(LOWER(Capacity!$L71)="x",IF(AND(SUMIF(Capacity_Resource,$D59,'Critical resources (hide)'!BH$6:BH$105)+SUMIF(Capacity_Resource,$E59,'Critical resources (hide)'!BH$6:BH$105)+SUMIF(Capacity_Resource,$F59,'Critical resources (hide)'!BH$6:BH$105)&gt;0,$E$1=2),0,1),0)</f>
        <v>1</v>
      </c>
      <c r="AV59" s="67">
        <f ca="1">IF(LOWER(Capacity!$L71)="x",IF(AND(SUMIF(Capacity_Resource,$D59,'Critical resources (hide)'!BI$6:BI$105)+SUMIF(Capacity_Resource,$E59,'Critical resources (hide)'!BI$6:BI$105)+SUMIF(Capacity_Resource,$F59,'Critical resources (hide)'!BI$6:BI$105)&gt;0,$E$1=2),0,1),0)</f>
        <v>1</v>
      </c>
      <c r="AW59" s="67">
        <f ca="1">IF(LOWER(Capacity!$L71)="x",IF(AND(SUMIF(Capacity_Resource,$D59,'Critical resources (hide)'!BJ$6:BJ$105)+SUMIF(Capacity_Resource,$E59,'Critical resources (hide)'!BJ$6:BJ$105)+SUMIF(Capacity_Resource,$F59,'Critical resources (hide)'!BJ$6:BJ$105)&gt;0,$E$1=2),0,1),0)</f>
        <v>1</v>
      </c>
      <c r="AX59" s="67">
        <f ca="1">IF(LOWER(Capacity!$L71)="x",IF(AND(SUMIF(Capacity_Resource,$D59,'Critical resources (hide)'!BK$6:BK$105)+SUMIF(Capacity_Resource,$E59,'Critical resources (hide)'!BK$6:BK$105)+SUMIF(Capacity_Resource,$F59,'Critical resources (hide)'!BK$6:BK$105)&gt;0,$E$1=2),0,1),0)</f>
        <v>1</v>
      </c>
      <c r="AY59" s="67">
        <f ca="1">IF(LOWER(Capacity!$L71)="x",IF(AND(SUMIF(Capacity_Resource,$D59,'Critical resources (hide)'!BL$6:BL$105)+SUMIF(Capacity_Resource,$E59,'Critical resources (hide)'!BL$6:BL$105)+SUMIF(Capacity_Resource,$F59,'Critical resources (hide)'!BL$6:BL$105)&gt;0,$E$1=2),0,1),0)</f>
        <v>1</v>
      </c>
      <c r="AZ59" s="67">
        <f ca="1">IF(LOWER(Capacity!$L71)="x",IF(AND(SUMIF(Capacity_Resource,$D59,'Critical resources (hide)'!BM$6:BM$105)+SUMIF(Capacity_Resource,$E59,'Critical resources (hide)'!BM$6:BM$105)+SUMIF(Capacity_Resource,$F59,'Critical resources (hide)'!BM$6:BM$105)&gt;0,$E$1=2),0,1),0)</f>
        <v>1</v>
      </c>
      <c r="BA59" s="67">
        <f ca="1">IF(LOWER(Capacity!$L71)="x",IF(AND(SUMIF(Capacity_Resource,$D59,'Critical resources (hide)'!BN$6:BN$105)+SUMIF(Capacity_Resource,$E59,'Critical resources (hide)'!BN$6:BN$105)+SUMIF(Capacity_Resource,$F59,'Critical resources (hide)'!BN$6:BN$105)&gt;0,$E$1=2),0,1),0)</f>
        <v>1</v>
      </c>
      <c r="BB59" s="67">
        <f ca="1">IF(LOWER(Capacity!$L71)="x",IF(AND(SUMIF(Capacity_Resource,$D59,'Critical resources (hide)'!BO$6:BO$105)+SUMIF(Capacity_Resource,$E59,'Critical resources (hide)'!BO$6:BO$105)+SUMIF(Capacity_Resource,$F59,'Critical resources (hide)'!BO$6:BO$105)&gt;0,$E$1=2),0,1),0)</f>
        <v>1</v>
      </c>
      <c r="BC59" s="67">
        <f ca="1">IF(LOWER(Capacity!$L71)="x",IF(AND(SUMIF(Capacity_Resource,$D59,'Critical resources (hide)'!BP$6:BP$105)+SUMIF(Capacity_Resource,$E59,'Critical resources (hide)'!BP$6:BP$105)+SUMIF(Capacity_Resource,$F59,'Critical resources (hide)'!BP$6:BP$105)&gt;0,$E$1=2),0,1),0)</f>
        <v>1</v>
      </c>
      <c r="BD59" s="67">
        <f ca="1">IF(LOWER(Capacity!$L71)="x",IF(AND(SUMIF(Capacity_Resource,$D59,'Critical resources (hide)'!BQ$6:BQ$105)+SUMIF(Capacity_Resource,$E59,'Critical resources (hide)'!BQ$6:BQ$105)+SUMIF(Capacity_Resource,$F59,'Critical resources (hide)'!BQ$6:BQ$105)&gt;0,$E$1=2),0,1),0)</f>
        <v>1</v>
      </c>
      <c r="BE59" s="67">
        <f ca="1">IF(LOWER(Capacity!$L71)="x",IF(AND(SUMIF(Capacity_Resource,$D59,'Critical resources (hide)'!BR$6:BR$105)+SUMIF(Capacity_Resource,$E59,'Critical resources (hide)'!BR$6:BR$105)+SUMIF(Capacity_Resource,$F59,'Critical resources (hide)'!BR$6:BR$105)&gt;0,$E$1=2),0,1),0)</f>
        <v>1</v>
      </c>
      <c r="BF59" s="67">
        <f ca="1">IF(LOWER(Capacity!$L71)="x",IF(AND(SUMIF(Capacity_Resource,$D59,'Critical resources (hide)'!BS$6:BS$105)+SUMIF(Capacity_Resource,$E59,'Critical resources (hide)'!BS$6:BS$105)+SUMIF(Capacity_Resource,$F59,'Critical resources (hide)'!BS$6:BS$105)&gt;0,$E$1=2),0,1),0)</f>
        <v>1</v>
      </c>
      <c r="BG59" s="67">
        <f ca="1">IF(LOWER(Capacity!$L71)="x",IF(AND(SUMIF(Capacity_Resource,$D59,'Critical resources (hide)'!BT$6:BT$105)+SUMIF(Capacity_Resource,$E59,'Critical resources (hide)'!BT$6:BT$105)+SUMIF(Capacity_Resource,$F59,'Critical resources (hide)'!BT$6:BT$105)&gt;0,$E$1=2),0,1),0)</f>
        <v>1</v>
      </c>
      <c r="BH59" s="67">
        <f>IF(ROW(C55)&lt;=Capacity!$A$16,IF('Capacity summary'!$D$14="No",SUM(H59:BG59),'Capacity summary'!$E178),0)</f>
        <v>0</v>
      </c>
      <c r="BI59" s="5" t="str">
        <f>IF(BH59&gt;0,IF(BH59&lt;Capacity!E71,Capacity!F71,Capacity!H71/'Capacity calculation (hide)'!BH59),"")</f>
        <v/>
      </c>
      <c r="BK59" s="311">
        <f>IF($BI59&lt;&gt;"",IF('Capacity summary'!$D$14="Yes",IF(COUNTBLANK('Capacity summary'!$H178:$BG178)&lt;52,IF('Capacity summary'!H178&lt;&gt;"",IF(LOWER('Capacity summary'!H178)="x",$BI59*H59,VALUE('Capacity summary'!H178)),0),H59*$BI59),H59*$BI59),0)</f>
        <v>0</v>
      </c>
      <c r="BL59" s="311">
        <f>IF($BI59&lt;&gt;"",IF('Capacity summary'!$D$14="Yes",IF(COUNTBLANK('Capacity summary'!$H178:$BG178)&lt;52,IF('Capacity summary'!I178&lt;&gt;"",IF(LOWER('Capacity summary'!I178)="x",$BI59*I59,VALUE('Capacity summary'!I178)),0),I59*$BI59),I59*$BI59),0)</f>
        <v>0</v>
      </c>
      <c r="BM59" s="311">
        <f>IF($BI59&lt;&gt;"",IF('Capacity summary'!$D$14="Yes",IF(COUNTBLANK('Capacity summary'!$H178:$BG178)&lt;52,IF('Capacity summary'!J178&lt;&gt;"",IF(LOWER('Capacity summary'!J178)="x",$BI59*J59,VALUE('Capacity summary'!J178)),0),J59*$BI59),J59*$BI59),0)</f>
        <v>0</v>
      </c>
      <c r="BN59" s="311">
        <f>IF($BI59&lt;&gt;"",IF('Capacity summary'!$D$14="Yes",IF(COUNTBLANK('Capacity summary'!$H178:$BG178)&lt;52,IF('Capacity summary'!K178&lt;&gt;"",IF(LOWER('Capacity summary'!K178)="x",$BI59*K59,VALUE('Capacity summary'!K178)),0),K59*$BI59),K59*$BI59),0)</f>
        <v>0</v>
      </c>
      <c r="BO59" s="311">
        <f>IF($BI59&lt;&gt;"",IF('Capacity summary'!$D$14="Yes",IF(COUNTBLANK('Capacity summary'!$H178:$BG178)&lt;52,IF('Capacity summary'!L178&lt;&gt;"",IF(LOWER('Capacity summary'!L178)="x",$BI59*L59,VALUE('Capacity summary'!L178)),0),L59*$BI59),L59*$BI59),0)</f>
        <v>0</v>
      </c>
      <c r="BP59" s="311">
        <f>IF($BI59&lt;&gt;"",IF('Capacity summary'!$D$14="Yes",IF(COUNTBLANK('Capacity summary'!$H178:$BG178)&lt;52,IF('Capacity summary'!M178&lt;&gt;"",IF(LOWER('Capacity summary'!M178)="x",$BI59*M59,VALUE('Capacity summary'!M178)),0),M59*$BI59),M59*$BI59),0)</f>
        <v>0</v>
      </c>
      <c r="BQ59" s="311">
        <f>IF($BI59&lt;&gt;"",IF('Capacity summary'!$D$14="Yes",IF(COUNTBLANK('Capacity summary'!$H178:$BG178)&lt;52,IF('Capacity summary'!N178&lt;&gt;"",IF(LOWER('Capacity summary'!N178)="x",$BI59*N59,VALUE('Capacity summary'!N178)),0),N59*$BI59),N59*$BI59),0)</f>
        <v>0</v>
      </c>
      <c r="BR59" s="311">
        <f>IF($BI59&lt;&gt;"",IF('Capacity summary'!$D$14="Yes",IF(COUNTBLANK('Capacity summary'!$H178:$BG178)&lt;52,IF('Capacity summary'!O178&lt;&gt;"",IF(LOWER('Capacity summary'!O178)="x",$BI59*O59,VALUE('Capacity summary'!O178)),0),O59*$BI59),O59*$BI59),0)</f>
        <v>0</v>
      </c>
      <c r="BS59" s="311">
        <f>IF($BI59&lt;&gt;"",IF('Capacity summary'!$D$14="Yes",IF(COUNTBLANK('Capacity summary'!$H178:$BG178)&lt;52,IF('Capacity summary'!P178&lt;&gt;"",IF(LOWER('Capacity summary'!P178)="x",$BI59*P59,VALUE('Capacity summary'!P178)),0),P59*$BI59),P59*$BI59),0)</f>
        <v>0</v>
      </c>
      <c r="BT59" s="311">
        <f>IF($BI59&lt;&gt;"",IF('Capacity summary'!$D$14="Yes",IF(COUNTBLANK('Capacity summary'!$H178:$BG178)&lt;52,IF('Capacity summary'!Q178&lt;&gt;"",IF(LOWER('Capacity summary'!Q178)="x",$BI59*Q59,VALUE('Capacity summary'!Q178)),0),Q59*$BI59),Q59*$BI59),0)</f>
        <v>0</v>
      </c>
      <c r="BU59" s="311">
        <f>IF($BI59&lt;&gt;"",IF('Capacity summary'!$D$14="Yes",IF(COUNTBLANK('Capacity summary'!$H178:$BG178)&lt;52,IF('Capacity summary'!R178&lt;&gt;"",IF(LOWER('Capacity summary'!R178)="x",$BI59*R59,VALUE('Capacity summary'!R178)),0),R59*$BI59),R59*$BI59),0)</f>
        <v>0</v>
      </c>
      <c r="BV59" s="311">
        <f>IF($BI59&lt;&gt;"",IF('Capacity summary'!$D$14="Yes",IF(COUNTBLANK('Capacity summary'!$H178:$BG178)&lt;52,IF('Capacity summary'!S178&lt;&gt;"",IF(LOWER('Capacity summary'!S178)="x",$BI59*S59,VALUE('Capacity summary'!S178)),0),S59*$BI59),S59*$BI59),0)</f>
        <v>0</v>
      </c>
      <c r="BW59" s="311">
        <f>IF($BI59&lt;&gt;"",IF('Capacity summary'!$D$14="Yes",IF(COUNTBLANK('Capacity summary'!$H178:$BG178)&lt;52,IF('Capacity summary'!T178&lt;&gt;"",IF(LOWER('Capacity summary'!T178)="x",$BI59*T59,VALUE('Capacity summary'!T178)),0),T59*$BI59),T59*$BI59),0)</f>
        <v>0</v>
      </c>
      <c r="BX59" s="311">
        <f>IF($BI59&lt;&gt;"",IF('Capacity summary'!$D$14="Yes",IF(COUNTBLANK('Capacity summary'!$H178:$BG178)&lt;52,IF('Capacity summary'!U178&lt;&gt;"",IF(LOWER('Capacity summary'!U178)="x",$BI59*U59,VALUE('Capacity summary'!U178)),0),U59*$BI59),U59*$BI59),0)</f>
        <v>0</v>
      </c>
      <c r="BY59" s="311">
        <f>IF($BI59&lt;&gt;"",IF('Capacity summary'!$D$14="Yes",IF(COUNTBLANK('Capacity summary'!$H178:$BG178)&lt;52,IF('Capacity summary'!V178&lt;&gt;"",IF(LOWER('Capacity summary'!V178)="x",$BI59*V59,VALUE('Capacity summary'!V178)),0),V59*$BI59),V59*$BI59),0)</f>
        <v>0</v>
      </c>
      <c r="BZ59" s="311">
        <f>IF($BI59&lt;&gt;"",IF('Capacity summary'!$D$14="Yes",IF(COUNTBLANK('Capacity summary'!$H178:$BG178)&lt;52,IF('Capacity summary'!W178&lt;&gt;"",IF(LOWER('Capacity summary'!W178)="x",$BI59*W59,VALUE('Capacity summary'!W178)),0),W59*$BI59),W59*$BI59),0)</f>
        <v>0</v>
      </c>
      <c r="CA59" s="311">
        <f>IF($BI59&lt;&gt;"",IF('Capacity summary'!$D$14="Yes",IF(COUNTBLANK('Capacity summary'!$H178:$BG178)&lt;52,IF('Capacity summary'!X178&lt;&gt;"",IF(LOWER('Capacity summary'!X178)="x",$BI59*X59,VALUE('Capacity summary'!X178)),0),X59*$BI59),X59*$BI59),0)</f>
        <v>0</v>
      </c>
      <c r="CB59" s="311">
        <f>IF($BI59&lt;&gt;"",IF('Capacity summary'!$D$14="Yes",IF(COUNTBLANK('Capacity summary'!$H178:$BG178)&lt;52,IF('Capacity summary'!Y178&lt;&gt;"",IF(LOWER('Capacity summary'!Y178)="x",$BI59*Y59,VALUE('Capacity summary'!Y178)),0),Y59*$BI59),Y59*$BI59),0)</f>
        <v>0</v>
      </c>
      <c r="CC59" s="311">
        <f>IF($BI59&lt;&gt;"",IF('Capacity summary'!$D$14="Yes",IF(COUNTBLANK('Capacity summary'!$H178:$BG178)&lt;52,IF('Capacity summary'!Z178&lt;&gt;"",IF(LOWER('Capacity summary'!Z178)="x",$BI59*Z59,VALUE('Capacity summary'!Z178)),0),Z59*$BI59),Z59*$BI59),0)</f>
        <v>0</v>
      </c>
      <c r="CD59" s="311">
        <f>IF($BI59&lt;&gt;"",IF('Capacity summary'!$D$14="Yes",IF(COUNTBLANK('Capacity summary'!$H178:$BG178)&lt;52,IF('Capacity summary'!AA178&lt;&gt;"",IF(LOWER('Capacity summary'!AA178)="x",$BI59*AA59,VALUE('Capacity summary'!AA178)),0),AA59*$BI59),AA59*$BI59),0)</f>
        <v>0</v>
      </c>
      <c r="CE59" s="311">
        <f>IF($BI59&lt;&gt;"",IF('Capacity summary'!$D$14="Yes",IF(COUNTBLANK('Capacity summary'!$H178:$BG178)&lt;52,IF('Capacity summary'!AB178&lt;&gt;"",IF(LOWER('Capacity summary'!AB178)="x",$BI59*AB59,VALUE('Capacity summary'!AB178)),0),AB59*$BI59),AB59*$BI59),0)</f>
        <v>0</v>
      </c>
      <c r="CF59" s="311">
        <f>IF($BI59&lt;&gt;"",IF('Capacity summary'!$D$14="Yes",IF(COUNTBLANK('Capacity summary'!$H178:$BG178)&lt;52,IF('Capacity summary'!AC178&lt;&gt;"",IF(LOWER('Capacity summary'!AC178)="x",$BI59*AC59,VALUE('Capacity summary'!AC178)),0),AC59*$BI59),AC59*$BI59),0)</f>
        <v>0</v>
      </c>
      <c r="CG59" s="311">
        <f>IF($BI59&lt;&gt;"",IF('Capacity summary'!$D$14="Yes",IF(COUNTBLANK('Capacity summary'!$H178:$BG178)&lt;52,IF('Capacity summary'!AD178&lt;&gt;"",IF(LOWER('Capacity summary'!AD178)="x",$BI59*AD59,VALUE('Capacity summary'!AD178)),0),AD59*$BI59),AD59*$BI59),0)</f>
        <v>0</v>
      </c>
      <c r="CH59" s="311">
        <f>IF($BI59&lt;&gt;"",IF('Capacity summary'!$D$14="Yes",IF(COUNTBLANK('Capacity summary'!$H178:$BG178)&lt;52,IF('Capacity summary'!AE178&lt;&gt;"",IF(LOWER('Capacity summary'!AE178)="x",$BI59*AE59,VALUE('Capacity summary'!AE178)),0),AE59*$BI59),AE59*$BI59),0)</f>
        <v>0</v>
      </c>
      <c r="CI59" s="311">
        <f>IF($BI59&lt;&gt;"",IF('Capacity summary'!$D$14="Yes",IF(COUNTBLANK('Capacity summary'!$H178:$BG178)&lt;52,IF('Capacity summary'!AF178&lt;&gt;"",IF(LOWER('Capacity summary'!AF178)="x",$BI59*AF59,VALUE('Capacity summary'!AF178)),0),AF59*$BI59),AF59*$BI59),0)</f>
        <v>0</v>
      </c>
      <c r="CJ59" s="311">
        <f>IF($BI59&lt;&gt;"",IF('Capacity summary'!$D$14="Yes",IF(COUNTBLANK('Capacity summary'!$H178:$BG178)&lt;52,IF('Capacity summary'!AG178&lt;&gt;"",IF(LOWER('Capacity summary'!AG178)="x",$BI59*AG59,VALUE('Capacity summary'!AG178)),0),AG59*$BI59),AG59*$BI59),0)</f>
        <v>0</v>
      </c>
      <c r="CK59" s="311">
        <f>IF($BI59&lt;&gt;"",IF('Capacity summary'!$D$14="Yes",IF(COUNTBLANK('Capacity summary'!$H178:$BG178)&lt;52,IF('Capacity summary'!AH178&lt;&gt;"",IF(LOWER('Capacity summary'!AH178)="x",$BI59*AH59,VALUE('Capacity summary'!AH178)),0),AH59*$BI59),AH59*$BI59),0)</f>
        <v>0</v>
      </c>
      <c r="CL59" s="311">
        <f>IF($BI59&lt;&gt;"",IF('Capacity summary'!$D$14="Yes",IF(COUNTBLANK('Capacity summary'!$H178:$BG178)&lt;52,IF('Capacity summary'!AI178&lt;&gt;"",IF(LOWER('Capacity summary'!AI178)="x",$BI59*AI59,VALUE('Capacity summary'!AI178)),0),AI59*$BI59),AI59*$BI59),0)</f>
        <v>0</v>
      </c>
      <c r="CM59" s="311">
        <f>IF($BI59&lt;&gt;"",IF('Capacity summary'!$D$14="Yes",IF(COUNTBLANK('Capacity summary'!$H178:$BG178)&lt;52,IF('Capacity summary'!AJ178&lt;&gt;"",IF(LOWER('Capacity summary'!AJ178)="x",$BI59*AJ59,VALUE('Capacity summary'!AJ178)),0),AJ59*$BI59),AJ59*$BI59),0)</f>
        <v>0</v>
      </c>
      <c r="CN59" s="311">
        <f>IF($BI59&lt;&gt;"",IF('Capacity summary'!$D$14="Yes",IF(COUNTBLANK('Capacity summary'!$H178:$BG178)&lt;52,IF('Capacity summary'!AK178&lt;&gt;"",IF(LOWER('Capacity summary'!AK178)="x",$BI59*AK59,VALUE('Capacity summary'!AK178)),0),AK59*$BI59),AK59*$BI59),0)</f>
        <v>0</v>
      </c>
      <c r="CO59" s="311">
        <f>IF($BI59&lt;&gt;"",IF('Capacity summary'!$D$14="Yes",IF(COUNTBLANK('Capacity summary'!$H178:$BG178)&lt;52,IF('Capacity summary'!AL178&lt;&gt;"",IF(LOWER('Capacity summary'!AL178)="x",$BI59*AL59,VALUE('Capacity summary'!AL178)),0),AL59*$BI59),AL59*$BI59),0)</f>
        <v>0</v>
      </c>
      <c r="CP59" s="311">
        <f>IF($BI59&lt;&gt;"",IF('Capacity summary'!$D$14="Yes",IF(COUNTBLANK('Capacity summary'!$H178:$BG178)&lt;52,IF('Capacity summary'!AM178&lt;&gt;"",IF(LOWER('Capacity summary'!AM178)="x",$BI59*AM59,VALUE('Capacity summary'!AM178)),0),AM59*$BI59),AM59*$BI59),0)</f>
        <v>0</v>
      </c>
      <c r="CQ59" s="311">
        <f>IF($BI59&lt;&gt;"",IF('Capacity summary'!$D$14="Yes",IF(COUNTBLANK('Capacity summary'!$H178:$BG178)&lt;52,IF('Capacity summary'!AN178&lt;&gt;"",IF(LOWER('Capacity summary'!AN178)="x",$BI59*AN59,VALUE('Capacity summary'!AN178)),0),AN59*$BI59),AN59*$BI59),0)</f>
        <v>0</v>
      </c>
      <c r="CR59" s="311">
        <f>IF($BI59&lt;&gt;"",IF('Capacity summary'!$D$14="Yes",IF(COUNTBLANK('Capacity summary'!$H178:$BG178)&lt;52,IF('Capacity summary'!AO178&lt;&gt;"",IF(LOWER('Capacity summary'!AO178)="x",$BI59*AO59,VALUE('Capacity summary'!AO178)),0),AO59*$BI59),AO59*$BI59),0)</f>
        <v>0</v>
      </c>
      <c r="CS59" s="311">
        <f>IF($BI59&lt;&gt;"",IF('Capacity summary'!$D$14="Yes",IF(COUNTBLANK('Capacity summary'!$H178:$BG178)&lt;52,IF('Capacity summary'!AP178&lt;&gt;"",IF(LOWER('Capacity summary'!AP178)="x",$BI59*AP59,VALUE('Capacity summary'!AP178)),0),AP59*$BI59),AP59*$BI59),0)</f>
        <v>0</v>
      </c>
      <c r="CT59" s="311">
        <f>IF($BI59&lt;&gt;"",IF('Capacity summary'!$D$14="Yes",IF(COUNTBLANK('Capacity summary'!$H178:$BG178)&lt;52,IF('Capacity summary'!AQ178&lt;&gt;"",IF(LOWER('Capacity summary'!AQ178)="x",$BI59*AQ59,VALUE('Capacity summary'!AQ178)),0),AQ59*$BI59),AQ59*$BI59),0)</f>
        <v>0</v>
      </c>
      <c r="CU59" s="311">
        <f>IF($BI59&lt;&gt;"",IF('Capacity summary'!$D$14="Yes",IF(COUNTBLANK('Capacity summary'!$H178:$BG178)&lt;52,IF('Capacity summary'!AR178&lt;&gt;"",IF(LOWER('Capacity summary'!AR178)="x",$BI59*AR59,VALUE('Capacity summary'!AR178)),0),AR59*$BI59),AR59*$BI59),0)</f>
        <v>0</v>
      </c>
      <c r="CV59" s="311">
        <f>IF($BI59&lt;&gt;"",IF('Capacity summary'!$D$14="Yes",IF(COUNTBLANK('Capacity summary'!$H178:$BG178)&lt;52,IF('Capacity summary'!AS178&lt;&gt;"",IF(LOWER('Capacity summary'!AS178)="x",$BI59*AS59,VALUE('Capacity summary'!AS178)),0),AS59*$BI59),AS59*$BI59),0)</f>
        <v>0</v>
      </c>
      <c r="CW59" s="311">
        <f>IF($BI59&lt;&gt;"",IF('Capacity summary'!$D$14="Yes",IF(COUNTBLANK('Capacity summary'!$H178:$BG178)&lt;52,IF('Capacity summary'!AT178&lt;&gt;"",IF(LOWER('Capacity summary'!AT178)="x",$BI59*AT59,VALUE('Capacity summary'!AT178)),0),AT59*$BI59),AT59*$BI59),0)</f>
        <v>0</v>
      </c>
      <c r="CX59" s="311">
        <f>IF($BI59&lt;&gt;"",IF('Capacity summary'!$D$14="Yes",IF(COUNTBLANK('Capacity summary'!$H178:$BG178)&lt;52,IF('Capacity summary'!AU178&lt;&gt;"",IF(LOWER('Capacity summary'!AU178)="x",$BI59*AU59,VALUE('Capacity summary'!AU178)),0),AU59*$BI59),AU59*$BI59),0)</f>
        <v>0</v>
      </c>
      <c r="CY59" s="311">
        <f>IF($BI59&lt;&gt;"",IF('Capacity summary'!$D$14="Yes",IF(COUNTBLANK('Capacity summary'!$H178:$BG178)&lt;52,IF('Capacity summary'!AV178&lt;&gt;"",IF(LOWER('Capacity summary'!AV178)="x",$BI59*AV59,VALUE('Capacity summary'!AV178)),0),AV59*$BI59),AV59*$BI59),0)</f>
        <v>0</v>
      </c>
      <c r="CZ59" s="311">
        <f>IF($BI59&lt;&gt;"",IF('Capacity summary'!$D$14="Yes",IF(COUNTBLANK('Capacity summary'!$H178:$BG178)&lt;52,IF('Capacity summary'!AW178&lt;&gt;"",IF(LOWER('Capacity summary'!AW178)="x",$BI59*AW59,VALUE('Capacity summary'!AW178)),0),AW59*$BI59),AW59*$BI59),0)</f>
        <v>0</v>
      </c>
      <c r="DA59" s="311">
        <f>IF($BI59&lt;&gt;"",IF('Capacity summary'!$D$14="Yes",IF(COUNTBLANK('Capacity summary'!$H178:$BG178)&lt;52,IF('Capacity summary'!AX178&lt;&gt;"",IF(LOWER('Capacity summary'!AX178)="x",$BI59*AX59,VALUE('Capacity summary'!AX178)),0),AX59*$BI59),AX59*$BI59),0)</f>
        <v>0</v>
      </c>
      <c r="DB59" s="311">
        <f>IF($BI59&lt;&gt;"",IF('Capacity summary'!$D$14="Yes",IF(COUNTBLANK('Capacity summary'!$H178:$BG178)&lt;52,IF('Capacity summary'!AY178&lt;&gt;"",IF(LOWER('Capacity summary'!AY178)="x",$BI59*AY59,VALUE('Capacity summary'!AY178)),0),AY59*$BI59),AY59*$BI59),0)</f>
        <v>0</v>
      </c>
      <c r="DC59" s="311">
        <f>IF($BI59&lt;&gt;"",IF('Capacity summary'!$D$14="Yes",IF(COUNTBLANK('Capacity summary'!$H178:$BG178)&lt;52,IF('Capacity summary'!AZ178&lt;&gt;"",IF(LOWER('Capacity summary'!AZ178)="x",$BI59*AZ59,VALUE('Capacity summary'!AZ178)),0),AZ59*$BI59),AZ59*$BI59),0)</f>
        <v>0</v>
      </c>
      <c r="DD59" s="311">
        <f>IF($BI59&lt;&gt;"",IF('Capacity summary'!$D$14="Yes",IF(COUNTBLANK('Capacity summary'!$H178:$BG178)&lt;52,IF('Capacity summary'!BA178&lt;&gt;"",IF(LOWER('Capacity summary'!BA178)="x",$BI59*BA59,VALUE('Capacity summary'!BA178)),0),BA59*$BI59),BA59*$BI59),0)</f>
        <v>0</v>
      </c>
      <c r="DE59" s="311">
        <f>IF($BI59&lt;&gt;"",IF('Capacity summary'!$D$14="Yes",IF(COUNTBLANK('Capacity summary'!$H178:$BG178)&lt;52,IF('Capacity summary'!BB178&lt;&gt;"",IF(LOWER('Capacity summary'!BB178)="x",$BI59*BB59,VALUE('Capacity summary'!BB178)),0),BB59*$BI59),BB59*$BI59),0)</f>
        <v>0</v>
      </c>
      <c r="DF59" s="311">
        <f>IF($BI59&lt;&gt;"",IF('Capacity summary'!$D$14="Yes",IF(COUNTBLANK('Capacity summary'!$H178:$BG178)&lt;52,IF('Capacity summary'!BC178&lt;&gt;"",IF(LOWER('Capacity summary'!BC178)="x",$BI59*BC59,VALUE('Capacity summary'!BC178)),0),BC59*$BI59),BC59*$BI59),0)</f>
        <v>0</v>
      </c>
      <c r="DG59" s="311">
        <f>IF($BI59&lt;&gt;"",IF('Capacity summary'!$D$14="Yes",IF(COUNTBLANK('Capacity summary'!$H178:$BG178)&lt;52,IF('Capacity summary'!BD178&lt;&gt;"",IF(LOWER('Capacity summary'!BD178)="x",$BI59*BD59,VALUE('Capacity summary'!BD178)),0),BD59*$BI59),BD59*$BI59),0)</f>
        <v>0</v>
      </c>
      <c r="DH59" s="311">
        <f>IF($BI59&lt;&gt;"",IF('Capacity summary'!$D$14="Yes",IF(COUNTBLANK('Capacity summary'!$H178:$BG178)&lt;52,IF('Capacity summary'!BE178&lt;&gt;"",IF(LOWER('Capacity summary'!BE178)="x",$BI59*BE59,VALUE('Capacity summary'!BE178)),0),BE59*$BI59),BE59*$BI59),0)</f>
        <v>0</v>
      </c>
      <c r="DI59" s="311">
        <f>IF($BI59&lt;&gt;"",IF('Capacity summary'!$D$14="Yes",IF(COUNTBLANK('Capacity summary'!$H178:$BG178)&lt;52,IF('Capacity summary'!BF178&lt;&gt;"",IF(LOWER('Capacity summary'!BF178)="x",$BI59*BF59,VALUE('Capacity summary'!BF178)),0),BF59*$BI59),BF59*$BI59),0)</f>
        <v>0</v>
      </c>
      <c r="DJ59" s="311">
        <f>IF($BI59&lt;&gt;"",IF('Capacity summary'!$D$14="Yes",IF(COUNTBLANK('Capacity summary'!$H178:$BG178)&lt;52,IF('Capacity summary'!BG178&lt;&gt;"",IF(LOWER('Capacity summary'!BG178)="x",$BI59*BG59,VALUE('Capacity summary'!BG178)),0),BG59*$BI59),BG59*$BI59),0)</f>
        <v>0</v>
      </c>
      <c r="DK59" s="391">
        <f t="shared" si="2"/>
        <v>0</v>
      </c>
      <c r="DL59" s="136">
        <f t="shared" si="3"/>
        <v>0</v>
      </c>
      <c r="DM59" s="311" t="str">
        <f>Capacity!H71</f>
        <v/>
      </c>
    </row>
    <row r="60" spans="1:121" x14ac:dyDescent="0.2">
      <c r="A60" s="67">
        <f>IF(Capacity!L72='Capacity summary'!BI179,1,0)</f>
        <v>1</v>
      </c>
      <c r="B60" s="67">
        <f>IF(Capacity!V72='Capacity summary'!BI79,1,0)</f>
        <v>1</v>
      </c>
      <c r="C60" s="67" t="str">
        <f>ROW(A56)&amp;". "&amp;Capacity!B72</f>
        <v xml:space="preserve">56. </v>
      </c>
      <c r="D60" s="67">
        <f>'Capacity setup'!C67</f>
        <v>0</v>
      </c>
      <c r="E60" s="67">
        <f>'Capacity setup'!D67</f>
        <v>0</v>
      </c>
      <c r="F60" s="67">
        <f>'Capacity setup'!E67</f>
        <v>0</v>
      </c>
      <c r="H60" s="67">
        <f ca="1">IF(LOWER(Capacity!$L72)="x",IF(AND(SUMIF(Capacity_Resource,$D60,'Critical resources (hide)'!U$6:U$105)+SUMIF(Capacity_Resource,$E60,'Critical resources (hide)'!U$6:U$105)+SUMIF(Capacity_Resource,$F60,'Critical resources (hide)'!U$6:U$105)&gt;0,$E$1=2),0,1),0)</f>
        <v>1</v>
      </c>
      <c r="I60" s="67">
        <f ca="1">IF(LOWER(Capacity!$L72)="x",IF(AND(SUMIF(Capacity_Resource,$D60,'Critical resources (hide)'!V$6:V$105)+SUMIF(Capacity_Resource,$E60,'Critical resources (hide)'!V$6:V$105)+SUMIF(Capacity_Resource,$F60,'Critical resources (hide)'!V$6:V$105)&gt;0,$E$1=2),0,1),0)</f>
        <v>1</v>
      </c>
      <c r="J60" s="67">
        <f ca="1">IF(LOWER(Capacity!$L72)="x",IF(AND(SUMIF(Capacity_Resource,$D60,'Critical resources (hide)'!W$6:W$105)+SUMIF(Capacity_Resource,$E60,'Critical resources (hide)'!W$6:W$105)+SUMIF(Capacity_Resource,$F60,'Critical resources (hide)'!W$6:W$105)&gt;0,$E$1=2),0,1),0)</f>
        <v>1</v>
      </c>
      <c r="K60" s="67">
        <f ca="1">IF(LOWER(Capacity!$L72)="x",IF(AND(SUMIF(Capacity_Resource,$D60,'Critical resources (hide)'!X$6:X$105)+SUMIF(Capacity_Resource,$E60,'Critical resources (hide)'!X$6:X$105)+SUMIF(Capacity_Resource,$F60,'Critical resources (hide)'!X$6:X$105)&gt;0,$E$1=2),0,1),0)</f>
        <v>1</v>
      </c>
      <c r="L60" s="67">
        <f ca="1">IF(LOWER(Capacity!$L72)="x",IF(AND(SUMIF(Capacity_Resource,$D60,'Critical resources (hide)'!Y$6:Y$105)+SUMIF(Capacity_Resource,$E60,'Critical resources (hide)'!Y$6:Y$105)+SUMIF(Capacity_Resource,$F60,'Critical resources (hide)'!Y$6:Y$105)&gt;0,$E$1=2),0,1),0)</f>
        <v>1</v>
      </c>
      <c r="M60" s="67">
        <f ca="1">IF(LOWER(Capacity!$L72)="x",IF(AND(SUMIF(Capacity_Resource,$D60,'Critical resources (hide)'!Z$6:Z$105)+SUMIF(Capacity_Resource,$E60,'Critical resources (hide)'!Z$6:Z$105)+SUMIF(Capacity_Resource,$F60,'Critical resources (hide)'!Z$6:Z$105)&gt;0,$E$1=2),0,1),0)</f>
        <v>1</v>
      </c>
      <c r="N60" s="67">
        <f ca="1">IF(LOWER(Capacity!$L72)="x",IF(AND(SUMIF(Capacity_Resource,$D60,'Critical resources (hide)'!AA$6:AA$105)+SUMIF(Capacity_Resource,$E60,'Critical resources (hide)'!AA$6:AA$105)+SUMIF(Capacity_Resource,$F60,'Critical resources (hide)'!AA$6:AA$105)&gt;0,$E$1=2),0,1),0)</f>
        <v>1</v>
      </c>
      <c r="O60" s="67">
        <f ca="1">IF(LOWER(Capacity!$L72)="x",IF(AND(SUMIF(Capacity_Resource,$D60,'Critical resources (hide)'!AB$6:AB$105)+SUMIF(Capacity_Resource,$E60,'Critical resources (hide)'!AB$6:AB$105)+SUMIF(Capacity_Resource,$F60,'Critical resources (hide)'!AB$6:AB$105)&gt;0,$E$1=2),0,1),0)</f>
        <v>1</v>
      </c>
      <c r="P60" s="67">
        <f ca="1">IF(LOWER(Capacity!$L72)="x",IF(AND(SUMIF(Capacity_Resource,$D60,'Critical resources (hide)'!AC$6:AC$105)+SUMIF(Capacity_Resource,$E60,'Critical resources (hide)'!AC$6:AC$105)+SUMIF(Capacity_Resource,$F60,'Critical resources (hide)'!AC$6:AC$105)&gt;0,$E$1=2),0,1),0)</f>
        <v>1</v>
      </c>
      <c r="Q60" s="67">
        <f ca="1">IF(LOWER(Capacity!$L72)="x",IF(AND(SUMIF(Capacity_Resource,$D60,'Critical resources (hide)'!AD$6:AD$105)+SUMIF(Capacity_Resource,$E60,'Critical resources (hide)'!AD$6:AD$105)+SUMIF(Capacity_Resource,$F60,'Critical resources (hide)'!AD$6:AD$105)&gt;0,$E$1=2),0,1),0)</f>
        <v>1</v>
      </c>
      <c r="R60" s="67">
        <f ca="1">IF(LOWER(Capacity!$L72)="x",IF(AND(SUMIF(Capacity_Resource,$D60,'Critical resources (hide)'!AE$6:AE$105)+SUMIF(Capacity_Resource,$E60,'Critical resources (hide)'!AE$6:AE$105)+SUMIF(Capacity_Resource,$F60,'Critical resources (hide)'!AE$6:AE$105)&gt;0,$E$1=2),0,1),0)</f>
        <v>1</v>
      </c>
      <c r="S60" s="67">
        <f ca="1">IF(LOWER(Capacity!$L72)="x",IF(AND(SUMIF(Capacity_Resource,$D60,'Critical resources (hide)'!AF$6:AF$105)+SUMIF(Capacity_Resource,$E60,'Critical resources (hide)'!AF$6:AF$105)+SUMIF(Capacity_Resource,$F60,'Critical resources (hide)'!AF$6:AF$105)&gt;0,$E$1=2),0,1),0)</f>
        <v>1</v>
      </c>
      <c r="T60" s="67">
        <f ca="1">IF(LOWER(Capacity!$L72)="x",IF(AND(SUMIF(Capacity_Resource,$D60,'Critical resources (hide)'!AG$6:AG$105)+SUMIF(Capacity_Resource,$E60,'Critical resources (hide)'!AG$6:AG$105)+SUMIF(Capacity_Resource,$F60,'Critical resources (hide)'!AG$6:AG$105)&gt;0,$E$1=2),0,1),0)</f>
        <v>1</v>
      </c>
      <c r="U60" s="67">
        <f ca="1">IF(LOWER(Capacity!$L72)="x",IF(AND(SUMIF(Capacity_Resource,$D60,'Critical resources (hide)'!AH$6:AH$105)+SUMIF(Capacity_Resource,$E60,'Critical resources (hide)'!AH$6:AH$105)+SUMIF(Capacity_Resource,$F60,'Critical resources (hide)'!AH$6:AH$105)&gt;0,$E$1=2),0,1),0)</f>
        <v>1</v>
      </c>
      <c r="V60" s="67">
        <f ca="1">IF(LOWER(Capacity!$L72)="x",IF(AND(SUMIF(Capacity_Resource,$D60,'Critical resources (hide)'!AI$6:AI$105)+SUMIF(Capacity_Resource,$E60,'Critical resources (hide)'!AI$6:AI$105)+SUMIF(Capacity_Resource,$F60,'Critical resources (hide)'!AI$6:AI$105)&gt;0,$E$1=2),0,1),0)</f>
        <v>1</v>
      </c>
      <c r="W60" s="67">
        <f ca="1">IF(LOWER(Capacity!$L72)="x",IF(AND(SUMIF(Capacity_Resource,$D60,'Critical resources (hide)'!AJ$6:AJ$105)+SUMIF(Capacity_Resource,$E60,'Critical resources (hide)'!AJ$6:AJ$105)+SUMIF(Capacity_Resource,$F60,'Critical resources (hide)'!AJ$6:AJ$105)&gt;0,$E$1=2),0,1),0)</f>
        <v>1</v>
      </c>
      <c r="X60" s="67">
        <f ca="1">IF(LOWER(Capacity!$L72)="x",IF(AND(SUMIF(Capacity_Resource,$D60,'Critical resources (hide)'!AK$6:AK$105)+SUMIF(Capacity_Resource,$E60,'Critical resources (hide)'!AK$6:AK$105)+SUMIF(Capacity_Resource,$F60,'Critical resources (hide)'!AK$6:AK$105)&gt;0,$E$1=2),0,1),0)</f>
        <v>1</v>
      </c>
      <c r="Y60" s="67">
        <f ca="1">IF(LOWER(Capacity!$L72)="x",IF(AND(SUMIF(Capacity_Resource,$D60,'Critical resources (hide)'!AL$6:AL$105)+SUMIF(Capacity_Resource,$E60,'Critical resources (hide)'!AL$6:AL$105)+SUMIF(Capacity_Resource,$F60,'Critical resources (hide)'!AL$6:AL$105)&gt;0,$E$1=2),0,1),0)</f>
        <v>1</v>
      </c>
      <c r="Z60" s="67">
        <f ca="1">IF(LOWER(Capacity!$L72)="x",IF(AND(SUMIF(Capacity_Resource,$D60,'Critical resources (hide)'!AM$6:AM$105)+SUMIF(Capacity_Resource,$E60,'Critical resources (hide)'!AM$6:AM$105)+SUMIF(Capacity_Resource,$F60,'Critical resources (hide)'!AM$6:AM$105)&gt;0,$E$1=2),0,1),0)</f>
        <v>1</v>
      </c>
      <c r="AA60" s="67">
        <f ca="1">IF(LOWER(Capacity!$L72)="x",IF(AND(SUMIF(Capacity_Resource,$D60,'Critical resources (hide)'!AN$6:AN$105)+SUMIF(Capacity_Resource,$E60,'Critical resources (hide)'!AN$6:AN$105)+SUMIF(Capacity_Resource,$F60,'Critical resources (hide)'!AN$6:AN$105)&gt;0,$E$1=2),0,1),0)</f>
        <v>1</v>
      </c>
      <c r="AB60" s="67">
        <f ca="1">IF(LOWER(Capacity!$L72)="x",IF(AND(SUMIF(Capacity_Resource,$D60,'Critical resources (hide)'!AO$6:AO$105)+SUMIF(Capacity_Resource,$E60,'Critical resources (hide)'!AO$6:AO$105)+SUMIF(Capacity_Resource,$F60,'Critical resources (hide)'!AO$6:AO$105)&gt;0,$E$1=2),0,1),0)</f>
        <v>1</v>
      </c>
      <c r="AC60" s="67">
        <f ca="1">IF(LOWER(Capacity!$L72)="x",IF(AND(SUMIF(Capacity_Resource,$D60,'Critical resources (hide)'!AP$6:AP$105)+SUMIF(Capacity_Resource,$E60,'Critical resources (hide)'!AP$6:AP$105)+SUMIF(Capacity_Resource,$F60,'Critical resources (hide)'!AP$6:AP$105)&gt;0,$E$1=2),0,1),0)</f>
        <v>1</v>
      </c>
      <c r="AD60" s="67">
        <f ca="1">IF(LOWER(Capacity!$L72)="x",IF(AND(SUMIF(Capacity_Resource,$D60,'Critical resources (hide)'!AQ$6:AQ$105)+SUMIF(Capacity_Resource,$E60,'Critical resources (hide)'!AQ$6:AQ$105)+SUMIF(Capacity_Resource,$F60,'Critical resources (hide)'!AQ$6:AQ$105)&gt;0,$E$1=2),0,1),0)</f>
        <v>1</v>
      </c>
      <c r="AE60" s="67">
        <f ca="1">IF(LOWER(Capacity!$L72)="x",IF(AND(SUMIF(Capacity_Resource,$D60,'Critical resources (hide)'!AR$6:AR$105)+SUMIF(Capacity_Resource,$E60,'Critical resources (hide)'!AR$6:AR$105)+SUMIF(Capacity_Resource,$F60,'Critical resources (hide)'!AR$6:AR$105)&gt;0,$E$1=2),0,1),0)</f>
        <v>1</v>
      </c>
      <c r="AF60" s="67">
        <f ca="1">IF(LOWER(Capacity!$L72)="x",IF(AND(SUMIF(Capacity_Resource,$D60,'Critical resources (hide)'!AS$6:AS$105)+SUMIF(Capacity_Resource,$E60,'Critical resources (hide)'!AS$6:AS$105)+SUMIF(Capacity_Resource,$F60,'Critical resources (hide)'!AS$6:AS$105)&gt;0,$E$1=2),0,1),0)</f>
        <v>1</v>
      </c>
      <c r="AG60" s="67">
        <f ca="1">IF(LOWER(Capacity!$L72)="x",IF(AND(SUMIF(Capacity_Resource,$D60,'Critical resources (hide)'!AT$6:AT$105)+SUMIF(Capacity_Resource,$E60,'Critical resources (hide)'!AT$6:AT$105)+SUMIF(Capacity_Resource,$F60,'Critical resources (hide)'!AT$6:AT$105)&gt;0,$E$1=2),0,1),0)</f>
        <v>1</v>
      </c>
      <c r="AH60" s="67">
        <f ca="1">IF(LOWER(Capacity!$L72)="x",IF(AND(SUMIF(Capacity_Resource,$D60,'Critical resources (hide)'!AU$6:AU$105)+SUMIF(Capacity_Resource,$E60,'Critical resources (hide)'!AU$6:AU$105)+SUMIF(Capacity_Resource,$F60,'Critical resources (hide)'!AU$6:AU$105)&gt;0,$E$1=2),0,1),0)</f>
        <v>1</v>
      </c>
      <c r="AI60" s="67">
        <f ca="1">IF(LOWER(Capacity!$L72)="x",IF(AND(SUMIF(Capacity_Resource,$D60,'Critical resources (hide)'!AV$6:AV$105)+SUMIF(Capacity_Resource,$E60,'Critical resources (hide)'!AV$6:AV$105)+SUMIF(Capacity_Resource,$F60,'Critical resources (hide)'!AV$6:AV$105)&gt;0,$E$1=2),0,1),0)</f>
        <v>1</v>
      </c>
      <c r="AJ60" s="67">
        <f ca="1">IF(LOWER(Capacity!$L72)="x",IF(AND(SUMIF(Capacity_Resource,$D60,'Critical resources (hide)'!AW$6:AW$105)+SUMIF(Capacity_Resource,$E60,'Critical resources (hide)'!AW$6:AW$105)+SUMIF(Capacity_Resource,$F60,'Critical resources (hide)'!AW$6:AW$105)&gt;0,$E$1=2),0,1),0)</f>
        <v>1</v>
      </c>
      <c r="AK60" s="67">
        <f ca="1">IF(LOWER(Capacity!$L72)="x",IF(AND(SUMIF(Capacity_Resource,$D60,'Critical resources (hide)'!AX$6:AX$105)+SUMIF(Capacity_Resource,$E60,'Critical resources (hide)'!AX$6:AX$105)+SUMIF(Capacity_Resource,$F60,'Critical resources (hide)'!AX$6:AX$105)&gt;0,$E$1=2),0,1),0)</f>
        <v>1</v>
      </c>
      <c r="AL60" s="67">
        <f ca="1">IF(LOWER(Capacity!$L72)="x",IF(AND(SUMIF(Capacity_Resource,$D60,'Critical resources (hide)'!AY$6:AY$105)+SUMIF(Capacity_Resource,$E60,'Critical resources (hide)'!AY$6:AY$105)+SUMIF(Capacity_Resource,$F60,'Critical resources (hide)'!AY$6:AY$105)&gt;0,$E$1=2),0,1),0)</f>
        <v>1</v>
      </c>
      <c r="AM60" s="67">
        <f ca="1">IF(LOWER(Capacity!$L72)="x",IF(AND(SUMIF(Capacity_Resource,$D60,'Critical resources (hide)'!AZ$6:AZ$105)+SUMIF(Capacity_Resource,$E60,'Critical resources (hide)'!AZ$6:AZ$105)+SUMIF(Capacity_Resource,$F60,'Critical resources (hide)'!AZ$6:AZ$105)&gt;0,$E$1=2),0,1),0)</f>
        <v>1</v>
      </c>
      <c r="AN60" s="67">
        <f ca="1">IF(LOWER(Capacity!$L72)="x",IF(AND(SUMIF(Capacity_Resource,$D60,'Critical resources (hide)'!BA$6:BA$105)+SUMIF(Capacity_Resource,$E60,'Critical resources (hide)'!BA$6:BA$105)+SUMIF(Capacity_Resource,$F60,'Critical resources (hide)'!BA$6:BA$105)&gt;0,$E$1=2),0,1),0)</f>
        <v>1</v>
      </c>
      <c r="AO60" s="67">
        <f ca="1">IF(LOWER(Capacity!$L72)="x",IF(AND(SUMIF(Capacity_Resource,$D60,'Critical resources (hide)'!BB$6:BB$105)+SUMIF(Capacity_Resource,$E60,'Critical resources (hide)'!BB$6:BB$105)+SUMIF(Capacity_Resource,$F60,'Critical resources (hide)'!BB$6:BB$105)&gt;0,$E$1=2),0,1),0)</f>
        <v>1</v>
      </c>
      <c r="AP60" s="67">
        <f ca="1">IF(LOWER(Capacity!$L72)="x",IF(AND(SUMIF(Capacity_Resource,$D60,'Critical resources (hide)'!BC$6:BC$105)+SUMIF(Capacity_Resource,$E60,'Critical resources (hide)'!BC$6:BC$105)+SUMIF(Capacity_Resource,$F60,'Critical resources (hide)'!BC$6:BC$105)&gt;0,$E$1=2),0,1),0)</f>
        <v>1</v>
      </c>
      <c r="AQ60" s="67">
        <f ca="1">IF(LOWER(Capacity!$L72)="x",IF(AND(SUMIF(Capacity_Resource,$D60,'Critical resources (hide)'!BD$6:BD$105)+SUMIF(Capacity_Resource,$E60,'Critical resources (hide)'!BD$6:BD$105)+SUMIF(Capacity_Resource,$F60,'Critical resources (hide)'!BD$6:BD$105)&gt;0,$E$1=2),0,1),0)</f>
        <v>1</v>
      </c>
      <c r="AR60" s="67">
        <f ca="1">IF(LOWER(Capacity!$L72)="x",IF(AND(SUMIF(Capacity_Resource,$D60,'Critical resources (hide)'!BE$6:BE$105)+SUMIF(Capacity_Resource,$E60,'Critical resources (hide)'!BE$6:BE$105)+SUMIF(Capacity_Resource,$F60,'Critical resources (hide)'!BE$6:BE$105)&gt;0,$E$1=2),0,1),0)</f>
        <v>1</v>
      </c>
      <c r="AS60" s="67">
        <f ca="1">IF(LOWER(Capacity!$L72)="x",IF(AND(SUMIF(Capacity_Resource,$D60,'Critical resources (hide)'!BF$6:BF$105)+SUMIF(Capacity_Resource,$E60,'Critical resources (hide)'!BF$6:BF$105)+SUMIF(Capacity_Resource,$F60,'Critical resources (hide)'!BF$6:BF$105)&gt;0,$E$1=2),0,1),0)</f>
        <v>1</v>
      </c>
      <c r="AT60" s="67">
        <f ca="1">IF(LOWER(Capacity!$L72)="x",IF(AND(SUMIF(Capacity_Resource,$D60,'Critical resources (hide)'!BG$6:BG$105)+SUMIF(Capacity_Resource,$E60,'Critical resources (hide)'!BG$6:BG$105)+SUMIF(Capacity_Resource,$F60,'Critical resources (hide)'!BG$6:BG$105)&gt;0,$E$1=2),0,1),0)</f>
        <v>1</v>
      </c>
      <c r="AU60" s="67">
        <f ca="1">IF(LOWER(Capacity!$L72)="x",IF(AND(SUMIF(Capacity_Resource,$D60,'Critical resources (hide)'!BH$6:BH$105)+SUMIF(Capacity_Resource,$E60,'Critical resources (hide)'!BH$6:BH$105)+SUMIF(Capacity_Resource,$F60,'Critical resources (hide)'!BH$6:BH$105)&gt;0,$E$1=2),0,1),0)</f>
        <v>1</v>
      </c>
      <c r="AV60" s="67">
        <f ca="1">IF(LOWER(Capacity!$L72)="x",IF(AND(SUMIF(Capacity_Resource,$D60,'Critical resources (hide)'!BI$6:BI$105)+SUMIF(Capacity_Resource,$E60,'Critical resources (hide)'!BI$6:BI$105)+SUMIF(Capacity_Resource,$F60,'Critical resources (hide)'!BI$6:BI$105)&gt;0,$E$1=2),0,1),0)</f>
        <v>1</v>
      </c>
      <c r="AW60" s="67">
        <f ca="1">IF(LOWER(Capacity!$L72)="x",IF(AND(SUMIF(Capacity_Resource,$D60,'Critical resources (hide)'!BJ$6:BJ$105)+SUMIF(Capacity_Resource,$E60,'Critical resources (hide)'!BJ$6:BJ$105)+SUMIF(Capacity_Resource,$F60,'Critical resources (hide)'!BJ$6:BJ$105)&gt;0,$E$1=2),0,1),0)</f>
        <v>1</v>
      </c>
      <c r="AX60" s="67">
        <f ca="1">IF(LOWER(Capacity!$L72)="x",IF(AND(SUMIF(Capacity_Resource,$D60,'Critical resources (hide)'!BK$6:BK$105)+SUMIF(Capacity_Resource,$E60,'Critical resources (hide)'!BK$6:BK$105)+SUMIF(Capacity_Resource,$F60,'Critical resources (hide)'!BK$6:BK$105)&gt;0,$E$1=2),0,1),0)</f>
        <v>1</v>
      </c>
      <c r="AY60" s="67">
        <f ca="1">IF(LOWER(Capacity!$L72)="x",IF(AND(SUMIF(Capacity_Resource,$D60,'Critical resources (hide)'!BL$6:BL$105)+SUMIF(Capacity_Resource,$E60,'Critical resources (hide)'!BL$6:BL$105)+SUMIF(Capacity_Resource,$F60,'Critical resources (hide)'!BL$6:BL$105)&gt;0,$E$1=2),0,1),0)</f>
        <v>1</v>
      </c>
      <c r="AZ60" s="67">
        <f ca="1">IF(LOWER(Capacity!$L72)="x",IF(AND(SUMIF(Capacity_Resource,$D60,'Critical resources (hide)'!BM$6:BM$105)+SUMIF(Capacity_Resource,$E60,'Critical resources (hide)'!BM$6:BM$105)+SUMIF(Capacity_Resource,$F60,'Critical resources (hide)'!BM$6:BM$105)&gt;0,$E$1=2),0,1),0)</f>
        <v>1</v>
      </c>
      <c r="BA60" s="67">
        <f ca="1">IF(LOWER(Capacity!$L72)="x",IF(AND(SUMIF(Capacity_Resource,$D60,'Critical resources (hide)'!BN$6:BN$105)+SUMIF(Capacity_Resource,$E60,'Critical resources (hide)'!BN$6:BN$105)+SUMIF(Capacity_Resource,$F60,'Critical resources (hide)'!BN$6:BN$105)&gt;0,$E$1=2),0,1),0)</f>
        <v>1</v>
      </c>
      <c r="BB60" s="67">
        <f ca="1">IF(LOWER(Capacity!$L72)="x",IF(AND(SUMIF(Capacity_Resource,$D60,'Critical resources (hide)'!BO$6:BO$105)+SUMIF(Capacity_Resource,$E60,'Critical resources (hide)'!BO$6:BO$105)+SUMIF(Capacity_Resource,$F60,'Critical resources (hide)'!BO$6:BO$105)&gt;0,$E$1=2),0,1),0)</f>
        <v>1</v>
      </c>
      <c r="BC60" s="67">
        <f ca="1">IF(LOWER(Capacity!$L72)="x",IF(AND(SUMIF(Capacity_Resource,$D60,'Critical resources (hide)'!BP$6:BP$105)+SUMIF(Capacity_Resource,$E60,'Critical resources (hide)'!BP$6:BP$105)+SUMIF(Capacity_Resource,$F60,'Critical resources (hide)'!BP$6:BP$105)&gt;0,$E$1=2),0,1),0)</f>
        <v>1</v>
      </c>
      <c r="BD60" s="67">
        <f ca="1">IF(LOWER(Capacity!$L72)="x",IF(AND(SUMIF(Capacity_Resource,$D60,'Critical resources (hide)'!BQ$6:BQ$105)+SUMIF(Capacity_Resource,$E60,'Critical resources (hide)'!BQ$6:BQ$105)+SUMIF(Capacity_Resource,$F60,'Critical resources (hide)'!BQ$6:BQ$105)&gt;0,$E$1=2),0,1),0)</f>
        <v>1</v>
      </c>
      <c r="BE60" s="67">
        <f ca="1">IF(LOWER(Capacity!$L72)="x",IF(AND(SUMIF(Capacity_Resource,$D60,'Critical resources (hide)'!BR$6:BR$105)+SUMIF(Capacity_Resource,$E60,'Critical resources (hide)'!BR$6:BR$105)+SUMIF(Capacity_Resource,$F60,'Critical resources (hide)'!BR$6:BR$105)&gt;0,$E$1=2),0,1),0)</f>
        <v>1</v>
      </c>
      <c r="BF60" s="67">
        <f ca="1">IF(LOWER(Capacity!$L72)="x",IF(AND(SUMIF(Capacity_Resource,$D60,'Critical resources (hide)'!BS$6:BS$105)+SUMIF(Capacity_Resource,$E60,'Critical resources (hide)'!BS$6:BS$105)+SUMIF(Capacity_Resource,$F60,'Critical resources (hide)'!BS$6:BS$105)&gt;0,$E$1=2),0,1),0)</f>
        <v>1</v>
      </c>
      <c r="BG60" s="67">
        <f ca="1">IF(LOWER(Capacity!$L72)="x",IF(AND(SUMIF(Capacity_Resource,$D60,'Critical resources (hide)'!BT$6:BT$105)+SUMIF(Capacity_Resource,$E60,'Critical resources (hide)'!BT$6:BT$105)+SUMIF(Capacity_Resource,$F60,'Critical resources (hide)'!BT$6:BT$105)&gt;0,$E$1=2),0,1),0)</f>
        <v>1</v>
      </c>
      <c r="BH60" s="67">
        <f>IF(ROW(C56)&lt;=Capacity!$A$16,IF('Capacity summary'!$D$14="No",SUM(H60:BG60),'Capacity summary'!$E179),0)</f>
        <v>0</v>
      </c>
      <c r="BI60" s="5" t="str">
        <f>IF(BH60&gt;0,IF(BH60&lt;Capacity!E72,Capacity!F72,Capacity!H72/'Capacity calculation (hide)'!BH60),"")</f>
        <v/>
      </c>
      <c r="BK60" s="311">
        <f>IF($BI60&lt;&gt;"",IF('Capacity summary'!$D$14="Yes",IF(COUNTBLANK('Capacity summary'!$H179:$BG179)&lt;52,IF('Capacity summary'!H179&lt;&gt;"",IF(LOWER('Capacity summary'!H179)="x",$BI60*H60,VALUE('Capacity summary'!H179)),0),H60*$BI60),H60*$BI60),0)</f>
        <v>0</v>
      </c>
      <c r="BL60" s="311">
        <f>IF($BI60&lt;&gt;"",IF('Capacity summary'!$D$14="Yes",IF(COUNTBLANK('Capacity summary'!$H179:$BG179)&lt;52,IF('Capacity summary'!I179&lt;&gt;"",IF(LOWER('Capacity summary'!I179)="x",$BI60*I60,VALUE('Capacity summary'!I179)),0),I60*$BI60),I60*$BI60),0)</f>
        <v>0</v>
      </c>
      <c r="BM60" s="311">
        <f>IF($BI60&lt;&gt;"",IF('Capacity summary'!$D$14="Yes",IF(COUNTBLANK('Capacity summary'!$H179:$BG179)&lt;52,IF('Capacity summary'!J179&lt;&gt;"",IF(LOWER('Capacity summary'!J179)="x",$BI60*J60,VALUE('Capacity summary'!J179)),0),J60*$BI60),J60*$BI60),0)</f>
        <v>0</v>
      </c>
      <c r="BN60" s="311">
        <f>IF($BI60&lt;&gt;"",IF('Capacity summary'!$D$14="Yes",IF(COUNTBLANK('Capacity summary'!$H179:$BG179)&lt;52,IF('Capacity summary'!K179&lt;&gt;"",IF(LOWER('Capacity summary'!K179)="x",$BI60*K60,VALUE('Capacity summary'!K179)),0),K60*$BI60),K60*$BI60),0)</f>
        <v>0</v>
      </c>
      <c r="BO60" s="311">
        <f>IF($BI60&lt;&gt;"",IF('Capacity summary'!$D$14="Yes",IF(COUNTBLANK('Capacity summary'!$H179:$BG179)&lt;52,IF('Capacity summary'!L179&lt;&gt;"",IF(LOWER('Capacity summary'!L179)="x",$BI60*L60,VALUE('Capacity summary'!L179)),0),L60*$BI60),L60*$BI60),0)</f>
        <v>0</v>
      </c>
      <c r="BP60" s="311">
        <f>IF($BI60&lt;&gt;"",IF('Capacity summary'!$D$14="Yes",IF(COUNTBLANK('Capacity summary'!$H179:$BG179)&lt;52,IF('Capacity summary'!M179&lt;&gt;"",IF(LOWER('Capacity summary'!M179)="x",$BI60*M60,VALUE('Capacity summary'!M179)),0),M60*$BI60),M60*$BI60),0)</f>
        <v>0</v>
      </c>
      <c r="BQ60" s="311">
        <f>IF($BI60&lt;&gt;"",IF('Capacity summary'!$D$14="Yes",IF(COUNTBLANK('Capacity summary'!$H179:$BG179)&lt;52,IF('Capacity summary'!N179&lt;&gt;"",IF(LOWER('Capacity summary'!N179)="x",$BI60*N60,VALUE('Capacity summary'!N179)),0),N60*$BI60),N60*$BI60),0)</f>
        <v>0</v>
      </c>
      <c r="BR60" s="311">
        <f>IF($BI60&lt;&gt;"",IF('Capacity summary'!$D$14="Yes",IF(COUNTBLANK('Capacity summary'!$H179:$BG179)&lt;52,IF('Capacity summary'!O179&lt;&gt;"",IF(LOWER('Capacity summary'!O179)="x",$BI60*O60,VALUE('Capacity summary'!O179)),0),O60*$BI60),O60*$BI60),0)</f>
        <v>0</v>
      </c>
      <c r="BS60" s="311">
        <f>IF($BI60&lt;&gt;"",IF('Capacity summary'!$D$14="Yes",IF(COUNTBLANK('Capacity summary'!$H179:$BG179)&lt;52,IF('Capacity summary'!P179&lt;&gt;"",IF(LOWER('Capacity summary'!P179)="x",$BI60*P60,VALUE('Capacity summary'!P179)),0),P60*$BI60),P60*$BI60),0)</f>
        <v>0</v>
      </c>
      <c r="BT60" s="311">
        <f>IF($BI60&lt;&gt;"",IF('Capacity summary'!$D$14="Yes",IF(COUNTBLANK('Capacity summary'!$H179:$BG179)&lt;52,IF('Capacity summary'!Q179&lt;&gt;"",IF(LOWER('Capacity summary'!Q179)="x",$BI60*Q60,VALUE('Capacity summary'!Q179)),0),Q60*$BI60),Q60*$BI60),0)</f>
        <v>0</v>
      </c>
      <c r="BU60" s="311">
        <f>IF($BI60&lt;&gt;"",IF('Capacity summary'!$D$14="Yes",IF(COUNTBLANK('Capacity summary'!$H179:$BG179)&lt;52,IF('Capacity summary'!R179&lt;&gt;"",IF(LOWER('Capacity summary'!R179)="x",$BI60*R60,VALUE('Capacity summary'!R179)),0),R60*$BI60),R60*$BI60),0)</f>
        <v>0</v>
      </c>
      <c r="BV60" s="311">
        <f>IF($BI60&lt;&gt;"",IF('Capacity summary'!$D$14="Yes",IF(COUNTBLANK('Capacity summary'!$H179:$BG179)&lt;52,IF('Capacity summary'!S179&lt;&gt;"",IF(LOWER('Capacity summary'!S179)="x",$BI60*S60,VALUE('Capacity summary'!S179)),0),S60*$BI60),S60*$BI60),0)</f>
        <v>0</v>
      </c>
      <c r="BW60" s="311">
        <f>IF($BI60&lt;&gt;"",IF('Capacity summary'!$D$14="Yes",IF(COUNTBLANK('Capacity summary'!$H179:$BG179)&lt;52,IF('Capacity summary'!T179&lt;&gt;"",IF(LOWER('Capacity summary'!T179)="x",$BI60*T60,VALUE('Capacity summary'!T179)),0),T60*$BI60),T60*$BI60),0)</f>
        <v>0</v>
      </c>
      <c r="BX60" s="311">
        <f>IF($BI60&lt;&gt;"",IF('Capacity summary'!$D$14="Yes",IF(COUNTBLANK('Capacity summary'!$H179:$BG179)&lt;52,IF('Capacity summary'!U179&lt;&gt;"",IF(LOWER('Capacity summary'!U179)="x",$BI60*U60,VALUE('Capacity summary'!U179)),0),U60*$BI60),U60*$BI60),0)</f>
        <v>0</v>
      </c>
      <c r="BY60" s="311">
        <f>IF($BI60&lt;&gt;"",IF('Capacity summary'!$D$14="Yes",IF(COUNTBLANK('Capacity summary'!$H179:$BG179)&lt;52,IF('Capacity summary'!V179&lt;&gt;"",IF(LOWER('Capacity summary'!V179)="x",$BI60*V60,VALUE('Capacity summary'!V179)),0),V60*$BI60),V60*$BI60),0)</f>
        <v>0</v>
      </c>
      <c r="BZ60" s="311">
        <f>IF($BI60&lt;&gt;"",IF('Capacity summary'!$D$14="Yes",IF(COUNTBLANK('Capacity summary'!$H179:$BG179)&lt;52,IF('Capacity summary'!W179&lt;&gt;"",IF(LOWER('Capacity summary'!W179)="x",$BI60*W60,VALUE('Capacity summary'!W179)),0),W60*$BI60),W60*$BI60),0)</f>
        <v>0</v>
      </c>
      <c r="CA60" s="311">
        <f>IF($BI60&lt;&gt;"",IF('Capacity summary'!$D$14="Yes",IF(COUNTBLANK('Capacity summary'!$H179:$BG179)&lt;52,IF('Capacity summary'!X179&lt;&gt;"",IF(LOWER('Capacity summary'!X179)="x",$BI60*X60,VALUE('Capacity summary'!X179)),0),X60*$BI60),X60*$BI60),0)</f>
        <v>0</v>
      </c>
      <c r="CB60" s="311">
        <f>IF($BI60&lt;&gt;"",IF('Capacity summary'!$D$14="Yes",IF(COUNTBLANK('Capacity summary'!$H179:$BG179)&lt;52,IF('Capacity summary'!Y179&lt;&gt;"",IF(LOWER('Capacity summary'!Y179)="x",$BI60*Y60,VALUE('Capacity summary'!Y179)),0),Y60*$BI60),Y60*$BI60),0)</f>
        <v>0</v>
      </c>
      <c r="CC60" s="311">
        <f>IF($BI60&lt;&gt;"",IF('Capacity summary'!$D$14="Yes",IF(COUNTBLANK('Capacity summary'!$H179:$BG179)&lt;52,IF('Capacity summary'!Z179&lt;&gt;"",IF(LOWER('Capacity summary'!Z179)="x",$BI60*Z60,VALUE('Capacity summary'!Z179)),0),Z60*$BI60),Z60*$BI60),0)</f>
        <v>0</v>
      </c>
      <c r="CD60" s="311">
        <f>IF($BI60&lt;&gt;"",IF('Capacity summary'!$D$14="Yes",IF(COUNTBLANK('Capacity summary'!$H179:$BG179)&lt;52,IF('Capacity summary'!AA179&lt;&gt;"",IF(LOWER('Capacity summary'!AA179)="x",$BI60*AA60,VALUE('Capacity summary'!AA179)),0),AA60*$BI60),AA60*$BI60),0)</f>
        <v>0</v>
      </c>
      <c r="CE60" s="311">
        <f>IF($BI60&lt;&gt;"",IF('Capacity summary'!$D$14="Yes",IF(COUNTBLANK('Capacity summary'!$H179:$BG179)&lt;52,IF('Capacity summary'!AB179&lt;&gt;"",IF(LOWER('Capacity summary'!AB179)="x",$BI60*AB60,VALUE('Capacity summary'!AB179)),0),AB60*$BI60),AB60*$BI60),0)</f>
        <v>0</v>
      </c>
      <c r="CF60" s="311">
        <f>IF($BI60&lt;&gt;"",IF('Capacity summary'!$D$14="Yes",IF(COUNTBLANK('Capacity summary'!$H179:$BG179)&lt;52,IF('Capacity summary'!AC179&lt;&gt;"",IF(LOWER('Capacity summary'!AC179)="x",$BI60*AC60,VALUE('Capacity summary'!AC179)),0),AC60*$BI60),AC60*$BI60),0)</f>
        <v>0</v>
      </c>
      <c r="CG60" s="311">
        <f>IF($BI60&lt;&gt;"",IF('Capacity summary'!$D$14="Yes",IF(COUNTBLANK('Capacity summary'!$H179:$BG179)&lt;52,IF('Capacity summary'!AD179&lt;&gt;"",IF(LOWER('Capacity summary'!AD179)="x",$BI60*AD60,VALUE('Capacity summary'!AD179)),0),AD60*$BI60),AD60*$BI60),0)</f>
        <v>0</v>
      </c>
      <c r="CH60" s="311">
        <f>IF($BI60&lt;&gt;"",IF('Capacity summary'!$D$14="Yes",IF(COUNTBLANK('Capacity summary'!$H179:$BG179)&lt;52,IF('Capacity summary'!AE179&lt;&gt;"",IF(LOWER('Capacity summary'!AE179)="x",$BI60*AE60,VALUE('Capacity summary'!AE179)),0),AE60*$BI60),AE60*$BI60),0)</f>
        <v>0</v>
      </c>
      <c r="CI60" s="311">
        <f>IF($BI60&lt;&gt;"",IF('Capacity summary'!$D$14="Yes",IF(COUNTBLANK('Capacity summary'!$H179:$BG179)&lt;52,IF('Capacity summary'!AF179&lt;&gt;"",IF(LOWER('Capacity summary'!AF179)="x",$BI60*AF60,VALUE('Capacity summary'!AF179)),0),AF60*$BI60),AF60*$BI60),0)</f>
        <v>0</v>
      </c>
      <c r="CJ60" s="311">
        <f>IF($BI60&lt;&gt;"",IF('Capacity summary'!$D$14="Yes",IF(COUNTBLANK('Capacity summary'!$H179:$BG179)&lt;52,IF('Capacity summary'!AG179&lt;&gt;"",IF(LOWER('Capacity summary'!AG179)="x",$BI60*AG60,VALUE('Capacity summary'!AG179)),0),AG60*$BI60),AG60*$BI60),0)</f>
        <v>0</v>
      </c>
      <c r="CK60" s="311">
        <f>IF($BI60&lt;&gt;"",IF('Capacity summary'!$D$14="Yes",IF(COUNTBLANK('Capacity summary'!$H179:$BG179)&lt;52,IF('Capacity summary'!AH179&lt;&gt;"",IF(LOWER('Capacity summary'!AH179)="x",$BI60*AH60,VALUE('Capacity summary'!AH179)),0),AH60*$BI60),AH60*$BI60),0)</f>
        <v>0</v>
      </c>
      <c r="CL60" s="311">
        <f>IF($BI60&lt;&gt;"",IF('Capacity summary'!$D$14="Yes",IF(COUNTBLANK('Capacity summary'!$H179:$BG179)&lt;52,IF('Capacity summary'!AI179&lt;&gt;"",IF(LOWER('Capacity summary'!AI179)="x",$BI60*AI60,VALUE('Capacity summary'!AI179)),0),AI60*$BI60),AI60*$BI60),0)</f>
        <v>0</v>
      </c>
      <c r="CM60" s="311">
        <f>IF($BI60&lt;&gt;"",IF('Capacity summary'!$D$14="Yes",IF(COUNTBLANK('Capacity summary'!$H179:$BG179)&lt;52,IF('Capacity summary'!AJ179&lt;&gt;"",IF(LOWER('Capacity summary'!AJ179)="x",$BI60*AJ60,VALUE('Capacity summary'!AJ179)),0),AJ60*$BI60),AJ60*$BI60),0)</f>
        <v>0</v>
      </c>
      <c r="CN60" s="311">
        <f>IF($BI60&lt;&gt;"",IF('Capacity summary'!$D$14="Yes",IF(COUNTBLANK('Capacity summary'!$H179:$BG179)&lt;52,IF('Capacity summary'!AK179&lt;&gt;"",IF(LOWER('Capacity summary'!AK179)="x",$BI60*AK60,VALUE('Capacity summary'!AK179)),0),AK60*$BI60),AK60*$BI60),0)</f>
        <v>0</v>
      </c>
      <c r="CO60" s="311">
        <f>IF($BI60&lt;&gt;"",IF('Capacity summary'!$D$14="Yes",IF(COUNTBLANK('Capacity summary'!$H179:$BG179)&lt;52,IF('Capacity summary'!AL179&lt;&gt;"",IF(LOWER('Capacity summary'!AL179)="x",$BI60*AL60,VALUE('Capacity summary'!AL179)),0),AL60*$BI60),AL60*$BI60),0)</f>
        <v>0</v>
      </c>
      <c r="CP60" s="311">
        <f>IF($BI60&lt;&gt;"",IF('Capacity summary'!$D$14="Yes",IF(COUNTBLANK('Capacity summary'!$H179:$BG179)&lt;52,IF('Capacity summary'!AM179&lt;&gt;"",IF(LOWER('Capacity summary'!AM179)="x",$BI60*AM60,VALUE('Capacity summary'!AM179)),0),AM60*$BI60),AM60*$BI60),0)</f>
        <v>0</v>
      </c>
      <c r="CQ60" s="311">
        <f>IF($BI60&lt;&gt;"",IF('Capacity summary'!$D$14="Yes",IF(COUNTBLANK('Capacity summary'!$H179:$BG179)&lt;52,IF('Capacity summary'!AN179&lt;&gt;"",IF(LOWER('Capacity summary'!AN179)="x",$BI60*AN60,VALUE('Capacity summary'!AN179)),0),AN60*$BI60),AN60*$BI60),0)</f>
        <v>0</v>
      </c>
      <c r="CR60" s="311">
        <f>IF($BI60&lt;&gt;"",IF('Capacity summary'!$D$14="Yes",IF(COUNTBLANK('Capacity summary'!$H179:$BG179)&lt;52,IF('Capacity summary'!AO179&lt;&gt;"",IF(LOWER('Capacity summary'!AO179)="x",$BI60*AO60,VALUE('Capacity summary'!AO179)),0),AO60*$BI60),AO60*$BI60),0)</f>
        <v>0</v>
      </c>
      <c r="CS60" s="311">
        <f>IF($BI60&lt;&gt;"",IF('Capacity summary'!$D$14="Yes",IF(COUNTBLANK('Capacity summary'!$H179:$BG179)&lt;52,IF('Capacity summary'!AP179&lt;&gt;"",IF(LOWER('Capacity summary'!AP179)="x",$BI60*AP60,VALUE('Capacity summary'!AP179)),0),AP60*$BI60),AP60*$BI60),0)</f>
        <v>0</v>
      </c>
      <c r="CT60" s="311">
        <f>IF($BI60&lt;&gt;"",IF('Capacity summary'!$D$14="Yes",IF(COUNTBLANK('Capacity summary'!$H179:$BG179)&lt;52,IF('Capacity summary'!AQ179&lt;&gt;"",IF(LOWER('Capacity summary'!AQ179)="x",$BI60*AQ60,VALUE('Capacity summary'!AQ179)),0),AQ60*$BI60),AQ60*$BI60),0)</f>
        <v>0</v>
      </c>
      <c r="CU60" s="311">
        <f>IF($BI60&lt;&gt;"",IF('Capacity summary'!$D$14="Yes",IF(COUNTBLANK('Capacity summary'!$H179:$BG179)&lt;52,IF('Capacity summary'!AR179&lt;&gt;"",IF(LOWER('Capacity summary'!AR179)="x",$BI60*AR60,VALUE('Capacity summary'!AR179)),0),AR60*$BI60),AR60*$BI60),0)</f>
        <v>0</v>
      </c>
      <c r="CV60" s="311">
        <f>IF($BI60&lt;&gt;"",IF('Capacity summary'!$D$14="Yes",IF(COUNTBLANK('Capacity summary'!$H179:$BG179)&lt;52,IF('Capacity summary'!AS179&lt;&gt;"",IF(LOWER('Capacity summary'!AS179)="x",$BI60*AS60,VALUE('Capacity summary'!AS179)),0),AS60*$BI60),AS60*$BI60),0)</f>
        <v>0</v>
      </c>
      <c r="CW60" s="311">
        <f>IF($BI60&lt;&gt;"",IF('Capacity summary'!$D$14="Yes",IF(COUNTBLANK('Capacity summary'!$H179:$BG179)&lt;52,IF('Capacity summary'!AT179&lt;&gt;"",IF(LOWER('Capacity summary'!AT179)="x",$BI60*AT60,VALUE('Capacity summary'!AT179)),0),AT60*$BI60),AT60*$BI60),0)</f>
        <v>0</v>
      </c>
      <c r="CX60" s="311">
        <f>IF($BI60&lt;&gt;"",IF('Capacity summary'!$D$14="Yes",IF(COUNTBLANK('Capacity summary'!$H179:$BG179)&lt;52,IF('Capacity summary'!AU179&lt;&gt;"",IF(LOWER('Capacity summary'!AU179)="x",$BI60*AU60,VALUE('Capacity summary'!AU179)),0),AU60*$BI60),AU60*$BI60),0)</f>
        <v>0</v>
      </c>
      <c r="CY60" s="311">
        <f>IF($BI60&lt;&gt;"",IF('Capacity summary'!$D$14="Yes",IF(COUNTBLANK('Capacity summary'!$H179:$BG179)&lt;52,IF('Capacity summary'!AV179&lt;&gt;"",IF(LOWER('Capacity summary'!AV179)="x",$BI60*AV60,VALUE('Capacity summary'!AV179)),0),AV60*$BI60),AV60*$BI60),0)</f>
        <v>0</v>
      </c>
      <c r="CZ60" s="311">
        <f>IF($BI60&lt;&gt;"",IF('Capacity summary'!$D$14="Yes",IF(COUNTBLANK('Capacity summary'!$H179:$BG179)&lt;52,IF('Capacity summary'!AW179&lt;&gt;"",IF(LOWER('Capacity summary'!AW179)="x",$BI60*AW60,VALUE('Capacity summary'!AW179)),0),AW60*$BI60),AW60*$BI60),0)</f>
        <v>0</v>
      </c>
      <c r="DA60" s="311">
        <f>IF($BI60&lt;&gt;"",IF('Capacity summary'!$D$14="Yes",IF(COUNTBLANK('Capacity summary'!$H179:$BG179)&lt;52,IF('Capacity summary'!AX179&lt;&gt;"",IF(LOWER('Capacity summary'!AX179)="x",$BI60*AX60,VALUE('Capacity summary'!AX179)),0),AX60*$BI60),AX60*$BI60),0)</f>
        <v>0</v>
      </c>
      <c r="DB60" s="311">
        <f>IF($BI60&lt;&gt;"",IF('Capacity summary'!$D$14="Yes",IF(COUNTBLANK('Capacity summary'!$H179:$BG179)&lt;52,IF('Capacity summary'!AY179&lt;&gt;"",IF(LOWER('Capacity summary'!AY179)="x",$BI60*AY60,VALUE('Capacity summary'!AY179)),0),AY60*$BI60),AY60*$BI60),0)</f>
        <v>0</v>
      </c>
      <c r="DC60" s="311">
        <f>IF($BI60&lt;&gt;"",IF('Capacity summary'!$D$14="Yes",IF(COUNTBLANK('Capacity summary'!$H179:$BG179)&lt;52,IF('Capacity summary'!AZ179&lt;&gt;"",IF(LOWER('Capacity summary'!AZ179)="x",$BI60*AZ60,VALUE('Capacity summary'!AZ179)),0),AZ60*$BI60),AZ60*$BI60),0)</f>
        <v>0</v>
      </c>
      <c r="DD60" s="311">
        <f>IF($BI60&lt;&gt;"",IF('Capacity summary'!$D$14="Yes",IF(COUNTBLANK('Capacity summary'!$H179:$BG179)&lt;52,IF('Capacity summary'!BA179&lt;&gt;"",IF(LOWER('Capacity summary'!BA179)="x",$BI60*BA60,VALUE('Capacity summary'!BA179)),0),BA60*$BI60),BA60*$BI60),0)</f>
        <v>0</v>
      </c>
      <c r="DE60" s="311">
        <f>IF($BI60&lt;&gt;"",IF('Capacity summary'!$D$14="Yes",IF(COUNTBLANK('Capacity summary'!$H179:$BG179)&lt;52,IF('Capacity summary'!BB179&lt;&gt;"",IF(LOWER('Capacity summary'!BB179)="x",$BI60*BB60,VALUE('Capacity summary'!BB179)),0),BB60*$BI60),BB60*$BI60),0)</f>
        <v>0</v>
      </c>
      <c r="DF60" s="311">
        <f>IF($BI60&lt;&gt;"",IF('Capacity summary'!$D$14="Yes",IF(COUNTBLANK('Capacity summary'!$H179:$BG179)&lt;52,IF('Capacity summary'!BC179&lt;&gt;"",IF(LOWER('Capacity summary'!BC179)="x",$BI60*BC60,VALUE('Capacity summary'!BC179)),0),BC60*$BI60),BC60*$BI60),0)</f>
        <v>0</v>
      </c>
      <c r="DG60" s="311">
        <f>IF($BI60&lt;&gt;"",IF('Capacity summary'!$D$14="Yes",IF(COUNTBLANK('Capacity summary'!$H179:$BG179)&lt;52,IF('Capacity summary'!BD179&lt;&gt;"",IF(LOWER('Capacity summary'!BD179)="x",$BI60*BD60,VALUE('Capacity summary'!BD179)),0),BD60*$BI60),BD60*$BI60),0)</f>
        <v>0</v>
      </c>
      <c r="DH60" s="311">
        <f>IF($BI60&lt;&gt;"",IF('Capacity summary'!$D$14="Yes",IF(COUNTBLANK('Capacity summary'!$H179:$BG179)&lt;52,IF('Capacity summary'!BE179&lt;&gt;"",IF(LOWER('Capacity summary'!BE179)="x",$BI60*BE60,VALUE('Capacity summary'!BE179)),0),BE60*$BI60),BE60*$BI60),0)</f>
        <v>0</v>
      </c>
      <c r="DI60" s="311">
        <f>IF($BI60&lt;&gt;"",IF('Capacity summary'!$D$14="Yes",IF(COUNTBLANK('Capacity summary'!$H179:$BG179)&lt;52,IF('Capacity summary'!BF179&lt;&gt;"",IF(LOWER('Capacity summary'!BF179)="x",$BI60*BF60,VALUE('Capacity summary'!BF179)),0),BF60*$BI60),BF60*$BI60),0)</f>
        <v>0</v>
      </c>
      <c r="DJ60" s="311">
        <f>IF($BI60&lt;&gt;"",IF('Capacity summary'!$D$14="Yes",IF(COUNTBLANK('Capacity summary'!$H179:$BG179)&lt;52,IF('Capacity summary'!BG179&lt;&gt;"",IF(LOWER('Capacity summary'!BG179)="x",$BI60*BG60,VALUE('Capacity summary'!BG179)),0),BG60*$BI60),BG60*$BI60),0)</f>
        <v>0</v>
      </c>
      <c r="DK60" s="391">
        <f t="shared" si="2"/>
        <v>0</v>
      </c>
      <c r="DL60" s="136">
        <f t="shared" si="3"/>
        <v>0</v>
      </c>
      <c r="DM60" s="311" t="str">
        <f>Capacity!H72</f>
        <v/>
      </c>
    </row>
    <row r="61" spans="1:121" x14ac:dyDescent="0.2">
      <c r="A61" s="67">
        <f>IF(Capacity!L73='Capacity summary'!BI180,1,0)</f>
        <v>1</v>
      </c>
      <c r="B61" s="67">
        <f>IF(Capacity!V73='Capacity summary'!BI80,1,0)</f>
        <v>1</v>
      </c>
      <c r="C61" s="67" t="str">
        <f>ROW(A57)&amp;". "&amp;Capacity!B73</f>
        <v xml:space="preserve">57. </v>
      </c>
      <c r="D61" s="67">
        <f>'Capacity setup'!C68</f>
        <v>0</v>
      </c>
      <c r="E61" s="67">
        <f>'Capacity setup'!D68</f>
        <v>0</v>
      </c>
      <c r="F61" s="67">
        <f>'Capacity setup'!E68</f>
        <v>0</v>
      </c>
      <c r="H61" s="67">
        <f ca="1">IF(LOWER(Capacity!$L73)="x",IF(AND(SUMIF(Capacity_Resource,$D61,'Critical resources (hide)'!U$6:U$105)+SUMIF(Capacity_Resource,$E61,'Critical resources (hide)'!U$6:U$105)+SUMIF(Capacity_Resource,$F61,'Critical resources (hide)'!U$6:U$105)&gt;0,$E$1=2),0,1),0)</f>
        <v>1</v>
      </c>
      <c r="I61" s="67">
        <f ca="1">IF(LOWER(Capacity!$L73)="x",IF(AND(SUMIF(Capacity_Resource,$D61,'Critical resources (hide)'!V$6:V$105)+SUMIF(Capacity_Resource,$E61,'Critical resources (hide)'!V$6:V$105)+SUMIF(Capacity_Resource,$F61,'Critical resources (hide)'!V$6:V$105)&gt;0,$E$1=2),0,1),0)</f>
        <v>1</v>
      </c>
      <c r="J61" s="67">
        <f ca="1">IF(LOWER(Capacity!$L73)="x",IF(AND(SUMIF(Capacity_Resource,$D61,'Critical resources (hide)'!W$6:W$105)+SUMIF(Capacity_Resource,$E61,'Critical resources (hide)'!W$6:W$105)+SUMIF(Capacity_Resource,$F61,'Critical resources (hide)'!W$6:W$105)&gt;0,$E$1=2),0,1),0)</f>
        <v>1</v>
      </c>
      <c r="K61" s="67">
        <f ca="1">IF(LOWER(Capacity!$L73)="x",IF(AND(SUMIF(Capacity_Resource,$D61,'Critical resources (hide)'!X$6:X$105)+SUMIF(Capacity_Resource,$E61,'Critical resources (hide)'!X$6:X$105)+SUMIF(Capacity_Resource,$F61,'Critical resources (hide)'!X$6:X$105)&gt;0,$E$1=2),0,1),0)</f>
        <v>1</v>
      </c>
      <c r="L61" s="67">
        <f ca="1">IF(LOWER(Capacity!$L73)="x",IF(AND(SUMIF(Capacity_Resource,$D61,'Critical resources (hide)'!Y$6:Y$105)+SUMIF(Capacity_Resource,$E61,'Critical resources (hide)'!Y$6:Y$105)+SUMIF(Capacity_Resource,$F61,'Critical resources (hide)'!Y$6:Y$105)&gt;0,$E$1=2),0,1),0)</f>
        <v>1</v>
      </c>
      <c r="M61" s="67">
        <f ca="1">IF(LOWER(Capacity!$L73)="x",IF(AND(SUMIF(Capacity_Resource,$D61,'Critical resources (hide)'!Z$6:Z$105)+SUMIF(Capacity_Resource,$E61,'Critical resources (hide)'!Z$6:Z$105)+SUMIF(Capacity_Resource,$F61,'Critical resources (hide)'!Z$6:Z$105)&gt;0,$E$1=2),0,1),0)</f>
        <v>1</v>
      </c>
      <c r="N61" s="67">
        <f ca="1">IF(LOWER(Capacity!$L73)="x",IF(AND(SUMIF(Capacity_Resource,$D61,'Critical resources (hide)'!AA$6:AA$105)+SUMIF(Capacity_Resource,$E61,'Critical resources (hide)'!AA$6:AA$105)+SUMIF(Capacity_Resource,$F61,'Critical resources (hide)'!AA$6:AA$105)&gt;0,$E$1=2),0,1),0)</f>
        <v>1</v>
      </c>
      <c r="O61" s="67">
        <f ca="1">IF(LOWER(Capacity!$L73)="x",IF(AND(SUMIF(Capacity_Resource,$D61,'Critical resources (hide)'!AB$6:AB$105)+SUMIF(Capacity_Resource,$E61,'Critical resources (hide)'!AB$6:AB$105)+SUMIF(Capacity_Resource,$F61,'Critical resources (hide)'!AB$6:AB$105)&gt;0,$E$1=2),0,1),0)</f>
        <v>1</v>
      </c>
      <c r="P61" s="67">
        <f ca="1">IF(LOWER(Capacity!$L73)="x",IF(AND(SUMIF(Capacity_Resource,$D61,'Critical resources (hide)'!AC$6:AC$105)+SUMIF(Capacity_Resource,$E61,'Critical resources (hide)'!AC$6:AC$105)+SUMIF(Capacity_Resource,$F61,'Critical resources (hide)'!AC$6:AC$105)&gt;0,$E$1=2),0,1),0)</f>
        <v>1</v>
      </c>
      <c r="Q61" s="67">
        <f ca="1">IF(LOWER(Capacity!$L73)="x",IF(AND(SUMIF(Capacity_Resource,$D61,'Critical resources (hide)'!AD$6:AD$105)+SUMIF(Capacity_Resource,$E61,'Critical resources (hide)'!AD$6:AD$105)+SUMIF(Capacity_Resource,$F61,'Critical resources (hide)'!AD$6:AD$105)&gt;0,$E$1=2),0,1),0)</f>
        <v>1</v>
      </c>
      <c r="R61" s="67">
        <f ca="1">IF(LOWER(Capacity!$L73)="x",IF(AND(SUMIF(Capacity_Resource,$D61,'Critical resources (hide)'!AE$6:AE$105)+SUMIF(Capacity_Resource,$E61,'Critical resources (hide)'!AE$6:AE$105)+SUMIF(Capacity_Resource,$F61,'Critical resources (hide)'!AE$6:AE$105)&gt;0,$E$1=2),0,1),0)</f>
        <v>1</v>
      </c>
      <c r="S61" s="67">
        <f ca="1">IF(LOWER(Capacity!$L73)="x",IF(AND(SUMIF(Capacity_Resource,$D61,'Critical resources (hide)'!AF$6:AF$105)+SUMIF(Capacity_Resource,$E61,'Critical resources (hide)'!AF$6:AF$105)+SUMIF(Capacity_Resource,$F61,'Critical resources (hide)'!AF$6:AF$105)&gt;0,$E$1=2),0,1),0)</f>
        <v>1</v>
      </c>
      <c r="T61" s="67">
        <f ca="1">IF(LOWER(Capacity!$L73)="x",IF(AND(SUMIF(Capacity_Resource,$D61,'Critical resources (hide)'!AG$6:AG$105)+SUMIF(Capacity_Resource,$E61,'Critical resources (hide)'!AG$6:AG$105)+SUMIF(Capacity_Resource,$F61,'Critical resources (hide)'!AG$6:AG$105)&gt;0,$E$1=2),0,1),0)</f>
        <v>1</v>
      </c>
      <c r="U61" s="67">
        <f ca="1">IF(LOWER(Capacity!$L73)="x",IF(AND(SUMIF(Capacity_Resource,$D61,'Critical resources (hide)'!AH$6:AH$105)+SUMIF(Capacity_Resource,$E61,'Critical resources (hide)'!AH$6:AH$105)+SUMIF(Capacity_Resource,$F61,'Critical resources (hide)'!AH$6:AH$105)&gt;0,$E$1=2),0,1),0)</f>
        <v>1</v>
      </c>
      <c r="V61" s="67">
        <f ca="1">IF(LOWER(Capacity!$L73)="x",IF(AND(SUMIF(Capacity_Resource,$D61,'Critical resources (hide)'!AI$6:AI$105)+SUMIF(Capacity_Resource,$E61,'Critical resources (hide)'!AI$6:AI$105)+SUMIF(Capacity_Resource,$F61,'Critical resources (hide)'!AI$6:AI$105)&gt;0,$E$1=2),0,1),0)</f>
        <v>1</v>
      </c>
      <c r="W61" s="67">
        <f ca="1">IF(LOWER(Capacity!$L73)="x",IF(AND(SUMIF(Capacity_Resource,$D61,'Critical resources (hide)'!AJ$6:AJ$105)+SUMIF(Capacity_Resource,$E61,'Critical resources (hide)'!AJ$6:AJ$105)+SUMIF(Capacity_Resource,$F61,'Critical resources (hide)'!AJ$6:AJ$105)&gt;0,$E$1=2),0,1),0)</f>
        <v>1</v>
      </c>
      <c r="X61" s="67">
        <f ca="1">IF(LOWER(Capacity!$L73)="x",IF(AND(SUMIF(Capacity_Resource,$D61,'Critical resources (hide)'!AK$6:AK$105)+SUMIF(Capacity_Resource,$E61,'Critical resources (hide)'!AK$6:AK$105)+SUMIF(Capacity_Resource,$F61,'Critical resources (hide)'!AK$6:AK$105)&gt;0,$E$1=2),0,1),0)</f>
        <v>1</v>
      </c>
      <c r="Y61" s="67">
        <f ca="1">IF(LOWER(Capacity!$L73)="x",IF(AND(SUMIF(Capacity_Resource,$D61,'Critical resources (hide)'!AL$6:AL$105)+SUMIF(Capacity_Resource,$E61,'Critical resources (hide)'!AL$6:AL$105)+SUMIF(Capacity_Resource,$F61,'Critical resources (hide)'!AL$6:AL$105)&gt;0,$E$1=2),0,1),0)</f>
        <v>1</v>
      </c>
      <c r="Z61" s="67">
        <f ca="1">IF(LOWER(Capacity!$L73)="x",IF(AND(SUMIF(Capacity_Resource,$D61,'Critical resources (hide)'!AM$6:AM$105)+SUMIF(Capacity_Resource,$E61,'Critical resources (hide)'!AM$6:AM$105)+SUMIF(Capacity_Resource,$F61,'Critical resources (hide)'!AM$6:AM$105)&gt;0,$E$1=2),0,1),0)</f>
        <v>1</v>
      </c>
      <c r="AA61" s="67">
        <f ca="1">IF(LOWER(Capacity!$L73)="x",IF(AND(SUMIF(Capacity_Resource,$D61,'Critical resources (hide)'!AN$6:AN$105)+SUMIF(Capacity_Resource,$E61,'Critical resources (hide)'!AN$6:AN$105)+SUMIF(Capacity_Resource,$F61,'Critical resources (hide)'!AN$6:AN$105)&gt;0,$E$1=2),0,1),0)</f>
        <v>1</v>
      </c>
      <c r="AB61" s="67">
        <f ca="1">IF(LOWER(Capacity!$L73)="x",IF(AND(SUMIF(Capacity_Resource,$D61,'Critical resources (hide)'!AO$6:AO$105)+SUMIF(Capacity_Resource,$E61,'Critical resources (hide)'!AO$6:AO$105)+SUMIF(Capacity_Resource,$F61,'Critical resources (hide)'!AO$6:AO$105)&gt;0,$E$1=2),0,1),0)</f>
        <v>1</v>
      </c>
      <c r="AC61" s="67">
        <f ca="1">IF(LOWER(Capacity!$L73)="x",IF(AND(SUMIF(Capacity_Resource,$D61,'Critical resources (hide)'!AP$6:AP$105)+SUMIF(Capacity_Resource,$E61,'Critical resources (hide)'!AP$6:AP$105)+SUMIF(Capacity_Resource,$F61,'Critical resources (hide)'!AP$6:AP$105)&gt;0,$E$1=2),0,1),0)</f>
        <v>1</v>
      </c>
      <c r="AD61" s="67">
        <f ca="1">IF(LOWER(Capacity!$L73)="x",IF(AND(SUMIF(Capacity_Resource,$D61,'Critical resources (hide)'!AQ$6:AQ$105)+SUMIF(Capacity_Resource,$E61,'Critical resources (hide)'!AQ$6:AQ$105)+SUMIF(Capacity_Resource,$F61,'Critical resources (hide)'!AQ$6:AQ$105)&gt;0,$E$1=2),0,1),0)</f>
        <v>1</v>
      </c>
      <c r="AE61" s="67">
        <f ca="1">IF(LOWER(Capacity!$L73)="x",IF(AND(SUMIF(Capacity_Resource,$D61,'Critical resources (hide)'!AR$6:AR$105)+SUMIF(Capacity_Resource,$E61,'Critical resources (hide)'!AR$6:AR$105)+SUMIF(Capacity_Resource,$F61,'Critical resources (hide)'!AR$6:AR$105)&gt;0,$E$1=2),0,1),0)</f>
        <v>1</v>
      </c>
      <c r="AF61" s="67">
        <f ca="1">IF(LOWER(Capacity!$L73)="x",IF(AND(SUMIF(Capacity_Resource,$D61,'Critical resources (hide)'!AS$6:AS$105)+SUMIF(Capacity_Resource,$E61,'Critical resources (hide)'!AS$6:AS$105)+SUMIF(Capacity_Resource,$F61,'Critical resources (hide)'!AS$6:AS$105)&gt;0,$E$1=2),0,1),0)</f>
        <v>1</v>
      </c>
      <c r="AG61" s="67">
        <f ca="1">IF(LOWER(Capacity!$L73)="x",IF(AND(SUMIF(Capacity_Resource,$D61,'Critical resources (hide)'!AT$6:AT$105)+SUMIF(Capacity_Resource,$E61,'Critical resources (hide)'!AT$6:AT$105)+SUMIF(Capacity_Resource,$F61,'Critical resources (hide)'!AT$6:AT$105)&gt;0,$E$1=2),0,1),0)</f>
        <v>1</v>
      </c>
      <c r="AH61" s="67">
        <f ca="1">IF(LOWER(Capacity!$L73)="x",IF(AND(SUMIF(Capacity_Resource,$D61,'Critical resources (hide)'!AU$6:AU$105)+SUMIF(Capacity_Resource,$E61,'Critical resources (hide)'!AU$6:AU$105)+SUMIF(Capacity_Resource,$F61,'Critical resources (hide)'!AU$6:AU$105)&gt;0,$E$1=2),0,1),0)</f>
        <v>1</v>
      </c>
      <c r="AI61" s="67">
        <f ca="1">IF(LOWER(Capacity!$L73)="x",IF(AND(SUMIF(Capacity_Resource,$D61,'Critical resources (hide)'!AV$6:AV$105)+SUMIF(Capacity_Resource,$E61,'Critical resources (hide)'!AV$6:AV$105)+SUMIF(Capacity_Resource,$F61,'Critical resources (hide)'!AV$6:AV$105)&gt;0,$E$1=2),0,1),0)</f>
        <v>1</v>
      </c>
      <c r="AJ61" s="67">
        <f ca="1">IF(LOWER(Capacity!$L73)="x",IF(AND(SUMIF(Capacity_Resource,$D61,'Critical resources (hide)'!AW$6:AW$105)+SUMIF(Capacity_Resource,$E61,'Critical resources (hide)'!AW$6:AW$105)+SUMIF(Capacity_Resource,$F61,'Critical resources (hide)'!AW$6:AW$105)&gt;0,$E$1=2),0,1),0)</f>
        <v>1</v>
      </c>
      <c r="AK61" s="67">
        <f ca="1">IF(LOWER(Capacity!$L73)="x",IF(AND(SUMIF(Capacity_Resource,$D61,'Critical resources (hide)'!AX$6:AX$105)+SUMIF(Capacity_Resource,$E61,'Critical resources (hide)'!AX$6:AX$105)+SUMIF(Capacity_Resource,$F61,'Critical resources (hide)'!AX$6:AX$105)&gt;0,$E$1=2),0,1),0)</f>
        <v>1</v>
      </c>
      <c r="AL61" s="67">
        <f ca="1">IF(LOWER(Capacity!$L73)="x",IF(AND(SUMIF(Capacity_Resource,$D61,'Critical resources (hide)'!AY$6:AY$105)+SUMIF(Capacity_Resource,$E61,'Critical resources (hide)'!AY$6:AY$105)+SUMIF(Capacity_Resource,$F61,'Critical resources (hide)'!AY$6:AY$105)&gt;0,$E$1=2),0,1),0)</f>
        <v>1</v>
      </c>
      <c r="AM61" s="67">
        <f ca="1">IF(LOWER(Capacity!$L73)="x",IF(AND(SUMIF(Capacity_Resource,$D61,'Critical resources (hide)'!AZ$6:AZ$105)+SUMIF(Capacity_Resource,$E61,'Critical resources (hide)'!AZ$6:AZ$105)+SUMIF(Capacity_Resource,$F61,'Critical resources (hide)'!AZ$6:AZ$105)&gt;0,$E$1=2),0,1),0)</f>
        <v>1</v>
      </c>
      <c r="AN61" s="67">
        <f ca="1">IF(LOWER(Capacity!$L73)="x",IF(AND(SUMIF(Capacity_Resource,$D61,'Critical resources (hide)'!BA$6:BA$105)+SUMIF(Capacity_Resource,$E61,'Critical resources (hide)'!BA$6:BA$105)+SUMIF(Capacity_Resource,$F61,'Critical resources (hide)'!BA$6:BA$105)&gt;0,$E$1=2),0,1),0)</f>
        <v>1</v>
      </c>
      <c r="AO61" s="67">
        <f ca="1">IF(LOWER(Capacity!$L73)="x",IF(AND(SUMIF(Capacity_Resource,$D61,'Critical resources (hide)'!BB$6:BB$105)+SUMIF(Capacity_Resource,$E61,'Critical resources (hide)'!BB$6:BB$105)+SUMIF(Capacity_Resource,$F61,'Critical resources (hide)'!BB$6:BB$105)&gt;0,$E$1=2),0,1),0)</f>
        <v>1</v>
      </c>
      <c r="AP61" s="67">
        <f ca="1">IF(LOWER(Capacity!$L73)="x",IF(AND(SUMIF(Capacity_Resource,$D61,'Critical resources (hide)'!BC$6:BC$105)+SUMIF(Capacity_Resource,$E61,'Critical resources (hide)'!BC$6:BC$105)+SUMIF(Capacity_Resource,$F61,'Critical resources (hide)'!BC$6:BC$105)&gt;0,$E$1=2),0,1),0)</f>
        <v>1</v>
      </c>
      <c r="AQ61" s="67">
        <f ca="1">IF(LOWER(Capacity!$L73)="x",IF(AND(SUMIF(Capacity_Resource,$D61,'Critical resources (hide)'!BD$6:BD$105)+SUMIF(Capacity_Resource,$E61,'Critical resources (hide)'!BD$6:BD$105)+SUMIF(Capacity_Resource,$F61,'Critical resources (hide)'!BD$6:BD$105)&gt;0,$E$1=2),0,1),0)</f>
        <v>1</v>
      </c>
      <c r="AR61" s="67">
        <f ca="1">IF(LOWER(Capacity!$L73)="x",IF(AND(SUMIF(Capacity_Resource,$D61,'Critical resources (hide)'!BE$6:BE$105)+SUMIF(Capacity_Resource,$E61,'Critical resources (hide)'!BE$6:BE$105)+SUMIF(Capacity_Resource,$F61,'Critical resources (hide)'!BE$6:BE$105)&gt;0,$E$1=2),0,1),0)</f>
        <v>1</v>
      </c>
      <c r="AS61" s="67">
        <f ca="1">IF(LOWER(Capacity!$L73)="x",IF(AND(SUMIF(Capacity_Resource,$D61,'Critical resources (hide)'!BF$6:BF$105)+SUMIF(Capacity_Resource,$E61,'Critical resources (hide)'!BF$6:BF$105)+SUMIF(Capacity_Resource,$F61,'Critical resources (hide)'!BF$6:BF$105)&gt;0,$E$1=2),0,1),0)</f>
        <v>1</v>
      </c>
      <c r="AT61" s="67">
        <f ca="1">IF(LOWER(Capacity!$L73)="x",IF(AND(SUMIF(Capacity_Resource,$D61,'Critical resources (hide)'!BG$6:BG$105)+SUMIF(Capacity_Resource,$E61,'Critical resources (hide)'!BG$6:BG$105)+SUMIF(Capacity_Resource,$F61,'Critical resources (hide)'!BG$6:BG$105)&gt;0,$E$1=2),0,1),0)</f>
        <v>1</v>
      </c>
      <c r="AU61" s="67">
        <f ca="1">IF(LOWER(Capacity!$L73)="x",IF(AND(SUMIF(Capacity_Resource,$D61,'Critical resources (hide)'!BH$6:BH$105)+SUMIF(Capacity_Resource,$E61,'Critical resources (hide)'!BH$6:BH$105)+SUMIF(Capacity_Resource,$F61,'Critical resources (hide)'!BH$6:BH$105)&gt;0,$E$1=2),0,1),0)</f>
        <v>1</v>
      </c>
      <c r="AV61" s="67">
        <f ca="1">IF(LOWER(Capacity!$L73)="x",IF(AND(SUMIF(Capacity_Resource,$D61,'Critical resources (hide)'!BI$6:BI$105)+SUMIF(Capacity_Resource,$E61,'Critical resources (hide)'!BI$6:BI$105)+SUMIF(Capacity_Resource,$F61,'Critical resources (hide)'!BI$6:BI$105)&gt;0,$E$1=2),0,1),0)</f>
        <v>1</v>
      </c>
      <c r="AW61" s="67">
        <f ca="1">IF(LOWER(Capacity!$L73)="x",IF(AND(SUMIF(Capacity_Resource,$D61,'Critical resources (hide)'!BJ$6:BJ$105)+SUMIF(Capacity_Resource,$E61,'Critical resources (hide)'!BJ$6:BJ$105)+SUMIF(Capacity_Resource,$F61,'Critical resources (hide)'!BJ$6:BJ$105)&gt;0,$E$1=2),0,1),0)</f>
        <v>1</v>
      </c>
      <c r="AX61" s="67">
        <f ca="1">IF(LOWER(Capacity!$L73)="x",IF(AND(SUMIF(Capacity_Resource,$D61,'Critical resources (hide)'!BK$6:BK$105)+SUMIF(Capacity_Resource,$E61,'Critical resources (hide)'!BK$6:BK$105)+SUMIF(Capacity_Resource,$F61,'Critical resources (hide)'!BK$6:BK$105)&gt;0,$E$1=2),0,1),0)</f>
        <v>1</v>
      </c>
      <c r="AY61" s="67">
        <f ca="1">IF(LOWER(Capacity!$L73)="x",IF(AND(SUMIF(Capacity_Resource,$D61,'Critical resources (hide)'!BL$6:BL$105)+SUMIF(Capacity_Resource,$E61,'Critical resources (hide)'!BL$6:BL$105)+SUMIF(Capacity_Resource,$F61,'Critical resources (hide)'!BL$6:BL$105)&gt;0,$E$1=2),0,1),0)</f>
        <v>1</v>
      </c>
      <c r="AZ61" s="67">
        <f ca="1">IF(LOWER(Capacity!$L73)="x",IF(AND(SUMIF(Capacity_Resource,$D61,'Critical resources (hide)'!BM$6:BM$105)+SUMIF(Capacity_Resource,$E61,'Critical resources (hide)'!BM$6:BM$105)+SUMIF(Capacity_Resource,$F61,'Critical resources (hide)'!BM$6:BM$105)&gt;0,$E$1=2),0,1),0)</f>
        <v>1</v>
      </c>
      <c r="BA61" s="67">
        <f ca="1">IF(LOWER(Capacity!$L73)="x",IF(AND(SUMIF(Capacity_Resource,$D61,'Critical resources (hide)'!BN$6:BN$105)+SUMIF(Capacity_Resource,$E61,'Critical resources (hide)'!BN$6:BN$105)+SUMIF(Capacity_Resource,$F61,'Critical resources (hide)'!BN$6:BN$105)&gt;0,$E$1=2),0,1),0)</f>
        <v>1</v>
      </c>
      <c r="BB61" s="67">
        <f ca="1">IF(LOWER(Capacity!$L73)="x",IF(AND(SUMIF(Capacity_Resource,$D61,'Critical resources (hide)'!BO$6:BO$105)+SUMIF(Capacity_Resource,$E61,'Critical resources (hide)'!BO$6:BO$105)+SUMIF(Capacity_Resource,$F61,'Critical resources (hide)'!BO$6:BO$105)&gt;0,$E$1=2),0,1),0)</f>
        <v>1</v>
      </c>
      <c r="BC61" s="67">
        <f ca="1">IF(LOWER(Capacity!$L73)="x",IF(AND(SUMIF(Capacity_Resource,$D61,'Critical resources (hide)'!BP$6:BP$105)+SUMIF(Capacity_Resource,$E61,'Critical resources (hide)'!BP$6:BP$105)+SUMIF(Capacity_Resource,$F61,'Critical resources (hide)'!BP$6:BP$105)&gt;0,$E$1=2),0,1),0)</f>
        <v>1</v>
      </c>
      <c r="BD61" s="67">
        <f ca="1">IF(LOWER(Capacity!$L73)="x",IF(AND(SUMIF(Capacity_Resource,$D61,'Critical resources (hide)'!BQ$6:BQ$105)+SUMIF(Capacity_Resource,$E61,'Critical resources (hide)'!BQ$6:BQ$105)+SUMIF(Capacity_Resource,$F61,'Critical resources (hide)'!BQ$6:BQ$105)&gt;0,$E$1=2),0,1),0)</f>
        <v>1</v>
      </c>
      <c r="BE61" s="67">
        <f ca="1">IF(LOWER(Capacity!$L73)="x",IF(AND(SUMIF(Capacity_Resource,$D61,'Critical resources (hide)'!BR$6:BR$105)+SUMIF(Capacity_Resource,$E61,'Critical resources (hide)'!BR$6:BR$105)+SUMIF(Capacity_Resource,$F61,'Critical resources (hide)'!BR$6:BR$105)&gt;0,$E$1=2),0,1),0)</f>
        <v>1</v>
      </c>
      <c r="BF61" s="67">
        <f ca="1">IF(LOWER(Capacity!$L73)="x",IF(AND(SUMIF(Capacity_Resource,$D61,'Critical resources (hide)'!BS$6:BS$105)+SUMIF(Capacity_Resource,$E61,'Critical resources (hide)'!BS$6:BS$105)+SUMIF(Capacity_Resource,$F61,'Critical resources (hide)'!BS$6:BS$105)&gt;0,$E$1=2),0,1),0)</f>
        <v>1</v>
      </c>
      <c r="BG61" s="67">
        <f ca="1">IF(LOWER(Capacity!$L73)="x",IF(AND(SUMIF(Capacity_Resource,$D61,'Critical resources (hide)'!BT$6:BT$105)+SUMIF(Capacity_Resource,$E61,'Critical resources (hide)'!BT$6:BT$105)+SUMIF(Capacity_Resource,$F61,'Critical resources (hide)'!BT$6:BT$105)&gt;0,$E$1=2),0,1),0)</f>
        <v>1</v>
      </c>
      <c r="BH61" s="67">
        <f>IF(ROW(C57)&lt;=Capacity!$A$16,IF('Capacity summary'!$D$14="No",SUM(H61:BG61),'Capacity summary'!$E180),0)</f>
        <v>0</v>
      </c>
      <c r="BI61" s="5" t="str">
        <f>IF(BH61&gt;0,IF(BH61&lt;Capacity!E73,Capacity!F73,Capacity!H73/'Capacity calculation (hide)'!BH61),"")</f>
        <v/>
      </c>
      <c r="BK61" s="311">
        <f>IF($BI61&lt;&gt;"",IF('Capacity summary'!$D$14="Yes",IF(COUNTBLANK('Capacity summary'!$H180:$BG180)&lt;52,IF('Capacity summary'!H180&lt;&gt;"",IF(LOWER('Capacity summary'!H180)="x",$BI61*H61,VALUE('Capacity summary'!H180)),0),H61*$BI61),H61*$BI61),0)</f>
        <v>0</v>
      </c>
      <c r="BL61" s="311">
        <f>IF($BI61&lt;&gt;"",IF('Capacity summary'!$D$14="Yes",IF(COUNTBLANK('Capacity summary'!$H180:$BG180)&lt;52,IF('Capacity summary'!I180&lt;&gt;"",IF(LOWER('Capacity summary'!I180)="x",$BI61*I61,VALUE('Capacity summary'!I180)),0),I61*$BI61),I61*$BI61),0)</f>
        <v>0</v>
      </c>
      <c r="BM61" s="311">
        <f>IF($BI61&lt;&gt;"",IF('Capacity summary'!$D$14="Yes",IF(COUNTBLANK('Capacity summary'!$H180:$BG180)&lt;52,IF('Capacity summary'!J180&lt;&gt;"",IF(LOWER('Capacity summary'!J180)="x",$BI61*J61,VALUE('Capacity summary'!J180)),0),J61*$BI61),J61*$BI61),0)</f>
        <v>0</v>
      </c>
      <c r="BN61" s="311">
        <f>IF($BI61&lt;&gt;"",IF('Capacity summary'!$D$14="Yes",IF(COUNTBLANK('Capacity summary'!$H180:$BG180)&lt;52,IF('Capacity summary'!K180&lt;&gt;"",IF(LOWER('Capacity summary'!K180)="x",$BI61*K61,VALUE('Capacity summary'!K180)),0),K61*$BI61),K61*$BI61),0)</f>
        <v>0</v>
      </c>
      <c r="BO61" s="311">
        <f>IF($BI61&lt;&gt;"",IF('Capacity summary'!$D$14="Yes",IF(COUNTBLANK('Capacity summary'!$H180:$BG180)&lt;52,IF('Capacity summary'!L180&lt;&gt;"",IF(LOWER('Capacity summary'!L180)="x",$BI61*L61,VALUE('Capacity summary'!L180)),0),L61*$BI61),L61*$BI61),0)</f>
        <v>0</v>
      </c>
      <c r="BP61" s="311">
        <f>IF($BI61&lt;&gt;"",IF('Capacity summary'!$D$14="Yes",IF(COUNTBLANK('Capacity summary'!$H180:$BG180)&lt;52,IF('Capacity summary'!M180&lt;&gt;"",IF(LOWER('Capacity summary'!M180)="x",$BI61*M61,VALUE('Capacity summary'!M180)),0),M61*$BI61),M61*$BI61),0)</f>
        <v>0</v>
      </c>
      <c r="BQ61" s="311">
        <f>IF($BI61&lt;&gt;"",IF('Capacity summary'!$D$14="Yes",IF(COUNTBLANK('Capacity summary'!$H180:$BG180)&lt;52,IF('Capacity summary'!N180&lt;&gt;"",IF(LOWER('Capacity summary'!N180)="x",$BI61*N61,VALUE('Capacity summary'!N180)),0),N61*$BI61),N61*$BI61),0)</f>
        <v>0</v>
      </c>
      <c r="BR61" s="311">
        <f>IF($BI61&lt;&gt;"",IF('Capacity summary'!$D$14="Yes",IF(COUNTBLANK('Capacity summary'!$H180:$BG180)&lt;52,IF('Capacity summary'!O180&lt;&gt;"",IF(LOWER('Capacity summary'!O180)="x",$BI61*O61,VALUE('Capacity summary'!O180)),0),O61*$BI61),O61*$BI61),0)</f>
        <v>0</v>
      </c>
      <c r="BS61" s="311">
        <f>IF($BI61&lt;&gt;"",IF('Capacity summary'!$D$14="Yes",IF(COUNTBLANK('Capacity summary'!$H180:$BG180)&lt;52,IF('Capacity summary'!P180&lt;&gt;"",IF(LOWER('Capacity summary'!P180)="x",$BI61*P61,VALUE('Capacity summary'!P180)),0),P61*$BI61),P61*$BI61),0)</f>
        <v>0</v>
      </c>
      <c r="BT61" s="311">
        <f>IF($BI61&lt;&gt;"",IF('Capacity summary'!$D$14="Yes",IF(COUNTBLANK('Capacity summary'!$H180:$BG180)&lt;52,IF('Capacity summary'!Q180&lt;&gt;"",IF(LOWER('Capacity summary'!Q180)="x",$BI61*Q61,VALUE('Capacity summary'!Q180)),0),Q61*$BI61),Q61*$BI61),0)</f>
        <v>0</v>
      </c>
      <c r="BU61" s="311">
        <f>IF($BI61&lt;&gt;"",IF('Capacity summary'!$D$14="Yes",IF(COUNTBLANK('Capacity summary'!$H180:$BG180)&lt;52,IF('Capacity summary'!R180&lt;&gt;"",IF(LOWER('Capacity summary'!R180)="x",$BI61*R61,VALUE('Capacity summary'!R180)),0),R61*$BI61),R61*$BI61),0)</f>
        <v>0</v>
      </c>
      <c r="BV61" s="311">
        <f>IF($BI61&lt;&gt;"",IF('Capacity summary'!$D$14="Yes",IF(COUNTBLANK('Capacity summary'!$H180:$BG180)&lt;52,IF('Capacity summary'!S180&lt;&gt;"",IF(LOWER('Capacity summary'!S180)="x",$BI61*S61,VALUE('Capacity summary'!S180)),0),S61*$BI61),S61*$BI61),0)</f>
        <v>0</v>
      </c>
      <c r="BW61" s="311">
        <f>IF($BI61&lt;&gt;"",IF('Capacity summary'!$D$14="Yes",IF(COUNTBLANK('Capacity summary'!$H180:$BG180)&lt;52,IF('Capacity summary'!T180&lt;&gt;"",IF(LOWER('Capacity summary'!T180)="x",$BI61*T61,VALUE('Capacity summary'!T180)),0),T61*$BI61),T61*$BI61),0)</f>
        <v>0</v>
      </c>
      <c r="BX61" s="311">
        <f>IF($BI61&lt;&gt;"",IF('Capacity summary'!$D$14="Yes",IF(COUNTBLANK('Capacity summary'!$H180:$BG180)&lt;52,IF('Capacity summary'!U180&lt;&gt;"",IF(LOWER('Capacity summary'!U180)="x",$BI61*U61,VALUE('Capacity summary'!U180)),0),U61*$BI61),U61*$BI61),0)</f>
        <v>0</v>
      </c>
      <c r="BY61" s="311">
        <f>IF($BI61&lt;&gt;"",IF('Capacity summary'!$D$14="Yes",IF(COUNTBLANK('Capacity summary'!$H180:$BG180)&lt;52,IF('Capacity summary'!V180&lt;&gt;"",IF(LOWER('Capacity summary'!V180)="x",$BI61*V61,VALUE('Capacity summary'!V180)),0),V61*$BI61),V61*$BI61),0)</f>
        <v>0</v>
      </c>
      <c r="BZ61" s="311">
        <f>IF($BI61&lt;&gt;"",IF('Capacity summary'!$D$14="Yes",IF(COUNTBLANK('Capacity summary'!$H180:$BG180)&lt;52,IF('Capacity summary'!W180&lt;&gt;"",IF(LOWER('Capacity summary'!W180)="x",$BI61*W61,VALUE('Capacity summary'!W180)),0),W61*$BI61),W61*$BI61),0)</f>
        <v>0</v>
      </c>
      <c r="CA61" s="311">
        <f>IF($BI61&lt;&gt;"",IF('Capacity summary'!$D$14="Yes",IF(COUNTBLANK('Capacity summary'!$H180:$BG180)&lt;52,IF('Capacity summary'!X180&lt;&gt;"",IF(LOWER('Capacity summary'!X180)="x",$BI61*X61,VALUE('Capacity summary'!X180)),0),X61*$BI61),X61*$BI61),0)</f>
        <v>0</v>
      </c>
      <c r="CB61" s="311">
        <f>IF($BI61&lt;&gt;"",IF('Capacity summary'!$D$14="Yes",IF(COUNTBLANK('Capacity summary'!$H180:$BG180)&lt;52,IF('Capacity summary'!Y180&lt;&gt;"",IF(LOWER('Capacity summary'!Y180)="x",$BI61*Y61,VALUE('Capacity summary'!Y180)),0),Y61*$BI61),Y61*$BI61),0)</f>
        <v>0</v>
      </c>
      <c r="CC61" s="311">
        <f>IF($BI61&lt;&gt;"",IF('Capacity summary'!$D$14="Yes",IF(COUNTBLANK('Capacity summary'!$H180:$BG180)&lt;52,IF('Capacity summary'!Z180&lt;&gt;"",IF(LOWER('Capacity summary'!Z180)="x",$BI61*Z61,VALUE('Capacity summary'!Z180)),0),Z61*$BI61),Z61*$BI61),0)</f>
        <v>0</v>
      </c>
      <c r="CD61" s="311">
        <f>IF($BI61&lt;&gt;"",IF('Capacity summary'!$D$14="Yes",IF(COUNTBLANK('Capacity summary'!$H180:$BG180)&lt;52,IF('Capacity summary'!AA180&lt;&gt;"",IF(LOWER('Capacity summary'!AA180)="x",$BI61*AA61,VALUE('Capacity summary'!AA180)),0),AA61*$BI61),AA61*$BI61),0)</f>
        <v>0</v>
      </c>
      <c r="CE61" s="311">
        <f>IF($BI61&lt;&gt;"",IF('Capacity summary'!$D$14="Yes",IF(COUNTBLANK('Capacity summary'!$H180:$BG180)&lt;52,IF('Capacity summary'!AB180&lt;&gt;"",IF(LOWER('Capacity summary'!AB180)="x",$BI61*AB61,VALUE('Capacity summary'!AB180)),0),AB61*$BI61),AB61*$BI61),0)</f>
        <v>0</v>
      </c>
      <c r="CF61" s="311">
        <f>IF($BI61&lt;&gt;"",IF('Capacity summary'!$D$14="Yes",IF(COUNTBLANK('Capacity summary'!$H180:$BG180)&lt;52,IF('Capacity summary'!AC180&lt;&gt;"",IF(LOWER('Capacity summary'!AC180)="x",$BI61*AC61,VALUE('Capacity summary'!AC180)),0),AC61*$BI61),AC61*$BI61),0)</f>
        <v>0</v>
      </c>
      <c r="CG61" s="311">
        <f>IF($BI61&lt;&gt;"",IF('Capacity summary'!$D$14="Yes",IF(COUNTBLANK('Capacity summary'!$H180:$BG180)&lt;52,IF('Capacity summary'!AD180&lt;&gt;"",IF(LOWER('Capacity summary'!AD180)="x",$BI61*AD61,VALUE('Capacity summary'!AD180)),0),AD61*$BI61),AD61*$BI61),0)</f>
        <v>0</v>
      </c>
      <c r="CH61" s="311">
        <f>IF($BI61&lt;&gt;"",IF('Capacity summary'!$D$14="Yes",IF(COUNTBLANK('Capacity summary'!$H180:$BG180)&lt;52,IF('Capacity summary'!AE180&lt;&gt;"",IF(LOWER('Capacity summary'!AE180)="x",$BI61*AE61,VALUE('Capacity summary'!AE180)),0),AE61*$BI61),AE61*$BI61),0)</f>
        <v>0</v>
      </c>
      <c r="CI61" s="311">
        <f>IF($BI61&lt;&gt;"",IF('Capacity summary'!$D$14="Yes",IF(COUNTBLANK('Capacity summary'!$H180:$BG180)&lt;52,IF('Capacity summary'!AF180&lt;&gt;"",IF(LOWER('Capacity summary'!AF180)="x",$BI61*AF61,VALUE('Capacity summary'!AF180)),0),AF61*$BI61),AF61*$BI61),0)</f>
        <v>0</v>
      </c>
      <c r="CJ61" s="311">
        <f>IF($BI61&lt;&gt;"",IF('Capacity summary'!$D$14="Yes",IF(COUNTBLANK('Capacity summary'!$H180:$BG180)&lt;52,IF('Capacity summary'!AG180&lt;&gt;"",IF(LOWER('Capacity summary'!AG180)="x",$BI61*AG61,VALUE('Capacity summary'!AG180)),0),AG61*$BI61),AG61*$BI61),0)</f>
        <v>0</v>
      </c>
      <c r="CK61" s="311">
        <f>IF($BI61&lt;&gt;"",IF('Capacity summary'!$D$14="Yes",IF(COUNTBLANK('Capacity summary'!$H180:$BG180)&lt;52,IF('Capacity summary'!AH180&lt;&gt;"",IF(LOWER('Capacity summary'!AH180)="x",$BI61*AH61,VALUE('Capacity summary'!AH180)),0),AH61*$BI61),AH61*$BI61),0)</f>
        <v>0</v>
      </c>
      <c r="CL61" s="311">
        <f>IF($BI61&lt;&gt;"",IF('Capacity summary'!$D$14="Yes",IF(COUNTBLANK('Capacity summary'!$H180:$BG180)&lt;52,IF('Capacity summary'!AI180&lt;&gt;"",IF(LOWER('Capacity summary'!AI180)="x",$BI61*AI61,VALUE('Capacity summary'!AI180)),0),AI61*$BI61),AI61*$BI61),0)</f>
        <v>0</v>
      </c>
      <c r="CM61" s="311">
        <f>IF($BI61&lt;&gt;"",IF('Capacity summary'!$D$14="Yes",IF(COUNTBLANK('Capacity summary'!$H180:$BG180)&lt;52,IF('Capacity summary'!AJ180&lt;&gt;"",IF(LOWER('Capacity summary'!AJ180)="x",$BI61*AJ61,VALUE('Capacity summary'!AJ180)),0),AJ61*$BI61),AJ61*$BI61),0)</f>
        <v>0</v>
      </c>
      <c r="CN61" s="311">
        <f>IF($BI61&lt;&gt;"",IF('Capacity summary'!$D$14="Yes",IF(COUNTBLANK('Capacity summary'!$H180:$BG180)&lt;52,IF('Capacity summary'!AK180&lt;&gt;"",IF(LOWER('Capacity summary'!AK180)="x",$BI61*AK61,VALUE('Capacity summary'!AK180)),0),AK61*$BI61),AK61*$BI61),0)</f>
        <v>0</v>
      </c>
      <c r="CO61" s="311">
        <f>IF($BI61&lt;&gt;"",IF('Capacity summary'!$D$14="Yes",IF(COUNTBLANK('Capacity summary'!$H180:$BG180)&lt;52,IF('Capacity summary'!AL180&lt;&gt;"",IF(LOWER('Capacity summary'!AL180)="x",$BI61*AL61,VALUE('Capacity summary'!AL180)),0),AL61*$BI61),AL61*$BI61),0)</f>
        <v>0</v>
      </c>
      <c r="CP61" s="311">
        <f>IF($BI61&lt;&gt;"",IF('Capacity summary'!$D$14="Yes",IF(COUNTBLANK('Capacity summary'!$H180:$BG180)&lt;52,IF('Capacity summary'!AM180&lt;&gt;"",IF(LOWER('Capacity summary'!AM180)="x",$BI61*AM61,VALUE('Capacity summary'!AM180)),0),AM61*$BI61),AM61*$BI61),0)</f>
        <v>0</v>
      </c>
      <c r="CQ61" s="311">
        <f>IF($BI61&lt;&gt;"",IF('Capacity summary'!$D$14="Yes",IF(COUNTBLANK('Capacity summary'!$H180:$BG180)&lt;52,IF('Capacity summary'!AN180&lt;&gt;"",IF(LOWER('Capacity summary'!AN180)="x",$BI61*AN61,VALUE('Capacity summary'!AN180)),0),AN61*$BI61),AN61*$BI61),0)</f>
        <v>0</v>
      </c>
      <c r="CR61" s="311">
        <f>IF($BI61&lt;&gt;"",IF('Capacity summary'!$D$14="Yes",IF(COUNTBLANK('Capacity summary'!$H180:$BG180)&lt;52,IF('Capacity summary'!AO180&lt;&gt;"",IF(LOWER('Capacity summary'!AO180)="x",$BI61*AO61,VALUE('Capacity summary'!AO180)),0),AO61*$BI61),AO61*$BI61),0)</f>
        <v>0</v>
      </c>
      <c r="CS61" s="311">
        <f>IF($BI61&lt;&gt;"",IF('Capacity summary'!$D$14="Yes",IF(COUNTBLANK('Capacity summary'!$H180:$BG180)&lt;52,IF('Capacity summary'!AP180&lt;&gt;"",IF(LOWER('Capacity summary'!AP180)="x",$BI61*AP61,VALUE('Capacity summary'!AP180)),0),AP61*$BI61),AP61*$BI61),0)</f>
        <v>0</v>
      </c>
      <c r="CT61" s="311">
        <f>IF($BI61&lt;&gt;"",IF('Capacity summary'!$D$14="Yes",IF(COUNTBLANK('Capacity summary'!$H180:$BG180)&lt;52,IF('Capacity summary'!AQ180&lt;&gt;"",IF(LOWER('Capacity summary'!AQ180)="x",$BI61*AQ61,VALUE('Capacity summary'!AQ180)),0),AQ61*$BI61),AQ61*$BI61),0)</f>
        <v>0</v>
      </c>
      <c r="CU61" s="311">
        <f>IF($BI61&lt;&gt;"",IF('Capacity summary'!$D$14="Yes",IF(COUNTBLANK('Capacity summary'!$H180:$BG180)&lt;52,IF('Capacity summary'!AR180&lt;&gt;"",IF(LOWER('Capacity summary'!AR180)="x",$BI61*AR61,VALUE('Capacity summary'!AR180)),0),AR61*$BI61),AR61*$BI61),0)</f>
        <v>0</v>
      </c>
      <c r="CV61" s="311">
        <f>IF($BI61&lt;&gt;"",IF('Capacity summary'!$D$14="Yes",IF(COUNTBLANK('Capacity summary'!$H180:$BG180)&lt;52,IF('Capacity summary'!AS180&lt;&gt;"",IF(LOWER('Capacity summary'!AS180)="x",$BI61*AS61,VALUE('Capacity summary'!AS180)),0),AS61*$BI61),AS61*$BI61),0)</f>
        <v>0</v>
      </c>
      <c r="CW61" s="311">
        <f>IF($BI61&lt;&gt;"",IF('Capacity summary'!$D$14="Yes",IF(COUNTBLANK('Capacity summary'!$H180:$BG180)&lt;52,IF('Capacity summary'!AT180&lt;&gt;"",IF(LOWER('Capacity summary'!AT180)="x",$BI61*AT61,VALUE('Capacity summary'!AT180)),0),AT61*$BI61),AT61*$BI61),0)</f>
        <v>0</v>
      </c>
      <c r="CX61" s="311">
        <f>IF($BI61&lt;&gt;"",IF('Capacity summary'!$D$14="Yes",IF(COUNTBLANK('Capacity summary'!$H180:$BG180)&lt;52,IF('Capacity summary'!AU180&lt;&gt;"",IF(LOWER('Capacity summary'!AU180)="x",$BI61*AU61,VALUE('Capacity summary'!AU180)),0),AU61*$BI61),AU61*$BI61),0)</f>
        <v>0</v>
      </c>
      <c r="CY61" s="311">
        <f>IF($BI61&lt;&gt;"",IF('Capacity summary'!$D$14="Yes",IF(COUNTBLANK('Capacity summary'!$H180:$BG180)&lt;52,IF('Capacity summary'!AV180&lt;&gt;"",IF(LOWER('Capacity summary'!AV180)="x",$BI61*AV61,VALUE('Capacity summary'!AV180)),0),AV61*$BI61),AV61*$BI61),0)</f>
        <v>0</v>
      </c>
      <c r="CZ61" s="311">
        <f>IF($BI61&lt;&gt;"",IF('Capacity summary'!$D$14="Yes",IF(COUNTBLANK('Capacity summary'!$H180:$BG180)&lt;52,IF('Capacity summary'!AW180&lt;&gt;"",IF(LOWER('Capacity summary'!AW180)="x",$BI61*AW61,VALUE('Capacity summary'!AW180)),0),AW61*$BI61),AW61*$BI61),0)</f>
        <v>0</v>
      </c>
      <c r="DA61" s="311">
        <f>IF($BI61&lt;&gt;"",IF('Capacity summary'!$D$14="Yes",IF(COUNTBLANK('Capacity summary'!$H180:$BG180)&lt;52,IF('Capacity summary'!AX180&lt;&gt;"",IF(LOWER('Capacity summary'!AX180)="x",$BI61*AX61,VALUE('Capacity summary'!AX180)),0),AX61*$BI61),AX61*$BI61),0)</f>
        <v>0</v>
      </c>
      <c r="DB61" s="311">
        <f>IF($BI61&lt;&gt;"",IF('Capacity summary'!$D$14="Yes",IF(COUNTBLANK('Capacity summary'!$H180:$BG180)&lt;52,IF('Capacity summary'!AY180&lt;&gt;"",IF(LOWER('Capacity summary'!AY180)="x",$BI61*AY61,VALUE('Capacity summary'!AY180)),0),AY61*$BI61),AY61*$BI61),0)</f>
        <v>0</v>
      </c>
      <c r="DC61" s="311">
        <f>IF($BI61&lt;&gt;"",IF('Capacity summary'!$D$14="Yes",IF(COUNTBLANK('Capacity summary'!$H180:$BG180)&lt;52,IF('Capacity summary'!AZ180&lt;&gt;"",IF(LOWER('Capacity summary'!AZ180)="x",$BI61*AZ61,VALUE('Capacity summary'!AZ180)),0),AZ61*$BI61),AZ61*$BI61),0)</f>
        <v>0</v>
      </c>
      <c r="DD61" s="311">
        <f>IF($BI61&lt;&gt;"",IF('Capacity summary'!$D$14="Yes",IF(COUNTBLANK('Capacity summary'!$H180:$BG180)&lt;52,IF('Capacity summary'!BA180&lt;&gt;"",IF(LOWER('Capacity summary'!BA180)="x",$BI61*BA61,VALUE('Capacity summary'!BA180)),0),BA61*$BI61),BA61*$BI61),0)</f>
        <v>0</v>
      </c>
      <c r="DE61" s="311">
        <f>IF($BI61&lt;&gt;"",IF('Capacity summary'!$D$14="Yes",IF(COUNTBLANK('Capacity summary'!$H180:$BG180)&lt;52,IF('Capacity summary'!BB180&lt;&gt;"",IF(LOWER('Capacity summary'!BB180)="x",$BI61*BB61,VALUE('Capacity summary'!BB180)),0),BB61*$BI61),BB61*$BI61),0)</f>
        <v>0</v>
      </c>
      <c r="DF61" s="311">
        <f>IF($BI61&lt;&gt;"",IF('Capacity summary'!$D$14="Yes",IF(COUNTBLANK('Capacity summary'!$H180:$BG180)&lt;52,IF('Capacity summary'!BC180&lt;&gt;"",IF(LOWER('Capacity summary'!BC180)="x",$BI61*BC61,VALUE('Capacity summary'!BC180)),0),BC61*$BI61),BC61*$BI61),0)</f>
        <v>0</v>
      </c>
      <c r="DG61" s="311">
        <f>IF($BI61&lt;&gt;"",IF('Capacity summary'!$D$14="Yes",IF(COUNTBLANK('Capacity summary'!$H180:$BG180)&lt;52,IF('Capacity summary'!BD180&lt;&gt;"",IF(LOWER('Capacity summary'!BD180)="x",$BI61*BD61,VALUE('Capacity summary'!BD180)),0),BD61*$BI61),BD61*$BI61),0)</f>
        <v>0</v>
      </c>
      <c r="DH61" s="311">
        <f>IF($BI61&lt;&gt;"",IF('Capacity summary'!$D$14="Yes",IF(COUNTBLANK('Capacity summary'!$H180:$BG180)&lt;52,IF('Capacity summary'!BE180&lt;&gt;"",IF(LOWER('Capacity summary'!BE180)="x",$BI61*BE61,VALUE('Capacity summary'!BE180)),0),BE61*$BI61),BE61*$BI61),0)</f>
        <v>0</v>
      </c>
      <c r="DI61" s="311">
        <f>IF($BI61&lt;&gt;"",IF('Capacity summary'!$D$14="Yes",IF(COUNTBLANK('Capacity summary'!$H180:$BG180)&lt;52,IF('Capacity summary'!BF180&lt;&gt;"",IF(LOWER('Capacity summary'!BF180)="x",$BI61*BF61,VALUE('Capacity summary'!BF180)),0),BF61*$BI61),BF61*$BI61),0)</f>
        <v>0</v>
      </c>
      <c r="DJ61" s="311">
        <f>IF($BI61&lt;&gt;"",IF('Capacity summary'!$D$14="Yes",IF(COUNTBLANK('Capacity summary'!$H180:$BG180)&lt;52,IF('Capacity summary'!BG180&lt;&gt;"",IF(LOWER('Capacity summary'!BG180)="x",$BI61*BG61,VALUE('Capacity summary'!BG180)),0),BG61*$BI61),BG61*$BI61),0)</f>
        <v>0</v>
      </c>
      <c r="DK61" s="391">
        <f t="shared" si="2"/>
        <v>0</v>
      </c>
      <c r="DL61" s="136">
        <f t="shared" si="3"/>
        <v>0</v>
      </c>
      <c r="DM61" s="311" t="str">
        <f>Capacity!H73</f>
        <v/>
      </c>
    </row>
    <row r="62" spans="1:121" x14ac:dyDescent="0.2">
      <c r="A62" s="67">
        <f>IF(Capacity!L74='Capacity summary'!BI181,1,0)</f>
        <v>1</v>
      </c>
      <c r="B62" s="67">
        <f>IF(Capacity!V74='Capacity summary'!BI81,1,0)</f>
        <v>1</v>
      </c>
      <c r="C62" s="67" t="str">
        <f>ROW(A58)&amp;". "&amp;Capacity!B74</f>
        <v xml:space="preserve">58. </v>
      </c>
      <c r="D62" s="67">
        <f>'Capacity setup'!C69</f>
        <v>0</v>
      </c>
      <c r="E62" s="67">
        <f>'Capacity setup'!D69</f>
        <v>0</v>
      </c>
      <c r="F62" s="67">
        <f>'Capacity setup'!E69</f>
        <v>0</v>
      </c>
      <c r="H62" s="67">
        <f ca="1">IF(LOWER(Capacity!$L74)="x",IF(AND(SUMIF(Capacity_Resource,$D62,'Critical resources (hide)'!U$6:U$105)+SUMIF(Capacity_Resource,$E62,'Critical resources (hide)'!U$6:U$105)+SUMIF(Capacity_Resource,$F62,'Critical resources (hide)'!U$6:U$105)&gt;0,$E$1=2),0,1),0)</f>
        <v>1</v>
      </c>
      <c r="I62" s="67">
        <f ca="1">IF(LOWER(Capacity!$L74)="x",IF(AND(SUMIF(Capacity_Resource,$D62,'Critical resources (hide)'!V$6:V$105)+SUMIF(Capacity_Resource,$E62,'Critical resources (hide)'!V$6:V$105)+SUMIF(Capacity_Resource,$F62,'Critical resources (hide)'!V$6:V$105)&gt;0,$E$1=2),0,1),0)</f>
        <v>1</v>
      </c>
      <c r="J62" s="67">
        <f ca="1">IF(LOWER(Capacity!$L74)="x",IF(AND(SUMIF(Capacity_Resource,$D62,'Critical resources (hide)'!W$6:W$105)+SUMIF(Capacity_Resource,$E62,'Critical resources (hide)'!W$6:W$105)+SUMIF(Capacity_Resource,$F62,'Critical resources (hide)'!W$6:W$105)&gt;0,$E$1=2),0,1),0)</f>
        <v>1</v>
      </c>
      <c r="K62" s="67">
        <f ca="1">IF(LOWER(Capacity!$L74)="x",IF(AND(SUMIF(Capacity_Resource,$D62,'Critical resources (hide)'!X$6:X$105)+SUMIF(Capacity_Resource,$E62,'Critical resources (hide)'!X$6:X$105)+SUMIF(Capacity_Resource,$F62,'Critical resources (hide)'!X$6:X$105)&gt;0,$E$1=2),0,1),0)</f>
        <v>1</v>
      </c>
      <c r="L62" s="67">
        <f ca="1">IF(LOWER(Capacity!$L74)="x",IF(AND(SUMIF(Capacity_Resource,$D62,'Critical resources (hide)'!Y$6:Y$105)+SUMIF(Capacity_Resource,$E62,'Critical resources (hide)'!Y$6:Y$105)+SUMIF(Capacity_Resource,$F62,'Critical resources (hide)'!Y$6:Y$105)&gt;0,$E$1=2),0,1),0)</f>
        <v>1</v>
      </c>
      <c r="M62" s="67">
        <f ca="1">IF(LOWER(Capacity!$L74)="x",IF(AND(SUMIF(Capacity_Resource,$D62,'Critical resources (hide)'!Z$6:Z$105)+SUMIF(Capacity_Resource,$E62,'Critical resources (hide)'!Z$6:Z$105)+SUMIF(Capacity_Resource,$F62,'Critical resources (hide)'!Z$6:Z$105)&gt;0,$E$1=2),0,1),0)</f>
        <v>1</v>
      </c>
      <c r="N62" s="67">
        <f ca="1">IF(LOWER(Capacity!$L74)="x",IF(AND(SUMIF(Capacity_Resource,$D62,'Critical resources (hide)'!AA$6:AA$105)+SUMIF(Capacity_Resource,$E62,'Critical resources (hide)'!AA$6:AA$105)+SUMIF(Capacity_Resource,$F62,'Critical resources (hide)'!AA$6:AA$105)&gt;0,$E$1=2),0,1),0)</f>
        <v>1</v>
      </c>
      <c r="O62" s="67">
        <f ca="1">IF(LOWER(Capacity!$L74)="x",IF(AND(SUMIF(Capacity_Resource,$D62,'Critical resources (hide)'!AB$6:AB$105)+SUMIF(Capacity_Resource,$E62,'Critical resources (hide)'!AB$6:AB$105)+SUMIF(Capacity_Resource,$F62,'Critical resources (hide)'!AB$6:AB$105)&gt;0,$E$1=2),0,1),0)</f>
        <v>1</v>
      </c>
      <c r="P62" s="67">
        <f ca="1">IF(LOWER(Capacity!$L74)="x",IF(AND(SUMIF(Capacity_Resource,$D62,'Critical resources (hide)'!AC$6:AC$105)+SUMIF(Capacity_Resource,$E62,'Critical resources (hide)'!AC$6:AC$105)+SUMIF(Capacity_Resource,$F62,'Critical resources (hide)'!AC$6:AC$105)&gt;0,$E$1=2),0,1),0)</f>
        <v>1</v>
      </c>
      <c r="Q62" s="67">
        <f ca="1">IF(LOWER(Capacity!$L74)="x",IF(AND(SUMIF(Capacity_Resource,$D62,'Critical resources (hide)'!AD$6:AD$105)+SUMIF(Capacity_Resource,$E62,'Critical resources (hide)'!AD$6:AD$105)+SUMIF(Capacity_Resource,$F62,'Critical resources (hide)'!AD$6:AD$105)&gt;0,$E$1=2),0,1),0)</f>
        <v>1</v>
      </c>
      <c r="R62" s="67">
        <f ca="1">IF(LOWER(Capacity!$L74)="x",IF(AND(SUMIF(Capacity_Resource,$D62,'Critical resources (hide)'!AE$6:AE$105)+SUMIF(Capacity_Resource,$E62,'Critical resources (hide)'!AE$6:AE$105)+SUMIF(Capacity_Resource,$F62,'Critical resources (hide)'!AE$6:AE$105)&gt;0,$E$1=2),0,1),0)</f>
        <v>1</v>
      </c>
      <c r="S62" s="67">
        <f ca="1">IF(LOWER(Capacity!$L74)="x",IF(AND(SUMIF(Capacity_Resource,$D62,'Critical resources (hide)'!AF$6:AF$105)+SUMIF(Capacity_Resource,$E62,'Critical resources (hide)'!AF$6:AF$105)+SUMIF(Capacity_Resource,$F62,'Critical resources (hide)'!AF$6:AF$105)&gt;0,$E$1=2),0,1),0)</f>
        <v>1</v>
      </c>
      <c r="T62" s="67">
        <f ca="1">IF(LOWER(Capacity!$L74)="x",IF(AND(SUMIF(Capacity_Resource,$D62,'Critical resources (hide)'!AG$6:AG$105)+SUMIF(Capacity_Resource,$E62,'Critical resources (hide)'!AG$6:AG$105)+SUMIF(Capacity_Resource,$F62,'Critical resources (hide)'!AG$6:AG$105)&gt;0,$E$1=2),0,1),0)</f>
        <v>1</v>
      </c>
      <c r="U62" s="67">
        <f ca="1">IF(LOWER(Capacity!$L74)="x",IF(AND(SUMIF(Capacity_Resource,$D62,'Critical resources (hide)'!AH$6:AH$105)+SUMIF(Capacity_Resource,$E62,'Critical resources (hide)'!AH$6:AH$105)+SUMIF(Capacity_Resource,$F62,'Critical resources (hide)'!AH$6:AH$105)&gt;0,$E$1=2),0,1),0)</f>
        <v>1</v>
      </c>
      <c r="V62" s="67">
        <f ca="1">IF(LOWER(Capacity!$L74)="x",IF(AND(SUMIF(Capacity_Resource,$D62,'Critical resources (hide)'!AI$6:AI$105)+SUMIF(Capacity_Resource,$E62,'Critical resources (hide)'!AI$6:AI$105)+SUMIF(Capacity_Resource,$F62,'Critical resources (hide)'!AI$6:AI$105)&gt;0,$E$1=2),0,1),0)</f>
        <v>1</v>
      </c>
      <c r="W62" s="67">
        <f ca="1">IF(LOWER(Capacity!$L74)="x",IF(AND(SUMIF(Capacity_Resource,$D62,'Critical resources (hide)'!AJ$6:AJ$105)+SUMIF(Capacity_Resource,$E62,'Critical resources (hide)'!AJ$6:AJ$105)+SUMIF(Capacity_Resource,$F62,'Critical resources (hide)'!AJ$6:AJ$105)&gt;0,$E$1=2),0,1),0)</f>
        <v>1</v>
      </c>
      <c r="X62" s="67">
        <f ca="1">IF(LOWER(Capacity!$L74)="x",IF(AND(SUMIF(Capacity_Resource,$D62,'Critical resources (hide)'!AK$6:AK$105)+SUMIF(Capacity_Resource,$E62,'Critical resources (hide)'!AK$6:AK$105)+SUMIF(Capacity_Resource,$F62,'Critical resources (hide)'!AK$6:AK$105)&gt;0,$E$1=2),0,1),0)</f>
        <v>1</v>
      </c>
      <c r="Y62" s="67">
        <f ca="1">IF(LOWER(Capacity!$L74)="x",IF(AND(SUMIF(Capacity_Resource,$D62,'Critical resources (hide)'!AL$6:AL$105)+SUMIF(Capacity_Resource,$E62,'Critical resources (hide)'!AL$6:AL$105)+SUMIF(Capacity_Resource,$F62,'Critical resources (hide)'!AL$6:AL$105)&gt;0,$E$1=2),0,1),0)</f>
        <v>1</v>
      </c>
      <c r="Z62" s="67">
        <f ca="1">IF(LOWER(Capacity!$L74)="x",IF(AND(SUMIF(Capacity_Resource,$D62,'Critical resources (hide)'!AM$6:AM$105)+SUMIF(Capacity_Resource,$E62,'Critical resources (hide)'!AM$6:AM$105)+SUMIF(Capacity_Resource,$F62,'Critical resources (hide)'!AM$6:AM$105)&gt;0,$E$1=2),0,1),0)</f>
        <v>1</v>
      </c>
      <c r="AA62" s="67">
        <f ca="1">IF(LOWER(Capacity!$L74)="x",IF(AND(SUMIF(Capacity_Resource,$D62,'Critical resources (hide)'!AN$6:AN$105)+SUMIF(Capacity_Resource,$E62,'Critical resources (hide)'!AN$6:AN$105)+SUMIF(Capacity_Resource,$F62,'Critical resources (hide)'!AN$6:AN$105)&gt;0,$E$1=2),0,1),0)</f>
        <v>1</v>
      </c>
      <c r="AB62" s="67">
        <f ca="1">IF(LOWER(Capacity!$L74)="x",IF(AND(SUMIF(Capacity_Resource,$D62,'Critical resources (hide)'!AO$6:AO$105)+SUMIF(Capacity_Resource,$E62,'Critical resources (hide)'!AO$6:AO$105)+SUMIF(Capacity_Resource,$F62,'Critical resources (hide)'!AO$6:AO$105)&gt;0,$E$1=2),0,1),0)</f>
        <v>1</v>
      </c>
      <c r="AC62" s="67">
        <f ca="1">IF(LOWER(Capacity!$L74)="x",IF(AND(SUMIF(Capacity_Resource,$D62,'Critical resources (hide)'!AP$6:AP$105)+SUMIF(Capacity_Resource,$E62,'Critical resources (hide)'!AP$6:AP$105)+SUMIF(Capacity_Resource,$F62,'Critical resources (hide)'!AP$6:AP$105)&gt;0,$E$1=2),0,1),0)</f>
        <v>1</v>
      </c>
      <c r="AD62" s="67">
        <f ca="1">IF(LOWER(Capacity!$L74)="x",IF(AND(SUMIF(Capacity_Resource,$D62,'Critical resources (hide)'!AQ$6:AQ$105)+SUMIF(Capacity_Resource,$E62,'Critical resources (hide)'!AQ$6:AQ$105)+SUMIF(Capacity_Resource,$F62,'Critical resources (hide)'!AQ$6:AQ$105)&gt;0,$E$1=2),0,1),0)</f>
        <v>1</v>
      </c>
      <c r="AE62" s="67">
        <f ca="1">IF(LOWER(Capacity!$L74)="x",IF(AND(SUMIF(Capacity_Resource,$D62,'Critical resources (hide)'!AR$6:AR$105)+SUMIF(Capacity_Resource,$E62,'Critical resources (hide)'!AR$6:AR$105)+SUMIF(Capacity_Resource,$F62,'Critical resources (hide)'!AR$6:AR$105)&gt;0,$E$1=2),0,1),0)</f>
        <v>1</v>
      </c>
      <c r="AF62" s="67">
        <f ca="1">IF(LOWER(Capacity!$L74)="x",IF(AND(SUMIF(Capacity_Resource,$D62,'Critical resources (hide)'!AS$6:AS$105)+SUMIF(Capacity_Resource,$E62,'Critical resources (hide)'!AS$6:AS$105)+SUMIF(Capacity_Resource,$F62,'Critical resources (hide)'!AS$6:AS$105)&gt;0,$E$1=2),0,1),0)</f>
        <v>1</v>
      </c>
      <c r="AG62" s="67">
        <f ca="1">IF(LOWER(Capacity!$L74)="x",IF(AND(SUMIF(Capacity_Resource,$D62,'Critical resources (hide)'!AT$6:AT$105)+SUMIF(Capacity_Resource,$E62,'Critical resources (hide)'!AT$6:AT$105)+SUMIF(Capacity_Resource,$F62,'Critical resources (hide)'!AT$6:AT$105)&gt;0,$E$1=2),0,1),0)</f>
        <v>1</v>
      </c>
      <c r="AH62" s="67">
        <f ca="1">IF(LOWER(Capacity!$L74)="x",IF(AND(SUMIF(Capacity_Resource,$D62,'Critical resources (hide)'!AU$6:AU$105)+SUMIF(Capacity_Resource,$E62,'Critical resources (hide)'!AU$6:AU$105)+SUMIF(Capacity_Resource,$F62,'Critical resources (hide)'!AU$6:AU$105)&gt;0,$E$1=2),0,1),0)</f>
        <v>1</v>
      </c>
      <c r="AI62" s="67">
        <f ca="1">IF(LOWER(Capacity!$L74)="x",IF(AND(SUMIF(Capacity_Resource,$D62,'Critical resources (hide)'!AV$6:AV$105)+SUMIF(Capacity_Resource,$E62,'Critical resources (hide)'!AV$6:AV$105)+SUMIF(Capacity_Resource,$F62,'Critical resources (hide)'!AV$6:AV$105)&gt;0,$E$1=2),0,1),0)</f>
        <v>1</v>
      </c>
      <c r="AJ62" s="67">
        <f ca="1">IF(LOWER(Capacity!$L74)="x",IF(AND(SUMIF(Capacity_Resource,$D62,'Critical resources (hide)'!AW$6:AW$105)+SUMIF(Capacity_Resource,$E62,'Critical resources (hide)'!AW$6:AW$105)+SUMIF(Capacity_Resource,$F62,'Critical resources (hide)'!AW$6:AW$105)&gt;0,$E$1=2),0,1),0)</f>
        <v>1</v>
      </c>
      <c r="AK62" s="67">
        <f ca="1">IF(LOWER(Capacity!$L74)="x",IF(AND(SUMIF(Capacity_Resource,$D62,'Critical resources (hide)'!AX$6:AX$105)+SUMIF(Capacity_Resource,$E62,'Critical resources (hide)'!AX$6:AX$105)+SUMIF(Capacity_Resource,$F62,'Critical resources (hide)'!AX$6:AX$105)&gt;0,$E$1=2),0,1),0)</f>
        <v>1</v>
      </c>
      <c r="AL62" s="67">
        <f ca="1">IF(LOWER(Capacity!$L74)="x",IF(AND(SUMIF(Capacity_Resource,$D62,'Critical resources (hide)'!AY$6:AY$105)+SUMIF(Capacity_Resource,$E62,'Critical resources (hide)'!AY$6:AY$105)+SUMIF(Capacity_Resource,$F62,'Critical resources (hide)'!AY$6:AY$105)&gt;0,$E$1=2),0,1),0)</f>
        <v>1</v>
      </c>
      <c r="AM62" s="67">
        <f ca="1">IF(LOWER(Capacity!$L74)="x",IF(AND(SUMIF(Capacity_Resource,$D62,'Critical resources (hide)'!AZ$6:AZ$105)+SUMIF(Capacity_Resource,$E62,'Critical resources (hide)'!AZ$6:AZ$105)+SUMIF(Capacity_Resource,$F62,'Critical resources (hide)'!AZ$6:AZ$105)&gt;0,$E$1=2),0,1),0)</f>
        <v>1</v>
      </c>
      <c r="AN62" s="67">
        <f ca="1">IF(LOWER(Capacity!$L74)="x",IF(AND(SUMIF(Capacity_Resource,$D62,'Critical resources (hide)'!BA$6:BA$105)+SUMIF(Capacity_Resource,$E62,'Critical resources (hide)'!BA$6:BA$105)+SUMIF(Capacity_Resource,$F62,'Critical resources (hide)'!BA$6:BA$105)&gt;0,$E$1=2),0,1),0)</f>
        <v>1</v>
      </c>
      <c r="AO62" s="67">
        <f ca="1">IF(LOWER(Capacity!$L74)="x",IF(AND(SUMIF(Capacity_Resource,$D62,'Critical resources (hide)'!BB$6:BB$105)+SUMIF(Capacity_Resource,$E62,'Critical resources (hide)'!BB$6:BB$105)+SUMIF(Capacity_Resource,$F62,'Critical resources (hide)'!BB$6:BB$105)&gt;0,$E$1=2),0,1),0)</f>
        <v>1</v>
      </c>
      <c r="AP62" s="67">
        <f ca="1">IF(LOWER(Capacity!$L74)="x",IF(AND(SUMIF(Capacity_Resource,$D62,'Critical resources (hide)'!BC$6:BC$105)+SUMIF(Capacity_Resource,$E62,'Critical resources (hide)'!BC$6:BC$105)+SUMIF(Capacity_Resource,$F62,'Critical resources (hide)'!BC$6:BC$105)&gt;0,$E$1=2),0,1),0)</f>
        <v>1</v>
      </c>
      <c r="AQ62" s="67">
        <f ca="1">IF(LOWER(Capacity!$L74)="x",IF(AND(SUMIF(Capacity_Resource,$D62,'Critical resources (hide)'!BD$6:BD$105)+SUMIF(Capacity_Resource,$E62,'Critical resources (hide)'!BD$6:BD$105)+SUMIF(Capacity_Resource,$F62,'Critical resources (hide)'!BD$6:BD$105)&gt;0,$E$1=2),0,1),0)</f>
        <v>1</v>
      </c>
      <c r="AR62" s="67">
        <f ca="1">IF(LOWER(Capacity!$L74)="x",IF(AND(SUMIF(Capacity_Resource,$D62,'Critical resources (hide)'!BE$6:BE$105)+SUMIF(Capacity_Resource,$E62,'Critical resources (hide)'!BE$6:BE$105)+SUMIF(Capacity_Resource,$F62,'Critical resources (hide)'!BE$6:BE$105)&gt;0,$E$1=2),0,1),0)</f>
        <v>1</v>
      </c>
      <c r="AS62" s="67">
        <f ca="1">IF(LOWER(Capacity!$L74)="x",IF(AND(SUMIF(Capacity_Resource,$D62,'Critical resources (hide)'!BF$6:BF$105)+SUMIF(Capacity_Resource,$E62,'Critical resources (hide)'!BF$6:BF$105)+SUMIF(Capacity_Resource,$F62,'Critical resources (hide)'!BF$6:BF$105)&gt;0,$E$1=2),0,1),0)</f>
        <v>1</v>
      </c>
      <c r="AT62" s="67">
        <f ca="1">IF(LOWER(Capacity!$L74)="x",IF(AND(SUMIF(Capacity_Resource,$D62,'Critical resources (hide)'!BG$6:BG$105)+SUMIF(Capacity_Resource,$E62,'Critical resources (hide)'!BG$6:BG$105)+SUMIF(Capacity_Resource,$F62,'Critical resources (hide)'!BG$6:BG$105)&gt;0,$E$1=2),0,1),0)</f>
        <v>1</v>
      </c>
      <c r="AU62" s="67">
        <f ca="1">IF(LOWER(Capacity!$L74)="x",IF(AND(SUMIF(Capacity_Resource,$D62,'Critical resources (hide)'!BH$6:BH$105)+SUMIF(Capacity_Resource,$E62,'Critical resources (hide)'!BH$6:BH$105)+SUMIF(Capacity_Resource,$F62,'Critical resources (hide)'!BH$6:BH$105)&gt;0,$E$1=2),0,1),0)</f>
        <v>1</v>
      </c>
      <c r="AV62" s="67">
        <f ca="1">IF(LOWER(Capacity!$L74)="x",IF(AND(SUMIF(Capacity_Resource,$D62,'Critical resources (hide)'!BI$6:BI$105)+SUMIF(Capacity_Resource,$E62,'Critical resources (hide)'!BI$6:BI$105)+SUMIF(Capacity_Resource,$F62,'Critical resources (hide)'!BI$6:BI$105)&gt;0,$E$1=2),0,1),0)</f>
        <v>1</v>
      </c>
      <c r="AW62" s="67">
        <f ca="1">IF(LOWER(Capacity!$L74)="x",IF(AND(SUMIF(Capacity_Resource,$D62,'Critical resources (hide)'!BJ$6:BJ$105)+SUMIF(Capacity_Resource,$E62,'Critical resources (hide)'!BJ$6:BJ$105)+SUMIF(Capacity_Resource,$F62,'Critical resources (hide)'!BJ$6:BJ$105)&gt;0,$E$1=2),0,1),0)</f>
        <v>1</v>
      </c>
      <c r="AX62" s="67">
        <f ca="1">IF(LOWER(Capacity!$L74)="x",IF(AND(SUMIF(Capacity_Resource,$D62,'Critical resources (hide)'!BK$6:BK$105)+SUMIF(Capacity_Resource,$E62,'Critical resources (hide)'!BK$6:BK$105)+SUMIF(Capacity_Resource,$F62,'Critical resources (hide)'!BK$6:BK$105)&gt;0,$E$1=2),0,1),0)</f>
        <v>1</v>
      </c>
      <c r="AY62" s="67">
        <f ca="1">IF(LOWER(Capacity!$L74)="x",IF(AND(SUMIF(Capacity_Resource,$D62,'Critical resources (hide)'!BL$6:BL$105)+SUMIF(Capacity_Resource,$E62,'Critical resources (hide)'!BL$6:BL$105)+SUMIF(Capacity_Resource,$F62,'Critical resources (hide)'!BL$6:BL$105)&gt;0,$E$1=2),0,1),0)</f>
        <v>1</v>
      </c>
      <c r="AZ62" s="67">
        <f ca="1">IF(LOWER(Capacity!$L74)="x",IF(AND(SUMIF(Capacity_Resource,$D62,'Critical resources (hide)'!BM$6:BM$105)+SUMIF(Capacity_Resource,$E62,'Critical resources (hide)'!BM$6:BM$105)+SUMIF(Capacity_Resource,$F62,'Critical resources (hide)'!BM$6:BM$105)&gt;0,$E$1=2),0,1),0)</f>
        <v>1</v>
      </c>
      <c r="BA62" s="67">
        <f ca="1">IF(LOWER(Capacity!$L74)="x",IF(AND(SUMIF(Capacity_Resource,$D62,'Critical resources (hide)'!BN$6:BN$105)+SUMIF(Capacity_Resource,$E62,'Critical resources (hide)'!BN$6:BN$105)+SUMIF(Capacity_Resource,$F62,'Critical resources (hide)'!BN$6:BN$105)&gt;0,$E$1=2),0,1),0)</f>
        <v>1</v>
      </c>
      <c r="BB62" s="67">
        <f ca="1">IF(LOWER(Capacity!$L74)="x",IF(AND(SUMIF(Capacity_Resource,$D62,'Critical resources (hide)'!BO$6:BO$105)+SUMIF(Capacity_Resource,$E62,'Critical resources (hide)'!BO$6:BO$105)+SUMIF(Capacity_Resource,$F62,'Critical resources (hide)'!BO$6:BO$105)&gt;0,$E$1=2),0,1),0)</f>
        <v>1</v>
      </c>
      <c r="BC62" s="67">
        <f ca="1">IF(LOWER(Capacity!$L74)="x",IF(AND(SUMIF(Capacity_Resource,$D62,'Critical resources (hide)'!BP$6:BP$105)+SUMIF(Capacity_Resource,$E62,'Critical resources (hide)'!BP$6:BP$105)+SUMIF(Capacity_Resource,$F62,'Critical resources (hide)'!BP$6:BP$105)&gt;0,$E$1=2),0,1),0)</f>
        <v>1</v>
      </c>
      <c r="BD62" s="67">
        <f ca="1">IF(LOWER(Capacity!$L74)="x",IF(AND(SUMIF(Capacity_Resource,$D62,'Critical resources (hide)'!BQ$6:BQ$105)+SUMIF(Capacity_Resource,$E62,'Critical resources (hide)'!BQ$6:BQ$105)+SUMIF(Capacity_Resource,$F62,'Critical resources (hide)'!BQ$6:BQ$105)&gt;0,$E$1=2),0,1),0)</f>
        <v>1</v>
      </c>
      <c r="BE62" s="67">
        <f ca="1">IF(LOWER(Capacity!$L74)="x",IF(AND(SUMIF(Capacity_Resource,$D62,'Critical resources (hide)'!BR$6:BR$105)+SUMIF(Capacity_Resource,$E62,'Critical resources (hide)'!BR$6:BR$105)+SUMIF(Capacity_Resource,$F62,'Critical resources (hide)'!BR$6:BR$105)&gt;0,$E$1=2),0,1),0)</f>
        <v>1</v>
      </c>
      <c r="BF62" s="67">
        <f ca="1">IF(LOWER(Capacity!$L74)="x",IF(AND(SUMIF(Capacity_Resource,$D62,'Critical resources (hide)'!BS$6:BS$105)+SUMIF(Capacity_Resource,$E62,'Critical resources (hide)'!BS$6:BS$105)+SUMIF(Capacity_Resource,$F62,'Critical resources (hide)'!BS$6:BS$105)&gt;0,$E$1=2),0,1),0)</f>
        <v>1</v>
      </c>
      <c r="BG62" s="67">
        <f ca="1">IF(LOWER(Capacity!$L74)="x",IF(AND(SUMIF(Capacity_Resource,$D62,'Critical resources (hide)'!BT$6:BT$105)+SUMIF(Capacity_Resource,$E62,'Critical resources (hide)'!BT$6:BT$105)+SUMIF(Capacity_Resource,$F62,'Critical resources (hide)'!BT$6:BT$105)&gt;0,$E$1=2),0,1),0)</f>
        <v>1</v>
      </c>
      <c r="BH62" s="67">
        <f>IF(ROW(C58)&lt;=Capacity!$A$16,IF('Capacity summary'!$D$14="No",SUM(H62:BG62),'Capacity summary'!$E181),0)</f>
        <v>0</v>
      </c>
      <c r="BI62" s="5" t="str">
        <f>IF(BH62&gt;0,IF(BH62&lt;Capacity!E74,Capacity!F74,Capacity!H74/'Capacity calculation (hide)'!BH62),"")</f>
        <v/>
      </c>
      <c r="BK62" s="311">
        <f>IF($BI62&lt;&gt;"",IF('Capacity summary'!$D$14="Yes",IF(COUNTBLANK('Capacity summary'!$H181:$BG181)&lt;52,IF('Capacity summary'!H181&lt;&gt;"",IF(LOWER('Capacity summary'!H181)="x",$BI62*H62,VALUE('Capacity summary'!H181)),0),H62*$BI62),H62*$BI62),0)</f>
        <v>0</v>
      </c>
      <c r="BL62" s="311">
        <f>IF($BI62&lt;&gt;"",IF('Capacity summary'!$D$14="Yes",IF(COUNTBLANK('Capacity summary'!$H181:$BG181)&lt;52,IF('Capacity summary'!I181&lt;&gt;"",IF(LOWER('Capacity summary'!I181)="x",$BI62*I62,VALUE('Capacity summary'!I181)),0),I62*$BI62),I62*$BI62),0)</f>
        <v>0</v>
      </c>
      <c r="BM62" s="311">
        <f>IF($BI62&lt;&gt;"",IF('Capacity summary'!$D$14="Yes",IF(COUNTBLANK('Capacity summary'!$H181:$BG181)&lt;52,IF('Capacity summary'!J181&lt;&gt;"",IF(LOWER('Capacity summary'!J181)="x",$BI62*J62,VALUE('Capacity summary'!J181)),0),J62*$BI62),J62*$BI62),0)</f>
        <v>0</v>
      </c>
      <c r="BN62" s="311">
        <f>IF($BI62&lt;&gt;"",IF('Capacity summary'!$D$14="Yes",IF(COUNTBLANK('Capacity summary'!$H181:$BG181)&lt;52,IF('Capacity summary'!K181&lt;&gt;"",IF(LOWER('Capacity summary'!K181)="x",$BI62*K62,VALUE('Capacity summary'!K181)),0),K62*$BI62),K62*$BI62),0)</f>
        <v>0</v>
      </c>
      <c r="BO62" s="311">
        <f>IF($BI62&lt;&gt;"",IF('Capacity summary'!$D$14="Yes",IF(COUNTBLANK('Capacity summary'!$H181:$BG181)&lt;52,IF('Capacity summary'!L181&lt;&gt;"",IF(LOWER('Capacity summary'!L181)="x",$BI62*L62,VALUE('Capacity summary'!L181)),0),L62*$BI62),L62*$BI62),0)</f>
        <v>0</v>
      </c>
      <c r="BP62" s="311">
        <f>IF($BI62&lt;&gt;"",IF('Capacity summary'!$D$14="Yes",IF(COUNTBLANK('Capacity summary'!$H181:$BG181)&lt;52,IF('Capacity summary'!M181&lt;&gt;"",IF(LOWER('Capacity summary'!M181)="x",$BI62*M62,VALUE('Capacity summary'!M181)),0),M62*$BI62),M62*$BI62),0)</f>
        <v>0</v>
      </c>
      <c r="BQ62" s="311">
        <f>IF($BI62&lt;&gt;"",IF('Capacity summary'!$D$14="Yes",IF(COUNTBLANK('Capacity summary'!$H181:$BG181)&lt;52,IF('Capacity summary'!N181&lt;&gt;"",IF(LOWER('Capacity summary'!N181)="x",$BI62*N62,VALUE('Capacity summary'!N181)),0),N62*$BI62),N62*$BI62),0)</f>
        <v>0</v>
      </c>
      <c r="BR62" s="311">
        <f>IF($BI62&lt;&gt;"",IF('Capacity summary'!$D$14="Yes",IF(COUNTBLANK('Capacity summary'!$H181:$BG181)&lt;52,IF('Capacity summary'!O181&lt;&gt;"",IF(LOWER('Capacity summary'!O181)="x",$BI62*O62,VALUE('Capacity summary'!O181)),0),O62*$BI62),O62*$BI62),0)</f>
        <v>0</v>
      </c>
      <c r="BS62" s="311">
        <f>IF($BI62&lt;&gt;"",IF('Capacity summary'!$D$14="Yes",IF(COUNTBLANK('Capacity summary'!$H181:$BG181)&lt;52,IF('Capacity summary'!P181&lt;&gt;"",IF(LOWER('Capacity summary'!P181)="x",$BI62*P62,VALUE('Capacity summary'!P181)),0),P62*$BI62),P62*$BI62),0)</f>
        <v>0</v>
      </c>
      <c r="BT62" s="311">
        <f>IF($BI62&lt;&gt;"",IF('Capacity summary'!$D$14="Yes",IF(COUNTBLANK('Capacity summary'!$H181:$BG181)&lt;52,IF('Capacity summary'!Q181&lt;&gt;"",IF(LOWER('Capacity summary'!Q181)="x",$BI62*Q62,VALUE('Capacity summary'!Q181)),0),Q62*$BI62),Q62*$BI62),0)</f>
        <v>0</v>
      </c>
      <c r="BU62" s="311">
        <f>IF($BI62&lt;&gt;"",IF('Capacity summary'!$D$14="Yes",IF(COUNTBLANK('Capacity summary'!$H181:$BG181)&lt;52,IF('Capacity summary'!R181&lt;&gt;"",IF(LOWER('Capacity summary'!R181)="x",$BI62*R62,VALUE('Capacity summary'!R181)),0),R62*$BI62),R62*$BI62),0)</f>
        <v>0</v>
      </c>
      <c r="BV62" s="311">
        <f>IF($BI62&lt;&gt;"",IF('Capacity summary'!$D$14="Yes",IF(COUNTBLANK('Capacity summary'!$H181:$BG181)&lt;52,IF('Capacity summary'!S181&lt;&gt;"",IF(LOWER('Capacity summary'!S181)="x",$BI62*S62,VALUE('Capacity summary'!S181)),0),S62*$BI62),S62*$BI62),0)</f>
        <v>0</v>
      </c>
      <c r="BW62" s="311">
        <f>IF($BI62&lt;&gt;"",IF('Capacity summary'!$D$14="Yes",IF(COUNTBLANK('Capacity summary'!$H181:$BG181)&lt;52,IF('Capacity summary'!T181&lt;&gt;"",IF(LOWER('Capacity summary'!T181)="x",$BI62*T62,VALUE('Capacity summary'!T181)),0),T62*$BI62),T62*$BI62),0)</f>
        <v>0</v>
      </c>
      <c r="BX62" s="311">
        <f>IF($BI62&lt;&gt;"",IF('Capacity summary'!$D$14="Yes",IF(COUNTBLANK('Capacity summary'!$H181:$BG181)&lt;52,IF('Capacity summary'!U181&lt;&gt;"",IF(LOWER('Capacity summary'!U181)="x",$BI62*U62,VALUE('Capacity summary'!U181)),0),U62*$BI62),U62*$BI62),0)</f>
        <v>0</v>
      </c>
      <c r="BY62" s="311">
        <f>IF($BI62&lt;&gt;"",IF('Capacity summary'!$D$14="Yes",IF(COUNTBLANK('Capacity summary'!$H181:$BG181)&lt;52,IF('Capacity summary'!V181&lt;&gt;"",IF(LOWER('Capacity summary'!V181)="x",$BI62*V62,VALUE('Capacity summary'!V181)),0),V62*$BI62),V62*$BI62),0)</f>
        <v>0</v>
      </c>
      <c r="BZ62" s="311">
        <f>IF($BI62&lt;&gt;"",IF('Capacity summary'!$D$14="Yes",IF(COUNTBLANK('Capacity summary'!$H181:$BG181)&lt;52,IF('Capacity summary'!W181&lt;&gt;"",IF(LOWER('Capacity summary'!W181)="x",$BI62*W62,VALUE('Capacity summary'!W181)),0),W62*$BI62),W62*$BI62),0)</f>
        <v>0</v>
      </c>
      <c r="CA62" s="311">
        <f>IF($BI62&lt;&gt;"",IF('Capacity summary'!$D$14="Yes",IF(COUNTBLANK('Capacity summary'!$H181:$BG181)&lt;52,IF('Capacity summary'!X181&lt;&gt;"",IF(LOWER('Capacity summary'!X181)="x",$BI62*X62,VALUE('Capacity summary'!X181)),0),X62*$BI62),X62*$BI62),0)</f>
        <v>0</v>
      </c>
      <c r="CB62" s="311">
        <f>IF($BI62&lt;&gt;"",IF('Capacity summary'!$D$14="Yes",IF(COUNTBLANK('Capacity summary'!$H181:$BG181)&lt;52,IF('Capacity summary'!Y181&lt;&gt;"",IF(LOWER('Capacity summary'!Y181)="x",$BI62*Y62,VALUE('Capacity summary'!Y181)),0),Y62*$BI62),Y62*$BI62),0)</f>
        <v>0</v>
      </c>
      <c r="CC62" s="311">
        <f>IF($BI62&lt;&gt;"",IF('Capacity summary'!$D$14="Yes",IF(COUNTBLANK('Capacity summary'!$H181:$BG181)&lt;52,IF('Capacity summary'!Z181&lt;&gt;"",IF(LOWER('Capacity summary'!Z181)="x",$BI62*Z62,VALUE('Capacity summary'!Z181)),0),Z62*$BI62),Z62*$BI62),0)</f>
        <v>0</v>
      </c>
      <c r="CD62" s="311">
        <f>IF($BI62&lt;&gt;"",IF('Capacity summary'!$D$14="Yes",IF(COUNTBLANK('Capacity summary'!$H181:$BG181)&lt;52,IF('Capacity summary'!AA181&lt;&gt;"",IF(LOWER('Capacity summary'!AA181)="x",$BI62*AA62,VALUE('Capacity summary'!AA181)),0),AA62*$BI62),AA62*$BI62),0)</f>
        <v>0</v>
      </c>
      <c r="CE62" s="311">
        <f>IF($BI62&lt;&gt;"",IF('Capacity summary'!$D$14="Yes",IF(COUNTBLANK('Capacity summary'!$H181:$BG181)&lt;52,IF('Capacity summary'!AB181&lt;&gt;"",IF(LOWER('Capacity summary'!AB181)="x",$BI62*AB62,VALUE('Capacity summary'!AB181)),0),AB62*$BI62),AB62*$BI62),0)</f>
        <v>0</v>
      </c>
      <c r="CF62" s="311">
        <f>IF($BI62&lt;&gt;"",IF('Capacity summary'!$D$14="Yes",IF(COUNTBLANK('Capacity summary'!$H181:$BG181)&lt;52,IF('Capacity summary'!AC181&lt;&gt;"",IF(LOWER('Capacity summary'!AC181)="x",$BI62*AC62,VALUE('Capacity summary'!AC181)),0),AC62*$BI62),AC62*$BI62),0)</f>
        <v>0</v>
      </c>
      <c r="CG62" s="311">
        <f>IF($BI62&lt;&gt;"",IF('Capacity summary'!$D$14="Yes",IF(COUNTBLANK('Capacity summary'!$H181:$BG181)&lt;52,IF('Capacity summary'!AD181&lt;&gt;"",IF(LOWER('Capacity summary'!AD181)="x",$BI62*AD62,VALUE('Capacity summary'!AD181)),0),AD62*$BI62),AD62*$BI62),0)</f>
        <v>0</v>
      </c>
      <c r="CH62" s="311">
        <f>IF($BI62&lt;&gt;"",IF('Capacity summary'!$D$14="Yes",IF(COUNTBLANK('Capacity summary'!$H181:$BG181)&lt;52,IF('Capacity summary'!AE181&lt;&gt;"",IF(LOWER('Capacity summary'!AE181)="x",$BI62*AE62,VALUE('Capacity summary'!AE181)),0),AE62*$BI62),AE62*$BI62),0)</f>
        <v>0</v>
      </c>
      <c r="CI62" s="311">
        <f>IF($BI62&lt;&gt;"",IF('Capacity summary'!$D$14="Yes",IF(COUNTBLANK('Capacity summary'!$H181:$BG181)&lt;52,IF('Capacity summary'!AF181&lt;&gt;"",IF(LOWER('Capacity summary'!AF181)="x",$BI62*AF62,VALUE('Capacity summary'!AF181)),0),AF62*$BI62),AF62*$BI62),0)</f>
        <v>0</v>
      </c>
      <c r="CJ62" s="311">
        <f>IF($BI62&lt;&gt;"",IF('Capacity summary'!$D$14="Yes",IF(COUNTBLANK('Capacity summary'!$H181:$BG181)&lt;52,IF('Capacity summary'!AG181&lt;&gt;"",IF(LOWER('Capacity summary'!AG181)="x",$BI62*AG62,VALUE('Capacity summary'!AG181)),0),AG62*$BI62),AG62*$BI62),0)</f>
        <v>0</v>
      </c>
      <c r="CK62" s="311">
        <f>IF($BI62&lt;&gt;"",IF('Capacity summary'!$D$14="Yes",IF(COUNTBLANK('Capacity summary'!$H181:$BG181)&lt;52,IF('Capacity summary'!AH181&lt;&gt;"",IF(LOWER('Capacity summary'!AH181)="x",$BI62*AH62,VALUE('Capacity summary'!AH181)),0),AH62*$BI62),AH62*$BI62),0)</f>
        <v>0</v>
      </c>
      <c r="CL62" s="311">
        <f>IF($BI62&lt;&gt;"",IF('Capacity summary'!$D$14="Yes",IF(COUNTBLANK('Capacity summary'!$H181:$BG181)&lt;52,IF('Capacity summary'!AI181&lt;&gt;"",IF(LOWER('Capacity summary'!AI181)="x",$BI62*AI62,VALUE('Capacity summary'!AI181)),0),AI62*$BI62),AI62*$BI62),0)</f>
        <v>0</v>
      </c>
      <c r="CM62" s="311">
        <f>IF($BI62&lt;&gt;"",IF('Capacity summary'!$D$14="Yes",IF(COUNTBLANK('Capacity summary'!$H181:$BG181)&lt;52,IF('Capacity summary'!AJ181&lt;&gt;"",IF(LOWER('Capacity summary'!AJ181)="x",$BI62*AJ62,VALUE('Capacity summary'!AJ181)),0),AJ62*$BI62),AJ62*$BI62),0)</f>
        <v>0</v>
      </c>
      <c r="CN62" s="311">
        <f>IF($BI62&lt;&gt;"",IF('Capacity summary'!$D$14="Yes",IF(COUNTBLANK('Capacity summary'!$H181:$BG181)&lt;52,IF('Capacity summary'!AK181&lt;&gt;"",IF(LOWER('Capacity summary'!AK181)="x",$BI62*AK62,VALUE('Capacity summary'!AK181)),0),AK62*$BI62),AK62*$BI62),0)</f>
        <v>0</v>
      </c>
      <c r="CO62" s="311">
        <f>IF($BI62&lt;&gt;"",IF('Capacity summary'!$D$14="Yes",IF(COUNTBLANK('Capacity summary'!$H181:$BG181)&lt;52,IF('Capacity summary'!AL181&lt;&gt;"",IF(LOWER('Capacity summary'!AL181)="x",$BI62*AL62,VALUE('Capacity summary'!AL181)),0),AL62*$BI62),AL62*$BI62),0)</f>
        <v>0</v>
      </c>
      <c r="CP62" s="311">
        <f>IF($BI62&lt;&gt;"",IF('Capacity summary'!$D$14="Yes",IF(COUNTBLANK('Capacity summary'!$H181:$BG181)&lt;52,IF('Capacity summary'!AM181&lt;&gt;"",IF(LOWER('Capacity summary'!AM181)="x",$BI62*AM62,VALUE('Capacity summary'!AM181)),0),AM62*$BI62),AM62*$BI62),0)</f>
        <v>0</v>
      </c>
      <c r="CQ62" s="311">
        <f>IF($BI62&lt;&gt;"",IF('Capacity summary'!$D$14="Yes",IF(COUNTBLANK('Capacity summary'!$H181:$BG181)&lt;52,IF('Capacity summary'!AN181&lt;&gt;"",IF(LOWER('Capacity summary'!AN181)="x",$BI62*AN62,VALUE('Capacity summary'!AN181)),0),AN62*$BI62),AN62*$BI62),0)</f>
        <v>0</v>
      </c>
      <c r="CR62" s="311">
        <f>IF($BI62&lt;&gt;"",IF('Capacity summary'!$D$14="Yes",IF(COUNTBLANK('Capacity summary'!$H181:$BG181)&lt;52,IF('Capacity summary'!AO181&lt;&gt;"",IF(LOWER('Capacity summary'!AO181)="x",$BI62*AO62,VALUE('Capacity summary'!AO181)),0),AO62*$BI62),AO62*$BI62),0)</f>
        <v>0</v>
      </c>
      <c r="CS62" s="311">
        <f>IF($BI62&lt;&gt;"",IF('Capacity summary'!$D$14="Yes",IF(COUNTBLANK('Capacity summary'!$H181:$BG181)&lt;52,IF('Capacity summary'!AP181&lt;&gt;"",IF(LOWER('Capacity summary'!AP181)="x",$BI62*AP62,VALUE('Capacity summary'!AP181)),0),AP62*$BI62),AP62*$BI62),0)</f>
        <v>0</v>
      </c>
      <c r="CT62" s="311">
        <f>IF($BI62&lt;&gt;"",IF('Capacity summary'!$D$14="Yes",IF(COUNTBLANK('Capacity summary'!$H181:$BG181)&lt;52,IF('Capacity summary'!AQ181&lt;&gt;"",IF(LOWER('Capacity summary'!AQ181)="x",$BI62*AQ62,VALUE('Capacity summary'!AQ181)),0),AQ62*$BI62),AQ62*$BI62),0)</f>
        <v>0</v>
      </c>
      <c r="CU62" s="311">
        <f>IF($BI62&lt;&gt;"",IF('Capacity summary'!$D$14="Yes",IF(COUNTBLANK('Capacity summary'!$H181:$BG181)&lt;52,IF('Capacity summary'!AR181&lt;&gt;"",IF(LOWER('Capacity summary'!AR181)="x",$BI62*AR62,VALUE('Capacity summary'!AR181)),0),AR62*$BI62),AR62*$BI62),0)</f>
        <v>0</v>
      </c>
      <c r="CV62" s="311">
        <f>IF($BI62&lt;&gt;"",IF('Capacity summary'!$D$14="Yes",IF(COUNTBLANK('Capacity summary'!$H181:$BG181)&lt;52,IF('Capacity summary'!AS181&lt;&gt;"",IF(LOWER('Capacity summary'!AS181)="x",$BI62*AS62,VALUE('Capacity summary'!AS181)),0),AS62*$BI62),AS62*$BI62),0)</f>
        <v>0</v>
      </c>
      <c r="CW62" s="311">
        <f>IF($BI62&lt;&gt;"",IF('Capacity summary'!$D$14="Yes",IF(COUNTBLANK('Capacity summary'!$H181:$BG181)&lt;52,IF('Capacity summary'!AT181&lt;&gt;"",IF(LOWER('Capacity summary'!AT181)="x",$BI62*AT62,VALUE('Capacity summary'!AT181)),0),AT62*$BI62),AT62*$BI62),0)</f>
        <v>0</v>
      </c>
      <c r="CX62" s="311">
        <f>IF($BI62&lt;&gt;"",IF('Capacity summary'!$D$14="Yes",IF(COUNTBLANK('Capacity summary'!$H181:$BG181)&lt;52,IF('Capacity summary'!AU181&lt;&gt;"",IF(LOWER('Capacity summary'!AU181)="x",$BI62*AU62,VALUE('Capacity summary'!AU181)),0),AU62*$BI62),AU62*$BI62),0)</f>
        <v>0</v>
      </c>
      <c r="CY62" s="311">
        <f>IF($BI62&lt;&gt;"",IF('Capacity summary'!$D$14="Yes",IF(COUNTBLANK('Capacity summary'!$H181:$BG181)&lt;52,IF('Capacity summary'!AV181&lt;&gt;"",IF(LOWER('Capacity summary'!AV181)="x",$BI62*AV62,VALUE('Capacity summary'!AV181)),0),AV62*$BI62),AV62*$BI62),0)</f>
        <v>0</v>
      </c>
      <c r="CZ62" s="311">
        <f>IF($BI62&lt;&gt;"",IF('Capacity summary'!$D$14="Yes",IF(COUNTBLANK('Capacity summary'!$H181:$BG181)&lt;52,IF('Capacity summary'!AW181&lt;&gt;"",IF(LOWER('Capacity summary'!AW181)="x",$BI62*AW62,VALUE('Capacity summary'!AW181)),0),AW62*$BI62),AW62*$BI62),0)</f>
        <v>0</v>
      </c>
      <c r="DA62" s="311">
        <f>IF($BI62&lt;&gt;"",IF('Capacity summary'!$D$14="Yes",IF(COUNTBLANK('Capacity summary'!$H181:$BG181)&lt;52,IF('Capacity summary'!AX181&lt;&gt;"",IF(LOWER('Capacity summary'!AX181)="x",$BI62*AX62,VALUE('Capacity summary'!AX181)),0),AX62*$BI62),AX62*$BI62),0)</f>
        <v>0</v>
      </c>
      <c r="DB62" s="311">
        <f>IF($BI62&lt;&gt;"",IF('Capacity summary'!$D$14="Yes",IF(COUNTBLANK('Capacity summary'!$H181:$BG181)&lt;52,IF('Capacity summary'!AY181&lt;&gt;"",IF(LOWER('Capacity summary'!AY181)="x",$BI62*AY62,VALUE('Capacity summary'!AY181)),0),AY62*$BI62),AY62*$BI62),0)</f>
        <v>0</v>
      </c>
      <c r="DC62" s="311">
        <f>IF($BI62&lt;&gt;"",IF('Capacity summary'!$D$14="Yes",IF(COUNTBLANK('Capacity summary'!$H181:$BG181)&lt;52,IF('Capacity summary'!AZ181&lt;&gt;"",IF(LOWER('Capacity summary'!AZ181)="x",$BI62*AZ62,VALUE('Capacity summary'!AZ181)),0),AZ62*$BI62),AZ62*$BI62),0)</f>
        <v>0</v>
      </c>
      <c r="DD62" s="311">
        <f>IF($BI62&lt;&gt;"",IF('Capacity summary'!$D$14="Yes",IF(COUNTBLANK('Capacity summary'!$H181:$BG181)&lt;52,IF('Capacity summary'!BA181&lt;&gt;"",IF(LOWER('Capacity summary'!BA181)="x",$BI62*BA62,VALUE('Capacity summary'!BA181)),0),BA62*$BI62),BA62*$BI62),0)</f>
        <v>0</v>
      </c>
      <c r="DE62" s="311">
        <f>IF($BI62&lt;&gt;"",IF('Capacity summary'!$D$14="Yes",IF(COUNTBLANK('Capacity summary'!$H181:$BG181)&lt;52,IF('Capacity summary'!BB181&lt;&gt;"",IF(LOWER('Capacity summary'!BB181)="x",$BI62*BB62,VALUE('Capacity summary'!BB181)),0),BB62*$BI62),BB62*$BI62),0)</f>
        <v>0</v>
      </c>
      <c r="DF62" s="311">
        <f>IF($BI62&lt;&gt;"",IF('Capacity summary'!$D$14="Yes",IF(COUNTBLANK('Capacity summary'!$H181:$BG181)&lt;52,IF('Capacity summary'!BC181&lt;&gt;"",IF(LOWER('Capacity summary'!BC181)="x",$BI62*BC62,VALUE('Capacity summary'!BC181)),0),BC62*$BI62),BC62*$BI62),0)</f>
        <v>0</v>
      </c>
      <c r="DG62" s="311">
        <f>IF($BI62&lt;&gt;"",IF('Capacity summary'!$D$14="Yes",IF(COUNTBLANK('Capacity summary'!$H181:$BG181)&lt;52,IF('Capacity summary'!BD181&lt;&gt;"",IF(LOWER('Capacity summary'!BD181)="x",$BI62*BD62,VALUE('Capacity summary'!BD181)),0),BD62*$BI62),BD62*$BI62),0)</f>
        <v>0</v>
      </c>
      <c r="DH62" s="311">
        <f>IF($BI62&lt;&gt;"",IF('Capacity summary'!$D$14="Yes",IF(COUNTBLANK('Capacity summary'!$H181:$BG181)&lt;52,IF('Capacity summary'!BE181&lt;&gt;"",IF(LOWER('Capacity summary'!BE181)="x",$BI62*BE62,VALUE('Capacity summary'!BE181)),0),BE62*$BI62),BE62*$BI62),0)</f>
        <v>0</v>
      </c>
      <c r="DI62" s="311">
        <f>IF($BI62&lt;&gt;"",IF('Capacity summary'!$D$14="Yes",IF(COUNTBLANK('Capacity summary'!$H181:$BG181)&lt;52,IF('Capacity summary'!BF181&lt;&gt;"",IF(LOWER('Capacity summary'!BF181)="x",$BI62*BF62,VALUE('Capacity summary'!BF181)),0),BF62*$BI62),BF62*$BI62),0)</f>
        <v>0</v>
      </c>
      <c r="DJ62" s="311">
        <f>IF($BI62&lt;&gt;"",IF('Capacity summary'!$D$14="Yes",IF(COUNTBLANK('Capacity summary'!$H181:$BG181)&lt;52,IF('Capacity summary'!BG181&lt;&gt;"",IF(LOWER('Capacity summary'!BG181)="x",$BI62*BG62,VALUE('Capacity summary'!BG181)),0),BG62*$BI62),BG62*$BI62),0)</f>
        <v>0</v>
      </c>
      <c r="DK62" s="391">
        <f t="shared" si="2"/>
        <v>0</v>
      </c>
      <c r="DL62" s="136">
        <f t="shared" si="3"/>
        <v>0</v>
      </c>
      <c r="DM62" s="311" t="str">
        <f>Capacity!H74</f>
        <v/>
      </c>
    </row>
    <row r="63" spans="1:121" x14ac:dyDescent="0.2">
      <c r="A63" s="67">
        <f>IF(Capacity!L75='Capacity summary'!BI182,1,0)</f>
        <v>1</v>
      </c>
      <c r="B63" s="67">
        <f>IF(Capacity!V75='Capacity summary'!BI82,1,0)</f>
        <v>1</v>
      </c>
      <c r="C63" s="67" t="str">
        <f>ROW(A59)&amp;". "&amp;Capacity!B75</f>
        <v xml:space="preserve">59. </v>
      </c>
      <c r="D63" s="67">
        <f>'Capacity setup'!C70</f>
        <v>0</v>
      </c>
      <c r="E63" s="67">
        <f>'Capacity setup'!D70</f>
        <v>0</v>
      </c>
      <c r="F63" s="67">
        <f>'Capacity setup'!E70</f>
        <v>0</v>
      </c>
      <c r="H63" s="67">
        <f ca="1">IF(LOWER(Capacity!$L75)="x",IF(AND(SUMIF(Capacity_Resource,$D63,'Critical resources (hide)'!U$6:U$105)+SUMIF(Capacity_Resource,$E63,'Critical resources (hide)'!U$6:U$105)+SUMIF(Capacity_Resource,$F63,'Critical resources (hide)'!U$6:U$105)&gt;0,$E$1=2),0,1),0)</f>
        <v>1</v>
      </c>
      <c r="I63" s="67">
        <f ca="1">IF(LOWER(Capacity!$L75)="x",IF(AND(SUMIF(Capacity_Resource,$D63,'Critical resources (hide)'!V$6:V$105)+SUMIF(Capacity_Resource,$E63,'Critical resources (hide)'!V$6:V$105)+SUMIF(Capacity_Resource,$F63,'Critical resources (hide)'!V$6:V$105)&gt;0,$E$1=2),0,1),0)</f>
        <v>1</v>
      </c>
      <c r="J63" s="67">
        <f ca="1">IF(LOWER(Capacity!$L75)="x",IF(AND(SUMIF(Capacity_Resource,$D63,'Critical resources (hide)'!W$6:W$105)+SUMIF(Capacity_Resource,$E63,'Critical resources (hide)'!W$6:W$105)+SUMIF(Capacity_Resource,$F63,'Critical resources (hide)'!W$6:W$105)&gt;0,$E$1=2),0,1),0)</f>
        <v>1</v>
      </c>
      <c r="K63" s="67">
        <f ca="1">IF(LOWER(Capacity!$L75)="x",IF(AND(SUMIF(Capacity_Resource,$D63,'Critical resources (hide)'!X$6:X$105)+SUMIF(Capacity_Resource,$E63,'Critical resources (hide)'!X$6:X$105)+SUMIF(Capacity_Resource,$F63,'Critical resources (hide)'!X$6:X$105)&gt;0,$E$1=2),0,1),0)</f>
        <v>1</v>
      </c>
      <c r="L63" s="67">
        <f ca="1">IF(LOWER(Capacity!$L75)="x",IF(AND(SUMIF(Capacity_Resource,$D63,'Critical resources (hide)'!Y$6:Y$105)+SUMIF(Capacity_Resource,$E63,'Critical resources (hide)'!Y$6:Y$105)+SUMIF(Capacity_Resource,$F63,'Critical resources (hide)'!Y$6:Y$105)&gt;0,$E$1=2),0,1),0)</f>
        <v>1</v>
      </c>
      <c r="M63" s="67">
        <f ca="1">IF(LOWER(Capacity!$L75)="x",IF(AND(SUMIF(Capacity_Resource,$D63,'Critical resources (hide)'!Z$6:Z$105)+SUMIF(Capacity_Resource,$E63,'Critical resources (hide)'!Z$6:Z$105)+SUMIF(Capacity_Resource,$F63,'Critical resources (hide)'!Z$6:Z$105)&gt;0,$E$1=2),0,1),0)</f>
        <v>1</v>
      </c>
      <c r="N63" s="67">
        <f ca="1">IF(LOWER(Capacity!$L75)="x",IF(AND(SUMIF(Capacity_Resource,$D63,'Critical resources (hide)'!AA$6:AA$105)+SUMIF(Capacity_Resource,$E63,'Critical resources (hide)'!AA$6:AA$105)+SUMIF(Capacity_Resource,$F63,'Critical resources (hide)'!AA$6:AA$105)&gt;0,$E$1=2),0,1),0)</f>
        <v>1</v>
      </c>
      <c r="O63" s="67">
        <f ca="1">IF(LOWER(Capacity!$L75)="x",IF(AND(SUMIF(Capacity_Resource,$D63,'Critical resources (hide)'!AB$6:AB$105)+SUMIF(Capacity_Resource,$E63,'Critical resources (hide)'!AB$6:AB$105)+SUMIF(Capacity_Resource,$F63,'Critical resources (hide)'!AB$6:AB$105)&gt;0,$E$1=2),0,1),0)</f>
        <v>1</v>
      </c>
      <c r="P63" s="67">
        <f ca="1">IF(LOWER(Capacity!$L75)="x",IF(AND(SUMIF(Capacity_Resource,$D63,'Critical resources (hide)'!AC$6:AC$105)+SUMIF(Capacity_Resource,$E63,'Critical resources (hide)'!AC$6:AC$105)+SUMIF(Capacity_Resource,$F63,'Critical resources (hide)'!AC$6:AC$105)&gt;0,$E$1=2),0,1),0)</f>
        <v>1</v>
      </c>
      <c r="Q63" s="67">
        <f ca="1">IF(LOWER(Capacity!$L75)="x",IF(AND(SUMIF(Capacity_Resource,$D63,'Critical resources (hide)'!AD$6:AD$105)+SUMIF(Capacity_Resource,$E63,'Critical resources (hide)'!AD$6:AD$105)+SUMIF(Capacity_Resource,$F63,'Critical resources (hide)'!AD$6:AD$105)&gt;0,$E$1=2),0,1),0)</f>
        <v>1</v>
      </c>
      <c r="R63" s="67">
        <f ca="1">IF(LOWER(Capacity!$L75)="x",IF(AND(SUMIF(Capacity_Resource,$D63,'Critical resources (hide)'!AE$6:AE$105)+SUMIF(Capacity_Resource,$E63,'Critical resources (hide)'!AE$6:AE$105)+SUMIF(Capacity_Resource,$F63,'Critical resources (hide)'!AE$6:AE$105)&gt;0,$E$1=2),0,1),0)</f>
        <v>1</v>
      </c>
      <c r="S63" s="67">
        <f ca="1">IF(LOWER(Capacity!$L75)="x",IF(AND(SUMIF(Capacity_Resource,$D63,'Critical resources (hide)'!AF$6:AF$105)+SUMIF(Capacity_Resource,$E63,'Critical resources (hide)'!AF$6:AF$105)+SUMIF(Capacity_Resource,$F63,'Critical resources (hide)'!AF$6:AF$105)&gt;0,$E$1=2),0,1),0)</f>
        <v>1</v>
      </c>
      <c r="T63" s="67">
        <f ca="1">IF(LOWER(Capacity!$L75)="x",IF(AND(SUMIF(Capacity_Resource,$D63,'Critical resources (hide)'!AG$6:AG$105)+SUMIF(Capacity_Resource,$E63,'Critical resources (hide)'!AG$6:AG$105)+SUMIF(Capacity_Resource,$F63,'Critical resources (hide)'!AG$6:AG$105)&gt;0,$E$1=2),0,1),0)</f>
        <v>1</v>
      </c>
      <c r="U63" s="67">
        <f ca="1">IF(LOWER(Capacity!$L75)="x",IF(AND(SUMIF(Capacity_Resource,$D63,'Critical resources (hide)'!AH$6:AH$105)+SUMIF(Capacity_Resource,$E63,'Critical resources (hide)'!AH$6:AH$105)+SUMIF(Capacity_Resource,$F63,'Critical resources (hide)'!AH$6:AH$105)&gt;0,$E$1=2),0,1),0)</f>
        <v>1</v>
      </c>
      <c r="V63" s="67">
        <f ca="1">IF(LOWER(Capacity!$L75)="x",IF(AND(SUMIF(Capacity_Resource,$D63,'Critical resources (hide)'!AI$6:AI$105)+SUMIF(Capacity_Resource,$E63,'Critical resources (hide)'!AI$6:AI$105)+SUMIF(Capacity_Resource,$F63,'Critical resources (hide)'!AI$6:AI$105)&gt;0,$E$1=2),0,1),0)</f>
        <v>1</v>
      </c>
      <c r="W63" s="67">
        <f ca="1">IF(LOWER(Capacity!$L75)="x",IF(AND(SUMIF(Capacity_Resource,$D63,'Critical resources (hide)'!AJ$6:AJ$105)+SUMIF(Capacity_Resource,$E63,'Critical resources (hide)'!AJ$6:AJ$105)+SUMIF(Capacity_Resource,$F63,'Critical resources (hide)'!AJ$6:AJ$105)&gt;0,$E$1=2),0,1),0)</f>
        <v>1</v>
      </c>
      <c r="X63" s="67">
        <f ca="1">IF(LOWER(Capacity!$L75)="x",IF(AND(SUMIF(Capacity_Resource,$D63,'Critical resources (hide)'!AK$6:AK$105)+SUMIF(Capacity_Resource,$E63,'Critical resources (hide)'!AK$6:AK$105)+SUMIF(Capacity_Resource,$F63,'Critical resources (hide)'!AK$6:AK$105)&gt;0,$E$1=2),0,1),0)</f>
        <v>1</v>
      </c>
      <c r="Y63" s="67">
        <f ca="1">IF(LOWER(Capacity!$L75)="x",IF(AND(SUMIF(Capacity_Resource,$D63,'Critical resources (hide)'!AL$6:AL$105)+SUMIF(Capacity_Resource,$E63,'Critical resources (hide)'!AL$6:AL$105)+SUMIF(Capacity_Resource,$F63,'Critical resources (hide)'!AL$6:AL$105)&gt;0,$E$1=2),0,1),0)</f>
        <v>1</v>
      </c>
      <c r="Z63" s="67">
        <f ca="1">IF(LOWER(Capacity!$L75)="x",IF(AND(SUMIF(Capacity_Resource,$D63,'Critical resources (hide)'!AM$6:AM$105)+SUMIF(Capacity_Resource,$E63,'Critical resources (hide)'!AM$6:AM$105)+SUMIF(Capacity_Resource,$F63,'Critical resources (hide)'!AM$6:AM$105)&gt;0,$E$1=2),0,1),0)</f>
        <v>1</v>
      </c>
      <c r="AA63" s="67">
        <f ca="1">IF(LOWER(Capacity!$L75)="x",IF(AND(SUMIF(Capacity_Resource,$D63,'Critical resources (hide)'!AN$6:AN$105)+SUMIF(Capacity_Resource,$E63,'Critical resources (hide)'!AN$6:AN$105)+SUMIF(Capacity_Resource,$F63,'Critical resources (hide)'!AN$6:AN$105)&gt;0,$E$1=2),0,1),0)</f>
        <v>1</v>
      </c>
      <c r="AB63" s="67">
        <f ca="1">IF(LOWER(Capacity!$L75)="x",IF(AND(SUMIF(Capacity_Resource,$D63,'Critical resources (hide)'!AO$6:AO$105)+SUMIF(Capacity_Resource,$E63,'Critical resources (hide)'!AO$6:AO$105)+SUMIF(Capacity_Resource,$F63,'Critical resources (hide)'!AO$6:AO$105)&gt;0,$E$1=2),0,1),0)</f>
        <v>1</v>
      </c>
      <c r="AC63" s="67">
        <f ca="1">IF(LOWER(Capacity!$L75)="x",IF(AND(SUMIF(Capacity_Resource,$D63,'Critical resources (hide)'!AP$6:AP$105)+SUMIF(Capacity_Resource,$E63,'Critical resources (hide)'!AP$6:AP$105)+SUMIF(Capacity_Resource,$F63,'Critical resources (hide)'!AP$6:AP$105)&gt;0,$E$1=2),0,1),0)</f>
        <v>1</v>
      </c>
      <c r="AD63" s="67">
        <f ca="1">IF(LOWER(Capacity!$L75)="x",IF(AND(SUMIF(Capacity_Resource,$D63,'Critical resources (hide)'!AQ$6:AQ$105)+SUMIF(Capacity_Resource,$E63,'Critical resources (hide)'!AQ$6:AQ$105)+SUMIF(Capacity_Resource,$F63,'Critical resources (hide)'!AQ$6:AQ$105)&gt;0,$E$1=2),0,1),0)</f>
        <v>1</v>
      </c>
      <c r="AE63" s="67">
        <f ca="1">IF(LOWER(Capacity!$L75)="x",IF(AND(SUMIF(Capacity_Resource,$D63,'Critical resources (hide)'!AR$6:AR$105)+SUMIF(Capacity_Resource,$E63,'Critical resources (hide)'!AR$6:AR$105)+SUMIF(Capacity_Resource,$F63,'Critical resources (hide)'!AR$6:AR$105)&gt;0,$E$1=2),0,1),0)</f>
        <v>1</v>
      </c>
      <c r="AF63" s="67">
        <f ca="1">IF(LOWER(Capacity!$L75)="x",IF(AND(SUMIF(Capacity_Resource,$D63,'Critical resources (hide)'!AS$6:AS$105)+SUMIF(Capacity_Resource,$E63,'Critical resources (hide)'!AS$6:AS$105)+SUMIF(Capacity_Resource,$F63,'Critical resources (hide)'!AS$6:AS$105)&gt;0,$E$1=2),0,1),0)</f>
        <v>1</v>
      </c>
      <c r="AG63" s="67">
        <f ca="1">IF(LOWER(Capacity!$L75)="x",IF(AND(SUMIF(Capacity_Resource,$D63,'Critical resources (hide)'!AT$6:AT$105)+SUMIF(Capacity_Resource,$E63,'Critical resources (hide)'!AT$6:AT$105)+SUMIF(Capacity_Resource,$F63,'Critical resources (hide)'!AT$6:AT$105)&gt;0,$E$1=2),0,1),0)</f>
        <v>1</v>
      </c>
      <c r="AH63" s="67">
        <f ca="1">IF(LOWER(Capacity!$L75)="x",IF(AND(SUMIF(Capacity_Resource,$D63,'Critical resources (hide)'!AU$6:AU$105)+SUMIF(Capacity_Resource,$E63,'Critical resources (hide)'!AU$6:AU$105)+SUMIF(Capacity_Resource,$F63,'Critical resources (hide)'!AU$6:AU$105)&gt;0,$E$1=2),0,1),0)</f>
        <v>1</v>
      </c>
      <c r="AI63" s="67">
        <f ca="1">IF(LOWER(Capacity!$L75)="x",IF(AND(SUMIF(Capacity_Resource,$D63,'Critical resources (hide)'!AV$6:AV$105)+SUMIF(Capacity_Resource,$E63,'Critical resources (hide)'!AV$6:AV$105)+SUMIF(Capacity_Resource,$F63,'Critical resources (hide)'!AV$6:AV$105)&gt;0,$E$1=2),0,1),0)</f>
        <v>1</v>
      </c>
      <c r="AJ63" s="67">
        <f ca="1">IF(LOWER(Capacity!$L75)="x",IF(AND(SUMIF(Capacity_Resource,$D63,'Critical resources (hide)'!AW$6:AW$105)+SUMIF(Capacity_Resource,$E63,'Critical resources (hide)'!AW$6:AW$105)+SUMIF(Capacity_Resource,$F63,'Critical resources (hide)'!AW$6:AW$105)&gt;0,$E$1=2),0,1),0)</f>
        <v>1</v>
      </c>
      <c r="AK63" s="67">
        <f ca="1">IF(LOWER(Capacity!$L75)="x",IF(AND(SUMIF(Capacity_Resource,$D63,'Critical resources (hide)'!AX$6:AX$105)+SUMIF(Capacity_Resource,$E63,'Critical resources (hide)'!AX$6:AX$105)+SUMIF(Capacity_Resource,$F63,'Critical resources (hide)'!AX$6:AX$105)&gt;0,$E$1=2),0,1),0)</f>
        <v>1</v>
      </c>
      <c r="AL63" s="67">
        <f ca="1">IF(LOWER(Capacity!$L75)="x",IF(AND(SUMIF(Capacity_Resource,$D63,'Critical resources (hide)'!AY$6:AY$105)+SUMIF(Capacity_Resource,$E63,'Critical resources (hide)'!AY$6:AY$105)+SUMIF(Capacity_Resource,$F63,'Critical resources (hide)'!AY$6:AY$105)&gt;0,$E$1=2),0,1),0)</f>
        <v>1</v>
      </c>
      <c r="AM63" s="67">
        <f ca="1">IF(LOWER(Capacity!$L75)="x",IF(AND(SUMIF(Capacity_Resource,$D63,'Critical resources (hide)'!AZ$6:AZ$105)+SUMIF(Capacity_Resource,$E63,'Critical resources (hide)'!AZ$6:AZ$105)+SUMIF(Capacity_Resource,$F63,'Critical resources (hide)'!AZ$6:AZ$105)&gt;0,$E$1=2),0,1),0)</f>
        <v>1</v>
      </c>
      <c r="AN63" s="67">
        <f ca="1">IF(LOWER(Capacity!$L75)="x",IF(AND(SUMIF(Capacity_Resource,$D63,'Critical resources (hide)'!BA$6:BA$105)+SUMIF(Capacity_Resource,$E63,'Critical resources (hide)'!BA$6:BA$105)+SUMIF(Capacity_Resource,$F63,'Critical resources (hide)'!BA$6:BA$105)&gt;0,$E$1=2),0,1),0)</f>
        <v>1</v>
      </c>
      <c r="AO63" s="67">
        <f ca="1">IF(LOWER(Capacity!$L75)="x",IF(AND(SUMIF(Capacity_Resource,$D63,'Critical resources (hide)'!BB$6:BB$105)+SUMIF(Capacity_Resource,$E63,'Critical resources (hide)'!BB$6:BB$105)+SUMIF(Capacity_Resource,$F63,'Critical resources (hide)'!BB$6:BB$105)&gt;0,$E$1=2),0,1),0)</f>
        <v>1</v>
      </c>
      <c r="AP63" s="67">
        <f ca="1">IF(LOWER(Capacity!$L75)="x",IF(AND(SUMIF(Capacity_Resource,$D63,'Critical resources (hide)'!BC$6:BC$105)+SUMIF(Capacity_Resource,$E63,'Critical resources (hide)'!BC$6:BC$105)+SUMIF(Capacity_Resource,$F63,'Critical resources (hide)'!BC$6:BC$105)&gt;0,$E$1=2),0,1),0)</f>
        <v>1</v>
      </c>
      <c r="AQ63" s="67">
        <f ca="1">IF(LOWER(Capacity!$L75)="x",IF(AND(SUMIF(Capacity_Resource,$D63,'Critical resources (hide)'!BD$6:BD$105)+SUMIF(Capacity_Resource,$E63,'Critical resources (hide)'!BD$6:BD$105)+SUMIF(Capacity_Resource,$F63,'Critical resources (hide)'!BD$6:BD$105)&gt;0,$E$1=2),0,1),0)</f>
        <v>1</v>
      </c>
      <c r="AR63" s="67">
        <f ca="1">IF(LOWER(Capacity!$L75)="x",IF(AND(SUMIF(Capacity_Resource,$D63,'Critical resources (hide)'!BE$6:BE$105)+SUMIF(Capacity_Resource,$E63,'Critical resources (hide)'!BE$6:BE$105)+SUMIF(Capacity_Resource,$F63,'Critical resources (hide)'!BE$6:BE$105)&gt;0,$E$1=2),0,1),0)</f>
        <v>1</v>
      </c>
      <c r="AS63" s="67">
        <f ca="1">IF(LOWER(Capacity!$L75)="x",IF(AND(SUMIF(Capacity_Resource,$D63,'Critical resources (hide)'!BF$6:BF$105)+SUMIF(Capacity_Resource,$E63,'Critical resources (hide)'!BF$6:BF$105)+SUMIF(Capacity_Resource,$F63,'Critical resources (hide)'!BF$6:BF$105)&gt;0,$E$1=2),0,1),0)</f>
        <v>1</v>
      </c>
      <c r="AT63" s="67">
        <f ca="1">IF(LOWER(Capacity!$L75)="x",IF(AND(SUMIF(Capacity_Resource,$D63,'Critical resources (hide)'!BG$6:BG$105)+SUMIF(Capacity_Resource,$E63,'Critical resources (hide)'!BG$6:BG$105)+SUMIF(Capacity_Resource,$F63,'Critical resources (hide)'!BG$6:BG$105)&gt;0,$E$1=2),0,1),0)</f>
        <v>1</v>
      </c>
      <c r="AU63" s="67">
        <f ca="1">IF(LOWER(Capacity!$L75)="x",IF(AND(SUMIF(Capacity_Resource,$D63,'Critical resources (hide)'!BH$6:BH$105)+SUMIF(Capacity_Resource,$E63,'Critical resources (hide)'!BH$6:BH$105)+SUMIF(Capacity_Resource,$F63,'Critical resources (hide)'!BH$6:BH$105)&gt;0,$E$1=2),0,1),0)</f>
        <v>1</v>
      </c>
      <c r="AV63" s="67">
        <f ca="1">IF(LOWER(Capacity!$L75)="x",IF(AND(SUMIF(Capacity_Resource,$D63,'Critical resources (hide)'!BI$6:BI$105)+SUMIF(Capacity_Resource,$E63,'Critical resources (hide)'!BI$6:BI$105)+SUMIF(Capacity_Resource,$F63,'Critical resources (hide)'!BI$6:BI$105)&gt;0,$E$1=2),0,1),0)</f>
        <v>1</v>
      </c>
      <c r="AW63" s="67">
        <f ca="1">IF(LOWER(Capacity!$L75)="x",IF(AND(SUMIF(Capacity_Resource,$D63,'Critical resources (hide)'!BJ$6:BJ$105)+SUMIF(Capacity_Resource,$E63,'Critical resources (hide)'!BJ$6:BJ$105)+SUMIF(Capacity_Resource,$F63,'Critical resources (hide)'!BJ$6:BJ$105)&gt;0,$E$1=2),0,1),0)</f>
        <v>1</v>
      </c>
      <c r="AX63" s="67">
        <f ca="1">IF(LOWER(Capacity!$L75)="x",IF(AND(SUMIF(Capacity_Resource,$D63,'Critical resources (hide)'!BK$6:BK$105)+SUMIF(Capacity_Resource,$E63,'Critical resources (hide)'!BK$6:BK$105)+SUMIF(Capacity_Resource,$F63,'Critical resources (hide)'!BK$6:BK$105)&gt;0,$E$1=2),0,1),0)</f>
        <v>1</v>
      </c>
      <c r="AY63" s="67">
        <f ca="1">IF(LOWER(Capacity!$L75)="x",IF(AND(SUMIF(Capacity_Resource,$D63,'Critical resources (hide)'!BL$6:BL$105)+SUMIF(Capacity_Resource,$E63,'Critical resources (hide)'!BL$6:BL$105)+SUMIF(Capacity_Resource,$F63,'Critical resources (hide)'!BL$6:BL$105)&gt;0,$E$1=2),0,1),0)</f>
        <v>1</v>
      </c>
      <c r="AZ63" s="67">
        <f ca="1">IF(LOWER(Capacity!$L75)="x",IF(AND(SUMIF(Capacity_Resource,$D63,'Critical resources (hide)'!BM$6:BM$105)+SUMIF(Capacity_Resource,$E63,'Critical resources (hide)'!BM$6:BM$105)+SUMIF(Capacity_Resource,$F63,'Critical resources (hide)'!BM$6:BM$105)&gt;0,$E$1=2),0,1),0)</f>
        <v>1</v>
      </c>
      <c r="BA63" s="67">
        <f ca="1">IF(LOWER(Capacity!$L75)="x",IF(AND(SUMIF(Capacity_Resource,$D63,'Critical resources (hide)'!BN$6:BN$105)+SUMIF(Capacity_Resource,$E63,'Critical resources (hide)'!BN$6:BN$105)+SUMIF(Capacity_Resource,$F63,'Critical resources (hide)'!BN$6:BN$105)&gt;0,$E$1=2),0,1),0)</f>
        <v>1</v>
      </c>
      <c r="BB63" s="67">
        <f ca="1">IF(LOWER(Capacity!$L75)="x",IF(AND(SUMIF(Capacity_Resource,$D63,'Critical resources (hide)'!BO$6:BO$105)+SUMIF(Capacity_Resource,$E63,'Critical resources (hide)'!BO$6:BO$105)+SUMIF(Capacity_Resource,$F63,'Critical resources (hide)'!BO$6:BO$105)&gt;0,$E$1=2),0,1),0)</f>
        <v>1</v>
      </c>
      <c r="BC63" s="67">
        <f ca="1">IF(LOWER(Capacity!$L75)="x",IF(AND(SUMIF(Capacity_Resource,$D63,'Critical resources (hide)'!BP$6:BP$105)+SUMIF(Capacity_Resource,$E63,'Critical resources (hide)'!BP$6:BP$105)+SUMIF(Capacity_Resource,$F63,'Critical resources (hide)'!BP$6:BP$105)&gt;0,$E$1=2),0,1),0)</f>
        <v>1</v>
      </c>
      <c r="BD63" s="67">
        <f ca="1">IF(LOWER(Capacity!$L75)="x",IF(AND(SUMIF(Capacity_Resource,$D63,'Critical resources (hide)'!BQ$6:BQ$105)+SUMIF(Capacity_Resource,$E63,'Critical resources (hide)'!BQ$6:BQ$105)+SUMIF(Capacity_Resource,$F63,'Critical resources (hide)'!BQ$6:BQ$105)&gt;0,$E$1=2),0,1),0)</f>
        <v>1</v>
      </c>
      <c r="BE63" s="67">
        <f ca="1">IF(LOWER(Capacity!$L75)="x",IF(AND(SUMIF(Capacity_Resource,$D63,'Critical resources (hide)'!BR$6:BR$105)+SUMIF(Capacity_Resource,$E63,'Critical resources (hide)'!BR$6:BR$105)+SUMIF(Capacity_Resource,$F63,'Critical resources (hide)'!BR$6:BR$105)&gt;0,$E$1=2),0,1),0)</f>
        <v>1</v>
      </c>
      <c r="BF63" s="67">
        <f ca="1">IF(LOWER(Capacity!$L75)="x",IF(AND(SUMIF(Capacity_Resource,$D63,'Critical resources (hide)'!BS$6:BS$105)+SUMIF(Capacity_Resource,$E63,'Critical resources (hide)'!BS$6:BS$105)+SUMIF(Capacity_Resource,$F63,'Critical resources (hide)'!BS$6:BS$105)&gt;0,$E$1=2),0,1),0)</f>
        <v>1</v>
      </c>
      <c r="BG63" s="67">
        <f ca="1">IF(LOWER(Capacity!$L75)="x",IF(AND(SUMIF(Capacity_Resource,$D63,'Critical resources (hide)'!BT$6:BT$105)+SUMIF(Capacity_Resource,$E63,'Critical resources (hide)'!BT$6:BT$105)+SUMIF(Capacity_Resource,$F63,'Critical resources (hide)'!BT$6:BT$105)&gt;0,$E$1=2),0,1),0)</f>
        <v>1</v>
      </c>
      <c r="BH63" s="67">
        <f>IF(ROW(C59)&lt;=Capacity!$A$16,IF('Capacity summary'!$D$14="No",SUM(H63:BG63),'Capacity summary'!$E182),0)</f>
        <v>0</v>
      </c>
      <c r="BI63" s="5" t="str">
        <f>IF(BH63&gt;0,IF(BH63&lt;Capacity!E75,Capacity!F75,Capacity!H75/'Capacity calculation (hide)'!BH63),"")</f>
        <v/>
      </c>
      <c r="BK63" s="311">
        <f>IF($BI63&lt;&gt;"",IF('Capacity summary'!$D$14="Yes",IF(COUNTBLANK('Capacity summary'!$H182:$BG182)&lt;52,IF('Capacity summary'!H182&lt;&gt;"",IF(LOWER('Capacity summary'!H182)="x",$BI63*H63,VALUE('Capacity summary'!H182)),0),H63*$BI63),H63*$BI63),0)</f>
        <v>0</v>
      </c>
      <c r="BL63" s="311">
        <f>IF($BI63&lt;&gt;"",IF('Capacity summary'!$D$14="Yes",IF(COUNTBLANK('Capacity summary'!$H182:$BG182)&lt;52,IF('Capacity summary'!I182&lt;&gt;"",IF(LOWER('Capacity summary'!I182)="x",$BI63*I63,VALUE('Capacity summary'!I182)),0),I63*$BI63),I63*$BI63),0)</f>
        <v>0</v>
      </c>
      <c r="BM63" s="311">
        <f>IF($BI63&lt;&gt;"",IF('Capacity summary'!$D$14="Yes",IF(COUNTBLANK('Capacity summary'!$H182:$BG182)&lt;52,IF('Capacity summary'!J182&lt;&gt;"",IF(LOWER('Capacity summary'!J182)="x",$BI63*J63,VALUE('Capacity summary'!J182)),0),J63*$BI63),J63*$BI63),0)</f>
        <v>0</v>
      </c>
      <c r="BN63" s="311">
        <f>IF($BI63&lt;&gt;"",IF('Capacity summary'!$D$14="Yes",IF(COUNTBLANK('Capacity summary'!$H182:$BG182)&lt;52,IF('Capacity summary'!K182&lt;&gt;"",IF(LOWER('Capacity summary'!K182)="x",$BI63*K63,VALUE('Capacity summary'!K182)),0),K63*$BI63),K63*$BI63),0)</f>
        <v>0</v>
      </c>
      <c r="BO63" s="311">
        <f>IF($BI63&lt;&gt;"",IF('Capacity summary'!$D$14="Yes",IF(COUNTBLANK('Capacity summary'!$H182:$BG182)&lt;52,IF('Capacity summary'!L182&lt;&gt;"",IF(LOWER('Capacity summary'!L182)="x",$BI63*L63,VALUE('Capacity summary'!L182)),0),L63*$BI63),L63*$BI63),0)</f>
        <v>0</v>
      </c>
      <c r="BP63" s="311">
        <f>IF($BI63&lt;&gt;"",IF('Capacity summary'!$D$14="Yes",IF(COUNTBLANK('Capacity summary'!$H182:$BG182)&lt;52,IF('Capacity summary'!M182&lt;&gt;"",IF(LOWER('Capacity summary'!M182)="x",$BI63*M63,VALUE('Capacity summary'!M182)),0),M63*$BI63),M63*$BI63),0)</f>
        <v>0</v>
      </c>
      <c r="BQ63" s="311">
        <f>IF($BI63&lt;&gt;"",IF('Capacity summary'!$D$14="Yes",IF(COUNTBLANK('Capacity summary'!$H182:$BG182)&lt;52,IF('Capacity summary'!N182&lt;&gt;"",IF(LOWER('Capacity summary'!N182)="x",$BI63*N63,VALUE('Capacity summary'!N182)),0),N63*$BI63),N63*$BI63),0)</f>
        <v>0</v>
      </c>
      <c r="BR63" s="311">
        <f>IF($BI63&lt;&gt;"",IF('Capacity summary'!$D$14="Yes",IF(COUNTBLANK('Capacity summary'!$H182:$BG182)&lt;52,IF('Capacity summary'!O182&lt;&gt;"",IF(LOWER('Capacity summary'!O182)="x",$BI63*O63,VALUE('Capacity summary'!O182)),0),O63*$BI63),O63*$BI63),0)</f>
        <v>0</v>
      </c>
      <c r="BS63" s="311">
        <f>IF($BI63&lt;&gt;"",IF('Capacity summary'!$D$14="Yes",IF(COUNTBLANK('Capacity summary'!$H182:$BG182)&lt;52,IF('Capacity summary'!P182&lt;&gt;"",IF(LOWER('Capacity summary'!P182)="x",$BI63*P63,VALUE('Capacity summary'!P182)),0),P63*$BI63),P63*$BI63),0)</f>
        <v>0</v>
      </c>
      <c r="BT63" s="311">
        <f>IF($BI63&lt;&gt;"",IF('Capacity summary'!$D$14="Yes",IF(COUNTBLANK('Capacity summary'!$H182:$BG182)&lt;52,IF('Capacity summary'!Q182&lt;&gt;"",IF(LOWER('Capacity summary'!Q182)="x",$BI63*Q63,VALUE('Capacity summary'!Q182)),0),Q63*$BI63),Q63*$BI63),0)</f>
        <v>0</v>
      </c>
      <c r="BU63" s="311">
        <f>IF($BI63&lt;&gt;"",IF('Capacity summary'!$D$14="Yes",IF(COUNTBLANK('Capacity summary'!$H182:$BG182)&lt;52,IF('Capacity summary'!R182&lt;&gt;"",IF(LOWER('Capacity summary'!R182)="x",$BI63*R63,VALUE('Capacity summary'!R182)),0),R63*$BI63),R63*$BI63),0)</f>
        <v>0</v>
      </c>
      <c r="BV63" s="311">
        <f>IF($BI63&lt;&gt;"",IF('Capacity summary'!$D$14="Yes",IF(COUNTBLANK('Capacity summary'!$H182:$BG182)&lt;52,IF('Capacity summary'!S182&lt;&gt;"",IF(LOWER('Capacity summary'!S182)="x",$BI63*S63,VALUE('Capacity summary'!S182)),0),S63*$BI63),S63*$BI63),0)</f>
        <v>0</v>
      </c>
      <c r="BW63" s="311">
        <f>IF($BI63&lt;&gt;"",IF('Capacity summary'!$D$14="Yes",IF(COUNTBLANK('Capacity summary'!$H182:$BG182)&lt;52,IF('Capacity summary'!T182&lt;&gt;"",IF(LOWER('Capacity summary'!T182)="x",$BI63*T63,VALUE('Capacity summary'!T182)),0),T63*$BI63),T63*$BI63),0)</f>
        <v>0</v>
      </c>
      <c r="BX63" s="311">
        <f>IF($BI63&lt;&gt;"",IF('Capacity summary'!$D$14="Yes",IF(COUNTBLANK('Capacity summary'!$H182:$BG182)&lt;52,IF('Capacity summary'!U182&lt;&gt;"",IF(LOWER('Capacity summary'!U182)="x",$BI63*U63,VALUE('Capacity summary'!U182)),0),U63*$BI63),U63*$BI63),0)</f>
        <v>0</v>
      </c>
      <c r="BY63" s="311">
        <f>IF($BI63&lt;&gt;"",IF('Capacity summary'!$D$14="Yes",IF(COUNTBLANK('Capacity summary'!$H182:$BG182)&lt;52,IF('Capacity summary'!V182&lt;&gt;"",IF(LOWER('Capacity summary'!V182)="x",$BI63*V63,VALUE('Capacity summary'!V182)),0),V63*$BI63),V63*$BI63),0)</f>
        <v>0</v>
      </c>
      <c r="BZ63" s="311">
        <f>IF($BI63&lt;&gt;"",IF('Capacity summary'!$D$14="Yes",IF(COUNTBLANK('Capacity summary'!$H182:$BG182)&lt;52,IF('Capacity summary'!W182&lt;&gt;"",IF(LOWER('Capacity summary'!W182)="x",$BI63*W63,VALUE('Capacity summary'!W182)),0),W63*$BI63),W63*$BI63),0)</f>
        <v>0</v>
      </c>
      <c r="CA63" s="311">
        <f>IF($BI63&lt;&gt;"",IF('Capacity summary'!$D$14="Yes",IF(COUNTBLANK('Capacity summary'!$H182:$BG182)&lt;52,IF('Capacity summary'!X182&lt;&gt;"",IF(LOWER('Capacity summary'!X182)="x",$BI63*X63,VALUE('Capacity summary'!X182)),0),X63*$BI63),X63*$BI63),0)</f>
        <v>0</v>
      </c>
      <c r="CB63" s="311">
        <f>IF($BI63&lt;&gt;"",IF('Capacity summary'!$D$14="Yes",IF(COUNTBLANK('Capacity summary'!$H182:$BG182)&lt;52,IF('Capacity summary'!Y182&lt;&gt;"",IF(LOWER('Capacity summary'!Y182)="x",$BI63*Y63,VALUE('Capacity summary'!Y182)),0),Y63*$BI63),Y63*$BI63),0)</f>
        <v>0</v>
      </c>
      <c r="CC63" s="311">
        <f>IF($BI63&lt;&gt;"",IF('Capacity summary'!$D$14="Yes",IF(COUNTBLANK('Capacity summary'!$H182:$BG182)&lt;52,IF('Capacity summary'!Z182&lt;&gt;"",IF(LOWER('Capacity summary'!Z182)="x",$BI63*Z63,VALUE('Capacity summary'!Z182)),0),Z63*$BI63),Z63*$BI63),0)</f>
        <v>0</v>
      </c>
      <c r="CD63" s="311">
        <f>IF($BI63&lt;&gt;"",IF('Capacity summary'!$D$14="Yes",IF(COUNTBLANK('Capacity summary'!$H182:$BG182)&lt;52,IF('Capacity summary'!AA182&lt;&gt;"",IF(LOWER('Capacity summary'!AA182)="x",$BI63*AA63,VALUE('Capacity summary'!AA182)),0),AA63*$BI63),AA63*$BI63),0)</f>
        <v>0</v>
      </c>
      <c r="CE63" s="311">
        <f>IF($BI63&lt;&gt;"",IF('Capacity summary'!$D$14="Yes",IF(COUNTBLANK('Capacity summary'!$H182:$BG182)&lt;52,IF('Capacity summary'!AB182&lt;&gt;"",IF(LOWER('Capacity summary'!AB182)="x",$BI63*AB63,VALUE('Capacity summary'!AB182)),0),AB63*$BI63),AB63*$BI63),0)</f>
        <v>0</v>
      </c>
      <c r="CF63" s="311">
        <f>IF($BI63&lt;&gt;"",IF('Capacity summary'!$D$14="Yes",IF(COUNTBLANK('Capacity summary'!$H182:$BG182)&lt;52,IF('Capacity summary'!AC182&lt;&gt;"",IF(LOWER('Capacity summary'!AC182)="x",$BI63*AC63,VALUE('Capacity summary'!AC182)),0),AC63*$BI63),AC63*$BI63),0)</f>
        <v>0</v>
      </c>
      <c r="CG63" s="311">
        <f>IF($BI63&lt;&gt;"",IF('Capacity summary'!$D$14="Yes",IF(COUNTBLANK('Capacity summary'!$H182:$BG182)&lt;52,IF('Capacity summary'!AD182&lt;&gt;"",IF(LOWER('Capacity summary'!AD182)="x",$BI63*AD63,VALUE('Capacity summary'!AD182)),0),AD63*$BI63),AD63*$BI63),0)</f>
        <v>0</v>
      </c>
      <c r="CH63" s="311">
        <f>IF($BI63&lt;&gt;"",IF('Capacity summary'!$D$14="Yes",IF(COUNTBLANK('Capacity summary'!$H182:$BG182)&lt;52,IF('Capacity summary'!AE182&lt;&gt;"",IF(LOWER('Capacity summary'!AE182)="x",$BI63*AE63,VALUE('Capacity summary'!AE182)),0),AE63*$BI63),AE63*$BI63),0)</f>
        <v>0</v>
      </c>
      <c r="CI63" s="311">
        <f>IF($BI63&lt;&gt;"",IF('Capacity summary'!$D$14="Yes",IF(COUNTBLANK('Capacity summary'!$H182:$BG182)&lt;52,IF('Capacity summary'!AF182&lt;&gt;"",IF(LOWER('Capacity summary'!AF182)="x",$BI63*AF63,VALUE('Capacity summary'!AF182)),0),AF63*$BI63),AF63*$BI63),0)</f>
        <v>0</v>
      </c>
      <c r="CJ63" s="311">
        <f>IF($BI63&lt;&gt;"",IF('Capacity summary'!$D$14="Yes",IF(COUNTBLANK('Capacity summary'!$H182:$BG182)&lt;52,IF('Capacity summary'!AG182&lt;&gt;"",IF(LOWER('Capacity summary'!AG182)="x",$BI63*AG63,VALUE('Capacity summary'!AG182)),0),AG63*$BI63),AG63*$BI63),0)</f>
        <v>0</v>
      </c>
      <c r="CK63" s="311">
        <f>IF($BI63&lt;&gt;"",IF('Capacity summary'!$D$14="Yes",IF(COUNTBLANK('Capacity summary'!$H182:$BG182)&lt;52,IF('Capacity summary'!AH182&lt;&gt;"",IF(LOWER('Capacity summary'!AH182)="x",$BI63*AH63,VALUE('Capacity summary'!AH182)),0),AH63*$BI63),AH63*$BI63),0)</f>
        <v>0</v>
      </c>
      <c r="CL63" s="311">
        <f>IF($BI63&lt;&gt;"",IF('Capacity summary'!$D$14="Yes",IF(COUNTBLANK('Capacity summary'!$H182:$BG182)&lt;52,IF('Capacity summary'!AI182&lt;&gt;"",IF(LOWER('Capacity summary'!AI182)="x",$BI63*AI63,VALUE('Capacity summary'!AI182)),0),AI63*$BI63),AI63*$BI63),0)</f>
        <v>0</v>
      </c>
      <c r="CM63" s="311">
        <f>IF($BI63&lt;&gt;"",IF('Capacity summary'!$D$14="Yes",IF(COUNTBLANK('Capacity summary'!$H182:$BG182)&lt;52,IF('Capacity summary'!AJ182&lt;&gt;"",IF(LOWER('Capacity summary'!AJ182)="x",$BI63*AJ63,VALUE('Capacity summary'!AJ182)),0),AJ63*$BI63),AJ63*$BI63),0)</f>
        <v>0</v>
      </c>
      <c r="CN63" s="311">
        <f>IF($BI63&lt;&gt;"",IF('Capacity summary'!$D$14="Yes",IF(COUNTBLANK('Capacity summary'!$H182:$BG182)&lt;52,IF('Capacity summary'!AK182&lt;&gt;"",IF(LOWER('Capacity summary'!AK182)="x",$BI63*AK63,VALUE('Capacity summary'!AK182)),0),AK63*$BI63),AK63*$BI63),0)</f>
        <v>0</v>
      </c>
      <c r="CO63" s="311">
        <f>IF($BI63&lt;&gt;"",IF('Capacity summary'!$D$14="Yes",IF(COUNTBLANK('Capacity summary'!$H182:$BG182)&lt;52,IF('Capacity summary'!AL182&lt;&gt;"",IF(LOWER('Capacity summary'!AL182)="x",$BI63*AL63,VALUE('Capacity summary'!AL182)),0),AL63*$BI63),AL63*$BI63),0)</f>
        <v>0</v>
      </c>
      <c r="CP63" s="311">
        <f>IF($BI63&lt;&gt;"",IF('Capacity summary'!$D$14="Yes",IF(COUNTBLANK('Capacity summary'!$H182:$BG182)&lt;52,IF('Capacity summary'!AM182&lt;&gt;"",IF(LOWER('Capacity summary'!AM182)="x",$BI63*AM63,VALUE('Capacity summary'!AM182)),0),AM63*$BI63),AM63*$BI63),0)</f>
        <v>0</v>
      </c>
      <c r="CQ63" s="311">
        <f>IF($BI63&lt;&gt;"",IF('Capacity summary'!$D$14="Yes",IF(COUNTBLANK('Capacity summary'!$H182:$BG182)&lt;52,IF('Capacity summary'!AN182&lt;&gt;"",IF(LOWER('Capacity summary'!AN182)="x",$BI63*AN63,VALUE('Capacity summary'!AN182)),0),AN63*$BI63),AN63*$BI63),0)</f>
        <v>0</v>
      </c>
      <c r="CR63" s="311">
        <f>IF($BI63&lt;&gt;"",IF('Capacity summary'!$D$14="Yes",IF(COUNTBLANK('Capacity summary'!$H182:$BG182)&lt;52,IF('Capacity summary'!AO182&lt;&gt;"",IF(LOWER('Capacity summary'!AO182)="x",$BI63*AO63,VALUE('Capacity summary'!AO182)),0),AO63*$BI63),AO63*$BI63),0)</f>
        <v>0</v>
      </c>
      <c r="CS63" s="311">
        <f>IF($BI63&lt;&gt;"",IF('Capacity summary'!$D$14="Yes",IF(COUNTBLANK('Capacity summary'!$H182:$BG182)&lt;52,IF('Capacity summary'!AP182&lt;&gt;"",IF(LOWER('Capacity summary'!AP182)="x",$BI63*AP63,VALUE('Capacity summary'!AP182)),0),AP63*$BI63),AP63*$BI63),0)</f>
        <v>0</v>
      </c>
      <c r="CT63" s="311">
        <f>IF($BI63&lt;&gt;"",IF('Capacity summary'!$D$14="Yes",IF(COUNTBLANK('Capacity summary'!$H182:$BG182)&lt;52,IF('Capacity summary'!AQ182&lt;&gt;"",IF(LOWER('Capacity summary'!AQ182)="x",$BI63*AQ63,VALUE('Capacity summary'!AQ182)),0),AQ63*$BI63),AQ63*$BI63),0)</f>
        <v>0</v>
      </c>
      <c r="CU63" s="311">
        <f>IF($BI63&lt;&gt;"",IF('Capacity summary'!$D$14="Yes",IF(COUNTBLANK('Capacity summary'!$H182:$BG182)&lt;52,IF('Capacity summary'!AR182&lt;&gt;"",IF(LOWER('Capacity summary'!AR182)="x",$BI63*AR63,VALUE('Capacity summary'!AR182)),0),AR63*$BI63),AR63*$BI63),0)</f>
        <v>0</v>
      </c>
      <c r="CV63" s="311">
        <f>IF($BI63&lt;&gt;"",IF('Capacity summary'!$D$14="Yes",IF(COUNTBLANK('Capacity summary'!$H182:$BG182)&lt;52,IF('Capacity summary'!AS182&lt;&gt;"",IF(LOWER('Capacity summary'!AS182)="x",$BI63*AS63,VALUE('Capacity summary'!AS182)),0),AS63*$BI63),AS63*$BI63),0)</f>
        <v>0</v>
      </c>
      <c r="CW63" s="311">
        <f>IF($BI63&lt;&gt;"",IF('Capacity summary'!$D$14="Yes",IF(COUNTBLANK('Capacity summary'!$H182:$BG182)&lt;52,IF('Capacity summary'!AT182&lt;&gt;"",IF(LOWER('Capacity summary'!AT182)="x",$BI63*AT63,VALUE('Capacity summary'!AT182)),0),AT63*$BI63),AT63*$BI63),0)</f>
        <v>0</v>
      </c>
      <c r="CX63" s="311">
        <f>IF($BI63&lt;&gt;"",IF('Capacity summary'!$D$14="Yes",IF(COUNTBLANK('Capacity summary'!$H182:$BG182)&lt;52,IF('Capacity summary'!AU182&lt;&gt;"",IF(LOWER('Capacity summary'!AU182)="x",$BI63*AU63,VALUE('Capacity summary'!AU182)),0),AU63*$BI63),AU63*$BI63),0)</f>
        <v>0</v>
      </c>
      <c r="CY63" s="311">
        <f>IF($BI63&lt;&gt;"",IF('Capacity summary'!$D$14="Yes",IF(COUNTBLANK('Capacity summary'!$H182:$BG182)&lt;52,IF('Capacity summary'!AV182&lt;&gt;"",IF(LOWER('Capacity summary'!AV182)="x",$BI63*AV63,VALUE('Capacity summary'!AV182)),0),AV63*$BI63),AV63*$BI63),0)</f>
        <v>0</v>
      </c>
      <c r="CZ63" s="311">
        <f>IF($BI63&lt;&gt;"",IF('Capacity summary'!$D$14="Yes",IF(COUNTBLANK('Capacity summary'!$H182:$BG182)&lt;52,IF('Capacity summary'!AW182&lt;&gt;"",IF(LOWER('Capacity summary'!AW182)="x",$BI63*AW63,VALUE('Capacity summary'!AW182)),0),AW63*$BI63),AW63*$BI63),0)</f>
        <v>0</v>
      </c>
      <c r="DA63" s="311">
        <f>IF($BI63&lt;&gt;"",IF('Capacity summary'!$D$14="Yes",IF(COUNTBLANK('Capacity summary'!$H182:$BG182)&lt;52,IF('Capacity summary'!AX182&lt;&gt;"",IF(LOWER('Capacity summary'!AX182)="x",$BI63*AX63,VALUE('Capacity summary'!AX182)),0),AX63*$BI63),AX63*$BI63),0)</f>
        <v>0</v>
      </c>
      <c r="DB63" s="311">
        <f>IF($BI63&lt;&gt;"",IF('Capacity summary'!$D$14="Yes",IF(COUNTBLANK('Capacity summary'!$H182:$BG182)&lt;52,IF('Capacity summary'!AY182&lt;&gt;"",IF(LOWER('Capacity summary'!AY182)="x",$BI63*AY63,VALUE('Capacity summary'!AY182)),0),AY63*$BI63),AY63*$BI63),0)</f>
        <v>0</v>
      </c>
      <c r="DC63" s="311">
        <f>IF($BI63&lt;&gt;"",IF('Capacity summary'!$D$14="Yes",IF(COUNTBLANK('Capacity summary'!$H182:$BG182)&lt;52,IF('Capacity summary'!AZ182&lt;&gt;"",IF(LOWER('Capacity summary'!AZ182)="x",$BI63*AZ63,VALUE('Capacity summary'!AZ182)),0),AZ63*$BI63),AZ63*$BI63),0)</f>
        <v>0</v>
      </c>
      <c r="DD63" s="311">
        <f>IF($BI63&lt;&gt;"",IF('Capacity summary'!$D$14="Yes",IF(COUNTBLANK('Capacity summary'!$H182:$BG182)&lt;52,IF('Capacity summary'!BA182&lt;&gt;"",IF(LOWER('Capacity summary'!BA182)="x",$BI63*BA63,VALUE('Capacity summary'!BA182)),0),BA63*$BI63),BA63*$BI63),0)</f>
        <v>0</v>
      </c>
      <c r="DE63" s="311">
        <f>IF($BI63&lt;&gt;"",IF('Capacity summary'!$D$14="Yes",IF(COUNTBLANK('Capacity summary'!$H182:$BG182)&lt;52,IF('Capacity summary'!BB182&lt;&gt;"",IF(LOWER('Capacity summary'!BB182)="x",$BI63*BB63,VALUE('Capacity summary'!BB182)),0),BB63*$BI63),BB63*$BI63),0)</f>
        <v>0</v>
      </c>
      <c r="DF63" s="311">
        <f>IF($BI63&lt;&gt;"",IF('Capacity summary'!$D$14="Yes",IF(COUNTBLANK('Capacity summary'!$H182:$BG182)&lt;52,IF('Capacity summary'!BC182&lt;&gt;"",IF(LOWER('Capacity summary'!BC182)="x",$BI63*BC63,VALUE('Capacity summary'!BC182)),0),BC63*$BI63),BC63*$BI63),0)</f>
        <v>0</v>
      </c>
      <c r="DG63" s="311">
        <f>IF($BI63&lt;&gt;"",IF('Capacity summary'!$D$14="Yes",IF(COUNTBLANK('Capacity summary'!$H182:$BG182)&lt;52,IF('Capacity summary'!BD182&lt;&gt;"",IF(LOWER('Capacity summary'!BD182)="x",$BI63*BD63,VALUE('Capacity summary'!BD182)),0),BD63*$BI63),BD63*$BI63),0)</f>
        <v>0</v>
      </c>
      <c r="DH63" s="311">
        <f>IF($BI63&lt;&gt;"",IF('Capacity summary'!$D$14="Yes",IF(COUNTBLANK('Capacity summary'!$H182:$BG182)&lt;52,IF('Capacity summary'!BE182&lt;&gt;"",IF(LOWER('Capacity summary'!BE182)="x",$BI63*BE63,VALUE('Capacity summary'!BE182)),0),BE63*$BI63),BE63*$BI63),0)</f>
        <v>0</v>
      </c>
      <c r="DI63" s="311">
        <f>IF($BI63&lt;&gt;"",IF('Capacity summary'!$D$14="Yes",IF(COUNTBLANK('Capacity summary'!$H182:$BG182)&lt;52,IF('Capacity summary'!BF182&lt;&gt;"",IF(LOWER('Capacity summary'!BF182)="x",$BI63*BF63,VALUE('Capacity summary'!BF182)),0),BF63*$BI63),BF63*$BI63),0)</f>
        <v>0</v>
      </c>
      <c r="DJ63" s="311">
        <f>IF($BI63&lt;&gt;"",IF('Capacity summary'!$D$14="Yes",IF(COUNTBLANK('Capacity summary'!$H182:$BG182)&lt;52,IF('Capacity summary'!BG182&lt;&gt;"",IF(LOWER('Capacity summary'!BG182)="x",$BI63*BG63,VALUE('Capacity summary'!BG182)),0),BG63*$BI63),BG63*$BI63),0)</f>
        <v>0</v>
      </c>
      <c r="DK63" s="391">
        <f t="shared" si="2"/>
        <v>0</v>
      </c>
      <c r="DL63" s="136">
        <f t="shared" si="3"/>
        <v>0</v>
      </c>
      <c r="DM63" s="311" t="str">
        <f>Capacity!H75</f>
        <v/>
      </c>
    </row>
    <row r="64" spans="1:121" x14ac:dyDescent="0.2">
      <c r="A64" s="67">
        <f>IF(Capacity!L76='Capacity summary'!BI183,1,0)</f>
        <v>1</v>
      </c>
      <c r="B64" s="67">
        <f>IF(Capacity!V76='Capacity summary'!BI83,1,0)</f>
        <v>1</v>
      </c>
      <c r="C64" s="67" t="str">
        <f>ROW(A60)&amp;". "&amp;Capacity!B76</f>
        <v xml:space="preserve">60. </v>
      </c>
      <c r="D64" s="67">
        <f>'Capacity setup'!C71</f>
        <v>0</v>
      </c>
      <c r="E64" s="67">
        <f>'Capacity setup'!D71</f>
        <v>0</v>
      </c>
      <c r="F64" s="67">
        <f>'Capacity setup'!E71</f>
        <v>0</v>
      </c>
      <c r="H64" s="67">
        <f ca="1">IF(LOWER(Capacity!$L76)="x",IF(AND(SUMIF(Capacity_Resource,$D64,'Critical resources (hide)'!U$6:U$105)+SUMIF(Capacity_Resource,$E64,'Critical resources (hide)'!U$6:U$105)+SUMIF(Capacity_Resource,$F64,'Critical resources (hide)'!U$6:U$105)&gt;0,$E$1=2),0,1),0)</f>
        <v>1</v>
      </c>
      <c r="I64" s="67">
        <f ca="1">IF(LOWER(Capacity!$L76)="x",IF(AND(SUMIF(Capacity_Resource,$D64,'Critical resources (hide)'!V$6:V$105)+SUMIF(Capacity_Resource,$E64,'Critical resources (hide)'!V$6:V$105)+SUMIF(Capacity_Resource,$F64,'Critical resources (hide)'!V$6:V$105)&gt;0,$E$1=2),0,1),0)</f>
        <v>1</v>
      </c>
      <c r="J64" s="67">
        <f ca="1">IF(LOWER(Capacity!$L76)="x",IF(AND(SUMIF(Capacity_Resource,$D64,'Critical resources (hide)'!W$6:W$105)+SUMIF(Capacity_Resource,$E64,'Critical resources (hide)'!W$6:W$105)+SUMIF(Capacity_Resource,$F64,'Critical resources (hide)'!W$6:W$105)&gt;0,$E$1=2),0,1),0)</f>
        <v>1</v>
      </c>
      <c r="K64" s="67">
        <f ca="1">IF(LOWER(Capacity!$L76)="x",IF(AND(SUMIF(Capacity_Resource,$D64,'Critical resources (hide)'!X$6:X$105)+SUMIF(Capacity_Resource,$E64,'Critical resources (hide)'!X$6:X$105)+SUMIF(Capacity_Resource,$F64,'Critical resources (hide)'!X$6:X$105)&gt;0,$E$1=2),0,1),0)</f>
        <v>1</v>
      </c>
      <c r="L64" s="67">
        <f ca="1">IF(LOWER(Capacity!$L76)="x",IF(AND(SUMIF(Capacity_Resource,$D64,'Critical resources (hide)'!Y$6:Y$105)+SUMIF(Capacity_Resource,$E64,'Critical resources (hide)'!Y$6:Y$105)+SUMIF(Capacity_Resource,$F64,'Critical resources (hide)'!Y$6:Y$105)&gt;0,$E$1=2),0,1),0)</f>
        <v>1</v>
      </c>
      <c r="M64" s="67">
        <f ca="1">IF(LOWER(Capacity!$L76)="x",IF(AND(SUMIF(Capacity_Resource,$D64,'Critical resources (hide)'!Z$6:Z$105)+SUMIF(Capacity_Resource,$E64,'Critical resources (hide)'!Z$6:Z$105)+SUMIF(Capacity_Resource,$F64,'Critical resources (hide)'!Z$6:Z$105)&gt;0,$E$1=2),0,1),0)</f>
        <v>1</v>
      </c>
      <c r="N64" s="67">
        <f ca="1">IF(LOWER(Capacity!$L76)="x",IF(AND(SUMIF(Capacity_Resource,$D64,'Critical resources (hide)'!AA$6:AA$105)+SUMIF(Capacity_Resource,$E64,'Critical resources (hide)'!AA$6:AA$105)+SUMIF(Capacity_Resource,$F64,'Critical resources (hide)'!AA$6:AA$105)&gt;0,$E$1=2),0,1),0)</f>
        <v>1</v>
      </c>
      <c r="O64" s="67">
        <f ca="1">IF(LOWER(Capacity!$L76)="x",IF(AND(SUMIF(Capacity_Resource,$D64,'Critical resources (hide)'!AB$6:AB$105)+SUMIF(Capacity_Resource,$E64,'Critical resources (hide)'!AB$6:AB$105)+SUMIF(Capacity_Resource,$F64,'Critical resources (hide)'!AB$6:AB$105)&gt;0,$E$1=2),0,1),0)</f>
        <v>1</v>
      </c>
      <c r="P64" s="67">
        <f ca="1">IF(LOWER(Capacity!$L76)="x",IF(AND(SUMIF(Capacity_Resource,$D64,'Critical resources (hide)'!AC$6:AC$105)+SUMIF(Capacity_Resource,$E64,'Critical resources (hide)'!AC$6:AC$105)+SUMIF(Capacity_Resource,$F64,'Critical resources (hide)'!AC$6:AC$105)&gt;0,$E$1=2),0,1),0)</f>
        <v>1</v>
      </c>
      <c r="Q64" s="67">
        <f ca="1">IF(LOWER(Capacity!$L76)="x",IF(AND(SUMIF(Capacity_Resource,$D64,'Critical resources (hide)'!AD$6:AD$105)+SUMIF(Capacity_Resource,$E64,'Critical resources (hide)'!AD$6:AD$105)+SUMIF(Capacity_Resource,$F64,'Critical resources (hide)'!AD$6:AD$105)&gt;0,$E$1=2),0,1),0)</f>
        <v>1</v>
      </c>
      <c r="R64" s="67">
        <f ca="1">IF(LOWER(Capacity!$L76)="x",IF(AND(SUMIF(Capacity_Resource,$D64,'Critical resources (hide)'!AE$6:AE$105)+SUMIF(Capacity_Resource,$E64,'Critical resources (hide)'!AE$6:AE$105)+SUMIF(Capacity_Resource,$F64,'Critical resources (hide)'!AE$6:AE$105)&gt;0,$E$1=2),0,1),0)</f>
        <v>1</v>
      </c>
      <c r="S64" s="67">
        <f ca="1">IF(LOWER(Capacity!$L76)="x",IF(AND(SUMIF(Capacity_Resource,$D64,'Critical resources (hide)'!AF$6:AF$105)+SUMIF(Capacity_Resource,$E64,'Critical resources (hide)'!AF$6:AF$105)+SUMIF(Capacity_Resource,$F64,'Critical resources (hide)'!AF$6:AF$105)&gt;0,$E$1=2),0,1),0)</f>
        <v>1</v>
      </c>
      <c r="T64" s="67">
        <f ca="1">IF(LOWER(Capacity!$L76)="x",IF(AND(SUMIF(Capacity_Resource,$D64,'Critical resources (hide)'!AG$6:AG$105)+SUMIF(Capacity_Resource,$E64,'Critical resources (hide)'!AG$6:AG$105)+SUMIF(Capacity_Resource,$F64,'Critical resources (hide)'!AG$6:AG$105)&gt;0,$E$1=2),0,1),0)</f>
        <v>1</v>
      </c>
      <c r="U64" s="67">
        <f ca="1">IF(LOWER(Capacity!$L76)="x",IF(AND(SUMIF(Capacity_Resource,$D64,'Critical resources (hide)'!AH$6:AH$105)+SUMIF(Capacity_Resource,$E64,'Critical resources (hide)'!AH$6:AH$105)+SUMIF(Capacity_Resource,$F64,'Critical resources (hide)'!AH$6:AH$105)&gt;0,$E$1=2),0,1),0)</f>
        <v>1</v>
      </c>
      <c r="V64" s="67">
        <f ca="1">IF(LOWER(Capacity!$L76)="x",IF(AND(SUMIF(Capacity_Resource,$D64,'Critical resources (hide)'!AI$6:AI$105)+SUMIF(Capacity_Resource,$E64,'Critical resources (hide)'!AI$6:AI$105)+SUMIF(Capacity_Resource,$F64,'Critical resources (hide)'!AI$6:AI$105)&gt;0,$E$1=2),0,1),0)</f>
        <v>1</v>
      </c>
      <c r="W64" s="67">
        <f ca="1">IF(LOWER(Capacity!$L76)="x",IF(AND(SUMIF(Capacity_Resource,$D64,'Critical resources (hide)'!AJ$6:AJ$105)+SUMIF(Capacity_Resource,$E64,'Critical resources (hide)'!AJ$6:AJ$105)+SUMIF(Capacity_Resource,$F64,'Critical resources (hide)'!AJ$6:AJ$105)&gt;0,$E$1=2),0,1),0)</f>
        <v>1</v>
      </c>
      <c r="X64" s="67">
        <f ca="1">IF(LOWER(Capacity!$L76)="x",IF(AND(SUMIF(Capacity_Resource,$D64,'Critical resources (hide)'!AK$6:AK$105)+SUMIF(Capacity_Resource,$E64,'Critical resources (hide)'!AK$6:AK$105)+SUMIF(Capacity_Resource,$F64,'Critical resources (hide)'!AK$6:AK$105)&gt;0,$E$1=2),0,1),0)</f>
        <v>1</v>
      </c>
      <c r="Y64" s="67">
        <f ca="1">IF(LOWER(Capacity!$L76)="x",IF(AND(SUMIF(Capacity_Resource,$D64,'Critical resources (hide)'!AL$6:AL$105)+SUMIF(Capacity_Resource,$E64,'Critical resources (hide)'!AL$6:AL$105)+SUMIF(Capacity_Resource,$F64,'Critical resources (hide)'!AL$6:AL$105)&gt;0,$E$1=2),0,1),0)</f>
        <v>1</v>
      </c>
      <c r="Z64" s="67">
        <f ca="1">IF(LOWER(Capacity!$L76)="x",IF(AND(SUMIF(Capacity_Resource,$D64,'Critical resources (hide)'!AM$6:AM$105)+SUMIF(Capacity_Resource,$E64,'Critical resources (hide)'!AM$6:AM$105)+SUMIF(Capacity_Resource,$F64,'Critical resources (hide)'!AM$6:AM$105)&gt;0,$E$1=2),0,1),0)</f>
        <v>1</v>
      </c>
      <c r="AA64" s="67">
        <f ca="1">IF(LOWER(Capacity!$L76)="x",IF(AND(SUMIF(Capacity_Resource,$D64,'Critical resources (hide)'!AN$6:AN$105)+SUMIF(Capacity_Resource,$E64,'Critical resources (hide)'!AN$6:AN$105)+SUMIF(Capacity_Resource,$F64,'Critical resources (hide)'!AN$6:AN$105)&gt;0,$E$1=2),0,1),0)</f>
        <v>1</v>
      </c>
      <c r="AB64" s="67">
        <f ca="1">IF(LOWER(Capacity!$L76)="x",IF(AND(SUMIF(Capacity_Resource,$D64,'Critical resources (hide)'!AO$6:AO$105)+SUMIF(Capacity_Resource,$E64,'Critical resources (hide)'!AO$6:AO$105)+SUMIF(Capacity_Resource,$F64,'Critical resources (hide)'!AO$6:AO$105)&gt;0,$E$1=2),0,1),0)</f>
        <v>1</v>
      </c>
      <c r="AC64" s="67">
        <f ca="1">IF(LOWER(Capacity!$L76)="x",IF(AND(SUMIF(Capacity_Resource,$D64,'Critical resources (hide)'!AP$6:AP$105)+SUMIF(Capacity_Resource,$E64,'Critical resources (hide)'!AP$6:AP$105)+SUMIF(Capacity_Resource,$F64,'Critical resources (hide)'!AP$6:AP$105)&gt;0,$E$1=2),0,1),0)</f>
        <v>1</v>
      </c>
      <c r="AD64" s="67">
        <f ca="1">IF(LOWER(Capacity!$L76)="x",IF(AND(SUMIF(Capacity_Resource,$D64,'Critical resources (hide)'!AQ$6:AQ$105)+SUMIF(Capacity_Resource,$E64,'Critical resources (hide)'!AQ$6:AQ$105)+SUMIF(Capacity_Resource,$F64,'Critical resources (hide)'!AQ$6:AQ$105)&gt;0,$E$1=2),0,1),0)</f>
        <v>1</v>
      </c>
      <c r="AE64" s="67">
        <f ca="1">IF(LOWER(Capacity!$L76)="x",IF(AND(SUMIF(Capacity_Resource,$D64,'Critical resources (hide)'!AR$6:AR$105)+SUMIF(Capacity_Resource,$E64,'Critical resources (hide)'!AR$6:AR$105)+SUMIF(Capacity_Resource,$F64,'Critical resources (hide)'!AR$6:AR$105)&gt;0,$E$1=2),0,1),0)</f>
        <v>1</v>
      </c>
      <c r="AF64" s="67">
        <f ca="1">IF(LOWER(Capacity!$L76)="x",IF(AND(SUMIF(Capacity_Resource,$D64,'Critical resources (hide)'!AS$6:AS$105)+SUMIF(Capacity_Resource,$E64,'Critical resources (hide)'!AS$6:AS$105)+SUMIF(Capacity_Resource,$F64,'Critical resources (hide)'!AS$6:AS$105)&gt;0,$E$1=2),0,1),0)</f>
        <v>1</v>
      </c>
      <c r="AG64" s="67">
        <f ca="1">IF(LOWER(Capacity!$L76)="x",IF(AND(SUMIF(Capacity_Resource,$D64,'Critical resources (hide)'!AT$6:AT$105)+SUMIF(Capacity_Resource,$E64,'Critical resources (hide)'!AT$6:AT$105)+SUMIF(Capacity_Resource,$F64,'Critical resources (hide)'!AT$6:AT$105)&gt;0,$E$1=2),0,1),0)</f>
        <v>1</v>
      </c>
      <c r="AH64" s="67">
        <f ca="1">IF(LOWER(Capacity!$L76)="x",IF(AND(SUMIF(Capacity_Resource,$D64,'Critical resources (hide)'!AU$6:AU$105)+SUMIF(Capacity_Resource,$E64,'Critical resources (hide)'!AU$6:AU$105)+SUMIF(Capacity_Resource,$F64,'Critical resources (hide)'!AU$6:AU$105)&gt;0,$E$1=2),0,1),0)</f>
        <v>1</v>
      </c>
      <c r="AI64" s="67">
        <f ca="1">IF(LOWER(Capacity!$L76)="x",IF(AND(SUMIF(Capacity_Resource,$D64,'Critical resources (hide)'!AV$6:AV$105)+SUMIF(Capacity_Resource,$E64,'Critical resources (hide)'!AV$6:AV$105)+SUMIF(Capacity_Resource,$F64,'Critical resources (hide)'!AV$6:AV$105)&gt;0,$E$1=2),0,1),0)</f>
        <v>1</v>
      </c>
      <c r="AJ64" s="67">
        <f ca="1">IF(LOWER(Capacity!$L76)="x",IF(AND(SUMIF(Capacity_Resource,$D64,'Critical resources (hide)'!AW$6:AW$105)+SUMIF(Capacity_Resource,$E64,'Critical resources (hide)'!AW$6:AW$105)+SUMIF(Capacity_Resource,$F64,'Critical resources (hide)'!AW$6:AW$105)&gt;0,$E$1=2),0,1),0)</f>
        <v>1</v>
      </c>
      <c r="AK64" s="67">
        <f ca="1">IF(LOWER(Capacity!$L76)="x",IF(AND(SUMIF(Capacity_Resource,$D64,'Critical resources (hide)'!AX$6:AX$105)+SUMIF(Capacity_Resource,$E64,'Critical resources (hide)'!AX$6:AX$105)+SUMIF(Capacity_Resource,$F64,'Critical resources (hide)'!AX$6:AX$105)&gt;0,$E$1=2),0,1),0)</f>
        <v>1</v>
      </c>
      <c r="AL64" s="67">
        <f ca="1">IF(LOWER(Capacity!$L76)="x",IF(AND(SUMIF(Capacity_Resource,$D64,'Critical resources (hide)'!AY$6:AY$105)+SUMIF(Capacity_Resource,$E64,'Critical resources (hide)'!AY$6:AY$105)+SUMIF(Capacity_Resource,$F64,'Critical resources (hide)'!AY$6:AY$105)&gt;0,$E$1=2),0,1),0)</f>
        <v>1</v>
      </c>
      <c r="AM64" s="67">
        <f ca="1">IF(LOWER(Capacity!$L76)="x",IF(AND(SUMIF(Capacity_Resource,$D64,'Critical resources (hide)'!AZ$6:AZ$105)+SUMIF(Capacity_Resource,$E64,'Critical resources (hide)'!AZ$6:AZ$105)+SUMIF(Capacity_Resource,$F64,'Critical resources (hide)'!AZ$6:AZ$105)&gt;0,$E$1=2),0,1),0)</f>
        <v>1</v>
      </c>
      <c r="AN64" s="67">
        <f ca="1">IF(LOWER(Capacity!$L76)="x",IF(AND(SUMIF(Capacity_Resource,$D64,'Critical resources (hide)'!BA$6:BA$105)+SUMIF(Capacity_Resource,$E64,'Critical resources (hide)'!BA$6:BA$105)+SUMIF(Capacity_Resource,$F64,'Critical resources (hide)'!BA$6:BA$105)&gt;0,$E$1=2),0,1),0)</f>
        <v>1</v>
      </c>
      <c r="AO64" s="67">
        <f ca="1">IF(LOWER(Capacity!$L76)="x",IF(AND(SUMIF(Capacity_Resource,$D64,'Critical resources (hide)'!BB$6:BB$105)+SUMIF(Capacity_Resource,$E64,'Critical resources (hide)'!BB$6:BB$105)+SUMIF(Capacity_Resource,$F64,'Critical resources (hide)'!BB$6:BB$105)&gt;0,$E$1=2),0,1),0)</f>
        <v>1</v>
      </c>
      <c r="AP64" s="67">
        <f ca="1">IF(LOWER(Capacity!$L76)="x",IF(AND(SUMIF(Capacity_Resource,$D64,'Critical resources (hide)'!BC$6:BC$105)+SUMIF(Capacity_Resource,$E64,'Critical resources (hide)'!BC$6:BC$105)+SUMIF(Capacity_Resource,$F64,'Critical resources (hide)'!BC$6:BC$105)&gt;0,$E$1=2),0,1),0)</f>
        <v>1</v>
      </c>
      <c r="AQ64" s="67">
        <f ca="1">IF(LOWER(Capacity!$L76)="x",IF(AND(SUMIF(Capacity_Resource,$D64,'Critical resources (hide)'!BD$6:BD$105)+SUMIF(Capacity_Resource,$E64,'Critical resources (hide)'!BD$6:BD$105)+SUMIF(Capacity_Resource,$F64,'Critical resources (hide)'!BD$6:BD$105)&gt;0,$E$1=2),0,1),0)</f>
        <v>1</v>
      </c>
      <c r="AR64" s="67">
        <f ca="1">IF(LOWER(Capacity!$L76)="x",IF(AND(SUMIF(Capacity_Resource,$D64,'Critical resources (hide)'!BE$6:BE$105)+SUMIF(Capacity_Resource,$E64,'Critical resources (hide)'!BE$6:BE$105)+SUMIF(Capacity_Resource,$F64,'Critical resources (hide)'!BE$6:BE$105)&gt;0,$E$1=2),0,1),0)</f>
        <v>1</v>
      </c>
      <c r="AS64" s="67">
        <f ca="1">IF(LOWER(Capacity!$L76)="x",IF(AND(SUMIF(Capacity_Resource,$D64,'Critical resources (hide)'!BF$6:BF$105)+SUMIF(Capacity_Resource,$E64,'Critical resources (hide)'!BF$6:BF$105)+SUMIF(Capacity_Resource,$F64,'Critical resources (hide)'!BF$6:BF$105)&gt;0,$E$1=2),0,1),0)</f>
        <v>1</v>
      </c>
      <c r="AT64" s="67">
        <f ca="1">IF(LOWER(Capacity!$L76)="x",IF(AND(SUMIF(Capacity_Resource,$D64,'Critical resources (hide)'!BG$6:BG$105)+SUMIF(Capacity_Resource,$E64,'Critical resources (hide)'!BG$6:BG$105)+SUMIF(Capacity_Resource,$F64,'Critical resources (hide)'!BG$6:BG$105)&gt;0,$E$1=2),0,1),0)</f>
        <v>1</v>
      </c>
      <c r="AU64" s="67">
        <f ca="1">IF(LOWER(Capacity!$L76)="x",IF(AND(SUMIF(Capacity_Resource,$D64,'Critical resources (hide)'!BH$6:BH$105)+SUMIF(Capacity_Resource,$E64,'Critical resources (hide)'!BH$6:BH$105)+SUMIF(Capacity_Resource,$F64,'Critical resources (hide)'!BH$6:BH$105)&gt;0,$E$1=2),0,1),0)</f>
        <v>1</v>
      </c>
      <c r="AV64" s="67">
        <f ca="1">IF(LOWER(Capacity!$L76)="x",IF(AND(SUMIF(Capacity_Resource,$D64,'Critical resources (hide)'!BI$6:BI$105)+SUMIF(Capacity_Resource,$E64,'Critical resources (hide)'!BI$6:BI$105)+SUMIF(Capacity_Resource,$F64,'Critical resources (hide)'!BI$6:BI$105)&gt;0,$E$1=2),0,1),0)</f>
        <v>1</v>
      </c>
      <c r="AW64" s="67">
        <f ca="1">IF(LOWER(Capacity!$L76)="x",IF(AND(SUMIF(Capacity_Resource,$D64,'Critical resources (hide)'!BJ$6:BJ$105)+SUMIF(Capacity_Resource,$E64,'Critical resources (hide)'!BJ$6:BJ$105)+SUMIF(Capacity_Resource,$F64,'Critical resources (hide)'!BJ$6:BJ$105)&gt;0,$E$1=2),0,1),0)</f>
        <v>1</v>
      </c>
      <c r="AX64" s="67">
        <f ca="1">IF(LOWER(Capacity!$L76)="x",IF(AND(SUMIF(Capacity_Resource,$D64,'Critical resources (hide)'!BK$6:BK$105)+SUMIF(Capacity_Resource,$E64,'Critical resources (hide)'!BK$6:BK$105)+SUMIF(Capacity_Resource,$F64,'Critical resources (hide)'!BK$6:BK$105)&gt;0,$E$1=2),0,1),0)</f>
        <v>1</v>
      </c>
      <c r="AY64" s="67">
        <f ca="1">IF(LOWER(Capacity!$L76)="x",IF(AND(SUMIF(Capacity_Resource,$D64,'Critical resources (hide)'!BL$6:BL$105)+SUMIF(Capacity_Resource,$E64,'Critical resources (hide)'!BL$6:BL$105)+SUMIF(Capacity_Resource,$F64,'Critical resources (hide)'!BL$6:BL$105)&gt;0,$E$1=2),0,1),0)</f>
        <v>1</v>
      </c>
      <c r="AZ64" s="67">
        <f ca="1">IF(LOWER(Capacity!$L76)="x",IF(AND(SUMIF(Capacity_Resource,$D64,'Critical resources (hide)'!BM$6:BM$105)+SUMIF(Capacity_Resource,$E64,'Critical resources (hide)'!BM$6:BM$105)+SUMIF(Capacity_Resource,$F64,'Critical resources (hide)'!BM$6:BM$105)&gt;0,$E$1=2),0,1),0)</f>
        <v>1</v>
      </c>
      <c r="BA64" s="67">
        <f ca="1">IF(LOWER(Capacity!$L76)="x",IF(AND(SUMIF(Capacity_Resource,$D64,'Critical resources (hide)'!BN$6:BN$105)+SUMIF(Capacity_Resource,$E64,'Critical resources (hide)'!BN$6:BN$105)+SUMIF(Capacity_Resource,$F64,'Critical resources (hide)'!BN$6:BN$105)&gt;0,$E$1=2),0,1),0)</f>
        <v>1</v>
      </c>
      <c r="BB64" s="67">
        <f ca="1">IF(LOWER(Capacity!$L76)="x",IF(AND(SUMIF(Capacity_Resource,$D64,'Critical resources (hide)'!BO$6:BO$105)+SUMIF(Capacity_Resource,$E64,'Critical resources (hide)'!BO$6:BO$105)+SUMIF(Capacity_Resource,$F64,'Critical resources (hide)'!BO$6:BO$105)&gt;0,$E$1=2),0,1),0)</f>
        <v>1</v>
      </c>
      <c r="BC64" s="67">
        <f ca="1">IF(LOWER(Capacity!$L76)="x",IF(AND(SUMIF(Capacity_Resource,$D64,'Critical resources (hide)'!BP$6:BP$105)+SUMIF(Capacity_Resource,$E64,'Critical resources (hide)'!BP$6:BP$105)+SUMIF(Capacity_Resource,$F64,'Critical resources (hide)'!BP$6:BP$105)&gt;0,$E$1=2),0,1),0)</f>
        <v>1</v>
      </c>
      <c r="BD64" s="67">
        <f ca="1">IF(LOWER(Capacity!$L76)="x",IF(AND(SUMIF(Capacity_Resource,$D64,'Critical resources (hide)'!BQ$6:BQ$105)+SUMIF(Capacity_Resource,$E64,'Critical resources (hide)'!BQ$6:BQ$105)+SUMIF(Capacity_Resource,$F64,'Critical resources (hide)'!BQ$6:BQ$105)&gt;0,$E$1=2),0,1),0)</f>
        <v>1</v>
      </c>
      <c r="BE64" s="67">
        <f ca="1">IF(LOWER(Capacity!$L76)="x",IF(AND(SUMIF(Capacity_Resource,$D64,'Critical resources (hide)'!BR$6:BR$105)+SUMIF(Capacity_Resource,$E64,'Critical resources (hide)'!BR$6:BR$105)+SUMIF(Capacity_Resource,$F64,'Critical resources (hide)'!BR$6:BR$105)&gt;0,$E$1=2),0,1),0)</f>
        <v>1</v>
      </c>
      <c r="BF64" s="67">
        <f ca="1">IF(LOWER(Capacity!$L76)="x",IF(AND(SUMIF(Capacity_Resource,$D64,'Critical resources (hide)'!BS$6:BS$105)+SUMIF(Capacity_Resource,$E64,'Critical resources (hide)'!BS$6:BS$105)+SUMIF(Capacity_Resource,$F64,'Critical resources (hide)'!BS$6:BS$105)&gt;0,$E$1=2),0,1),0)</f>
        <v>1</v>
      </c>
      <c r="BG64" s="67">
        <f ca="1">IF(LOWER(Capacity!$L76)="x",IF(AND(SUMIF(Capacity_Resource,$D64,'Critical resources (hide)'!BT$6:BT$105)+SUMIF(Capacity_Resource,$E64,'Critical resources (hide)'!BT$6:BT$105)+SUMIF(Capacity_Resource,$F64,'Critical resources (hide)'!BT$6:BT$105)&gt;0,$E$1=2),0,1),0)</f>
        <v>1</v>
      </c>
      <c r="BH64" s="67">
        <f>IF(ROW(C60)&lt;=Capacity!$A$16,IF('Capacity summary'!$D$14="No",SUM(H64:BG64),'Capacity summary'!$E183),0)</f>
        <v>0</v>
      </c>
      <c r="BI64" s="5" t="str">
        <f>IF(BH64&gt;0,IF(BH64&lt;Capacity!E76,Capacity!F76,Capacity!H76/'Capacity calculation (hide)'!BH64),"")</f>
        <v/>
      </c>
      <c r="BK64" s="311">
        <f>IF($BI64&lt;&gt;"",IF('Capacity summary'!$D$14="Yes",IF(COUNTBLANK('Capacity summary'!$H183:$BG183)&lt;52,IF('Capacity summary'!H183&lt;&gt;"",IF(LOWER('Capacity summary'!H183)="x",$BI64*H64,VALUE('Capacity summary'!H183)),0),H64*$BI64),H64*$BI64),0)</f>
        <v>0</v>
      </c>
      <c r="BL64" s="311">
        <f>IF($BI64&lt;&gt;"",IF('Capacity summary'!$D$14="Yes",IF(COUNTBLANK('Capacity summary'!$H183:$BG183)&lt;52,IF('Capacity summary'!I183&lt;&gt;"",IF(LOWER('Capacity summary'!I183)="x",$BI64*I64,VALUE('Capacity summary'!I183)),0),I64*$BI64),I64*$BI64),0)</f>
        <v>0</v>
      </c>
      <c r="BM64" s="311">
        <f>IF($BI64&lt;&gt;"",IF('Capacity summary'!$D$14="Yes",IF(COUNTBLANK('Capacity summary'!$H183:$BG183)&lt;52,IF('Capacity summary'!J183&lt;&gt;"",IF(LOWER('Capacity summary'!J183)="x",$BI64*J64,VALUE('Capacity summary'!J183)),0),J64*$BI64),J64*$BI64),0)</f>
        <v>0</v>
      </c>
      <c r="BN64" s="311">
        <f>IF($BI64&lt;&gt;"",IF('Capacity summary'!$D$14="Yes",IF(COUNTBLANK('Capacity summary'!$H183:$BG183)&lt;52,IF('Capacity summary'!K183&lt;&gt;"",IF(LOWER('Capacity summary'!K183)="x",$BI64*K64,VALUE('Capacity summary'!K183)),0),K64*$BI64),K64*$BI64),0)</f>
        <v>0</v>
      </c>
      <c r="BO64" s="311">
        <f>IF($BI64&lt;&gt;"",IF('Capacity summary'!$D$14="Yes",IF(COUNTBLANK('Capacity summary'!$H183:$BG183)&lt;52,IF('Capacity summary'!L183&lt;&gt;"",IF(LOWER('Capacity summary'!L183)="x",$BI64*L64,VALUE('Capacity summary'!L183)),0),L64*$BI64),L64*$BI64),0)</f>
        <v>0</v>
      </c>
      <c r="BP64" s="311">
        <f>IF($BI64&lt;&gt;"",IF('Capacity summary'!$D$14="Yes",IF(COUNTBLANK('Capacity summary'!$H183:$BG183)&lt;52,IF('Capacity summary'!M183&lt;&gt;"",IF(LOWER('Capacity summary'!M183)="x",$BI64*M64,VALUE('Capacity summary'!M183)),0),M64*$BI64),M64*$BI64),0)</f>
        <v>0</v>
      </c>
      <c r="BQ64" s="311">
        <f>IF($BI64&lt;&gt;"",IF('Capacity summary'!$D$14="Yes",IF(COUNTBLANK('Capacity summary'!$H183:$BG183)&lt;52,IF('Capacity summary'!N183&lt;&gt;"",IF(LOWER('Capacity summary'!N183)="x",$BI64*N64,VALUE('Capacity summary'!N183)),0),N64*$BI64),N64*$BI64),0)</f>
        <v>0</v>
      </c>
      <c r="BR64" s="311">
        <f>IF($BI64&lt;&gt;"",IF('Capacity summary'!$D$14="Yes",IF(COUNTBLANK('Capacity summary'!$H183:$BG183)&lt;52,IF('Capacity summary'!O183&lt;&gt;"",IF(LOWER('Capacity summary'!O183)="x",$BI64*O64,VALUE('Capacity summary'!O183)),0),O64*$BI64),O64*$BI64),0)</f>
        <v>0</v>
      </c>
      <c r="BS64" s="311">
        <f>IF($BI64&lt;&gt;"",IF('Capacity summary'!$D$14="Yes",IF(COUNTBLANK('Capacity summary'!$H183:$BG183)&lt;52,IF('Capacity summary'!P183&lt;&gt;"",IF(LOWER('Capacity summary'!P183)="x",$BI64*P64,VALUE('Capacity summary'!P183)),0),P64*$BI64),P64*$BI64),0)</f>
        <v>0</v>
      </c>
      <c r="BT64" s="311">
        <f>IF($BI64&lt;&gt;"",IF('Capacity summary'!$D$14="Yes",IF(COUNTBLANK('Capacity summary'!$H183:$BG183)&lt;52,IF('Capacity summary'!Q183&lt;&gt;"",IF(LOWER('Capacity summary'!Q183)="x",$BI64*Q64,VALUE('Capacity summary'!Q183)),0),Q64*$BI64),Q64*$BI64),0)</f>
        <v>0</v>
      </c>
      <c r="BU64" s="311">
        <f>IF($BI64&lt;&gt;"",IF('Capacity summary'!$D$14="Yes",IF(COUNTBLANK('Capacity summary'!$H183:$BG183)&lt;52,IF('Capacity summary'!R183&lt;&gt;"",IF(LOWER('Capacity summary'!R183)="x",$BI64*R64,VALUE('Capacity summary'!R183)),0),R64*$BI64),R64*$BI64),0)</f>
        <v>0</v>
      </c>
      <c r="BV64" s="311">
        <f>IF($BI64&lt;&gt;"",IF('Capacity summary'!$D$14="Yes",IF(COUNTBLANK('Capacity summary'!$H183:$BG183)&lt;52,IF('Capacity summary'!S183&lt;&gt;"",IF(LOWER('Capacity summary'!S183)="x",$BI64*S64,VALUE('Capacity summary'!S183)),0),S64*$BI64),S64*$BI64),0)</f>
        <v>0</v>
      </c>
      <c r="BW64" s="311">
        <f>IF($BI64&lt;&gt;"",IF('Capacity summary'!$D$14="Yes",IF(COUNTBLANK('Capacity summary'!$H183:$BG183)&lt;52,IF('Capacity summary'!T183&lt;&gt;"",IF(LOWER('Capacity summary'!T183)="x",$BI64*T64,VALUE('Capacity summary'!T183)),0),T64*$BI64),T64*$BI64),0)</f>
        <v>0</v>
      </c>
      <c r="BX64" s="311">
        <f>IF($BI64&lt;&gt;"",IF('Capacity summary'!$D$14="Yes",IF(COUNTBLANK('Capacity summary'!$H183:$BG183)&lt;52,IF('Capacity summary'!U183&lt;&gt;"",IF(LOWER('Capacity summary'!U183)="x",$BI64*U64,VALUE('Capacity summary'!U183)),0),U64*$BI64),U64*$BI64),0)</f>
        <v>0</v>
      </c>
      <c r="BY64" s="311">
        <f>IF($BI64&lt;&gt;"",IF('Capacity summary'!$D$14="Yes",IF(COUNTBLANK('Capacity summary'!$H183:$BG183)&lt;52,IF('Capacity summary'!V183&lt;&gt;"",IF(LOWER('Capacity summary'!V183)="x",$BI64*V64,VALUE('Capacity summary'!V183)),0),V64*$BI64),V64*$BI64),0)</f>
        <v>0</v>
      </c>
      <c r="BZ64" s="311">
        <f>IF($BI64&lt;&gt;"",IF('Capacity summary'!$D$14="Yes",IF(COUNTBLANK('Capacity summary'!$H183:$BG183)&lt;52,IF('Capacity summary'!W183&lt;&gt;"",IF(LOWER('Capacity summary'!W183)="x",$BI64*W64,VALUE('Capacity summary'!W183)),0),W64*$BI64),W64*$BI64),0)</f>
        <v>0</v>
      </c>
      <c r="CA64" s="311">
        <f>IF($BI64&lt;&gt;"",IF('Capacity summary'!$D$14="Yes",IF(COUNTBLANK('Capacity summary'!$H183:$BG183)&lt;52,IF('Capacity summary'!X183&lt;&gt;"",IF(LOWER('Capacity summary'!X183)="x",$BI64*X64,VALUE('Capacity summary'!X183)),0),X64*$BI64),X64*$BI64),0)</f>
        <v>0</v>
      </c>
      <c r="CB64" s="311">
        <f>IF($BI64&lt;&gt;"",IF('Capacity summary'!$D$14="Yes",IF(COUNTBLANK('Capacity summary'!$H183:$BG183)&lt;52,IF('Capacity summary'!Y183&lt;&gt;"",IF(LOWER('Capacity summary'!Y183)="x",$BI64*Y64,VALUE('Capacity summary'!Y183)),0),Y64*$BI64),Y64*$BI64),0)</f>
        <v>0</v>
      </c>
      <c r="CC64" s="311">
        <f>IF($BI64&lt;&gt;"",IF('Capacity summary'!$D$14="Yes",IF(COUNTBLANK('Capacity summary'!$H183:$BG183)&lt;52,IF('Capacity summary'!Z183&lt;&gt;"",IF(LOWER('Capacity summary'!Z183)="x",$BI64*Z64,VALUE('Capacity summary'!Z183)),0),Z64*$BI64),Z64*$BI64),0)</f>
        <v>0</v>
      </c>
      <c r="CD64" s="311">
        <f>IF($BI64&lt;&gt;"",IF('Capacity summary'!$D$14="Yes",IF(COUNTBLANK('Capacity summary'!$H183:$BG183)&lt;52,IF('Capacity summary'!AA183&lt;&gt;"",IF(LOWER('Capacity summary'!AA183)="x",$BI64*AA64,VALUE('Capacity summary'!AA183)),0),AA64*$BI64),AA64*$BI64),0)</f>
        <v>0</v>
      </c>
      <c r="CE64" s="311">
        <f>IF($BI64&lt;&gt;"",IF('Capacity summary'!$D$14="Yes",IF(COUNTBLANK('Capacity summary'!$H183:$BG183)&lt;52,IF('Capacity summary'!AB183&lt;&gt;"",IF(LOWER('Capacity summary'!AB183)="x",$BI64*AB64,VALUE('Capacity summary'!AB183)),0),AB64*$BI64),AB64*$BI64),0)</f>
        <v>0</v>
      </c>
      <c r="CF64" s="311">
        <f>IF($BI64&lt;&gt;"",IF('Capacity summary'!$D$14="Yes",IF(COUNTBLANK('Capacity summary'!$H183:$BG183)&lt;52,IF('Capacity summary'!AC183&lt;&gt;"",IF(LOWER('Capacity summary'!AC183)="x",$BI64*AC64,VALUE('Capacity summary'!AC183)),0),AC64*$BI64),AC64*$BI64),0)</f>
        <v>0</v>
      </c>
      <c r="CG64" s="311">
        <f>IF($BI64&lt;&gt;"",IF('Capacity summary'!$D$14="Yes",IF(COUNTBLANK('Capacity summary'!$H183:$BG183)&lt;52,IF('Capacity summary'!AD183&lt;&gt;"",IF(LOWER('Capacity summary'!AD183)="x",$BI64*AD64,VALUE('Capacity summary'!AD183)),0),AD64*$BI64),AD64*$BI64),0)</f>
        <v>0</v>
      </c>
      <c r="CH64" s="311">
        <f>IF($BI64&lt;&gt;"",IF('Capacity summary'!$D$14="Yes",IF(COUNTBLANK('Capacity summary'!$H183:$BG183)&lt;52,IF('Capacity summary'!AE183&lt;&gt;"",IF(LOWER('Capacity summary'!AE183)="x",$BI64*AE64,VALUE('Capacity summary'!AE183)),0),AE64*$BI64),AE64*$BI64),0)</f>
        <v>0</v>
      </c>
      <c r="CI64" s="311">
        <f>IF($BI64&lt;&gt;"",IF('Capacity summary'!$D$14="Yes",IF(COUNTBLANK('Capacity summary'!$H183:$BG183)&lt;52,IF('Capacity summary'!AF183&lt;&gt;"",IF(LOWER('Capacity summary'!AF183)="x",$BI64*AF64,VALUE('Capacity summary'!AF183)),0),AF64*$BI64),AF64*$BI64),0)</f>
        <v>0</v>
      </c>
      <c r="CJ64" s="311">
        <f>IF($BI64&lt;&gt;"",IF('Capacity summary'!$D$14="Yes",IF(COUNTBLANK('Capacity summary'!$H183:$BG183)&lt;52,IF('Capacity summary'!AG183&lt;&gt;"",IF(LOWER('Capacity summary'!AG183)="x",$BI64*AG64,VALUE('Capacity summary'!AG183)),0),AG64*$BI64),AG64*$BI64),0)</f>
        <v>0</v>
      </c>
      <c r="CK64" s="311">
        <f>IF($BI64&lt;&gt;"",IF('Capacity summary'!$D$14="Yes",IF(COUNTBLANK('Capacity summary'!$H183:$BG183)&lt;52,IF('Capacity summary'!AH183&lt;&gt;"",IF(LOWER('Capacity summary'!AH183)="x",$BI64*AH64,VALUE('Capacity summary'!AH183)),0),AH64*$BI64),AH64*$BI64),0)</f>
        <v>0</v>
      </c>
      <c r="CL64" s="311">
        <f>IF($BI64&lt;&gt;"",IF('Capacity summary'!$D$14="Yes",IF(COUNTBLANK('Capacity summary'!$H183:$BG183)&lt;52,IF('Capacity summary'!AI183&lt;&gt;"",IF(LOWER('Capacity summary'!AI183)="x",$BI64*AI64,VALUE('Capacity summary'!AI183)),0),AI64*$BI64),AI64*$BI64),0)</f>
        <v>0</v>
      </c>
      <c r="CM64" s="311">
        <f>IF($BI64&lt;&gt;"",IF('Capacity summary'!$D$14="Yes",IF(COUNTBLANK('Capacity summary'!$H183:$BG183)&lt;52,IF('Capacity summary'!AJ183&lt;&gt;"",IF(LOWER('Capacity summary'!AJ183)="x",$BI64*AJ64,VALUE('Capacity summary'!AJ183)),0),AJ64*$BI64),AJ64*$BI64),0)</f>
        <v>0</v>
      </c>
      <c r="CN64" s="311">
        <f>IF($BI64&lt;&gt;"",IF('Capacity summary'!$D$14="Yes",IF(COUNTBLANK('Capacity summary'!$H183:$BG183)&lt;52,IF('Capacity summary'!AK183&lt;&gt;"",IF(LOWER('Capacity summary'!AK183)="x",$BI64*AK64,VALUE('Capacity summary'!AK183)),0),AK64*$BI64),AK64*$BI64),0)</f>
        <v>0</v>
      </c>
      <c r="CO64" s="311">
        <f>IF($BI64&lt;&gt;"",IF('Capacity summary'!$D$14="Yes",IF(COUNTBLANK('Capacity summary'!$H183:$BG183)&lt;52,IF('Capacity summary'!AL183&lt;&gt;"",IF(LOWER('Capacity summary'!AL183)="x",$BI64*AL64,VALUE('Capacity summary'!AL183)),0),AL64*$BI64),AL64*$BI64),0)</f>
        <v>0</v>
      </c>
      <c r="CP64" s="311">
        <f>IF($BI64&lt;&gt;"",IF('Capacity summary'!$D$14="Yes",IF(COUNTBLANK('Capacity summary'!$H183:$BG183)&lt;52,IF('Capacity summary'!AM183&lt;&gt;"",IF(LOWER('Capacity summary'!AM183)="x",$BI64*AM64,VALUE('Capacity summary'!AM183)),0),AM64*$BI64),AM64*$BI64),0)</f>
        <v>0</v>
      </c>
      <c r="CQ64" s="311">
        <f>IF($BI64&lt;&gt;"",IF('Capacity summary'!$D$14="Yes",IF(COUNTBLANK('Capacity summary'!$H183:$BG183)&lt;52,IF('Capacity summary'!AN183&lt;&gt;"",IF(LOWER('Capacity summary'!AN183)="x",$BI64*AN64,VALUE('Capacity summary'!AN183)),0),AN64*$BI64),AN64*$BI64),0)</f>
        <v>0</v>
      </c>
      <c r="CR64" s="311">
        <f>IF($BI64&lt;&gt;"",IF('Capacity summary'!$D$14="Yes",IF(COUNTBLANK('Capacity summary'!$H183:$BG183)&lt;52,IF('Capacity summary'!AO183&lt;&gt;"",IF(LOWER('Capacity summary'!AO183)="x",$BI64*AO64,VALUE('Capacity summary'!AO183)),0),AO64*$BI64),AO64*$BI64),0)</f>
        <v>0</v>
      </c>
      <c r="CS64" s="311">
        <f>IF($BI64&lt;&gt;"",IF('Capacity summary'!$D$14="Yes",IF(COUNTBLANK('Capacity summary'!$H183:$BG183)&lt;52,IF('Capacity summary'!AP183&lt;&gt;"",IF(LOWER('Capacity summary'!AP183)="x",$BI64*AP64,VALUE('Capacity summary'!AP183)),0),AP64*$BI64),AP64*$BI64),0)</f>
        <v>0</v>
      </c>
      <c r="CT64" s="311">
        <f>IF($BI64&lt;&gt;"",IF('Capacity summary'!$D$14="Yes",IF(COUNTBLANK('Capacity summary'!$H183:$BG183)&lt;52,IF('Capacity summary'!AQ183&lt;&gt;"",IF(LOWER('Capacity summary'!AQ183)="x",$BI64*AQ64,VALUE('Capacity summary'!AQ183)),0),AQ64*$BI64),AQ64*$BI64),0)</f>
        <v>0</v>
      </c>
      <c r="CU64" s="311">
        <f>IF($BI64&lt;&gt;"",IF('Capacity summary'!$D$14="Yes",IF(COUNTBLANK('Capacity summary'!$H183:$BG183)&lt;52,IF('Capacity summary'!AR183&lt;&gt;"",IF(LOWER('Capacity summary'!AR183)="x",$BI64*AR64,VALUE('Capacity summary'!AR183)),0),AR64*$BI64),AR64*$BI64),0)</f>
        <v>0</v>
      </c>
      <c r="CV64" s="311">
        <f>IF($BI64&lt;&gt;"",IF('Capacity summary'!$D$14="Yes",IF(COUNTBLANK('Capacity summary'!$H183:$BG183)&lt;52,IF('Capacity summary'!AS183&lt;&gt;"",IF(LOWER('Capacity summary'!AS183)="x",$BI64*AS64,VALUE('Capacity summary'!AS183)),0),AS64*$BI64),AS64*$BI64),0)</f>
        <v>0</v>
      </c>
      <c r="CW64" s="311">
        <f>IF($BI64&lt;&gt;"",IF('Capacity summary'!$D$14="Yes",IF(COUNTBLANK('Capacity summary'!$H183:$BG183)&lt;52,IF('Capacity summary'!AT183&lt;&gt;"",IF(LOWER('Capacity summary'!AT183)="x",$BI64*AT64,VALUE('Capacity summary'!AT183)),0),AT64*$BI64),AT64*$BI64),0)</f>
        <v>0</v>
      </c>
      <c r="CX64" s="311">
        <f>IF($BI64&lt;&gt;"",IF('Capacity summary'!$D$14="Yes",IF(COUNTBLANK('Capacity summary'!$H183:$BG183)&lt;52,IF('Capacity summary'!AU183&lt;&gt;"",IF(LOWER('Capacity summary'!AU183)="x",$BI64*AU64,VALUE('Capacity summary'!AU183)),0),AU64*$BI64),AU64*$BI64),0)</f>
        <v>0</v>
      </c>
      <c r="CY64" s="311">
        <f>IF($BI64&lt;&gt;"",IF('Capacity summary'!$D$14="Yes",IF(COUNTBLANK('Capacity summary'!$H183:$BG183)&lt;52,IF('Capacity summary'!AV183&lt;&gt;"",IF(LOWER('Capacity summary'!AV183)="x",$BI64*AV64,VALUE('Capacity summary'!AV183)),0),AV64*$BI64),AV64*$BI64),0)</f>
        <v>0</v>
      </c>
      <c r="CZ64" s="311">
        <f>IF($BI64&lt;&gt;"",IF('Capacity summary'!$D$14="Yes",IF(COUNTBLANK('Capacity summary'!$H183:$BG183)&lt;52,IF('Capacity summary'!AW183&lt;&gt;"",IF(LOWER('Capacity summary'!AW183)="x",$BI64*AW64,VALUE('Capacity summary'!AW183)),0),AW64*$BI64),AW64*$BI64),0)</f>
        <v>0</v>
      </c>
      <c r="DA64" s="311">
        <f>IF($BI64&lt;&gt;"",IF('Capacity summary'!$D$14="Yes",IF(COUNTBLANK('Capacity summary'!$H183:$BG183)&lt;52,IF('Capacity summary'!AX183&lt;&gt;"",IF(LOWER('Capacity summary'!AX183)="x",$BI64*AX64,VALUE('Capacity summary'!AX183)),0),AX64*$BI64),AX64*$BI64),0)</f>
        <v>0</v>
      </c>
      <c r="DB64" s="311">
        <f>IF($BI64&lt;&gt;"",IF('Capacity summary'!$D$14="Yes",IF(COUNTBLANK('Capacity summary'!$H183:$BG183)&lt;52,IF('Capacity summary'!AY183&lt;&gt;"",IF(LOWER('Capacity summary'!AY183)="x",$BI64*AY64,VALUE('Capacity summary'!AY183)),0),AY64*$BI64),AY64*$BI64),0)</f>
        <v>0</v>
      </c>
      <c r="DC64" s="311">
        <f>IF($BI64&lt;&gt;"",IF('Capacity summary'!$D$14="Yes",IF(COUNTBLANK('Capacity summary'!$H183:$BG183)&lt;52,IF('Capacity summary'!AZ183&lt;&gt;"",IF(LOWER('Capacity summary'!AZ183)="x",$BI64*AZ64,VALUE('Capacity summary'!AZ183)),0),AZ64*$BI64),AZ64*$BI64),0)</f>
        <v>0</v>
      </c>
      <c r="DD64" s="311">
        <f>IF($BI64&lt;&gt;"",IF('Capacity summary'!$D$14="Yes",IF(COUNTBLANK('Capacity summary'!$H183:$BG183)&lt;52,IF('Capacity summary'!BA183&lt;&gt;"",IF(LOWER('Capacity summary'!BA183)="x",$BI64*BA64,VALUE('Capacity summary'!BA183)),0),BA64*$BI64),BA64*$BI64),0)</f>
        <v>0</v>
      </c>
      <c r="DE64" s="311">
        <f>IF($BI64&lt;&gt;"",IF('Capacity summary'!$D$14="Yes",IF(COUNTBLANK('Capacity summary'!$H183:$BG183)&lt;52,IF('Capacity summary'!BB183&lt;&gt;"",IF(LOWER('Capacity summary'!BB183)="x",$BI64*BB64,VALUE('Capacity summary'!BB183)),0),BB64*$BI64),BB64*$BI64),0)</f>
        <v>0</v>
      </c>
      <c r="DF64" s="311">
        <f>IF($BI64&lt;&gt;"",IF('Capacity summary'!$D$14="Yes",IF(COUNTBLANK('Capacity summary'!$H183:$BG183)&lt;52,IF('Capacity summary'!BC183&lt;&gt;"",IF(LOWER('Capacity summary'!BC183)="x",$BI64*BC64,VALUE('Capacity summary'!BC183)),0),BC64*$BI64),BC64*$BI64),0)</f>
        <v>0</v>
      </c>
      <c r="DG64" s="311">
        <f>IF($BI64&lt;&gt;"",IF('Capacity summary'!$D$14="Yes",IF(COUNTBLANK('Capacity summary'!$H183:$BG183)&lt;52,IF('Capacity summary'!BD183&lt;&gt;"",IF(LOWER('Capacity summary'!BD183)="x",$BI64*BD64,VALUE('Capacity summary'!BD183)),0),BD64*$BI64),BD64*$BI64),0)</f>
        <v>0</v>
      </c>
      <c r="DH64" s="311">
        <f>IF($BI64&lt;&gt;"",IF('Capacity summary'!$D$14="Yes",IF(COUNTBLANK('Capacity summary'!$H183:$BG183)&lt;52,IF('Capacity summary'!BE183&lt;&gt;"",IF(LOWER('Capacity summary'!BE183)="x",$BI64*BE64,VALUE('Capacity summary'!BE183)),0),BE64*$BI64),BE64*$BI64),0)</f>
        <v>0</v>
      </c>
      <c r="DI64" s="311">
        <f>IF($BI64&lt;&gt;"",IF('Capacity summary'!$D$14="Yes",IF(COUNTBLANK('Capacity summary'!$H183:$BG183)&lt;52,IF('Capacity summary'!BF183&lt;&gt;"",IF(LOWER('Capacity summary'!BF183)="x",$BI64*BF64,VALUE('Capacity summary'!BF183)),0),BF64*$BI64),BF64*$BI64),0)</f>
        <v>0</v>
      </c>
      <c r="DJ64" s="311">
        <f>IF($BI64&lt;&gt;"",IF('Capacity summary'!$D$14="Yes",IF(COUNTBLANK('Capacity summary'!$H183:$BG183)&lt;52,IF('Capacity summary'!BG183&lt;&gt;"",IF(LOWER('Capacity summary'!BG183)="x",$BI64*BG64,VALUE('Capacity summary'!BG183)),0),BG64*$BI64),BG64*$BI64),0)</f>
        <v>0</v>
      </c>
      <c r="DK64" s="391">
        <f t="shared" si="2"/>
        <v>0</v>
      </c>
      <c r="DL64" s="136">
        <f t="shared" si="3"/>
        <v>0</v>
      </c>
      <c r="DM64" s="311" t="str">
        <f>Capacity!H76</f>
        <v/>
      </c>
    </row>
    <row r="65" spans="1:117" x14ac:dyDescent="0.2">
      <c r="A65" s="67">
        <f>IF(Capacity!L77='Capacity summary'!BI184,1,0)</f>
        <v>1</v>
      </c>
      <c r="B65" s="67">
        <f>IF(Capacity!V77='Capacity summary'!BI84,1,0)</f>
        <v>1</v>
      </c>
      <c r="C65" s="67" t="str">
        <f>ROW(A61)&amp;". "&amp;Capacity!B77</f>
        <v xml:space="preserve">61. </v>
      </c>
      <c r="D65" s="67">
        <f>'Capacity setup'!C72</f>
        <v>0</v>
      </c>
      <c r="E65" s="67">
        <f>'Capacity setup'!D72</f>
        <v>0</v>
      </c>
      <c r="F65" s="67">
        <f>'Capacity setup'!E72</f>
        <v>0</v>
      </c>
      <c r="H65" s="67">
        <f ca="1">IF(LOWER(Capacity!$L77)="x",IF(AND(SUMIF(Capacity_Resource,$D65,'Critical resources (hide)'!U$6:U$105)+SUMIF(Capacity_Resource,$E65,'Critical resources (hide)'!U$6:U$105)+SUMIF(Capacity_Resource,$F65,'Critical resources (hide)'!U$6:U$105)&gt;0,$E$1=2),0,1),0)</f>
        <v>1</v>
      </c>
      <c r="I65" s="67">
        <f ca="1">IF(LOWER(Capacity!$L77)="x",IF(AND(SUMIF(Capacity_Resource,$D65,'Critical resources (hide)'!V$6:V$105)+SUMIF(Capacity_Resource,$E65,'Critical resources (hide)'!V$6:V$105)+SUMIF(Capacity_Resource,$F65,'Critical resources (hide)'!V$6:V$105)&gt;0,$E$1=2),0,1),0)</f>
        <v>1</v>
      </c>
      <c r="J65" s="67">
        <f ca="1">IF(LOWER(Capacity!$L77)="x",IF(AND(SUMIF(Capacity_Resource,$D65,'Critical resources (hide)'!W$6:W$105)+SUMIF(Capacity_Resource,$E65,'Critical resources (hide)'!W$6:W$105)+SUMIF(Capacity_Resource,$F65,'Critical resources (hide)'!W$6:W$105)&gt;0,$E$1=2),0,1),0)</f>
        <v>1</v>
      </c>
      <c r="K65" s="67">
        <f ca="1">IF(LOWER(Capacity!$L77)="x",IF(AND(SUMIF(Capacity_Resource,$D65,'Critical resources (hide)'!X$6:X$105)+SUMIF(Capacity_Resource,$E65,'Critical resources (hide)'!X$6:X$105)+SUMIF(Capacity_Resource,$F65,'Critical resources (hide)'!X$6:X$105)&gt;0,$E$1=2),0,1),0)</f>
        <v>1</v>
      </c>
      <c r="L65" s="67">
        <f ca="1">IF(LOWER(Capacity!$L77)="x",IF(AND(SUMIF(Capacity_Resource,$D65,'Critical resources (hide)'!Y$6:Y$105)+SUMIF(Capacity_Resource,$E65,'Critical resources (hide)'!Y$6:Y$105)+SUMIF(Capacity_Resource,$F65,'Critical resources (hide)'!Y$6:Y$105)&gt;0,$E$1=2),0,1),0)</f>
        <v>1</v>
      </c>
      <c r="M65" s="67">
        <f ca="1">IF(LOWER(Capacity!$L77)="x",IF(AND(SUMIF(Capacity_Resource,$D65,'Critical resources (hide)'!Z$6:Z$105)+SUMIF(Capacity_Resource,$E65,'Critical resources (hide)'!Z$6:Z$105)+SUMIF(Capacity_Resource,$F65,'Critical resources (hide)'!Z$6:Z$105)&gt;0,$E$1=2),0,1),0)</f>
        <v>1</v>
      </c>
      <c r="N65" s="67">
        <f ca="1">IF(LOWER(Capacity!$L77)="x",IF(AND(SUMIF(Capacity_Resource,$D65,'Critical resources (hide)'!AA$6:AA$105)+SUMIF(Capacity_Resource,$E65,'Critical resources (hide)'!AA$6:AA$105)+SUMIF(Capacity_Resource,$F65,'Critical resources (hide)'!AA$6:AA$105)&gt;0,$E$1=2),0,1),0)</f>
        <v>1</v>
      </c>
      <c r="O65" s="67">
        <f ca="1">IF(LOWER(Capacity!$L77)="x",IF(AND(SUMIF(Capacity_Resource,$D65,'Critical resources (hide)'!AB$6:AB$105)+SUMIF(Capacity_Resource,$E65,'Critical resources (hide)'!AB$6:AB$105)+SUMIF(Capacity_Resource,$F65,'Critical resources (hide)'!AB$6:AB$105)&gt;0,$E$1=2),0,1),0)</f>
        <v>1</v>
      </c>
      <c r="P65" s="67">
        <f ca="1">IF(LOWER(Capacity!$L77)="x",IF(AND(SUMIF(Capacity_Resource,$D65,'Critical resources (hide)'!AC$6:AC$105)+SUMIF(Capacity_Resource,$E65,'Critical resources (hide)'!AC$6:AC$105)+SUMIF(Capacity_Resource,$F65,'Critical resources (hide)'!AC$6:AC$105)&gt;0,$E$1=2),0,1),0)</f>
        <v>1</v>
      </c>
      <c r="Q65" s="67">
        <f ca="1">IF(LOWER(Capacity!$L77)="x",IF(AND(SUMIF(Capacity_Resource,$D65,'Critical resources (hide)'!AD$6:AD$105)+SUMIF(Capacity_Resource,$E65,'Critical resources (hide)'!AD$6:AD$105)+SUMIF(Capacity_Resource,$F65,'Critical resources (hide)'!AD$6:AD$105)&gt;0,$E$1=2),0,1),0)</f>
        <v>1</v>
      </c>
      <c r="R65" s="67">
        <f ca="1">IF(LOWER(Capacity!$L77)="x",IF(AND(SUMIF(Capacity_Resource,$D65,'Critical resources (hide)'!AE$6:AE$105)+SUMIF(Capacity_Resource,$E65,'Critical resources (hide)'!AE$6:AE$105)+SUMIF(Capacity_Resource,$F65,'Critical resources (hide)'!AE$6:AE$105)&gt;0,$E$1=2),0,1),0)</f>
        <v>1</v>
      </c>
      <c r="S65" s="67">
        <f ca="1">IF(LOWER(Capacity!$L77)="x",IF(AND(SUMIF(Capacity_Resource,$D65,'Critical resources (hide)'!AF$6:AF$105)+SUMIF(Capacity_Resource,$E65,'Critical resources (hide)'!AF$6:AF$105)+SUMIF(Capacity_Resource,$F65,'Critical resources (hide)'!AF$6:AF$105)&gt;0,$E$1=2),0,1),0)</f>
        <v>1</v>
      </c>
      <c r="T65" s="67">
        <f ca="1">IF(LOWER(Capacity!$L77)="x",IF(AND(SUMIF(Capacity_Resource,$D65,'Critical resources (hide)'!AG$6:AG$105)+SUMIF(Capacity_Resource,$E65,'Critical resources (hide)'!AG$6:AG$105)+SUMIF(Capacity_Resource,$F65,'Critical resources (hide)'!AG$6:AG$105)&gt;0,$E$1=2),0,1),0)</f>
        <v>1</v>
      </c>
      <c r="U65" s="67">
        <f ca="1">IF(LOWER(Capacity!$L77)="x",IF(AND(SUMIF(Capacity_Resource,$D65,'Critical resources (hide)'!AH$6:AH$105)+SUMIF(Capacity_Resource,$E65,'Critical resources (hide)'!AH$6:AH$105)+SUMIF(Capacity_Resource,$F65,'Critical resources (hide)'!AH$6:AH$105)&gt;0,$E$1=2),0,1),0)</f>
        <v>1</v>
      </c>
      <c r="V65" s="67">
        <f ca="1">IF(LOWER(Capacity!$L77)="x",IF(AND(SUMIF(Capacity_Resource,$D65,'Critical resources (hide)'!AI$6:AI$105)+SUMIF(Capacity_Resource,$E65,'Critical resources (hide)'!AI$6:AI$105)+SUMIF(Capacity_Resource,$F65,'Critical resources (hide)'!AI$6:AI$105)&gt;0,$E$1=2),0,1),0)</f>
        <v>1</v>
      </c>
      <c r="W65" s="67">
        <f ca="1">IF(LOWER(Capacity!$L77)="x",IF(AND(SUMIF(Capacity_Resource,$D65,'Critical resources (hide)'!AJ$6:AJ$105)+SUMIF(Capacity_Resource,$E65,'Critical resources (hide)'!AJ$6:AJ$105)+SUMIF(Capacity_Resource,$F65,'Critical resources (hide)'!AJ$6:AJ$105)&gt;0,$E$1=2),0,1),0)</f>
        <v>1</v>
      </c>
      <c r="X65" s="67">
        <f ca="1">IF(LOWER(Capacity!$L77)="x",IF(AND(SUMIF(Capacity_Resource,$D65,'Critical resources (hide)'!AK$6:AK$105)+SUMIF(Capacity_Resource,$E65,'Critical resources (hide)'!AK$6:AK$105)+SUMIF(Capacity_Resource,$F65,'Critical resources (hide)'!AK$6:AK$105)&gt;0,$E$1=2),0,1),0)</f>
        <v>1</v>
      </c>
      <c r="Y65" s="67">
        <f ca="1">IF(LOWER(Capacity!$L77)="x",IF(AND(SUMIF(Capacity_Resource,$D65,'Critical resources (hide)'!AL$6:AL$105)+SUMIF(Capacity_Resource,$E65,'Critical resources (hide)'!AL$6:AL$105)+SUMIF(Capacity_Resource,$F65,'Critical resources (hide)'!AL$6:AL$105)&gt;0,$E$1=2),0,1),0)</f>
        <v>1</v>
      </c>
      <c r="Z65" s="67">
        <f ca="1">IF(LOWER(Capacity!$L77)="x",IF(AND(SUMIF(Capacity_Resource,$D65,'Critical resources (hide)'!AM$6:AM$105)+SUMIF(Capacity_Resource,$E65,'Critical resources (hide)'!AM$6:AM$105)+SUMIF(Capacity_Resource,$F65,'Critical resources (hide)'!AM$6:AM$105)&gt;0,$E$1=2),0,1),0)</f>
        <v>1</v>
      </c>
      <c r="AA65" s="67">
        <f ca="1">IF(LOWER(Capacity!$L77)="x",IF(AND(SUMIF(Capacity_Resource,$D65,'Critical resources (hide)'!AN$6:AN$105)+SUMIF(Capacity_Resource,$E65,'Critical resources (hide)'!AN$6:AN$105)+SUMIF(Capacity_Resource,$F65,'Critical resources (hide)'!AN$6:AN$105)&gt;0,$E$1=2),0,1),0)</f>
        <v>1</v>
      </c>
      <c r="AB65" s="67">
        <f ca="1">IF(LOWER(Capacity!$L77)="x",IF(AND(SUMIF(Capacity_Resource,$D65,'Critical resources (hide)'!AO$6:AO$105)+SUMIF(Capacity_Resource,$E65,'Critical resources (hide)'!AO$6:AO$105)+SUMIF(Capacity_Resource,$F65,'Critical resources (hide)'!AO$6:AO$105)&gt;0,$E$1=2),0,1),0)</f>
        <v>1</v>
      </c>
      <c r="AC65" s="67">
        <f ca="1">IF(LOWER(Capacity!$L77)="x",IF(AND(SUMIF(Capacity_Resource,$D65,'Critical resources (hide)'!AP$6:AP$105)+SUMIF(Capacity_Resource,$E65,'Critical resources (hide)'!AP$6:AP$105)+SUMIF(Capacity_Resource,$F65,'Critical resources (hide)'!AP$6:AP$105)&gt;0,$E$1=2),0,1),0)</f>
        <v>1</v>
      </c>
      <c r="AD65" s="67">
        <f ca="1">IF(LOWER(Capacity!$L77)="x",IF(AND(SUMIF(Capacity_Resource,$D65,'Critical resources (hide)'!AQ$6:AQ$105)+SUMIF(Capacity_Resource,$E65,'Critical resources (hide)'!AQ$6:AQ$105)+SUMIF(Capacity_Resource,$F65,'Critical resources (hide)'!AQ$6:AQ$105)&gt;0,$E$1=2),0,1),0)</f>
        <v>1</v>
      </c>
      <c r="AE65" s="67">
        <f ca="1">IF(LOWER(Capacity!$L77)="x",IF(AND(SUMIF(Capacity_Resource,$D65,'Critical resources (hide)'!AR$6:AR$105)+SUMIF(Capacity_Resource,$E65,'Critical resources (hide)'!AR$6:AR$105)+SUMIF(Capacity_Resource,$F65,'Critical resources (hide)'!AR$6:AR$105)&gt;0,$E$1=2),0,1),0)</f>
        <v>1</v>
      </c>
      <c r="AF65" s="67">
        <f ca="1">IF(LOWER(Capacity!$L77)="x",IF(AND(SUMIF(Capacity_Resource,$D65,'Critical resources (hide)'!AS$6:AS$105)+SUMIF(Capacity_Resource,$E65,'Critical resources (hide)'!AS$6:AS$105)+SUMIF(Capacity_Resource,$F65,'Critical resources (hide)'!AS$6:AS$105)&gt;0,$E$1=2),0,1),0)</f>
        <v>1</v>
      </c>
      <c r="AG65" s="67">
        <f ca="1">IF(LOWER(Capacity!$L77)="x",IF(AND(SUMIF(Capacity_Resource,$D65,'Critical resources (hide)'!AT$6:AT$105)+SUMIF(Capacity_Resource,$E65,'Critical resources (hide)'!AT$6:AT$105)+SUMIF(Capacity_Resource,$F65,'Critical resources (hide)'!AT$6:AT$105)&gt;0,$E$1=2),0,1),0)</f>
        <v>1</v>
      </c>
      <c r="AH65" s="67">
        <f ca="1">IF(LOWER(Capacity!$L77)="x",IF(AND(SUMIF(Capacity_Resource,$D65,'Critical resources (hide)'!AU$6:AU$105)+SUMIF(Capacity_Resource,$E65,'Critical resources (hide)'!AU$6:AU$105)+SUMIF(Capacity_Resource,$F65,'Critical resources (hide)'!AU$6:AU$105)&gt;0,$E$1=2),0,1),0)</f>
        <v>1</v>
      </c>
      <c r="AI65" s="67">
        <f ca="1">IF(LOWER(Capacity!$L77)="x",IF(AND(SUMIF(Capacity_Resource,$D65,'Critical resources (hide)'!AV$6:AV$105)+SUMIF(Capacity_Resource,$E65,'Critical resources (hide)'!AV$6:AV$105)+SUMIF(Capacity_Resource,$F65,'Critical resources (hide)'!AV$6:AV$105)&gt;0,$E$1=2),0,1),0)</f>
        <v>1</v>
      </c>
      <c r="AJ65" s="67">
        <f ca="1">IF(LOWER(Capacity!$L77)="x",IF(AND(SUMIF(Capacity_Resource,$D65,'Critical resources (hide)'!AW$6:AW$105)+SUMIF(Capacity_Resource,$E65,'Critical resources (hide)'!AW$6:AW$105)+SUMIF(Capacity_Resource,$F65,'Critical resources (hide)'!AW$6:AW$105)&gt;0,$E$1=2),0,1),0)</f>
        <v>1</v>
      </c>
      <c r="AK65" s="67">
        <f ca="1">IF(LOWER(Capacity!$L77)="x",IF(AND(SUMIF(Capacity_Resource,$D65,'Critical resources (hide)'!AX$6:AX$105)+SUMIF(Capacity_Resource,$E65,'Critical resources (hide)'!AX$6:AX$105)+SUMIF(Capacity_Resource,$F65,'Critical resources (hide)'!AX$6:AX$105)&gt;0,$E$1=2),0,1),0)</f>
        <v>1</v>
      </c>
      <c r="AL65" s="67">
        <f ca="1">IF(LOWER(Capacity!$L77)="x",IF(AND(SUMIF(Capacity_Resource,$D65,'Critical resources (hide)'!AY$6:AY$105)+SUMIF(Capacity_Resource,$E65,'Critical resources (hide)'!AY$6:AY$105)+SUMIF(Capacity_Resource,$F65,'Critical resources (hide)'!AY$6:AY$105)&gt;0,$E$1=2),0,1),0)</f>
        <v>1</v>
      </c>
      <c r="AM65" s="67">
        <f ca="1">IF(LOWER(Capacity!$L77)="x",IF(AND(SUMIF(Capacity_Resource,$D65,'Critical resources (hide)'!AZ$6:AZ$105)+SUMIF(Capacity_Resource,$E65,'Critical resources (hide)'!AZ$6:AZ$105)+SUMIF(Capacity_Resource,$F65,'Critical resources (hide)'!AZ$6:AZ$105)&gt;0,$E$1=2),0,1),0)</f>
        <v>1</v>
      </c>
      <c r="AN65" s="67">
        <f ca="1">IF(LOWER(Capacity!$L77)="x",IF(AND(SUMIF(Capacity_Resource,$D65,'Critical resources (hide)'!BA$6:BA$105)+SUMIF(Capacity_Resource,$E65,'Critical resources (hide)'!BA$6:BA$105)+SUMIF(Capacity_Resource,$F65,'Critical resources (hide)'!BA$6:BA$105)&gt;0,$E$1=2),0,1),0)</f>
        <v>1</v>
      </c>
      <c r="AO65" s="67">
        <f ca="1">IF(LOWER(Capacity!$L77)="x",IF(AND(SUMIF(Capacity_Resource,$D65,'Critical resources (hide)'!BB$6:BB$105)+SUMIF(Capacity_Resource,$E65,'Critical resources (hide)'!BB$6:BB$105)+SUMIF(Capacity_Resource,$F65,'Critical resources (hide)'!BB$6:BB$105)&gt;0,$E$1=2),0,1),0)</f>
        <v>1</v>
      </c>
      <c r="AP65" s="67">
        <f ca="1">IF(LOWER(Capacity!$L77)="x",IF(AND(SUMIF(Capacity_Resource,$D65,'Critical resources (hide)'!BC$6:BC$105)+SUMIF(Capacity_Resource,$E65,'Critical resources (hide)'!BC$6:BC$105)+SUMIF(Capacity_Resource,$F65,'Critical resources (hide)'!BC$6:BC$105)&gt;0,$E$1=2),0,1),0)</f>
        <v>1</v>
      </c>
      <c r="AQ65" s="67">
        <f ca="1">IF(LOWER(Capacity!$L77)="x",IF(AND(SUMIF(Capacity_Resource,$D65,'Critical resources (hide)'!BD$6:BD$105)+SUMIF(Capacity_Resource,$E65,'Critical resources (hide)'!BD$6:BD$105)+SUMIF(Capacity_Resource,$F65,'Critical resources (hide)'!BD$6:BD$105)&gt;0,$E$1=2),0,1),0)</f>
        <v>1</v>
      </c>
      <c r="AR65" s="67">
        <f ca="1">IF(LOWER(Capacity!$L77)="x",IF(AND(SUMIF(Capacity_Resource,$D65,'Critical resources (hide)'!BE$6:BE$105)+SUMIF(Capacity_Resource,$E65,'Critical resources (hide)'!BE$6:BE$105)+SUMIF(Capacity_Resource,$F65,'Critical resources (hide)'!BE$6:BE$105)&gt;0,$E$1=2),0,1),0)</f>
        <v>1</v>
      </c>
      <c r="AS65" s="67">
        <f ca="1">IF(LOWER(Capacity!$L77)="x",IF(AND(SUMIF(Capacity_Resource,$D65,'Critical resources (hide)'!BF$6:BF$105)+SUMIF(Capacity_Resource,$E65,'Critical resources (hide)'!BF$6:BF$105)+SUMIF(Capacity_Resource,$F65,'Critical resources (hide)'!BF$6:BF$105)&gt;0,$E$1=2),0,1),0)</f>
        <v>1</v>
      </c>
      <c r="AT65" s="67">
        <f ca="1">IF(LOWER(Capacity!$L77)="x",IF(AND(SUMIF(Capacity_Resource,$D65,'Critical resources (hide)'!BG$6:BG$105)+SUMIF(Capacity_Resource,$E65,'Critical resources (hide)'!BG$6:BG$105)+SUMIF(Capacity_Resource,$F65,'Critical resources (hide)'!BG$6:BG$105)&gt;0,$E$1=2),0,1),0)</f>
        <v>1</v>
      </c>
      <c r="AU65" s="67">
        <f ca="1">IF(LOWER(Capacity!$L77)="x",IF(AND(SUMIF(Capacity_Resource,$D65,'Critical resources (hide)'!BH$6:BH$105)+SUMIF(Capacity_Resource,$E65,'Critical resources (hide)'!BH$6:BH$105)+SUMIF(Capacity_Resource,$F65,'Critical resources (hide)'!BH$6:BH$105)&gt;0,$E$1=2),0,1),0)</f>
        <v>1</v>
      </c>
      <c r="AV65" s="67">
        <f ca="1">IF(LOWER(Capacity!$L77)="x",IF(AND(SUMIF(Capacity_Resource,$D65,'Critical resources (hide)'!BI$6:BI$105)+SUMIF(Capacity_Resource,$E65,'Critical resources (hide)'!BI$6:BI$105)+SUMIF(Capacity_Resource,$F65,'Critical resources (hide)'!BI$6:BI$105)&gt;0,$E$1=2),0,1),0)</f>
        <v>1</v>
      </c>
      <c r="AW65" s="67">
        <f ca="1">IF(LOWER(Capacity!$L77)="x",IF(AND(SUMIF(Capacity_Resource,$D65,'Critical resources (hide)'!BJ$6:BJ$105)+SUMIF(Capacity_Resource,$E65,'Critical resources (hide)'!BJ$6:BJ$105)+SUMIF(Capacity_Resource,$F65,'Critical resources (hide)'!BJ$6:BJ$105)&gt;0,$E$1=2),0,1),0)</f>
        <v>1</v>
      </c>
      <c r="AX65" s="67">
        <f ca="1">IF(LOWER(Capacity!$L77)="x",IF(AND(SUMIF(Capacity_Resource,$D65,'Critical resources (hide)'!BK$6:BK$105)+SUMIF(Capacity_Resource,$E65,'Critical resources (hide)'!BK$6:BK$105)+SUMIF(Capacity_Resource,$F65,'Critical resources (hide)'!BK$6:BK$105)&gt;0,$E$1=2),0,1),0)</f>
        <v>1</v>
      </c>
      <c r="AY65" s="67">
        <f ca="1">IF(LOWER(Capacity!$L77)="x",IF(AND(SUMIF(Capacity_Resource,$D65,'Critical resources (hide)'!BL$6:BL$105)+SUMIF(Capacity_Resource,$E65,'Critical resources (hide)'!BL$6:BL$105)+SUMIF(Capacity_Resource,$F65,'Critical resources (hide)'!BL$6:BL$105)&gt;0,$E$1=2),0,1),0)</f>
        <v>1</v>
      </c>
      <c r="AZ65" s="67">
        <f ca="1">IF(LOWER(Capacity!$L77)="x",IF(AND(SUMIF(Capacity_Resource,$D65,'Critical resources (hide)'!BM$6:BM$105)+SUMIF(Capacity_Resource,$E65,'Critical resources (hide)'!BM$6:BM$105)+SUMIF(Capacity_Resource,$F65,'Critical resources (hide)'!BM$6:BM$105)&gt;0,$E$1=2),0,1),0)</f>
        <v>1</v>
      </c>
      <c r="BA65" s="67">
        <f ca="1">IF(LOWER(Capacity!$L77)="x",IF(AND(SUMIF(Capacity_Resource,$D65,'Critical resources (hide)'!BN$6:BN$105)+SUMIF(Capacity_Resource,$E65,'Critical resources (hide)'!BN$6:BN$105)+SUMIF(Capacity_Resource,$F65,'Critical resources (hide)'!BN$6:BN$105)&gt;0,$E$1=2),0,1),0)</f>
        <v>1</v>
      </c>
      <c r="BB65" s="67">
        <f ca="1">IF(LOWER(Capacity!$L77)="x",IF(AND(SUMIF(Capacity_Resource,$D65,'Critical resources (hide)'!BO$6:BO$105)+SUMIF(Capacity_Resource,$E65,'Critical resources (hide)'!BO$6:BO$105)+SUMIF(Capacity_Resource,$F65,'Critical resources (hide)'!BO$6:BO$105)&gt;0,$E$1=2),0,1),0)</f>
        <v>1</v>
      </c>
      <c r="BC65" s="67">
        <f ca="1">IF(LOWER(Capacity!$L77)="x",IF(AND(SUMIF(Capacity_Resource,$D65,'Critical resources (hide)'!BP$6:BP$105)+SUMIF(Capacity_Resource,$E65,'Critical resources (hide)'!BP$6:BP$105)+SUMIF(Capacity_Resource,$F65,'Critical resources (hide)'!BP$6:BP$105)&gt;0,$E$1=2),0,1),0)</f>
        <v>1</v>
      </c>
      <c r="BD65" s="67">
        <f ca="1">IF(LOWER(Capacity!$L77)="x",IF(AND(SUMIF(Capacity_Resource,$D65,'Critical resources (hide)'!BQ$6:BQ$105)+SUMIF(Capacity_Resource,$E65,'Critical resources (hide)'!BQ$6:BQ$105)+SUMIF(Capacity_Resource,$F65,'Critical resources (hide)'!BQ$6:BQ$105)&gt;0,$E$1=2),0,1),0)</f>
        <v>1</v>
      </c>
      <c r="BE65" s="67">
        <f ca="1">IF(LOWER(Capacity!$L77)="x",IF(AND(SUMIF(Capacity_Resource,$D65,'Critical resources (hide)'!BR$6:BR$105)+SUMIF(Capacity_Resource,$E65,'Critical resources (hide)'!BR$6:BR$105)+SUMIF(Capacity_Resource,$F65,'Critical resources (hide)'!BR$6:BR$105)&gt;0,$E$1=2),0,1),0)</f>
        <v>1</v>
      </c>
      <c r="BF65" s="67">
        <f ca="1">IF(LOWER(Capacity!$L77)="x",IF(AND(SUMIF(Capacity_Resource,$D65,'Critical resources (hide)'!BS$6:BS$105)+SUMIF(Capacity_Resource,$E65,'Critical resources (hide)'!BS$6:BS$105)+SUMIF(Capacity_Resource,$F65,'Critical resources (hide)'!BS$6:BS$105)&gt;0,$E$1=2),0,1),0)</f>
        <v>1</v>
      </c>
      <c r="BG65" s="67">
        <f ca="1">IF(LOWER(Capacity!$L77)="x",IF(AND(SUMIF(Capacity_Resource,$D65,'Critical resources (hide)'!BT$6:BT$105)+SUMIF(Capacity_Resource,$E65,'Critical resources (hide)'!BT$6:BT$105)+SUMIF(Capacity_Resource,$F65,'Critical resources (hide)'!BT$6:BT$105)&gt;0,$E$1=2),0,1),0)</f>
        <v>1</v>
      </c>
      <c r="BH65" s="67">
        <f>IF(ROW(C61)&lt;=Capacity!$A$16,IF('Capacity summary'!$D$14="No",SUM(H65:BG65),'Capacity summary'!$E184),0)</f>
        <v>0</v>
      </c>
      <c r="BI65" s="5" t="str">
        <f>IF(BH65&gt;0,IF(BH65&lt;Capacity!E77,Capacity!F77,Capacity!H77/'Capacity calculation (hide)'!BH65),"")</f>
        <v/>
      </c>
      <c r="BK65" s="311">
        <f>IF($BI65&lt;&gt;"",IF('Capacity summary'!$D$14="Yes",IF(COUNTBLANK('Capacity summary'!$H184:$BG184)&lt;52,IF('Capacity summary'!H184&lt;&gt;"",IF(LOWER('Capacity summary'!H184)="x",$BI65*H65,VALUE('Capacity summary'!H184)),0),H65*$BI65),H65*$BI65),0)</f>
        <v>0</v>
      </c>
      <c r="BL65" s="311">
        <f>IF($BI65&lt;&gt;"",IF('Capacity summary'!$D$14="Yes",IF(COUNTBLANK('Capacity summary'!$H184:$BG184)&lt;52,IF('Capacity summary'!I184&lt;&gt;"",IF(LOWER('Capacity summary'!I184)="x",$BI65*I65,VALUE('Capacity summary'!I184)),0),I65*$BI65),I65*$BI65),0)</f>
        <v>0</v>
      </c>
      <c r="BM65" s="311">
        <f>IF($BI65&lt;&gt;"",IF('Capacity summary'!$D$14="Yes",IF(COUNTBLANK('Capacity summary'!$H184:$BG184)&lt;52,IF('Capacity summary'!J184&lt;&gt;"",IF(LOWER('Capacity summary'!J184)="x",$BI65*J65,VALUE('Capacity summary'!J184)),0),J65*$BI65),J65*$BI65),0)</f>
        <v>0</v>
      </c>
      <c r="BN65" s="311">
        <f>IF($BI65&lt;&gt;"",IF('Capacity summary'!$D$14="Yes",IF(COUNTBLANK('Capacity summary'!$H184:$BG184)&lt;52,IF('Capacity summary'!K184&lt;&gt;"",IF(LOWER('Capacity summary'!K184)="x",$BI65*K65,VALUE('Capacity summary'!K184)),0),K65*$BI65),K65*$BI65),0)</f>
        <v>0</v>
      </c>
      <c r="BO65" s="311">
        <f>IF($BI65&lt;&gt;"",IF('Capacity summary'!$D$14="Yes",IF(COUNTBLANK('Capacity summary'!$H184:$BG184)&lt;52,IF('Capacity summary'!L184&lt;&gt;"",IF(LOWER('Capacity summary'!L184)="x",$BI65*L65,VALUE('Capacity summary'!L184)),0),L65*$BI65),L65*$BI65),0)</f>
        <v>0</v>
      </c>
      <c r="BP65" s="311">
        <f>IF($BI65&lt;&gt;"",IF('Capacity summary'!$D$14="Yes",IF(COUNTBLANK('Capacity summary'!$H184:$BG184)&lt;52,IF('Capacity summary'!M184&lt;&gt;"",IF(LOWER('Capacity summary'!M184)="x",$BI65*M65,VALUE('Capacity summary'!M184)),0),M65*$BI65),M65*$BI65),0)</f>
        <v>0</v>
      </c>
      <c r="BQ65" s="311">
        <f>IF($BI65&lt;&gt;"",IF('Capacity summary'!$D$14="Yes",IF(COUNTBLANK('Capacity summary'!$H184:$BG184)&lt;52,IF('Capacity summary'!N184&lt;&gt;"",IF(LOWER('Capacity summary'!N184)="x",$BI65*N65,VALUE('Capacity summary'!N184)),0),N65*$BI65),N65*$BI65),0)</f>
        <v>0</v>
      </c>
      <c r="BR65" s="311">
        <f>IF($BI65&lt;&gt;"",IF('Capacity summary'!$D$14="Yes",IF(COUNTBLANK('Capacity summary'!$H184:$BG184)&lt;52,IF('Capacity summary'!O184&lt;&gt;"",IF(LOWER('Capacity summary'!O184)="x",$BI65*O65,VALUE('Capacity summary'!O184)),0),O65*$BI65),O65*$BI65),0)</f>
        <v>0</v>
      </c>
      <c r="BS65" s="311">
        <f>IF($BI65&lt;&gt;"",IF('Capacity summary'!$D$14="Yes",IF(COUNTBLANK('Capacity summary'!$H184:$BG184)&lt;52,IF('Capacity summary'!P184&lt;&gt;"",IF(LOWER('Capacity summary'!P184)="x",$BI65*P65,VALUE('Capacity summary'!P184)),0),P65*$BI65),P65*$BI65),0)</f>
        <v>0</v>
      </c>
      <c r="BT65" s="311">
        <f>IF($BI65&lt;&gt;"",IF('Capacity summary'!$D$14="Yes",IF(COUNTBLANK('Capacity summary'!$H184:$BG184)&lt;52,IF('Capacity summary'!Q184&lt;&gt;"",IF(LOWER('Capacity summary'!Q184)="x",$BI65*Q65,VALUE('Capacity summary'!Q184)),0),Q65*$BI65),Q65*$BI65),0)</f>
        <v>0</v>
      </c>
      <c r="BU65" s="311">
        <f>IF($BI65&lt;&gt;"",IF('Capacity summary'!$D$14="Yes",IF(COUNTBLANK('Capacity summary'!$H184:$BG184)&lt;52,IF('Capacity summary'!R184&lt;&gt;"",IF(LOWER('Capacity summary'!R184)="x",$BI65*R65,VALUE('Capacity summary'!R184)),0),R65*$BI65),R65*$BI65),0)</f>
        <v>0</v>
      </c>
      <c r="BV65" s="311">
        <f>IF($BI65&lt;&gt;"",IF('Capacity summary'!$D$14="Yes",IF(COUNTBLANK('Capacity summary'!$H184:$BG184)&lt;52,IF('Capacity summary'!S184&lt;&gt;"",IF(LOWER('Capacity summary'!S184)="x",$BI65*S65,VALUE('Capacity summary'!S184)),0),S65*$BI65),S65*$BI65),0)</f>
        <v>0</v>
      </c>
      <c r="BW65" s="311">
        <f>IF($BI65&lt;&gt;"",IF('Capacity summary'!$D$14="Yes",IF(COUNTBLANK('Capacity summary'!$H184:$BG184)&lt;52,IF('Capacity summary'!T184&lt;&gt;"",IF(LOWER('Capacity summary'!T184)="x",$BI65*T65,VALUE('Capacity summary'!T184)),0),T65*$BI65),T65*$BI65),0)</f>
        <v>0</v>
      </c>
      <c r="BX65" s="311">
        <f>IF($BI65&lt;&gt;"",IF('Capacity summary'!$D$14="Yes",IF(COUNTBLANK('Capacity summary'!$H184:$BG184)&lt;52,IF('Capacity summary'!U184&lt;&gt;"",IF(LOWER('Capacity summary'!U184)="x",$BI65*U65,VALUE('Capacity summary'!U184)),0),U65*$BI65),U65*$BI65),0)</f>
        <v>0</v>
      </c>
      <c r="BY65" s="311">
        <f>IF($BI65&lt;&gt;"",IF('Capacity summary'!$D$14="Yes",IF(COUNTBLANK('Capacity summary'!$H184:$BG184)&lt;52,IF('Capacity summary'!V184&lt;&gt;"",IF(LOWER('Capacity summary'!V184)="x",$BI65*V65,VALUE('Capacity summary'!V184)),0),V65*$BI65),V65*$BI65),0)</f>
        <v>0</v>
      </c>
      <c r="BZ65" s="311">
        <f>IF($BI65&lt;&gt;"",IF('Capacity summary'!$D$14="Yes",IF(COUNTBLANK('Capacity summary'!$H184:$BG184)&lt;52,IF('Capacity summary'!W184&lt;&gt;"",IF(LOWER('Capacity summary'!W184)="x",$BI65*W65,VALUE('Capacity summary'!W184)),0),W65*$BI65),W65*$BI65),0)</f>
        <v>0</v>
      </c>
      <c r="CA65" s="311">
        <f>IF($BI65&lt;&gt;"",IF('Capacity summary'!$D$14="Yes",IF(COUNTBLANK('Capacity summary'!$H184:$BG184)&lt;52,IF('Capacity summary'!X184&lt;&gt;"",IF(LOWER('Capacity summary'!X184)="x",$BI65*X65,VALUE('Capacity summary'!X184)),0),X65*$BI65),X65*$BI65),0)</f>
        <v>0</v>
      </c>
      <c r="CB65" s="311">
        <f>IF($BI65&lt;&gt;"",IF('Capacity summary'!$D$14="Yes",IF(COUNTBLANK('Capacity summary'!$H184:$BG184)&lt;52,IF('Capacity summary'!Y184&lt;&gt;"",IF(LOWER('Capacity summary'!Y184)="x",$BI65*Y65,VALUE('Capacity summary'!Y184)),0),Y65*$BI65),Y65*$BI65),0)</f>
        <v>0</v>
      </c>
      <c r="CC65" s="311">
        <f>IF($BI65&lt;&gt;"",IF('Capacity summary'!$D$14="Yes",IF(COUNTBLANK('Capacity summary'!$H184:$BG184)&lt;52,IF('Capacity summary'!Z184&lt;&gt;"",IF(LOWER('Capacity summary'!Z184)="x",$BI65*Z65,VALUE('Capacity summary'!Z184)),0),Z65*$BI65),Z65*$BI65),0)</f>
        <v>0</v>
      </c>
      <c r="CD65" s="311">
        <f>IF($BI65&lt;&gt;"",IF('Capacity summary'!$D$14="Yes",IF(COUNTBLANK('Capacity summary'!$H184:$BG184)&lt;52,IF('Capacity summary'!AA184&lt;&gt;"",IF(LOWER('Capacity summary'!AA184)="x",$BI65*AA65,VALUE('Capacity summary'!AA184)),0),AA65*$BI65),AA65*$BI65),0)</f>
        <v>0</v>
      </c>
      <c r="CE65" s="311">
        <f>IF($BI65&lt;&gt;"",IF('Capacity summary'!$D$14="Yes",IF(COUNTBLANK('Capacity summary'!$H184:$BG184)&lt;52,IF('Capacity summary'!AB184&lt;&gt;"",IF(LOWER('Capacity summary'!AB184)="x",$BI65*AB65,VALUE('Capacity summary'!AB184)),0),AB65*$BI65),AB65*$BI65),0)</f>
        <v>0</v>
      </c>
      <c r="CF65" s="311">
        <f>IF($BI65&lt;&gt;"",IF('Capacity summary'!$D$14="Yes",IF(COUNTBLANK('Capacity summary'!$H184:$BG184)&lt;52,IF('Capacity summary'!AC184&lt;&gt;"",IF(LOWER('Capacity summary'!AC184)="x",$BI65*AC65,VALUE('Capacity summary'!AC184)),0),AC65*$BI65),AC65*$BI65),0)</f>
        <v>0</v>
      </c>
      <c r="CG65" s="311">
        <f>IF($BI65&lt;&gt;"",IF('Capacity summary'!$D$14="Yes",IF(COUNTBLANK('Capacity summary'!$H184:$BG184)&lt;52,IF('Capacity summary'!AD184&lt;&gt;"",IF(LOWER('Capacity summary'!AD184)="x",$BI65*AD65,VALUE('Capacity summary'!AD184)),0),AD65*$BI65),AD65*$BI65),0)</f>
        <v>0</v>
      </c>
      <c r="CH65" s="311">
        <f>IF($BI65&lt;&gt;"",IF('Capacity summary'!$D$14="Yes",IF(COUNTBLANK('Capacity summary'!$H184:$BG184)&lt;52,IF('Capacity summary'!AE184&lt;&gt;"",IF(LOWER('Capacity summary'!AE184)="x",$BI65*AE65,VALUE('Capacity summary'!AE184)),0),AE65*$BI65),AE65*$BI65),0)</f>
        <v>0</v>
      </c>
      <c r="CI65" s="311">
        <f>IF($BI65&lt;&gt;"",IF('Capacity summary'!$D$14="Yes",IF(COUNTBLANK('Capacity summary'!$H184:$BG184)&lt;52,IF('Capacity summary'!AF184&lt;&gt;"",IF(LOWER('Capacity summary'!AF184)="x",$BI65*AF65,VALUE('Capacity summary'!AF184)),0),AF65*$BI65),AF65*$BI65),0)</f>
        <v>0</v>
      </c>
      <c r="CJ65" s="311">
        <f>IF($BI65&lt;&gt;"",IF('Capacity summary'!$D$14="Yes",IF(COUNTBLANK('Capacity summary'!$H184:$BG184)&lt;52,IF('Capacity summary'!AG184&lt;&gt;"",IF(LOWER('Capacity summary'!AG184)="x",$BI65*AG65,VALUE('Capacity summary'!AG184)),0),AG65*$BI65),AG65*$BI65),0)</f>
        <v>0</v>
      </c>
      <c r="CK65" s="311">
        <f>IF($BI65&lt;&gt;"",IF('Capacity summary'!$D$14="Yes",IF(COUNTBLANK('Capacity summary'!$H184:$BG184)&lt;52,IF('Capacity summary'!AH184&lt;&gt;"",IF(LOWER('Capacity summary'!AH184)="x",$BI65*AH65,VALUE('Capacity summary'!AH184)),0),AH65*$BI65),AH65*$BI65),0)</f>
        <v>0</v>
      </c>
      <c r="CL65" s="311">
        <f>IF($BI65&lt;&gt;"",IF('Capacity summary'!$D$14="Yes",IF(COUNTBLANK('Capacity summary'!$H184:$BG184)&lt;52,IF('Capacity summary'!AI184&lt;&gt;"",IF(LOWER('Capacity summary'!AI184)="x",$BI65*AI65,VALUE('Capacity summary'!AI184)),0),AI65*$BI65),AI65*$BI65),0)</f>
        <v>0</v>
      </c>
      <c r="CM65" s="311">
        <f>IF($BI65&lt;&gt;"",IF('Capacity summary'!$D$14="Yes",IF(COUNTBLANK('Capacity summary'!$H184:$BG184)&lt;52,IF('Capacity summary'!AJ184&lt;&gt;"",IF(LOWER('Capacity summary'!AJ184)="x",$BI65*AJ65,VALUE('Capacity summary'!AJ184)),0),AJ65*$BI65),AJ65*$BI65),0)</f>
        <v>0</v>
      </c>
      <c r="CN65" s="311">
        <f>IF($BI65&lt;&gt;"",IF('Capacity summary'!$D$14="Yes",IF(COUNTBLANK('Capacity summary'!$H184:$BG184)&lt;52,IF('Capacity summary'!AK184&lt;&gt;"",IF(LOWER('Capacity summary'!AK184)="x",$BI65*AK65,VALUE('Capacity summary'!AK184)),0),AK65*$BI65),AK65*$BI65),0)</f>
        <v>0</v>
      </c>
      <c r="CO65" s="311">
        <f>IF($BI65&lt;&gt;"",IF('Capacity summary'!$D$14="Yes",IF(COUNTBLANK('Capacity summary'!$H184:$BG184)&lt;52,IF('Capacity summary'!AL184&lt;&gt;"",IF(LOWER('Capacity summary'!AL184)="x",$BI65*AL65,VALUE('Capacity summary'!AL184)),0),AL65*$BI65),AL65*$BI65),0)</f>
        <v>0</v>
      </c>
      <c r="CP65" s="311">
        <f>IF($BI65&lt;&gt;"",IF('Capacity summary'!$D$14="Yes",IF(COUNTBLANK('Capacity summary'!$H184:$BG184)&lt;52,IF('Capacity summary'!AM184&lt;&gt;"",IF(LOWER('Capacity summary'!AM184)="x",$BI65*AM65,VALUE('Capacity summary'!AM184)),0),AM65*$BI65),AM65*$BI65),0)</f>
        <v>0</v>
      </c>
      <c r="CQ65" s="311">
        <f>IF($BI65&lt;&gt;"",IF('Capacity summary'!$D$14="Yes",IF(COUNTBLANK('Capacity summary'!$H184:$BG184)&lt;52,IF('Capacity summary'!AN184&lt;&gt;"",IF(LOWER('Capacity summary'!AN184)="x",$BI65*AN65,VALUE('Capacity summary'!AN184)),0),AN65*$BI65),AN65*$BI65),0)</f>
        <v>0</v>
      </c>
      <c r="CR65" s="311">
        <f>IF($BI65&lt;&gt;"",IF('Capacity summary'!$D$14="Yes",IF(COUNTBLANK('Capacity summary'!$H184:$BG184)&lt;52,IF('Capacity summary'!AO184&lt;&gt;"",IF(LOWER('Capacity summary'!AO184)="x",$BI65*AO65,VALUE('Capacity summary'!AO184)),0),AO65*$BI65),AO65*$BI65),0)</f>
        <v>0</v>
      </c>
      <c r="CS65" s="311">
        <f>IF($BI65&lt;&gt;"",IF('Capacity summary'!$D$14="Yes",IF(COUNTBLANK('Capacity summary'!$H184:$BG184)&lt;52,IF('Capacity summary'!AP184&lt;&gt;"",IF(LOWER('Capacity summary'!AP184)="x",$BI65*AP65,VALUE('Capacity summary'!AP184)),0),AP65*$BI65),AP65*$BI65),0)</f>
        <v>0</v>
      </c>
      <c r="CT65" s="311">
        <f>IF($BI65&lt;&gt;"",IF('Capacity summary'!$D$14="Yes",IF(COUNTBLANK('Capacity summary'!$H184:$BG184)&lt;52,IF('Capacity summary'!AQ184&lt;&gt;"",IF(LOWER('Capacity summary'!AQ184)="x",$BI65*AQ65,VALUE('Capacity summary'!AQ184)),0),AQ65*$BI65),AQ65*$BI65),0)</f>
        <v>0</v>
      </c>
      <c r="CU65" s="311">
        <f>IF($BI65&lt;&gt;"",IF('Capacity summary'!$D$14="Yes",IF(COUNTBLANK('Capacity summary'!$H184:$BG184)&lt;52,IF('Capacity summary'!AR184&lt;&gt;"",IF(LOWER('Capacity summary'!AR184)="x",$BI65*AR65,VALUE('Capacity summary'!AR184)),0),AR65*$BI65),AR65*$BI65),0)</f>
        <v>0</v>
      </c>
      <c r="CV65" s="311">
        <f>IF($BI65&lt;&gt;"",IF('Capacity summary'!$D$14="Yes",IF(COUNTBLANK('Capacity summary'!$H184:$BG184)&lt;52,IF('Capacity summary'!AS184&lt;&gt;"",IF(LOWER('Capacity summary'!AS184)="x",$BI65*AS65,VALUE('Capacity summary'!AS184)),0),AS65*$BI65),AS65*$BI65),0)</f>
        <v>0</v>
      </c>
      <c r="CW65" s="311">
        <f>IF($BI65&lt;&gt;"",IF('Capacity summary'!$D$14="Yes",IF(COUNTBLANK('Capacity summary'!$H184:$BG184)&lt;52,IF('Capacity summary'!AT184&lt;&gt;"",IF(LOWER('Capacity summary'!AT184)="x",$BI65*AT65,VALUE('Capacity summary'!AT184)),0),AT65*$BI65),AT65*$BI65),0)</f>
        <v>0</v>
      </c>
      <c r="CX65" s="311">
        <f>IF($BI65&lt;&gt;"",IF('Capacity summary'!$D$14="Yes",IF(COUNTBLANK('Capacity summary'!$H184:$BG184)&lt;52,IF('Capacity summary'!AU184&lt;&gt;"",IF(LOWER('Capacity summary'!AU184)="x",$BI65*AU65,VALUE('Capacity summary'!AU184)),0),AU65*$BI65),AU65*$BI65),0)</f>
        <v>0</v>
      </c>
      <c r="CY65" s="311">
        <f>IF($BI65&lt;&gt;"",IF('Capacity summary'!$D$14="Yes",IF(COUNTBLANK('Capacity summary'!$H184:$BG184)&lt;52,IF('Capacity summary'!AV184&lt;&gt;"",IF(LOWER('Capacity summary'!AV184)="x",$BI65*AV65,VALUE('Capacity summary'!AV184)),0),AV65*$BI65),AV65*$BI65),0)</f>
        <v>0</v>
      </c>
      <c r="CZ65" s="311">
        <f>IF($BI65&lt;&gt;"",IF('Capacity summary'!$D$14="Yes",IF(COUNTBLANK('Capacity summary'!$H184:$BG184)&lt;52,IF('Capacity summary'!AW184&lt;&gt;"",IF(LOWER('Capacity summary'!AW184)="x",$BI65*AW65,VALUE('Capacity summary'!AW184)),0),AW65*$BI65),AW65*$BI65),0)</f>
        <v>0</v>
      </c>
      <c r="DA65" s="311">
        <f>IF($BI65&lt;&gt;"",IF('Capacity summary'!$D$14="Yes",IF(COUNTBLANK('Capacity summary'!$H184:$BG184)&lt;52,IF('Capacity summary'!AX184&lt;&gt;"",IF(LOWER('Capacity summary'!AX184)="x",$BI65*AX65,VALUE('Capacity summary'!AX184)),0),AX65*$BI65),AX65*$BI65),0)</f>
        <v>0</v>
      </c>
      <c r="DB65" s="311">
        <f>IF($BI65&lt;&gt;"",IF('Capacity summary'!$D$14="Yes",IF(COUNTBLANK('Capacity summary'!$H184:$BG184)&lt;52,IF('Capacity summary'!AY184&lt;&gt;"",IF(LOWER('Capacity summary'!AY184)="x",$BI65*AY65,VALUE('Capacity summary'!AY184)),0),AY65*$BI65),AY65*$BI65),0)</f>
        <v>0</v>
      </c>
      <c r="DC65" s="311">
        <f>IF($BI65&lt;&gt;"",IF('Capacity summary'!$D$14="Yes",IF(COUNTBLANK('Capacity summary'!$H184:$BG184)&lt;52,IF('Capacity summary'!AZ184&lt;&gt;"",IF(LOWER('Capacity summary'!AZ184)="x",$BI65*AZ65,VALUE('Capacity summary'!AZ184)),0),AZ65*$BI65),AZ65*$BI65),0)</f>
        <v>0</v>
      </c>
      <c r="DD65" s="311">
        <f>IF($BI65&lt;&gt;"",IF('Capacity summary'!$D$14="Yes",IF(COUNTBLANK('Capacity summary'!$H184:$BG184)&lt;52,IF('Capacity summary'!BA184&lt;&gt;"",IF(LOWER('Capacity summary'!BA184)="x",$BI65*BA65,VALUE('Capacity summary'!BA184)),0),BA65*$BI65),BA65*$BI65),0)</f>
        <v>0</v>
      </c>
      <c r="DE65" s="311">
        <f>IF($BI65&lt;&gt;"",IF('Capacity summary'!$D$14="Yes",IF(COUNTBLANK('Capacity summary'!$H184:$BG184)&lt;52,IF('Capacity summary'!BB184&lt;&gt;"",IF(LOWER('Capacity summary'!BB184)="x",$BI65*BB65,VALUE('Capacity summary'!BB184)),0),BB65*$BI65),BB65*$BI65),0)</f>
        <v>0</v>
      </c>
      <c r="DF65" s="311">
        <f>IF($BI65&lt;&gt;"",IF('Capacity summary'!$D$14="Yes",IF(COUNTBLANK('Capacity summary'!$H184:$BG184)&lt;52,IF('Capacity summary'!BC184&lt;&gt;"",IF(LOWER('Capacity summary'!BC184)="x",$BI65*BC65,VALUE('Capacity summary'!BC184)),0),BC65*$BI65),BC65*$BI65),0)</f>
        <v>0</v>
      </c>
      <c r="DG65" s="311">
        <f>IF($BI65&lt;&gt;"",IF('Capacity summary'!$D$14="Yes",IF(COUNTBLANK('Capacity summary'!$H184:$BG184)&lt;52,IF('Capacity summary'!BD184&lt;&gt;"",IF(LOWER('Capacity summary'!BD184)="x",$BI65*BD65,VALUE('Capacity summary'!BD184)),0),BD65*$BI65),BD65*$BI65),0)</f>
        <v>0</v>
      </c>
      <c r="DH65" s="311">
        <f>IF($BI65&lt;&gt;"",IF('Capacity summary'!$D$14="Yes",IF(COUNTBLANK('Capacity summary'!$H184:$BG184)&lt;52,IF('Capacity summary'!BE184&lt;&gt;"",IF(LOWER('Capacity summary'!BE184)="x",$BI65*BE65,VALUE('Capacity summary'!BE184)),0),BE65*$BI65),BE65*$BI65),0)</f>
        <v>0</v>
      </c>
      <c r="DI65" s="311">
        <f>IF($BI65&lt;&gt;"",IF('Capacity summary'!$D$14="Yes",IF(COUNTBLANK('Capacity summary'!$H184:$BG184)&lt;52,IF('Capacity summary'!BF184&lt;&gt;"",IF(LOWER('Capacity summary'!BF184)="x",$BI65*BF65,VALUE('Capacity summary'!BF184)),0),BF65*$BI65),BF65*$BI65),0)</f>
        <v>0</v>
      </c>
      <c r="DJ65" s="311">
        <f>IF($BI65&lt;&gt;"",IF('Capacity summary'!$D$14="Yes",IF(COUNTBLANK('Capacity summary'!$H184:$BG184)&lt;52,IF('Capacity summary'!BG184&lt;&gt;"",IF(LOWER('Capacity summary'!BG184)="x",$BI65*BG65,VALUE('Capacity summary'!BG184)),0),BG65*$BI65),BG65*$BI65),0)</f>
        <v>0</v>
      </c>
      <c r="DK65" s="391">
        <f t="shared" si="2"/>
        <v>0</v>
      </c>
      <c r="DL65" s="136">
        <f t="shared" si="3"/>
        <v>0</v>
      </c>
      <c r="DM65" s="311" t="str">
        <f>Capacity!H77</f>
        <v/>
      </c>
    </row>
    <row r="66" spans="1:117" x14ac:dyDescent="0.2">
      <c r="A66" s="67">
        <f>IF(Capacity!L78='Capacity summary'!BI185,1,0)</f>
        <v>1</v>
      </c>
      <c r="B66" s="67">
        <f>IF(Capacity!V78='Capacity summary'!BI85,1,0)</f>
        <v>1</v>
      </c>
      <c r="C66" s="67" t="str">
        <f>ROW(A62)&amp;". "&amp;Capacity!B78</f>
        <v xml:space="preserve">62. </v>
      </c>
      <c r="D66" s="67">
        <f>'Capacity setup'!C73</f>
        <v>0</v>
      </c>
      <c r="E66" s="67">
        <f>'Capacity setup'!D73</f>
        <v>0</v>
      </c>
      <c r="F66" s="67">
        <f>'Capacity setup'!E73</f>
        <v>0</v>
      </c>
      <c r="H66" s="67">
        <f ca="1">IF(LOWER(Capacity!$L78)="x",IF(AND(SUMIF(Capacity_Resource,$D66,'Critical resources (hide)'!U$6:U$105)+SUMIF(Capacity_Resource,$E66,'Critical resources (hide)'!U$6:U$105)+SUMIF(Capacity_Resource,$F66,'Critical resources (hide)'!U$6:U$105)&gt;0,$E$1=2),0,1),0)</f>
        <v>1</v>
      </c>
      <c r="I66" s="67">
        <f ca="1">IF(LOWER(Capacity!$L78)="x",IF(AND(SUMIF(Capacity_Resource,$D66,'Critical resources (hide)'!V$6:V$105)+SUMIF(Capacity_Resource,$E66,'Critical resources (hide)'!V$6:V$105)+SUMIF(Capacity_Resource,$F66,'Critical resources (hide)'!V$6:V$105)&gt;0,$E$1=2),0,1),0)</f>
        <v>1</v>
      </c>
      <c r="J66" s="67">
        <f ca="1">IF(LOWER(Capacity!$L78)="x",IF(AND(SUMIF(Capacity_Resource,$D66,'Critical resources (hide)'!W$6:W$105)+SUMIF(Capacity_Resource,$E66,'Critical resources (hide)'!W$6:W$105)+SUMIF(Capacity_Resource,$F66,'Critical resources (hide)'!W$6:W$105)&gt;0,$E$1=2),0,1),0)</f>
        <v>1</v>
      </c>
      <c r="K66" s="67">
        <f ca="1">IF(LOWER(Capacity!$L78)="x",IF(AND(SUMIF(Capacity_Resource,$D66,'Critical resources (hide)'!X$6:X$105)+SUMIF(Capacity_Resource,$E66,'Critical resources (hide)'!X$6:X$105)+SUMIF(Capacity_Resource,$F66,'Critical resources (hide)'!X$6:X$105)&gt;0,$E$1=2),0,1),0)</f>
        <v>1</v>
      </c>
      <c r="L66" s="67">
        <f ca="1">IF(LOWER(Capacity!$L78)="x",IF(AND(SUMIF(Capacity_Resource,$D66,'Critical resources (hide)'!Y$6:Y$105)+SUMIF(Capacity_Resource,$E66,'Critical resources (hide)'!Y$6:Y$105)+SUMIF(Capacity_Resource,$F66,'Critical resources (hide)'!Y$6:Y$105)&gt;0,$E$1=2),0,1),0)</f>
        <v>1</v>
      </c>
      <c r="M66" s="67">
        <f ca="1">IF(LOWER(Capacity!$L78)="x",IF(AND(SUMIF(Capacity_Resource,$D66,'Critical resources (hide)'!Z$6:Z$105)+SUMIF(Capacity_Resource,$E66,'Critical resources (hide)'!Z$6:Z$105)+SUMIF(Capacity_Resource,$F66,'Critical resources (hide)'!Z$6:Z$105)&gt;0,$E$1=2),0,1),0)</f>
        <v>1</v>
      </c>
      <c r="N66" s="67">
        <f ca="1">IF(LOWER(Capacity!$L78)="x",IF(AND(SUMIF(Capacity_Resource,$D66,'Critical resources (hide)'!AA$6:AA$105)+SUMIF(Capacity_Resource,$E66,'Critical resources (hide)'!AA$6:AA$105)+SUMIF(Capacity_Resource,$F66,'Critical resources (hide)'!AA$6:AA$105)&gt;0,$E$1=2),0,1),0)</f>
        <v>1</v>
      </c>
      <c r="O66" s="67">
        <f ca="1">IF(LOWER(Capacity!$L78)="x",IF(AND(SUMIF(Capacity_Resource,$D66,'Critical resources (hide)'!AB$6:AB$105)+SUMIF(Capacity_Resource,$E66,'Critical resources (hide)'!AB$6:AB$105)+SUMIF(Capacity_Resource,$F66,'Critical resources (hide)'!AB$6:AB$105)&gt;0,$E$1=2),0,1),0)</f>
        <v>1</v>
      </c>
      <c r="P66" s="67">
        <f ca="1">IF(LOWER(Capacity!$L78)="x",IF(AND(SUMIF(Capacity_Resource,$D66,'Critical resources (hide)'!AC$6:AC$105)+SUMIF(Capacity_Resource,$E66,'Critical resources (hide)'!AC$6:AC$105)+SUMIF(Capacity_Resource,$F66,'Critical resources (hide)'!AC$6:AC$105)&gt;0,$E$1=2),0,1),0)</f>
        <v>1</v>
      </c>
      <c r="Q66" s="67">
        <f ca="1">IF(LOWER(Capacity!$L78)="x",IF(AND(SUMIF(Capacity_Resource,$D66,'Critical resources (hide)'!AD$6:AD$105)+SUMIF(Capacity_Resource,$E66,'Critical resources (hide)'!AD$6:AD$105)+SUMIF(Capacity_Resource,$F66,'Critical resources (hide)'!AD$6:AD$105)&gt;0,$E$1=2),0,1),0)</f>
        <v>1</v>
      </c>
      <c r="R66" s="67">
        <f ca="1">IF(LOWER(Capacity!$L78)="x",IF(AND(SUMIF(Capacity_Resource,$D66,'Critical resources (hide)'!AE$6:AE$105)+SUMIF(Capacity_Resource,$E66,'Critical resources (hide)'!AE$6:AE$105)+SUMIF(Capacity_Resource,$F66,'Critical resources (hide)'!AE$6:AE$105)&gt;0,$E$1=2),0,1),0)</f>
        <v>1</v>
      </c>
      <c r="S66" s="67">
        <f ca="1">IF(LOWER(Capacity!$L78)="x",IF(AND(SUMIF(Capacity_Resource,$D66,'Critical resources (hide)'!AF$6:AF$105)+SUMIF(Capacity_Resource,$E66,'Critical resources (hide)'!AF$6:AF$105)+SUMIF(Capacity_Resource,$F66,'Critical resources (hide)'!AF$6:AF$105)&gt;0,$E$1=2),0,1),0)</f>
        <v>1</v>
      </c>
      <c r="T66" s="67">
        <f ca="1">IF(LOWER(Capacity!$L78)="x",IF(AND(SUMIF(Capacity_Resource,$D66,'Critical resources (hide)'!AG$6:AG$105)+SUMIF(Capacity_Resource,$E66,'Critical resources (hide)'!AG$6:AG$105)+SUMIF(Capacity_Resource,$F66,'Critical resources (hide)'!AG$6:AG$105)&gt;0,$E$1=2),0,1),0)</f>
        <v>1</v>
      </c>
      <c r="U66" s="67">
        <f ca="1">IF(LOWER(Capacity!$L78)="x",IF(AND(SUMIF(Capacity_Resource,$D66,'Critical resources (hide)'!AH$6:AH$105)+SUMIF(Capacity_Resource,$E66,'Critical resources (hide)'!AH$6:AH$105)+SUMIF(Capacity_Resource,$F66,'Critical resources (hide)'!AH$6:AH$105)&gt;0,$E$1=2),0,1),0)</f>
        <v>1</v>
      </c>
      <c r="V66" s="67">
        <f ca="1">IF(LOWER(Capacity!$L78)="x",IF(AND(SUMIF(Capacity_Resource,$D66,'Critical resources (hide)'!AI$6:AI$105)+SUMIF(Capacity_Resource,$E66,'Critical resources (hide)'!AI$6:AI$105)+SUMIF(Capacity_Resource,$F66,'Critical resources (hide)'!AI$6:AI$105)&gt;0,$E$1=2),0,1),0)</f>
        <v>1</v>
      </c>
      <c r="W66" s="67">
        <f ca="1">IF(LOWER(Capacity!$L78)="x",IF(AND(SUMIF(Capacity_Resource,$D66,'Critical resources (hide)'!AJ$6:AJ$105)+SUMIF(Capacity_Resource,$E66,'Critical resources (hide)'!AJ$6:AJ$105)+SUMIF(Capacity_Resource,$F66,'Critical resources (hide)'!AJ$6:AJ$105)&gt;0,$E$1=2),0,1),0)</f>
        <v>1</v>
      </c>
      <c r="X66" s="67">
        <f ca="1">IF(LOWER(Capacity!$L78)="x",IF(AND(SUMIF(Capacity_Resource,$D66,'Critical resources (hide)'!AK$6:AK$105)+SUMIF(Capacity_Resource,$E66,'Critical resources (hide)'!AK$6:AK$105)+SUMIF(Capacity_Resource,$F66,'Critical resources (hide)'!AK$6:AK$105)&gt;0,$E$1=2),0,1),0)</f>
        <v>1</v>
      </c>
      <c r="Y66" s="67">
        <f ca="1">IF(LOWER(Capacity!$L78)="x",IF(AND(SUMIF(Capacity_Resource,$D66,'Critical resources (hide)'!AL$6:AL$105)+SUMIF(Capacity_Resource,$E66,'Critical resources (hide)'!AL$6:AL$105)+SUMIF(Capacity_Resource,$F66,'Critical resources (hide)'!AL$6:AL$105)&gt;0,$E$1=2),0,1),0)</f>
        <v>1</v>
      </c>
      <c r="Z66" s="67">
        <f ca="1">IF(LOWER(Capacity!$L78)="x",IF(AND(SUMIF(Capacity_Resource,$D66,'Critical resources (hide)'!AM$6:AM$105)+SUMIF(Capacity_Resource,$E66,'Critical resources (hide)'!AM$6:AM$105)+SUMIF(Capacity_Resource,$F66,'Critical resources (hide)'!AM$6:AM$105)&gt;0,$E$1=2),0,1),0)</f>
        <v>1</v>
      </c>
      <c r="AA66" s="67">
        <f ca="1">IF(LOWER(Capacity!$L78)="x",IF(AND(SUMIF(Capacity_Resource,$D66,'Critical resources (hide)'!AN$6:AN$105)+SUMIF(Capacity_Resource,$E66,'Critical resources (hide)'!AN$6:AN$105)+SUMIF(Capacity_Resource,$F66,'Critical resources (hide)'!AN$6:AN$105)&gt;0,$E$1=2),0,1),0)</f>
        <v>1</v>
      </c>
      <c r="AB66" s="67">
        <f ca="1">IF(LOWER(Capacity!$L78)="x",IF(AND(SUMIF(Capacity_Resource,$D66,'Critical resources (hide)'!AO$6:AO$105)+SUMIF(Capacity_Resource,$E66,'Critical resources (hide)'!AO$6:AO$105)+SUMIF(Capacity_Resource,$F66,'Critical resources (hide)'!AO$6:AO$105)&gt;0,$E$1=2),0,1),0)</f>
        <v>1</v>
      </c>
      <c r="AC66" s="67">
        <f ca="1">IF(LOWER(Capacity!$L78)="x",IF(AND(SUMIF(Capacity_Resource,$D66,'Critical resources (hide)'!AP$6:AP$105)+SUMIF(Capacity_Resource,$E66,'Critical resources (hide)'!AP$6:AP$105)+SUMIF(Capacity_Resource,$F66,'Critical resources (hide)'!AP$6:AP$105)&gt;0,$E$1=2),0,1),0)</f>
        <v>1</v>
      </c>
      <c r="AD66" s="67">
        <f ca="1">IF(LOWER(Capacity!$L78)="x",IF(AND(SUMIF(Capacity_Resource,$D66,'Critical resources (hide)'!AQ$6:AQ$105)+SUMIF(Capacity_Resource,$E66,'Critical resources (hide)'!AQ$6:AQ$105)+SUMIF(Capacity_Resource,$F66,'Critical resources (hide)'!AQ$6:AQ$105)&gt;0,$E$1=2),0,1),0)</f>
        <v>1</v>
      </c>
      <c r="AE66" s="67">
        <f ca="1">IF(LOWER(Capacity!$L78)="x",IF(AND(SUMIF(Capacity_Resource,$D66,'Critical resources (hide)'!AR$6:AR$105)+SUMIF(Capacity_Resource,$E66,'Critical resources (hide)'!AR$6:AR$105)+SUMIF(Capacity_Resource,$F66,'Critical resources (hide)'!AR$6:AR$105)&gt;0,$E$1=2),0,1),0)</f>
        <v>1</v>
      </c>
      <c r="AF66" s="67">
        <f ca="1">IF(LOWER(Capacity!$L78)="x",IF(AND(SUMIF(Capacity_Resource,$D66,'Critical resources (hide)'!AS$6:AS$105)+SUMIF(Capacity_Resource,$E66,'Critical resources (hide)'!AS$6:AS$105)+SUMIF(Capacity_Resource,$F66,'Critical resources (hide)'!AS$6:AS$105)&gt;0,$E$1=2),0,1),0)</f>
        <v>1</v>
      </c>
      <c r="AG66" s="67">
        <f ca="1">IF(LOWER(Capacity!$L78)="x",IF(AND(SUMIF(Capacity_Resource,$D66,'Critical resources (hide)'!AT$6:AT$105)+SUMIF(Capacity_Resource,$E66,'Critical resources (hide)'!AT$6:AT$105)+SUMIF(Capacity_Resource,$F66,'Critical resources (hide)'!AT$6:AT$105)&gt;0,$E$1=2),0,1),0)</f>
        <v>1</v>
      </c>
      <c r="AH66" s="67">
        <f ca="1">IF(LOWER(Capacity!$L78)="x",IF(AND(SUMIF(Capacity_Resource,$D66,'Critical resources (hide)'!AU$6:AU$105)+SUMIF(Capacity_Resource,$E66,'Critical resources (hide)'!AU$6:AU$105)+SUMIF(Capacity_Resource,$F66,'Critical resources (hide)'!AU$6:AU$105)&gt;0,$E$1=2),0,1),0)</f>
        <v>1</v>
      </c>
      <c r="AI66" s="67">
        <f ca="1">IF(LOWER(Capacity!$L78)="x",IF(AND(SUMIF(Capacity_Resource,$D66,'Critical resources (hide)'!AV$6:AV$105)+SUMIF(Capacity_Resource,$E66,'Critical resources (hide)'!AV$6:AV$105)+SUMIF(Capacity_Resource,$F66,'Critical resources (hide)'!AV$6:AV$105)&gt;0,$E$1=2),0,1),0)</f>
        <v>1</v>
      </c>
      <c r="AJ66" s="67">
        <f ca="1">IF(LOWER(Capacity!$L78)="x",IF(AND(SUMIF(Capacity_Resource,$D66,'Critical resources (hide)'!AW$6:AW$105)+SUMIF(Capacity_Resource,$E66,'Critical resources (hide)'!AW$6:AW$105)+SUMIF(Capacity_Resource,$F66,'Critical resources (hide)'!AW$6:AW$105)&gt;0,$E$1=2),0,1),0)</f>
        <v>1</v>
      </c>
      <c r="AK66" s="67">
        <f ca="1">IF(LOWER(Capacity!$L78)="x",IF(AND(SUMIF(Capacity_Resource,$D66,'Critical resources (hide)'!AX$6:AX$105)+SUMIF(Capacity_Resource,$E66,'Critical resources (hide)'!AX$6:AX$105)+SUMIF(Capacity_Resource,$F66,'Critical resources (hide)'!AX$6:AX$105)&gt;0,$E$1=2),0,1),0)</f>
        <v>1</v>
      </c>
      <c r="AL66" s="67">
        <f ca="1">IF(LOWER(Capacity!$L78)="x",IF(AND(SUMIF(Capacity_Resource,$D66,'Critical resources (hide)'!AY$6:AY$105)+SUMIF(Capacity_Resource,$E66,'Critical resources (hide)'!AY$6:AY$105)+SUMIF(Capacity_Resource,$F66,'Critical resources (hide)'!AY$6:AY$105)&gt;0,$E$1=2),0,1),0)</f>
        <v>1</v>
      </c>
      <c r="AM66" s="67">
        <f ca="1">IF(LOWER(Capacity!$L78)="x",IF(AND(SUMIF(Capacity_Resource,$D66,'Critical resources (hide)'!AZ$6:AZ$105)+SUMIF(Capacity_Resource,$E66,'Critical resources (hide)'!AZ$6:AZ$105)+SUMIF(Capacity_Resource,$F66,'Critical resources (hide)'!AZ$6:AZ$105)&gt;0,$E$1=2),0,1),0)</f>
        <v>1</v>
      </c>
      <c r="AN66" s="67">
        <f ca="1">IF(LOWER(Capacity!$L78)="x",IF(AND(SUMIF(Capacity_Resource,$D66,'Critical resources (hide)'!BA$6:BA$105)+SUMIF(Capacity_Resource,$E66,'Critical resources (hide)'!BA$6:BA$105)+SUMIF(Capacity_Resource,$F66,'Critical resources (hide)'!BA$6:BA$105)&gt;0,$E$1=2),0,1),0)</f>
        <v>1</v>
      </c>
      <c r="AO66" s="67">
        <f ca="1">IF(LOWER(Capacity!$L78)="x",IF(AND(SUMIF(Capacity_Resource,$D66,'Critical resources (hide)'!BB$6:BB$105)+SUMIF(Capacity_Resource,$E66,'Critical resources (hide)'!BB$6:BB$105)+SUMIF(Capacity_Resource,$F66,'Critical resources (hide)'!BB$6:BB$105)&gt;0,$E$1=2),0,1),0)</f>
        <v>1</v>
      </c>
      <c r="AP66" s="67">
        <f ca="1">IF(LOWER(Capacity!$L78)="x",IF(AND(SUMIF(Capacity_Resource,$D66,'Critical resources (hide)'!BC$6:BC$105)+SUMIF(Capacity_Resource,$E66,'Critical resources (hide)'!BC$6:BC$105)+SUMIF(Capacity_Resource,$F66,'Critical resources (hide)'!BC$6:BC$105)&gt;0,$E$1=2),0,1),0)</f>
        <v>1</v>
      </c>
      <c r="AQ66" s="67">
        <f ca="1">IF(LOWER(Capacity!$L78)="x",IF(AND(SUMIF(Capacity_Resource,$D66,'Critical resources (hide)'!BD$6:BD$105)+SUMIF(Capacity_Resource,$E66,'Critical resources (hide)'!BD$6:BD$105)+SUMIF(Capacity_Resource,$F66,'Critical resources (hide)'!BD$6:BD$105)&gt;0,$E$1=2),0,1),0)</f>
        <v>1</v>
      </c>
      <c r="AR66" s="67">
        <f ca="1">IF(LOWER(Capacity!$L78)="x",IF(AND(SUMIF(Capacity_Resource,$D66,'Critical resources (hide)'!BE$6:BE$105)+SUMIF(Capacity_Resource,$E66,'Critical resources (hide)'!BE$6:BE$105)+SUMIF(Capacity_Resource,$F66,'Critical resources (hide)'!BE$6:BE$105)&gt;0,$E$1=2),0,1),0)</f>
        <v>1</v>
      </c>
      <c r="AS66" s="67">
        <f ca="1">IF(LOWER(Capacity!$L78)="x",IF(AND(SUMIF(Capacity_Resource,$D66,'Critical resources (hide)'!BF$6:BF$105)+SUMIF(Capacity_Resource,$E66,'Critical resources (hide)'!BF$6:BF$105)+SUMIF(Capacity_Resource,$F66,'Critical resources (hide)'!BF$6:BF$105)&gt;0,$E$1=2),0,1),0)</f>
        <v>1</v>
      </c>
      <c r="AT66" s="67">
        <f ca="1">IF(LOWER(Capacity!$L78)="x",IF(AND(SUMIF(Capacity_Resource,$D66,'Critical resources (hide)'!BG$6:BG$105)+SUMIF(Capacity_Resource,$E66,'Critical resources (hide)'!BG$6:BG$105)+SUMIF(Capacity_Resource,$F66,'Critical resources (hide)'!BG$6:BG$105)&gt;0,$E$1=2),0,1),0)</f>
        <v>1</v>
      </c>
      <c r="AU66" s="67">
        <f ca="1">IF(LOWER(Capacity!$L78)="x",IF(AND(SUMIF(Capacity_Resource,$D66,'Critical resources (hide)'!BH$6:BH$105)+SUMIF(Capacity_Resource,$E66,'Critical resources (hide)'!BH$6:BH$105)+SUMIF(Capacity_Resource,$F66,'Critical resources (hide)'!BH$6:BH$105)&gt;0,$E$1=2),0,1),0)</f>
        <v>1</v>
      </c>
      <c r="AV66" s="67">
        <f ca="1">IF(LOWER(Capacity!$L78)="x",IF(AND(SUMIF(Capacity_Resource,$D66,'Critical resources (hide)'!BI$6:BI$105)+SUMIF(Capacity_Resource,$E66,'Critical resources (hide)'!BI$6:BI$105)+SUMIF(Capacity_Resource,$F66,'Critical resources (hide)'!BI$6:BI$105)&gt;0,$E$1=2),0,1),0)</f>
        <v>1</v>
      </c>
      <c r="AW66" s="67">
        <f ca="1">IF(LOWER(Capacity!$L78)="x",IF(AND(SUMIF(Capacity_Resource,$D66,'Critical resources (hide)'!BJ$6:BJ$105)+SUMIF(Capacity_Resource,$E66,'Critical resources (hide)'!BJ$6:BJ$105)+SUMIF(Capacity_Resource,$F66,'Critical resources (hide)'!BJ$6:BJ$105)&gt;0,$E$1=2),0,1),0)</f>
        <v>1</v>
      </c>
      <c r="AX66" s="67">
        <f ca="1">IF(LOWER(Capacity!$L78)="x",IF(AND(SUMIF(Capacity_Resource,$D66,'Critical resources (hide)'!BK$6:BK$105)+SUMIF(Capacity_Resource,$E66,'Critical resources (hide)'!BK$6:BK$105)+SUMIF(Capacity_Resource,$F66,'Critical resources (hide)'!BK$6:BK$105)&gt;0,$E$1=2),0,1),0)</f>
        <v>1</v>
      </c>
      <c r="AY66" s="67">
        <f ca="1">IF(LOWER(Capacity!$L78)="x",IF(AND(SUMIF(Capacity_Resource,$D66,'Critical resources (hide)'!BL$6:BL$105)+SUMIF(Capacity_Resource,$E66,'Critical resources (hide)'!BL$6:BL$105)+SUMIF(Capacity_Resource,$F66,'Critical resources (hide)'!BL$6:BL$105)&gt;0,$E$1=2),0,1),0)</f>
        <v>1</v>
      </c>
      <c r="AZ66" s="67">
        <f ca="1">IF(LOWER(Capacity!$L78)="x",IF(AND(SUMIF(Capacity_Resource,$D66,'Critical resources (hide)'!BM$6:BM$105)+SUMIF(Capacity_Resource,$E66,'Critical resources (hide)'!BM$6:BM$105)+SUMIF(Capacity_Resource,$F66,'Critical resources (hide)'!BM$6:BM$105)&gt;0,$E$1=2),0,1),0)</f>
        <v>1</v>
      </c>
      <c r="BA66" s="67">
        <f ca="1">IF(LOWER(Capacity!$L78)="x",IF(AND(SUMIF(Capacity_Resource,$D66,'Critical resources (hide)'!BN$6:BN$105)+SUMIF(Capacity_Resource,$E66,'Critical resources (hide)'!BN$6:BN$105)+SUMIF(Capacity_Resource,$F66,'Critical resources (hide)'!BN$6:BN$105)&gt;0,$E$1=2),0,1),0)</f>
        <v>1</v>
      </c>
      <c r="BB66" s="67">
        <f ca="1">IF(LOWER(Capacity!$L78)="x",IF(AND(SUMIF(Capacity_Resource,$D66,'Critical resources (hide)'!BO$6:BO$105)+SUMIF(Capacity_Resource,$E66,'Critical resources (hide)'!BO$6:BO$105)+SUMIF(Capacity_Resource,$F66,'Critical resources (hide)'!BO$6:BO$105)&gt;0,$E$1=2),0,1),0)</f>
        <v>1</v>
      </c>
      <c r="BC66" s="67">
        <f ca="1">IF(LOWER(Capacity!$L78)="x",IF(AND(SUMIF(Capacity_Resource,$D66,'Critical resources (hide)'!BP$6:BP$105)+SUMIF(Capacity_Resource,$E66,'Critical resources (hide)'!BP$6:BP$105)+SUMIF(Capacity_Resource,$F66,'Critical resources (hide)'!BP$6:BP$105)&gt;0,$E$1=2),0,1),0)</f>
        <v>1</v>
      </c>
      <c r="BD66" s="67">
        <f ca="1">IF(LOWER(Capacity!$L78)="x",IF(AND(SUMIF(Capacity_Resource,$D66,'Critical resources (hide)'!BQ$6:BQ$105)+SUMIF(Capacity_Resource,$E66,'Critical resources (hide)'!BQ$6:BQ$105)+SUMIF(Capacity_Resource,$F66,'Critical resources (hide)'!BQ$6:BQ$105)&gt;0,$E$1=2),0,1),0)</f>
        <v>1</v>
      </c>
      <c r="BE66" s="67">
        <f ca="1">IF(LOWER(Capacity!$L78)="x",IF(AND(SUMIF(Capacity_Resource,$D66,'Critical resources (hide)'!BR$6:BR$105)+SUMIF(Capacity_Resource,$E66,'Critical resources (hide)'!BR$6:BR$105)+SUMIF(Capacity_Resource,$F66,'Critical resources (hide)'!BR$6:BR$105)&gt;0,$E$1=2),0,1),0)</f>
        <v>1</v>
      </c>
      <c r="BF66" s="67">
        <f ca="1">IF(LOWER(Capacity!$L78)="x",IF(AND(SUMIF(Capacity_Resource,$D66,'Critical resources (hide)'!BS$6:BS$105)+SUMIF(Capacity_Resource,$E66,'Critical resources (hide)'!BS$6:BS$105)+SUMIF(Capacity_Resource,$F66,'Critical resources (hide)'!BS$6:BS$105)&gt;0,$E$1=2),0,1),0)</f>
        <v>1</v>
      </c>
      <c r="BG66" s="67">
        <f ca="1">IF(LOWER(Capacity!$L78)="x",IF(AND(SUMIF(Capacity_Resource,$D66,'Critical resources (hide)'!BT$6:BT$105)+SUMIF(Capacity_Resource,$E66,'Critical resources (hide)'!BT$6:BT$105)+SUMIF(Capacity_Resource,$F66,'Critical resources (hide)'!BT$6:BT$105)&gt;0,$E$1=2),0,1),0)</f>
        <v>1</v>
      </c>
      <c r="BH66" s="67">
        <f>IF(ROW(C62)&lt;=Capacity!$A$16,IF('Capacity summary'!$D$14="No",SUM(H66:BG66),'Capacity summary'!$E185),0)</f>
        <v>0</v>
      </c>
      <c r="BI66" s="5" t="str">
        <f>IF(BH66&gt;0,IF(BH66&lt;Capacity!E78,Capacity!F78,Capacity!H78/'Capacity calculation (hide)'!BH66),"")</f>
        <v/>
      </c>
      <c r="BK66" s="311">
        <f>IF($BI66&lt;&gt;"",IF('Capacity summary'!$D$14="Yes",IF(COUNTBLANK('Capacity summary'!$H185:$BG185)&lt;52,IF('Capacity summary'!H185&lt;&gt;"",IF(LOWER('Capacity summary'!H185)="x",$BI66*H66,VALUE('Capacity summary'!H185)),0),H66*$BI66),H66*$BI66),0)</f>
        <v>0</v>
      </c>
      <c r="BL66" s="311">
        <f>IF($BI66&lt;&gt;"",IF('Capacity summary'!$D$14="Yes",IF(COUNTBLANK('Capacity summary'!$H185:$BG185)&lt;52,IF('Capacity summary'!I185&lt;&gt;"",IF(LOWER('Capacity summary'!I185)="x",$BI66*I66,VALUE('Capacity summary'!I185)),0),I66*$BI66),I66*$BI66),0)</f>
        <v>0</v>
      </c>
      <c r="BM66" s="311">
        <f>IF($BI66&lt;&gt;"",IF('Capacity summary'!$D$14="Yes",IF(COUNTBLANK('Capacity summary'!$H185:$BG185)&lt;52,IF('Capacity summary'!J185&lt;&gt;"",IF(LOWER('Capacity summary'!J185)="x",$BI66*J66,VALUE('Capacity summary'!J185)),0),J66*$BI66),J66*$BI66),0)</f>
        <v>0</v>
      </c>
      <c r="BN66" s="311">
        <f>IF($BI66&lt;&gt;"",IF('Capacity summary'!$D$14="Yes",IF(COUNTBLANK('Capacity summary'!$H185:$BG185)&lt;52,IF('Capacity summary'!K185&lt;&gt;"",IF(LOWER('Capacity summary'!K185)="x",$BI66*K66,VALUE('Capacity summary'!K185)),0),K66*$BI66),K66*$BI66),0)</f>
        <v>0</v>
      </c>
      <c r="BO66" s="311">
        <f>IF($BI66&lt;&gt;"",IF('Capacity summary'!$D$14="Yes",IF(COUNTBLANK('Capacity summary'!$H185:$BG185)&lt;52,IF('Capacity summary'!L185&lt;&gt;"",IF(LOWER('Capacity summary'!L185)="x",$BI66*L66,VALUE('Capacity summary'!L185)),0),L66*$BI66),L66*$BI66),0)</f>
        <v>0</v>
      </c>
      <c r="BP66" s="311">
        <f>IF($BI66&lt;&gt;"",IF('Capacity summary'!$D$14="Yes",IF(COUNTBLANK('Capacity summary'!$H185:$BG185)&lt;52,IF('Capacity summary'!M185&lt;&gt;"",IF(LOWER('Capacity summary'!M185)="x",$BI66*M66,VALUE('Capacity summary'!M185)),0),M66*$BI66),M66*$BI66),0)</f>
        <v>0</v>
      </c>
      <c r="BQ66" s="311">
        <f>IF($BI66&lt;&gt;"",IF('Capacity summary'!$D$14="Yes",IF(COUNTBLANK('Capacity summary'!$H185:$BG185)&lt;52,IF('Capacity summary'!N185&lt;&gt;"",IF(LOWER('Capacity summary'!N185)="x",$BI66*N66,VALUE('Capacity summary'!N185)),0),N66*$BI66),N66*$BI66),0)</f>
        <v>0</v>
      </c>
      <c r="BR66" s="311">
        <f>IF($BI66&lt;&gt;"",IF('Capacity summary'!$D$14="Yes",IF(COUNTBLANK('Capacity summary'!$H185:$BG185)&lt;52,IF('Capacity summary'!O185&lt;&gt;"",IF(LOWER('Capacity summary'!O185)="x",$BI66*O66,VALUE('Capacity summary'!O185)),0),O66*$BI66),O66*$BI66),0)</f>
        <v>0</v>
      </c>
      <c r="BS66" s="311">
        <f>IF($BI66&lt;&gt;"",IF('Capacity summary'!$D$14="Yes",IF(COUNTBLANK('Capacity summary'!$H185:$BG185)&lt;52,IF('Capacity summary'!P185&lt;&gt;"",IF(LOWER('Capacity summary'!P185)="x",$BI66*P66,VALUE('Capacity summary'!P185)),0),P66*$BI66),P66*$BI66),0)</f>
        <v>0</v>
      </c>
      <c r="BT66" s="311">
        <f>IF($BI66&lt;&gt;"",IF('Capacity summary'!$D$14="Yes",IF(COUNTBLANK('Capacity summary'!$H185:$BG185)&lt;52,IF('Capacity summary'!Q185&lt;&gt;"",IF(LOWER('Capacity summary'!Q185)="x",$BI66*Q66,VALUE('Capacity summary'!Q185)),0),Q66*$BI66),Q66*$BI66),0)</f>
        <v>0</v>
      </c>
      <c r="BU66" s="311">
        <f>IF($BI66&lt;&gt;"",IF('Capacity summary'!$D$14="Yes",IF(COUNTBLANK('Capacity summary'!$H185:$BG185)&lt;52,IF('Capacity summary'!R185&lt;&gt;"",IF(LOWER('Capacity summary'!R185)="x",$BI66*R66,VALUE('Capacity summary'!R185)),0),R66*$BI66),R66*$BI66),0)</f>
        <v>0</v>
      </c>
      <c r="BV66" s="311">
        <f>IF($BI66&lt;&gt;"",IF('Capacity summary'!$D$14="Yes",IF(COUNTBLANK('Capacity summary'!$H185:$BG185)&lt;52,IF('Capacity summary'!S185&lt;&gt;"",IF(LOWER('Capacity summary'!S185)="x",$BI66*S66,VALUE('Capacity summary'!S185)),0),S66*$BI66),S66*$BI66),0)</f>
        <v>0</v>
      </c>
      <c r="BW66" s="311">
        <f>IF($BI66&lt;&gt;"",IF('Capacity summary'!$D$14="Yes",IF(COUNTBLANK('Capacity summary'!$H185:$BG185)&lt;52,IF('Capacity summary'!T185&lt;&gt;"",IF(LOWER('Capacity summary'!T185)="x",$BI66*T66,VALUE('Capacity summary'!T185)),0),T66*$BI66),T66*$BI66),0)</f>
        <v>0</v>
      </c>
      <c r="BX66" s="311">
        <f>IF($BI66&lt;&gt;"",IF('Capacity summary'!$D$14="Yes",IF(COUNTBLANK('Capacity summary'!$H185:$BG185)&lt;52,IF('Capacity summary'!U185&lt;&gt;"",IF(LOWER('Capacity summary'!U185)="x",$BI66*U66,VALUE('Capacity summary'!U185)),0),U66*$BI66),U66*$BI66),0)</f>
        <v>0</v>
      </c>
      <c r="BY66" s="311">
        <f>IF($BI66&lt;&gt;"",IF('Capacity summary'!$D$14="Yes",IF(COUNTBLANK('Capacity summary'!$H185:$BG185)&lt;52,IF('Capacity summary'!V185&lt;&gt;"",IF(LOWER('Capacity summary'!V185)="x",$BI66*V66,VALUE('Capacity summary'!V185)),0),V66*$BI66),V66*$BI66),0)</f>
        <v>0</v>
      </c>
      <c r="BZ66" s="311">
        <f>IF($BI66&lt;&gt;"",IF('Capacity summary'!$D$14="Yes",IF(COUNTBLANK('Capacity summary'!$H185:$BG185)&lt;52,IF('Capacity summary'!W185&lt;&gt;"",IF(LOWER('Capacity summary'!W185)="x",$BI66*W66,VALUE('Capacity summary'!W185)),0),W66*$BI66),W66*$BI66),0)</f>
        <v>0</v>
      </c>
      <c r="CA66" s="311">
        <f>IF($BI66&lt;&gt;"",IF('Capacity summary'!$D$14="Yes",IF(COUNTBLANK('Capacity summary'!$H185:$BG185)&lt;52,IF('Capacity summary'!X185&lt;&gt;"",IF(LOWER('Capacity summary'!X185)="x",$BI66*X66,VALUE('Capacity summary'!X185)),0),X66*$BI66),X66*$BI66),0)</f>
        <v>0</v>
      </c>
      <c r="CB66" s="311">
        <f>IF($BI66&lt;&gt;"",IF('Capacity summary'!$D$14="Yes",IF(COUNTBLANK('Capacity summary'!$H185:$BG185)&lt;52,IF('Capacity summary'!Y185&lt;&gt;"",IF(LOWER('Capacity summary'!Y185)="x",$BI66*Y66,VALUE('Capacity summary'!Y185)),0),Y66*$BI66),Y66*$BI66),0)</f>
        <v>0</v>
      </c>
      <c r="CC66" s="311">
        <f>IF($BI66&lt;&gt;"",IF('Capacity summary'!$D$14="Yes",IF(COUNTBLANK('Capacity summary'!$H185:$BG185)&lt;52,IF('Capacity summary'!Z185&lt;&gt;"",IF(LOWER('Capacity summary'!Z185)="x",$BI66*Z66,VALUE('Capacity summary'!Z185)),0),Z66*$BI66),Z66*$BI66),0)</f>
        <v>0</v>
      </c>
      <c r="CD66" s="311">
        <f>IF($BI66&lt;&gt;"",IF('Capacity summary'!$D$14="Yes",IF(COUNTBLANK('Capacity summary'!$H185:$BG185)&lt;52,IF('Capacity summary'!AA185&lt;&gt;"",IF(LOWER('Capacity summary'!AA185)="x",$BI66*AA66,VALUE('Capacity summary'!AA185)),0),AA66*$BI66),AA66*$BI66),0)</f>
        <v>0</v>
      </c>
      <c r="CE66" s="311">
        <f>IF($BI66&lt;&gt;"",IF('Capacity summary'!$D$14="Yes",IF(COUNTBLANK('Capacity summary'!$H185:$BG185)&lt;52,IF('Capacity summary'!AB185&lt;&gt;"",IF(LOWER('Capacity summary'!AB185)="x",$BI66*AB66,VALUE('Capacity summary'!AB185)),0),AB66*$BI66),AB66*$BI66),0)</f>
        <v>0</v>
      </c>
      <c r="CF66" s="311">
        <f>IF($BI66&lt;&gt;"",IF('Capacity summary'!$D$14="Yes",IF(COUNTBLANK('Capacity summary'!$H185:$BG185)&lt;52,IF('Capacity summary'!AC185&lt;&gt;"",IF(LOWER('Capacity summary'!AC185)="x",$BI66*AC66,VALUE('Capacity summary'!AC185)),0),AC66*$BI66),AC66*$BI66),0)</f>
        <v>0</v>
      </c>
      <c r="CG66" s="311">
        <f>IF($BI66&lt;&gt;"",IF('Capacity summary'!$D$14="Yes",IF(COUNTBLANK('Capacity summary'!$H185:$BG185)&lt;52,IF('Capacity summary'!AD185&lt;&gt;"",IF(LOWER('Capacity summary'!AD185)="x",$BI66*AD66,VALUE('Capacity summary'!AD185)),0),AD66*$BI66),AD66*$BI66),0)</f>
        <v>0</v>
      </c>
      <c r="CH66" s="311">
        <f>IF($BI66&lt;&gt;"",IF('Capacity summary'!$D$14="Yes",IF(COUNTBLANK('Capacity summary'!$H185:$BG185)&lt;52,IF('Capacity summary'!AE185&lt;&gt;"",IF(LOWER('Capacity summary'!AE185)="x",$BI66*AE66,VALUE('Capacity summary'!AE185)),0),AE66*$BI66),AE66*$BI66),0)</f>
        <v>0</v>
      </c>
      <c r="CI66" s="311">
        <f>IF($BI66&lt;&gt;"",IF('Capacity summary'!$D$14="Yes",IF(COUNTBLANK('Capacity summary'!$H185:$BG185)&lt;52,IF('Capacity summary'!AF185&lt;&gt;"",IF(LOWER('Capacity summary'!AF185)="x",$BI66*AF66,VALUE('Capacity summary'!AF185)),0),AF66*$BI66),AF66*$BI66),0)</f>
        <v>0</v>
      </c>
      <c r="CJ66" s="311">
        <f>IF($BI66&lt;&gt;"",IF('Capacity summary'!$D$14="Yes",IF(COUNTBLANK('Capacity summary'!$H185:$BG185)&lt;52,IF('Capacity summary'!AG185&lt;&gt;"",IF(LOWER('Capacity summary'!AG185)="x",$BI66*AG66,VALUE('Capacity summary'!AG185)),0),AG66*$BI66),AG66*$BI66),0)</f>
        <v>0</v>
      </c>
      <c r="CK66" s="311">
        <f>IF($BI66&lt;&gt;"",IF('Capacity summary'!$D$14="Yes",IF(COUNTBLANK('Capacity summary'!$H185:$BG185)&lt;52,IF('Capacity summary'!AH185&lt;&gt;"",IF(LOWER('Capacity summary'!AH185)="x",$BI66*AH66,VALUE('Capacity summary'!AH185)),0),AH66*$BI66),AH66*$BI66),0)</f>
        <v>0</v>
      </c>
      <c r="CL66" s="311">
        <f>IF($BI66&lt;&gt;"",IF('Capacity summary'!$D$14="Yes",IF(COUNTBLANK('Capacity summary'!$H185:$BG185)&lt;52,IF('Capacity summary'!AI185&lt;&gt;"",IF(LOWER('Capacity summary'!AI185)="x",$BI66*AI66,VALUE('Capacity summary'!AI185)),0),AI66*$BI66),AI66*$BI66),0)</f>
        <v>0</v>
      </c>
      <c r="CM66" s="311">
        <f>IF($BI66&lt;&gt;"",IF('Capacity summary'!$D$14="Yes",IF(COUNTBLANK('Capacity summary'!$H185:$BG185)&lt;52,IF('Capacity summary'!AJ185&lt;&gt;"",IF(LOWER('Capacity summary'!AJ185)="x",$BI66*AJ66,VALUE('Capacity summary'!AJ185)),0),AJ66*$BI66),AJ66*$BI66),0)</f>
        <v>0</v>
      </c>
      <c r="CN66" s="311">
        <f>IF($BI66&lt;&gt;"",IF('Capacity summary'!$D$14="Yes",IF(COUNTBLANK('Capacity summary'!$H185:$BG185)&lt;52,IF('Capacity summary'!AK185&lt;&gt;"",IF(LOWER('Capacity summary'!AK185)="x",$BI66*AK66,VALUE('Capacity summary'!AK185)),0),AK66*$BI66),AK66*$BI66),0)</f>
        <v>0</v>
      </c>
      <c r="CO66" s="311">
        <f>IF($BI66&lt;&gt;"",IF('Capacity summary'!$D$14="Yes",IF(COUNTBLANK('Capacity summary'!$H185:$BG185)&lt;52,IF('Capacity summary'!AL185&lt;&gt;"",IF(LOWER('Capacity summary'!AL185)="x",$BI66*AL66,VALUE('Capacity summary'!AL185)),0),AL66*$BI66),AL66*$BI66),0)</f>
        <v>0</v>
      </c>
      <c r="CP66" s="311">
        <f>IF($BI66&lt;&gt;"",IF('Capacity summary'!$D$14="Yes",IF(COUNTBLANK('Capacity summary'!$H185:$BG185)&lt;52,IF('Capacity summary'!AM185&lt;&gt;"",IF(LOWER('Capacity summary'!AM185)="x",$BI66*AM66,VALUE('Capacity summary'!AM185)),0),AM66*$BI66),AM66*$BI66),0)</f>
        <v>0</v>
      </c>
      <c r="CQ66" s="311">
        <f>IF($BI66&lt;&gt;"",IF('Capacity summary'!$D$14="Yes",IF(COUNTBLANK('Capacity summary'!$H185:$BG185)&lt;52,IF('Capacity summary'!AN185&lt;&gt;"",IF(LOWER('Capacity summary'!AN185)="x",$BI66*AN66,VALUE('Capacity summary'!AN185)),0),AN66*$BI66),AN66*$BI66),0)</f>
        <v>0</v>
      </c>
      <c r="CR66" s="311">
        <f>IF($BI66&lt;&gt;"",IF('Capacity summary'!$D$14="Yes",IF(COUNTBLANK('Capacity summary'!$H185:$BG185)&lt;52,IF('Capacity summary'!AO185&lt;&gt;"",IF(LOWER('Capacity summary'!AO185)="x",$BI66*AO66,VALUE('Capacity summary'!AO185)),0),AO66*$BI66),AO66*$BI66),0)</f>
        <v>0</v>
      </c>
      <c r="CS66" s="311">
        <f>IF($BI66&lt;&gt;"",IF('Capacity summary'!$D$14="Yes",IF(COUNTBLANK('Capacity summary'!$H185:$BG185)&lt;52,IF('Capacity summary'!AP185&lt;&gt;"",IF(LOWER('Capacity summary'!AP185)="x",$BI66*AP66,VALUE('Capacity summary'!AP185)),0),AP66*$BI66),AP66*$BI66),0)</f>
        <v>0</v>
      </c>
      <c r="CT66" s="311">
        <f>IF($BI66&lt;&gt;"",IF('Capacity summary'!$D$14="Yes",IF(COUNTBLANK('Capacity summary'!$H185:$BG185)&lt;52,IF('Capacity summary'!AQ185&lt;&gt;"",IF(LOWER('Capacity summary'!AQ185)="x",$BI66*AQ66,VALUE('Capacity summary'!AQ185)),0),AQ66*$BI66),AQ66*$BI66),0)</f>
        <v>0</v>
      </c>
      <c r="CU66" s="311">
        <f>IF($BI66&lt;&gt;"",IF('Capacity summary'!$D$14="Yes",IF(COUNTBLANK('Capacity summary'!$H185:$BG185)&lt;52,IF('Capacity summary'!AR185&lt;&gt;"",IF(LOWER('Capacity summary'!AR185)="x",$BI66*AR66,VALUE('Capacity summary'!AR185)),0),AR66*$BI66),AR66*$BI66),0)</f>
        <v>0</v>
      </c>
      <c r="CV66" s="311">
        <f>IF($BI66&lt;&gt;"",IF('Capacity summary'!$D$14="Yes",IF(COUNTBLANK('Capacity summary'!$H185:$BG185)&lt;52,IF('Capacity summary'!AS185&lt;&gt;"",IF(LOWER('Capacity summary'!AS185)="x",$BI66*AS66,VALUE('Capacity summary'!AS185)),0),AS66*$BI66),AS66*$BI66),0)</f>
        <v>0</v>
      </c>
      <c r="CW66" s="311">
        <f>IF($BI66&lt;&gt;"",IF('Capacity summary'!$D$14="Yes",IF(COUNTBLANK('Capacity summary'!$H185:$BG185)&lt;52,IF('Capacity summary'!AT185&lt;&gt;"",IF(LOWER('Capacity summary'!AT185)="x",$BI66*AT66,VALUE('Capacity summary'!AT185)),0),AT66*$BI66),AT66*$BI66),0)</f>
        <v>0</v>
      </c>
      <c r="CX66" s="311">
        <f>IF($BI66&lt;&gt;"",IF('Capacity summary'!$D$14="Yes",IF(COUNTBLANK('Capacity summary'!$H185:$BG185)&lt;52,IF('Capacity summary'!AU185&lt;&gt;"",IF(LOWER('Capacity summary'!AU185)="x",$BI66*AU66,VALUE('Capacity summary'!AU185)),0),AU66*$BI66),AU66*$BI66),0)</f>
        <v>0</v>
      </c>
      <c r="CY66" s="311">
        <f>IF($BI66&lt;&gt;"",IF('Capacity summary'!$D$14="Yes",IF(COUNTBLANK('Capacity summary'!$H185:$BG185)&lt;52,IF('Capacity summary'!AV185&lt;&gt;"",IF(LOWER('Capacity summary'!AV185)="x",$BI66*AV66,VALUE('Capacity summary'!AV185)),0),AV66*$BI66),AV66*$BI66),0)</f>
        <v>0</v>
      </c>
      <c r="CZ66" s="311">
        <f>IF($BI66&lt;&gt;"",IF('Capacity summary'!$D$14="Yes",IF(COUNTBLANK('Capacity summary'!$H185:$BG185)&lt;52,IF('Capacity summary'!AW185&lt;&gt;"",IF(LOWER('Capacity summary'!AW185)="x",$BI66*AW66,VALUE('Capacity summary'!AW185)),0),AW66*$BI66),AW66*$BI66),0)</f>
        <v>0</v>
      </c>
      <c r="DA66" s="311">
        <f>IF($BI66&lt;&gt;"",IF('Capacity summary'!$D$14="Yes",IF(COUNTBLANK('Capacity summary'!$H185:$BG185)&lt;52,IF('Capacity summary'!AX185&lt;&gt;"",IF(LOWER('Capacity summary'!AX185)="x",$BI66*AX66,VALUE('Capacity summary'!AX185)),0),AX66*$BI66),AX66*$BI66),0)</f>
        <v>0</v>
      </c>
      <c r="DB66" s="311">
        <f>IF($BI66&lt;&gt;"",IF('Capacity summary'!$D$14="Yes",IF(COUNTBLANK('Capacity summary'!$H185:$BG185)&lt;52,IF('Capacity summary'!AY185&lt;&gt;"",IF(LOWER('Capacity summary'!AY185)="x",$BI66*AY66,VALUE('Capacity summary'!AY185)),0),AY66*$BI66),AY66*$BI66),0)</f>
        <v>0</v>
      </c>
      <c r="DC66" s="311">
        <f>IF($BI66&lt;&gt;"",IF('Capacity summary'!$D$14="Yes",IF(COUNTBLANK('Capacity summary'!$H185:$BG185)&lt;52,IF('Capacity summary'!AZ185&lt;&gt;"",IF(LOWER('Capacity summary'!AZ185)="x",$BI66*AZ66,VALUE('Capacity summary'!AZ185)),0),AZ66*$BI66),AZ66*$BI66),0)</f>
        <v>0</v>
      </c>
      <c r="DD66" s="311">
        <f>IF($BI66&lt;&gt;"",IF('Capacity summary'!$D$14="Yes",IF(COUNTBLANK('Capacity summary'!$H185:$BG185)&lt;52,IF('Capacity summary'!BA185&lt;&gt;"",IF(LOWER('Capacity summary'!BA185)="x",$BI66*BA66,VALUE('Capacity summary'!BA185)),0),BA66*$BI66),BA66*$BI66),0)</f>
        <v>0</v>
      </c>
      <c r="DE66" s="311">
        <f>IF($BI66&lt;&gt;"",IF('Capacity summary'!$D$14="Yes",IF(COUNTBLANK('Capacity summary'!$H185:$BG185)&lt;52,IF('Capacity summary'!BB185&lt;&gt;"",IF(LOWER('Capacity summary'!BB185)="x",$BI66*BB66,VALUE('Capacity summary'!BB185)),0),BB66*$BI66),BB66*$BI66),0)</f>
        <v>0</v>
      </c>
      <c r="DF66" s="311">
        <f>IF($BI66&lt;&gt;"",IF('Capacity summary'!$D$14="Yes",IF(COUNTBLANK('Capacity summary'!$H185:$BG185)&lt;52,IF('Capacity summary'!BC185&lt;&gt;"",IF(LOWER('Capacity summary'!BC185)="x",$BI66*BC66,VALUE('Capacity summary'!BC185)),0),BC66*$BI66),BC66*$BI66),0)</f>
        <v>0</v>
      </c>
      <c r="DG66" s="311">
        <f>IF($BI66&lt;&gt;"",IF('Capacity summary'!$D$14="Yes",IF(COUNTBLANK('Capacity summary'!$H185:$BG185)&lt;52,IF('Capacity summary'!BD185&lt;&gt;"",IF(LOWER('Capacity summary'!BD185)="x",$BI66*BD66,VALUE('Capacity summary'!BD185)),0),BD66*$BI66),BD66*$BI66),0)</f>
        <v>0</v>
      </c>
      <c r="DH66" s="311">
        <f>IF($BI66&lt;&gt;"",IF('Capacity summary'!$D$14="Yes",IF(COUNTBLANK('Capacity summary'!$H185:$BG185)&lt;52,IF('Capacity summary'!BE185&lt;&gt;"",IF(LOWER('Capacity summary'!BE185)="x",$BI66*BE66,VALUE('Capacity summary'!BE185)),0),BE66*$BI66),BE66*$BI66),0)</f>
        <v>0</v>
      </c>
      <c r="DI66" s="311">
        <f>IF($BI66&lt;&gt;"",IF('Capacity summary'!$D$14="Yes",IF(COUNTBLANK('Capacity summary'!$H185:$BG185)&lt;52,IF('Capacity summary'!BF185&lt;&gt;"",IF(LOWER('Capacity summary'!BF185)="x",$BI66*BF66,VALUE('Capacity summary'!BF185)),0),BF66*$BI66),BF66*$BI66),0)</f>
        <v>0</v>
      </c>
      <c r="DJ66" s="311">
        <f>IF($BI66&lt;&gt;"",IF('Capacity summary'!$D$14="Yes",IF(COUNTBLANK('Capacity summary'!$H185:$BG185)&lt;52,IF('Capacity summary'!BG185&lt;&gt;"",IF(LOWER('Capacity summary'!BG185)="x",$BI66*BG66,VALUE('Capacity summary'!BG185)),0),BG66*$BI66),BG66*$BI66),0)</f>
        <v>0</v>
      </c>
      <c r="DK66" s="391">
        <f t="shared" si="2"/>
        <v>0</v>
      </c>
      <c r="DL66" s="136">
        <f t="shared" si="3"/>
        <v>0</v>
      </c>
      <c r="DM66" s="311" t="str">
        <f>Capacity!H78</f>
        <v/>
      </c>
    </row>
    <row r="67" spans="1:117" x14ac:dyDescent="0.2">
      <c r="A67" s="67">
        <f>IF(Capacity!L79='Capacity summary'!BI186,1,0)</f>
        <v>1</v>
      </c>
      <c r="B67" s="67">
        <f>IF(Capacity!V79='Capacity summary'!BI86,1,0)</f>
        <v>1</v>
      </c>
      <c r="C67" s="67" t="str">
        <f>ROW(A63)&amp;". "&amp;Capacity!B79</f>
        <v xml:space="preserve">63. </v>
      </c>
      <c r="D67" s="67">
        <f>'Capacity setup'!C74</f>
        <v>0</v>
      </c>
      <c r="E67" s="67">
        <f>'Capacity setup'!D74</f>
        <v>0</v>
      </c>
      <c r="F67" s="67">
        <f>'Capacity setup'!E74</f>
        <v>0</v>
      </c>
      <c r="H67" s="67">
        <f ca="1">IF(LOWER(Capacity!$L79)="x",IF(AND(SUMIF(Capacity_Resource,$D67,'Critical resources (hide)'!U$6:U$105)+SUMIF(Capacity_Resource,$E67,'Critical resources (hide)'!U$6:U$105)+SUMIF(Capacity_Resource,$F67,'Critical resources (hide)'!U$6:U$105)&gt;0,$E$1=2),0,1),0)</f>
        <v>1</v>
      </c>
      <c r="I67" s="67">
        <f ca="1">IF(LOWER(Capacity!$L79)="x",IF(AND(SUMIF(Capacity_Resource,$D67,'Critical resources (hide)'!V$6:V$105)+SUMIF(Capacity_Resource,$E67,'Critical resources (hide)'!V$6:V$105)+SUMIF(Capacity_Resource,$F67,'Critical resources (hide)'!V$6:V$105)&gt;0,$E$1=2),0,1),0)</f>
        <v>1</v>
      </c>
      <c r="J67" s="67">
        <f ca="1">IF(LOWER(Capacity!$L79)="x",IF(AND(SUMIF(Capacity_Resource,$D67,'Critical resources (hide)'!W$6:W$105)+SUMIF(Capacity_Resource,$E67,'Critical resources (hide)'!W$6:W$105)+SUMIF(Capacity_Resource,$F67,'Critical resources (hide)'!W$6:W$105)&gt;0,$E$1=2),0,1),0)</f>
        <v>1</v>
      </c>
      <c r="K67" s="67">
        <f ca="1">IF(LOWER(Capacity!$L79)="x",IF(AND(SUMIF(Capacity_Resource,$D67,'Critical resources (hide)'!X$6:X$105)+SUMIF(Capacity_Resource,$E67,'Critical resources (hide)'!X$6:X$105)+SUMIF(Capacity_Resource,$F67,'Critical resources (hide)'!X$6:X$105)&gt;0,$E$1=2),0,1),0)</f>
        <v>1</v>
      </c>
      <c r="L67" s="67">
        <f ca="1">IF(LOWER(Capacity!$L79)="x",IF(AND(SUMIF(Capacity_Resource,$D67,'Critical resources (hide)'!Y$6:Y$105)+SUMIF(Capacity_Resource,$E67,'Critical resources (hide)'!Y$6:Y$105)+SUMIF(Capacity_Resource,$F67,'Critical resources (hide)'!Y$6:Y$105)&gt;0,$E$1=2),0,1),0)</f>
        <v>1</v>
      </c>
      <c r="M67" s="67">
        <f ca="1">IF(LOWER(Capacity!$L79)="x",IF(AND(SUMIF(Capacity_Resource,$D67,'Critical resources (hide)'!Z$6:Z$105)+SUMIF(Capacity_Resource,$E67,'Critical resources (hide)'!Z$6:Z$105)+SUMIF(Capacity_Resource,$F67,'Critical resources (hide)'!Z$6:Z$105)&gt;0,$E$1=2),0,1),0)</f>
        <v>1</v>
      </c>
      <c r="N67" s="67">
        <f ca="1">IF(LOWER(Capacity!$L79)="x",IF(AND(SUMIF(Capacity_Resource,$D67,'Critical resources (hide)'!AA$6:AA$105)+SUMIF(Capacity_Resource,$E67,'Critical resources (hide)'!AA$6:AA$105)+SUMIF(Capacity_Resource,$F67,'Critical resources (hide)'!AA$6:AA$105)&gt;0,$E$1=2),0,1),0)</f>
        <v>1</v>
      </c>
      <c r="O67" s="67">
        <f ca="1">IF(LOWER(Capacity!$L79)="x",IF(AND(SUMIF(Capacity_Resource,$D67,'Critical resources (hide)'!AB$6:AB$105)+SUMIF(Capacity_Resource,$E67,'Critical resources (hide)'!AB$6:AB$105)+SUMIF(Capacity_Resource,$F67,'Critical resources (hide)'!AB$6:AB$105)&gt;0,$E$1=2),0,1),0)</f>
        <v>1</v>
      </c>
      <c r="P67" s="67">
        <f ca="1">IF(LOWER(Capacity!$L79)="x",IF(AND(SUMIF(Capacity_Resource,$D67,'Critical resources (hide)'!AC$6:AC$105)+SUMIF(Capacity_Resource,$E67,'Critical resources (hide)'!AC$6:AC$105)+SUMIF(Capacity_Resource,$F67,'Critical resources (hide)'!AC$6:AC$105)&gt;0,$E$1=2),0,1),0)</f>
        <v>1</v>
      </c>
      <c r="Q67" s="67">
        <f ca="1">IF(LOWER(Capacity!$L79)="x",IF(AND(SUMIF(Capacity_Resource,$D67,'Critical resources (hide)'!AD$6:AD$105)+SUMIF(Capacity_Resource,$E67,'Critical resources (hide)'!AD$6:AD$105)+SUMIF(Capacity_Resource,$F67,'Critical resources (hide)'!AD$6:AD$105)&gt;0,$E$1=2),0,1),0)</f>
        <v>1</v>
      </c>
      <c r="R67" s="67">
        <f ca="1">IF(LOWER(Capacity!$L79)="x",IF(AND(SUMIF(Capacity_Resource,$D67,'Critical resources (hide)'!AE$6:AE$105)+SUMIF(Capacity_Resource,$E67,'Critical resources (hide)'!AE$6:AE$105)+SUMIF(Capacity_Resource,$F67,'Critical resources (hide)'!AE$6:AE$105)&gt;0,$E$1=2),0,1),0)</f>
        <v>1</v>
      </c>
      <c r="S67" s="67">
        <f ca="1">IF(LOWER(Capacity!$L79)="x",IF(AND(SUMIF(Capacity_Resource,$D67,'Critical resources (hide)'!AF$6:AF$105)+SUMIF(Capacity_Resource,$E67,'Critical resources (hide)'!AF$6:AF$105)+SUMIF(Capacity_Resource,$F67,'Critical resources (hide)'!AF$6:AF$105)&gt;0,$E$1=2),0,1),0)</f>
        <v>1</v>
      </c>
      <c r="T67" s="67">
        <f ca="1">IF(LOWER(Capacity!$L79)="x",IF(AND(SUMIF(Capacity_Resource,$D67,'Critical resources (hide)'!AG$6:AG$105)+SUMIF(Capacity_Resource,$E67,'Critical resources (hide)'!AG$6:AG$105)+SUMIF(Capacity_Resource,$F67,'Critical resources (hide)'!AG$6:AG$105)&gt;0,$E$1=2),0,1),0)</f>
        <v>1</v>
      </c>
      <c r="U67" s="67">
        <f ca="1">IF(LOWER(Capacity!$L79)="x",IF(AND(SUMIF(Capacity_Resource,$D67,'Critical resources (hide)'!AH$6:AH$105)+SUMIF(Capacity_Resource,$E67,'Critical resources (hide)'!AH$6:AH$105)+SUMIF(Capacity_Resource,$F67,'Critical resources (hide)'!AH$6:AH$105)&gt;0,$E$1=2),0,1),0)</f>
        <v>1</v>
      </c>
      <c r="V67" s="67">
        <f ca="1">IF(LOWER(Capacity!$L79)="x",IF(AND(SUMIF(Capacity_Resource,$D67,'Critical resources (hide)'!AI$6:AI$105)+SUMIF(Capacity_Resource,$E67,'Critical resources (hide)'!AI$6:AI$105)+SUMIF(Capacity_Resource,$F67,'Critical resources (hide)'!AI$6:AI$105)&gt;0,$E$1=2),0,1),0)</f>
        <v>1</v>
      </c>
      <c r="W67" s="67">
        <f ca="1">IF(LOWER(Capacity!$L79)="x",IF(AND(SUMIF(Capacity_Resource,$D67,'Critical resources (hide)'!AJ$6:AJ$105)+SUMIF(Capacity_Resource,$E67,'Critical resources (hide)'!AJ$6:AJ$105)+SUMIF(Capacity_Resource,$F67,'Critical resources (hide)'!AJ$6:AJ$105)&gt;0,$E$1=2),0,1),0)</f>
        <v>1</v>
      </c>
      <c r="X67" s="67">
        <f ca="1">IF(LOWER(Capacity!$L79)="x",IF(AND(SUMIF(Capacity_Resource,$D67,'Critical resources (hide)'!AK$6:AK$105)+SUMIF(Capacity_Resource,$E67,'Critical resources (hide)'!AK$6:AK$105)+SUMIF(Capacity_Resource,$F67,'Critical resources (hide)'!AK$6:AK$105)&gt;0,$E$1=2),0,1),0)</f>
        <v>1</v>
      </c>
      <c r="Y67" s="67">
        <f ca="1">IF(LOWER(Capacity!$L79)="x",IF(AND(SUMIF(Capacity_Resource,$D67,'Critical resources (hide)'!AL$6:AL$105)+SUMIF(Capacity_Resource,$E67,'Critical resources (hide)'!AL$6:AL$105)+SUMIF(Capacity_Resource,$F67,'Critical resources (hide)'!AL$6:AL$105)&gt;0,$E$1=2),0,1),0)</f>
        <v>1</v>
      </c>
      <c r="Z67" s="67">
        <f ca="1">IF(LOWER(Capacity!$L79)="x",IF(AND(SUMIF(Capacity_Resource,$D67,'Critical resources (hide)'!AM$6:AM$105)+SUMIF(Capacity_Resource,$E67,'Critical resources (hide)'!AM$6:AM$105)+SUMIF(Capacity_Resource,$F67,'Critical resources (hide)'!AM$6:AM$105)&gt;0,$E$1=2),0,1),0)</f>
        <v>1</v>
      </c>
      <c r="AA67" s="67">
        <f ca="1">IF(LOWER(Capacity!$L79)="x",IF(AND(SUMIF(Capacity_Resource,$D67,'Critical resources (hide)'!AN$6:AN$105)+SUMIF(Capacity_Resource,$E67,'Critical resources (hide)'!AN$6:AN$105)+SUMIF(Capacity_Resource,$F67,'Critical resources (hide)'!AN$6:AN$105)&gt;0,$E$1=2),0,1),0)</f>
        <v>1</v>
      </c>
      <c r="AB67" s="67">
        <f ca="1">IF(LOWER(Capacity!$L79)="x",IF(AND(SUMIF(Capacity_Resource,$D67,'Critical resources (hide)'!AO$6:AO$105)+SUMIF(Capacity_Resource,$E67,'Critical resources (hide)'!AO$6:AO$105)+SUMIF(Capacity_Resource,$F67,'Critical resources (hide)'!AO$6:AO$105)&gt;0,$E$1=2),0,1),0)</f>
        <v>1</v>
      </c>
      <c r="AC67" s="67">
        <f ca="1">IF(LOWER(Capacity!$L79)="x",IF(AND(SUMIF(Capacity_Resource,$D67,'Critical resources (hide)'!AP$6:AP$105)+SUMIF(Capacity_Resource,$E67,'Critical resources (hide)'!AP$6:AP$105)+SUMIF(Capacity_Resource,$F67,'Critical resources (hide)'!AP$6:AP$105)&gt;0,$E$1=2),0,1),0)</f>
        <v>1</v>
      </c>
      <c r="AD67" s="67">
        <f ca="1">IF(LOWER(Capacity!$L79)="x",IF(AND(SUMIF(Capacity_Resource,$D67,'Critical resources (hide)'!AQ$6:AQ$105)+SUMIF(Capacity_Resource,$E67,'Critical resources (hide)'!AQ$6:AQ$105)+SUMIF(Capacity_Resource,$F67,'Critical resources (hide)'!AQ$6:AQ$105)&gt;0,$E$1=2),0,1),0)</f>
        <v>1</v>
      </c>
      <c r="AE67" s="67">
        <f ca="1">IF(LOWER(Capacity!$L79)="x",IF(AND(SUMIF(Capacity_Resource,$D67,'Critical resources (hide)'!AR$6:AR$105)+SUMIF(Capacity_Resource,$E67,'Critical resources (hide)'!AR$6:AR$105)+SUMIF(Capacity_Resource,$F67,'Critical resources (hide)'!AR$6:AR$105)&gt;0,$E$1=2),0,1),0)</f>
        <v>1</v>
      </c>
      <c r="AF67" s="67">
        <f ca="1">IF(LOWER(Capacity!$L79)="x",IF(AND(SUMIF(Capacity_Resource,$D67,'Critical resources (hide)'!AS$6:AS$105)+SUMIF(Capacity_Resource,$E67,'Critical resources (hide)'!AS$6:AS$105)+SUMIF(Capacity_Resource,$F67,'Critical resources (hide)'!AS$6:AS$105)&gt;0,$E$1=2),0,1),0)</f>
        <v>1</v>
      </c>
      <c r="AG67" s="67">
        <f ca="1">IF(LOWER(Capacity!$L79)="x",IF(AND(SUMIF(Capacity_Resource,$D67,'Critical resources (hide)'!AT$6:AT$105)+SUMIF(Capacity_Resource,$E67,'Critical resources (hide)'!AT$6:AT$105)+SUMIF(Capacity_Resource,$F67,'Critical resources (hide)'!AT$6:AT$105)&gt;0,$E$1=2),0,1),0)</f>
        <v>1</v>
      </c>
      <c r="AH67" s="67">
        <f ca="1">IF(LOWER(Capacity!$L79)="x",IF(AND(SUMIF(Capacity_Resource,$D67,'Critical resources (hide)'!AU$6:AU$105)+SUMIF(Capacity_Resource,$E67,'Critical resources (hide)'!AU$6:AU$105)+SUMIF(Capacity_Resource,$F67,'Critical resources (hide)'!AU$6:AU$105)&gt;0,$E$1=2),0,1),0)</f>
        <v>1</v>
      </c>
      <c r="AI67" s="67">
        <f ca="1">IF(LOWER(Capacity!$L79)="x",IF(AND(SUMIF(Capacity_Resource,$D67,'Critical resources (hide)'!AV$6:AV$105)+SUMIF(Capacity_Resource,$E67,'Critical resources (hide)'!AV$6:AV$105)+SUMIF(Capacity_Resource,$F67,'Critical resources (hide)'!AV$6:AV$105)&gt;0,$E$1=2),0,1),0)</f>
        <v>1</v>
      </c>
      <c r="AJ67" s="67">
        <f ca="1">IF(LOWER(Capacity!$L79)="x",IF(AND(SUMIF(Capacity_Resource,$D67,'Critical resources (hide)'!AW$6:AW$105)+SUMIF(Capacity_Resource,$E67,'Critical resources (hide)'!AW$6:AW$105)+SUMIF(Capacity_Resource,$F67,'Critical resources (hide)'!AW$6:AW$105)&gt;0,$E$1=2),0,1),0)</f>
        <v>1</v>
      </c>
      <c r="AK67" s="67">
        <f ca="1">IF(LOWER(Capacity!$L79)="x",IF(AND(SUMIF(Capacity_Resource,$D67,'Critical resources (hide)'!AX$6:AX$105)+SUMIF(Capacity_Resource,$E67,'Critical resources (hide)'!AX$6:AX$105)+SUMIF(Capacity_Resource,$F67,'Critical resources (hide)'!AX$6:AX$105)&gt;0,$E$1=2),0,1),0)</f>
        <v>1</v>
      </c>
      <c r="AL67" s="67">
        <f ca="1">IF(LOWER(Capacity!$L79)="x",IF(AND(SUMIF(Capacity_Resource,$D67,'Critical resources (hide)'!AY$6:AY$105)+SUMIF(Capacity_Resource,$E67,'Critical resources (hide)'!AY$6:AY$105)+SUMIF(Capacity_Resource,$F67,'Critical resources (hide)'!AY$6:AY$105)&gt;0,$E$1=2),0,1),0)</f>
        <v>1</v>
      </c>
      <c r="AM67" s="67">
        <f ca="1">IF(LOWER(Capacity!$L79)="x",IF(AND(SUMIF(Capacity_Resource,$D67,'Critical resources (hide)'!AZ$6:AZ$105)+SUMIF(Capacity_Resource,$E67,'Critical resources (hide)'!AZ$6:AZ$105)+SUMIF(Capacity_Resource,$F67,'Critical resources (hide)'!AZ$6:AZ$105)&gt;0,$E$1=2),0,1),0)</f>
        <v>1</v>
      </c>
      <c r="AN67" s="67">
        <f ca="1">IF(LOWER(Capacity!$L79)="x",IF(AND(SUMIF(Capacity_Resource,$D67,'Critical resources (hide)'!BA$6:BA$105)+SUMIF(Capacity_Resource,$E67,'Critical resources (hide)'!BA$6:BA$105)+SUMIF(Capacity_Resource,$F67,'Critical resources (hide)'!BA$6:BA$105)&gt;0,$E$1=2),0,1),0)</f>
        <v>1</v>
      </c>
      <c r="AO67" s="67">
        <f ca="1">IF(LOWER(Capacity!$L79)="x",IF(AND(SUMIF(Capacity_Resource,$D67,'Critical resources (hide)'!BB$6:BB$105)+SUMIF(Capacity_Resource,$E67,'Critical resources (hide)'!BB$6:BB$105)+SUMIF(Capacity_Resource,$F67,'Critical resources (hide)'!BB$6:BB$105)&gt;0,$E$1=2),0,1),0)</f>
        <v>1</v>
      </c>
      <c r="AP67" s="67">
        <f ca="1">IF(LOWER(Capacity!$L79)="x",IF(AND(SUMIF(Capacity_Resource,$D67,'Critical resources (hide)'!BC$6:BC$105)+SUMIF(Capacity_Resource,$E67,'Critical resources (hide)'!BC$6:BC$105)+SUMIF(Capacity_Resource,$F67,'Critical resources (hide)'!BC$6:BC$105)&gt;0,$E$1=2),0,1),0)</f>
        <v>1</v>
      </c>
      <c r="AQ67" s="67">
        <f ca="1">IF(LOWER(Capacity!$L79)="x",IF(AND(SUMIF(Capacity_Resource,$D67,'Critical resources (hide)'!BD$6:BD$105)+SUMIF(Capacity_Resource,$E67,'Critical resources (hide)'!BD$6:BD$105)+SUMIF(Capacity_Resource,$F67,'Critical resources (hide)'!BD$6:BD$105)&gt;0,$E$1=2),0,1),0)</f>
        <v>1</v>
      </c>
      <c r="AR67" s="67">
        <f ca="1">IF(LOWER(Capacity!$L79)="x",IF(AND(SUMIF(Capacity_Resource,$D67,'Critical resources (hide)'!BE$6:BE$105)+SUMIF(Capacity_Resource,$E67,'Critical resources (hide)'!BE$6:BE$105)+SUMIF(Capacity_Resource,$F67,'Critical resources (hide)'!BE$6:BE$105)&gt;0,$E$1=2),0,1),0)</f>
        <v>1</v>
      </c>
      <c r="AS67" s="67">
        <f ca="1">IF(LOWER(Capacity!$L79)="x",IF(AND(SUMIF(Capacity_Resource,$D67,'Critical resources (hide)'!BF$6:BF$105)+SUMIF(Capacity_Resource,$E67,'Critical resources (hide)'!BF$6:BF$105)+SUMIF(Capacity_Resource,$F67,'Critical resources (hide)'!BF$6:BF$105)&gt;0,$E$1=2),0,1),0)</f>
        <v>1</v>
      </c>
      <c r="AT67" s="67">
        <f ca="1">IF(LOWER(Capacity!$L79)="x",IF(AND(SUMIF(Capacity_Resource,$D67,'Critical resources (hide)'!BG$6:BG$105)+SUMIF(Capacity_Resource,$E67,'Critical resources (hide)'!BG$6:BG$105)+SUMIF(Capacity_Resource,$F67,'Critical resources (hide)'!BG$6:BG$105)&gt;0,$E$1=2),0,1),0)</f>
        <v>1</v>
      </c>
      <c r="AU67" s="67">
        <f ca="1">IF(LOWER(Capacity!$L79)="x",IF(AND(SUMIF(Capacity_Resource,$D67,'Critical resources (hide)'!BH$6:BH$105)+SUMIF(Capacity_Resource,$E67,'Critical resources (hide)'!BH$6:BH$105)+SUMIF(Capacity_Resource,$F67,'Critical resources (hide)'!BH$6:BH$105)&gt;0,$E$1=2),0,1),0)</f>
        <v>1</v>
      </c>
      <c r="AV67" s="67">
        <f ca="1">IF(LOWER(Capacity!$L79)="x",IF(AND(SUMIF(Capacity_Resource,$D67,'Critical resources (hide)'!BI$6:BI$105)+SUMIF(Capacity_Resource,$E67,'Critical resources (hide)'!BI$6:BI$105)+SUMIF(Capacity_Resource,$F67,'Critical resources (hide)'!BI$6:BI$105)&gt;0,$E$1=2),0,1),0)</f>
        <v>1</v>
      </c>
      <c r="AW67" s="67">
        <f ca="1">IF(LOWER(Capacity!$L79)="x",IF(AND(SUMIF(Capacity_Resource,$D67,'Critical resources (hide)'!BJ$6:BJ$105)+SUMIF(Capacity_Resource,$E67,'Critical resources (hide)'!BJ$6:BJ$105)+SUMIF(Capacity_Resource,$F67,'Critical resources (hide)'!BJ$6:BJ$105)&gt;0,$E$1=2),0,1),0)</f>
        <v>1</v>
      </c>
      <c r="AX67" s="67">
        <f ca="1">IF(LOWER(Capacity!$L79)="x",IF(AND(SUMIF(Capacity_Resource,$D67,'Critical resources (hide)'!BK$6:BK$105)+SUMIF(Capacity_Resource,$E67,'Critical resources (hide)'!BK$6:BK$105)+SUMIF(Capacity_Resource,$F67,'Critical resources (hide)'!BK$6:BK$105)&gt;0,$E$1=2),0,1),0)</f>
        <v>1</v>
      </c>
      <c r="AY67" s="67">
        <f ca="1">IF(LOWER(Capacity!$L79)="x",IF(AND(SUMIF(Capacity_Resource,$D67,'Critical resources (hide)'!BL$6:BL$105)+SUMIF(Capacity_Resource,$E67,'Critical resources (hide)'!BL$6:BL$105)+SUMIF(Capacity_Resource,$F67,'Critical resources (hide)'!BL$6:BL$105)&gt;0,$E$1=2),0,1),0)</f>
        <v>1</v>
      </c>
      <c r="AZ67" s="67">
        <f ca="1">IF(LOWER(Capacity!$L79)="x",IF(AND(SUMIF(Capacity_Resource,$D67,'Critical resources (hide)'!BM$6:BM$105)+SUMIF(Capacity_Resource,$E67,'Critical resources (hide)'!BM$6:BM$105)+SUMIF(Capacity_Resource,$F67,'Critical resources (hide)'!BM$6:BM$105)&gt;0,$E$1=2),0,1),0)</f>
        <v>1</v>
      </c>
      <c r="BA67" s="67">
        <f ca="1">IF(LOWER(Capacity!$L79)="x",IF(AND(SUMIF(Capacity_Resource,$D67,'Critical resources (hide)'!BN$6:BN$105)+SUMIF(Capacity_Resource,$E67,'Critical resources (hide)'!BN$6:BN$105)+SUMIF(Capacity_Resource,$F67,'Critical resources (hide)'!BN$6:BN$105)&gt;0,$E$1=2),0,1),0)</f>
        <v>1</v>
      </c>
      <c r="BB67" s="67">
        <f ca="1">IF(LOWER(Capacity!$L79)="x",IF(AND(SUMIF(Capacity_Resource,$D67,'Critical resources (hide)'!BO$6:BO$105)+SUMIF(Capacity_Resource,$E67,'Critical resources (hide)'!BO$6:BO$105)+SUMIF(Capacity_Resource,$F67,'Critical resources (hide)'!BO$6:BO$105)&gt;0,$E$1=2),0,1),0)</f>
        <v>1</v>
      </c>
      <c r="BC67" s="67">
        <f ca="1">IF(LOWER(Capacity!$L79)="x",IF(AND(SUMIF(Capacity_Resource,$D67,'Critical resources (hide)'!BP$6:BP$105)+SUMIF(Capacity_Resource,$E67,'Critical resources (hide)'!BP$6:BP$105)+SUMIF(Capacity_Resource,$F67,'Critical resources (hide)'!BP$6:BP$105)&gt;0,$E$1=2),0,1),0)</f>
        <v>1</v>
      </c>
      <c r="BD67" s="67">
        <f ca="1">IF(LOWER(Capacity!$L79)="x",IF(AND(SUMIF(Capacity_Resource,$D67,'Critical resources (hide)'!BQ$6:BQ$105)+SUMIF(Capacity_Resource,$E67,'Critical resources (hide)'!BQ$6:BQ$105)+SUMIF(Capacity_Resource,$F67,'Critical resources (hide)'!BQ$6:BQ$105)&gt;0,$E$1=2),0,1),0)</f>
        <v>1</v>
      </c>
      <c r="BE67" s="67">
        <f ca="1">IF(LOWER(Capacity!$L79)="x",IF(AND(SUMIF(Capacity_Resource,$D67,'Critical resources (hide)'!BR$6:BR$105)+SUMIF(Capacity_Resource,$E67,'Critical resources (hide)'!BR$6:BR$105)+SUMIF(Capacity_Resource,$F67,'Critical resources (hide)'!BR$6:BR$105)&gt;0,$E$1=2),0,1),0)</f>
        <v>1</v>
      </c>
      <c r="BF67" s="67">
        <f ca="1">IF(LOWER(Capacity!$L79)="x",IF(AND(SUMIF(Capacity_Resource,$D67,'Critical resources (hide)'!BS$6:BS$105)+SUMIF(Capacity_Resource,$E67,'Critical resources (hide)'!BS$6:BS$105)+SUMIF(Capacity_Resource,$F67,'Critical resources (hide)'!BS$6:BS$105)&gt;0,$E$1=2),0,1),0)</f>
        <v>1</v>
      </c>
      <c r="BG67" s="67">
        <f ca="1">IF(LOWER(Capacity!$L79)="x",IF(AND(SUMIF(Capacity_Resource,$D67,'Critical resources (hide)'!BT$6:BT$105)+SUMIF(Capacity_Resource,$E67,'Critical resources (hide)'!BT$6:BT$105)+SUMIF(Capacity_Resource,$F67,'Critical resources (hide)'!BT$6:BT$105)&gt;0,$E$1=2),0,1),0)</f>
        <v>1</v>
      </c>
      <c r="BH67" s="67">
        <f>IF(ROW(C63)&lt;=Capacity!$A$16,IF('Capacity summary'!$D$14="No",SUM(H67:BG67),'Capacity summary'!$E186),0)</f>
        <v>0</v>
      </c>
      <c r="BI67" s="5" t="str">
        <f>IF(BH67&gt;0,IF(BH67&lt;Capacity!E79,Capacity!F79,Capacity!H79/'Capacity calculation (hide)'!BH67),"")</f>
        <v/>
      </c>
      <c r="BK67" s="311">
        <f>IF($BI67&lt;&gt;"",IF('Capacity summary'!$D$14="Yes",IF(COUNTBLANK('Capacity summary'!$H186:$BG186)&lt;52,IF('Capacity summary'!H186&lt;&gt;"",IF(LOWER('Capacity summary'!H186)="x",$BI67*H67,VALUE('Capacity summary'!H186)),0),H67*$BI67),H67*$BI67),0)</f>
        <v>0</v>
      </c>
      <c r="BL67" s="311">
        <f>IF($BI67&lt;&gt;"",IF('Capacity summary'!$D$14="Yes",IF(COUNTBLANK('Capacity summary'!$H186:$BG186)&lt;52,IF('Capacity summary'!I186&lt;&gt;"",IF(LOWER('Capacity summary'!I186)="x",$BI67*I67,VALUE('Capacity summary'!I186)),0),I67*$BI67),I67*$BI67),0)</f>
        <v>0</v>
      </c>
      <c r="BM67" s="311">
        <f>IF($BI67&lt;&gt;"",IF('Capacity summary'!$D$14="Yes",IF(COUNTBLANK('Capacity summary'!$H186:$BG186)&lt;52,IF('Capacity summary'!J186&lt;&gt;"",IF(LOWER('Capacity summary'!J186)="x",$BI67*J67,VALUE('Capacity summary'!J186)),0),J67*$BI67),J67*$BI67),0)</f>
        <v>0</v>
      </c>
      <c r="BN67" s="311">
        <f>IF($BI67&lt;&gt;"",IF('Capacity summary'!$D$14="Yes",IF(COUNTBLANK('Capacity summary'!$H186:$BG186)&lt;52,IF('Capacity summary'!K186&lt;&gt;"",IF(LOWER('Capacity summary'!K186)="x",$BI67*K67,VALUE('Capacity summary'!K186)),0),K67*$BI67),K67*$BI67),0)</f>
        <v>0</v>
      </c>
      <c r="BO67" s="311">
        <f>IF($BI67&lt;&gt;"",IF('Capacity summary'!$D$14="Yes",IF(COUNTBLANK('Capacity summary'!$H186:$BG186)&lt;52,IF('Capacity summary'!L186&lt;&gt;"",IF(LOWER('Capacity summary'!L186)="x",$BI67*L67,VALUE('Capacity summary'!L186)),0),L67*$BI67),L67*$BI67),0)</f>
        <v>0</v>
      </c>
      <c r="BP67" s="311">
        <f>IF($BI67&lt;&gt;"",IF('Capacity summary'!$D$14="Yes",IF(COUNTBLANK('Capacity summary'!$H186:$BG186)&lt;52,IF('Capacity summary'!M186&lt;&gt;"",IF(LOWER('Capacity summary'!M186)="x",$BI67*M67,VALUE('Capacity summary'!M186)),0),M67*$BI67),M67*$BI67),0)</f>
        <v>0</v>
      </c>
      <c r="BQ67" s="311">
        <f>IF($BI67&lt;&gt;"",IF('Capacity summary'!$D$14="Yes",IF(COUNTBLANK('Capacity summary'!$H186:$BG186)&lt;52,IF('Capacity summary'!N186&lt;&gt;"",IF(LOWER('Capacity summary'!N186)="x",$BI67*N67,VALUE('Capacity summary'!N186)),0),N67*$BI67),N67*$BI67),0)</f>
        <v>0</v>
      </c>
      <c r="BR67" s="311">
        <f>IF($BI67&lt;&gt;"",IF('Capacity summary'!$D$14="Yes",IF(COUNTBLANK('Capacity summary'!$H186:$BG186)&lt;52,IF('Capacity summary'!O186&lt;&gt;"",IF(LOWER('Capacity summary'!O186)="x",$BI67*O67,VALUE('Capacity summary'!O186)),0),O67*$BI67),O67*$BI67),0)</f>
        <v>0</v>
      </c>
      <c r="BS67" s="311">
        <f>IF($BI67&lt;&gt;"",IF('Capacity summary'!$D$14="Yes",IF(COUNTBLANK('Capacity summary'!$H186:$BG186)&lt;52,IF('Capacity summary'!P186&lt;&gt;"",IF(LOWER('Capacity summary'!P186)="x",$BI67*P67,VALUE('Capacity summary'!P186)),0),P67*$BI67),P67*$BI67),0)</f>
        <v>0</v>
      </c>
      <c r="BT67" s="311">
        <f>IF($BI67&lt;&gt;"",IF('Capacity summary'!$D$14="Yes",IF(COUNTBLANK('Capacity summary'!$H186:$BG186)&lt;52,IF('Capacity summary'!Q186&lt;&gt;"",IF(LOWER('Capacity summary'!Q186)="x",$BI67*Q67,VALUE('Capacity summary'!Q186)),0),Q67*$BI67),Q67*$BI67),0)</f>
        <v>0</v>
      </c>
      <c r="BU67" s="311">
        <f>IF($BI67&lt;&gt;"",IF('Capacity summary'!$D$14="Yes",IF(COUNTBLANK('Capacity summary'!$H186:$BG186)&lt;52,IF('Capacity summary'!R186&lt;&gt;"",IF(LOWER('Capacity summary'!R186)="x",$BI67*R67,VALUE('Capacity summary'!R186)),0),R67*$BI67),R67*$BI67),0)</f>
        <v>0</v>
      </c>
      <c r="BV67" s="311">
        <f>IF($BI67&lt;&gt;"",IF('Capacity summary'!$D$14="Yes",IF(COUNTBLANK('Capacity summary'!$H186:$BG186)&lt;52,IF('Capacity summary'!S186&lt;&gt;"",IF(LOWER('Capacity summary'!S186)="x",$BI67*S67,VALUE('Capacity summary'!S186)),0),S67*$BI67),S67*$BI67),0)</f>
        <v>0</v>
      </c>
      <c r="BW67" s="311">
        <f>IF($BI67&lt;&gt;"",IF('Capacity summary'!$D$14="Yes",IF(COUNTBLANK('Capacity summary'!$H186:$BG186)&lt;52,IF('Capacity summary'!T186&lt;&gt;"",IF(LOWER('Capacity summary'!T186)="x",$BI67*T67,VALUE('Capacity summary'!T186)),0),T67*$BI67),T67*$BI67),0)</f>
        <v>0</v>
      </c>
      <c r="BX67" s="311">
        <f>IF($BI67&lt;&gt;"",IF('Capacity summary'!$D$14="Yes",IF(COUNTBLANK('Capacity summary'!$H186:$BG186)&lt;52,IF('Capacity summary'!U186&lt;&gt;"",IF(LOWER('Capacity summary'!U186)="x",$BI67*U67,VALUE('Capacity summary'!U186)),0),U67*$BI67),U67*$BI67),0)</f>
        <v>0</v>
      </c>
      <c r="BY67" s="311">
        <f>IF($BI67&lt;&gt;"",IF('Capacity summary'!$D$14="Yes",IF(COUNTBLANK('Capacity summary'!$H186:$BG186)&lt;52,IF('Capacity summary'!V186&lt;&gt;"",IF(LOWER('Capacity summary'!V186)="x",$BI67*V67,VALUE('Capacity summary'!V186)),0),V67*$BI67),V67*$BI67),0)</f>
        <v>0</v>
      </c>
      <c r="BZ67" s="311">
        <f>IF($BI67&lt;&gt;"",IF('Capacity summary'!$D$14="Yes",IF(COUNTBLANK('Capacity summary'!$H186:$BG186)&lt;52,IF('Capacity summary'!W186&lt;&gt;"",IF(LOWER('Capacity summary'!W186)="x",$BI67*W67,VALUE('Capacity summary'!W186)),0),W67*$BI67),W67*$BI67),0)</f>
        <v>0</v>
      </c>
      <c r="CA67" s="311">
        <f>IF($BI67&lt;&gt;"",IF('Capacity summary'!$D$14="Yes",IF(COUNTBLANK('Capacity summary'!$H186:$BG186)&lt;52,IF('Capacity summary'!X186&lt;&gt;"",IF(LOWER('Capacity summary'!X186)="x",$BI67*X67,VALUE('Capacity summary'!X186)),0),X67*$BI67),X67*$BI67),0)</f>
        <v>0</v>
      </c>
      <c r="CB67" s="311">
        <f>IF($BI67&lt;&gt;"",IF('Capacity summary'!$D$14="Yes",IF(COUNTBLANK('Capacity summary'!$H186:$BG186)&lt;52,IF('Capacity summary'!Y186&lt;&gt;"",IF(LOWER('Capacity summary'!Y186)="x",$BI67*Y67,VALUE('Capacity summary'!Y186)),0),Y67*$BI67),Y67*$BI67),0)</f>
        <v>0</v>
      </c>
      <c r="CC67" s="311">
        <f>IF($BI67&lt;&gt;"",IF('Capacity summary'!$D$14="Yes",IF(COUNTBLANK('Capacity summary'!$H186:$BG186)&lt;52,IF('Capacity summary'!Z186&lt;&gt;"",IF(LOWER('Capacity summary'!Z186)="x",$BI67*Z67,VALUE('Capacity summary'!Z186)),0),Z67*$BI67),Z67*$BI67),0)</f>
        <v>0</v>
      </c>
      <c r="CD67" s="311">
        <f>IF($BI67&lt;&gt;"",IF('Capacity summary'!$D$14="Yes",IF(COUNTBLANK('Capacity summary'!$H186:$BG186)&lt;52,IF('Capacity summary'!AA186&lt;&gt;"",IF(LOWER('Capacity summary'!AA186)="x",$BI67*AA67,VALUE('Capacity summary'!AA186)),0),AA67*$BI67),AA67*$BI67),0)</f>
        <v>0</v>
      </c>
      <c r="CE67" s="311">
        <f>IF($BI67&lt;&gt;"",IF('Capacity summary'!$D$14="Yes",IF(COUNTBLANK('Capacity summary'!$H186:$BG186)&lt;52,IF('Capacity summary'!AB186&lt;&gt;"",IF(LOWER('Capacity summary'!AB186)="x",$BI67*AB67,VALUE('Capacity summary'!AB186)),0),AB67*$BI67),AB67*$BI67),0)</f>
        <v>0</v>
      </c>
      <c r="CF67" s="311">
        <f>IF($BI67&lt;&gt;"",IF('Capacity summary'!$D$14="Yes",IF(COUNTBLANK('Capacity summary'!$H186:$BG186)&lt;52,IF('Capacity summary'!AC186&lt;&gt;"",IF(LOWER('Capacity summary'!AC186)="x",$BI67*AC67,VALUE('Capacity summary'!AC186)),0),AC67*$BI67),AC67*$BI67),0)</f>
        <v>0</v>
      </c>
      <c r="CG67" s="311">
        <f>IF($BI67&lt;&gt;"",IF('Capacity summary'!$D$14="Yes",IF(COUNTBLANK('Capacity summary'!$H186:$BG186)&lt;52,IF('Capacity summary'!AD186&lt;&gt;"",IF(LOWER('Capacity summary'!AD186)="x",$BI67*AD67,VALUE('Capacity summary'!AD186)),0),AD67*$BI67),AD67*$BI67),0)</f>
        <v>0</v>
      </c>
      <c r="CH67" s="311">
        <f>IF($BI67&lt;&gt;"",IF('Capacity summary'!$D$14="Yes",IF(COUNTBLANK('Capacity summary'!$H186:$BG186)&lt;52,IF('Capacity summary'!AE186&lt;&gt;"",IF(LOWER('Capacity summary'!AE186)="x",$BI67*AE67,VALUE('Capacity summary'!AE186)),0),AE67*$BI67),AE67*$BI67),0)</f>
        <v>0</v>
      </c>
      <c r="CI67" s="311">
        <f>IF($BI67&lt;&gt;"",IF('Capacity summary'!$D$14="Yes",IF(COUNTBLANK('Capacity summary'!$H186:$BG186)&lt;52,IF('Capacity summary'!AF186&lt;&gt;"",IF(LOWER('Capacity summary'!AF186)="x",$BI67*AF67,VALUE('Capacity summary'!AF186)),0),AF67*$BI67),AF67*$BI67),0)</f>
        <v>0</v>
      </c>
      <c r="CJ67" s="311">
        <f>IF($BI67&lt;&gt;"",IF('Capacity summary'!$D$14="Yes",IF(COUNTBLANK('Capacity summary'!$H186:$BG186)&lt;52,IF('Capacity summary'!AG186&lt;&gt;"",IF(LOWER('Capacity summary'!AG186)="x",$BI67*AG67,VALUE('Capacity summary'!AG186)),0),AG67*$BI67),AG67*$BI67),0)</f>
        <v>0</v>
      </c>
      <c r="CK67" s="311">
        <f>IF($BI67&lt;&gt;"",IF('Capacity summary'!$D$14="Yes",IF(COUNTBLANK('Capacity summary'!$H186:$BG186)&lt;52,IF('Capacity summary'!AH186&lt;&gt;"",IF(LOWER('Capacity summary'!AH186)="x",$BI67*AH67,VALUE('Capacity summary'!AH186)),0),AH67*$BI67),AH67*$BI67),0)</f>
        <v>0</v>
      </c>
      <c r="CL67" s="311">
        <f>IF($BI67&lt;&gt;"",IF('Capacity summary'!$D$14="Yes",IF(COUNTBLANK('Capacity summary'!$H186:$BG186)&lt;52,IF('Capacity summary'!AI186&lt;&gt;"",IF(LOWER('Capacity summary'!AI186)="x",$BI67*AI67,VALUE('Capacity summary'!AI186)),0),AI67*$BI67),AI67*$BI67),0)</f>
        <v>0</v>
      </c>
      <c r="CM67" s="311">
        <f>IF($BI67&lt;&gt;"",IF('Capacity summary'!$D$14="Yes",IF(COUNTBLANK('Capacity summary'!$H186:$BG186)&lt;52,IF('Capacity summary'!AJ186&lt;&gt;"",IF(LOWER('Capacity summary'!AJ186)="x",$BI67*AJ67,VALUE('Capacity summary'!AJ186)),0),AJ67*$BI67),AJ67*$BI67),0)</f>
        <v>0</v>
      </c>
      <c r="CN67" s="311">
        <f>IF($BI67&lt;&gt;"",IF('Capacity summary'!$D$14="Yes",IF(COUNTBLANK('Capacity summary'!$H186:$BG186)&lt;52,IF('Capacity summary'!AK186&lt;&gt;"",IF(LOWER('Capacity summary'!AK186)="x",$BI67*AK67,VALUE('Capacity summary'!AK186)),0),AK67*$BI67),AK67*$BI67),0)</f>
        <v>0</v>
      </c>
      <c r="CO67" s="311">
        <f>IF($BI67&lt;&gt;"",IF('Capacity summary'!$D$14="Yes",IF(COUNTBLANK('Capacity summary'!$H186:$BG186)&lt;52,IF('Capacity summary'!AL186&lt;&gt;"",IF(LOWER('Capacity summary'!AL186)="x",$BI67*AL67,VALUE('Capacity summary'!AL186)),0),AL67*$BI67),AL67*$BI67),0)</f>
        <v>0</v>
      </c>
      <c r="CP67" s="311">
        <f>IF($BI67&lt;&gt;"",IF('Capacity summary'!$D$14="Yes",IF(COUNTBLANK('Capacity summary'!$H186:$BG186)&lt;52,IF('Capacity summary'!AM186&lt;&gt;"",IF(LOWER('Capacity summary'!AM186)="x",$BI67*AM67,VALUE('Capacity summary'!AM186)),0),AM67*$BI67),AM67*$BI67),0)</f>
        <v>0</v>
      </c>
      <c r="CQ67" s="311">
        <f>IF($BI67&lt;&gt;"",IF('Capacity summary'!$D$14="Yes",IF(COUNTBLANK('Capacity summary'!$H186:$BG186)&lt;52,IF('Capacity summary'!AN186&lt;&gt;"",IF(LOWER('Capacity summary'!AN186)="x",$BI67*AN67,VALUE('Capacity summary'!AN186)),0),AN67*$BI67),AN67*$BI67),0)</f>
        <v>0</v>
      </c>
      <c r="CR67" s="311">
        <f>IF($BI67&lt;&gt;"",IF('Capacity summary'!$D$14="Yes",IF(COUNTBLANK('Capacity summary'!$H186:$BG186)&lt;52,IF('Capacity summary'!AO186&lt;&gt;"",IF(LOWER('Capacity summary'!AO186)="x",$BI67*AO67,VALUE('Capacity summary'!AO186)),0),AO67*$BI67),AO67*$BI67),0)</f>
        <v>0</v>
      </c>
      <c r="CS67" s="311">
        <f>IF($BI67&lt;&gt;"",IF('Capacity summary'!$D$14="Yes",IF(COUNTBLANK('Capacity summary'!$H186:$BG186)&lt;52,IF('Capacity summary'!AP186&lt;&gt;"",IF(LOWER('Capacity summary'!AP186)="x",$BI67*AP67,VALUE('Capacity summary'!AP186)),0),AP67*$BI67),AP67*$BI67),0)</f>
        <v>0</v>
      </c>
      <c r="CT67" s="311">
        <f>IF($BI67&lt;&gt;"",IF('Capacity summary'!$D$14="Yes",IF(COUNTBLANK('Capacity summary'!$H186:$BG186)&lt;52,IF('Capacity summary'!AQ186&lt;&gt;"",IF(LOWER('Capacity summary'!AQ186)="x",$BI67*AQ67,VALUE('Capacity summary'!AQ186)),0),AQ67*$BI67),AQ67*$BI67),0)</f>
        <v>0</v>
      </c>
      <c r="CU67" s="311">
        <f>IF($BI67&lt;&gt;"",IF('Capacity summary'!$D$14="Yes",IF(COUNTBLANK('Capacity summary'!$H186:$BG186)&lt;52,IF('Capacity summary'!AR186&lt;&gt;"",IF(LOWER('Capacity summary'!AR186)="x",$BI67*AR67,VALUE('Capacity summary'!AR186)),0),AR67*$BI67),AR67*$BI67),0)</f>
        <v>0</v>
      </c>
      <c r="CV67" s="311">
        <f>IF($BI67&lt;&gt;"",IF('Capacity summary'!$D$14="Yes",IF(COUNTBLANK('Capacity summary'!$H186:$BG186)&lt;52,IF('Capacity summary'!AS186&lt;&gt;"",IF(LOWER('Capacity summary'!AS186)="x",$BI67*AS67,VALUE('Capacity summary'!AS186)),0),AS67*$BI67),AS67*$BI67),0)</f>
        <v>0</v>
      </c>
      <c r="CW67" s="311">
        <f>IF($BI67&lt;&gt;"",IF('Capacity summary'!$D$14="Yes",IF(COUNTBLANK('Capacity summary'!$H186:$BG186)&lt;52,IF('Capacity summary'!AT186&lt;&gt;"",IF(LOWER('Capacity summary'!AT186)="x",$BI67*AT67,VALUE('Capacity summary'!AT186)),0),AT67*$BI67),AT67*$BI67),0)</f>
        <v>0</v>
      </c>
      <c r="CX67" s="311">
        <f>IF($BI67&lt;&gt;"",IF('Capacity summary'!$D$14="Yes",IF(COUNTBLANK('Capacity summary'!$H186:$BG186)&lt;52,IF('Capacity summary'!AU186&lt;&gt;"",IF(LOWER('Capacity summary'!AU186)="x",$BI67*AU67,VALUE('Capacity summary'!AU186)),0),AU67*$BI67),AU67*$BI67),0)</f>
        <v>0</v>
      </c>
      <c r="CY67" s="311">
        <f>IF($BI67&lt;&gt;"",IF('Capacity summary'!$D$14="Yes",IF(COUNTBLANK('Capacity summary'!$H186:$BG186)&lt;52,IF('Capacity summary'!AV186&lt;&gt;"",IF(LOWER('Capacity summary'!AV186)="x",$BI67*AV67,VALUE('Capacity summary'!AV186)),0),AV67*$BI67),AV67*$BI67),0)</f>
        <v>0</v>
      </c>
      <c r="CZ67" s="311">
        <f>IF($BI67&lt;&gt;"",IF('Capacity summary'!$D$14="Yes",IF(COUNTBLANK('Capacity summary'!$H186:$BG186)&lt;52,IF('Capacity summary'!AW186&lt;&gt;"",IF(LOWER('Capacity summary'!AW186)="x",$BI67*AW67,VALUE('Capacity summary'!AW186)),0),AW67*$BI67),AW67*$BI67),0)</f>
        <v>0</v>
      </c>
      <c r="DA67" s="311">
        <f>IF($BI67&lt;&gt;"",IF('Capacity summary'!$D$14="Yes",IF(COUNTBLANK('Capacity summary'!$H186:$BG186)&lt;52,IF('Capacity summary'!AX186&lt;&gt;"",IF(LOWER('Capacity summary'!AX186)="x",$BI67*AX67,VALUE('Capacity summary'!AX186)),0),AX67*$BI67),AX67*$BI67),0)</f>
        <v>0</v>
      </c>
      <c r="DB67" s="311">
        <f>IF($BI67&lt;&gt;"",IF('Capacity summary'!$D$14="Yes",IF(COUNTBLANK('Capacity summary'!$H186:$BG186)&lt;52,IF('Capacity summary'!AY186&lt;&gt;"",IF(LOWER('Capacity summary'!AY186)="x",$BI67*AY67,VALUE('Capacity summary'!AY186)),0),AY67*$BI67),AY67*$BI67),0)</f>
        <v>0</v>
      </c>
      <c r="DC67" s="311">
        <f>IF($BI67&lt;&gt;"",IF('Capacity summary'!$D$14="Yes",IF(COUNTBLANK('Capacity summary'!$H186:$BG186)&lt;52,IF('Capacity summary'!AZ186&lt;&gt;"",IF(LOWER('Capacity summary'!AZ186)="x",$BI67*AZ67,VALUE('Capacity summary'!AZ186)),0),AZ67*$BI67),AZ67*$BI67),0)</f>
        <v>0</v>
      </c>
      <c r="DD67" s="311">
        <f>IF($BI67&lt;&gt;"",IF('Capacity summary'!$D$14="Yes",IF(COUNTBLANK('Capacity summary'!$H186:$BG186)&lt;52,IF('Capacity summary'!BA186&lt;&gt;"",IF(LOWER('Capacity summary'!BA186)="x",$BI67*BA67,VALUE('Capacity summary'!BA186)),0),BA67*$BI67),BA67*$BI67),0)</f>
        <v>0</v>
      </c>
      <c r="DE67" s="311">
        <f>IF($BI67&lt;&gt;"",IF('Capacity summary'!$D$14="Yes",IF(COUNTBLANK('Capacity summary'!$H186:$BG186)&lt;52,IF('Capacity summary'!BB186&lt;&gt;"",IF(LOWER('Capacity summary'!BB186)="x",$BI67*BB67,VALUE('Capacity summary'!BB186)),0),BB67*$BI67),BB67*$BI67),0)</f>
        <v>0</v>
      </c>
      <c r="DF67" s="311">
        <f>IF($BI67&lt;&gt;"",IF('Capacity summary'!$D$14="Yes",IF(COUNTBLANK('Capacity summary'!$H186:$BG186)&lt;52,IF('Capacity summary'!BC186&lt;&gt;"",IF(LOWER('Capacity summary'!BC186)="x",$BI67*BC67,VALUE('Capacity summary'!BC186)),0),BC67*$BI67),BC67*$BI67),0)</f>
        <v>0</v>
      </c>
      <c r="DG67" s="311">
        <f>IF($BI67&lt;&gt;"",IF('Capacity summary'!$D$14="Yes",IF(COUNTBLANK('Capacity summary'!$H186:$BG186)&lt;52,IF('Capacity summary'!BD186&lt;&gt;"",IF(LOWER('Capacity summary'!BD186)="x",$BI67*BD67,VALUE('Capacity summary'!BD186)),0),BD67*$BI67),BD67*$BI67),0)</f>
        <v>0</v>
      </c>
      <c r="DH67" s="311">
        <f>IF($BI67&lt;&gt;"",IF('Capacity summary'!$D$14="Yes",IF(COUNTBLANK('Capacity summary'!$H186:$BG186)&lt;52,IF('Capacity summary'!BE186&lt;&gt;"",IF(LOWER('Capacity summary'!BE186)="x",$BI67*BE67,VALUE('Capacity summary'!BE186)),0),BE67*$BI67),BE67*$BI67),0)</f>
        <v>0</v>
      </c>
      <c r="DI67" s="311">
        <f>IF($BI67&lt;&gt;"",IF('Capacity summary'!$D$14="Yes",IF(COUNTBLANK('Capacity summary'!$H186:$BG186)&lt;52,IF('Capacity summary'!BF186&lt;&gt;"",IF(LOWER('Capacity summary'!BF186)="x",$BI67*BF67,VALUE('Capacity summary'!BF186)),0),BF67*$BI67),BF67*$BI67),0)</f>
        <v>0</v>
      </c>
      <c r="DJ67" s="311">
        <f>IF($BI67&lt;&gt;"",IF('Capacity summary'!$D$14="Yes",IF(COUNTBLANK('Capacity summary'!$H186:$BG186)&lt;52,IF('Capacity summary'!BG186&lt;&gt;"",IF(LOWER('Capacity summary'!BG186)="x",$BI67*BG67,VALUE('Capacity summary'!BG186)),0),BG67*$BI67),BG67*$BI67),0)</f>
        <v>0</v>
      </c>
      <c r="DK67" s="391">
        <f t="shared" si="2"/>
        <v>0</v>
      </c>
      <c r="DL67" s="136">
        <f t="shared" si="3"/>
        <v>0</v>
      </c>
      <c r="DM67" s="311" t="str">
        <f>Capacity!H79</f>
        <v/>
      </c>
    </row>
    <row r="68" spans="1:117" x14ac:dyDescent="0.2">
      <c r="A68" s="67">
        <f>IF(Capacity!L80='Capacity summary'!BI187,1,0)</f>
        <v>1</v>
      </c>
      <c r="B68" s="67">
        <f>IF(Capacity!V80='Capacity summary'!BI87,1,0)</f>
        <v>1</v>
      </c>
      <c r="C68" s="67" t="str">
        <f>ROW(A64)&amp;". "&amp;Capacity!B80</f>
        <v xml:space="preserve">64. </v>
      </c>
      <c r="D68" s="67">
        <f>'Capacity setup'!C75</f>
        <v>0</v>
      </c>
      <c r="E68" s="67">
        <f>'Capacity setup'!D75</f>
        <v>0</v>
      </c>
      <c r="F68" s="67">
        <f>'Capacity setup'!E75</f>
        <v>0</v>
      </c>
      <c r="H68" s="67">
        <f ca="1">IF(LOWER(Capacity!$L80)="x",IF(AND(SUMIF(Capacity_Resource,$D68,'Critical resources (hide)'!U$6:U$105)+SUMIF(Capacity_Resource,$E68,'Critical resources (hide)'!U$6:U$105)+SUMIF(Capacity_Resource,$F68,'Critical resources (hide)'!U$6:U$105)&gt;0,$E$1=2),0,1),0)</f>
        <v>1</v>
      </c>
      <c r="I68" s="67">
        <f ca="1">IF(LOWER(Capacity!$L80)="x",IF(AND(SUMIF(Capacity_Resource,$D68,'Critical resources (hide)'!V$6:V$105)+SUMIF(Capacity_Resource,$E68,'Critical resources (hide)'!V$6:V$105)+SUMIF(Capacity_Resource,$F68,'Critical resources (hide)'!V$6:V$105)&gt;0,$E$1=2),0,1),0)</f>
        <v>1</v>
      </c>
      <c r="J68" s="67">
        <f ca="1">IF(LOWER(Capacity!$L80)="x",IF(AND(SUMIF(Capacity_Resource,$D68,'Critical resources (hide)'!W$6:W$105)+SUMIF(Capacity_Resource,$E68,'Critical resources (hide)'!W$6:W$105)+SUMIF(Capacity_Resource,$F68,'Critical resources (hide)'!W$6:W$105)&gt;0,$E$1=2),0,1),0)</f>
        <v>1</v>
      </c>
      <c r="K68" s="67">
        <f ca="1">IF(LOWER(Capacity!$L80)="x",IF(AND(SUMIF(Capacity_Resource,$D68,'Critical resources (hide)'!X$6:X$105)+SUMIF(Capacity_Resource,$E68,'Critical resources (hide)'!X$6:X$105)+SUMIF(Capacity_Resource,$F68,'Critical resources (hide)'!X$6:X$105)&gt;0,$E$1=2),0,1),0)</f>
        <v>1</v>
      </c>
      <c r="L68" s="67">
        <f ca="1">IF(LOWER(Capacity!$L80)="x",IF(AND(SUMIF(Capacity_Resource,$D68,'Critical resources (hide)'!Y$6:Y$105)+SUMIF(Capacity_Resource,$E68,'Critical resources (hide)'!Y$6:Y$105)+SUMIF(Capacity_Resource,$F68,'Critical resources (hide)'!Y$6:Y$105)&gt;0,$E$1=2),0,1),0)</f>
        <v>1</v>
      </c>
      <c r="M68" s="67">
        <f ca="1">IF(LOWER(Capacity!$L80)="x",IF(AND(SUMIF(Capacity_Resource,$D68,'Critical resources (hide)'!Z$6:Z$105)+SUMIF(Capacity_Resource,$E68,'Critical resources (hide)'!Z$6:Z$105)+SUMIF(Capacity_Resource,$F68,'Critical resources (hide)'!Z$6:Z$105)&gt;0,$E$1=2),0,1),0)</f>
        <v>1</v>
      </c>
      <c r="N68" s="67">
        <f ca="1">IF(LOWER(Capacity!$L80)="x",IF(AND(SUMIF(Capacity_Resource,$D68,'Critical resources (hide)'!AA$6:AA$105)+SUMIF(Capacity_Resource,$E68,'Critical resources (hide)'!AA$6:AA$105)+SUMIF(Capacity_Resource,$F68,'Critical resources (hide)'!AA$6:AA$105)&gt;0,$E$1=2),0,1),0)</f>
        <v>1</v>
      </c>
      <c r="O68" s="67">
        <f ca="1">IF(LOWER(Capacity!$L80)="x",IF(AND(SUMIF(Capacity_Resource,$D68,'Critical resources (hide)'!AB$6:AB$105)+SUMIF(Capacity_Resource,$E68,'Critical resources (hide)'!AB$6:AB$105)+SUMIF(Capacity_Resource,$F68,'Critical resources (hide)'!AB$6:AB$105)&gt;0,$E$1=2),0,1),0)</f>
        <v>1</v>
      </c>
      <c r="P68" s="67">
        <f ca="1">IF(LOWER(Capacity!$L80)="x",IF(AND(SUMIF(Capacity_Resource,$D68,'Critical resources (hide)'!AC$6:AC$105)+SUMIF(Capacity_Resource,$E68,'Critical resources (hide)'!AC$6:AC$105)+SUMIF(Capacity_Resource,$F68,'Critical resources (hide)'!AC$6:AC$105)&gt;0,$E$1=2),0,1),0)</f>
        <v>1</v>
      </c>
      <c r="Q68" s="67">
        <f ca="1">IF(LOWER(Capacity!$L80)="x",IF(AND(SUMIF(Capacity_Resource,$D68,'Critical resources (hide)'!AD$6:AD$105)+SUMIF(Capacity_Resource,$E68,'Critical resources (hide)'!AD$6:AD$105)+SUMIF(Capacity_Resource,$F68,'Critical resources (hide)'!AD$6:AD$105)&gt;0,$E$1=2),0,1),0)</f>
        <v>1</v>
      </c>
      <c r="R68" s="67">
        <f ca="1">IF(LOWER(Capacity!$L80)="x",IF(AND(SUMIF(Capacity_Resource,$D68,'Critical resources (hide)'!AE$6:AE$105)+SUMIF(Capacity_Resource,$E68,'Critical resources (hide)'!AE$6:AE$105)+SUMIF(Capacity_Resource,$F68,'Critical resources (hide)'!AE$6:AE$105)&gt;0,$E$1=2),0,1),0)</f>
        <v>1</v>
      </c>
      <c r="S68" s="67">
        <f ca="1">IF(LOWER(Capacity!$L80)="x",IF(AND(SUMIF(Capacity_Resource,$D68,'Critical resources (hide)'!AF$6:AF$105)+SUMIF(Capacity_Resource,$E68,'Critical resources (hide)'!AF$6:AF$105)+SUMIF(Capacity_Resource,$F68,'Critical resources (hide)'!AF$6:AF$105)&gt;0,$E$1=2),0,1),0)</f>
        <v>1</v>
      </c>
      <c r="T68" s="67">
        <f ca="1">IF(LOWER(Capacity!$L80)="x",IF(AND(SUMIF(Capacity_Resource,$D68,'Critical resources (hide)'!AG$6:AG$105)+SUMIF(Capacity_Resource,$E68,'Critical resources (hide)'!AG$6:AG$105)+SUMIF(Capacity_Resource,$F68,'Critical resources (hide)'!AG$6:AG$105)&gt;0,$E$1=2),0,1),0)</f>
        <v>1</v>
      </c>
      <c r="U68" s="67">
        <f ca="1">IF(LOWER(Capacity!$L80)="x",IF(AND(SUMIF(Capacity_Resource,$D68,'Critical resources (hide)'!AH$6:AH$105)+SUMIF(Capacity_Resource,$E68,'Critical resources (hide)'!AH$6:AH$105)+SUMIF(Capacity_Resource,$F68,'Critical resources (hide)'!AH$6:AH$105)&gt;0,$E$1=2),0,1),0)</f>
        <v>1</v>
      </c>
      <c r="V68" s="67">
        <f ca="1">IF(LOWER(Capacity!$L80)="x",IF(AND(SUMIF(Capacity_Resource,$D68,'Critical resources (hide)'!AI$6:AI$105)+SUMIF(Capacity_Resource,$E68,'Critical resources (hide)'!AI$6:AI$105)+SUMIF(Capacity_Resource,$F68,'Critical resources (hide)'!AI$6:AI$105)&gt;0,$E$1=2),0,1),0)</f>
        <v>1</v>
      </c>
      <c r="W68" s="67">
        <f ca="1">IF(LOWER(Capacity!$L80)="x",IF(AND(SUMIF(Capacity_Resource,$D68,'Critical resources (hide)'!AJ$6:AJ$105)+SUMIF(Capacity_Resource,$E68,'Critical resources (hide)'!AJ$6:AJ$105)+SUMIF(Capacity_Resource,$F68,'Critical resources (hide)'!AJ$6:AJ$105)&gt;0,$E$1=2),0,1),0)</f>
        <v>1</v>
      </c>
      <c r="X68" s="67">
        <f ca="1">IF(LOWER(Capacity!$L80)="x",IF(AND(SUMIF(Capacity_Resource,$D68,'Critical resources (hide)'!AK$6:AK$105)+SUMIF(Capacity_Resource,$E68,'Critical resources (hide)'!AK$6:AK$105)+SUMIF(Capacity_Resource,$F68,'Critical resources (hide)'!AK$6:AK$105)&gt;0,$E$1=2),0,1),0)</f>
        <v>1</v>
      </c>
      <c r="Y68" s="67">
        <f ca="1">IF(LOWER(Capacity!$L80)="x",IF(AND(SUMIF(Capacity_Resource,$D68,'Critical resources (hide)'!AL$6:AL$105)+SUMIF(Capacity_Resource,$E68,'Critical resources (hide)'!AL$6:AL$105)+SUMIF(Capacity_Resource,$F68,'Critical resources (hide)'!AL$6:AL$105)&gt;0,$E$1=2),0,1),0)</f>
        <v>1</v>
      </c>
      <c r="Z68" s="67">
        <f ca="1">IF(LOWER(Capacity!$L80)="x",IF(AND(SUMIF(Capacity_Resource,$D68,'Critical resources (hide)'!AM$6:AM$105)+SUMIF(Capacity_Resource,$E68,'Critical resources (hide)'!AM$6:AM$105)+SUMIF(Capacity_Resource,$F68,'Critical resources (hide)'!AM$6:AM$105)&gt;0,$E$1=2),0,1),0)</f>
        <v>1</v>
      </c>
      <c r="AA68" s="67">
        <f ca="1">IF(LOWER(Capacity!$L80)="x",IF(AND(SUMIF(Capacity_Resource,$D68,'Critical resources (hide)'!AN$6:AN$105)+SUMIF(Capacity_Resource,$E68,'Critical resources (hide)'!AN$6:AN$105)+SUMIF(Capacity_Resource,$F68,'Critical resources (hide)'!AN$6:AN$105)&gt;0,$E$1=2),0,1),0)</f>
        <v>1</v>
      </c>
      <c r="AB68" s="67">
        <f ca="1">IF(LOWER(Capacity!$L80)="x",IF(AND(SUMIF(Capacity_Resource,$D68,'Critical resources (hide)'!AO$6:AO$105)+SUMIF(Capacity_Resource,$E68,'Critical resources (hide)'!AO$6:AO$105)+SUMIF(Capacity_Resource,$F68,'Critical resources (hide)'!AO$6:AO$105)&gt;0,$E$1=2),0,1),0)</f>
        <v>1</v>
      </c>
      <c r="AC68" s="67">
        <f ca="1">IF(LOWER(Capacity!$L80)="x",IF(AND(SUMIF(Capacity_Resource,$D68,'Critical resources (hide)'!AP$6:AP$105)+SUMIF(Capacity_Resource,$E68,'Critical resources (hide)'!AP$6:AP$105)+SUMIF(Capacity_Resource,$F68,'Critical resources (hide)'!AP$6:AP$105)&gt;0,$E$1=2),0,1),0)</f>
        <v>1</v>
      </c>
      <c r="AD68" s="67">
        <f ca="1">IF(LOWER(Capacity!$L80)="x",IF(AND(SUMIF(Capacity_Resource,$D68,'Critical resources (hide)'!AQ$6:AQ$105)+SUMIF(Capacity_Resource,$E68,'Critical resources (hide)'!AQ$6:AQ$105)+SUMIF(Capacity_Resource,$F68,'Critical resources (hide)'!AQ$6:AQ$105)&gt;0,$E$1=2),0,1),0)</f>
        <v>1</v>
      </c>
      <c r="AE68" s="67">
        <f ca="1">IF(LOWER(Capacity!$L80)="x",IF(AND(SUMIF(Capacity_Resource,$D68,'Critical resources (hide)'!AR$6:AR$105)+SUMIF(Capacity_Resource,$E68,'Critical resources (hide)'!AR$6:AR$105)+SUMIF(Capacity_Resource,$F68,'Critical resources (hide)'!AR$6:AR$105)&gt;0,$E$1=2),0,1),0)</f>
        <v>1</v>
      </c>
      <c r="AF68" s="67">
        <f ca="1">IF(LOWER(Capacity!$L80)="x",IF(AND(SUMIF(Capacity_Resource,$D68,'Critical resources (hide)'!AS$6:AS$105)+SUMIF(Capacity_Resource,$E68,'Critical resources (hide)'!AS$6:AS$105)+SUMIF(Capacity_Resource,$F68,'Critical resources (hide)'!AS$6:AS$105)&gt;0,$E$1=2),0,1),0)</f>
        <v>1</v>
      </c>
      <c r="AG68" s="67">
        <f ca="1">IF(LOWER(Capacity!$L80)="x",IF(AND(SUMIF(Capacity_Resource,$D68,'Critical resources (hide)'!AT$6:AT$105)+SUMIF(Capacity_Resource,$E68,'Critical resources (hide)'!AT$6:AT$105)+SUMIF(Capacity_Resource,$F68,'Critical resources (hide)'!AT$6:AT$105)&gt;0,$E$1=2),0,1),0)</f>
        <v>1</v>
      </c>
      <c r="AH68" s="67">
        <f ca="1">IF(LOWER(Capacity!$L80)="x",IF(AND(SUMIF(Capacity_Resource,$D68,'Critical resources (hide)'!AU$6:AU$105)+SUMIF(Capacity_Resource,$E68,'Critical resources (hide)'!AU$6:AU$105)+SUMIF(Capacity_Resource,$F68,'Critical resources (hide)'!AU$6:AU$105)&gt;0,$E$1=2),0,1),0)</f>
        <v>1</v>
      </c>
      <c r="AI68" s="67">
        <f ca="1">IF(LOWER(Capacity!$L80)="x",IF(AND(SUMIF(Capacity_Resource,$D68,'Critical resources (hide)'!AV$6:AV$105)+SUMIF(Capacity_Resource,$E68,'Critical resources (hide)'!AV$6:AV$105)+SUMIF(Capacity_Resource,$F68,'Critical resources (hide)'!AV$6:AV$105)&gt;0,$E$1=2),0,1),0)</f>
        <v>1</v>
      </c>
      <c r="AJ68" s="67">
        <f ca="1">IF(LOWER(Capacity!$L80)="x",IF(AND(SUMIF(Capacity_Resource,$D68,'Critical resources (hide)'!AW$6:AW$105)+SUMIF(Capacity_Resource,$E68,'Critical resources (hide)'!AW$6:AW$105)+SUMIF(Capacity_Resource,$F68,'Critical resources (hide)'!AW$6:AW$105)&gt;0,$E$1=2),0,1),0)</f>
        <v>1</v>
      </c>
      <c r="AK68" s="67">
        <f ca="1">IF(LOWER(Capacity!$L80)="x",IF(AND(SUMIF(Capacity_Resource,$D68,'Critical resources (hide)'!AX$6:AX$105)+SUMIF(Capacity_Resource,$E68,'Critical resources (hide)'!AX$6:AX$105)+SUMIF(Capacity_Resource,$F68,'Critical resources (hide)'!AX$6:AX$105)&gt;0,$E$1=2),0,1),0)</f>
        <v>1</v>
      </c>
      <c r="AL68" s="67">
        <f ca="1">IF(LOWER(Capacity!$L80)="x",IF(AND(SUMIF(Capacity_Resource,$D68,'Critical resources (hide)'!AY$6:AY$105)+SUMIF(Capacity_Resource,$E68,'Critical resources (hide)'!AY$6:AY$105)+SUMIF(Capacity_Resource,$F68,'Critical resources (hide)'!AY$6:AY$105)&gt;0,$E$1=2),0,1),0)</f>
        <v>1</v>
      </c>
      <c r="AM68" s="67">
        <f ca="1">IF(LOWER(Capacity!$L80)="x",IF(AND(SUMIF(Capacity_Resource,$D68,'Critical resources (hide)'!AZ$6:AZ$105)+SUMIF(Capacity_Resource,$E68,'Critical resources (hide)'!AZ$6:AZ$105)+SUMIF(Capacity_Resource,$F68,'Critical resources (hide)'!AZ$6:AZ$105)&gt;0,$E$1=2),0,1),0)</f>
        <v>1</v>
      </c>
      <c r="AN68" s="67">
        <f ca="1">IF(LOWER(Capacity!$L80)="x",IF(AND(SUMIF(Capacity_Resource,$D68,'Critical resources (hide)'!BA$6:BA$105)+SUMIF(Capacity_Resource,$E68,'Critical resources (hide)'!BA$6:BA$105)+SUMIF(Capacity_Resource,$F68,'Critical resources (hide)'!BA$6:BA$105)&gt;0,$E$1=2),0,1),0)</f>
        <v>1</v>
      </c>
      <c r="AO68" s="67">
        <f ca="1">IF(LOWER(Capacity!$L80)="x",IF(AND(SUMIF(Capacity_Resource,$D68,'Critical resources (hide)'!BB$6:BB$105)+SUMIF(Capacity_Resource,$E68,'Critical resources (hide)'!BB$6:BB$105)+SUMIF(Capacity_Resource,$F68,'Critical resources (hide)'!BB$6:BB$105)&gt;0,$E$1=2),0,1),0)</f>
        <v>1</v>
      </c>
      <c r="AP68" s="67">
        <f ca="1">IF(LOWER(Capacity!$L80)="x",IF(AND(SUMIF(Capacity_Resource,$D68,'Critical resources (hide)'!BC$6:BC$105)+SUMIF(Capacity_Resource,$E68,'Critical resources (hide)'!BC$6:BC$105)+SUMIF(Capacity_Resource,$F68,'Critical resources (hide)'!BC$6:BC$105)&gt;0,$E$1=2),0,1),0)</f>
        <v>1</v>
      </c>
      <c r="AQ68" s="67">
        <f ca="1">IF(LOWER(Capacity!$L80)="x",IF(AND(SUMIF(Capacity_Resource,$D68,'Critical resources (hide)'!BD$6:BD$105)+SUMIF(Capacity_Resource,$E68,'Critical resources (hide)'!BD$6:BD$105)+SUMIF(Capacity_Resource,$F68,'Critical resources (hide)'!BD$6:BD$105)&gt;0,$E$1=2),0,1),0)</f>
        <v>1</v>
      </c>
      <c r="AR68" s="67">
        <f ca="1">IF(LOWER(Capacity!$L80)="x",IF(AND(SUMIF(Capacity_Resource,$D68,'Critical resources (hide)'!BE$6:BE$105)+SUMIF(Capacity_Resource,$E68,'Critical resources (hide)'!BE$6:BE$105)+SUMIF(Capacity_Resource,$F68,'Critical resources (hide)'!BE$6:BE$105)&gt;0,$E$1=2),0,1),0)</f>
        <v>1</v>
      </c>
      <c r="AS68" s="67">
        <f ca="1">IF(LOWER(Capacity!$L80)="x",IF(AND(SUMIF(Capacity_Resource,$D68,'Critical resources (hide)'!BF$6:BF$105)+SUMIF(Capacity_Resource,$E68,'Critical resources (hide)'!BF$6:BF$105)+SUMIF(Capacity_Resource,$F68,'Critical resources (hide)'!BF$6:BF$105)&gt;0,$E$1=2),0,1),0)</f>
        <v>1</v>
      </c>
      <c r="AT68" s="67">
        <f ca="1">IF(LOWER(Capacity!$L80)="x",IF(AND(SUMIF(Capacity_Resource,$D68,'Critical resources (hide)'!BG$6:BG$105)+SUMIF(Capacity_Resource,$E68,'Critical resources (hide)'!BG$6:BG$105)+SUMIF(Capacity_Resource,$F68,'Critical resources (hide)'!BG$6:BG$105)&gt;0,$E$1=2),0,1),0)</f>
        <v>1</v>
      </c>
      <c r="AU68" s="67">
        <f ca="1">IF(LOWER(Capacity!$L80)="x",IF(AND(SUMIF(Capacity_Resource,$D68,'Critical resources (hide)'!BH$6:BH$105)+SUMIF(Capacity_Resource,$E68,'Critical resources (hide)'!BH$6:BH$105)+SUMIF(Capacity_Resource,$F68,'Critical resources (hide)'!BH$6:BH$105)&gt;0,$E$1=2),0,1),0)</f>
        <v>1</v>
      </c>
      <c r="AV68" s="67">
        <f ca="1">IF(LOWER(Capacity!$L80)="x",IF(AND(SUMIF(Capacity_Resource,$D68,'Critical resources (hide)'!BI$6:BI$105)+SUMIF(Capacity_Resource,$E68,'Critical resources (hide)'!BI$6:BI$105)+SUMIF(Capacity_Resource,$F68,'Critical resources (hide)'!BI$6:BI$105)&gt;0,$E$1=2),0,1),0)</f>
        <v>1</v>
      </c>
      <c r="AW68" s="67">
        <f ca="1">IF(LOWER(Capacity!$L80)="x",IF(AND(SUMIF(Capacity_Resource,$D68,'Critical resources (hide)'!BJ$6:BJ$105)+SUMIF(Capacity_Resource,$E68,'Critical resources (hide)'!BJ$6:BJ$105)+SUMIF(Capacity_Resource,$F68,'Critical resources (hide)'!BJ$6:BJ$105)&gt;0,$E$1=2),0,1),0)</f>
        <v>1</v>
      </c>
      <c r="AX68" s="67">
        <f ca="1">IF(LOWER(Capacity!$L80)="x",IF(AND(SUMIF(Capacity_Resource,$D68,'Critical resources (hide)'!BK$6:BK$105)+SUMIF(Capacity_Resource,$E68,'Critical resources (hide)'!BK$6:BK$105)+SUMIF(Capacity_Resource,$F68,'Critical resources (hide)'!BK$6:BK$105)&gt;0,$E$1=2),0,1),0)</f>
        <v>1</v>
      </c>
      <c r="AY68" s="67">
        <f ca="1">IF(LOWER(Capacity!$L80)="x",IF(AND(SUMIF(Capacity_Resource,$D68,'Critical resources (hide)'!BL$6:BL$105)+SUMIF(Capacity_Resource,$E68,'Critical resources (hide)'!BL$6:BL$105)+SUMIF(Capacity_Resource,$F68,'Critical resources (hide)'!BL$6:BL$105)&gt;0,$E$1=2),0,1),0)</f>
        <v>1</v>
      </c>
      <c r="AZ68" s="67">
        <f ca="1">IF(LOWER(Capacity!$L80)="x",IF(AND(SUMIF(Capacity_Resource,$D68,'Critical resources (hide)'!BM$6:BM$105)+SUMIF(Capacity_Resource,$E68,'Critical resources (hide)'!BM$6:BM$105)+SUMIF(Capacity_Resource,$F68,'Critical resources (hide)'!BM$6:BM$105)&gt;0,$E$1=2),0,1),0)</f>
        <v>1</v>
      </c>
      <c r="BA68" s="67">
        <f ca="1">IF(LOWER(Capacity!$L80)="x",IF(AND(SUMIF(Capacity_Resource,$D68,'Critical resources (hide)'!BN$6:BN$105)+SUMIF(Capacity_Resource,$E68,'Critical resources (hide)'!BN$6:BN$105)+SUMIF(Capacity_Resource,$F68,'Critical resources (hide)'!BN$6:BN$105)&gt;0,$E$1=2),0,1),0)</f>
        <v>1</v>
      </c>
      <c r="BB68" s="67">
        <f ca="1">IF(LOWER(Capacity!$L80)="x",IF(AND(SUMIF(Capacity_Resource,$D68,'Critical resources (hide)'!BO$6:BO$105)+SUMIF(Capacity_Resource,$E68,'Critical resources (hide)'!BO$6:BO$105)+SUMIF(Capacity_Resource,$F68,'Critical resources (hide)'!BO$6:BO$105)&gt;0,$E$1=2),0,1),0)</f>
        <v>1</v>
      </c>
      <c r="BC68" s="67">
        <f ca="1">IF(LOWER(Capacity!$L80)="x",IF(AND(SUMIF(Capacity_Resource,$D68,'Critical resources (hide)'!BP$6:BP$105)+SUMIF(Capacity_Resource,$E68,'Critical resources (hide)'!BP$6:BP$105)+SUMIF(Capacity_Resource,$F68,'Critical resources (hide)'!BP$6:BP$105)&gt;0,$E$1=2),0,1),0)</f>
        <v>1</v>
      </c>
      <c r="BD68" s="67">
        <f ca="1">IF(LOWER(Capacity!$L80)="x",IF(AND(SUMIF(Capacity_Resource,$D68,'Critical resources (hide)'!BQ$6:BQ$105)+SUMIF(Capacity_Resource,$E68,'Critical resources (hide)'!BQ$6:BQ$105)+SUMIF(Capacity_Resource,$F68,'Critical resources (hide)'!BQ$6:BQ$105)&gt;0,$E$1=2),0,1),0)</f>
        <v>1</v>
      </c>
      <c r="BE68" s="67">
        <f ca="1">IF(LOWER(Capacity!$L80)="x",IF(AND(SUMIF(Capacity_Resource,$D68,'Critical resources (hide)'!BR$6:BR$105)+SUMIF(Capacity_Resource,$E68,'Critical resources (hide)'!BR$6:BR$105)+SUMIF(Capacity_Resource,$F68,'Critical resources (hide)'!BR$6:BR$105)&gt;0,$E$1=2),0,1),0)</f>
        <v>1</v>
      </c>
      <c r="BF68" s="67">
        <f ca="1">IF(LOWER(Capacity!$L80)="x",IF(AND(SUMIF(Capacity_Resource,$D68,'Critical resources (hide)'!BS$6:BS$105)+SUMIF(Capacity_Resource,$E68,'Critical resources (hide)'!BS$6:BS$105)+SUMIF(Capacity_Resource,$F68,'Critical resources (hide)'!BS$6:BS$105)&gt;0,$E$1=2),0,1),0)</f>
        <v>1</v>
      </c>
      <c r="BG68" s="67">
        <f ca="1">IF(LOWER(Capacity!$L80)="x",IF(AND(SUMIF(Capacity_Resource,$D68,'Critical resources (hide)'!BT$6:BT$105)+SUMIF(Capacity_Resource,$E68,'Critical resources (hide)'!BT$6:BT$105)+SUMIF(Capacity_Resource,$F68,'Critical resources (hide)'!BT$6:BT$105)&gt;0,$E$1=2),0,1),0)</f>
        <v>1</v>
      </c>
      <c r="BH68" s="67">
        <f>IF(ROW(C64)&lt;=Capacity!$A$16,IF('Capacity summary'!$D$14="No",SUM(H68:BG68),'Capacity summary'!$E187),0)</f>
        <v>0</v>
      </c>
      <c r="BI68" s="5" t="str">
        <f>IF(BH68&gt;0,IF(BH68&lt;Capacity!E80,Capacity!F80,Capacity!H80/'Capacity calculation (hide)'!BH68),"")</f>
        <v/>
      </c>
      <c r="BK68" s="311">
        <f>IF($BI68&lt;&gt;"",IF('Capacity summary'!$D$14="Yes",IF(COUNTBLANK('Capacity summary'!$H187:$BG187)&lt;52,IF('Capacity summary'!H187&lt;&gt;"",IF(LOWER('Capacity summary'!H187)="x",$BI68*H68,VALUE('Capacity summary'!H187)),0),H68*$BI68),H68*$BI68),0)</f>
        <v>0</v>
      </c>
      <c r="BL68" s="311">
        <f>IF($BI68&lt;&gt;"",IF('Capacity summary'!$D$14="Yes",IF(COUNTBLANK('Capacity summary'!$H187:$BG187)&lt;52,IF('Capacity summary'!I187&lt;&gt;"",IF(LOWER('Capacity summary'!I187)="x",$BI68*I68,VALUE('Capacity summary'!I187)),0),I68*$BI68),I68*$BI68),0)</f>
        <v>0</v>
      </c>
      <c r="BM68" s="311">
        <f>IF($BI68&lt;&gt;"",IF('Capacity summary'!$D$14="Yes",IF(COUNTBLANK('Capacity summary'!$H187:$BG187)&lt;52,IF('Capacity summary'!J187&lt;&gt;"",IF(LOWER('Capacity summary'!J187)="x",$BI68*J68,VALUE('Capacity summary'!J187)),0),J68*$BI68),J68*$BI68),0)</f>
        <v>0</v>
      </c>
      <c r="BN68" s="311">
        <f>IF($BI68&lt;&gt;"",IF('Capacity summary'!$D$14="Yes",IF(COUNTBLANK('Capacity summary'!$H187:$BG187)&lt;52,IF('Capacity summary'!K187&lt;&gt;"",IF(LOWER('Capacity summary'!K187)="x",$BI68*K68,VALUE('Capacity summary'!K187)),0),K68*$BI68),K68*$BI68),0)</f>
        <v>0</v>
      </c>
      <c r="BO68" s="311">
        <f>IF($BI68&lt;&gt;"",IF('Capacity summary'!$D$14="Yes",IF(COUNTBLANK('Capacity summary'!$H187:$BG187)&lt;52,IF('Capacity summary'!L187&lt;&gt;"",IF(LOWER('Capacity summary'!L187)="x",$BI68*L68,VALUE('Capacity summary'!L187)),0),L68*$BI68),L68*$BI68),0)</f>
        <v>0</v>
      </c>
      <c r="BP68" s="311">
        <f>IF($BI68&lt;&gt;"",IF('Capacity summary'!$D$14="Yes",IF(COUNTBLANK('Capacity summary'!$H187:$BG187)&lt;52,IF('Capacity summary'!M187&lt;&gt;"",IF(LOWER('Capacity summary'!M187)="x",$BI68*M68,VALUE('Capacity summary'!M187)),0),M68*$BI68),M68*$BI68),0)</f>
        <v>0</v>
      </c>
      <c r="BQ68" s="311">
        <f>IF($BI68&lt;&gt;"",IF('Capacity summary'!$D$14="Yes",IF(COUNTBLANK('Capacity summary'!$H187:$BG187)&lt;52,IF('Capacity summary'!N187&lt;&gt;"",IF(LOWER('Capacity summary'!N187)="x",$BI68*N68,VALUE('Capacity summary'!N187)),0),N68*$BI68),N68*$BI68),0)</f>
        <v>0</v>
      </c>
      <c r="BR68" s="311">
        <f>IF($BI68&lt;&gt;"",IF('Capacity summary'!$D$14="Yes",IF(COUNTBLANK('Capacity summary'!$H187:$BG187)&lt;52,IF('Capacity summary'!O187&lt;&gt;"",IF(LOWER('Capacity summary'!O187)="x",$BI68*O68,VALUE('Capacity summary'!O187)),0),O68*$BI68),O68*$BI68),0)</f>
        <v>0</v>
      </c>
      <c r="BS68" s="311">
        <f>IF($BI68&lt;&gt;"",IF('Capacity summary'!$D$14="Yes",IF(COUNTBLANK('Capacity summary'!$H187:$BG187)&lt;52,IF('Capacity summary'!P187&lt;&gt;"",IF(LOWER('Capacity summary'!P187)="x",$BI68*P68,VALUE('Capacity summary'!P187)),0),P68*$BI68),P68*$BI68),0)</f>
        <v>0</v>
      </c>
      <c r="BT68" s="311">
        <f>IF($BI68&lt;&gt;"",IF('Capacity summary'!$D$14="Yes",IF(COUNTBLANK('Capacity summary'!$H187:$BG187)&lt;52,IF('Capacity summary'!Q187&lt;&gt;"",IF(LOWER('Capacity summary'!Q187)="x",$BI68*Q68,VALUE('Capacity summary'!Q187)),0),Q68*$BI68),Q68*$BI68),0)</f>
        <v>0</v>
      </c>
      <c r="BU68" s="311">
        <f>IF($BI68&lt;&gt;"",IF('Capacity summary'!$D$14="Yes",IF(COUNTBLANK('Capacity summary'!$H187:$BG187)&lt;52,IF('Capacity summary'!R187&lt;&gt;"",IF(LOWER('Capacity summary'!R187)="x",$BI68*R68,VALUE('Capacity summary'!R187)),0),R68*$BI68),R68*$BI68),0)</f>
        <v>0</v>
      </c>
      <c r="BV68" s="311">
        <f>IF($BI68&lt;&gt;"",IF('Capacity summary'!$D$14="Yes",IF(COUNTBLANK('Capacity summary'!$H187:$BG187)&lt;52,IF('Capacity summary'!S187&lt;&gt;"",IF(LOWER('Capacity summary'!S187)="x",$BI68*S68,VALUE('Capacity summary'!S187)),0),S68*$BI68),S68*$BI68),0)</f>
        <v>0</v>
      </c>
      <c r="BW68" s="311">
        <f>IF($BI68&lt;&gt;"",IF('Capacity summary'!$D$14="Yes",IF(COUNTBLANK('Capacity summary'!$H187:$BG187)&lt;52,IF('Capacity summary'!T187&lt;&gt;"",IF(LOWER('Capacity summary'!T187)="x",$BI68*T68,VALUE('Capacity summary'!T187)),0),T68*$BI68),T68*$BI68),0)</f>
        <v>0</v>
      </c>
      <c r="BX68" s="311">
        <f>IF($BI68&lt;&gt;"",IF('Capacity summary'!$D$14="Yes",IF(COUNTBLANK('Capacity summary'!$H187:$BG187)&lt;52,IF('Capacity summary'!U187&lt;&gt;"",IF(LOWER('Capacity summary'!U187)="x",$BI68*U68,VALUE('Capacity summary'!U187)),0),U68*$BI68),U68*$BI68),0)</f>
        <v>0</v>
      </c>
      <c r="BY68" s="311">
        <f>IF($BI68&lt;&gt;"",IF('Capacity summary'!$D$14="Yes",IF(COUNTBLANK('Capacity summary'!$H187:$BG187)&lt;52,IF('Capacity summary'!V187&lt;&gt;"",IF(LOWER('Capacity summary'!V187)="x",$BI68*V68,VALUE('Capacity summary'!V187)),0),V68*$BI68),V68*$BI68),0)</f>
        <v>0</v>
      </c>
      <c r="BZ68" s="311">
        <f>IF($BI68&lt;&gt;"",IF('Capacity summary'!$D$14="Yes",IF(COUNTBLANK('Capacity summary'!$H187:$BG187)&lt;52,IF('Capacity summary'!W187&lt;&gt;"",IF(LOWER('Capacity summary'!W187)="x",$BI68*W68,VALUE('Capacity summary'!W187)),0),W68*$BI68),W68*$BI68),0)</f>
        <v>0</v>
      </c>
      <c r="CA68" s="311">
        <f>IF($BI68&lt;&gt;"",IF('Capacity summary'!$D$14="Yes",IF(COUNTBLANK('Capacity summary'!$H187:$BG187)&lt;52,IF('Capacity summary'!X187&lt;&gt;"",IF(LOWER('Capacity summary'!X187)="x",$BI68*X68,VALUE('Capacity summary'!X187)),0),X68*$BI68),X68*$BI68),0)</f>
        <v>0</v>
      </c>
      <c r="CB68" s="311">
        <f>IF($BI68&lt;&gt;"",IF('Capacity summary'!$D$14="Yes",IF(COUNTBLANK('Capacity summary'!$H187:$BG187)&lt;52,IF('Capacity summary'!Y187&lt;&gt;"",IF(LOWER('Capacity summary'!Y187)="x",$BI68*Y68,VALUE('Capacity summary'!Y187)),0),Y68*$BI68),Y68*$BI68),0)</f>
        <v>0</v>
      </c>
      <c r="CC68" s="311">
        <f>IF($BI68&lt;&gt;"",IF('Capacity summary'!$D$14="Yes",IF(COUNTBLANK('Capacity summary'!$H187:$BG187)&lt;52,IF('Capacity summary'!Z187&lt;&gt;"",IF(LOWER('Capacity summary'!Z187)="x",$BI68*Z68,VALUE('Capacity summary'!Z187)),0),Z68*$BI68),Z68*$BI68),0)</f>
        <v>0</v>
      </c>
      <c r="CD68" s="311">
        <f>IF($BI68&lt;&gt;"",IF('Capacity summary'!$D$14="Yes",IF(COUNTBLANK('Capacity summary'!$H187:$BG187)&lt;52,IF('Capacity summary'!AA187&lt;&gt;"",IF(LOWER('Capacity summary'!AA187)="x",$BI68*AA68,VALUE('Capacity summary'!AA187)),0),AA68*$BI68),AA68*$BI68),0)</f>
        <v>0</v>
      </c>
      <c r="CE68" s="311">
        <f>IF($BI68&lt;&gt;"",IF('Capacity summary'!$D$14="Yes",IF(COUNTBLANK('Capacity summary'!$H187:$BG187)&lt;52,IF('Capacity summary'!AB187&lt;&gt;"",IF(LOWER('Capacity summary'!AB187)="x",$BI68*AB68,VALUE('Capacity summary'!AB187)),0),AB68*$BI68),AB68*$BI68),0)</f>
        <v>0</v>
      </c>
      <c r="CF68" s="311">
        <f>IF($BI68&lt;&gt;"",IF('Capacity summary'!$D$14="Yes",IF(COUNTBLANK('Capacity summary'!$H187:$BG187)&lt;52,IF('Capacity summary'!AC187&lt;&gt;"",IF(LOWER('Capacity summary'!AC187)="x",$BI68*AC68,VALUE('Capacity summary'!AC187)),0),AC68*$BI68),AC68*$BI68),0)</f>
        <v>0</v>
      </c>
      <c r="CG68" s="311">
        <f>IF($BI68&lt;&gt;"",IF('Capacity summary'!$D$14="Yes",IF(COUNTBLANK('Capacity summary'!$H187:$BG187)&lt;52,IF('Capacity summary'!AD187&lt;&gt;"",IF(LOWER('Capacity summary'!AD187)="x",$BI68*AD68,VALUE('Capacity summary'!AD187)),0),AD68*$BI68),AD68*$BI68),0)</f>
        <v>0</v>
      </c>
      <c r="CH68" s="311">
        <f>IF($BI68&lt;&gt;"",IF('Capacity summary'!$D$14="Yes",IF(COUNTBLANK('Capacity summary'!$H187:$BG187)&lt;52,IF('Capacity summary'!AE187&lt;&gt;"",IF(LOWER('Capacity summary'!AE187)="x",$BI68*AE68,VALUE('Capacity summary'!AE187)),0),AE68*$BI68),AE68*$BI68),0)</f>
        <v>0</v>
      </c>
      <c r="CI68" s="311">
        <f>IF($BI68&lt;&gt;"",IF('Capacity summary'!$D$14="Yes",IF(COUNTBLANK('Capacity summary'!$H187:$BG187)&lt;52,IF('Capacity summary'!AF187&lt;&gt;"",IF(LOWER('Capacity summary'!AF187)="x",$BI68*AF68,VALUE('Capacity summary'!AF187)),0),AF68*$BI68),AF68*$BI68),0)</f>
        <v>0</v>
      </c>
      <c r="CJ68" s="311">
        <f>IF($BI68&lt;&gt;"",IF('Capacity summary'!$D$14="Yes",IF(COUNTBLANK('Capacity summary'!$H187:$BG187)&lt;52,IF('Capacity summary'!AG187&lt;&gt;"",IF(LOWER('Capacity summary'!AG187)="x",$BI68*AG68,VALUE('Capacity summary'!AG187)),0),AG68*$BI68),AG68*$BI68),0)</f>
        <v>0</v>
      </c>
      <c r="CK68" s="311">
        <f>IF($BI68&lt;&gt;"",IF('Capacity summary'!$D$14="Yes",IF(COUNTBLANK('Capacity summary'!$H187:$BG187)&lt;52,IF('Capacity summary'!AH187&lt;&gt;"",IF(LOWER('Capacity summary'!AH187)="x",$BI68*AH68,VALUE('Capacity summary'!AH187)),0),AH68*$BI68),AH68*$BI68),0)</f>
        <v>0</v>
      </c>
      <c r="CL68" s="311">
        <f>IF($BI68&lt;&gt;"",IF('Capacity summary'!$D$14="Yes",IF(COUNTBLANK('Capacity summary'!$H187:$BG187)&lt;52,IF('Capacity summary'!AI187&lt;&gt;"",IF(LOWER('Capacity summary'!AI187)="x",$BI68*AI68,VALUE('Capacity summary'!AI187)),0),AI68*$BI68),AI68*$BI68),0)</f>
        <v>0</v>
      </c>
      <c r="CM68" s="311">
        <f>IF($BI68&lt;&gt;"",IF('Capacity summary'!$D$14="Yes",IF(COUNTBLANK('Capacity summary'!$H187:$BG187)&lt;52,IF('Capacity summary'!AJ187&lt;&gt;"",IF(LOWER('Capacity summary'!AJ187)="x",$BI68*AJ68,VALUE('Capacity summary'!AJ187)),0),AJ68*$BI68),AJ68*$BI68),0)</f>
        <v>0</v>
      </c>
      <c r="CN68" s="311">
        <f>IF($BI68&lt;&gt;"",IF('Capacity summary'!$D$14="Yes",IF(COUNTBLANK('Capacity summary'!$H187:$BG187)&lt;52,IF('Capacity summary'!AK187&lt;&gt;"",IF(LOWER('Capacity summary'!AK187)="x",$BI68*AK68,VALUE('Capacity summary'!AK187)),0),AK68*$BI68),AK68*$BI68),0)</f>
        <v>0</v>
      </c>
      <c r="CO68" s="311">
        <f>IF($BI68&lt;&gt;"",IF('Capacity summary'!$D$14="Yes",IF(COUNTBLANK('Capacity summary'!$H187:$BG187)&lt;52,IF('Capacity summary'!AL187&lt;&gt;"",IF(LOWER('Capacity summary'!AL187)="x",$BI68*AL68,VALUE('Capacity summary'!AL187)),0),AL68*$BI68),AL68*$BI68),0)</f>
        <v>0</v>
      </c>
      <c r="CP68" s="311">
        <f>IF($BI68&lt;&gt;"",IF('Capacity summary'!$D$14="Yes",IF(COUNTBLANK('Capacity summary'!$H187:$BG187)&lt;52,IF('Capacity summary'!AM187&lt;&gt;"",IF(LOWER('Capacity summary'!AM187)="x",$BI68*AM68,VALUE('Capacity summary'!AM187)),0),AM68*$BI68),AM68*$BI68),0)</f>
        <v>0</v>
      </c>
      <c r="CQ68" s="311">
        <f>IF($BI68&lt;&gt;"",IF('Capacity summary'!$D$14="Yes",IF(COUNTBLANK('Capacity summary'!$H187:$BG187)&lt;52,IF('Capacity summary'!AN187&lt;&gt;"",IF(LOWER('Capacity summary'!AN187)="x",$BI68*AN68,VALUE('Capacity summary'!AN187)),0),AN68*$BI68),AN68*$BI68),0)</f>
        <v>0</v>
      </c>
      <c r="CR68" s="311">
        <f>IF($BI68&lt;&gt;"",IF('Capacity summary'!$D$14="Yes",IF(COUNTBLANK('Capacity summary'!$H187:$BG187)&lt;52,IF('Capacity summary'!AO187&lt;&gt;"",IF(LOWER('Capacity summary'!AO187)="x",$BI68*AO68,VALUE('Capacity summary'!AO187)),0),AO68*$BI68),AO68*$BI68),0)</f>
        <v>0</v>
      </c>
      <c r="CS68" s="311">
        <f>IF($BI68&lt;&gt;"",IF('Capacity summary'!$D$14="Yes",IF(COUNTBLANK('Capacity summary'!$H187:$BG187)&lt;52,IF('Capacity summary'!AP187&lt;&gt;"",IF(LOWER('Capacity summary'!AP187)="x",$BI68*AP68,VALUE('Capacity summary'!AP187)),0),AP68*$BI68),AP68*$BI68),0)</f>
        <v>0</v>
      </c>
      <c r="CT68" s="311">
        <f>IF($BI68&lt;&gt;"",IF('Capacity summary'!$D$14="Yes",IF(COUNTBLANK('Capacity summary'!$H187:$BG187)&lt;52,IF('Capacity summary'!AQ187&lt;&gt;"",IF(LOWER('Capacity summary'!AQ187)="x",$BI68*AQ68,VALUE('Capacity summary'!AQ187)),0),AQ68*$BI68),AQ68*$BI68),0)</f>
        <v>0</v>
      </c>
      <c r="CU68" s="311">
        <f>IF($BI68&lt;&gt;"",IF('Capacity summary'!$D$14="Yes",IF(COUNTBLANK('Capacity summary'!$H187:$BG187)&lt;52,IF('Capacity summary'!AR187&lt;&gt;"",IF(LOWER('Capacity summary'!AR187)="x",$BI68*AR68,VALUE('Capacity summary'!AR187)),0),AR68*$BI68),AR68*$BI68),0)</f>
        <v>0</v>
      </c>
      <c r="CV68" s="311">
        <f>IF($BI68&lt;&gt;"",IF('Capacity summary'!$D$14="Yes",IF(COUNTBLANK('Capacity summary'!$H187:$BG187)&lt;52,IF('Capacity summary'!AS187&lt;&gt;"",IF(LOWER('Capacity summary'!AS187)="x",$BI68*AS68,VALUE('Capacity summary'!AS187)),0),AS68*$BI68),AS68*$BI68),0)</f>
        <v>0</v>
      </c>
      <c r="CW68" s="311">
        <f>IF($BI68&lt;&gt;"",IF('Capacity summary'!$D$14="Yes",IF(COUNTBLANK('Capacity summary'!$H187:$BG187)&lt;52,IF('Capacity summary'!AT187&lt;&gt;"",IF(LOWER('Capacity summary'!AT187)="x",$BI68*AT68,VALUE('Capacity summary'!AT187)),0),AT68*$BI68),AT68*$BI68),0)</f>
        <v>0</v>
      </c>
      <c r="CX68" s="311">
        <f>IF($BI68&lt;&gt;"",IF('Capacity summary'!$D$14="Yes",IF(COUNTBLANK('Capacity summary'!$H187:$BG187)&lt;52,IF('Capacity summary'!AU187&lt;&gt;"",IF(LOWER('Capacity summary'!AU187)="x",$BI68*AU68,VALUE('Capacity summary'!AU187)),0),AU68*$BI68),AU68*$BI68),0)</f>
        <v>0</v>
      </c>
      <c r="CY68" s="311">
        <f>IF($BI68&lt;&gt;"",IF('Capacity summary'!$D$14="Yes",IF(COUNTBLANK('Capacity summary'!$H187:$BG187)&lt;52,IF('Capacity summary'!AV187&lt;&gt;"",IF(LOWER('Capacity summary'!AV187)="x",$BI68*AV68,VALUE('Capacity summary'!AV187)),0),AV68*$BI68),AV68*$BI68),0)</f>
        <v>0</v>
      </c>
      <c r="CZ68" s="311">
        <f>IF($BI68&lt;&gt;"",IF('Capacity summary'!$D$14="Yes",IF(COUNTBLANK('Capacity summary'!$H187:$BG187)&lt;52,IF('Capacity summary'!AW187&lt;&gt;"",IF(LOWER('Capacity summary'!AW187)="x",$BI68*AW68,VALUE('Capacity summary'!AW187)),0),AW68*$BI68),AW68*$BI68),0)</f>
        <v>0</v>
      </c>
      <c r="DA68" s="311">
        <f>IF($BI68&lt;&gt;"",IF('Capacity summary'!$D$14="Yes",IF(COUNTBLANK('Capacity summary'!$H187:$BG187)&lt;52,IF('Capacity summary'!AX187&lt;&gt;"",IF(LOWER('Capacity summary'!AX187)="x",$BI68*AX68,VALUE('Capacity summary'!AX187)),0),AX68*$BI68),AX68*$BI68),0)</f>
        <v>0</v>
      </c>
      <c r="DB68" s="311">
        <f>IF($BI68&lt;&gt;"",IF('Capacity summary'!$D$14="Yes",IF(COUNTBLANK('Capacity summary'!$H187:$BG187)&lt;52,IF('Capacity summary'!AY187&lt;&gt;"",IF(LOWER('Capacity summary'!AY187)="x",$BI68*AY68,VALUE('Capacity summary'!AY187)),0),AY68*$BI68),AY68*$BI68),0)</f>
        <v>0</v>
      </c>
      <c r="DC68" s="311">
        <f>IF($BI68&lt;&gt;"",IF('Capacity summary'!$D$14="Yes",IF(COUNTBLANK('Capacity summary'!$H187:$BG187)&lt;52,IF('Capacity summary'!AZ187&lt;&gt;"",IF(LOWER('Capacity summary'!AZ187)="x",$BI68*AZ68,VALUE('Capacity summary'!AZ187)),0),AZ68*$BI68),AZ68*$BI68),0)</f>
        <v>0</v>
      </c>
      <c r="DD68" s="311">
        <f>IF($BI68&lt;&gt;"",IF('Capacity summary'!$D$14="Yes",IF(COUNTBLANK('Capacity summary'!$H187:$BG187)&lt;52,IF('Capacity summary'!BA187&lt;&gt;"",IF(LOWER('Capacity summary'!BA187)="x",$BI68*BA68,VALUE('Capacity summary'!BA187)),0),BA68*$BI68),BA68*$BI68),0)</f>
        <v>0</v>
      </c>
      <c r="DE68" s="311">
        <f>IF($BI68&lt;&gt;"",IF('Capacity summary'!$D$14="Yes",IF(COUNTBLANK('Capacity summary'!$H187:$BG187)&lt;52,IF('Capacity summary'!BB187&lt;&gt;"",IF(LOWER('Capacity summary'!BB187)="x",$BI68*BB68,VALUE('Capacity summary'!BB187)),0),BB68*$BI68),BB68*$BI68),0)</f>
        <v>0</v>
      </c>
      <c r="DF68" s="311">
        <f>IF($BI68&lt;&gt;"",IF('Capacity summary'!$D$14="Yes",IF(COUNTBLANK('Capacity summary'!$H187:$BG187)&lt;52,IF('Capacity summary'!BC187&lt;&gt;"",IF(LOWER('Capacity summary'!BC187)="x",$BI68*BC68,VALUE('Capacity summary'!BC187)),0),BC68*$BI68),BC68*$BI68),0)</f>
        <v>0</v>
      </c>
      <c r="DG68" s="311">
        <f>IF($BI68&lt;&gt;"",IF('Capacity summary'!$D$14="Yes",IF(COUNTBLANK('Capacity summary'!$H187:$BG187)&lt;52,IF('Capacity summary'!BD187&lt;&gt;"",IF(LOWER('Capacity summary'!BD187)="x",$BI68*BD68,VALUE('Capacity summary'!BD187)),0),BD68*$BI68),BD68*$BI68),0)</f>
        <v>0</v>
      </c>
      <c r="DH68" s="311">
        <f>IF($BI68&lt;&gt;"",IF('Capacity summary'!$D$14="Yes",IF(COUNTBLANK('Capacity summary'!$H187:$BG187)&lt;52,IF('Capacity summary'!BE187&lt;&gt;"",IF(LOWER('Capacity summary'!BE187)="x",$BI68*BE68,VALUE('Capacity summary'!BE187)),0),BE68*$BI68),BE68*$BI68),0)</f>
        <v>0</v>
      </c>
      <c r="DI68" s="311">
        <f>IF($BI68&lt;&gt;"",IF('Capacity summary'!$D$14="Yes",IF(COUNTBLANK('Capacity summary'!$H187:$BG187)&lt;52,IF('Capacity summary'!BF187&lt;&gt;"",IF(LOWER('Capacity summary'!BF187)="x",$BI68*BF68,VALUE('Capacity summary'!BF187)),0),BF68*$BI68),BF68*$BI68),0)</f>
        <v>0</v>
      </c>
      <c r="DJ68" s="311">
        <f>IF($BI68&lt;&gt;"",IF('Capacity summary'!$D$14="Yes",IF(COUNTBLANK('Capacity summary'!$H187:$BG187)&lt;52,IF('Capacity summary'!BG187&lt;&gt;"",IF(LOWER('Capacity summary'!BG187)="x",$BI68*BG68,VALUE('Capacity summary'!BG187)),0),BG68*$BI68),BG68*$BI68),0)</f>
        <v>0</v>
      </c>
      <c r="DK68" s="391">
        <f t="shared" si="2"/>
        <v>0</v>
      </c>
      <c r="DL68" s="136">
        <f t="shared" si="3"/>
        <v>0</v>
      </c>
      <c r="DM68" s="311" t="str">
        <f>Capacity!H80</f>
        <v/>
      </c>
    </row>
    <row r="69" spans="1:117" x14ac:dyDescent="0.2">
      <c r="A69" s="67">
        <f>IF(Capacity!L81='Capacity summary'!BI188,1,0)</f>
        <v>1</v>
      </c>
      <c r="B69" s="67">
        <f>IF(Capacity!V81='Capacity summary'!BI88,1,0)</f>
        <v>1</v>
      </c>
      <c r="C69" s="67" t="str">
        <f>ROW(A65)&amp;". "&amp;Capacity!B81</f>
        <v xml:space="preserve">65. </v>
      </c>
      <c r="D69" s="67">
        <f>'Capacity setup'!C76</f>
        <v>0</v>
      </c>
      <c r="E69" s="67">
        <f>'Capacity setup'!D76</f>
        <v>0</v>
      </c>
      <c r="F69" s="67">
        <f>'Capacity setup'!E76</f>
        <v>0</v>
      </c>
      <c r="H69" s="67">
        <f ca="1">IF(LOWER(Capacity!$L81)="x",IF(AND(SUMIF(Capacity_Resource,$D69,'Critical resources (hide)'!U$6:U$105)+SUMIF(Capacity_Resource,$E69,'Critical resources (hide)'!U$6:U$105)+SUMIF(Capacity_Resource,$F69,'Critical resources (hide)'!U$6:U$105)&gt;0,$E$1=2),0,1),0)</f>
        <v>1</v>
      </c>
      <c r="I69" s="67">
        <f ca="1">IF(LOWER(Capacity!$L81)="x",IF(AND(SUMIF(Capacity_Resource,$D69,'Critical resources (hide)'!V$6:V$105)+SUMIF(Capacity_Resource,$E69,'Critical resources (hide)'!V$6:V$105)+SUMIF(Capacity_Resource,$F69,'Critical resources (hide)'!V$6:V$105)&gt;0,$E$1=2),0,1),0)</f>
        <v>1</v>
      </c>
      <c r="J69" s="67">
        <f ca="1">IF(LOWER(Capacity!$L81)="x",IF(AND(SUMIF(Capacity_Resource,$D69,'Critical resources (hide)'!W$6:W$105)+SUMIF(Capacity_Resource,$E69,'Critical resources (hide)'!W$6:W$105)+SUMIF(Capacity_Resource,$F69,'Critical resources (hide)'!W$6:W$105)&gt;0,$E$1=2),0,1),0)</f>
        <v>1</v>
      </c>
      <c r="K69" s="67">
        <f ca="1">IF(LOWER(Capacity!$L81)="x",IF(AND(SUMIF(Capacity_Resource,$D69,'Critical resources (hide)'!X$6:X$105)+SUMIF(Capacity_Resource,$E69,'Critical resources (hide)'!X$6:X$105)+SUMIF(Capacity_Resource,$F69,'Critical resources (hide)'!X$6:X$105)&gt;0,$E$1=2),0,1),0)</f>
        <v>1</v>
      </c>
      <c r="L69" s="67">
        <f ca="1">IF(LOWER(Capacity!$L81)="x",IF(AND(SUMIF(Capacity_Resource,$D69,'Critical resources (hide)'!Y$6:Y$105)+SUMIF(Capacity_Resource,$E69,'Critical resources (hide)'!Y$6:Y$105)+SUMIF(Capacity_Resource,$F69,'Critical resources (hide)'!Y$6:Y$105)&gt;0,$E$1=2),0,1),0)</f>
        <v>1</v>
      </c>
      <c r="M69" s="67">
        <f ca="1">IF(LOWER(Capacity!$L81)="x",IF(AND(SUMIF(Capacity_Resource,$D69,'Critical resources (hide)'!Z$6:Z$105)+SUMIF(Capacity_Resource,$E69,'Critical resources (hide)'!Z$6:Z$105)+SUMIF(Capacity_Resource,$F69,'Critical resources (hide)'!Z$6:Z$105)&gt;0,$E$1=2),0,1),0)</f>
        <v>1</v>
      </c>
      <c r="N69" s="67">
        <f ca="1">IF(LOWER(Capacity!$L81)="x",IF(AND(SUMIF(Capacity_Resource,$D69,'Critical resources (hide)'!AA$6:AA$105)+SUMIF(Capacity_Resource,$E69,'Critical resources (hide)'!AA$6:AA$105)+SUMIF(Capacity_Resource,$F69,'Critical resources (hide)'!AA$6:AA$105)&gt;0,$E$1=2),0,1),0)</f>
        <v>1</v>
      </c>
      <c r="O69" s="67">
        <f ca="1">IF(LOWER(Capacity!$L81)="x",IF(AND(SUMIF(Capacity_Resource,$D69,'Critical resources (hide)'!AB$6:AB$105)+SUMIF(Capacity_Resource,$E69,'Critical resources (hide)'!AB$6:AB$105)+SUMIF(Capacity_Resource,$F69,'Critical resources (hide)'!AB$6:AB$105)&gt;0,$E$1=2),0,1),0)</f>
        <v>1</v>
      </c>
      <c r="P69" s="67">
        <f ca="1">IF(LOWER(Capacity!$L81)="x",IF(AND(SUMIF(Capacity_Resource,$D69,'Critical resources (hide)'!AC$6:AC$105)+SUMIF(Capacity_Resource,$E69,'Critical resources (hide)'!AC$6:AC$105)+SUMIF(Capacity_Resource,$F69,'Critical resources (hide)'!AC$6:AC$105)&gt;0,$E$1=2),0,1),0)</f>
        <v>1</v>
      </c>
      <c r="Q69" s="67">
        <f ca="1">IF(LOWER(Capacity!$L81)="x",IF(AND(SUMIF(Capacity_Resource,$D69,'Critical resources (hide)'!AD$6:AD$105)+SUMIF(Capacity_Resource,$E69,'Critical resources (hide)'!AD$6:AD$105)+SUMIF(Capacity_Resource,$F69,'Critical resources (hide)'!AD$6:AD$105)&gt;0,$E$1=2),0,1),0)</f>
        <v>1</v>
      </c>
      <c r="R69" s="67">
        <f ca="1">IF(LOWER(Capacity!$L81)="x",IF(AND(SUMIF(Capacity_Resource,$D69,'Critical resources (hide)'!AE$6:AE$105)+SUMIF(Capacity_Resource,$E69,'Critical resources (hide)'!AE$6:AE$105)+SUMIF(Capacity_Resource,$F69,'Critical resources (hide)'!AE$6:AE$105)&gt;0,$E$1=2),0,1),0)</f>
        <v>1</v>
      </c>
      <c r="S69" s="67">
        <f ca="1">IF(LOWER(Capacity!$L81)="x",IF(AND(SUMIF(Capacity_Resource,$D69,'Critical resources (hide)'!AF$6:AF$105)+SUMIF(Capacity_Resource,$E69,'Critical resources (hide)'!AF$6:AF$105)+SUMIF(Capacity_Resource,$F69,'Critical resources (hide)'!AF$6:AF$105)&gt;0,$E$1=2),0,1),0)</f>
        <v>1</v>
      </c>
      <c r="T69" s="67">
        <f ca="1">IF(LOWER(Capacity!$L81)="x",IF(AND(SUMIF(Capacity_Resource,$D69,'Critical resources (hide)'!AG$6:AG$105)+SUMIF(Capacity_Resource,$E69,'Critical resources (hide)'!AG$6:AG$105)+SUMIF(Capacity_Resource,$F69,'Critical resources (hide)'!AG$6:AG$105)&gt;0,$E$1=2),0,1),0)</f>
        <v>1</v>
      </c>
      <c r="U69" s="67">
        <f ca="1">IF(LOWER(Capacity!$L81)="x",IF(AND(SUMIF(Capacity_Resource,$D69,'Critical resources (hide)'!AH$6:AH$105)+SUMIF(Capacity_Resource,$E69,'Critical resources (hide)'!AH$6:AH$105)+SUMIF(Capacity_Resource,$F69,'Critical resources (hide)'!AH$6:AH$105)&gt;0,$E$1=2),0,1),0)</f>
        <v>1</v>
      </c>
      <c r="V69" s="67">
        <f ca="1">IF(LOWER(Capacity!$L81)="x",IF(AND(SUMIF(Capacity_Resource,$D69,'Critical resources (hide)'!AI$6:AI$105)+SUMIF(Capacity_Resource,$E69,'Critical resources (hide)'!AI$6:AI$105)+SUMIF(Capacity_Resource,$F69,'Critical resources (hide)'!AI$6:AI$105)&gt;0,$E$1=2),0,1),0)</f>
        <v>1</v>
      </c>
      <c r="W69" s="67">
        <f ca="1">IF(LOWER(Capacity!$L81)="x",IF(AND(SUMIF(Capacity_Resource,$D69,'Critical resources (hide)'!AJ$6:AJ$105)+SUMIF(Capacity_Resource,$E69,'Critical resources (hide)'!AJ$6:AJ$105)+SUMIF(Capacity_Resource,$F69,'Critical resources (hide)'!AJ$6:AJ$105)&gt;0,$E$1=2),0,1),0)</f>
        <v>1</v>
      </c>
      <c r="X69" s="67">
        <f ca="1">IF(LOWER(Capacity!$L81)="x",IF(AND(SUMIF(Capacity_Resource,$D69,'Critical resources (hide)'!AK$6:AK$105)+SUMIF(Capacity_Resource,$E69,'Critical resources (hide)'!AK$6:AK$105)+SUMIF(Capacity_Resource,$F69,'Critical resources (hide)'!AK$6:AK$105)&gt;0,$E$1=2),0,1),0)</f>
        <v>1</v>
      </c>
      <c r="Y69" s="67">
        <f ca="1">IF(LOWER(Capacity!$L81)="x",IF(AND(SUMIF(Capacity_Resource,$D69,'Critical resources (hide)'!AL$6:AL$105)+SUMIF(Capacity_Resource,$E69,'Critical resources (hide)'!AL$6:AL$105)+SUMIF(Capacity_Resource,$F69,'Critical resources (hide)'!AL$6:AL$105)&gt;0,$E$1=2),0,1),0)</f>
        <v>1</v>
      </c>
      <c r="Z69" s="67">
        <f ca="1">IF(LOWER(Capacity!$L81)="x",IF(AND(SUMIF(Capacity_Resource,$D69,'Critical resources (hide)'!AM$6:AM$105)+SUMIF(Capacity_Resource,$E69,'Critical resources (hide)'!AM$6:AM$105)+SUMIF(Capacity_Resource,$F69,'Critical resources (hide)'!AM$6:AM$105)&gt;0,$E$1=2),0,1),0)</f>
        <v>1</v>
      </c>
      <c r="AA69" s="67">
        <f ca="1">IF(LOWER(Capacity!$L81)="x",IF(AND(SUMIF(Capacity_Resource,$D69,'Critical resources (hide)'!AN$6:AN$105)+SUMIF(Capacity_Resource,$E69,'Critical resources (hide)'!AN$6:AN$105)+SUMIF(Capacity_Resource,$F69,'Critical resources (hide)'!AN$6:AN$105)&gt;0,$E$1=2),0,1),0)</f>
        <v>1</v>
      </c>
      <c r="AB69" s="67">
        <f ca="1">IF(LOWER(Capacity!$L81)="x",IF(AND(SUMIF(Capacity_Resource,$D69,'Critical resources (hide)'!AO$6:AO$105)+SUMIF(Capacity_Resource,$E69,'Critical resources (hide)'!AO$6:AO$105)+SUMIF(Capacity_Resource,$F69,'Critical resources (hide)'!AO$6:AO$105)&gt;0,$E$1=2),0,1),0)</f>
        <v>1</v>
      </c>
      <c r="AC69" s="67">
        <f ca="1">IF(LOWER(Capacity!$L81)="x",IF(AND(SUMIF(Capacity_Resource,$D69,'Critical resources (hide)'!AP$6:AP$105)+SUMIF(Capacity_Resource,$E69,'Critical resources (hide)'!AP$6:AP$105)+SUMIF(Capacity_Resource,$F69,'Critical resources (hide)'!AP$6:AP$105)&gt;0,$E$1=2),0,1),0)</f>
        <v>1</v>
      </c>
      <c r="AD69" s="67">
        <f ca="1">IF(LOWER(Capacity!$L81)="x",IF(AND(SUMIF(Capacity_Resource,$D69,'Critical resources (hide)'!AQ$6:AQ$105)+SUMIF(Capacity_Resource,$E69,'Critical resources (hide)'!AQ$6:AQ$105)+SUMIF(Capacity_Resource,$F69,'Critical resources (hide)'!AQ$6:AQ$105)&gt;0,$E$1=2),0,1),0)</f>
        <v>1</v>
      </c>
      <c r="AE69" s="67">
        <f ca="1">IF(LOWER(Capacity!$L81)="x",IF(AND(SUMIF(Capacity_Resource,$D69,'Critical resources (hide)'!AR$6:AR$105)+SUMIF(Capacity_Resource,$E69,'Critical resources (hide)'!AR$6:AR$105)+SUMIF(Capacity_Resource,$F69,'Critical resources (hide)'!AR$6:AR$105)&gt;0,$E$1=2),0,1),0)</f>
        <v>1</v>
      </c>
      <c r="AF69" s="67">
        <f ca="1">IF(LOWER(Capacity!$L81)="x",IF(AND(SUMIF(Capacity_Resource,$D69,'Critical resources (hide)'!AS$6:AS$105)+SUMIF(Capacity_Resource,$E69,'Critical resources (hide)'!AS$6:AS$105)+SUMIF(Capacity_Resource,$F69,'Critical resources (hide)'!AS$6:AS$105)&gt;0,$E$1=2),0,1),0)</f>
        <v>1</v>
      </c>
      <c r="AG69" s="67">
        <f ca="1">IF(LOWER(Capacity!$L81)="x",IF(AND(SUMIF(Capacity_Resource,$D69,'Critical resources (hide)'!AT$6:AT$105)+SUMIF(Capacity_Resource,$E69,'Critical resources (hide)'!AT$6:AT$105)+SUMIF(Capacity_Resource,$F69,'Critical resources (hide)'!AT$6:AT$105)&gt;0,$E$1=2),0,1),0)</f>
        <v>1</v>
      </c>
      <c r="AH69" s="67">
        <f ca="1">IF(LOWER(Capacity!$L81)="x",IF(AND(SUMIF(Capacity_Resource,$D69,'Critical resources (hide)'!AU$6:AU$105)+SUMIF(Capacity_Resource,$E69,'Critical resources (hide)'!AU$6:AU$105)+SUMIF(Capacity_Resource,$F69,'Critical resources (hide)'!AU$6:AU$105)&gt;0,$E$1=2),0,1),0)</f>
        <v>1</v>
      </c>
      <c r="AI69" s="67">
        <f ca="1">IF(LOWER(Capacity!$L81)="x",IF(AND(SUMIF(Capacity_Resource,$D69,'Critical resources (hide)'!AV$6:AV$105)+SUMIF(Capacity_Resource,$E69,'Critical resources (hide)'!AV$6:AV$105)+SUMIF(Capacity_Resource,$F69,'Critical resources (hide)'!AV$6:AV$105)&gt;0,$E$1=2),0,1),0)</f>
        <v>1</v>
      </c>
      <c r="AJ69" s="67">
        <f ca="1">IF(LOWER(Capacity!$L81)="x",IF(AND(SUMIF(Capacity_Resource,$D69,'Critical resources (hide)'!AW$6:AW$105)+SUMIF(Capacity_Resource,$E69,'Critical resources (hide)'!AW$6:AW$105)+SUMIF(Capacity_Resource,$F69,'Critical resources (hide)'!AW$6:AW$105)&gt;0,$E$1=2),0,1),0)</f>
        <v>1</v>
      </c>
      <c r="AK69" s="67">
        <f ca="1">IF(LOWER(Capacity!$L81)="x",IF(AND(SUMIF(Capacity_Resource,$D69,'Critical resources (hide)'!AX$6:AX$105)+SUMIF(Capacity_Resource,$E69,'Critical resources (hide)'!AX$6:AX$105)+SUMIF(Capacity_Resource,$F69,'Critical resources (hide)'!AX$6:AX$105)&gt;0,$E$1=2),0,1),0)</f>
        <v>1</v>
      </c>
      <c r="AL69" s="67">
        <f ca="1">IF(LOWER(Capacity!$L81)="x",IF(AND(SUMIF(Capacity_Resource,$D69,'Critical resources (hide)'!AY$6:AY$105)+SUMIF(Capacity_Resource,$E69,'Critical resources (hide)'!AY$6:AY$105)+SUMIF(Capacity_Resource,$F69,'Critical resources (hide)'!AY$6:AY$105)&gt;0,$E$1=2),0,1),0)</f>
        <v>1</v>
      </c>
      <c r="AM69" s="67">
        <f ca="1">IF(LOWER(Capacity!$L81)="x",IF(AND(SUMIF(Capacity_Resource,$D69,'Critical resources (hide)'!AZ$6:AZ$105)+SUMIF(Capacity_Resource,$E69,'Critical resources (hide)'!AZ$6:AZ$105)+SUMIF(Capacity_Resource,$F69,'Critical resources (hide)'!AZ$6:AZ$105)&gt;0,$E$1=2),0,1),0)</f>
        <v>1</v>
      </c>
      <c r="AN69" s="67">
        <f ca="1">IF(LOWER(Capacity!$L81)="x",IF(AND(SUMIF(Capacity_Resource,$D69,'Critical resources (hide)'!BA$6:BA$105)+SUMIF(Capacity_Resource,$E69,'Critical resources (hide)'!BA$6:BA$105)+SUMIF(Capacity_Resource,$F69,'Critical resources (hide)'!BA$6:BA$105)&gt;0,$E$1=2),0,1),0)</f>
        <v>1</v>
      </c>
      <c r="AO69" s="67">
        <f ca="1">IF(LOWER(Capacity!$L81)="x",IF(AND(SUMIF(Capacity_Resource,$D69,'Critical resources (hide)'!BB$6:BB$105)+SUMIF(Capacity_Resource,$E69,'Critical resources (hide)'!BB$6:BB$105)+SUMIF(Capacity_Resource,$F69,'Critical resources (hide)'!BB$6:BB$105)&gt;0,$E$1=2),0,1),0)</f>
        <v>1</v>
      </c>
      <c r="AP69" s="67">
        <f ca="1">IF(LOWER(Capacity!$L81)="x",IF(AND(SUMIF(Capacity_Resource,$D69,'Critical resources (hide)'!BC$6:BC$105)+SUMIF(Capacity_Resource,$E69,'Critical resources (hide)'!BC$6:BC$105)+SUMIF(Capacity_Resource,$F69,'Critical resources (hide)'!BC$6:BC$105)&gt;0,$E$1=2),0,1),0)</f>
        <v>1</v>
      </c>
      <c r="AQ69" s="67">
        <f ca="1">IF(LOWER(Capacity!$L81)="x",IF(AND(SUMIF(Capacity_Resource,$D69,'Critical resources (hide)'!BD$6:BD$105)+SUMIF(Capacity_Resource,$E69,'Critical resources (hide)'!BD$6:BD$105)+SUMIF(Capacity_Resource,$F69,'Critical resources (hide)'!BD$6:BD$105)&gt;0,$E$1=2),0,1),0)</f>
        <v>1</v>
      </c>
      <c r="AR69" s="67">
        <f ca="1">IF(LOWER(Capacity!$L81)="x",IF(AND(SUMIF(Capacity_Resource,$D69,'Critical resources (hide)'!BE$6:BE$105)+SUMIF(Capacity_Resource,$E69,'Critical resources (hide)'!BE$6:BE$105)+SUMIF(Capacity_Resource,$F69,'Critical resources (hide)'!BE$6:BE$105)&gt;0,$E$1=2),0,1),0)</f>
        <v>1</v>
      </c>
      <c r="AS69" s="67">
        <f ca="1">IF(LOWER(Capacity!$L81)="x",IF(AND(SUMIF(Capacity_Resource,$D69,'Critical resources (hide)'!BF$6:BF$105)+SUMIF(Capacity_Resource,$E69,'Critical resources (hide)'!BF$6:BF$105)+SUMIF(Capacity_Resource,$F69,'Critical resources (hide)'!BF$6:BF$105)&gt;0,$E$1=2),0,1),0)</f>
        <v>1</v>
      </c>
      <c r="AT69" s="67">
        <f ca="1">IF(LOWER(Capacity!$L81)="x",IF(AND(SUMIF(Capacity_Resource,$D69,'Critical resources (hide)'!BG$6:BG$105)+SUMIF(Capacity_Resource,$E69,'Critical resources (hide)'!BG$6:BG$105)+SUMIF(Capacity_Resource,$F69,'Critical resources (hide)'!BG$6:BG$105)&gt;0,$E$1=2),0,1),0)</f>
        <v>1</v>
      </c>
      <c r="AU69" s="67">
        <f ca="1">IF(LOWER(Capacity!$L81)="x",IF(AND(SUMIF(Capacity_Resource,$D69,'Critical resources (hide)'!BH$6:BH$105)+SUMIF(Capacity_Resource,$E69,'Critical resources (hide)'!BH$6:BH$105)+SUMIF(Capacity_Resource,$F69,'Critical resources (hide)'!BH$6:BH$105)&gt;0,$E$1=2),0,1),0)</f>
        <v>1</v>
      </c>
      <c r="AV69" s="67">
        <f ca="1">IF(LOWER(Capacity!$L81)="x",IF(AND(SUMIF(Capacity_Resource,$D69,'Critical resources (hide)'!BI$6:BI$105)+SUMIF(Capacity_Resource,$E69,'Critical resources (hide)'!BI$6:BI$105)+SUMIF(Capacity_Resource,$F69,'Critical resources (hide)'!BI$6:BI$105)&gt;0,$E$1=2),0,1),0)</f>
        <v>1</v>
      </c>
      <c r="AW69" s="67">
        <f ca="1">IF(LOWER(Capacity!$L81)="x",IF(AND(SUMIF(Capacity_Resource,$D69,'Critical resources (hide)'!BJ$6:BJ$105)+SUMIF(Capacity_Resource,$E69,'Critical resources (hide)'!BJ$6:BJ$105)+SUMIF(Capacity_Resource,$F69,'Critical resources (hide)'!BJ$6:BJ$105)&gt;0,$E$1=2),0,1),0)</f>
        <v>1</v>
      </c>
      <c r="AX69" s="67">
        <f ca="1">IF(LOWER(Capacity!$L81)="x",IF(AND(SUMIF(Capacity_Resource,$D69,'Critical resources (hide)'!BK$6:BK$105)+SUMIF(Capacity_Resource,$E69,'Critical resources (hide)'!BK$6:BK$105)+SUMIF(Capacity_Resource,$F69,'Critical resources (hide)'!BK$6:BK$105)&gt;0,$E$1=2),0,1),0)</f>
        <v>1</v>
      </c>
      <c r="AY69" s="67">
        <f ca="1">IF(LOWER(Capacity!$L81)="x",IF(AND(SUMIF(Capacity_Resource,$D69,'Critical resources (hide)'!BL$6:BL$105)+SUMIF(Capacity_Resource,$E69,'Critical resources (hide)'!BL$6:BL$105)+SUMIF(Capacity_Resource,$F69,'Critical resources (hide)'!BL$6:BL$105)&gt;0,$E$1=2),0,1),0)</f>
        <v>1</v>
      </c>
      <c r="AZ69" s="67">
        <f ca="1">IF(LOWER(Capacity!$L81)="x",IF(AND(SUMIF(Capacity_Resource,$D69,'Critical resources (hide)'!BM$6:BM$105)+SUMIF(Capacity_Resource,$E69,'Critical resources (hide)'!BM$6:BM$105)+SUMIF(Capacity_Resource,$F69,'Critical resources (hide)'!BM$6:BM$105)&gt;0,$E$1=2),0,1),0)</f>
        <v>1</v>
      </c>
      <c r="BA69" s="67">
        <f ca="1">IF(LOWER(Capacity!$L81)="x",IF(AND(SUMIF(Capacity_Resource,$D69,'Critical resources (hide)'!BN$6:BN$105)+SUMIF(Capacity_Resource,$E69,'Critical resources (hide)'!BN$6:BN$105)+SUMIF(Capacity_Resource,$F69,'Critical resources (hide)'!BN$6:BN$105)&gt;0,$E$1=2),0,1),0)</f>
        <v>1</v>
      </c>
      <c r="BB69" s="67">
        <f ca="1">IF(LOWER(Capacity!$L81)="x",IF(AND(SUMIF(Capacity_Resource,$D69,'Critical resources (hide)'!BO$6:BO$105)+SUMIF(Capacity_Resource,$E69,'Critical resources (hide)'!BO$6:BO$105)+SUMIF(Capacity_Resource,$F69,'Critical resources (hide)'!BO$6:BO$105)&gt;0,$E$1=2),0,1),0)</f>
        <v>1</v>
      </c>
      <c r="BC69" s="67">
        <f ca="1">IF(LOWER(Capacity!$L81)="x",IF(AND(SUMIF(Capacity_Resource,$D69,'Critical resources (hide)'!BP$6:BP$105)+SUMIF(Capacity_Resource,$E69,'Critical resources (hide)'!BP$6:BP$105)+SUMIF(Capacity_Resource,$F69,'Critical resources (hide)'!BP$6:BP$105)&gt;0,$E$1=2),0,1),0)</f>
        <v>1</v>
      </c>
      <c r="BD69" s="67">
        <f ca="1">IF(LOWER(Capacity!$L81)="x",IF(AND(SUMIF(Capacity_Resource,$D69,'Critical resources (hide)'!BQ$6:BQ$105)+SUMIF(Capacity_Resource,$E69,'Critical resources (hide)'!BQ$6:BQ$105)+SUMIF(Capacity_Resource,$F69,'Critical resources (hide)'!BQ$6:BQ$105)&gt;0,$E$1=2),0,1),0)</f>
        <v>1</v>
      </c>
      <c r="BE69" s="67">
        <f ca="1">IF(LOWER(Capacity!$L81)="x",IF(AND(SUMIF(Capacity_Resource,$D69,'Critical resources (hide)'!BR$6:BR$105)+SUMIF(Capacity_Resource,$E69,'Critical resources (hide)'!BR$6:BR$105)+SUMIF(Capacity_Resource,$F69,'Critical resources (hide)'!BR$6:BR$105)&gt;0,$E$1=2),0,1),0)</f>
        <v>1</v>
      </c>
      <c r="BF69" s="67">
        <f ca="1">IF(LOWER(Capacity!$L81)="x",IF(AND(SUMIF(Capacity_Resource,$D69,'Critical resources (hide)'!BS$6:BS$105)+SUMIF(Capacity_Resource,$E69,'Critical resources (hide)'!BS$6:BS$105)+SUMIF(Capacity_Resource,$F69,'Critical resources (hide)'!BS$6:BS$105)&gt;0,$E$1=2),0,1),0)</f>
        <v>1</v>
      </c>
      <c r="BG69" s="67">
        <f ca="1">IF(LOWER(Capacity!$L81)="x",IF(AND(SUMIF(Capacity_Resource,$D69,'Critical resources (hide)'!BT$6:BT$105)+SUMIF(Capacity_Resource,$E69,'Critical resources (hide)'!BT$6:BT$105)+SUMIF(Capacity_Resource,$F69,'Critical resources (hide)'!BT$6:BT$105)&gt;0,$E$1=2),0,1),0)</f>
        <v>1</v>
      </c>
      <c r="BH69" s="67">
        <f>IF(ROW(C65)&lt;=Capacity!$A$16,IF('Capacity summary'!$D$14="No",SUM(H69:BG69),'Capacity summary'!$E188),0)</f>
        <v>0</v>
      </c>
      <c r="BI69" s="5" t="str">
        <f>IF(BH69&gt;0,IF(BH69&lt;Capacity!E81,Capacity!F81,Capacity!H81/'Capacity calculation (hide)'!BH69),"")</f>
        <v/>
      </c>
      <c r="BK69" s="311">
        <f>IF($BI69&lt;&gt;"",IF('Capacity summary'!$D$14="Yes",IF(COUNTBLANK('Capacity summary'!$H188:$BG188)&lt;52,IF('Capacity summary'!H188&lt;&gt;"",IF(LOWER('Capacity summary'!H188)="x",$BI69*H69,VALUE('Capacity summary'!H188)),0),H69*$BI69),H69*$BI69),0)</f>
        <v>0</v>
      </c>
      <c r="BL69" s="311">
        <f>IF($BI69&lt;&gt;"",IF('Capacity summary'!$D$14="Yes",IF(COUNTBLANK('Capacity summary'!$H188:$BG188)&lt;52,IF('Capacity summary'!I188&lt;&gt;"",IF(LOWER('Capacity summary'!I188)="x",$BI69*I69,VALUE('Capacity summary'!I188)),0),I69*$BI69),I69*$BI69),0)</f>
        <v>0</v>
      </c>
      <c r="BM69" s="311">
        <f>IF($BI69&lt;&gt;"",IF('Capacity summary'!$D$14="Yes",IF(COUNTBLANK('Capacity summary'!$H188:$BG188)&lt;52,IF('Capacity summary'!J188&lt;&gt;"",IF(LOWER('Capacity summary'!J188)="x",$BI69*J69,VALUE('Capacity summary'!J188)),0),J69*$BI69),J69*$BI69),0)</f>
        <v>0</v>
      </c>
      <c r="BN69" s="311">
        <f>IF($BI69&lt;&gt;"",IF('Capacity summary'!$D$14="Yes",IF(COUNTBLANK('Capacity summary'!$H188:$BG188)&lt;52,IF('Capacity summary'!K188&lt;&gt;"",IF(LOWER('Capacity summary'!K188)="x",$BI69*K69,VALUE('Capacity summary'!K188)),0),K69*$BI69),K69*$BI69),0)</f>
        <v>0</v>
      </c>
      <c r="BO69" s="311">
        <f>IF($BI69&lt;&gt;"",IF('Capacity summary'!$D$14="Yes",IF(COUNTBLANK('Capacity summary'!$H188:$BG188)&lt;52,IF('Capacity summary'!L188&lt;&gt;"",IF(LOWER('Capacity summary'!L188)="x",$BI69*L69,VALUE('Capacity summary'!L188)),0),L69*$BI69),L69*$BI69),0)</f>
        <v>0</v>
      </c>
      <c r="BP69" s="311">
        <f>IF($BI69&lt;&gt;"",IF('Capacity summary'!$D$14="Yes",IF(COUNTBLANK('Capacity summary'!$H188:$BG188)&lt;52,IF('Capacity summary'!M188&lt;&gt;"",IF(LOWER('Capacity summary'!M188)="x",$BI69*M69,VALUE('Capacity summary'!M188)),0),M69*$BI69),M69*$BI69),0)</f>
        <v>0</v>
      </c>
      <c r="BQ69" s="311">
        <f>IF($BI69&lt;&gt;"",IF('Capacity summary'!$D$14="Yes",IF(COUNTBLANK('Capacity summary'!$H188:$BG188)&lt;52,IF('Capacity summary'!N188&lt;&gt;"",IF(LOWER('Capacity summary'!N188)="x",$BI69*N69,VALUE('Capacity summary'!N188)),0),N69*$BI69),N69*$BI69),0)</f>
        <v>0</v>
      </c>
      <c r="BR69" s="311">
        <f>IF($BI69&lt;&gt;"",IF('Capacity summary'!$D$14="Yes",IF(COUNTBLANK('Capacity summary'!$H188:$BG188)&lt;52,IF('Capacity summary'!O188&lt;&gt;"",IF(LOWER('Capacity summary'!O188)="x",$BI69*O69,VALUE('Capacity summary'!O188)),0),O69*$BI69),O69*$BI69),0)</f>
        <v>0</v>
      </c>
      <c r="BS69" s="311">
        <f>IF($BI69&lt;&gt;"",IF('Capacity summary'!$D$14="Yes",IF(COUNTBLANK('Capacity summary'!$H188:$BG188)&lt;52,IF('Capacity summary'!P188&lt;&gt;"",IF(LOWER('Capacity summary'!P188)="x",$BI69*P69,VALUE('Capacity summary'!P188)),0),P69*$BI69),P69*$BI69),0)</f>
        <v>0</v>
      </c>
      <c r="BT69" s="311">
        <f>IF($BI69&lt;&gt;"",IF('Capacity summary'!$D$14="Yes",IF(COUNTBLANK('Capacity summary'!$H188:$BG188)&lt;52,IF('Capacity summary'!Q188&lt;&gt;"",IF(LOWER('Capacity summary'!Q188)="x",$BI69*Q69,VALUE('Capacity summary'!Q188)),0),Q69*$BI69),Q69*$BI69),0)</f>
        <v>0</v>
      </c>
      <c r="BU69" s="311">
        <f>IF($BI69&lt;&gt;"",IF('Capacity summary'!$D$14="Yes",IF(COUNTBLANK('Capacity summary'!$H188:$BG188)&lt;52,IF('Capacity summary'!R188&lt;&gt;"",IF(LOWER('Capacity summary'!R188)="x",$BI69*R69,VALUE('Capacity summary'!R188)),0),R69*$BI69),R69*$BI69),0)</f>
        <v>0</v>
      </c>
      <c r="BV69" s="311">
        <f>IF($BI69&lt;&gt;"",IF('Capacity summary'!$D$14="Yes",IF(COUNTBLANK('Capacity summary'!$H188:$BG188)&lt;52,IF('Capacity summary'!S188&lt;&gt;"",IF(LOWER('Capacity summary'!S188)="x",$BI69*S69,VALUE('Capacity summary'!S188)),0),S69*$BI69),S69*$BI69),0)</f>
        <v>0</v>
      </c>
      <c r="BW69" s="311">
        <f>IF($BI69&lt;&gt;"",IF('Capacity summary'!$D$14="Yes",IF(COUNTBLANK('Capacity summary'!$H188:$BG188)&lt;52,IF('Capacity summary'!T188&lt;&gt;"",IF(LOWER('Capacity summary'!T188)="x",$BI69*T69,VALUE('Capacity summary'!T188)),0),T69*$BI69),T69*$BI69),0)</f>
        <v>0</v>
      </c>
      <c r="BX69" s="311">
        <f>IF($BI69&lt;&gt;"",IF('Capacity summary'!$D$14="Yes",IF(COUNTBLANK('Capacity summary'!$H188:$BG188)&lt;52,IF('Capacity summary'!U188&lt;&gt;"",IF(LOWER('Capacity summary'!U188)="x",$BI69*U69,VALUE('Capacity summary'!U188)),0),U69*$BI69),U69*$BI69),0)</f>
        <v>0</v>
      </c>
      <c r="BY69" s="311">
        <f>IF($BI69&lt;&gt;"",IF('Capacity summary'!$D$14="Yes",IF(COUNTBLANK('Capacity summary'!$H188:$BG188)&lt;52,IF('Capacity summary'!V188&lt;&gt;"",IF(LOWER('Capacity summary'!V188)="x",$BI69*V69,VALUE('Capacity summary'!V188)),0),V69*$BI69),V69*$BI69),0)</f>
        <v>0</v>
      </c>
      <c r="BZ69" s="311">
        <f>IF($BI69&lt;&gt;"",IF('Capacity summary'!$D$14="Yes",IF(COUNTBLANK('Capacity summary'!$H188:$BG188)&lt;52,IF('Capacity summary'!W188&lt;&gt;"",IF(LOWER('Capacity summary'!W188)="x",$BI69*W69,VALUE('Capacity summary'!W188)),0),W69*$BI69),W69*$BI69),0)</f>
        <v>0</v>
      </c>
      <c r="CA69" s="311">
        <f>IF($BI69&lt;&gt;"",IF('Capacity summary'!$D$14="Yes",IF(COUNTBLANK('Capacity summary'!$H188:$BG188)&lt;52,IF('Capacity summary'!X188&lt;&gt;"",IF(LOWER('Capacity summary'!X188)="x",$BI69*X69,VALUE('Capacity summary'!X188)),0),X69*$BI69),X69*$BI69),0)</f>
        <v>0</v>
      </c>
      <c r="CB69" s="311">
        <f>IF($BI69&lt;&gt;"",IF('Capacity summary'!$D$14="Yes",IF(COUNTBLANK('Capacity summary'!$H188:$BG188)&lt;52,IF('Capacity summary'!Y188&lt;&gt;"",IF(LOWER('Capacity summary'!Y188)="x",$BI69*Y69,VALUE('Capacity summary'!Y188)),0),Y69*$BI69),Y69*$BI69),0)</f>
        <v>0</v>
      </c>
      <c r="CC69" s="311">
        <f>IF($BI69&lt;&gt;"",IF('Capacity summary'!$D$14="Yes",IF(COUNTBLANK('Capacity summary'!$H188:$BG188)&lt;52,IF('Capacity summary'!Z188&lt;&gt;"",IF(LOWER('Capacity summary'!Z188)="x",$BI69*Z69,VALUE('Capacity summary'!Z188)),0),Z69*$BI69),Z69*$BI69),0)</f>
        <v>0</v>
      </c>
      <c r="CD69" s="311">
        <f>IF($BI69&lt;&gt;"",IF('Capacity summary'!$D$14="Yes",IF(COUNTBLANK('Capacity summary'!$H188:$BG188)&lt;52,IF('Capacity summary'!AA188&lt;&gt;"",IF(LOWER('Capacity summary'!AA188)="x",$BI69*AA69,VALUE('Capacity summary'!AA188)),0),AA69*$BI69),AA69*$BI69),0)</f>
        <v>0</v>
      </c>
      <c r="CE69" s="311">
        <f>IF($BI69&lt;&gt;"",IF('Capacity summary'!$D$14="Yes",IF(COUNTBLANK('Capacity summary'!$H188:$BG188)&lt;52,IF('Capacity summary'!AB188&lt;&gt;"",IF(LOWER('Capacity summary'!AB188)="x",$BI69*AB69,VALUE('Capacity summary'!AB188)),0),AB69*$BI69),AB69*$BI69),0)</f>
        <v>0</v>
      </c>
      <c r="CF69" s="311">
        <f>IF($BI69&lt;&gt;"",IF('Capacity summary'!$D$14="Yes",IF(COUNTBLANK('Capacity summary'!$H188:$BG188)&lt;52,IF('Capacity summary'!AC188&lt;&gt;"",IF(LOWER('Capacity summary'!AC188)="x",$BI69*AC69,VALUE('Capacity summary'!AC188)),0),AC69*$BI69),AC69*$BI69),0)</f>
        <v>0</v>
      </c>
      <c r="CG69" s="311">
        <f>IF($BI69&lt;&gt;"",IF('Capacity summary'!$D$14="Yes",IF(COUNTBLANK('Capacity summary'!$H188:$BG188)&lt;52,IF('Capacity summary'!AD188&lt;&gt;"",IF(LOWER('Capacity summary'!AD188)="x",$BI69*AD69,VALUE('Capacity summary'!AD188)),0),AD69*$BI69),AD69*$BI69),0)</f>
        <v>0</v>
      </c>
      <c r="CH69" s="311">
        <f>IF($BI69&lt;&gt;"",IF('Capacity summary'!$D$14="Yes",IF(COUNTBLANK('Capacity summary'!$H188:$BG188)&lt;52,IF('Capacity summary'!AE188&lt;&gt;"",IF(LOWER('Capacity summary'!AE188)="x",$BI69*AE69,VALUE('Capacity summary'!AE188)),0),AE69*$BI69),AE69*$BI69),0)</f>
        <v>0</v>
      </c>
      <c r="CI69" s="311">
        <f>IF($BI69&lt;&gt;"",IF('Capacity summary'!$D$14="Yes",IF(COUNTBLANK('Capacity summary'!$H188:$BG188)&lt;52,IF('Capacity summary'!AF188&lt;&gt;"",IF(LOWER('Capacity summary'!AF188)="x",$BI69*AF69,VALUE('Capacity summary'!AF188)),0),AF69*$BI69),AF69*$BI69),0)</f>
        <v>0</v>
      </c>
      <c r="CJ69" s="311">
        <f>IF($BI69&lt;&gt;"",IF('Capacity summary'!$D$14="Yes",IF(COUNTBLANK('Capacity summary'!$H188:$BG188)&lt;52,IF('Capacity summary'!AG188&lt;&gt;"",IF(LOWER('Capacity summary'!AG188)="x",$BI69*AG69,VALUE('Capacity summary'!AG188)),0),AG69*$BI69),AG69*$BI69),0)</f>
        <v>0</v>
      </c>
      <c r="CK69" s="311">
        <f>IF($BI69&lt;&gt;"",IF('Capacity summary'!$D$14="Yes",IF(COUNTBLANK('Capacity summary'!$H188:$BG188)&lt;52,IF('Capacity summary'!AH188&lt;&gt;"",IF(LOWER('Capacity summary'!AH188)="x",$BI69*AH69,VALUE('Capacity summary'!AH188)),0),AH69*$BI69),AH69*$BI69),0)</f>
        <v>0</v>
      </c>
      <c r="CL69" s="311">
        <f>IF($BI69&lt;&gt;"",IF('Capacity summary'!$D$14="Yes",IF(COUNTBLANK('Capacity summary'!$H188:$BG188)&lt;52,IF('Capacity summary'!AI188&lt;&gt;"",IF(LOWER('Capacity summary'!AI188)="x",$BI69*AI69,VALUE('Capacity summary'!AI188)),0),AI69*$BI69),AI69*$BI69),0)</f>
        <v>0</v>
      </c>
      <c r="CM69" s="311">
        <f>IF($BI69&lt;&gt;"",IF('Capacity summary'!$D$14="Yes",IF(COUNTBLANK('Capacity summary'!$H188:$BG188)&lt;52,IF('Capacity summary'!AJ188&lt;&gt;"",IF(LOWER('Capacity summary'!AJ188)="x",$BI69*AJ69,VALUE('Capacity summary'!AJ188)),0),AJ69*$BI69),AJ69*$BI69),0)</f>
        <v>0</v>
      </c>
      <c r="CN69" s="311">
        <f>IF($BI69&lt;&gt;"",IF('Capacity summary'!$D$14="Yes",IF(COUNTBLANK('Capacity summary'!$H188:$BG188)&lt;52,IF('Capacity summary'!AK188&lt;&gt;"",IF(LOWER('Capacity summary'!AK188)="x",$BI69*AK69,VALUE('Capacity summary'!AK188)),0),AK69*$BI69),AK69*$BI69),0)</f>
        <v>0</v>
      </c>
      <c r="CO69" s="311">
        <f>IF($BI69&lt;&gt;"",IF('Capacity summary'!$D$14="Yes",IF(COUNTBLANK('Capacity summary'!$H188:$BG188)&lt;52,IF('Capacity summary'!AL188&lt;&gt;"",IF(LOWER('Capacity summary'!AL188)="x",$BI69*AL69,VALUE('Capacity summary'!AL188)),0),AL69*$BI69),AL69*$BI69),0)</f>
        <v>0</v>
      </c>
      <c r="CP69" s="311">
        <f>IF($BI69&lt;&gt;"",IF('Capacity summary'!$D$14="Yes",IF(COUNTBLANK('Capacity summary'!$H188:$BG188)&lt;52,IF('Capacity summary'!AM188&lt;&gt;"",IF(LOWER('Capacity summary'!AM188)="x",$BI69*AM69,VALUE('Capacity summary'!AM188)),0),AM69*$BI69),AM69*$BI69),0)</f>
        <v>0</v>
      </c>
      <c r="CQ69" s="311">
        <f>IF($BI69&lt;&gt;"",IF('Capacity summary'!$D$14="Yes",IF(COUNTBLANK('Capacity summary'!$H188:$BG188)&lt;52,IF('Capacity summary'!AN188&lt;&gt;"",IF(LOWER('Capacity summary'!AN188)="x",$BI69*AN69,VALUE('Capacity summary'!AN188)),0),AN69*$BI69),AN69*$BI69),0)</f>
        <v>0</v>
      </c>
      <c r="CR69" s="311">
        <f>IF($BI69&lt;&gt;"",IF('Capacity summary'!$D$14="Yes",IF(COUNTBLANK('Capacity summary'!$H188:$BG188)&lt;52,IF('Capacity summary'!AO188&lt;&gt;"",IF(LOWER('Capacity summary'!AO188)="x",$BI69*AO69,VALUE('Capacity summary'!AO188)),0),AO69*$BI69),AO69*$BI69),0)</f>
        <v>0</v>
      </c>
      <c r="CS69" s="311">
        <f>IF($BI69&lt;&gt;"",IF('Capacity summary'!$D$14="Yes",IF(COUNTBLANK('Capacity summary'!$H188:$BG188)&lt;52,IF('Capacity summary'!AP188&lt;&gt;"",IF(LOWER('Capacity summary'!AP188)="x",$BI69*AP69,VALUE('Capacity summary'!AP188)),0),AP69*$BI69),AP69*$BI69),0)</f>
        <v>0</v>
      </c>
      <c r="CT69" s="311">
        <f>IF($BI69&lt;&gt;"",IF('Capacity summary'!$D$14="Yes",IF(COUNTBLANK('Capacity summary'!$H188:$BG188)&lt;52,IF('Capacity summary'!AQ188&lt;&gt;"",IF(LOWER('Capacity summary'!AQ188)="x",$BI69*AQ69,VALUE('Capacity summary'!AQ188)),0),AQ69*$BI69),AQ69*$BI69),0)</f>
        <v>0</v>
      </c>
      <c r="CU69" s="311">
        <f>IF($BI69&lt;&gt;"",IF('Capacity summary'!$D$14="Yes",IF(COUNTBLANK('Capacity summary'!$H188:$BG188)&lt;52,IF('Capacity summary'!AR188&lt;&gt;"",IF(LOWER('Capacity summary'!AR188)="x",$BI69*AR69,VALUE('Capacity summary'!AR188)),0),AR69*$BI69),AR69*$BI69),0)</f>
        <v>0</v>
      </c>
      <c r="CV69" s="311">
        <f>IF($BI69&lt;&gt;"",IF('Capacity summary'!$D$14="Yes",IF(COUNTBLANK('Capacity summary'!$H188:$BG188)&lt;52,IF('Capacity summary'!AS188&lt;&gt;"",IF(LOWER('Capacity summary'!AS188)="x",$BI69*AS69,VALUE('Capacity summary'!AS188)),0),AS69*$BI69),AS69*$BI69),0)</f>
        <v>0</v>
      </c>
      <c r="CW69" s="311">
        <f>IF($BI69&lt;&gt;"",IF('Capacity summary'!$D$14="Yes",IF(COUNTBLANK('Capacity summary'!$H188:$BG188)&lt;52,IF('Capacity summary'!AT188&lt;&gt;"",IF(LOWER('Capacity summary'!AT188)="x",$BI69*AT69,VALUE('Capacity summary'!AT188)),0),AT69*$BI69),AT69*$BI69),0)</f>
        <v>0</v>
      </c>
      <c r="CX69" s="311">
        <f>IF($BI69&lt;&gt;"",IF('Capacity summary'!$D$14="Yes",IF(COUNTBLANK('Capacity summary'!$H188:$BG188)&lt;52,IF('Capacity summary'!AU188&lt;&gt;"",IF(LOWER('Capacity summary'!AU188)="x",$BI69*AU69,VALUE('Capacity summary'!AU188)),0),AU69*$BI69),AU69*$BI69),0)</f>
        <v>0</v>
      </c>
      <c r="CY69" s="311">
        <f>IF($BI69&lt;&gt;"",IF('Capacity summary'!$D$14="Yes",IF(COUNTBLANK('Capacity summary'!$H188:$BG188)&lt;52,IF('Capacity summary'!AV188&lt;&gt;"",IF(LOWER('Capacity summary'!AV188)="x",$BI69*AV69,VALUE('Capacity summary'!AV188)),0),AV69*$BI69),AV69*$BI69),0)</f>
        <v>0</v>
      </c>
      <c r="CZ69" s="311">
        <f>IF($BI69&lt;&gt;"",IF('Capacity summary'!$D$14="Yes",IF(COUNTBLANK('Capacity summary'!$H188:$BG188)&lt;52,IF('Capacity summary'!AW188&lt;&gt;"",IF(LOWER('Capacity summary'!AW188)="x",$BI69*AW69,VALUE('Capacity summary'!AW188)),0),AW69*$BI69),AW69*$BI69),0)</f>
        <v>0</v>
      </c>
      <c r="DA69" s="311">
        <f>IF($BI69&lt;&gt;"",IF('Capacity summary'!$D$14="Yes",IF(COUNTBLANK('Capacity summary'!$H188:$BG188)&lt;52,IF('Capacity summary'!AX188&lt;&gt;"",IF(LOWER('Capacity summary'!AX188)="x",$BI69*AX69,VALUE('Capacity summary'!AX188)),0),AX69*$BI69),AX69*$BI69),0)</f>
        <v>0</v>
      </c>
      <c r="DB69" s="311">
        <f>IF($BI69&lt;&gt;"",IF('Capacity summary'!$D$14="Yes",IF(COUNTBLANK('Capacity summary'!$H188:$BG188)&lt;52,IF('Capacity summary'!AY188&lt;&gt;"",IF(LOWER('Capacity summary'!AY188)="x",$BI69*AY69,VALUE('Capacity summary'!AY188)),0),AY69*$BI69),AY69*$BI69),0)</f>
        <v>0</v>
      </c>
      <c r="DC69" s="311">
        <f>IF($BI69&lt;&gt;"",IF('Capacity summary'!$D$14="Yes",IF(COUNTBLANK('Capacity summary'!$H188:$BG188)&lt;52,IF('Capacity summary'!AZ188&lt;&gt;"",IF(LOWER('Capacity summary'!AZ188)="x",$BI69*AZ69,VALUE('Capacity summary'!AZ188)),0),AZ69*$BI69),AZ69*$BI69),0)</f>
        <v>0</v>
      </c>
      <c r="DD69" s="311">
        <f>IF($BI69&lt;&gt;"",IF('Capacity summary'!$D$14="Yes",IF(COUNTBLANK('Capacity summary'!$H188:$BG188)&lt;52,IF('Capacity summary'!BA188&lt;&gt;"",IF(LOWER('Capacity summary'!BA188)="x",$BI69*BA69,VALUE('Capacity summary'!BA188)),0),BA69*$BI69),BA69*$BI69),0)</f>
        <v>0</v>
      </c>
      <c r="DE69" s="311">
        <f>IF($BI69&lt;&gt;"",IF('Capacity summary'!$D$14="Yes",IF(COUNTBLANK('Capacity summary'!$H188:$BG188)&lt;52,IF('Capacity summary'!BB188&lt;&gt;"",IF(LOWER('Capacity summary'!BB188)="x",$BI69*BB69,VALUE('Capacity summary'!BB188)),0),BB69*$BI69),BB69*$BI69),0)</f>
        <v>0</v>
      </c>
      <c r="DF69" s="311">
        <f>IF($BI69&lt;&gt;"",IF('Capacity summary'!$D$14="Yes",IF(COUNTBLANK('Capacity summary'!$H188:$BG188)&lt;52,IF('Capacity summary'!BC188&lt;&gt;"",IF(LOWER('Capacity summary'!BC188)="x",$BI69*BC69,VALUE('Capacity summary'!BC188)),0),BC69*$BI69),BC69*$BI69),0)</f>
        <v>0</v>
      </c>
      <c r="DG69" s="311">
        <f>IF($BI69&lt;&gt;"",IF('Capacity summary'!$D$14="Yes",IF(COUNTBLANK('Capacity summary'!$H188:$BG188)&lt;52,IF('Capacity summary'!BD188&lt;&gt;"",IF(LOWER('Capacity summary'!BD188)="x",$BI69*BD69,VALUE('Capacity summary'!BD188)),0),BD69*$BI69),BD69*$BI69),0)</f>
        <v>0</v>
      </c>
      <c r="DH69" s="311">
        <f>IF($BI69&lt;&gt;"",IF('Capacity summary'!$D$14="Yes",IF(COUNTBLANK('Capacity summary'!$H188:$BG188)&lt;52,IF('Capacity summary'!BE188&lt;&gt;"",IF(LOWER('Capacity summary'!BE188)="x",$BI69*BE69,VALUE('Capacity summary'!BE188)),0),BE69*$BI69),BE69*$BI69),0)</f>
        <v>0</v>
      </c>
      <c r="DI69" s="311">
        <f>IF($BI69&lt;&gt;"",IF('Capacity summary'!$D$14="Yes",IF(COUNTBLANK('Capacity summary'!$H188:$BG188)&lt;52,IF('Capacity summary'!BF188&lt;&gt;"",IF(LOWER('Capacity summary'!BF188)="x",$BI69*BF69,VALUE('Capacity summary'!BF188)),0),BF69*$BI69),BF69*$BI69),0)</f>
        <v>0</v>
      </c>
      <c r="DJ69" s="311">
        <f>IF($BI69&lt;&gt;"",IF('Capacity summary'!$D$14="Yes",IF(COUNTBLANK('Capacity summary'!$H188:$BG188)&lt;52,IF('Capacity summary'!BG188&lt;&gt;"",IF(LOWER('Capacity summary'!BG188)="x",$BI69*BG69,VALUE('Capacity summary'!BG188)),0),BG69*$BI69),BG69*$BI69),0)</f>
        <v>0</v>
      </c>
      <c r="DK69" s="391">
        <f t="shared" ref="DK69:DK104" si="4">DJ69</f>
        <v>0</v>
      </c>
      <c r="DL69" s="136">
        <f t="shared" ref="DL69:DL104" si="5">SUM(BK69:DJ69)</f>
        <v>0</v>
      </c>
      <c r="DM69" s="311" t="str">
        <f>Capacity!H81</f>
        <v/>
      </c>
    </row>
    <row r="70" spans="1:117" x14ac:dyDescent="0.2">
      <c r="A70" s="67">
        <f>IF(Capacity!L82='Capacity summary'!BI189,1,0)</f>
        <v>1</v>
      </c>
      <c r="B70" s="67">
        <f>IF(Capacity!V82='Capacity summary'!BI89,1,0)</f>
        <v>1</v>
      </c>
      <c r="C70" s="67" t="str">
        <f>ROW(A66)&amp;". "&amp;Capacity!B82</f>
        <v xml:space="preserve">66. </v>
      </c>
      <c r="D70" s="67">
        <f>'Capacity setup'!C77</f>
        <v>0</v>
      </c>
      <c r="E70" s="67">
        <f>'Capacity setup'!D77</f>
        <v>0</v>
      </c>
      <c r="F70" s="67">
        <f>'Capacity setup'!E77</f>
        <v>0</v>
      </c>
      <c r="H70" s="67">
        <f ca="1">IF(LOWER(Capacity!$L82)="x",IF(AND(SUMIF(Capacity_Resource,$D70,'Critical resources (hide)'!U$6:U$105)+SUMIF(Capacity_Resource,$E70,'Critical resources (hide)'!U$6:U$105)+SUMIF(Capacity_Resource,$F70,'Critical resources (hide)'!U$6:U$105)&gt;0,$E$1=2),0,1),0)</f>
        <v>1</v>
      </c>
      <c r="I70" s="67">
        <f ca="1">IF(LOWER(Capacity!$L82)="x",IF(AND(SUMIF(Capacity_Resource,$D70,'Critical resources (hide)'!V$6:V$105)+SUMIF(Capacity_Resource,$E70,'Critical resources (hide)'!V$6:V$105)+SUMIF(Capacity_Resource,$F70,'Critical resources (hide)'!V$6:V$105)&gt;0,$E$1=2),0,1),0)</f>
        <v>1</v>
      </c>
      <c r="J70" s="67">
        <f ca="1">IF(LOWER(Capacity!$L82)="x",IF(AND(SUMIF(Capacity_Resource,$D70,'Critical resources (hide)'!W$6:W$105)+SUMIF(Capacity_Resource,$E70,'Critical resources (hide)'!W$6:W$105)+SUMIF(Capacity_Resource,$F70,'Critical resources (hide)'!W$6:W$105)&gt;0,$E$1=2),0,1),0)</f>
        <v>1</v>
      </c>
      <c r="K70" s="67">
        <f ca="1">IF(LOWER(Capacity!$L82)="x",IF(AND(SUMIF(Capacity_Resource,$D70,'Critical resources (hide)'!X$6:X$105)+SUMIF(Capacity_Resource,$E70,'Critical resources (hide)'!X$6:X$105)+SUMIF(Capacity_Resource,$F70,'Critical resources (hide)'!X$6:X$105)&gt;0,$E$1=2),0,1),0)</f>
        <v>1</v>
      </c>
      <c r="L70" s="67">
        <f ca="1">IF(LOWER(Capacity!$L82)="x",IF(AND(SUMIF(Capacity_Resource,$D70,'Critical resources (hide)'!Y$6:Y$105)+SUMIF(Capacity_Resource,$E70,'Critical resources (hide)'!Y$6:Y$105)+SUMIF(Capacity_Resource,$F70,'Critical resources (hide)'!Y$6:Y$105)&gt;0,$E$1=2),0,1),0)</f>
        <v>1</v>
      </c>
      <c r="M70" s="67">
        <f ca="1">IF(LOWER(Capacity!$L82)="x",IF(AND(SUMIF(Capacity_Resource,$D70,'Critical resources (hide)'!Z$6:Z$105)+SUMIF(Capacity_Resource,$E70,'Critical resources (hide)'!Z$6:Z$105)+SUMIF(Capacity_Resource,$F70,'Critical resources (hide)'!Z$6:Z$105)&gt;0,$E$1=2),0,1),0)</f>
        <v>1</v>
      </c>
      <c r="N70" s="67">
        <f ca="1">IF(LOWER(Capacity!$L82)="x",IF(AND(SUMIF(Capacity_Resource,$D70,'Critical resources (hide)'!AA$6:AA$105)+SUMIF(Capacity_Resource,$E70,'Critical resources (hide)'!AA$6:AA$105)+SUMIF(Capacity_Resource,$F70,'Critical resources (hide)'!AA$6:AA$105)&gt;0,$E$1=2),0,1),0)</f>
        <v>1</v>
      </c>
      <c r="O70" s="67">
        <f ca="1">IF(LOWER(Capacity!$L82)="x",IF(AND(SUMIF(Capacity_Resource,$D70,'Critical resources (hide)'!AB$6:AB$105)+SUMIF(Capacity_Resource,$E70,'Critical resources (hide)'!AB$6:AB$105)+SUMIF(Capacity_Resource,$F70,'Critical resources (hide)'!AB$6:AB$105)&gt;0,$E$1=2),0,1),0)</f>
        <v>1</v>
      </c>
      <c r="P70" s="67">
        <f ca="1">IF(LOWER(Capacity!$L82)="x",IF(AND(SUMIF(Capacity_Resource,$D70,'Critical resources (hide)'!AC$6:AC$105)+SUMIF(Capacity_Resource,$E70,'Critical resources (hide)'!AC$6:AC$105)+SUMIF(Capacity_Resource,$F70,'Critical resources (hide)'!AC$6:AC$105)&gt;0,$E$1=2),0,1),0)</f>
        <v>1</v>
      </c>
      <c r="Q70" s="67">
        <f ca="1">IF(LOWER(Capacity!$L82)="x",IF(AND(SUMIF(Capacity_Resource,$D70,'Critical resources (hide)'!AD$6:AD$105)+SUMIF(Capacity_Resource,$E70,'Critical resources (hide)'!AD$6:AD$105)+SUMIF(Capacity_Resource,$F70,'Critical resources (hide)'!AD$6:AD$105)&gt;0,$E$1=2),0,1),0)</f>
        <v>1</v>
      </c>
      <c r="R70" s="67">
        <f ca="1">IF(LOWER(Capacity!$L82)="x",IF(AND(SUMIF(Capacity_Resource,$D70,'Critical resources (hide)'!AE$6:AE$105)+SUMIF(Capacity_Resource,$E70,'Critical resources (hide)'!AE$6:AE$105)+SUMIF(Capacity_Resource,$F70,'Critical resources (hide)'!AE$6:AE$105)&gt;0,$E$1=2),0,1),0)</f>
        <v>1</v>
      </c>
      <c r="S70" s="67">
        <f ca="1">IF(LOWER(Capacity!$L82)="x",IF(AND(SUMIF(Capacity_Resource,$D70,'Critical resources (hide)'!AF$6:AF$105)+SUMIF(Capacity_Resource,$E70,'Critical resources (hide)'!AF$6:AF$105)+SUMIF(Capacity_Resource,$F70,'Critical resources (hide)'!AF$6:AF$105)&gt;0,$E$1=2),0,1),0)</f>
        <v>1</v>
      </c>
      <c r="T70" s="67">
        <f ca="1">IF(LOWER(Capacity!$L82)="x",IF(AND(SUMIF(Capacity_Resource,$D70,'Critical resources (hide)'!AG$6:AG$105)+SUMIF(Capacity_Resource,$E70,'Critical resources (hide)'!AG$6:AG$105)+SUMIF(Capacity_Resource,$F70,'Critical resources (hide)'!AG$6:AG$105)&gt;0,$E$1=2),0,1),0)</f>
        <v>1</v>
      </c>
      <c r="U70" s="67">
        <f ca="1">IF(LOWER(Capacity!$L82)="x",IF(AND(SUMIF(Capacity_Resource,$D70,'Critical resources (hide)'!AH$6:AH$105)+SUMIF(Capacity_Resource,$E70,'Critical resources (hide)'!AH$6:AH$105)+SUMIF(Capacity_Resource,$F70,'Critical resources (hide)'!AH$6:AH$105)&gt;0,$E$1=2),0,1),0)</f>
        <v>1</v>
      </c>
      <c r="V70" s="67">
        <f ca="1">IF(LOWER(Capacity!$L82)="x",IF(AND(SUMIF(Capacity_Resource,$D70,'Critical resources (hide)'!AI$6:AI$105)+SUMIF(Capacity_Resource,$E70,'Critical resources (hide)'!AI$6:AI$105)+SUMIF(Capacity_Resource,$F70,'Critical resources (hide)'!AI$6:AI$105)&gt;0,$E$1=2),0,1),0)</f>
        <v>1</v>
      </c>
      <c r="W70" s="67">
        <f ca="1">IF(LOWER(Capacity!$L82)="x",IF(AND(SUMIF(Capacity_Resource,$D70,'Critical resources (hide)'!AJ$6:AJ$105)+SUMIF(Capacity_Resource,$E70,'Critical resources (hide)'!AJ$6:AJ$105)+SUMIF(Capacity_Resource,$F70,'Critical resources (hide)'!AJ$6:AJ$105)&gt;0,$E$1=2),0,1),0)</f>
        <v>1</v>
      </c>
      <c r="X70" s="67">
        <f ca="1">IF(LOWER(Capacity!$L82)="x",IF(AND(SUMIF(Capacity_Resource,$D70,'Critical resources (hide)'!AK$6:AK$105)+SUMIF(Capacity_Resource,$E70,'Critical resources (hide)'!AK$6:AK$105)+SUMIF(Capacity_Resource,$F70,'Critical resources (hide)'!AK$6:AK$105)&gt;0,$E$1=2),0,1),0)</f>
        <v>1</v>
      </c>
      <c r="Y70" s="67">
        <f ca="1">IF(LOWER(Capacity!$L82)="x",IF(AND(SUMIF(Capacity_Resource,$D70,'Critical resources (hide)'!AL$6:AL$105)+SUMIF(Capacity_Resource,$E70,'Critical resources (hide)'!AL$6:AL$105)+SUMIF(Capacity_Resource,$F70,'Critical resources (hide)'!AL$6:AL$105)&gt;0,$E$1=2),0,1),0)</f>
        <v>1</v>
      </c>
      <c r="Z70" s="67">
        <f ca="1">IF(LOWER(Capacity!$L82)="x",IF(AND(SUMIF(Capacity_Resource,$D70,'Critical resources (hide)'!AM$6:AM$105)+SUMIF(Capacity_Resource,$E70,'Critical resources (hide)'!AM$6:AM$105)+SUMIF(Capacity_Resource,$F70,'Critical resources (hide)'!AM$6:AM$105)&gt;0,$E$1=2),0,1),0)</f>
        <v>1</v>
      </c>
      <c r="AA70" s="67">
        <f ca="1">IF(LOWER(Capacity!$L82)="x",IF(AND(SUMIF(Capacity_Resource,$D70,'Critical resources (hide)'!AN$6:AN$105)+SUMIF(Capacity_Resource,$E70,'Critical resources (hide)'!AN$6:AN$105)+SUMIF(Capacity_Resource,$F70,'Critical resources (hide)'!AN$6:AN$105)&gt;0,$E$1=2),0,1),0)</f>
        <v>1</v>
      </c>
      <c r="AB70" s="67">
        <f ca="1">IF(LOWER(Capacity!$L82)="x",IF(AND(SUMIF(Capacity_Resource,$D70,'Critical resources (hide)'!AO$6:AO$105)+SUMIF(Capacity_Resource,$E70,'Critical resources (hide)'!AO$6:AO$105)+SUMIF(Capacity_Resource,$F70,'Critical resources (hide)'!AO$6:AO$105)&gt;0,$E$1=2),0,1),0)</f>
        <v>1</v>
      </c>
      <c r="AC70" s="67">
        <f ca="1">IF(LOWER(Capacity!$L82)="x",IF(AND(SUMIF(Capacity_Resource,$D70,'Critical resources (hide)'!AP$6:AP$105)+SUMIF(Capacity_Resource,$E70,'Critical resources (hide)'!AP$6:AP$105)+SUMIF(Capacity_Resource,$F70,'Critical resources (hide)'!AP$6:AP$105)&gt;0,$E$1=2),0,1),0)</f>
        <v>1</v>
      </c>
      <c r="AD70" s="67">
        <f ca="1">IF(LOWER(Capacity!$L82)="x",IF(AND(SUMIF(Capacity_Resource,$D70,'Critical resources (hide)'!AQ$6:AQ$105)+SUMIF(Capacity_Resource,$E70,'Critical resources (hide)'!AQ$6:AQ$105)+SUMIF(Capacity_Resource,$F70,'Critical resources (hide)'!AQ$6:AQ$105)&gt;0,$E$1=2),0,1),0)</f>
        <v>1</v>
      </c>
      <c r="AE70" s="67">
        <f ca="1">IF(LOWER(Capacity!$L82)="x",IF(AND(SUMIF(Capacity_Resource,$D70,'Critical resources (hide)'!AR$6:AR$105)+SUMIF(Capacity_Resource,$E70,'Critical resources (hide)'!AR$6:AR$105)+SUMIF(Capacity_Resource,$F70,'Critical resources (hide)'!AR$6:AR$105)&gt;0,$E$1=2),0,1),0)</f>
        <v>1</v>
      </c>
      <c r="AF70" s="67">
        <f ca="1">IF(LOWER(Capacity!$L82)="x",IF(AND(SUMIF(Capacity_Resource,$D70,'Critical resources (hide)'!AS$6:AS$105)+SUMIF(Capacity_Resource,$E70,'Critical resources (hide)'!AS$6:AS$105)+SUMIF(Capacity_Resource,$F70,'Critical resources (hide)'!AS$6:AS$105)&gt;0,$E$1=2),0,1),0)</f>
        <v>1</v>
      </c>
      <c r="AG70" s="67">
        <f ca="1">IF(LOWER(Capacity!$L82)="x",IF(AND(SUMIF(Capacity_Resource,$D70,'Critical resources (hide)'!AT$6:AT$105)+SUMIF(Capacity_Resource,$E70,'Critical resources (hide)'!AT$6:AT$105)+SUMIF(Capacity_Resource,$F70,'Critical resources (hide)'!AT$6:AT$105)&gt;0,$E$1=2),0,1),0)</f>
        <v>1</v>
      </c>
      <c r="AH70" s="67">
        <f ca="1">IF(LOWER(Capacity!$L82)="x",IF(AND(SUMIF(Capacity_Resource,$D70,'Critical resources (hide)'!AU$6:AU$105)+SUMIF(Capacity_Resource,$E70,'Critical resources (hide)'!AU$6:AU$105)+SUMIF(Capacity_Resource,$F70,'Critical resources (hide)'!AU$6:AU$105)&gt;0,$E$1=2),0,1),0)</f>
        <v>1</v>
      </c>
      <c r="AI70" s="67">
        <f ca="1">IF(LOWER(Capacity!$L82)="x",IF(AND(SUMIF(Capacity_Resource,$D70,'Critical resources (hide)'!AV$6:AV$105)+SUMIF(Capacity_Resource,$E70,'Critical resources (hide)'!AV$6:AV$105)+SUMIF(Capacity_Resource,$F70,'Critical resources (hide)'!AV$6:AV$105)&gt;0,$E$1=2),0,1),0)</f>
        <v>1</v>
      </c>
      <c r="AJ70" s="67">
        <f ca="1">IF(LOWER(Capacity!$L82)="x",IF(AND(SUMIF(Capacity_Resource,$D70,'Critical resources (hide)'!AW$6:AW$105)+SUMIF(Capacity_Resource,$E70,'Critical resources (hide)'!AW$6:AW$105)+SUMIF(Capacity_Resource,$F70,'Critical resources (hide)'!AW$6:AW$105)&gt;0,$E$1=2),0,1),0)</f>
        <v>1</v>
      </c>
      <c r="AK70" s="67">
        <f ca="1">IF(LOWER(Capacity!$L82)="x",IF(AND(SUMIF(Capacity_Resource,$D70,'Critical resources (hide)'!AX$6:AX$105)+SUMIF(Capacity_Resource,$E70,'Critical resources (hide)'!AX$6:AX$105)+SUMIF(Capacity_Resource,$F70,'Critical resources (hide)'!AX$6:AX$105)&gt;0,$E$1=2),0,1),0)</f>
        <v>1</v>
      </c>
      <c r="AL70" s="67">
        <f ca="1">IF(LOWER(Capacity!$L82)="x",IF(AND(SUMIF(Capacity_Resource,$D70,'Critical resources (hide)'!AY$6:AY$105)+SUMIF(Capacity_Resource,$E70,'Critical resources (hide)'!AY$6:AY$105)+SUMIF(Capacity_Resource,$F70,'Critical resources (hide)'!AY$6:AY$105)&gt;0,$E$1=2),0,1),0)</f>
        <v>1</v>
      </c>
      <c r="AM70" s="67">
        <f ca="1">IF(LOWER(Capacity!$L82)="x",IF(AND(SUMIF(Capacity_Resource,$D70,'Critical resources (hide)'!AZ$6:AZ$105)+SUMIF(Capacity_Resource,$E70,'Critical resources (hide)'!AZ$6:AZ$105)+SUMIF(Capacity_Resource,$F70,'Critical resources (hide)'!AZ$6:AZ$105)&gt;0,$E$1=2),0,1),0)</f>
        <v>1</v>
      </c>
      <c r="AN70" s="67">
        <f ca="1">IF(LOWER(Capacity!$L82)="x",IF(AND(SUMIF(Capacity_Resource,$D70,'Critical resources (hide)'!BA$6:BA$105)+SUMIF(Capacity_Resource,$E70,'Critical resources (hide)'!BA$6:BA$105)+SUMIF(Capacity_Resource,$F70,'Critical resources (hide)'!BA$6:BA$105)&gt;0,$E$1=2),0,1),0)</f>
        <v>1</v>
      </c>
      <c r="AO70" s="67">
        <f ca="1">IF(LOWER(Capacity!$L82)="x",IF(AND(SUMIF(Capacity_Resource,$D70,'Critical resources (hide)'!BB$6:BB$105)+SUMIF(Capacity_Resource,$E70,'Critical resources (hide)'!BB$6:BB$105)+SUMIF(Capacity_Resource,$F70,'Critical resources (hide)'!BB$6:BB$105)&gt;0,$E$1=2),0,1),0)</f>
        <v>1</v>
      </c>
      <c r="AP70" s="67">
        <f ca="1">IF(LOWER(Capacity!$L82)="x",IF(AND(SUMIF(Capacity_Resource,$D70,'Critical resources (hide)'!BC$6:BC$105)+SUMIF(Capacity_Resource,$E70,'Critical resources (hide)'!BC$6:BC$105)+SUMIF(Capacity_Resource,$F70,'Critical resources (hide)'!BC$6:BC$105)&gt;0,$E$1=2),0,1),0)</f>
        <v>1</v>
      </c>
      <c r="AQ70" s="67">
        <f ca="1">IF(LOWER(Capacity!$L82)="x",IF(AND(SUMIF(Capacity_Resource,$D70,'Critical resources (hide)'!BD$6:BD$105)+SUMIF(Capacity_Resource,$E70,'Critical resources (hide)'!BD$6:BD$105)+SUMIF(Capacity_Resource,$F70,'Critical resources (hide)'!BD$6:BD$105)&gt;0,$E$1=2),0,1),0)</f>
        <v>1</v>
      </c>
      <c r="AR70" s="67">
        <f ca="1">IF(LOWER(Capacity!$L82)="x",IF(AND(SUMIF(Capacity_Resource,$D70,'Critical resources (hide)'!BE$6:BE$105)+SUMIF(Capacity_Resource,$E70,'Critical resources (hide)'!BE$6:BE$105)+SUMIF(Capacity_Resource,$F70,'Critical resources (hide)'!BE$6:BE$105)&gt;0,$E$1=2),0,1),0)</f>
        <v>1</v>
      </c>
      <c r="AS70" s="67">
        <f ca="1">IF(LOWER(Capacity!$L82)="x",IF(AND(SUMIF(Capacity_Resource,$D70,'Critical resources (hide)'!BF$6:BF$105)+SUMIF(Capacity_Resource,$E70,'Critical resources (hide)'!BF$6:BF$105)+SUMIF(Capacity_Resource,$F70,'Critical resources (hide)'!BF$6:BF$105)&gt;0,$E$1=2),0,1),0)</f>
        <v>1</v>
      </c>
      <c r="AT70" s="67">
        <f ca="1">IF(LOWER(Capacity!$L82)="x",IF(AND(SUMIF(Capacity_Resource,$D70,'Critical resources (hide)'!BG$6:BG$105)+SUMIF(Capacity_Resource,$E70,'Critical resources (hide)'!BG$6:BG$105)+SUMIF(Capacity_Resource,$F70,'Critical resources (hide)'!BG$6:BG$105)&gt;0,$E$1=2),0,1),0)</f>
        <v>1</v>
      </c>
      <c r="AU70" s="67">
        <f ca="1">IF(LOWER(Capacity!$L82)="x",IF(AND(SUMIF(Capacity_Resource,$D70,'Critical resources (hide)'!BH$6:BH$105)+SUMIF(Capacity_Resource,$E70,'Critical resources (hide)'!BH$6:BH$105)+SUMIF(Capacity_Resource,$F70,'Critical resources (hide)'!BH$6:BH$105)&gt;0,$E$1=2),0,1),0)</f>
        <v>1</v>
      </c>
      <c r="AV70" s="67">
        <f ca="1">IF(LOWER(Capacity!$L82)="x",IF(AND(SUMIF(Capacity_Resource,$D70,'Critical resources (hide)'!BI$6:BI$105)+SUMIF(Capacity_Resource,$E70,'Critical resources (hide)'!BI$6:BI$105)+SUMIF(Capacity_Resource,$F70,'Critical resources (hide)'!BI$6:BI$105)&gt;0,$E$1=2),0,1),0)</f>
        <v>1</v>
      </c>
      <c r="AW70" s="67">
        <f ca="1">IF(LOWER(Capacity!$L82)="x",IF(AND(SUMIF(Capacity_Resource,$D70,'Critical resources (hide)'!BJ$6:BJ$105)+SUMIF(Capacity_Resource,$E70,'Critical resources (hide)'!BJ$6:BJ$105)+SUMIF(Capacity_Resource,$F70,'Critical resources (hide)'!BJ$6:BJ$105)&gt;0,$E$1=2),0,1),0)</f>
        <v>1</v>
      </c>
      <c r="AX70" s="67">
        <f ca="1">IF(LOWER(Capacity!$L82)="x",IF(AND(SUMIF(Capacity_Resource,$D70,'Critical resources (hide)'!BK$6:BK$105)+SUMIF(Capacity_Resource,$E70,'Critical resources (hide)'!BK$6:BK$105)+SUMIF(Capacity_Resource,$F70,'Critical resources (hide)'!BK$6:BK$105)&gt;0,$E$1=2),0,1),0)</f>
        <v>1</v>
      </c>
      <c r="AY70" s="67">
        <f ca="1">IF(LOWER(Capacity!$L82)="x",IF(AND(SUMIF(Capacity_Resource,$D70,'Critical resources (hide)'!BL$6:BL$105)+SUMIF(Capacity_Resource,$E70,'Critical resources (hide)'!BL$6:BL$105)+SUMIF(Capacity_Resource,$F70,'Critical resources (hide)'!BL$6:BL$105)&gt;0,$E$1=2),0,1),0)</f>
        <v>1</v>
      </c>
      <c r="AZ70" s="67">
        <f ca="1">IF(LOWER(Capacity!$L82)="x",IF(AND(SUMIF(Capacity_Resource,$D70,'Critical resources (hide)'!BM$6:BM$105)+SUMIF(Capacity_Resource,$E70,'Critical resources (hide)'!BM$6:BM$105)+SUMIF(Capacity_Resource,$F70,'Critical resources (hide)'!BM$6:BM$105)&gt;0,$E$1=2),0,1),0)</f>
        <v>1</v>
      </c>
      <c r="BA70" s="67">
        <f ca="1">IF(LOWER(Capacity!$L82)="x",IF(AND(SUMIF(Capacity_Resource,$D70,'Critical resources (hide)'!BN$6:BN$105)+SUMIF(Capacity_Resource,$E70,'Critical resources (hide)'!BN$6:BN$105)+SUMIF(Capacity_Resource,$F70,'Critical resources (hide)'!BN$6:BN$105)&gt;0,$E$1=2),0,1),0)</f>
        <v>1</v>
      </c>
      <c r="BB70" s="67">
        <f ca="1">IF(LOWER(Capacity!$L82)="x",IF(AND(SUMIF(Capacity_Resource,$D70,'Critical resources (hide)'!BO$6:BO$105)+SUMIF(Capacity_Resource,$E70,'Critical resources (hide)'!BO$6:BO$105)+SUMIF(Capacity_Resource,$F70,'Critical resources (hide)'!BO$6:BO$105)&gt;0,$E$1=2),0,1),0)</f>
        <v>1</v>
      </c>
      <c r="BC70" s="67">
        <f ca="1">IF(LOWER(Capacity!$L82)="x",IF(AND(SUMIF(Capacity_Resource,$D70,'Critical resources (hide)'!BP$6:BP$105)+SUMIF(Capacity_Resource,$E70,'Critical resources (hide)'!BP$6:BP$105)+SUMIF(Capacity_Resource,$F70,'Critical resources (hide)'!BP$6:BP$105)&gt;0,$E$1=2),0,1),0)</f>
        <v>1</v>
      </c>
      <c r="BD70" s="67">
        <f ca="1">IF(LOWER(Capacity!$L82)="x",IF(AND(SUMIF(Capacity_Resource,$D70,'Critical resources (hide)'!BQ$6:BQ$105)+SUMIF(Capacity_Resource,$E70,'Critical resources (hide)'!BQ$6:BQ$105)+SUMIF(Capacity_Resource,$F70,'Critical resources (hide)'!BQ$6:BQ$105)&gt;0,$E$1=2),0,1),0)</f>
        <v>1</v>
      </c>
      <c r="BE70" s="67">
        <f ca="1">IF(LOWER(Capacity!$L82)="x",IF(AND(SUMIF(Capacity_Resource,$D70,'Critical resources (hide)'!BR$6:BR$105)+SUMIF(Capacity_Resource,$E70,'Critical resources (hide)'!BR$6:BR$105)+SUMIF(Capacity_Resource,$F70,'Critical resources (hide)'!BR$6:BR$105)&gt;0,$E$1=2),0,1),0)</f>
        <v>1</v>
      </c>
      <c r="BF70" s="67">
        <f ca="1">IF(LOWER(Capacity!$L82)="x",IF(AND(SUMIF(Capacity_Resource,$D70,'Critical resources (hide)'!BS$6:BS$105)+SUMIF(Capacity_Resource,$E70,'Critical resources (hide)'!BS$6:BS$105)+SUMIF(Capacity_Resource,$F70,'Critical resources (hide)'!BS$6:BS$105)&gt;0,$E$1=2),0,1),0)</f>
        <v>1</v>
      </c>
      <c r="BG70" s="67">
        <f ca="1">IF(LOWER(Capacity!$L82)="x",IF(AND(SUMIF(Capacity_Resource,$D70,'Critical resources (hide)'!BT$6:BT$105)+SUMIF(Capacity_Resource,$E70,'Critical resources (hide)'!BT$6:BT$105)+SUMIF(Capacity_Resource,$F70,'Critical resources (hide)'!BT$6:BT$105)&gt;0,$E$1=2),0,1),0)</f>
        <v>1</v>
      </c>
      <c r="BH70" s="67">
        <f>IF(ROW(C66)&lt;=Capacity!$A$16,IF('Capacity summary'!$D$14="No",SUM(H70:BG70),'Capacity summary'!$E189),0)</f>
        <v>0</v>
      </c>
      <c r="BI70" s="5" t="str">
        <f>IF(BH70&gt;0,IF(BH70&lt;Capacity!E82,Capacity!F82,Capacity!H82/'Capacity calculation (hide)'!BH70),"")</f>
        <v/>
      </c>
      <c r="BK70" s="311">
        <f>IF($BI70&lt;&gt;"",IF('Capacity summary'!$D$14="Yes",IF(COUNTBLANK('Capacity summary'!$H189:$BG189)&lt;52,IF('Capacity summary'!H189&lt;&gt;"",IF(LOWER('Capacity summary'!H189)="x",$BI70*H70,VALUE('Capacity summary'!H189)),0),H70*$BI70),H70*$BI70),0)</f>
        <v>0</v>
      </c>
      <c r="BL70" s="311">
        <f>IF($BI70&lt;&gt;"",IF('Capacity summary'!$D$14="Yes",IF(COUNTBLANK('Capacity summary'!$H189:$BG189)&lt;52,IF('Capacity summary'!I189&lt;&gt;"",IF(LOWER('Capacity summary'!I189)="x",$BI70*I70,VALUE('Capacity summary'!I189)),0),I70*$BI70),I70*$BI70),0)</f>
        <v>0</v>
      </c>
      <c r="BM70" s="311">
        <f>IF($BI70&lt;&gt;"",IF('Capacity summary'!$D$14="Yes",IF(COUNTBLANK('Capacity summary'!$H189:$BG189)&lt;52,IF('Capacity summary'!J189&lt;&gt;"",IF(LOWER('Capacity summary'!J189)="x",$BI70*J70,VALUE('Capacity summary'!J189)),0),J70*$BI70),J70*$BI70),0)</f>
        <v>0</v>
      </c>
      <c r="BN70" s="311">
        <f>IF($BI70&lt;&gt;"",IF('Capacity summary'!$D$14="Yes",IF(COUNTBLANK('Capacity summary'!$H189:$BG189)&lt;52,IF('Capacity summary'!K189&lt;&gt;"",IF(LOWER('Capacity summary'!K189)="x",$BI70*K70,VALUE('Capacity summary'!K189)),0),K70*$BI70),K70*$BI70),0)</f>
        <v>0</v>
      </c>
      <c r="BO70" s="311">
        <f>IF($BI70&lt;&gt;"",IF('Capacity summary'!$D$14="Yes",IF(COUNTBLANK('Capacity summary'!$H189:$BG189)&lt;52,IF('Capacity summary'!L189&lt;&gt;"",IF(LOWER('Capacity summary'!L189)="x",$BI70*L70,VALUE('Capacity summary'!L189)),0),L70*$BI70),L70*$BI70),0)</f>
        <v>0</v>
      </c>
      <c r="BP70" s="311">
        <f>IF($BI70&lt;&gt;"",IF('Capacity summary'!$D$14="Yes",IF(COUNTBLANK('Capacity summary'!$H189:$BG189)&lt;52,IF('Capacity summary'!M189&lt;&gt;"",IF(LOWER('Capacity summary'!M189)="x",$BI70*M70,VALUE('Capacity summary'!M189)),0),M70*$BI70),M70*$BI70),0)</f>
        <v>0</v>
      </c>
      <c r="BQ70" s="311">
        <f>IF($BI70&lt;&gt;"",IF('Capacity summary'!$D$14="Yes",IF(COUNTBLANK('Capacity summary'!$H189:$BG189)&lt;52,IF('Capacity summary'!N189&lt;&gt;"",IF(LOWER('Capacity summary'!N189)="x",$BI70*N70,VALUE('Capacity summary'!N189)),0),N70*$BI70),N70*$BI70),0)</f>
        <v>0</v>
      </c>
      <c r="BR70" s="311">
        <f>IF($BI70&lt;&gt;"",IF('Capacity summary'!$D$14="Yes",IF(COUNTBLANK('Capacity summary'!$H189:$BG189)&lt;52,IF('Capacity summary'!O189&lt;&gt;"",IF(LOWER('Capacity summary'!O189)="x",$BI70*O70,VALUE('Capacity summary'!O189)),0),O70*$BI70),O70*$BI70),0)</f>
        <v>0</v>
      </c>
      <c r="BS70" s="311">
        <f>IF($BI70&lt;&gt;"",IF('Capacity summary'!$D$14="Yes",IF(COUNTBLANK('Capacity summary'!$H189:$BG189)&lt;52,IF('Capacity summary'!P189&lt;&gt;"",IF(LOWER('Capacity summary'!P189)="x",$BI70*P70,VALUE('Capacity summary'!P189)),0),P70*$BI70),P70*$BI70),0)</f>
        <v>0</v>
      </c>
      <c r="BT70" s="311">
        <f>IF($BI70&lt;&gt;"",IF('Capacity summary'!$D$14="Yes",IF(COUNTBLANK('Capacity summary'!$H189:$BG189)&lt;52,IF('Capacity summary'!Q189&lt;&gt;"",IF(LOWER('Capacity summary'!Q189)="x",$BI70*Q70,VALUE('Capacity summary'!Q189)),0),Q70*$BI70),Q70*$BI70),0)</f>
        <v>0</v>
      </c>
      <c r="BU70" s="311">
        <f>IF($BI70&lt;&gt;"",IF('Capacity summary'!$D$14="Yes",IF(COUNTBLANK('Capacity summary'!$H189:$BG189)&lt;52,IF('Capacity summary'!R189&lt;&gt;"",IF(LOWER('Capacity summary'!R189)="x",$BI70*R70,VALUE('Capacity summary'!R189)),0),R70*$BI70),R70*$BI70),0)</f>
        <v>0</v>
      </c>
      <c r="BV70" s="311">
        <f>IF($BI70&lt;&gt;"",IF('Capacity summary'!$D$14="Yes",IF(COUNTBLANK('Capacity summary'!$H189:$BG189)&lt;52,IF('Capacity summary'!S189&lt;&gt;"",IF(LOWER('Capacity summary'!S189)="x",$BI70*S70,VALUE('Capacity summary'!S189)),0),S70*$BI70),S70*$BI70),0)</f>
        <v>0</v>
      </c>
      <c r="BW70" s="311">
        <f>IF($BI70&lt;&gt;"",IF('Capacity summary'!$D$14="Yes",IF(COUNTBLANK('Capacity summary'!$H189:$BG189)&lt;52,IF('Capacity summary'!T189&lt;&gt;"",IF(LOWER('Capacity summary'!T189)="x",$BI70*T70,VALUE('Capacity summary'!T189)),0),T70*$BI70),T70*$BI70),0)</f>
        <v>0</v>
      </c>
      <c r="BX70" s="311">
        <f>IF($BI70&lt;&gt;"",IF('Capacity summary'!$D$14="Yes",IF(COUNTBLANK('Capacity summary'!$H189:$BG189)&lt;52,IF('Capacity summary'!U189&lt;&gt;"",IF(LOWER('Capacity summary'!U189)="x",$BI70*U70,VALUE('Capacity summary'!U189)),0),U70*$BI70),U70*$BI70),0)</f>
        <v>0</v>
      </c>
      <c r="BY70" s="311">
        <f>IF($BI70&lt;&gt;"",IF('Capacity summary'!$D$14="Yes",IF(COUNTBLANK('Capacity summary'!$H189:$BG189)&lt;52,IF('Capacity summary'!V189&lt;&gt;"",IF(LOWER('Capacity summary'!V189)="x",$BI70*V70,VALUE('Capacity summary'!V189)),0),V70*$BI70),V70*$BI70),0)</f>
        <v>0</v>
      </c>
      <c r="BZ70" s="311">
        <f>IF($BI70&lt;&gt;"",IF('Capacity summary'!$D$14="Yes",IF(COUNTBLANK('Capacity summary'!$H189:$BG189)&lt;52,IF('Capacity summary'!W189&lt;&gt;"",IF(LOWER('Capacity summary'!W189)="x",$BI70*W70,VALUE('Capacity summary'!W189)),0),W70*$BI70),W70*$BI70),0)</f>
        <v>0</v>
      </c>
      <c r="CA70" s="311">
        <f>IF($BI70&lt;&gt;"",IF('Capacity summary'!$D$14="Yes",IF(COUNTBLANK('Capacity summary'!$H189:$BG189)&lt;52,IF('Capacity summary'!X189&lt;&gt;"",IF(LOWER('Capacity summary'!X189)="x",$BI70*X70,VALUE('Capacity summary'!X189)),0),X70*$BI70),X70*$BI70),0)</f>
        <v>0</v>
      </c>
      <c r="CB70" s="311">
        <f>IF($BI70&lt;&gt;"",IF('Capacity summary'!$D$14="Yes",IF(COUNTBLANK('Capacity summary'!$H189:$BG189)&lt;52,IF('Capacity summary'!Y189&lt;&gt;"",IF(LOWER('Capacity summary'!Y189)="x",$BI70*Y70,VALUE('Capacity summary'!Y189)),0),Y70*$BI70),Y70*$BI70),0)</f>
        <v>0</v>
      </c>
      <c r="CC70" s="311">
        <f>IF($BI70&lt;&gt;"",IF('Capacity summary'!$D$14="Yes",IF(COUNTBLANK('Capacity summary'!$H189:$BG189)&lt;52,IF('Capacity summary'!Z189&lt;&gt;"",IF(LOWER('Capacity summary'!Z189)="x",$BI70*Z70,VALUE('Capacity summary'!Z189)),0),Z70*$BI70),Z70*$BI70),0)</f>
        <v>0</v>
      </c>
      <c r="CD70" s="311">
        <f>IF($BI70&lt;&gt;"",IF('Capacity summary'!$D$14="Yes",IF(COUNTBLANK('Capacity summary'!$H189:$BG189)&lt;52,IF('Capacity summary'!AA189&lt;&gt;"",IF(LOWER('Capacity summary'!AA189)="x",$BI70*AA70,VALUE('Capacity summary'!AA189)),0),AA70*$BI70),AA70*$BI70),0)</f>
        <v>0</v>
      </c>
      <c r="CE70" s="311">
        <f>IF($BI70&lt;&gt;"",IF('Capacity summary'!$D$14="Yes",IF(COUNTBLANK('Capacity summary'!$H189:$BG189)&lt;52,IF('Capacity summary'!AB189&lt;&gt;"",IF(LOWER('Capacity summary'!AB189)="x",$BI70*AB70,VALUE('Capacity summary'!AB189)),0),AB70*$BI70),AB70*$BI70),0)</f>
        <v>0</v>
      </c>
      <c r="CF70" s="311">
        <f>IF($BI70&lt;&gt;"",IF('Capacity summary'!$D$14="Yes",IF(COUNTBLANK('Capacity summary'!$H189:$BG189)&lt;52,IF('Capacity summary'!AC189&lt;&gt;"",IF(LOWER('Capacity summary'!AC189)="x",$BI70*AC70,VALUE('Capacity summary'!AC189)),0),AC70*$BI70),AC70*$BI70),0)</f>
        <v>0</v>
      </c>
      <c r="CG70" s="311">
        <f>IF($BI70&lt;&gt;"",IF('Capacity summary'!$D$14="Yes",IF(COUNTBLANK('Capacity summary'!$H189:$BG189)&lt;52,IF('Capacity summary'!AD189&lt;&gt;"",IF(LOWER('Capacity summary'!AD189)="x",$BI70*AD70,VALUE('Capacity summary'!AD189)),0),AD70*$BI70),AD70*$BI70),0)</f>
        <v>0</v>
      </c>
      <c r="CH70" s="311">
        <f>IF($BI70&lt;&gt;"",IF('Capacity summary'!$D$14="Yes",IF(COUNTBLANK('Capacity summary'!$H189:$BG189)&lt;52,IF('Capacity summary'!AE189&lt;&gt;"",IF(LOWER('Capacity summary'!AE189)="x",$BI70*AE70,VALUE('Capacity summary'!AE189)),0),AE70*$BI70),AE70*$BI70),0)</f>
        <v>0</v>
      </c>
      <c r="CI70" s="311">
        <f>IF($BI70&lt;&gt;"",IF('Capacity summary'!$D$14="Yes",IF(COUNTBLANK('Capacity summary'!$H189:$BG189)&lt;52,IF('Capacity summary'!AF189&lt;&gt;"",IF(LOWER('Capacity summary'!AF189)="x",$BI70*AF70,VALUE('Capacity summary'!AF189)),0),AF70*$BI70),AF70*$BI70),0)</f>
        <v>0</v>
      </c>
      <c r="CJ70" s="311">
        <f>IF($BI70&lt;&gt;"",IF('Capacity summary'!$D$14="Yes",IF(COUNTBLANK('Capacity summary'!$H189:$BG189)&lt;52,IF('Capacity summary'!AG189&lt;&gt;"",IF(LOWER('Capacity summary'!AG189)="x",$BI70*AG70,VALUE('Capacity summary'!AG189)),0),AG70*$BI70),AG70*$BI70),0)</f>
        <v>0</v>
      </c>
      <c r="CK70" s="311">
        <f>IF($BI70&lt;&gt;"",IF('Capacity summary'!$D$14="Yes",IF(COUNTBLANK('Capacity summary'!$H189:$BG189)&lt;52,IF('Capacity summary'!AH189&lt;&gt;"",IF(LOWER('Capacity summary'!AH189)="x",$BI70*AH70,VALUE('Capacity summary'!AH189)),0),AH70*$BI70),AH70*$BI70),0)</f>
        <v>0</v>
      </c>
      <c r="CL70" s="311">
        <f>IF($BI70&lt;&gt;"",IF('Capacity summary'!$D$14="Yes",IF(COUNTBLANK('Capacity summary'!$H189:$BG189)&lt;52,IF('Capacity summary'!AI189&lt;&gt;"",IF(LOWER('Capacity summary'!AI189)="x",$BI70*AI70,VALUE('Capacity summary'!AI189)),0),AI70*$BI70),AI70*$BI70),0)</f>
        <v>0</v>
      </c>
      <c r="CM70" s="311">
        <f>IF($BI70&lt;&gt;"",IF('Capacity summary'!$D$14="Yes",IF(COUNTBLANK('Capacity summary'!$H189:$BG189)&lt;52,IF('Capacity summary'!AJ189&lt;&gt;"",IF(LOWER('Capacity summary'!AJ189)="x",$BI70*AJ70,VALUE('Capacity summary'!AJ189)),0),AJ70*$BI70),AJ70*$BI70),0)</f>
        <v>0</v>
      </c>
      <c r="CN70" s="311">
        <f>IF($BI70&lt;&gt;"",IF('Capacity summary'!$D$14="Yes",IF(COUNTBLANK('Capacity summary'!$H189:$BG189)&lt;52,IF('Capacity summary'!AK189&lt;&gt;"",IF(LOWER('Capacity summary'!AK189)="x",$BI70*AK70,VALUE('Capacity summary'!AK189)),0),AK70*$BI70),AK70*$BI70),0)</f>
        <v>0</v>
      </c>
      <c r="CO70" s="311">
        <f>IF($BI70&lt;&gt;"",IF('Capacity summary'!$D$14="Yes",IF(COUNTBLANK('Capacity summary'!$H189:$BG189)&lt;52,IF('Capacity summary'!AL189&lt;&gt;"",IF(LOWER('Capacity summary'!AL189)="x",$BI70*AL70,VALUE('Capacity summary'!AL189)),0),AL70*$BI70),AL70*$BI70),0)</f>
        <v>0</v>
      </c>
      <c r="CP70" s="311">
        <f>IF($BI70&lt;&gt;"",IF('Capacity summary'!$D$14="Yes",IF(COUNTBLANK('Capacity summary'!$H189:$BG189)&lt;52,IF('Capacity summary'!AM189&lt;&gt;"",IF(LOWER('Capacity summary'!AM189)="x",$BI70*AM70,VALUE('Capacity summary'!AM189)),0),AM70*$BI70),AM70*$BI70),0)</f>
        <v>0</v>
      </c>
      <c r="CQ70" s="311">
        <f>IF($BI70&lt;&gt;"",IF('Capacity summary'!$D$14="Yes",IF(COUNTBLANK('Capacity summary'!$H189:$BG189)&lt;52,IF('Capacity summary'!AN189&lt;&gt;"",IF(LOWER('Capacity summary'!AN189)="x",$BI70*AN70,VALUE('Capacity summary'!AN189)),0),AN70*$BI70),AN70*$BI70),0)</f>
        <v>0</v>
      </c>
      <c r="CR70" s="311">
        <f>IF($BI70&lt;&gt;"",IF('Capacity summary'!$D$14="Yes",IF(COUNTBLANK('Capacity summary'!$H189:$BG189)&lt;52,IF('Capacity summary'!AO189&lt;&gt;"",IF(LOWER('Capacity summary'!AO189)="x",$BI70*AO70,VALUE('Capacity summary'!AO189)),0),AO70*$BI70),AO70*$BI70),0)</f>
        <v>0</v>
      </c>
      <c r="CS70" s="311">
        <f>IF($BI70&lt;&gt;"",IF('Capacity summary'!$D$14="Yes",IF(COUNTBLANK('Capacity summary'!$H189:$BG189)&lt;52,IF('Capacity summary'!AP189&lt;&gt;"",IF(LOWER('Capacity summary'!AP189)="x",$BI70*AP70,VALUE('Capacity summary'!AP189)),0),AP70*$BI70),AP70*$BI70),0)</f>
        <v>0</v>
      </c>
      <c r="CT70" s="311">
        <f>IF($BI70&lt;&gt;"",IF('Capacity summary'!$D$14="Yes",IF(COUNTBLANK('Capacity summary'!$H189:$BG189)&lt;52,IF('Capacity summary'!AQ189&lt;&gt;"",IF(LOWER('Capacity summary'!AQ189)="x",$BI70*AQ70,VALUE('Capacity summary'!AQ189)),0),AQ70*$BI70),AQ70*$BI70),0)</f>
        <v>0</v>
      </c>
      <c r="CU70" s="311">
        <f>IF($BI70&lt;&gt;"",IF('Capacity summary'!$D$14="Yes",IF(COUNTBLANK('Capacity summary'!$H189:$BG189)&lt;52,IF('Capacity summary'!AR189&lt;&gt;"",IF(LOWER('Capacity summary'!AR189)="x",$BI70*AR70,VALUE('Capacity summary'!AR189)),0),AR70*$BI70),AR70*$BI70),0)</f>
        <v>0</v>
      </c>
      <c r="CV70" s="311">
        <f>IF($BI70&lt;&gt;"",IF('Capacity summary'!$D$14="Yes",IF(COUNTBLANK('Capacity summary'!$H189:$BG189)&lt;52,IF('Capacity summary'!AS189&lt;&gt;"",IF(LOWER('Capacity summary'!AS189)="x",$BI70*AS70,VALUE('Capacity summary'!AS189)),0),AS70*$BI70),AS70*$BI70),0)</f>
        <v>0</v>
      </c>
      <c r="CW70" s="311">
        <f>IF($BI70&lt;&gt;"",IF('Capacity summary'!$D$14="Yes",IF(COUNTBLANK('Capacity summary'!$H189:$BG189)&lt;52,IF('Capacity summary'!AT189&lt;&gt;"",IF(LOWER('Capacity summary'!AT189)="x",$BI70*AT70,VALUE('Capacity summary'!AT189)),0),AT70*$BI70),AT70*$BI70),0)</f>
        <v>0</v>
      </c>
      <c r="CX70" s="311">
        <f>IF($BI70&lt;&gt;"",IF('Capacity summary'!$D$14="Yes",IF(COUNTBLANK('Capacity summary'!$H189:$BG189)&lt;52,IF('Capacity summary'!AU189&lt;&gt;"",IF(LOWER('Capacity summary'!AU189)="x",$BI70*AU70,VALUE('Capacity summary'!AU189)),0),AU70*$BI70),AU70*$BI70),0)</f>
        <v>0</v>
      </c>
      <c r="CY70" s="311">
        <f>IF($BI70&lt;&gt;"",IF('Capacity summary'!$D$14="Yes",IF(COUNTBLANK('Capacity summary'!$H189:$BG189)&lt;52,IF('Capacity summary'!AV189&lt;&gt;"",IF(LOWER('Capacity summary'!AV189)="x",$BI70*AV70,VALUE('Capacity summary'!AV189)),0),AV70*$BI70),AV70*$BI70),0)</f>
        <v>0</v>
      </c>
      <c r="CZ70" s="311">
        <f>IF($BI70&lt;&gt;"",IF('Capacity summary'!$D$14="Yes",IF(COUNTBLANK('Capacity summary'!$H189:$BG189)&lt;52,IF('Capacity summary'!AW189&lt;&gt;"",IF(LOWER('Capacity summary'!AW189)="x",$BI70*AW70,VALUE('Capacity summary'!AW189)),0),AW70*$BI70),AW70*$BI70),0)</f>
        <v>0</v>
      </c>
      <c r="DA70" s="311">
        <f>IF($BI70&lt;&gt;"",IF('Capacity summary'!$D$14="Yes",IF(COUNTBLANK('Capacity summary'!$H189:$BG189)&lt;52,IF('Capacity summary'!AX189&lt;&gt;"",IF(LOWER('Capacity summary'!AX189)="x",$BI70*AX70,VALUE('Capacity summary'!AX189)),0),AX70*$BI70),AX70*$BI70),0)</f>
        <v>0</v>
      </c>
      <c r="DB70" s="311">
        <f>IF($BI70&lt;&gt;"",IF('Capacity summary'!$D$14="Yes",IF(COUNTBLANK('Capacity summary'!$H189:$BG189)&lt;52,IF('Capacity summary'!AY189&lt;&gt;"",IF(LOWER('Capacity summary'!AY189)="x",$BI70*AY70,VALUE('Capacity summary'!AY189)),0),AY70*$BI70),AY70*$BI70),0)</f>
        <v>0</v>
      </c>
      <c r="DC70" s="311">
        <f>IF($BI70&lt;&gt;"",IF('Capacity summary'!$D$14="Yes",IF(COUNTBLANK('Capacity summary'!$H189:$BG189)&lt;52,IF('Capacity summary'!AZ189&lt;&gt;"",IF(LOWER('Capacity summary'!AZ189)="x",$BI70*AZ70,VALUE('Capacity summary'!AZ189)),0),AZ70*$BI70),AZ70*$BI70),0)</f>
        <v>0</v>
      </c>
      <c r="DD70" s="311">
        <f>IF($BI70&lt;&gt;"",IF('Capacity summary'!$D$14="Yes",IF(COUNTBLANK('Capacity summary'!$H189:$BG189)&lt;52,IF('Capacity summary'!BA189&lt;&gt;"",IF(LOWER('Capacity summary'!BA189)="x",$BI70*BA70,VALUE('Capacity summary'!BA189)),0),BA70*$BI70),BA70*$BI70),0)</f>
        <v>0</v>
      </c>
      <c r="DE70" s="311">
        <f>IF($BI70&lt;&gt;"",IF('Capacity summary'!$D$14="Yes",IF(COUNTBLANK('Capacity summary'!$H189:$BG189)&lt;52,IF('Capacity summary'!BB189&lt;&gt;"",IF(LOWER('Capacity summary'!BB189)="x",$BI70*BB70,VALUE('Capacity summary'!BB189)),0),BB70*$BI70),BB70*$BI70),0)</f>
        <v>0</v>
      </c>
      <c r="DF70" s="311">
        <f>IF($BI70&lt;&gt;"",IF('Capacity summary'!$D$14="Yes",IF(COUNTBLANK('Capacity summary'!$H189:$BG189)&lt;52,IF('Capacity summary'!BC189&lt;&gt;"",IF(LOWER('Capacity summary'!BC189)="x",$BI70*BC70,VALUE('Capacity summary'!BC189)),0),BC70*$BI70),BC70*$BI70),0)</f>
        <v>0</v>
      </c>
      <c r="DG70" s="311">
        <f>IF($BI70&lt;&gt;"",IF('Capacity summary'!$D$14="Yes",IF(COUNTBLANK('Capacity summary'!$H189:$BG189)&lt;52,IF('Capacity summary'!BD189&lt;&gt;"",IF(LOWER('Capacity summary'!BD189)="x",$BI70*BD70,VALUE('Capacity summary'!BD189)),0),BD70*$BI70),BD70*$BI70),0)</f>
        <v>0</v>
      </c>
      <c r="DH70" s="311">
        <f>IF($BI70&lt;&gt;"",IF('Capacity summary'!$D$14="Yes",IF(COUNTBLANK('Capacity summary'!$H189:$BG189)&lt;52,IF('Capacity summary'!BE189&lt;&gt;"",IF(LOWER('Capacity summary'!BE189)="x",$BI70*BE70,VALUE('Capacity summary'!BE189)),0),BE70*$BI70),BE70*$BI70),0)</f>
        <v>0</v>
      </c>
      <c r="DI70" s="311">
        <f>IF($BI70&lt;&gt;"",IF('Capacity summary'!$D$14="Yes",IF(COUNTBLANK('Capacity summary'!$H189:$BG189)&lt;52,IF('Capacity summary'!BF189&lt;&gt;"",IF(LOWER('Capacity summary'!BF189)="x",$BI70*BF70,VALUE('Capacity summary'!BF189)),0),BF70*$BI70),BF70*$BI70),0)</f>
        <v>0</v>
      </c>
      <c r="DJ70" s="311">
        <f>IF($BI70&lt;&gt;"",IF('Capacity summary'!$D$14="Yes",IF(COUNTBLANK('Capacity summary'!$H189:$BG189)&lt;52,IF('Capacity summary'!BG189&lt;&gt;"",IF(LOWER('Capacity summary'!BG189)="x",$BI70*BG70,VALUE('Capacity summary'!BG189)),0),BG70*$BI70),BG70*$BI70),0)</f>
        <v>0</v>
      </c>
      <c r="DK70" s="391">
        <f t="shared" si="4"/>
        <v>0</v>
      </c>
      <c r="DL70" s="136">
        <f t="shared" si="5"/>
        <v>0</v>
      </c>
      <c r="DM70" s="311" t="str">
        <f>Capacity!H82</f>
        <v/>
      </c>
    </row>
    <row r="71" spans="1:117" x14ac:dyDescent="0.2">
      <c r="A71" s="67">
        <f>IF(Capacity!L83='Capacity summary'!BI190,1,0)</f>
        <v>1</v>
      </c>
      <c r="B71" s="67">
        <f>IF(Capacity!V83='Capacity summary'!BI90,1,0)</f>
        <v>1</v>
      </c>
      <c r="C71" s="67" t="str">
        <f>ROW(A67)&amp;". "&amp;Capacity!B83</f>
        <v xml:space="preserve">67. </v>
      </c>
      <c r="D71" s="67">
        <f>'Capacity setup'!C78</f>
        <v>0</v>
      </c>
      <c r="E71" s="67">
        <f>'Capacity setup'!D78</f>
        <v>0</v>
      </c>
      <c r="F71" s="67">
        <f>'Capacity setup'!E78</f>
        <v>0</v>
      </c>
      <c r="H71" s="67">
        <f ca="1">IF(LOWER(Capacity!$L83)="x",IF(AND(SUMIF(Capacity_Resource,$D71,'Critical resources (hide)'!U$6:U$105)+SUMIF(Capacity_Resource,$E71,'Critical resources (hide)'!U$6:U$105)+SUMIF(Capacity_Resource,$F71,'Critical resources (hide)'!U$6:U$105)&gt;0,$E$1=2),0,1),0)</f>
        <v>1</v>
      </c>
      <c r="I71" s="67">
        <f ca="1">IF(LOWER(Capacity!$L83)="x",IF(AND(SUMIF(Capacity_Resource,$D71,'Critical resources (hide)'!V$6:V$105)+SUMIF(Capacity_Resource,$E71,'Critical resources (hide)'!V$6:V$105)+SUMIF(Capacity_Resource,$F71,'Critical resources (hide)'!V$6:V$105)&gt;0,$E$1=2),0,1),0)</f>
        <v>1</v>
      </c>
      <c r="J71" s="67">
        <f ca="1">IF(LOWER(Capacity!$L83)="x",IF(AND(SUMIF(Capacity_Resource,$D71,'Critical resources (hide)'!W$6:W$105)+SUMIF(Capacity_Resource,$E71,'Critical resources (hide)'!W$6:W$105)+SUMIF(Capacity_Resource,$F71,'Critical resources (hide)'!W$6:W$105)&gt;0,$E$1=2),0,1),0)</f>
        <v>1</v>
      </c>
      <c r="K71" s="67">
        <f ca="1">IF(LOWER(Capacity!$L83)="x",IF(AND(SUMIF(Capacity_Resource,$D71,'Critical resources (hide)'!X$6:X$105)+SUMIF(Capacity_Resource,$E71,'Critical resources (hide)'!X$6:X$105)+SUMIF(Capacity_Resource,$F71,'Critical resources (hide)'!X$6:X$105)&gt;0,$E$1=2),0,1),0)</f>
        <v>1</v>
      </c>
      <c r="L71" s="67">
        <f ca="1">IF(LOWER(Capacity!$L83)="x",IF(AND(SUMIF(Capacity_Resource,$D71,'Critical resources (hide)'!Y$6:Y$105)+SUMIF(Capacity_Resource,$E71,'Critical resources (hide)'!Y$6:Y$105)+SUMIF(Capacity_Resource,$F71,'Critical resources (hide)'!Y$6:Y$105)&gt;0,$E$1=2),0,1),0)</f>
        <v>1</v>
      </c>
      <c r="M71" s="67">
        <f ca="1">IF(LOWER(Capacity!$L83)="x",IF(AND(SUMIF(Capacity_Resource,$D71,'Critical resources (hide)'!Z$6:Z$105)+SUMIF(Capacity_Resource,$E71,'Critical resources (hide)'!Z$6:Z$105)+SUMIF(Capacity_Resource,$F71,'Critical resources (hide)'!Z$6:Z$105)&gt;0,$E$1=2),0,1),0)</f>
        <v>1</v>
      </c>
      <c r="N71" s="67">
        <f ca="1">IF(LOWER(Capacity!$L83)="x",IF(AND(SUMIF(Capacity_Resource,$D71,'Critical resources (hide)'!AA$6:AA$105)+SUMIF(Capacity_Resource,$E71,'Critical resources (hide)'!AA$6:AA$105)+SUMIF(Capacity_Resource,$F71,'Critical resources (hide)'!AA$6:AA$105)&gt;0,$E$1=2),0,1),0)</f>
        <v>1</v>
      </c>
      <c r="O71" s="67">
        <f ca="1">IF(LOWER(Capacity!$L83)="x",IF(AND(SUMIF(Capacity_Resource,$D71,'Critical resources (hide)'!AB$6:AB$105)+SUMIF(Capacity_Resource,$E71,'Critical resources (hide)'!AB$6:AB$105)+SUMIF(Capacity_Resource,$F71,'Critical resources (hide)'!AB$6:AB$105)&gt;0,$E$1=2),0,1),0)</f>
        <v>1</v>
      </c>
      <c r="P71" s="67">
        <f ca="1">IF(LOWER(Capacity!$L83)="x",IF(AND(SUMIF(Capacity_Resource,$D71,'Critical resources (hide)'!AC$6:AC$105)+SUMIF(Capacity_Resource,$E71,'Critical resources (hide)'!AC$6:AC$105)+SUMIF(Capacity_Resource,$F71,'Critical resources (hide)'!AC$6:AC$105)&gt;0,$E$1=2),0,1),0)</f>
        <v>1</v>
      </c>
      <c r="Q71" s="67">
        <f ca="1">IF(LOWER(Capacity!$L83)="x",IF(AND(SUMIF(Capacity_Resource,$D71,'Critical resources (hide)'!AD$6:AD$105)+SUMIF(Capacity_Resource,$E71,'Critical resources (hide)'!AD$6:AD$105)+SUMIF(Capacity_Resource,$F71,'Critical resources (hide)'!AD$6:AD$105)&gt;0,$E$1=2),0,1),0)</f>
        <v>1</v>
      </c>
      <c r="R71" s="67">
        <f ca="1">IF(LOWER(Capacity!$L83)="x",IF(AND(SUMIF(Capacity_Resource,$D71,'Critical resources (hide)'!AE$6:AE$105)+SUMIF(Capacity_Resource,$E71,'Critical resources (hide)'!AE$6:AE$105)+SUMIF(Capacity_Resource,$F71,'Critical resources (hide)'!AE$6:AE$105)&gt;0,$E$1=2),0,1),0)</f>
        <v>1</v>
      </c>
      <c r="S71" s="67">
        <f ca="1">IF(LOWER(Capacity!$L83)="x",IF(AND(SUMIF(Capacity_Resource,$D71,'Critical resources (hide)'!AF$6:AF$105)+SUMIF(Capacity_Resource,$E71,'Critical resources (hide)'!AF$6:AF$105)+SUMIF(Capacity_Resource,$F71,'Critical resources (hide)'!AF$6:AF$105)&gt;0,$E$1=2),0,1),0)</f>
        <v>1</v>
      </c>
      <c r="T71" s="67">
        <f ca="1">IF(LOWER(Capacity!$L83)="x",IF(AND(SUMIF(Capacity_Resource,$D71,'Critical resources (hide)'!AG$6:AG$105)+SUMIF(Capacity_Resource,$E71,'Critical resources (hide)'!AG$6:AG$105)+SUMIF(Capacity_Resource,$F71,'Critical resources (hide)'!AG$6:AG$105)&gt;0,$E$1=2),0,1),0)</f>
        <v>1</v>
      </c>
      <c r="U71" s="67">
        <f ca="1">IF(LOWER(Capacity!$L83)="x",IF(AND(SUMIF(Capacity_Resource,$D71,'Critical resources (hide)'!AH$6:AH$105)+SUMIF(Capacity_Resource,$E71,'Critical resources (hide)'!AH$6:AH$105)+SUMIF(Capacity_Resource,$F71,'Critical resources (hide)'!AH$6:AH$105)&gt;0,$E$1=2),0,1),0)</f>
        <v>1</v>
      </c>
      <c r="V71" s="67">
        <f ca="1">IF(LOWER(Capacity!$L83)="x",IF(AND(SUMIF(Capacity_Resource,$D71,'Critical resources (hide)'!AI$6:AI$105)+SUMIF(Capacity_Resource,$E71,'Critical resources (hide)'!AI$6:AI$105)+SUMIF(Capacity_Resource,$F71,'Critical resources (hide)'!AI$6:AI$105)&gt;0,$E$1=2),0,1),0)</f>
        <v>1</v>
      </c>
      <c r="W71" s="67">
        <f ca="1">IF(LOWER(Capacity!$L83)="x",IF(AND(SUMIF(Capacity_Resource,$D71,'Critical resources (hide)'!AJ$6:AJ$105)+SUMIF(Capacity_Resource,$E71,'Critical resources (hide)'!AJ$6:AJ$105)+SUMIF(Capacity_Resource,$F71,'Critical resources (hide)'!AJ$6:AJ$105)&gt;0,$E$1=2),0,1),0)</f>
        <v>1</v>
      </c>
      <c r="X71" s="67">
        <f ca="1">IF(LOWER(Capacity!$L83)="x",IF(AND(SUMIF(Capacity_Resource,$D71,'Critical resources (hide)'!AK$6:AK$105)+SUMIF(Capacity_Resource,$E71,'Critical resources (hide)'!AK$6:AK$105)+SUMIF(Capacity_Resource,$F71,'Critical resources (hide)'!AK$6:AK$105)&gt;0,$E$1=2),0,1),0)</f>
        <v>1</v>
      </c>
      <c r="Y71" s="67">
        <f ca="1">IF(LOWER(Capacity!$L83)="x",IF(AND(SUMIF(Capacity_Resource,$D71,'Critical resources (hide)'!AL$6:AL$105)+SUMIF(Capacity_Resource,$E71,'Critical resources (hide)'!AL$6:AL$105)+SUMIF(Capacity_Resource,$F71,'Critical resources (hide)'!AL$6:AL$105)&gt;0,$E$1=2),0,1),0)</f>
        <v>1</v>
      </c>
      <c r="Z71" s="67">
        <f ca="1">IF(LOWER(Capacity!$L83)="x",IF(AND(SUMIF(Capacity_Resource,$D71,'Critical resources (hide)'!AM$6:AM$105)+SUMIF(Capacity_Resource,$E71,'Critical resources (hide)'!AM$6:AM$105)+SUMIF(Capacity_Resource,$F71,'Critical resources (hide)'!AM$6:AM$105)&gt;0,$E$1=2),0,1),0)</f>
        <v>1</v>
      </c>
      <c r="AA71" s="67">
        <f ca="1">IF(LOWER(Capacity!$L83)="x",IF(AND(SUMIF(Capacity_Resource,$D71,'Critical resources (hide)'!AN$6:AN$105)+SUMIF(Capacity_Resource,$E71,'Critical resources (hide)'!AN$6:AN$105)+SUMIF(Capacity_Resource,$F71,'Critical resources (hide)'!AN$6:AN$105)&gt;0,$E$1=2),0,1),0)</f>
        <v>1</v>
      </c>
      <c r="AB71" s="67">
        <f ca="1">IF(LOWER(Capacity!$L83)="x",IF(AND(SUMIF(Capacity_Resource,$D71,'Critical resources (hide)'!AO$6:AO$105)+SUMIF(Capacity_Resource,$E71,'Critical resources (hide)'!AO$6:AO$105)+SUMIF(Capacity_Resource,$F71,'Critical resources (hide)'!AO$6:AO$105)&gt;0,$E$1=2),0,1),0)</f>
        <v>1</v>
      </c>
      <c r="AC71" s="67">
        <f ca="1">IF(LOWER(Capacity!$L83)="x",IF(AND(SUMIF(Capacity_Resource,$D71,'Critical resources (hide)'!AP$6:AP$105)+SUMIF(Capacity_Resource,$E71,'Critical resources (hide)'!AP$6:AP$105)+SUMIF(Capacity_Resource,$F71,'Critical resources (hide)'!AP$6:AP$105)&gt;0,$E$1=2),0,1),0)</f>
        <v>1</v>
      </c>
      <c r="AD71" s="67">
        <f ca="1">IF(LOWER(Capacity!$L83)="x",IF(AND(SUMIF(Capacity_Resource,$D71,'Critical resources (hide)'!AQ$6:AQ$105)+SUMIF(Capacity_Resource,$E71,'Critical resources (hide)'!AQ$6:AQ$105)+SUMIF(Capacity_Resource,$F71,'Critical resources (hide)'!AQ$6:AQ$105)&gt;0,$E$1=2),0,1),0)</f>
        <v>1</v>
      </c>
      <c r="AE71" s="67">
        <f ca="1">IF(LOWER(Capacity!$L83)="x",IF(AND(SUMIF(Capacity_Resource,$D71,'Critical resources (hide)'!AR$6:AR$105)+SUMIF(Capacity_Resource,$E71,'Critical resources (hide)'!AR$6:AR$105)+SUMIF(Capacity_Resource,$F71,'Critical resources (hide)'!AR$6:AR$105)&gt;0,$E$1=2),0,1),0)</f>
        <v>1</v>
      </c>
      <c r="AF71" s="67">
        <f ca="1">IF(LOWER(Capacity!$L83)="x",IF(AND(SUMIF(Capacity_Resource,$D71,'Critical resources (hide)'!AS$6:AS$105)+SUMIF(Capacity_Resource,$E71,'Critical resources (hide)'!AS$6:AS$105)+SUMIF(Capacity_Resource,$F71,'Critical resources (hide)'!AS$6:AS$105)&gt;0,$E$1=2),0,1),0)</f>
        <v>1</v>
      </c>
      <c r="AG71" s="67">
        <f ca="1">IF(LOWER(Capacity!$L83)="x",IF(AND(SUMIF(Capacity_Resource,$D71,'Critical resources (hide)'!AT$6:AT$105)+SUMIF(Capacity_Resource,$E71,'Critical resources (hide)'!AT$6:AT$105)+SUMIF(Capacity_Resource,$F71,'Critical resources (hide)'!AT$6:AT$105)&gt;0,$E$1=2),0,1),0)</f>
        <v>1</v>
      </c>
      <c r="AH71" s="67">
        <f ca="1">IF(LOWER(Capacity!$L83)="x",IF(AND(SUMIF(Capacity_Resource,$D71,'Critical resources (hide)'!AU$6:AU$105)+SUMIF(Capacity_Resource,$E71,'Critical resources (hide)'!AU$6:AU$105)+SUMIF(Capacity_Resource,$F71,'Critical resources (hide)'!AU$6:AU$105)&gt;0,$E$1=2),0,1),0)</f>
        <v>1</v>
      </c>
      <c r="AI71" s="67">
        <f ca="1">IF(LOWER(Capacity!$L83)="x",IF(AND(SUMIF(Capacity_Resource,$D71,'Critical resources (hide)'!AV$6:AV$105)+SUMIF(Capacity_Resource,$E71,'Critical resources (hide)'!AV$6:AV$105)+SUMIF(Capacity_Resource,$F71,'Critical resources (hide)'!AV$6:AV$105)&gt;0,$E$1=2),0,1),0)</f>
        <v>1</v>
      </c>
      <c r="AJ71" s="67">
        <f ca="1">IF(LOWER(Capacity!$L83)="x",IF(AND(SUMIF(Capacity_Resource,$D71,'Critical resources (hide)'!AW$6:AW$105)+SUMIF(Capacity_Resource,$E71,'Critical resources (hide)'!AW$6:AW$105)+SUMIF(Capacity_Resource,$F71,'Critical resources (hide)'!AW$6:AW$105)&gt;0,$E$1=2),0,1),0)</f>
        <v>1</v>
      </c>
      <c r="AK71" s="67">
        <f ca="1">IF(LOWER(Capacity!$L83)="x",IF(AND(SUMIF(Capacity_Resource,$D71,'Critical resources (hide)'!AX$6:AX$105)+SUMIF(Capacity_Resource,$E71,'Critical resources (hide)'!AX$6:AX$105)+SUMIF(Capacity_Resource,$F71,'Critical resources (hide)'!AX$6:AX$105)&gt;0,$E$1=2),0,1),0)</f>
        <v>1</v>
      </c>
      <c r="AL71" s="67">
        <f ca="1">IF(LOWER(Capacity!$L83)="x",IF(AND(SUMIF(Capacity_Resource,$D71,'Critical resources (hide)'!AY$6:AY$105)+SUMIF(Capacity_Resource,$E71,'Critical resources (hide)'!AY$6:AY$105)+SUMIF(Capacity_Resource,$F71,'Critical resources (hide)'!AY$6:AY$105)&gt;0,$E$1=2),0,1),0)</f>
        <v>1</v>
      </c>
      <c r="AM71" s="67">
        <f ca="1">IF(LOWER(Capacity!$L83)="x",IF(AND(SUMIF(Capacity_Resource,$D71,'Critical resources (hide)'!AZ$6:AZ$105)+SUMIF(Capacity_Resource,$E71,'Critical resources (hide)'!AZ$6:AZ$105)+SUMIF(Capacity_Resource,$F71,'Critical resources (hide)'!AZ$6:AZ$105)&gt;0,$E$1=2),0,1),0)</f>
        <v>1</v>
      </c>
      <c r="AN71" s="67">
        <f ca="1">IF(LOWER(Capacity!$L83)="x",IF(AND(SUMIF(Capacity_Resource,$D71,'Critical resources (hide)'!BA$6:BA$105)+SUMIF(Capacity_Resource,$E71,'Critical resources (hide)'!BA$6:BA$105)+SUMIF(Capacity_Resource,$F71,'Critical resources (hide)'!BA$6:BA$105)&gt;0,$E$1=2),0,1),0)</f>
        <v>1</v>
      </c>
      <c r="AO71" s="67">
        <f ca="1">IF(LOWER(Capacity!$L83)="x",IF(AND(SUMIF(Capacity_Resource,$D71,'Critical resources (hide)'!BB$6:BB$105)+SUMIF(Capacity_Resource,$E71,'Critical resources (hide)'!BB$6:BB$105)+SUMIF(Capacity_Resource,$F71,'Critical resources (hide)'!BB$6:BB$105)&gt;0,$E$1=2),0,1),0)</f>
        <v>1</v>
      </c>
      <c r="AP71" s="67">
        <f ca="1">IF(LOWER(Capacity!$L83)="x",IF(AND(SUMIF(Capacity_Resource,$D71,'Critical resources (hide)'!BC$6:BC$105)+SUMIF(Capacity_Resource,$E71,'Critical resources (hide)'!BC$6:BC$105)+SUMIF(Capacity_Resource,$F71,'Critical resources (hide)'!BC$6:BC$105)&gt;0,$E$1=2),0,1),0)</f>
        <v>1</v>
      </c>
      <c r="AQ71" s="67">
        <f ca="1">IF(LOWER(Capacity!$L83)="x",IF(AND(SUMIF(Capacity_Resource,$D71,'Critical resources (hide)'!BD$6:BD$105)+SUMIF(Capacity_Resource,$E71,'Critical resources (hide)'!BD$6:BD$105)+SUMIF(Capacity_Resource,$F71,'Critical resources (hide)'!BD$6:BD$105)&gt;0,$E$1=2),0,1),0)</f>
        <v>1</v>
      </c>
      <c r="AR71" s="67">
        <f ca="1">IF(LOWER(Capacity!$L83)="x",IF(AND(SUMIF(Capacity_Resource,$D71,'Critical resources (hide)'!BE$6:BE$105)+SUMIF(Capacity_Resource,$E71,'Critical resources (hide)'!BE$6:BE$105)+SUMIF(Capacity_Resource,$F71,'Critical resources (hide)'!BE$6:BE$105)&gt;0,$E$1=2),0,1),0)</f>
        <v>1</v>
      </c>
      <c r="AS71" s="67">
        <f ca="1">IF(LOWER(Capacity!$L83)="x",IF(AND(SUMIF(Capacity_Resource,$D71,'Critical resources (hide)'!BF$6:BF$105)+SUMIF(Capacity_Resource,$E71,'Critical resources (hide)'!BF$6:BF$105)+SUMIF(Capacity_Resource,$F71,'Critical resources (hide)'!BF$6:BF$105)&gt;0,$E$1=2),0,1),0)</f>
        <v>1</v>
      </c>
      <c r="AT71" s="67">
        <f ca="1">IF(LOWER(Capacity!$L83)="x",IF(AND(SUMIF(Capacity_Resource,$D71,'Critical resources (hide)'!BG$6:BG$105)+SUMIF(Capacity_Resource,$E71,'Critical resources (hide)'!BG$6:BG$105)+SUMIF(Capacity_Resource,$F71,'Critical resources (hide)'!BG$6:BG$105)&gt;0,$E$1=2),0,1),0)</f>
        <v>1</v>
      </c>
      <c r="AU71" s="67">
        <f ca="1">IF(LOWER(Capacity!$L83)="x",IF(AND(SUMIF(Capacity_Resource,$D71,'Critical resources (hide)'!BH$6:BH$105)+SUMIF(Capacity_Resource,$E71,'Critical resources (hide)'!BH$6:BH$105)+SUMIF(Capacity_Resource,$F71,'Critical resources (hide)'!BH$6:BH$105)&gt;0,$E$1=2),0,1),0)</f>
        <v>1</v>
      </c>
      <c r="AV71" s="67">
        <f ca="1">IF(LOWER(Capacity!$L83)="x",IF(AND(SUMIF(Capacity_Resource,$D71,'Critical resources (hide)'!BI$6:BI$105)+SUMIF(Capacity_Resource,$E71,'Critical resources (hide)'!BI$6:BI$105)+SUMIF(Capacity_Resource,$F71,'Critical resources (hide)'!BI$6:BI$105)&gt;0,$E$1=2),0,1),0)</f>
        <v>1</v>
      </c>
      <c r="AW71" s="67">
        <f ca="1">IF(LOWER(Capacity!$L83)="x",IF(AND(SUMIF(Capacity_Resource,$D71,'Critical resources (hide)'!BJ$6:BJ$105)+SUMIF(Capacity_Resource,$E71,'Critical resources (hide)'!BJ$6:BJ$105)+SUMIF(Capacity_Resource,$F71,'Critical resources (hide)'!BJ$6:BJ$105)&gt;0,$E$1=2),0,1),0)</f>
        <v>1</v>
      </c>
      <c r="AX71" s="67">
        <f ca="1">IF(LOWER(Capacity!$L83)="x",IF(AND(SUMIF(Capacity_Resource,$D71,'Critical resources (hide)'!BK$6:BK$105)+SUMIF(Capacity_Resource,$E71,'Critical resources (hide)'!BK$6:BK$105)+SUMIF(Capacity_Resource,$F71,'Critical resources (hide)'!BK$6:BK$105)&gt;0,$E$1=2),0,1),0)</f>
        <v>1</v>
      </c>
      <c r="AY71" s="67">
        <f ca="1">IF(LOWER(Capacity!$L83)="x",IF(AND(SUMIF(Capacity_Resource,$D71,'Critical resources (hide)'!BL$6:BL$105)+SUMIF(Capacity_Resource,$E71,'Critical resources (hide)'!BL$6:BL$105)+SUMIF(Capacity_Resource,$F71,'Critical resources (hide)'!BL$6:BL$105)&gt;0,$E$1=2),0,1),0)</f>
        <v>1</v>
      </c>
      <c r="AZ71" s="67">
        <f ca="1">IF(LOWER(Capacity!$L83)="x",IF(AND(SUMIF(Capacity_Resource,$D71,'Critical resources (hide)'!BM$6:BM$105)+SUMIF(Capacity_Resource,$E71,'Critical resources (hide)'!BM$6:BM$105)+SUMIF(Capacity_Resource,$F71,'Critical resources (hide)'!BM$6:BM$105)&gt;0,$E$1=2),0,1),0)</f>
        <v>1</v>
      </c>
      <c r="BA71" s="67">
        <f ca="1">IF(LOWER(Capacity!$L83)="x",IF(AND(SUMIF(Capacity_Resource,$D71,'Critical resources (hide)'!BN$6:BN$105)+SUMIF(Capacity_Resource,$E71,'Critical resources (hide)'!BN$6:BN$105)+SUMIF(Capacity_Resource,$F71,'Critical resources (hide)'!BN$6:BN$105)&gt;0,$E$1=2),0,1),0)</f>
        <v>1</v>
      </c>
      <c r="BB71" s="67">
        <f ca="1">IF(LOWER(Capacity!$L83)="x",IF(AND(SUMIF(Capacity_Resource,$D71,'Critical resources (hide)'!BO$6:BO$105)+SUMIF(Capacity_Resource,$E71,'Critical resources (hide)'!BO$6:BO$105)+SUMIF(Capacity_Resource,$F71,'Critical resources (hide)'!BO$6:BO$105)&gt;0,$E$1=2),0,1),0)</f>
        <v>1</v>
      </c>
      <c r="BC71" s="67">
        <f ca="1">IF(LOWER(Capacity!$L83)="x",IF(AND(SUMIF(Capacity_Resource,$D71,'Critical resources (hide)'!BP$6:BP$105)+SUMIF(Capacity_Resource,$E71,'Critical resources (hide)'!BP$6:BP$105)+SUMIF(Capacity_Resource,$F71,'Critical resources (hide)'!BP$6:BP$105)&gt;0,$E$1=2),0,1),0)</f>
        <v>1</v>
      </c>
      <c r="BD71" s="67">
        <f ca="1">IF(LOWER(Capacity!$L83)="x",IF(AND(SUMIF(Capacity_Resource,$D71,'Critical resources (hide)'!BQ$6:BQ$105)+SUMIF(Capacity_Resource,$E71,'Critical resources (hide)'!BQ$6:BQ$105)+SUMIF(Capacity_Resource,$F71,'Critical resources (hide)'!BQ$6:BQ$105)&gt;0,$E$1=2),0,1),0)</f>
        <v>1</v>
      </c>
      <c r="BE71" s="67">
        <f ca="1">IF(LOWER(Capacity!$L83)="x",IF(AND(SUMIF(Capacity_Resource,$D71,'Critical resources (hide)'!BR$6:BR$105)+SUMIF(Capacity_Resource,$E71,'Critical resources (hide)'!BR$6:BR$105)+SUMIF(Capacity_Resource,$F71,'Critical resources (hide)'!BR$6:BR$105)&gt;0,$E$1=2),0,1),0)</f>
        <v>1</v>
      </c>
      <c r="BF71" s="67">
        <f ca="1">IF(LOWER(Capacity!$L83)="x",IF(AND(SUMIF(Capacity_Resource,$D71,'Critical resources (hide)'!BS$6:BS$105)+SUMIF(Capacity_Resource,$E71,'Critical resources (hide)'!BS$6:BS$105)+SUMIF(Capacity_Resource,$F71,'Critical resources (hide)'!BS$6:BS$105)&gt;0,$E$1=2),0,1),0)</f>
        <v>1</v>
      </c>
      <c r="BG71" s="67">
        <f ca="1">IF(LOWER(Capacity!$L83)="x",IF(AND(SUMIF(Capacity_Resource,$D71,'Critical resources (hide)'!BT$6:BT$105)+SUMIF(Capacity_Resource,$E71,'Critical resources (hide)'!BT$6:BT$105)+SUMIF(Capacity_Resource,$F71,'Critical resources (hide)'!BT$6:BT$105)&gt;0,$E$1=2),0,1),0)</f>
        <v>1</v>
      </c>
      <c r="BH71" s="67">
        <f>IF(ROW(C67)&lt;=Capacity!$A$16,IF('Capacity summary'!$D$14="No",SUM(H71:BG71),'Capacity summary'!$E190),0)</f>
        <v>0</v>
      </c>
      <c r="BI71" s="5" t="str">
        <f>IF(BH71&gt;0,IF(BH71&lt;Capacity!E83,Capacity!F83,Capacity!H83/'Capacity calculation (hide)'!BH71),"")</f>
        <v/>
      </c>
      <c r="BK71" s="311">
        <f>IF($BI71&lt;&gt;"",IF('Capacity summary'!$D$14="Yes",IF(COUNTBLANK('Capacity summary'!$H190:$BG190)&lt;52,IF('Capacity summary'!H190&lt;&gt;"",IF(LOWER('Capacity summary'!H190)="x",$BI71*H71,VALUE('Capacity summary'!H190)),0),H71*$BI71),H71*$BI71),0)</f>
        <v>0</v>
      </c>
      <c r="BL71" s="311">
        <f>IF($BI71&lt;&gt;"",IF('Capacity summary'!$D$14="Yes",IF(COUNTBLANK('Capacity summary'!$H190:$BG190)&lt;52,IF('Capacity summary'!I190&lt;&gt;"",IF(LOWER('Capacity summary'!I190)="x",$BI71*I71,VALUE('Capacity summary'!I190)),0),I71*$BI71),I71*$BI71),0)</f>
        <v>0</v>
      </c>
      <c r="BM71" s="311">
        <f>IF($BI71&lt;&gt;"",IF('Capacity summary'!$D$14="Yes",IF(COUNTBLANK('Capacity summary'!$H190:$BG190)&lt;52,IF('Capacity summary'!J190&lt;&gt;"",IF(LOWER('Capacity summary'!J190)="x",$BI71*J71,VALUE('Capacity summary'!J190)),0),J71*$BI71),J71*$BI71),0)</f>
        <v>0</v>
      </c>
      <c r="BN71" s="311">
        <f>IF($BI71&lt;&gt;"",IF('Capacity summary'!$D$14="Yes",IF(COUNTBLANK('Capacity summary'!$H190:$BG190)&lt;52,IF('Capacity summary'!K190&lt;&gt;"",IF(LOWER('Capacity summary'!K190)="x",$BI71*K71,VALUE('Capacity summary'!K190)),0),K71*$BI71),K71*$BI71),0)</f>
        <v>0</v>
      </c>
      <c r="BO71" s="311">
        <f>IF($BI71&lt;&gt;"",IF('Capacity summary'!$D$14="Yes",IF(COUNTBLANK('Capacity summary'!$H190:$BG190)&lt;52,IF('Capacity summary'!L190&lt;&gt;"",IF(LOWER('Capacity summary'!L190)="x",$BI71*L71,VALUE('Capacity summary'!L190)),0),L71*$BI71),L71*$BI71),0)</f>
        <v>0</v>
      </c>
      <c r="BP71" s="311">
        <f>IF($BI71&lt;&gt;"",IF('Capacity summary'!$D$14="Yes",IF(COUNTBLANK('Capacity summary'!$H190:$BG190)&lt;52,IF('Capacity summary'!M190&lt;&gt;"",IF(LOWER('Capacity summary'!M190)="x",$BI71*M71,VALUE('Capacity summary'!M190)),0),M71*$BI71),M71*$BI71),0)</f>
        <v>0</v>
      </c>
      <c r="BQ71" s="311">
        <f>IF($BI71&lt;&gt;"",IF('Capacity summary'!$D$14="Yes",IF(COUNTBLANK('Capacity summary'!$H190:$BG190)&lt;52,IF('Capacity summary'!N190&lt;&gt;"",IF(LOWER('Capacity summary'!N190)="x",$BI71*N71,VALUE('Capacity summary'!N190)),0),N71*$BI71),N71*$BI71),0)</f>
        <v>0</v>
      </c>
      <c r="BR71" s="311">
        <f>IF($BI71&lt;&gt;"",IF('Capacity summary'!$D$14="Yes",IF(COUNTBLANK('Capacity summary'!$H190:$BG190)&lt;52,IF('Capacity summary'!O190&lt;&gt;"",IF(LOWER('Capacity summary'!O190)="x",$BI71*O71,VALUE('Capacity summary'!O190)),0),O71*$BI71),O71*$BI71),0)</f>
        <v>0</v>
      </c>
      <c r="BS71" s="311">
        <f>IF($BI71&lt;&gt;"",IF('Capacity summary'!$D$14="Yes",IF(COUNTBLANK('Capacity summary'!$H190:$BG190)&lt;52,IF('Capacity summary'!P190&lt;&gt;"",IF(LOWER('Capacity summary'!P190)="x",$BI71*P71,VALUE('Capacity summary'!P190)),0),P71*$BI71),P71*$BI71),0)</f>
        <v>0</v>
      </c>
      <c r="BT71" s="311">
        <f>IF($BI71&lt;&gt;"",IF('Capacity summary'!$D$14="Yes",IF(COUNTBLANK('Capacity summary'!$H190:$BG190)&lt;52,IF('Capacity summary'!Q190&lt;&gt;"",IF(LOWER('Capacity summary'!Q190)="x",$BI71*Q71,VALUE('Capacity summary'!Q190)),0),Q71*$BI71),Q71*$BI71),0)</f>
        <v>0</v>
      </c>
      <c r="BU71" s="311">
        <f>IF($BI71&lt;&gt;"",IF('Capacity summary'!$D$14="Yes",IF(COUNTBLANK('Capacity summary'!$H190:$BG190)&lt;52,IF('Capacity summary'!R190&lt;&gt;"",IF(LOWER('Capacity summary'!R190)="x",$BI71*R71,VALUE('Capacity summary'!R190)),0),R71*$BI71),R71*$BI71),0)</f>
        <v>0</v>
      </c>
      <c r="BV71" s="311">
        <f>IF($BI71&lt;&gt;"",IF('Capacity summary'!$D$14="Yes",IF(COUNTBLANK('Capacity summary'!$H190:$BG190)&lt;52,IF('Capacity summary'!S190&lt;&gt;"",IF(LOWER('Capacity summary'!S190)="x",$BI71*S71,VALUE('Capacity summary'!S190)),0),S71*$BI71),S71*$BI71),0)</f>
        <v>0</v>
      </c>
      <c r="BW71" s="311">
        <f>IF($BI71&lt;&gt;"",IF('Capacity summary'!$D$14="Yes",IF(COUNTBLANK('Capacity summary'!$H190:$BG190)&lt;52,IF('Capacity summary'!T190&lt;&gt;"",IF(LOWER('Capacity summary'!T190)="x",$BI71*T71,VALUE('Capacity summary'!T190)),0),T71*$BI71),T71*$BI71),0)</f>
        <v>0</v>
      </c>
      <c r="BX71" s="311">
        <f>IF($BI71&lt;&gt;"",IF('Capacity summary'!$D$14="Yes",IF(COUNTBLANK('Capacity summary'!$H190:$BG190)&lt;52,IF('Capacity summary'!U190&lt;&gt;"",IF(LOWER('Capacity summary'!U190)="x",$BI71*U71,VALUE('Capacity summary'!U190)),0),U71*$BI71),U71*$BI71),0)</f>
        <v>0</v>
      </c>
      <c r="BY71" s="311">
        <f>IF($BI71&lt;&gt;"",IF('Capacity summary'!$D$14="Yes",IF(COUNTBLANK('Capacity summary'!$H190:$BG190)&lt;52,IF('Capacity summary'!V190&lt;&gt;"",IF(LOWER('Capacity summary'!V190)="x",$BI71*V71,VALUE('Capacity summary'!V190)),0),V71*$BI71),V71*$BI71),0)</f>
        <v>0</v>
      </c>
      <c r="BZ71" s="311">
        <f>IF($BI71&lt;&gt;"",IF('Capacity summary'!$D$14="Yes",IF(COUNTBLANK('Capacity summary'!$H190:$BG190)&lt;52,IF('Capacity summary'!W190&lt;&gt;"",IF(LOWER('Capacity summary'!W190)="x",$BI71*W71,VALUE('Capacity summary'!W190)),0),W71*$BI71),W71*$BI71),0)</f>
        <v>0</v>
      </c>
      <c r="CA71" s="311">
        <f>IF($BI71&lt;&gt;"",IF('Capacity summary'!$D$14="Yes",IF(COUNTBLANK('Capacity summary'!$H190:$BG190)&lt;52,IF('Capacity summary'!X190&lt;&gt;"",IF(LOWER('Capacity summary'!X190)="x",$BI71*X71,VALUE('Capacity summary'!X190)),0),X71*$BI71),X71*$BI71),0)</f>
        <v>0</v>
      </c>
      <c r="CB71" s="311">
        <f>IF($BI71&lt;&gt;"",IF('Capacity summary'!$D$14="Yes",IF(COUNTBLANK('Capacity summary'!$H190:$BG190)&lt;52,IF('Capacity summary'!Y190&lt;&gt;"",IF(LOWER('Capacity summary'!Y190)="x",$BI71*Y71,VALUE('Capacity summary'!Y190)),0),Y71*$BI71),Y71*$BI71),0)</f>
        <v>0</v>
      </c>
      <c r="CC71" s="311">
        <f>IF($BI71&lt;&gt;"",IF('Capacity summary'!$D$14="Yes",IF(COUNTBLANK('Capacity summary'!$H190:$BG190)&lt;52,IF('Capacity summary'!Z190&lt;&gt;"",IF(LOWER('Capacity summary'!Z190)="x",$BI71*Z71,VALUE('Capacity summary'!Z190)),0),Z71*$BI71),Z71*$BI71),0)</f>
        <v>0</v>
      </c>
      <c r="CD71" s="311">
        <f>IF($BI71&lt;&gt;"",IF('Capacity summary'!$D$14="Yes",IF(COUNTBLANK('Capacity summary'!$H190:$BG190)&lt;52,IF('Capacity summary'!AA190&lt;&gt;"",IF(LOWER('Capacity summary'!AA190)="x",$BI71*AA71,VALUE('Capacity summary'!AA190)),0),AA71*$BI71),AA71*$BI71),0)</f>
        <v>0</v>
      </c>
      <c r="CE71" s="311">
        <f>IF($BI71&lt;&gt;"",IF('Capacity summary'!$D$14="Yes",IF(COUNTBLANK('Capacity summary'!$H190:$BG190)&lt;52,IF('Capacity summary'!AB190&lt;&gt;"",IF(LOWER('Capacity summary'!AB190)="x",$BI71*AB71,VALUE('Capacity summary'!AB190)),0),AB71*$BI71),AB71*$BI71),0)</f>
        <v>0</v>
      </c>
      <c r="CF71" s="311">
        <f>IF($BI71&lt;&gt;"",IF('Capacity summary'!$D$14="Yes",IF(COUNTBLANK('Capacity summary'!$H190:$BG190)&lt;52,IF('Capacity summary'!AC190&lt;&gt;"",IF(LOWER('Capacity summary'!AC190)="x",$BI71*AC71,VALUE('Capacity summary'!AC190)),0),AC71*$BI71),AC71*$BI71),0)</f>
        <v>0</v>
      </c>
      <c r="CG71" s="311">
        <f>IF($BI71&lt;&gt;"",IF('Capacity summary'!$D$14="Yes",IF(COUNTBLANK('Capacity summary'!$H190:$BG190)&lt;52,IF('Capacity summary'!AD190&lt;&gt;"",IF(LOWER('Capacity summary'!AD190)="x",$BI71*AD71,VALUE('Capacity summary'!AD190)),0),AD71*$BI71),AD71*$BI71),0)</f>
        <v>0</v>
      </c>
      <c r="CH71" s="311">
        <f>IF($BI71&lt;&gt;"",IF('Capacity summary'!$D$14="Yes",IF(COUNTBLANK('Capacity summary'!$H190:$BG190)&lt;52,IF('Capacity summary'!AE190&lt;&gt;"",IF(LOWER('Capacity summary'!AE190)="x",$BI71*AE71,VALUE('Capacity summary'!AE190)),0),AE71*$BI71),AE71*$BI71),0)</f>
        <v>0</v>
      </c>
      <c r="CI71" s="311">
        <f>IF($BI71&lt;&gt;"",IF('Capacity summary'!$D$14="Yes",IF(COUNTBLANK('Capacity summary'!$H190:$BG190)&lt;52,IF('Capacity summary'!AF190&lt;&gt;"",IF(LOWER('Capacity summary'!AF190)="x",$BI71*AF71,VALUE('Capacity summary'!AF190)),0),AF71*$BI71),AF71*$BI71),0)</f>
        <v>0</v>
      </c>
      <c r="CJ71" s="311">
        <f>IF($BI71&lt;&gt;"",IF('Capacity summary'!$D$14="Yes",IF(COUNTBLANK('Capacity summary'!$H190:$BG190)&lt;52,IF('Capacity summary'!AG190&lt;&gt;"",IF(LOWER('Capacity summary'!AG190)="x",$BI71*AG71,VALUE('Capacity summary'!AG190)),0),AG71*$BI71),AG71*$BI71),0)</f>
        <v>0</v>
      </c>
      <c r="CK71" s="311">
        <f>IF($BI71&lt;&gt;"",IF('Capacity summary'!$D$14="Yes",IF(COUNTBLANK('Capacity summary'!$H190:$BG190)&lt;52,IF('Capacity summary'!AH190&lt;&gt;"",IF(LOWER('Capacity summary'!AH190)="x",$BI71*AH71,VALUE('Capacity summary'!AH190)),0),AH71*$BI71),AH71*$BI71),0)</f>
        <v>0</v>
      </c>
      <c r="CL71" s="311">
        <f>IF($BI71&lt;&gt;"",IF('Capacity summary'!$D$14="Yes",IF(COUNTBLANK('Capacity summary'!$H190:$BG190)&lt;52,IF('Capacity summary'!AI190&lt;&gt;"",IF(LOWER('Capacity summary'!AI190)="x",$BI71*AI71,VALUE('Capacity summary'!AI190)),0),AI71*$BI71),AI71*$BI71),0)</f>
        <v>0</v>
      </c>
      <c r="CM71" s="311">
        <f>IF($BI71&lt;&gt;"",IF('Capacity summary'!$D$14="Yes",IF(COUNTBLANK('Capacity summary'!$H190:$BG190)&lt;52,IF('Capacity summary'!AJ190&lt;&gt;"",IF(LOWER('Capacity summary'!AJ190)="x",$BI71*AJ71,VALUE('Capacity summary'!AJ190)),0),AJ71*$BI71),AJ71*$BI71),0)</f>
        <v>0</v>
      </c>
      <c r="CN71" s="311">
        <f>IF($BI71&lt;&gt;"",IF('Capacity summary'!$D$14="Yes",IF(COUNTBLANK('Capacity summary'!$H190:$BG190)&lt;52,IF('Capacity summary'!AK190&lt;&gt;"",IF(LOWER('Capacity summary'!AK190)="x",$BI71*AK71,VALUE('Capacity summary'!AK190)),0),AK71*$BI71),AK71*$BI71),0)</f>
        <v>0</v>
      </c>
      <c r="CO71" s="311">
        <f>IF($BI71&lt;&gt;"",IF('Capacity summary'!$D$14="Yes",IF(COUNTBLANK('Capacity summary'!$H190:$BG190)&lt;52,IF('Capacity summary'!AL190&lt;&gt;"",IF(LOWER('Capacity summary'!AL190)="x",$BI71*AL71,VALUE('Capacity summary'!AL190)),0),AL71*$BI71),AL71*$BI71),0)</f>
        <v>0</v>
      </c>
      <c r="CP71" s="311">
        <f>IF($BI71&lt;&gt;"",IF('Capacity summary'!$D$14="Yes",IF(COUNTBLANK('Capacity summary'!$H190:$BG190)&lt;52,IF('Capacity summary'!AM190&lt;&gt;"",IF(LOWER('Capacity summary'!AM190)="x",$BI71*AM71,VALUE('Capacity summary'!AM190)),0),AM71*$BI71),AM71*$BI71),0)</f>
        <v>0</v>
      </c>
      <c r="CQ71" s="311">
        <f>IF($BI71&lt;&gt;"",IF('Capacity summary'!$D$14="Yes",IF(COUNTBLANK('Capacity summary'!$H190:$BG190)&lt;52,IF('Capacity summary'!AN190&lt;&gt;"",IF(LOWER('Capacity summary'!AN190)="x",$BI71*AN71,VALUE('Capacity summary'!AN190)),0),AN71*$BI71),AN71*$BI71),0)</f>
        <v>0</v>
      </c>
      <c r="CR71" s="311">
        <f>IF($BI71&lt;&gt;"",IF('Capacity summary'!$D$14="Yes",IF(COUNTBLANK('Capacity summary'!$H190:$BG190)&lt;52,IF('Capacity summary'!AO190&lt;&gt;"",IF(LOWER('Capacity summary'!AO190)="x",$BI71*AO71,VALUE('Capacity summary'!AO190)),0),AO71*$BI71),AO71*$BI71),0)</f>
        <v>0</v>
      </c>
      <c r="CS71" s="311">
        <f>IF($BI71&lt;&gt;"",IF('Capacity summary'!$D$14="Yes",IF(COUNTBLANK('Capacity summary'!$H190:$BG190)&lt;52,IF('Capacity summary'!AP190&lt;&gt;"",IF(LOWER('Capacity summary'!AP190)="x",$BI71*AP71,VALUE('Capacity summary'!AP190)),0),AP71*$BI71),AP71*$BI71),0)</f>
        <v>0</v>
      </c>
      <c r="CT71" s="311">
        <f>IF($BI71&lt;&gt;"",IF('Capacity summary'!$D$14="Yes",IF(COUNTBLANK('Capacity summary'!$H190:$BG190)&lt;52,IF('Capacity summary'!AQ190&lt;&gt;"",IF(LOWER('Capacity summary'!AQ190)="x",$BI71*AQ71,VALUE('Capacity summary'!AQ190)),0),AQ71*$BI71),AQ71*$BI71),0)</f>
        <v>0</v>
      </c>
      <c r="CU71" s="311">
        <f>IF($BI71&lt;&gt;"",IF('Capacity summary'!$D$14="Yes",IF(COUNTBLANK('Capacity summary'!$H190:$BG190)&lt;52,IF('Capacity summary'!AR190&lt;&gt;"",IF(LOWER('Capacity summary'!AR190)="x",$BI71*AR71,VALUE('Capacity summary'!AR190)),0),AR71*$BI71),AR71*$BI71),0)</f>
        <v>0</v>
      </c>
      <c r="CV71" s="311">
        <f>IF($BI71&lt;&gt;"",IF('Capacity summary'!$D$14="Yes",IF(COUNTBLANK('Capacity summary'!$H190:$BG190)&lt;52,IF('Capacity summary'!AS190&lt;&gt;"",IF(LOWER('Capacity summary'!AS190)="x",$BI71*AS71,VALUE('Capacity summary'!AS190)),0),AS71*$BI71),AS71*$BI71),0)</f>
        <v>0</v>
      </c>
      <c r="CW71" s="311">
        <f>IF($BI71&lt;&gt;"",IF('Capacity summary'!$D$14="Yes",IF(COUNTBLANK('Capacity summary'!$H190:$BG190)&lt;52,IF('Capacity summary'!AT190&lt;&gt;"",IF(LOWER('Capacity summary'!AT190)="x",$BI71*AT71,VALUE('Capacity summary'!AT190)),0),AT71*$BI71),AT71*$BI71),0)</f>
        <v>0</v>
      </c>
      <c r="CX71" s="311">
        <f>IF($BI71&lt;&gt;"",IF('Capacity summary'!$D$14="Yes",IF(COUNTBLANK('Capacity summary'!$H190:$BG190)&lt;52,IF('Capacity summary'!AU190&lt;&gt;"",IF(LOWER('Capacity summary'!AU190)="x",$BI71*AU71,VALUE('Capacity summary'!AU190)),0),AU71*$BI71),AU71*$BI71),0)</f>
        <v>0</v>
      </c>
      <c r="CY71" s="311">
        <f>IF($BI71&lt;&gt;"",IF('Capacity summary'!$D$14="Yes",IF(COUNTBLANK('Capacity summary'!$H190:$BG190)&lt;52,IF('Capacity summary'!AV190&lt;&gt;"",IF(LOWER('Capacity summary'!AV190)="x",$BI71*AV71,VALUE('Capacity summary'!AV190)),0),AV71*$BI71),AV71*$BI71),0)</f>
        <v>0</v>
      </c>
      <c r="CZ71" s="311">
        <f>IF($BI71&lt;&gt;"",IF('Capacity summary'!$D$14="Yes",IF(COUNTBLANK('Capacity summary'!$H190:$BG190)&lt;52,IF('Capacity summary'!AW190&lt;&gt;"",IF(LOWER('Capacity summary'!AW190)="x",$BI71*AW71,VALUE('Capacity summary'!AW190)),0),AW71*$BI71),AW71*$BI71),0)</f>
        <v>0</v>
      </c>
      <c r="DA71" s="311">
        <f>IF($BI71&lt;&gt;"",IF('Capacity summary'!$D$14="Yes",IF(COUNTBLANK('Capacity summary'!$H190:$BG190)&lt;52,IF('Capacity summary'!AX190&lt;&gt;"",IF(LOWER('Capacity summary'!AX190)="x",$BI71*AX71,VALUE('Capacity summary'!AX190)),0),AX71*$BI71),AX71*$BI71),0)</f>
        <v>0</v>
      </c>
      <c r="DB71" s="311">
        <f>IF($BI71&lt;&gt;"",IF('Capacity summary'!$D$14="Yes",IF(COUNTBLANK('Capacity summary'!$H190:$BG190)&lt;52,IF('Capacity summary'!AY190&lt;&gt;"",IF(LOWER('Capacity summary'!AY190)="x",$BI71*AY71,VALUE('Capacity summary'!AY190)),0),AY71*$BI71),AY71*$BI71),0)</f>
        <v>0</v>
      </c>
      <c r="DC71" s="311">
        <f>IF($BI71&lt;&gt;"",IF('Capacity summary'!$D$14="Yes",IF(COUNTBLANK('Capacity summary'!$H190:$BG190)&lt;52,IF('Capacity summary'!AZ190&lt;&gt;"",IF(LOWER('Capacity summary'!AZ190)="x",$BI71*AZ71,VALUE('Capacity summary'!AZ190)),0),AZ71*$BI71),AZ71*$BI71),0)</f>
        <v>0</v>
      </c>
      <c r="DD71" s="311">
        <f>IF($BI71&lt;&gt;"",IF('Capacity summary'!$D$14="Yes",IF(COUNTBLANK('Capacity summary'!$H190:$BG190)&lt;52,IF('Capacity summary'!BA190&lt;&gt;"",IF(LOWER('Capacity summary'!BA190)="x",$BI71*BA71,VALUE('Capacity summary'!BA190)),0),BA71*$BI71),BA71*$BI71),0)</f>
        <v>0</v>
      </c>
      <c r="DE71" s="311">
        <f>IF($BI71&lt;&gt;"",IF('Capacity summary'!$D$14="Yes",IF(COUNTBLANK('Capacity summary'!$H190:$BG190)&lt;52,IF('Capacity summary'!BB190&lt;&gt;"",IF(LOWER('Capacity summary'!BB190)="x",$BI71*BB71,VALUE('Capacity summary'!BB190)),0),BB71*$BI71),BB71*$BI71),0)</f>
        <v>0</v>
      </c>
      <c r="DF71" s="311">
        <f>IF($BI71&lt;&gt;"",IF('Capacity summary'!$D$14="Yes",IF(COUNTBLANK('Capacity summary'!$H190:$BG190)&lt;52,IF('Capacity summary'!BC190&lt;&gt;"",IF(LOWER('Capacity summary'!BC190)="x",$BI71*BC71,VALUE('Capacity summary'!BC190)),0),BC71*$BI71),BC71*$BI71),0)</f>
        <v>0</v>
      </c>
      <c r="DG71" s="311">
        <f>IF($BI71&lt;&gt;"",IF('Capacity summary'!$D$14="Yes",IF(COUNTBLANK('Capacity summary'!$H190:$BG190)&lt;52,IF('Capacity summary'!BD190&lt;&gt;"",IF(LOWER('Capacity summary'!BD190)="x",$BI71*BD71,VALUE('Capacity summary'!BD190)),0),BD71*$BI71),BD71*$BI71),0)</f>
        <v>0</v>
      </c>
      <c r="DH71" s="311">
        <f>IF($BI71&lt;&gt;"",IF('Capacity summary'!$D$14="Yes",IF(COUNTBLANK('Capacity summary'!$H190:$BG190)&lt;52,IF('Capacity summary'!BE190&lt;&gt;"",IF(LOWER('Capacity summary'!BE190)="x",$BI71*BE71,VALUE('Capacity summary'!BE190)),0),BE71*$BI71),BE71*$BI71),0)</f>
        <v>0</v>
      </c>
      <c r="DI71" s="311">
        <f>IF($BI71&lt;&gt;"",IF('Capacity summary'!$D$14="Yes",IF(COUNTBLANK('Capacity summary'!$H190:$BG190)&lt;52,IF('Capacity summary'!BF190&lt;&gt;"",IF(LOWER('Capacity summary'!BF190)="x",$BI71*BF71,VALUE('Capacity summary'!BF190)),0),BF71*$BI71),BF71*$BI71),0)</f>
        <v>0</v>
      </c>
      <c r="DJ71" s="311">
        <f>IF($BI71&lt;&gt;"",IF('Capacity summary'!$D$14="Yes",IF(COUNTBLANK('Capacity summary'!$H190:$BG190)&lt;52,IF('Capacity summary'!BG190&lt;&gt;"",IF(LOWER('Capacity summary'!BG190)="x",$BI71*BG71,VALUE('Capacity summary'!BG190)),0),BG71*$BI71),BG71*$BI71),0)</f>
        <v>0</v>
      </c>
      <c r="DK71" s="391">
        <f t="shared" si="4"/>
        <v>0</v>
      </c>
      <c r="DL71" s="136">
        <f t="shared" si="5"/>
        <v>0</v>
      </c>
      <c r="DM71" s="311" t="str">
        <f>Capacity!H83</f>
        <v/>
      </c>
    </row>
    <row r="72" spans="1:117" x14ac:dyDescent="0.2">
      <c r="A72" s="67">
        <f>IF(Capacity!L84='Capacity summary'!BI191,1,0)</f>
        <v>1</v>
      </c>
      <c r="B72" s="67">
        <f>IF(Capacity!V84='Capacity summary'!BI91,1,0)</f>
        <v>1</v>
      </c>
      <c r="C72" s="67" t="str">
        <f>ROW(A68)&amp;". "&amp;Capacity!B84</f>
        <v xml:space="preserve">68. </v>
      </c>
      <c r="D72" s="67">
        <f>'Capacity setup'!C79</f>
        <v>0</v>
      </c>
      <c r="E72" s="67">
        <f>'Capacity setup'!D79</f>
        <v>0</v>
      </c>
      <c r="F72" s="67">
        <f>'Capacity setup'!E79</f>
        <v>0</v>
      </c>
      <c r="H72" s="67">
        <f ca="1">IF(LOWER(Capacity!$L84)="x",IF(AND(SUMIF(Capacity_Resource,$D72,'Critical resources (hide)'!U$6:U$105)+SUMIF(Capacity_Resource,$E72,'Critical resources (hide)'!U$6:U$105)+SUMIF(Capacity_Resource,$F72,'Critical resources (hide)'!U$6:U$105)&gt;0,$E$1=2),0,1),0)</f>
        <v>1</v>
      </c>
      <c r="I72" s="67">
        <f ca="1">IF(LOWER(Capacity!$L84)="x",IF(AND(SUMIF(Capacity_Resource,$D72,'Critical resources (hide)'!V$6:V$105)+SUMIF(Capacity_Resource,$E72,'Critical resources (hide)'!V$6:V$105)+SUMIF(Capacity_Resource,$F72,'Critical resources (hide)'!V$6:V$105)&gt;0,$E$1=2),0,1),0)</f>
        <v>1</v>
      </c>
      <c r="J72" s="67">
        <f ca="1">IF(LOWER(Capacity!$L84)="x",IF(AND(SUMIF(Capacity_Resource,$D72,'Critical resources (hide)'!W$6:W$105)+SUMIF(Capacity_Resource,$E72,'Critical resources (hide)'!W$6:W$105)+SUMIF(Capacity_Resource,$F72,'Critical resources (hide)'!W$6:W$105)&gt;0,$E$1=2),0,1),0)</f>
        <v>1</v>
      </c>
      <c r="K72" s="67">
        <f ca="1">IF(LOWER(Capacity!$L84)="x",IF(AND(SUMIF(Capacity_Resource,$D72,'Critical resources (hide)'!X$6:X$105)+SUMIF(Capacity_Resource,$E72,'Critical resources (hide)'!X$6:X$105)+SUMIF(Capacity_Resource,$F72,'Critical resources (hide)'!X$6:X$105)&gt;0,$E$1=2),0,1),0)</f>
        <v>1</v>
      </c>
      <c r="L72" s="67">
        <f ca="1">IF(LOWER(Capacity!$L84)="x",IF(AND(SUMIF(Capacity_Resource,$D72,'Critical resources (hide)'!Y$6:Y$105)+SUMIF(Capacity_Resource,$E72,'Critical resources (hide)'!Y$6:Y$105)+SUMIF(Capacity_Resource,$F72,'Critical resources (hide)'!Y$6:Y$105)&gt;0,$E$1=2),0,1),0)</f>
        <v>1</v>
      </c>
      <c r="M72" s="67">
        <f ca="1">IF(LOWER(Capacity!$L84)="x",IF(AND(SUMIF(Capacity_Resource,$D72,'Critical resources (hide)'!Z$6:Z$105)+SUMIF(Capacity_Resource,$E72,'Critical resources (hide)'!Z$6:Z$105)+SUMIF(Capacity_Resource,$F72,'Critical resources (hide)'!Z$6:Z$105)&gt;0,$E$1=2),0,1),0)</f>
        <v>1</v>
      </c>
      <c r="N72" s="67">
        <f ca="1">IF(LOWER(Capacity!$L84)="x",IF(AND(SUMIF(Capacity_Resource,$D72,'Critical resources (hide)'!AA$6:AA$105)+SUMIF(Capacity_Resource,$E72,'Critical resources (hide)'!AA$6:AA$105)+SUMIF(Capacity_Resource,$F72,'Critical resources (hide)'!AA$6:AA$105)&gt;0,$E$1=2),0,1),0)</f>
        <v>1</v>
      </c>
      <c r="O72" s="67">
        <f ca="1">IF(LOWER(Capacity!$L84)="x",IF(AND(SUMIF(Capacity_Resource,$D72,'Critical resources (hide)'!AB$6:AB$105)+SUMIF(Capacity_Resource,$E72,'Critical resources (hide)'!AB$6:AB$105)+SUMIF(Capacity_Resource,$F72,'Critical resources (hide)'!AB$6:AB$105)&gt;0,$E$1=2),0,1),0)</f>
        <v>1</v>
      </c>
      <c r="P72" s="67">
        <f ca="1">IF(LOWER(Capacity!$L84)="x",IF(AND(SUMIF(Capacity_Resource,$D72,'Critical resources (hide)'!AC$6:AC$105)+SUMIF(Capacity_Resource,$E72,'Critical resources (hide)'!AC$6:AC$105)+SUMIF(Capacity_Resource,$F72,'Critical resources (hide)'!AC$6:AC$105)&gt;0,$E$1=2),0,1),0)</f>
        <v>1</v>
      </c>
      <c r="Q72" s="67">
        <f ca="1">IF(LOWER(Capacity!$L84)="x",IF(AND(SUMIF(Capacity_Resource,$D72,'Critical resources (hide)'!AD$6:AD$105)+SUMIF(Capacity_Resource,$E72,'Critical resources (hide)'!AD$6:AD$105)+SUMIF(Capacity_Resource,$F72,'Critical resources (hide)'!AD$6:AD$105)&gt;0,$E$1=2),0,1),0)</f>
        <v>1</v>
      </c>
      <c r="R72" s="67">
        <f ca="1">IF(LOWER(Capacity!$L84)="x",IF(AND(SUMIF(Capacity_Resource,$D72,'Critical resources (hide)'!AE$6:AE$105)+SUMIF(Capacity_Resource,$E72,'Critical resources (hide)'!AE$6:AE$105)+SUMIF(Capacity_Resource,$F72,'Critical resources (hide)'!AE$6:AE$105)&gt;0,$E$1=2),0,1),0)</f>
        <v>1</v>
      </c>
      <c r="S72" s="67">
        <f ca="1">IF(LOWER(Capacity!$L84)="x",IF(AND(SUMIF(Capacity_Resource,$D72,'Critical resources (hide)'!AF$6:AF$105)+SUMIF(Capacity_Resource,$E72,'Critical resources (hide)'!AF$6:AF$105)+SUMIF(Capacity_Resource,$F72,'Critical resources (hide)'!AF$6:AF$105)&gt;0,$E$1=2),0,1),0)</f>
        <v>1</v>
      </c>
      <c r="T72" s="67">
        <f ca="1">IF(LOWER(Capacity!$L84)="x",IF(AND(SUMIF(Capacity_Resource,$D72,'Critical resources (hide)'!AG$6:AG$105)+SUMIF(Capacity_Resource,$E72,'Critical resources (hide)'!AG$6:AG$105)+SUMIF(Capacity_Resource,$F72,'Critical resources (hide)'!AG$6:AG$105)&gt;0,$E$1=2),0,1),0)</f>
        <v>1</v>
      </c>
      <c r="U72" s="67">
        <f ca="1">IF(LOWER(Capacity!$L84)="x",IF(AND(SUMIF(Capacity_Resource,$D72,'Critical resources (hide)'!AH$6:AH$105)+SUMIF(Capacity_Resource,$E72,'Critical resources (hide)'!AH$6:AH$105)+SUMIF(Capacity_Resource,$F72,'Critical resources (hide)'!AH$6:AH$105)&gt;0,$E$1=2),0,1),0)</f>
        <v>1</v>
      </c>
      <c r="V72" s="67">
        <f ca="1">IF(LOWER(Capacity!$L84)="x",IF(AND(SUMIF(Capacity_Resource,$D72,'Critical resources (hide)'!AI$6:AI$105)+SUMIF(Capacity_Resource,$E72,'Critical resources (hide)'!AI$6:AI$105)+SUMIF(Capacity_Resource,$F72,'Critical resources (hide)'!AI$6:AI$105)&gt;0,$E$1=2),0,1),0)</f>
        <v>1</v>
      </c>
      <c r="W72" s="67">
        <f ca="1">IF(LOWER(Capacity!$L84)="x",IF(AND(SUMIF(Capacity_Resource,$D72,'Critical resources (hide)'!AJ$6:AJ$105)+SUMIF(Capacity_Resource,$E72,'Critical resources (hide)'!AJ$6:AJ$105)+SUMIF(Capacity_Resource,$F72,'Critical resources (hide)'!AJ$6:AJ$105)&gt;0,$E$1=2),0,1),0)</f>
        <v>1</v>
      </c>
      <c r="X72" s="67">
        <f ca="1">IF(LOWER(Capacity!$L84)="x",IF(AND(SUMIF(Capacity_Resource,$D72,'Critical resources (hide)'!AK$6:AK$105)+SUMIF(Capacity_Resource,$E72,'Critical resources (hide)'!AK$6:AK$105)+SUMIF(Capacity_Resource,$F72,'Critical resources (hide)'!AK$6:AK$105)&gt;0,$E$1=2),0,1),0)</f>
        <v>1</v>
      </c>
      <c r="Y72" s="67">
        <f ca="1">IF(LOWER(Capacity!$L84)="x",IF(AND(SUMIF(Capacity_Resource,$D72,'Critical resources (hide)'!AL$6:AL$105)+SUMIF(Capacity_Resource,$E72,'Critical resources (hide)'!AL$6:AL$105)+SUMIF(Capacity_Resource,$F72,'Critical resources (hide)'!AL$6:AL$105)&gt;0,$E$1=2),0,1),0)</f>
        <v>1</v>
      </c>
      <c r="Z72" s="67">
        <f ca="1">IF(LOWER(Capacity!$L84)="x",IF(AND(SUMIF(Capacity_Resource,$D72,'Critical resources (hide)'!AM$6:AM$105)+SUMIF(Capacity_Resource,$E72,'Critical resources (hide)'!AM$6:AM$105)+SUMIF(Capacity_Resource,$F72,'Critical resources (hide)'!AM$6:AM$105)&gt;0,$E$1=2),0,1),0)</f>
        <v>1</v>
      </c>
      <c r="AA72" s="67">
        <f ca="1">IF(LOWER(Capacity!$L84)="x",IF(AND(SUMIF(Capacity_Resource,$D72,'Critical resources (hide)'!AN$6:AN$105)+SUMIF(Capacity_Resource,$E72,'Critical resources (hide)'!AN$6:AN$105)+SUMIF(Capacity_Resource,$F72,'Critical resources (hide)'!AN$6:AN$105)&gt;0,$E$1=2),0,1),0)</f>
        <v>1</v>
      </c>
      <c r="AB72" s="67">
        <f ca="1">IF(LOWER(Capacity!$L84)="x",IF(AND(SUMIF(Capacity_Resource,$D72,'Critical resources (hide)'!AO$6:AO$105)+SUMIF(Capacity_Resource,$E72,'Critical resources (hide)'!AO$6:AO$105)+SUMIF(Capacity_Resource,$F72,'Critical resources (hide)'!AO$6:AO$105)&gt;0,$E$1=2),0,1),0)</f>
        <v>1</v>
      </c>
      <c r="AC72" s="67">
        <f ca="1">IF(LOWER(Capacity!$L84)="x",IF(AND(SUMIF(Capacity_Resource,$D72,'Critical resources (hide)'!AP$6:AP$105)+SUMIF(Capacity_Resource,$E72,'Critical resources (hide)'!AP$6:AP$105)+SUMIF(Capacity_Resource,$F72,'Critical resources (hide)'!AP$6:AP$105)&gt;0,$E$1=2),0,1),0)</f>
        <v>1</v>
      </c>
      <c r="AD72" s="67">
        <f ca="1">IF(LOWER(Capacity!$L84)="x",IF(AND(SUMIF(Capacity_Resource,$D72,'Critical resources (hide)'!AQ$6:AQ$105)+SUMIF(Capacity_Resource,$E72,'Critical resources (hide)'!AQ$6:AQ$105)+SUMIF(Capacity_Resource,$F72,'Critical resources (hide)'!AQ$6:AQ$105)&gt;0,$E$1=2),0,1),0)</f>
        <v>1</v>
      </c>
      <c r="AE72" s="67">
        <f ca="1">IF(LOWER(Capacity!$L84)="x",IF(AND(SUMIF(Capacity_Resource,$D72,'Critical resources (hide)'!AR$6:AR$105)+SUMIF(Capacity_Resource,$E72,'Critical resources (hide)'!AR$6:AR$105)+SUMIF(Capacity_Resource,$F72,'Critical resources (hide)'!AR$6:AR$105)&gt;0,$E$1=2),0,1),0)</f>
        <v>1</v>
      </c>
      <c r="AF72" s="67">
        <f ca="1">IF(LOWER(Capacity!$L84)="x",IF(AND(SUMIF(Capacity_Resource,$D72,'Critical resources (hide)'!AS$6:AS$105)+SUMIF(Capacity_Resource,$E72,'Critical resources (hide)'!AS$6:AS$105)+SUMIF(Capacity_Resource,$F72,'Critical resources (hide)'!AS$6:AS$105)&gt;0,$E$1=2),0,1),0)</f>
        <v>1</v>
      </c>
      <c r="AG72" s="67">
        <f ca="1">IF(LOWER(Capacity!$L84)="x",IF(AND(SUMIF(Capacity_Resource,$D72,'Critical resources (hide)'!AT$6:AT$105)+SUMIF(Capacity_Resource,$E72,'Critical resources (hide)'!AT$6:AT$105)+SUMIF(Capacity_Resource,$F72,'Critical resources (hide)'!AT$6:AT$105)&gt;0,$E$1=2),0,1),0)</f>
        <v>1</v>
      </c>
      <c r="AH72" s="67">
        <f ca="1">IF(LOWER(Capacity!$L84)="x",IF(AND(SUMIF(Capacity_Resource,$D72,'Critical resources (hide)'!AU$6:AU$105)+SUMIF(Capacity_Resource,$E72,'Critical resources (hide)'!AU$6:AU$105)+SUMIF(Capacity_Resource,$F72,'Critical resources (hide)'!AU$6:AU$105)&gt;0,$E$1=2),0,1),0)</f>
        <v>1</v>
      </c>
      <c r="AI72" s="67">
        <f ca="1">IF(LOWER(Capacity!$L84)="x",IF(AND(SUMIF(Capacity_Resource,$D72,'Critical resources (hide)'!AV$6:AV$105)+SUMIF(Capacity_Resource,$E72,'Critical resources (hide)'!AV$6:AV$105)+SUMIF(Capacity_Resource,$F72,'Critical resources (hide)'!AV$6:AV$105)&gt;0,$E$1=2),0,1),0)</f>
        <v>1</v>
      </c>
      <c r="AJ72" s="67">
        <f ca="1">IF(LOWER(Capacity!$L84)="x",IF(AND(SUMIF(Capacity_Resource,$D72,'Critical resources (hide)'!AW$6:AW$105)+SUMIF(Capacity_Resource,$E72,'Critical resources (hide)'!AW$6:AW$105)+SUMIF(Capacity_Resource,$F72,'Critical resources (hide)'!AW$6:AW$105)&gt;0,$E$1=2),0,1),0)</f>
        <v>1</v>
      </c>
      <c r="AK72" s="67">
        <f ca="1">IF(LOWER(Capacity!$L84)="x",IF(AND(SUMIF(Capacity_Resource,$D72,'Critical resources (hide)'!AX$6:AX$105)+SUMIF(Capacity_Resource,$E72,'Critical resources (hide)'!AX$6:AX$105)+SUMIF(Capacity_Resource,$F72,'Critical resources (hide)'!AX$6:AX$105)&gt;0,$E$1=2),0,1),0)</f>
        <v>1</v>
      </c>
      <c r="AL72" s="67">
        <f ca="1">IF(LOWER(Capacity!$L84)="x",IF(AND(SUMIF(Capacity_Resource,$D72,'Critical resources (hide)'!AY$6:AY$105)+SUMIF(Capacity_Resource,$E72,'Critical resources (hide)'!AY$6:AY$105)+SUMIF(Capacity_Resource,$F72,'Critical resources (hide)'!AY$6:AY$105)&gt;0,$E$1=2),0,1),0)</f>
        <v>1</v>
      </c>
      <c r="AM72" s="67">
        <f ca="1">IF(LOWER(Capacity!$L84)="x",IF(AND(SUMIF(Capacity_Resource,$D72,'Critical resources (hide)'!AZ$6:AZ$105)+SUMIF(Capacity_Resource,$E72,'Critical resources (hide)'!AZ$6:AZ$105)+SUMIF(Capacity_Resource,$F72,'Critical resources (hide)'!AZ$6:AZ$105)&gt;0,$E$1=2),0,1),0)</f>
        <v>1</v>
      </c>
      <c r="AN72" s="67">
        <f ca="1">IF(LOWER(Capacity!$L84)="x",IF(AND(SUMIF(Capacity_Resource,$D72,'Critical resources (hide)'!BA$6:BA$105)+SUMIF(Capacity_Resource,$E72,'Critical resources (hide)'!BA$6:BA$105)+SUMIF(Capacity_Resource,$F72,'Critical resources (hide)'!BA$6:BA$105)&gt;0,$E$1=2),0,1),0)</f>
        <v>1</v>
      </c>
      <c r="AO72" s="67">
        <f ca="1">IF(LOWER(Capacity!$L84)="x",IF(AND(SUMIF(Capacity_Resource,$D72,'Critical resources (hide)'!BB$6:BB$105)+SUMIF(Capacity_Resource,$E72,'Critical resources (hide)'!BB$6:BB$105)+SUMIF(Capacity_Resource,$F72,'Critical resources (hide)'!BB$6:BB$105)&gt;0,$E$1=2),0,1),0)</f>
        <v>1</v>
      </c>
      <c r="AP72" s="67">
        <f ca="1">IF(LOWER(Capacity!$L84)="x",IF(AND(SUMIF(Capacity_Resource,$D72,'Critical resources (hide)'!BC$6:BC$105)+SUMIF(Capacity_Resource,$E72,'Critical resources (hide)'!BC$6:BC$105)+SUMIF(Capacity_Resource,$F72,'Critical resources (hide)'!BC$6:BC$105)&gt;0,$E$1=2),0,1),0)</f>
        <v>1</v>
      </c>
      <c r="AQ72" s="67">
        <f ca="1">IF(LOWER(Capacity!$L84)="x",IF(AND(SUMIF(Capacity_Resource,$D72,'Critical resources (hide)'!BD$6:BD$105)+SUMIF(Capacity_Resource,$E72,'Critical resources (hide)'!BD$6:BD$105)+SUMIF(Capacity_Resource,$F72,'Critical resources (hide)'!BD$6:BD$105)&gt;0,$E$1=2),0,1),0)</f>
        <v>1</v>
      </c>
      <c r="AR72" s="67">
        <f ca="1">IF(LOWER(Capacity!$L84)="x",IF(AND(SUMIF(Capacity_Resource,$D72,'Critical resources (hide)'!BE$6:BE$105)+SUMIF(Capacity_Resource,$E72,'Critical resources (hide)'!BE$6:BE$105)+SUMIF(Capacity_Resource,$F72,'Critical resources (hide)'!BE$6:BE$105)&gt;0,$E$1=2),0,1),0)</f>
        <v>1</v>
      </c>
      <c r="AS72" s="67">
        <f ca="1">IF(LOWER(Capacity!$L84)="x",IF(AND(SUMIF(Capacity_Resource,$D72,'Critical resources (hide)'!BF$6:BF$105)+SUMIF(Capacity_Resource,$E72,'Critical resources (hide)'!BF$6:BF$105)+SUMIF(Capacity_Resource,$F72,'Critical resources (hide)'!BF$6:BF$105)&gt;0,$E$1=2),0,1),0)</f>
        <v>1</v>
      </c>
      <c r="AT72" s="67">
        <f ca="1">IF(LOWER(Capacity!$L84)="x",IF(AND(SUMIF(Capacity_Resource,$D72,'Critical resources (hide)'!BG$6:BG$105)+SUMIF(Capacity_Resource,$E72,'Critical resources (hide)'!BG$6:BG$105)+SUMIF(Capacity_Resource,$F72,'Critical resources (hide)'!BG$6:BG$105)&gt;0,$E$1=2),0,1),0)</f>
        <v>1</v>
      </c>
      <c r="AU72" s="67">
        <f ca="1">IF(LOWER(Capacity!$L84)="x",IF(AND(SUMIF(Capacity_Resource,$D72,'Critical resources (hide)'!BH$6:BH$105)+SUMIF(Capacity_Resource,$E72,'Critical resources (hide)'!BH$6:BH$105)+SUMIF(Capacity_Resource,$F72,'Critical resources (hide)'!BH$6:BH$105)&gt;0,$E$1=2),0,1),0)</f>
        <v>1</v>
      </c>
      <c r="AV72" s="67">
        <f ca="1">IF(LOWER(Capacity!$L84)="x",IF(AND(SUMIF(Capacity_Resource,$D72,'Critical resources (hide)'!BI$6:BI$105)+SUMIF(Capacity_Resource,$E72,'Critical resources (hide)'!BI$6:BI$105)+SUMIF(Capacity_Resource,$F72,'Critical resources (hide)'!BI$6:BI$105)&gt;0,$E$1=2),0,1),0)</f>
        <v>1</v>
      </c>
      <c r="AW72" s="67">
        <f ca="1">IF(LOWER(Capacity!$L84)="x",IF(AND(SUMIF(Capacity_Resource,$D72,'Critical resources (hide)'!BJ$6:BJ$105)+SUMIF(Capacity_Resource,$E72,'Critical resources (hide)'!BJ$6:BJ$105)+SUMIF(Capacity_Resource,$F72,'Critical resources (hide)'!BJ$6:BJ$105)&gt;0,$E$1=2),0,1),0)</f>
        <v>1</v>
      </c>
      <c r="AX72" s="67">
        <f ca="1">IF(LOWER(Capacity!$L84)="x",IF(AND(SUMIF(Capacity_Resource,$D72,'Critical resources (hide)'!BK$6:BK$105)+SUMIF(Capacity_Resource,$E72,'Critical resources (hide)'!BK$6:BK$105)+SUMIF(Capacity_Resource,$F72,'Critical resources (hide)'!BK$6:BK$105)&gt;0,$E$1=2),0,1),0)</f>
        <v>1</v>
      </c>
      <c r="AY72" s="67">
        <f ca="1">IF(LOWER(Capacity!$L84)="x",IF(AND(SUMIF(Capacity_Resource,$D72,'Critical resources (hide)'!BL$6:BL$105)+SUMIF(Capacity_Resource,$E72,'Critical resources (hide)'!BL$6:BL$105)+SUMIF(Capacity_Resource,$F72,'Critical resources (hide)'!BL$6:BL$105)&gt;0,$E$1=2),0,1),0)</f>
        <v>1</v>
      </c>
      <c r="AZ72" s="67">
        <f ca="1">IF(LOWER(Capacity!$L84)="x",IF(AND(SUMIF(Capacity_Resource,$D72,'Critical resources (hide)'!BM$6:BM$105)+SUMIF(Capacity_Resource,$E72,'Critical resources (hide)'!BM$6:BM$105)+SUMIF(Capacity_Resource,$F72,'Critical resources (hide)'!BM$6:BM$105)&gt;0,$E$1=2),0,1),0)</f>
        <v>1</v>
      </c>
      <c r="BA72" s="67">
        <f ca="1">IF(LOWER(Capacity!$L84)="x",IF(AND(SUMIF(Capacity_Resource,$D72,'Critical resources (hide)'!BN$6:BN$105)+SUMIF(Capacity_Resource,$E72,'Critical resources (hide)'!BN$6:BN$105)+SUMIF(Capacity_Resource,$F72,'Critical resources (hide)'!BN$6:BN$105)&gt;0,$E$1=2),0,1),0)</f>
        <v>1</v>
      </c>
      <c r="BB72" s="67">
        <f ca="1">IF(LOWER(Capacity!$L84)="x",IF(AND(SUMIF(Capacity_Resource,$D72,'Critical resources (hide)'!BO$6:BO$105)+SUMIF(Capacity_Resource,$E72,'Critical resources (hide)'!BO$6:BO$105)+SUMIF(Capacity_Resource,$F72,'Critical resources (hide)'!BO$6:BO$105)&gt;0,$E$1=2),0,1),0)</f>
        <v>1</v>
      </c>
      <c r="BC72" s="67">
        <f ca="1">IF(LOWER(Capacity!$L84)="x",IF(AND(SUMIF(Capacity_Resource,$D72,'Critical resources (hide)'!BP$6:BP$105)+SUMIF(Capacity_Resource,$E72,'Critical resources (hide)'!BP$6:BP$105)+SUMIF(Capacity_Resource,$F72,'Critical resources (hide)'!BP$6:BP$105)&gt;0,$E$1=2),0,1),0)</f>
        <v>1</v>
      </c>
      <c r="BD72" s="67">
        <f ca="1">IF(LOWER(Capacity!$L84)="x",IF(AND(SUMIF(Capacity_Resource,$D72,'Critical resources (hide)'!BQ$6:BQ$105)+SUMIF(Capacity_Resource,$E72,'Critical resources (hide)'!BQ$6:BQ$105)+SUMIF(Capacity_Resource,$F72,'Critical resources (hide)'!BQ$6:BQ$105)&gt;0,$E$1=2),0,1),0)</f>
        <v>1</v>
      </c>
      <c r="BE72" s="67">
        <f ca="1">IF(LOWER(Capacity!$L84)="x",IF(AND(SUMIF(Capacity_Resource,$D72,'Critical resources (hide)'!BR$6:BR$105)+SUMIF(Capacity_Resource,$E72,'Critical resources (hide)'!BR$6:BR$105)+SUMIF(Capacity_Resource,$F72,'Critical resources (hide)'!BR$6:BR$105)&gt;0,$E$1=2),0,1),0)</f>
        <v>1</v>
      </c>
      <c r="BF72" s="67">
        <f ca="1">IF(LOWER(Capacity!$L84)="x",IF(AND(SUMIF(Capacity_Resource,$D72,'Critical resources (hide)'!BS$6:BS$105)+SUMIF(Capacity_Resource,$E72,'Critical resources (hide)'!BS$6:BS$105)+SUMIF(Capacity_Resource,$F72,'Critical resources (hide)'!BS$6:BS$105)&gt;0,$E$1=2),0,1),0)</f>
        <v>1</v>
      </c>
      <c r="BG72" s="67">
        <f ca="1">IF(LOWER(Capacity!$L84)="x",IF(AND(SUMIF(Capacity_Resource,$D72,'Critical resources (hide)'!BT$6:BT$105)+SUMIF(Capacity_Resource,$E72,'Critical resources (hide)'!BT$6:BT$105)+SUMIF(Capacity_Resource,$F72,'Critical resources (hide)'!BT$6:BT$105)&gt;0,$E$1=2),0,1),0)</f>
        <v>1</v>
      </c>
      <c r="BH72" s="67">
        <f>IF(ROW(C68)&lt;=Capacity!$A$16,IF('Capacity summary'!$D$14="No",SUM(H72:BG72),'Capacity summary'!$E191),0)</f>
        <v>0</v>
      </c>
      <c r="BI72" s="5" t="str">
        <f>IF(BH72&gt;0,IF(BH72&lt;Capacity!E84,Capacity!F84,Capacity!H84/'Capacity calculation (hide)'!BH72),"")</f>
        <v/>
      </c>
      <c r="BK72" s="311">
        <f>IF($BI72&lt;&gt;"",IF('Capacity summary'!$D$14="Yes",IF(COUNTBLANK('Capacity summary'!$H191:$BG191)&lt;52,IF('Capacity summary'!H191&lt;&gt;"",IF(LOWER('Capacity summary'!H191)="x",$BI72*H72,VALUE('Capacity summary'!H191)),0),H72*$BI72),H72*$BI72),0)</f>
        <v>0</v>
      </c>
      <c r="BL72" s="311">
        <f>IF($BI72&lt;&gt;"",IF('Capacity summary'!$D$14="Yes",IF(COUNTBLANK('Capacity summary'!$H191:$BG191)&lt;52,IF('Capacity summary'!I191&lt;&gt;"",IF(LOWER('Capacity summary'!I191)="x",$BI72*I72,VALUE('Capacity summary'!I191)),0),I72*$BI72),I72*$BI72),0)</f>
        <v>0</v>
      </c>
      <c r="BM72" s="311">
        <f>IF($BI72&lt;&gt;"",IF('Capacity summary'!$D$14="Yes",IF(COUNTBLANK('Capacity summary'!$H191:$BG191)&lt;52,IF('Capacity summary'!J191&lt;&gt;"",IF(LOWER('Capacity summary'!J191)="x",$BI72*J72,VALUE('Capacity summary'!J191)),0),J72*$BI72),J72*$BI72),0)</f>
        <v>0</v>
      </c>
      <c r="BN72" s="311">
        <f>IF($BI72&lt;&gt;"",IF('Capacity summary'!$D$14="Yes",IF(COUNTBLANK('Capacity summary'!$H191:$BG191)&lt;52,IF('Capacity summary'!K191&lt;&gt;"",IF(LOWER('Capacity summary'!K191)="x",$BI72*K72,VALUE('Capacity summary'!K191)),0),K72*$BI72),K72*$BI72),0)</f>
        <v>0</v>
      </c>
      <c r="BO72" s="311">
        <f>IF($BI72&lt;&gt;"",IF('Capacity summary'!$D$14="Yes",IF(COUNTBLANK('Capacity summary'!$H191:$BG191)&lt;52,IF('Capacity summary'!L191&lt;&gt;"",IF(LOWER('Capacity summary'!L191)="x",$BI72*L72,VALUE('Capacity summary'!L191)),0),L72*$BI72),L72*$BI72),0)</f>
        <v>0</v>
      </c>
      <c r="BP72" s="311">
        <f>IF($BI72&lt;&gt;"",IF('Capacity summary'!$D$14="Yes",IF(COUNTBLANK('Capacity summary'!$H191:$BG191)&lt;52,IF('Capacity summary'!M191&lt;&gt;"",IF(LOWER('Capacity summary'!M191)="x",$BI72*M72,VALUE('Capacity summary'!M191)),0),M72*$BI72),M72*$BI72),0)</f>
        <v>0</v>
      </c>
      <c r="BQ72" s="311">
        <f>IF($BI72&lt;&gt;"",IF('Capacity summary'!$D$14="Yes",IF(COUNTBLANK('Capacity summary'!$H191:$BG191)&lt;52,IF('Capacity summary'!N191&lt;&gt;"",IF(LOWER('Capacity summary'!N191)="x",$BI72*N72,VALUE('Capacity summary'!N191)),0),N72*$BI72),N72*$BI72),0)</f>
        <v>0</v>
      </c>
      <c r="BR72" s="311">
        <f>IF($BI72&lt;&gt;"",IF('Capacity summary'!$D$14="Yes",IF(COUNTBLANK('Capacity summary'!$H191:$BG191)&lt;52,IF('Capacity summary'!O191&lt;&gt;"",IF(LOWER('Capacity summary'!O191)="x",$BI72*O72,VALUE('Capacity summary'!O191)),0),O72*$BI72),O72*$BI72),0)</f>
        <v>0</v>
      </c>
      <c r="BS72" s="311">
        <f>IF($BI72&lt;&gt;"",IF('Capacity summary'!$D$14="Yes",IF(COUNTBLANK('Capacity summary'!$H191:$BG191)&lt;52,IF('Capacity summary'!P191&lt;&gt;"",IF(LOWER('Capacity summary'!P191)="x",$BI72*P72,VALUE('Capacity summary'!P191)),0),P72*$BI72),P72*$BI72),0)</f>
        <v>0</v>
      </c>
      <c r="BT72" s="311">
        <f>IF($BI72&lt;&gt;"",IF('Capacity summary'!$D$14="Yes",IF(COUNTBLANK('Capacity summary'!$H191:$BG191)&lt;52,IF('Capacity summary'!Q191&lt;&gt;"",IF(LOWER('Capacity summary'!Q191)="x",$BI72*Q72,VALUE('Capacity summary'!Q191)),0),Q72*$BI72),Q72*$BI72),0)</f>
        <v>0</v>
      </c>
      <c r="BU72" s="311">
        <f>IF($BI72&lt;&gt;"",IF('Capacity summary'!$D$14="Yes",IF(COUNTBLANK('Capacity summary'!$H191:$BG191)&lt;52,IF('Capacity summary'!R191&lt;&gt;"",IF(LOWER('Capacity summary'!R191)="x",$BI72*R72,VALUE('Capacity summary'!R191)),0),R72*$BI72),R72*$BI72),0)</f>
        <v>0</v>
      </c>
      <c r="BV72" s="311">
        <f>IF($BI72&lt;&gt;"",IF('Capacity summary'!$D$14="Yes",IF(COUNTBLANK('Capacity summary'!$H191:$BG191)&lt;52,IF('Capacity summary'!S191&lt;&gt;"",IF(LOWER('Capacity summary'!S191)="x",$BI72*S72,VALUE('Capacity summary'!S191)),0),S72*$BI72),S72*$BI72),0)</f>
        <v>0</v>
      </c>
      <c r="BW72" s="311">
        <f>IF($BI72&lt;&gt;"",IF('Capacity summary'!$D$14="Yes",IF(COUNTBLANK('Capacity summary'!$H191:$BG191)&lt;52,IF('Capacity summary'!T191&lt;&gt;"",IF(LOWER('Capacity summary'!T191)="x",$BI72*T72,VALUE('Capacity summary'!T191)),0),T72*$BI72),T72*$BI72),0)</f>
        <v>0</v>
      </c>
      <c r="BX72" s="311">
        <f>IF($BI72&lt;&gt;"",IF('Capacity summary'!$D$14="Yes",IF(COUNTBLANK('Capacity summary'!$H191:$BG191)&lt;52,IF('Capacity summary'!U191&lt;&gt;"",IF(LOWER('Capacity summary'!U191)="x",$BI72*U72,VALUE('Capacity summary'!U191)),0),U72*$BI72),U72*$BI72),0)</f>
        <v>0</v>
      </c>
      <c r="BY72" s="311">
        <f>IF($BI72&lt;&gt;"",IF('Capacity summary'!$D$14="Yes",IF(COUNTBLANK('Capacity summary'!$H191:$BG191)&lt;52,IF('Capacity summary'!V191&lt;&gt;"",IF(LOWER('Capacity summary'!V191)="x",$BI72*V72,VALUE('Capacity summary'!V191)),0),V72*$BI72),V72*$BI72),0)</f>
        <v>0</v>
      </c>
      <c r="BZ72" s="311">
        <f>IF($BI72&lt;&gt;"",IF('Capacity summary'!$D$14="Yes",IF(COUNTBLANK('Capacity summary'!$H191:$BG191)&lt;52,IF('Capacity summary'!W191&lt;&gt;"",IF(LOWER('Capacity summary'!W191)="x",$BI72*W72,VALUE('Capacity summary'!W191)),0),W72*$BI72),W72*$BI72),0)</f>
        <v>0</v>
      </c>
      <c r="CA72" s="311">
        <f>IF($BI72&lt;&gt;"",IF('Capacity summary'!$D$14="Yes",IF(COUNTBLANK('Capacity summary'!$H191:$BG191)&lt;52,IF('Capacity summary'!X191&lt;&gt;"",IF(LOWER('Capacity summary'!X191)="x",$BI72*X72,VALUE('Capacity summary'!X191)),0),X72*$BI72),X72*$BI72),0)</f>
        <v>0</v>
      </c>
      <c r="CB72" s="311">
        <f>IF($BI72&lt;&gt;"",IF('Capacity summary'!$D$14="Yes",IF(COUNTBLANK('Capacity summary'!$H191:$BG191)&lt;52,IF('Capacity summary'!Y191&lt;&gt;"",IF(LOWER('Capacity summary'!Y191)="x",$BI72*Y72,VALUE('Capacity summary'!Y191)),0),Y72*$BI72),Y72*$BI72),0)</f>
        <v>0</v>
      </c>
      <c r="CC72" s="311">
        <f>IF($BI72&lt;&gt;"",IF('Capacity summary'!$D$14="Yes",IF(COUNTBLANK('Capacity summary'!$H191:$BG191)&lt;52,IF('Capacity summary'!Z191&lt;&gt;"",IF(LOWER('Capacity summary'!Z191)="x",$BI72*Z72,VALUE('Capacity summary'!Z191)),0),Z72*$BI72),Z72*$BI72),0)</f>
        <v>0</v>
      </c>
      <c r="CD72" s="311">
        <f>IF($BI72&lt;&gt;"",IF('Capacity summary'!$D$14="Yes",IF(COUNTBLANK('Capacity summary'!$H191:$BG191)&lt;52,IF('Capacity summary'!AA191&lt;&gt;"",IF(LOWER('Capacity summary'!AA191)="x",$BI72*AA72,VALUE('Capacity summary'!AA191)),0),AA72*$BI72),AA72*$BI72),0)</f>
        <v>0</v>
      </c>
      <c r="CE72" s="311">
        <f>IF($BI72&lt;&gt;"",IF('Capacity summary'!$D$14="Yes",IF(COUNTBLANK('Capacity summary'!$H191:$BG191)&lt;52,IF('Capacity summary'!AB191&lt;&gt;"",IF(LOWER('Capacity summary'!AB191)="x",$BI72*AB72,VALUE('Capacity summary'!AB191)),0),AB72*$BI72),AB72*$BI72),0)</f>
        <v>0</v>
      </c>
      <c r="CF72" s="311">
        <f>IF($BI72&lt;&gt;"",IF('Capacity summary'!$D$14="Yes",IF(COUNTBLANK('Capacity summary'!$H191:$BG191)&lt;52,IF('Capacity summary'!AC191&lt;&gt;"",IF(LOWER('Capacity summary'!AC191)="x",$BI72*AC72,VALUE('Capacity summary'!AC191)),0),AC72*$BI72),AC72*$BI72),0)</f>
        <v>0</v>
      </c>
      <c r="CG72" s="311">
        <f>IF($BI72&lt;&gt;"",IF('Capacity summary'!$D$14="Yes",IF(COUNTBLANK('Capacity summary'!$H191:$BG191)&lt;52,IF('Capacity summary'!AD191&lt;&gt;"",IF(LOWER('Capacity summary'!AD191)="x",$BI72*AD72,VALUE('Capacity summary'!AD191)),0),AD72*$BI72),AD72*$BI72),0)</f>
        <v>0</v>
      </c>
      <c r="CH72" s="311">
        <f>IF($BI72&lt;&gt;"",IF('Capacity summary'!$D$14="Yes",IF(COUNTBLANK('Capacity summary'!$H191:$BG191)&lt;52,IF('Capacity summary'!AE191&lt;&gt;"",IF(LOWER('Capacity summary'!AE191)="x",$BI72*AE72,VALUE('Capacity summary'!AE191)),0),AE72*$BI72),AE72*$BI72),0)</f>
        <v>0</v>
      </c>
      <c r="CI72" s="311">
        <f>IF($BI72&lt;&gt;"",IF('Capacity summary'!$D$14="Yes",IF(COUNTBLANK('Capacity summary'!$H191:$BG191)&lt;52,IF('Capacity summary'!AF191&lt;&gt;"",IF(LOWER('Capacity summary'!AF191)="x",$BI72*AF72,VALUE('Capacity summary'!AF191)),0),AF72*$BI72),AF72*$BI72),0)</f>
        <v>0</v>
      </c>
      <c r="CJ72" s="311">
        <f>IF($BI72&lt;&gt;"",IF('Capacity summary'!$D$14="Yes",IF(COUNTBLANK('Capacity summary'!$H191:$BG191)&lt;52,IF('Capacity summary'!AG191&lt;&gt;"",IF(LOWER('Capacity summary'!AG191)="x",$BI72*AG72,VALUE('Capacity summary'!AG191)),0),AG72*$BI72),AG72*$BI72),0)</f>
        <v>0</v>
      </c>
      <c r="CK72" s="311">
        <f>IF($BI72&lt;&gt;"",IF('Capacity summary'!$D$14="Yes",IF(COUNTBLANK('Capacity summary'!$H191:$BG191)&lt;52,IF('Capacity summary'!AH191&lt;&gt;"",IF(LOWER('Capacity summary'!AH191)="x",$BI72*AH72,VALUE('Capacity summary'!AH191)),0),AH72*$BI72),AH72*$BI72),0)</f>
        <v>0</v>
      </c>
      <c r="CL72" s="311">
        <f>IF($BI72&lt;&gt;"",IF('Capacity summary'!$D$14="Yes",IF(COUNTBLANK('Capacity summary'!$H191:$BG191)&lt;52,IF('Capacity summary'!AI191&lt;&gt;"",IF(LOWER('Capacity summary'!AI191)="x",$BI72*AI72,VALUE('Capacity summary'!AI191)),0),AI72*$BI72),AI72*$BI72),0)</f>
        <v>0</v>
      </c>
      <c r="CM72" s="311">
        <f>IF($BI72&lt;&gt;"",IF('Capacity summary'!$D$14="Yes",IF(COUNTBLANK('Capacity summary'!$H191:$BG191)&lt;52,IF('Capacity summary'!AJ191&lt;&gt;"",IF(LOWER('Capacity summary'!AJ191)="x",$BI72*AJ72,VALUE('Capacity summary'!AJ191)),0),AJ72*$BI72),AJ72*$BI72),0)</f>
        <v>0</v>
      </c>
      <c r="CN72" s="311">
        <f>IF($BI72&lt;&gt;"",IF('Capacity summary'!$D$14="Yes",IF(COUNTBLANK('Capacity summary'!$H191:$BG191)&lt;52,IF('Capacity summary'!AK191&lt;&gt;"",IF(LOWER('Capacity summary'!AK191)="x",$BI72*AK72,VALUE('Capacity summary'!AK191)),0),AK72*$BI72),AK72*$BI72),0)</f>
        <v>0</v>
      </c>
      <c r="CO72" s="311">
        <f>IF($BI72&lt;&gt;"",IF('Capacity summary'!$D$14="Yes",IF(COUNTBLANK('Capacity summary'!$H191:$BG191)&lt;52,IF('Capacity summary'!AL191&lt;&gt;"",IF(LOWER('Capacity summary'!AL191)="x",$BI72*AL72,VALUE('Capacity summary'!AL191)),0),AL72*$BI72),AL72*$BI72),0)</f>
        <v>0</v>
      </c>
      <c r="CP72" s="311">
        <f>IF($BI72&lt;&gt;"",IF('Capacity summary'!$D$14="Yes",IF(COUNTBLANK('Capacity summary'!$H191:$BG191)&lt;52,IF('Capacity summary'!AM191&lt;&gt;"",IF(LOWER('Capacity summary'!AM191)="x",$BI72*AM72,VALUE('Capacity summary'!AM191)),0),AM72*$BI72),AM72*$BI72),0)</f>
        <v>0</v>
      </c>
      <c r="CQ72" s="311">
        <f>IF($BI72&lt;&gt;"",IF('Capacity summary'!$D$14="Yes",IF(COUNTBLANK('Capacity summary'!$H191:$BG191)&lt;52,IF('Capacity summary'!AN191&lt;&gt;"",IF(LOWER('Capacity summary'!AN191)="x",$BI72*AN72,VALUE('Capacity summary'!AN191)),0),AN72*$BI72),AN72*$BI72),0)</f>
        <v>0</v>
      </c>
      <c r="CR72" s="311">
        <f>IF($BI72&lt;&gt;"",IF('Capacity summary'!$D$14="Yes",IF(COUNTBLANK('Capacity summary'!$H191:$BG191)&lt;52,IF('Capacity summary'!AO191&lt;&gt;"",IF(LOWER('Capacity summary'!AO191)="x",$BI72*AO72,VALUE('Capacity summary'!AO191)),0),AO72*$BI72),AO72*$BI72),0)</f>
        <v>0</v>
      </c>
      <c r="CS72" s="311">
        <f>IF($BI72&lt;&gt;"",IF('Capacity summary'!$D$14="Yes",IF(COUNTBLANK('Capacity summary'!$H191:$BG191)&lt;52,IF('Capacity summary'!AP191&lt;&gt;"",IF(LOWER('Capacity summary'!AP191)="x",$BI72*AP72,VALUE('Capacity summary'!AP191)),0),AP72*$BI72),AP72*$BI72),0)</f>
        <v>0</v>
      </c>
      <c r="CT72" s="311">
        <f>IF($BI72&lt;&gt;"",IF('Capacity summary'!$D$14="Yes",IF(COUNTBLANK('Capacity summary'!$H191:$BG191)&lt;52,IF('Capacity summary'!AQ191&lt;&gt;"",IF(LOWER('Capacity summary'!AQ191)="x",$BI72*AQ72,VALUE('Capacity summary'!AQ191)),0),AQ72*$BI72),AQ72*$BI72),0)</f>
        <v>0</v>
      </c>
      <c r="CU72" s="311">
        <f>IF($BI72&lt;&gt;"",IF('Capacity summary'!$D$14="Yes",IF(COUNTBLANK('Capacity summary'!$H191:$BG191)&lt;52,IF('Capacity summary'!AR191&lt;&gt;"",IF(LOWER('Capacity summary'!AR191)="x",$BI72*AR72,VALUE('Capacity summary'!AR191)),0),AR72*$BI72),AR72*$BI72),0)</f>
        <v>0</v>
      </c>
      <c r="CV72" s="311">
        <f>IF($BI72&lt;&gt;"",IF('Capacity summary'!$D$14="Yes",IF(COUNTBLANK('Capacity summary'!$H191:$BG191)&lt;52,IF('Capacity summary'!AS191&lt;&gt;"",IF(LOWER('Capacity summary'!AS191)="x",$BI72*AS72,VALUE('Capacity summary'!AS191)),0),AS72*$BI72),AS72*$BI72),0)</f>
        <v>0</v>
      </c>
      <c r="CW72" s="311">
        <f>IF($BI72&lt;&gt;"",IF('Capacity summary'!$D$14="Yes",IF(COUNTBLANK('Capacity summary'!$H191:$BG191)&lt;52,IF('Capacity summary'!AT191&lt;&gt;"",IF(LOWER('Capacity summary'!AT191)="x",$BI72*AT72,VALUE('Capacity summary'!AT191)),0),AT72*$BI72),AT72*$BI72),0)</f>
        <v>0</v>
      </c>
      <c r="CX72" s="311">
        <f>IF($BI72&lt;&gt;"",IF('Capacity summary'!$D$14="Yes",IF(COUNTBLANK('Capacity summary'!$H191:$BG191)&lt;52,IF('Capacity summary'!AU191&lt;&gt;"",IF(LOWER('Capacity summary'!AU191)="x",$BI72*AU72,VALUE('Capacity summary'!AU191)),0),AU72*$BI72),AU72*$BI72),0)</f>
        <v>0</v>
      </c>
      <c r="CY72" s="311">
        <f>IF($BI72&lt;&gt;"",IF('Capacity summary'!$D$14="Yes",IF(COUNTBLANK('Capacity summary'!$H191:$BG191)&lt;52,IF('Capacity summary'!AV191&lt;&gt;"",IF(LOWER('Capacity summary'!AV191)="x",$BI72*AV72,VALUE('Capacity summary'!AV191)),0),AV72*$BI72),AV72*$BI72),0)</f>
        <v>0</v>
      </c>
      <c r="CZ72" s="311">
        <f>IF($BI72&lt;&gt;"",IF('Capacity summary'!$D$14="Yes",IF(COUNTBLANK('Capacity summary'!$H191:$BG191)&lt;52,IF('Capacity summary'!AW191&lt;&gt;"",IF(LOWER('Capacity summary'!AW191)="x",$BI72*AW72,VALUE('Capacity summary'!AW191)),0),AW72*$BI72),AW72*$BI72),0)</f>
        <v>0</v>
      </c>
      <c r="DA72" s="311">
        <f>IF($BI72&lt;&gt;"",IF('Capacity summary'!$D$14="Yes",IF(COUNTBLANK('Capacity summary'!$H191:$BG191)&lt;52,IF('Capacity summary'!AX191&lt;&gt;"",IF(LOWER('Capacity summary'!AX191)="x",$BI72*AX72,VALUE('Capacity summary'!AX191)),0),AX72*$BI72),AX72*$BI72),0)</f>
        <v>0</v>
      </c>
      <c r="DB72" s="311">
        <f>IF($BI72&lt;&gt;"",IF('Capacity summary'!$D$14="Yes",IF(COUNTBLANK('Capacity summary'!$H191:$BG191)&lt;52,IF('Capacity summary'!AY191&lt;&gt;"",IF(LOWER('Capacity summary'!AY191)="x",$BI72*AY72,VALUE('Capacity summary'!AY191)),0),AY72*$BI72),AY72*$BI72),0)</f>
        <v>0</v>
      </c>
      <c r="DC72" s="311">
        <f>IF($BI72&lt;&gt;"",IF('Capacity summary'!$D$14="Yes",IF(COUNTBLANK('Capacity summary'!$H191:$BG191)&lt;52,IF('Capacity summary'!AZ191&lt;&gt;"",IF(LOWER('Capacity summary'!AZ191)="x",$BI72*AZ72,VALUE('Capacity summary'!AZ191)),0),AZ72*$BI72),AZ72*$BI72),0)</f>
        <v>0</v>
      </c>
      <c r="DD72" s="311">
        <f>IF($BI72&lt;&gt;"",IF('Capacity summary'!$D$14="Yes",IF(COUNTBLANK('Capacity summary'!$H191:$BG191)&lt;52,IF('Capacity summary'!BA191&lt;&gt;"",IF(LOWER('Capacity summary'!BA191)="x",$BI72*BA72,VALUE('Capacity summary'!BA191)),0),BA72*$BI72),BA72*$BI72),0)</f>
        <v>0</v>
      </c>
      <c r="DE72" s="311">
        <f>IF($BI72&lt;&gt;"",IF('Capacity summary'!$D$14="Yes",IF(COUNTBLANK('Capacity summary'!$H191:$BG191)&lt;52,IF('Capacity summary'!BB191&lt;&gt;"",IF(LOWER('Capacity summary'!BB191)="x",$BI72*BB72,VALUE('Capacity summary'!BB191)),0),BB72*$BI72),BB72*$BI72),0)</f>
        <v>0</v>
      </c>
      <c r="DF72" s="311">
        <f>IF($BI72&lt;&gt;"",IF('Capacity summary'!$D$14="Yes",IF(COUNTBLANK('Capacity summary'!$H191:$BG191)&lt;52,IF('Capacity summary'!BC191&lt;&gt;"",IF(LOWER('Capacity summary'!BC191)="x",$BI72*BC72,VALUE('Capacity summary'!BC191)),0),BC72*$BI72),BC72*$BI72),0)</f>
        <v>0</v>
      </c>
      <c r="DG72" s="311">
        <f>IF($BI72&lt;&gt;"",IF('Capacity summary'!$D$14="Yes",IF(COUNTBLANK('Capacity summary'!$H191:$BG191)&lt;52,IF('Capacity summary'!BD191&lt;&gt;"",IF(LOWER('Capacity summary'!BD191)="x",$BI72*BD72,VALUE('Capacity summary'!BD191)),0),BD72*$BI72),BD72*$BI72),0)</f>
        <v>0</v>
      </c>
      <c r="DH72" s="311">
        <f>IF($BI72&lt;&gt;"",IF('Capacity summary'!$D$14="Yes",IF(COUNTBLANK('Capacity summary'!$H191:$BG191)&lt;52,IF('Capacity summary'!BE191&lt;&gt;"",IF(LOWER('Capacity summary'!BE191)="x",$BI72*BE72,VALUE('Capacity summary'!BE191)),0),BE72*$BI72),BE72*$BI72),0)</f>
        <v>0</v>
      </c>
      <c r="DI72" s="311">
        <f>IF($BI72&lt;&gt;"",IF('Capacity summary'!$D$14="Yes",IF(COUNTBLANK('Capacity summary'!$H191:$BG191)&lt;52,IF('Capacity summary'!BF191&lt;&gt;"",IF(LOWER('Capacity summary'!BF191)="x",$BI72*BF72,VALUE('Capacity summary'!BF191)),0),BF72*$BI72),BF72*$BI72),0)</f>
        <v>0</v>
      </c>
      <c r="DJ72" s="311">
        <f>IF($BI72&lt;&gt;"",IF('Capacity summary'!$D$14="Yes",IF(COUNTBLANK('Capacity summary'!$H191:$BG191)&lt;52,IF('Capacity summary'!BG191&lt;&gt;"",IF(LOWER('Capacity summary'!BG191)="x",$BI72*BG72,VALUE('Capacity summary'!BG191)),0),BG72*$BI72),BG72*$BI72),0)</f>
        <v>0</v>
      </c>
      <c r="DK72" s="391">
        <f t="shared" si="4"/>
        <v>0</v>
      </c>
      <c r="DL72" s="136">
        <f t="shared" si="5"/>
        <v>0</v>
      </c>
      <c r="DM72" s="311" t="str">
        <f>Capacity!H84</f>
        <v/>
      </c>
    </row>
    <row r="73" spans="1:117" x14ac:dyDescent="0.2">
      <c r="A73" s="67">
        <f>IF(Capacity!L85='Capacity summary'!BI192,1,0)</f>
        <v>1</v>
      </c>
      <c r="B73" s="67">
        <f>IF(Capacity!V85='Capacity summary'!BI92,1,0)</f>
        <v>1</v>
      </c>
      <c r="C73" s="67" t="str">
        <f>ROW(A69)&amp;". "&amp;Capacity!B85</f>
        <v xml:space="preserve">69. </v>
      </c>
      <c r="D73" s="67">
        <f>'Capacity setup'!C80</f>
        <v>0</v>
      </c>
      <c r="E73" s="67">
        <f>'Capacity setup'!D80</f>
        <v>0</v>
      </c>
      <c r="F73" s="67">
        <f>'Capacity setup'!E80</f>
        <v>0</v>
      </c>
      <c r="H73" s="67">
        <f ca="1">IF(LOWER(Capacity!$L85)="x",IF(AND(SUMIF(Capacity_Resource,$D73,'Critical resources (hide)'!U$6:U$105)+SUMIF(Capacity_Resource,$E73,'Critical resources (hide)'!U$6:U$105)+SUMIF(Capacity_Resource,$F73,'Critical resources (hide)'!U$6:U$105)&gt;0,$E$1=2),0,1),0)</f>
        <v>1</v>
      </c>
      <c r="I73" s="67">
        <f ca="1">IF(LOWER(Capacity!$L85)="x",IF(AND(SUMIF(Capacity_Resource,$D73,'Critical resources (hide)'!V$6:V$105)+SUMIF(Capacity_Resource,$E73,'Critical resources (hide)'!V$6:V$105)+SUMIF(Capacity_Resource,$F73,'Critical resources (hide)'!V$6:V$105)&gt;0,$E$1=2),0,1),0)</f>
        <v>1</v>
      </c>
      <c r="J73" s="67">
        <f ca="1">IF(LOWER(Capacity!$L85)="x",IF(AND(SUMIF(Capacity_Resource,$D73,'Critical resources (hide)'!W$6:W$105)+SUMIF(Capacity_Resource,$E73,'Critical resources (hide)'!W$6:W$105)+SUMIF(Capacity_Resource,$F73,'Critical resources (hide)'!W$6:W$105)&gt;0,$E$1=2),0,1),0)</f>
        <v>1</v>
      </c>
      <c r="K73" s="67">
        <f ca="1">IF(LOWER(Capacity!$L85)="x",IF(AND(SUMIF(Capacity_Resource,$D73,'Critical resources (hide)'!X$6:X$105)+SUMIF(Capacity_Resource,$E73,'Critical resources (hide)'!X$6:X$105)+SUMIF(Capacity_Resource,$F73,'Critical resources (hide)'!X$6:X$105)&gt;0,$E$1=2),0,1),0)</f>
        <v>1</v>
      </c>
      <c r="L73" s="67">
        <f ca="1">IF(LOWER(Capacity!$L85)="x",IF(AND(SUMIF(Capacity_Resource,$D73,'Critical resources (hide)'!Y$6:Y$105)+SUMIF(Capacity_Resource,$E73,'Critical resources (hide)'!Y$6:Y$105)+SUMIF(Capacity_Resource,$F73,'Critical resources (hide)'!Y$6:Y$105)&gt;0,$E$1=2),0,1),0)</f>
        <v>1</v>
      </c>
      <c r="M73" s="67">
        <f ca="1">IF(LOWER(Capacity!$L85)="x",IF(AND(SUMIF(Capacity_Resource,$D73,'Critical resources (hide)'!Z$6:Z$105)+SUMIF(Capacity_Resource,$E73,'Critical resources (hide)'!Z$6:Z$105)+SUMIF(Capacity_Resource,$F73,'Critical resources (hide)'!Z$6:Z$105)&gt;0,$E$1=2),0,1),0)</f>
        <v>1</v>
      </c>
      <c r="N73" s="67">
        <f ca="1">IF(LOWER(Capacity!$L85)="x",IF(AND(SUMIF(Capacity_Resource,$D73,'Critical resources (hide)'!AA$6:AA$105)+SUMIF(Capacity_Resource,$E73,'Critical resources (hide)'!AA$6:AA$105)+SUMIF(Capacity_Resource,$F73,'Critical resources (hide)'!AA$6:AA$105)&gt;0,$E$1=2),0,1),0)</f>
        <v>1</v>
      </c>
      <c r="O73" s="67">
        <f ca="1">IF(LOWER(Capacity!$L85)="x",IF(AND(SUMIF(Capacity_Resource,$D73,'Critical resources (hide)'!AB$6:AB$105)+SUMIF(Capacity_Resource,$E73,'Critical resources (hide)'!AB$6:AB$105)+SUMIF(Capacity_Resource,$F73,'Critical resources (hide)'!AB$6:AB$105)&gt;0,$E$1=2),0,1),0)</f>
        <v>1</v>
      </c>
      <c r="P73" s="67">
        <f ca="1">IF(LOWER(Capacity!$L85)="x",IF(AND(SUMIF(Capacity_Resource,$D73,'Critical resources (hide)'!AC$6:AC$105)+SUMIF(Capacity_Resource,$E73,'Critical resources (hide)'!AC$6:AC$105)+SUMIF(Capacity_Resource,$F73,'Critical resources (hide)'!AC$6:AC$105)&gt;0,$E$1=2),0,1),0)</f>
        <v>1</v>
      </c>
      <c r="Q73" s="67">
        <f ca="1">IF(LOWER(Capacity!$L85)="x",IF(AND(SUMIF(Capacity_Resource,$D73,'Critical resources (hide)'!AD$6:AD$105)+SUMIF(Capacity_Resource,$E73,'Critical resources (hide)'!AD$6:AD$105)+SUMIF(Capacity_Resource,$F73,'Critical resources (hide)'!AD$6:AD$105)&gt;0,$E$1=2),0,1),0)</f>
        <v>1</v>
      </c>
      <c r="R73" s="67">
        <f ca="1">IF(LOWER(Capacity!$L85)="x",IF(AND(SUMIF(Capacity_Resource,$D73,'Critical resources (hide)'!AE$6:AE$105)+SUMIF(Capacity_Resource,$E73,'Critical resources (hide)'!AE$6:AE$105)+SUMIF(Capacity_Resource,$F73,'Critical resources (hide)'!AE$6:AE$105)&gt;0,$E$1=2),0,1),0)</f>
        <v>1</v>
      </c>
      <c r="S73" s="67">
        <f ca="1">IF(LOWER(Capacity!$L85)="x",IF(AND(SUMIF(Capacity_Resource,$D73,'Critical resources (hide)'!AF$6:AF$105)+SUMIF(Capacity_Resource,$E73,'Critical resources (hide)'!AF$6:AF$105)+SUMIF(Capacity_Resource,$F73,'Critical resources (hide)'!AF$6:AF$105)&gt;0,$E$1=2),0,1),0)</f>
        <v>1</v>
      </c>
      <c r="T73" s="67">
        <f ca="1">IF(LOWER(Capacity!$L85)="x",IF(AND(SUMIF(Capacity_Resource,$D73,'Critical resources (hide)'!AG$6:AG$105)+SUMIF(Capacity_Resource,$E73,'Critical resources (hide)'!AG$6:AG$105)+SUMIF(Capacity_Resource,$F73,'Critical resources (hide)'!AG$6:AG$105)&gt;0,$E$1=2),0,1),0)</f>
        <v>1</v>
      </c>
      <c r="U73" s="67">
        <f ca="1">IF(LOWER(Capacity!$L85)="x",IF(AND(SUMIF(Capacity_Resource,$D73,'Critical resources (hide)'!AH$6:AH$105)+SUMIF(Capacity_Resource,$E73,'Critical resources (hide)'!AH$6:AH$105)+SUMIF(Capacity_Resource,$F73,'Critical resources (hide)'!AH$6:AH$105)&gt;0,$E$1=2),0,1),0)</f>
        <v>1</v>
      </c>
      <c r="V73" s="67">
        <f ca="1">IF(LOWER(Capacity!$L85)="x",IF(AND(SUMIF(Capacity_Resource,$D73,'Critical resources (hide)'!AI$6:AI$105)+SUMIF(Capacity_Resource,$E73,'Critical resources (hide)'!AI$6:AI$105)+SUMIF(Capacity_Resource,$F73,'Critical resources (hide)'!AI$6:AI$105)&gt;0,$E$1=2),0,1),0)</f>
        <v>1</v>
      </c>
      <c r="W73" s="67">
        <f ca="1">IF(LOWER(Capacity!$L85)="x",IF(AND(SUMIF(Capacity_Resource,$D73,'Critical resources (hide)'!AJ$6:AJ$105)+SUMIF(Capacity_Resource,$E73,'Critical resources (hide)'!AJ$6:AJ$105)+SUMIF(Capacity_Resource,$F73,'Critical resources (hide)'!AJ$6:AJ$105)&gt;0,$E$1=2),0,1),0)</f>
        <v>1</v>
      </c>
      <c r="X73" s="67">
        <f ca="1">IF(LOWER(Capacity!$L85)="x",IF(AND(SUMIF(Capacity_Resource,$D73,'Critical resources (hide)'!AK$6:AK$105)+SUMIF(Capacity_Resource,$E73,'Critical resources (hide)'!AK$6:AK$105)+SUMIF(Capacity_Resource,$F73,'Critical resources (hide)'!AK$6:AK$105)&gt;0,$E$1=2),0,1),0)</f>
        <v>1</v>
      </c>
      <c r="Y73" s="67">
        <f ca="1">IF(LOWER(Capacity!$L85)="x",IF(AND(SUMIF(Capacity_Resource,$D73,'Critical resources (hide)'!AL$6:AL$105)+SUMIF(Capacity_Resource,$E73,'Critical resources (hide)'!AL$6:AL$105)+SUMIF(Capacity_Resource,$F73,'Critical resources (hide)'!AL$6:AL$105)&gt;0,$E$1=2),0,1),0)</f>
        <v>1</v>
      </c>
      <c r="Z73" s="67">
        <f ca="1">IF(LOWER(Capacity!$L85)="x",IF(AND(SUMIF(Capacity_Resource,$D73,'Critical resources (hide)'!AM$6:AM$105)+SUMIF(Capacity_Resource,$E73,'Critical resources (hide)'!AM$6:AM$105)+SUMIF(Capacity_Resource,$F73,'Critical resources (hide)'!AM$6:AM$105)&gt;0,$E$1=2),0,1),0)</f>
        <v>1</v>
      </c>
      <c r="AA73" s="67">
        <f ca="1">IF(LOWER(Capacity!$L85)="x",IF(AND(SUMIF(Capacity_Resource,$D73,'Critical resources (hide)'!AN$6:AN$105)+SUMIF(Capacity_Resource,$E73,'Critical resources (hide)'!AN$6:AN$105)+SUMIF(Capacity_Resource,$F73,'Critical resources (hide)'!AN$6:AN$105)&gt;0,$E$1=2),0,1),0)</f>
        <v>1</v>
      </c>
      <c r="AB73" s="67">
        <f ca="1">IF(LOWER(Capacity!$L85)="x",IF(AND(SUMIF(Capacity_Resource,$D73,'Critical resources (hide)'!AO$6:AO$105)+SUMIF(Capacity_Resource,$E73,'Critical resources (hide)'!AO$6:AO$105)+SUMIF(Capacity_Resource,$F73,'Critical resources (hide)'!AO$6:AO$105)&gt;0,$E$1=2),0,1),0)</f>
        <v>1</v>
      </c>
      <c r="AC73" s="67">
        <f ca="1">IF(LOWER(Capacity!$L85)="x",IF(AND(SUMIF(Capacity_Resource,$D73,'Critical resources (hide)'!AP$6:AP$105)+SUMIF(Capacity_Resource,$E73,'Critical resources (hide)'!AP$6:AP$105)+SUMIF(Capacity_Resource,$F73,'Critical resources (hide)'!AP$6:AP$105)&gt;0,$E$1=2),0,1),0)</f>
        <v>1</v>
      </c>
      <c r="AD73" s="67">
        <f ca="1">IF(LOWER(Capacity!$L85)="x",IF(AND(SUMIF(Capacity_Resource,$D73,'Critical resources (hide)'!AQ$6:AQ$105)+SUMIF(Capacity_Resource,$E73,'Critical resources (hide)'!AQ$6:AQ$105)+SUMIF(Capacity_Resource,$F73,'Critical resources (hide)'!AQ$6:AQ$105)&gt;0,$E$1=2),0,1),0)</f>
        <v>1</v>
      </c>
      <c r="AE73" s="67">
        <f ca="1">IF(LOWER(Capacity!$L85)="x",IF(AND(SUMIF(Capacity_Resource,$D73,'Critical resources (hide)'!AR$6:AR$105)+SUMIF(Capacity_Resource,$E73,'Critical resources (hide)'!AR$6:AR$105)+SUMIF(Capacity_Resource,$F73,'Critical resources (hide)'!AR$6:AR$105)&gt;0,$E$1=2),0,1),0)</f>
        <v>1</v>
      </c>
      <c r="AF73" s="67">
        <f ca="1">IF(LOWER(Capacity!$L85)="x",IF(AND(SUMIF(Capacity_Resource,$D73,'Critical resources (hide)'!AS$6:AS$105)+SUMIF(Capacity_Resource,$E73,'Critical resources (hide)'!AS$6:AS$105)+SUMIF(Capacity_Resource,$F73,'Critical resources (hide)'!AS$6:AS$105)&gt;0,$E$1=2),0,1),0)</f>
        <v>1</v>
      </c>
      <c r="AG73" s="67">
        <f ca="1">IF(LOWER(Capacity!$L85)="x",IF(AND(SUMIF(Capacity_Resource,$D73,'Critical resources (hide)'!AT$6:AT$105)+SUMIF(Capacity_Resource,$E73,'Critical resources (hide)'!AT$6:AT$105)+SUMIF(Capacity_Resource,$F73,'Critical resources (hide)'!AT$6:AT$105)&gt;0,$E$1=2),0,1),0)</f>
        <v>1</v>
      </c>
      <c r="AH73" s="67">
        <f ca="1">IF(LOWER(Capacity!$L85)="x",IF(AND(SUMIF(Capacity_Resource,$D73,'Critical resources (hide)'!AU$6:AU$105)+SUMIF(Capacity_Resource,$E73,'Critical resources (hide)'!AU$6:AU$105)+SUMIF(Capacity_Resource,$F73,'Critical resources (hide)'!AU$6:AU$105)&gt;0,$E$1=2),0,1),0)</f>
        <v>1</v>
      </c>
      <c r="AI73" s="67">
        <f ca="1">IF(LOWER(Capacity!$L85)="x",IF(AND(SUMIF(Capacity_Resource,$D73,'Critical resources (hide)'!AV$6:AV$105)+SUMIF(Capacity_Resource,$E73,'Critical resources (hide)'!AV$6:AV$105)+SUMIF(Capacity_Resource,$F73,'Critical resources (hide)'!AV$6:AV$105)&gt;0,$E$1=2),0,1),0)</f>
        <v>1</v>
      </c>
      <c r="AJ73" s="67">
        <f ca="1">IF(LOWER(Capacity!$L85)="x",IF(AND(SUMIF(Capacity_Resource,$D73,'Critical resources (hide)'!AW$6:AW$105)+SUMIF(Capacity_Resource,$E73,'Critical resources (hide)'!AW$6:AW$105)+SUMIF(Capacity_Resource,$F73,'Critical resources (hide)'!AW$6:AW$105)&gt;0,$E$1=2),0,1),0)</f>
        <v>1</v>
      </c>
      <c r="AK73" s="67">
        <f ca="1">IF(LOWER(Capacity!$L85)="x",IF(AND(SUMIF(Capacity_Resource,$D73,'Critical resources (hide)'!AX$6:AX$105)+SUMIF(Capacity_Resource,$E73,'Critical resources (hide)'!AX$6:AX$105)+SUMIF(Capacity_Resource,$F73,'Critical resources (hide)'!AX$6:AX$105)&gt;0,$E$1=2),0,1),0)</f>
        <v>1</v>
      </c>
      <c r="AL73" s="67">
        <f ca="1">IF(LOWER(Capacity!$L85)="x",IF(AND(SUMIF(Capacity_Resource,$D73,'Critical resources (hide)'!AY$6:AY$105)+SUMIF(Capacity_Resource,$E73,'Critical resources (hide)'!AY$6:AY$105)+SUMIF(Capacity_Resource,$F73,'Critical resources (hide)'!AY$6:AY$105)&gt;0,$E$1=2),0,1),0)</f>
        <v>1</v>
      </c>
      <c r="AM73" s="67">
        <f ca="1">IF(LOWER(Capacity!$L85)="x",IF(AND(SUMIF(Capacity_Resource,$D73,'Critical resources (hide)'!AZ$6:AZ$105)+SUMIF(Capacity_Resource,$E73,'Critical resources (hide)'!AZ$6:AZ$105)+SUMIF(Capacity_Resource,$F73,'Critical resources (hide)'!AZ$6:AZ$105)&gt;0,$E$1=2),0,1),0)</f>
        <v>1</v>
      </c>
      <c r="AN73" s="67">
        <f ca="1">IF(LOWER(Capacity!$L85)="x",IF(AND(SUMIF(Capacity_Resource,$D73,'Critical resources (hide)'!BA$6:BA$105)+SUMIF(Capacity_Resource,$E73,'Critical resources (hide)'!BA$6:BA$105)+SUMIF(Capacity_Resource,$F73,'Critical resources (hide)'!BA$6:BA$105)&gt;0,$E$1=2),0,1),0)</f>
        <v>1</v>
      </c>
      <c r="AO73" s="67">
        <f ca="1">IF(LOWER(Capacity!$L85)="x",IF(AND(SUMIF(Capacity_Resource,$D73,'Critical resources (hide)'!BB$6:BB$105)+SUMIF(Capacity_Resource,$E73,'Critical resources (hide)'!BB$6:BB$105)+SUMIF(Capacity_Resource,$F73,'Critical resources (hide)'!BB$6:BB$105)&gt;0,$E$1=2),0,1),0)</f>
        <v>1</v>
      </c>
      <c r="AP73" s="67">
        <f ca="1">IF(LOWER(Capacity!$L85)="x",IF(AND(SUMIF(Capacity_Resource,$D73,'Critical resources (hide)'!BC$6:BC$105)+SUMIF(Capacity_Resource,$E73,'Critical resources (hide)'!BC$6:BC$105)+SUMIF(Capacity_Resource,$F73,'Critical resources (hide)'!BC$6:BC$105)&gt;0,$E$1=2),0,1),0)</f>
        <v>1</v>
      </c>
      <c r="AQ73" s="67">
        <f ca="1">IF(LOWER(Capacity!$L85)="x",IF(AND(SUMIF(Capacity_Resource,$D73,'Critical resources (hide)'!BD$6:BD$105)+SUMIF(Capacity_Resource,$E73,'Critical resources (hide)'!BD$6:BD$105)+SUMIF(Capacity_Resource,$F73,'Critical resources (hide)'!BD$6:BD$105)&gt;0,$E$1=2),0,1),0)</f>
        <v>1</v>
      </c>
      <c r="AR73" s="67">
        <f ca="1">IF(LOWER(Capacity!$L85)="x",IF(AND(SUMIF(Capacity_Resource,$D73,'Critical resources (hide)'!BE$6:BE$105)+SUMIF(Capacity_Resource,$E73,'Critical resources (hide)'!BE$6:BE$105)+SUMIF(Capacity_Resource,$F73,'Critical resources (hide)'!BE$6:BE$105)&gt;0,$E$1=2),0,1),0)</f>
        <v>1</v>
      </c>
      <c r="AS73" s="67">
        <f ca="1">IF(LOWER(Capacity!$L85)="x",IF(AND(SUMIF(Capacity_Resource,$D73,'Critical resources (hide)'!BF$6:BF$105)+SUMIF(Capacity_Resource,$E73,'Critical resources (hide)'!BF$6:BF$105)+SUMIF(Capacity_Resource,$F73,'Critical resources (hide)'!BF$6:BF$105)&gt;0,$E$1=2),0,1),0)</f>
        <v>1</v>
      </c>
      <c r="AT73" s="67">
        <f ca="1">IF(LOWER(Capacity!$L85)="x",IF(AND(SUMIF(Capacity_Resource,$D73,'Critical resources (hide)'!BG$6:BG$105)+SUMIF(Capacity_Resource,$E73,'Critical resources (hide)'!BG$6:BG$105)+SUMIF(Capacity_Resource,$F73,'Critical resources (hide)'!BG$6:BG$105)&gt;0,$E$1=2),0,1),0)</f>
        <v>1</v>
      </c>
      <c r="AU73" s="67">
        <f ca="1">IF(LOWER(Capacity!$L85)="x",IF(AND(SUMIF(Capacity_Resource,$D73,'Critical resources (hide)'!BH$6:BH$105)+SUMIF(Capacity_Resource,$E73,'Critical resources (hide)'!BH$6:BH$105)+SUMIF(Capacity_Resource,$F73,'Critical resources (hide)'!BH$6:BH$105)&gt;0,$E$1=2),0,1),0)</f>
        <v>1</v>
      </c>
      <c r="AV73" s="67">
        <f ca="1">IF(LOWER(Capacity!$L85)="x",IF(AND(SUMIF(Capacity_Resource,$D73,'Critical resources (hide)'!BI$6:BI$105)+SUMIF(Capacity_Resource,$E73,'Critical resources (hide)'!BI$6:BI$105)+SUMIF(Capacity_Resource,$F73,'Critical resources (hide)'!BI$6:BI$105)&gt;0,$E$1=2),0,1),0)</f>
        <v>1</v>
      </c>
      <c r="AW73" s="67">
        <f ca="1">IF(LOWER(Capacity!$L85)="x",IF(AND(SUMIF(Capacity_Resource,$D73,'Critical resources (hide)'!BJ$6:BJ$105)+SUMIF(Capacity_Resource,$E73,'Critical resources (hide)'!BJ$6:BJ$105)+SUMIF(Capacity_Resource,$F73,'Critical resources (hide)'!BJ$6:BJ$105)&gt;0,$E$1=2),0,1),0)</f>
        <v>1</v>
      </c>
      <c r="AX73" s="67">
        <f ca="1">IF(LOWER(Capacity!$L85)="x",IF(AND(SUMIF(Capacity_Resource,$D73,'Critical resources (hide)'!BK$6:BK$105)+SUMIF(Capacity_Resource,$E73,'Critical resources (hide)'!BK$6:BK$105)+SUMIF(Capacity_Resource,$F73,'Critical resources (hide)'!BK$6:BK$105)&gt;0,$E$1=2),0,1),0)</f>
        <v>1</v>
      </c>
      <c r="AY73" s="67">
        <f ca="1">IF(LOWER(Capacity!$L85)="x",IF(AND(SUMIF(Capacity_Resource,$D73,'Critical resources (hide)'!BL$6:BL$105)+SUMIF(Capacity_Resource,$E73,'Critical resources (hide)'!BL$6:BL$105)+SUMIF(Capacity_Resource,$F73,'Critical resources (hide)'!BL$6:BL$105)&gt;0,$E$1=2),0,1),0)</f>
        <v>1</v>
      </c>
      <c r="AZ73" s="67">
        <f ca="1">IF(LOWER(Capacity!$L85)="x",IF(AND(SUMIF(Capacity_Resource,$D73,'Critical resources (hide)'!BM$6:BM$105)+SUMIF(Capacity_Resource,$E73,'Critical resources (hide)'!BM$6:BM$105)+SUMIF(Capacity_Resource,$F73,'Critical resources (hide)'!BM$6:BM$105)&gt;0,$E$1=2),0,1),0)</f>
        <v>1</v>
      </c>
      <c r="BA73" s="67">
        <f ca="1">IF(LOWER(Capacity!$L85)="x",IF(AND(SUMIF(Capacity_Resource,$D73,'Critical resources (hide)'!BN$6:BN$105)+SUMIF(Capacity_Resource,$E73,'Critical resources (hide)'!BN$6:BN$105)+SUMIF(Capacity_Resource,$F73,'Critical resources (hide)'!BN$6:BN$105)&gt;0,$E$1=2),0,1),0)</f>
        <v>1</v>
      </c>
      <c r="BB73" s="67">
        <f ca="1">IF(LOWER(Capacity!$L85)="x",IF(AND(SUMIF(Capacity_Resource,$D73,'Critical resources (hide)'!BO$6:BO$105)+SUMIF(Capacity_Resource,$E73,'Critical resources (hide)'!BO$6:BO$105)+SUMIF(Capacity_Resource,$F73,'Critical resources (hide)'!BO$6:BO$105)&gt;0,$E$1=2),0,1),0)</f>
        <v>1</v>
      </c>
      <c r="BC73" s="67">
        <f ca="1">IF(LOWER(Capacity!$L85)="x",IF(AND(SUMIF(Capacity_Resource,$D73,'Critical resources (hide)'!BP$6:BP$105)+SUMIF(Capacity_Resource,$E73,'Critical resources (hide)'!BP$6:BP$105)+SUMIF(Capacity_Resource,$F73,'Critical resources (hide)'!BP$6:BP$105)&gt;0,$E$1=2),0,1),0)</f>
        <v>1</v>
      </c>
      <c r="BD73" s="67">
        <f ca="1">IF(LOWER(Capacity!$L85)="x",IF(AND(SUMIF(Capacity_Resource,$D73,'Critical resources (hide)'!BQ$6:BQ$105)+SUMIF(Capacity_Resource,$E73,'Critical resources (hide)'!BQ$6:BQ$105)+SUMIF(Capacity_Resource,$F73,'Critical resources (hide)'!BQ$6:BQ$105)&gt;0,$E$1=2),0,1),0)</f>
        <v>1</v>
      </c>
      <c r="BE73" s="67">
        <f ca="1">IF(LOWER(Capacity!$L85)="x",IF(AND(SUMIF(Capacity_Resource,$D73,'Critical resources (hide)'!BR$6:BR$105)+SUMIF(Capacity_Resource,$E73,'Critical resources (hide)'!BR$6:BR$105)+SUMIF(Capacity_Resource,$F73,'Critical resources (hide)'!BR$6:BR$105)&gt;0,$E$1=2),0,1),0)</f>
        <v>1</v>
      </c>
      <c r="BF73" s="67">
        <f ca="1">IF(LOWER(Capacity!$L85)="x",IF(AND(SUMIF(Capacity_Resource,$D73,'Critical resources (hide)'!BS$6:BS$105)+SUMIF(Capacity_Resource,$E73,'Critical resources (hide)'!BS$6:BS$105)+SUMIF(Capacity_Resource,$F73,'Critical resources (hide)'!BS$6:BS$105)&gt;0,$E$1=2),0,1),0)</f>
        <v>1</v>
      </c>
      <c r="BG73" s="67">
        <f ca="1">IF(LOWER(Capacity!$L85)="x",IF(AND(SUMIF(Capacity_Resource,$D73,'Critical resources (hide)'!BT$6:BT$105)+SUMIF(Capacity_Resource,$E73,'Critical resources (hide)'!BT$6:BT$105)+SUMIF(Capacity_Resource,$F73,'Critical resources (hide)'!BT$6:BT$105)&gt;0,$E$1=2),0,1),0)</f>
        <v>1</v>
      </c>
      <c r="BH73" s="67">
        <f>IF(ROW(C69)&lt;=Capacity!$A$16,IF('Capacity summary'!$D$14="No",SUM(H73:BG73),'Capacity summary'!$E192),0)</f>
        <v>0</v>
      </c>
      <c r="BI73" s="5" t="str">
        <f>IF(BH73&gt;0,IF(BH73&lt;Capacity!E85,Capacity!F85,Capacity!H85/'Capacity calculation (hide)'!BH73),"")</f>
        <v/>
      </c>
      <c r="BK73" s="311">
        <f>IF($BI73&lt;&gt;"",IF('Capacity summary'!$D$14="Yes",IF(COUNTBLANK('Capacity summary'!$H192:$BG192)&lt;52,IF('Capacity summary'!H192&lt;&gt;"",IF(LOWER('Capacity summary'!H192)="x",$BI73*H73,VALUE('Capacity summary'!H192)),0),H73*$BI73),H73*$BI73),0)</f>
        <v>0</v>
      </c>
      <c r="BL73" s="311">
        <f>IF($BI73&lt;&gt;"",IF('Capacity summary'!$D$14="Yes",IF(COUNTBLANK('Capacity summary'!$H192:$BG192)&lt;52,IF('Capacity summary'!I192&lt;&gt;"",IF(LOWER('Capacity summary'!I192)="x",$BI73*I73,VALUE('Capacity summary'!I192)),0),I73*$BI73),I73*$BI73),0)</f>
        <v>0</v>
      </c>
      <c r="BM73" s="311">
        <f>IF($BI73&lt;&gt;"",IF('Capacity summary'!$D$14="Yes",IF(COUNTBLANK('Capacity summary'!$H192:$BG192)&lt;52,IF('Capacity summary'!J192&lt;&gt;"",IF(LOWER('Capacity summary'!J192)="x",$BI73*J73,VALUE('Capacity summary'!J192)),0),J73*$BI73),J73*$BI73),0)</f>
        <v>0</v>
      </c>
      <c r="BN73" s="311">
        <f>IF($BI73&lt;&gt;"",IF('Capacity summary'!$D$14="Yes",IF(COUNTBLANK('Capacity summary'!$H192:$BG192)&lt;52,IF('Capacity summary'!K192&lt;&gt;"",IF(LOWER('Capacity summary'!K192)="x",$BI73*K73,VALUE('Capacity summary'!K192)),0),K73*$BI73),K73*$BI73),0)</f>
        <v>0</v>
      </c>
      <c r="BO73" s="311">
        <f>IF($BI73&lt;&gt;"",IF('Capacity summary'!$D$14="Yes",IF(COUNTBLANK('Capacity summary'!$H192:$BG192)&lt;52,IF('Capacity summary'!L192&lt;&gt;"",IF(LOWER('Capacity summary'!L192)="x",$BI73*L73,VALUE('Capacity summary'!L192)),0),L73*$BI73),L73*$BI73),0)</f>
        <v>0</v>
      </c>
      <c r="BP73" s="311">
        <f>IF($BI73&lt;&gt;"",IF('Capacity summary'!$D$14="Yes",IF(COUNTBLANK('Capacity summary'!$H192:$BG192)&lt;52,IF('Capacity summary'!M192&lt;&gt;"",IF(LOWER('Capacity summary'!M192)="x",$BI73*M73,VALUE('Capacity summary'!M192)),0),M73*$BI73),M73*$BI73),0)</f>
        <v>0</v>
      </c>
      <c r="BQ73" s="311">
        <f>IF($BI73&lt;&gt;"",IF('Capacity summary'!$D$14="Yes",IF(COUNTBLANK('Capacity summary'!$H192:$BG192)&lt;52,IF('Capacity summary'!N192&lt;&gt;"",IF(LOWER('Capacity summary'!N192)="x",$BI73*N73,VALUE('Capacity summary'!N192)),0),N73*$BI73),N73*$BI73),0)</f>
        <v>0</v>
      </c>
      <c r="BR73" s="311">
        <f>IF($BI73&lt;&gt;"",IF('Capacity summary'!$D$14="Yes",IF(COUNTBLANK('Capacity summary'!$H192:$BG192)&lt;52,IF('Capacity summary'!O192&lt;&gt;"",IF(LOWER('Capacity summary'!O192)="x",$BI73*O73,VALUE('Capacity summary'!O192)),0),O73*$BI73),O73*$BI73),0)</f>
        <v>0</v>
      </c>
      <c r="BS73" s="311">
        <f>IF($BI73&lt;&gt;"",IF('Capacity summary'!$D$14="Yes",IF(COUNTBLANK('Capacity summary'!$H192:$BG192)&lt;52,IF('Capacity summary'!P192&lt;&gt;"",IF(LOWER('Capacity summary'!P192)="x",$BI73*P73,VALUE('Capacity summary'!P192)),0),P73*$BI73),P73*$BI73),0)</f>
        <v>0</v>
      </c>
      <c r="BT73" s="311">
        <f>IF($BI73&lt;&gt;"",IF('Capacity summary'!$D$14="Yes",IF(COUNTBLANK('Capacity summary'!$H192:$BG192)&lt;52,IF('Capacity summary'!Q192&lt;&gt;"",IF(LOWER('Capacity summary'!Q192)="x",$BI73*Q73,VALUE('Capacity summary'!Q192)),0),Q73*$BI73),Q73*$BI73),0)</f>
        <v>0</v>
      </c>
      <c r="BU73" s="311">
        <f>IF($BI73&lt;&gt;"",IF('Capacity summary'!$D$14="Yes",IF(COUNTBLANK('Capacity summary'!$H192:$BG192)&lt;52,IF('Capacity summary'!R192&lt;&gt;"",IF(LOWER('Capacity summary'!R192)="x",$BI73*R73,VALUE('Capacity summary'!R192)),0),R73*$BI73),R73*$BI73),0)</f>
        <v>0</v>
      </c>
      <c r="BV73" s="311">
        <f>IF($BI73&lt;&gt;"",IF('Capacity summary'!$D$14="Yes",IF(COUNTBLANK('Capacity summary'!$H192:$BG192)&lt;52,IF('Capacity summary'!S192&lt;&gt;"",IF(LOWER('Capacity summary'!S192)="x",$BI73*S73,VALUE('Capacity summary'!S192)),0),S73*$BI73),S73*$BI73),0)</f>
        <v>0</v>
      </c>
      <c r="BW73" s="311">
        <f>IF($BI73&lt;&gt;"",IF('Capacity summary'!$D$14="Yes",IF(COUNTBLANK('Capacity summary'!$H192:$BG192)&lt;52,IF('Capacity summary'!T192&lt;&gt;"",IF(LOWER('Capacity summary'!T192)="x",$BI73*T73,VALUE('Capacity summary'!T192)),0),T73*$BI73),T73*$BI73),0)</f>
        <v>0</v>
      </c>
      <c r="BX73" s="311">
        <f>IF($BI73&lt;&gt;"",IF('Capacity summary'!$D$14="Yes",IF(COUNTBLANK('Capacity summary'!$H192:$BG192)&lt;52,IF('Capacity summary'!U192&lt;&gt;"",IF(LOWER('Capacity summary'!U192)="x",$BI73*U73,VALUE('Capacity summary'!U192)),0),U73*$BI73),U73*$BI73),0)</f>
        <v>0</v>
      </c>
      <c r="BY73" s="311">
        <f>IF($BI73&lt;&gt;"",IF('Capacity summary'!$D$14="Yes",IF(COUNTBLANK('Capacity summary'!$H192:$BG192)&lt;52,IF('Capacity summary'!V192&lt;&gt;"",IF(LOWER('Capacity summary'!V192)="x",$BI73*V73,VALUE('Capacity summary'!V192)),0),V73*$BI73),V73*$BI73),0)</f>
        <v>0</v>
      </c>
      <c r="BZ73" s="311">
        <f>IF($BI73&lt;&gt;"",IF('Capacity summary'!$D$14="Yes",IF(COUNTBLANK('Capacity summary'!$H192:$BG192)&lt;52,IF('Capacity summary'!W192&lt;&gt;"",IF(LOWER('Capacity summary'!W192)="x",$BI73*W73,VALUE('Capacity summary'!W192)),0),W73*$BI73),W73*$BI73),0)</f>
        <v>0</v>
      </c>
      <c r="CA73" s="311">
        <f>IF($BI73&lt;&gt;"",IF('Capacity summary'!$D$14="Yes",IF(COUNTBLANK('Capacity summary'!$H192:$BG192)&lt;52,IF('Capacity summary'!X192&lt;&gt;"",IF(LOWER('Capacity summary'!X192)="x",$BI73*X73,VALUE('Capacity summary'!X192)),0),X73*$BI73),X73*$BI73),0)</f>
        <v>0</v>
      </c>
      <c r="CB73" s="311">
        <f>IF($BI73&lt;&gt;"",IF('Capacity summary'!$D$14="Yes",IF(COUNTBLANK('Capacity summary'!$H192:$BG192)&lt;52,IF('Capacity summary'!Y192&lt;&gt;"",IF(LOWER('Capacity summary'!Y192)="x",$BI73*Y73,VALUE('Capacity summary'!Y192)),0),Y73*$BI73),Y73*$BI73),0)</f>
        <v>0</v>
      </c>
      <c r="CC73" s="311">
        <f>IF($BI73&lt;&gt;"",IF('Capacity summary'!$D$14="Yes",IF(COUNTBLANK('Capacity summary'!$H192:$BG192)&lt;52,IF('Capacity summary'!Z192&lt;&gt;"",IF(LOWER('Capacity summary'!Z192)="x",$BI73*Z73,VALUE('Capacity summary'!Z192)),0),Z73*$BI73),Z73*$BI73),0)</f>
        <v>0</v>
      </c>
      <c r="CD73" s="311">
        <f>IF($BI73&lt;&gt;"",IF('Capacity summary'!$D$14="Yes",IF(COUNTBLANK('Capacity summary'!$H192:$BG192)&lt;52,IF('Capacity summary'!AA192&lt;&gt;"",IF(LOWER('Capacity summary'!AA192)="x",$BI73*AA73,VALUE('Capacity summary'!AA192)),0),AA73*$BI73),AA73*$BI73),0)</f>
        <v>0</v>
      </c>
      <c r="CE73" s="311">
        <f>IF($BI73&lt;&gt;"",IF('Capacity summary'!$D$14="Yes",IF(COUNTBLANK('Capacity summary'!$H192:$BG192)&lt;52,IF('Capacity summary'!AB192&lt;&gt;"",IF(LOWER('Capacity summary'!AB192)="x",$BI73*AB73,VALUE('Capacity summary'!AB192)),0),AB73*$BI73),AB73*$BI73),0)</f>
        <v>0</v>
      </c>
      <c r="CF73" s="311">
        <f>IF($BI73&lt;&gt;"",IF('Capacity summary'!$D$14="Yes",IF(COUNTBLANK('Capacity summary'!$H192:$BG192)&lt;52,IF('Capacity summary'!AC192&lt;&gt;"",IF(LOWER('Capacity summary'!AC192)="x",$BI73*AC73,VALUE('Capacity summary'!AC192)),0),AC73*$BI73),AC73*$BI73),0)</f>
        <v>0</v>
      </c>
      <c r="CG73" s="311">
        <f>IF($BI73&lt;&gt;"",IF('Capacity summary'!$D$14="Yes",IF(COUNTBLANK('Capacity summary'!$H192:$BG192)&lt;52,IF('Capacity summary'!AD192&lt;&gt;"",IF(LOWER('Capacity summary'!AD192)="x",$BI73*AD73,VALUE('Capacity summary'!AD192)),0),AD73*$BI73),AD73*$BI73),0)</f>
        <v>0</v>
      </c>
      <c r="CH73" s="311">
        <f>IF($BI73&lt;&gt;"",IF('Capacity summary'!$D$14="Yes",IF(COUNTBLANK('Capacity summary'!$H192:$BG192)&lt;52,IF('Capacity summary'!AE192&lt;&gt;"",IF(LOWER('Capacity summary'!AE192)="x",$BI73*AE73,VALUE('Capacity summary'!AE192)),0),AE73*$BI73),AE73*$BI73),0)</f>
        <v>0</v>
      </c>
      <c r="CI73" s="311">
        <f>IF($BI73&lt;&gt;"",IF('Capacity summary'!$D$14="Yes",IF(COUNTBLANK('Capacity summary'!$H192:$BG192)&lt;52,IF('Capacity summary'!AF192&lt;&gt;"",IF(LOWER('Capacity summary'!AF192)="x",$BI73*AF73,VALUE('Capacity summary'!AF192)),0),AF73*$BI73),AF73*$BI73),0)</f>
        <v>0</v>
      </c>
      <c r="CJ73" s="311">
        <f>IF($BI73&lt;&gt;"",IF('Capacity summary'!$D$14="Yes",IF(COUNTBLANK('Capacity summary'!$H192:$BG192)&lt;52,IF('Capacity summary'!AG192&lt;&gt;"",IF(LOWER('Capacity summary'!AG192)="x",$BI73*AG73,VALUE('Capacity summary'!AG192)),0),AG73*$BI73),AG73*$BI73),0)</f>
        <v>0</v>
      </c>
      <c r="CK73" s="311">
        <f>IF($BI73&lt;&gt;"",IF('Capacity summary'!$D$14="Yes",IF(COUNTBLANK('Capacity summary'!$H192:$BG192)&lt;52,IF('Capacity summary'!AH192&lt;&gt;"",IF(LOWER('Capacity summary'!AH192)="x",$BI73*AH73,VALUE('Capacity summary'!AH192)),0),AH73*$BI73),AH73*$BI73),0)</f>
        <v>0</v>
      </c>
      <c r="CL73" s="311">
        <f>IF($BI73&lt;&gt;"",IF('Capacity summary'!$D$14="Yes",IF(COUNTBLANK('Capacity summary'!$H192:$BG192)&lt;52,IF('Capacity summary'!AI192&lt;&gt;"",IF(LOWER('Capacity summary'!AI192)="x",$BI73*AI73,VALUE('Capacity summary'!AI192)),0),AI73*$BI73),AI73*$BI73),0)</f>
        <v>0</v>
      </c>
      <c r="CM73" s="311">
        <f>IF($BI73&lt;&gt;"",IF('Capacity summary'!$D$14="Yes",IF(COUNTBLANK('Capacity summary'!$H192:$BG192)&lt;52,IF('Capacity summary'!AJ192&lt;&gt;"",IF(LOWER('Capacity summary'!AJ192)="x",$BI73*AJ73,VALUE('Capacity summary'!AJ192)),0),AJ73*$BI73),AJ73*$BI73),0)</f>
        <v>0</v>
      </c>
      <c r="CN73" s="311">
        <f>IF($BI73&lt;&gt;"",IF('Capacity summary'!$D$14="Yes",IF(COUNTBLANK('Capacity summary'!$H192:$BG192)&lt;52,IF('Capacity summary'!AK192&lt;&gt;"",IF(LOWER('Capacity summary'!AK192)="x",$BI73*AK73,VALUE('Capacity summary'!AK192)),0),AK73*$BI73),AK73*$BI73),0)</f>
        <v>0</v>
      </c>
      <c r="CO73" s="311">
        <f>IF($BI73&lt;&gt;"",IF('Capacity summary'!$D$14="Yes",IF(COUNTBLANK('Capacity summary'!$H192:$BG192)&lt;52,IF('Capacity summary'!AL192&lt;&gt;"",IF(LOWER('Capacity summary'!AL192)="x",$BI73*AL73,VALUE('Capacity summary'!AL192)),0),AL73*$BI73),AL73*$BI73),0)</f>
        <v>0</v>
      </c>
      <c r="CP73" s="311">
        <f>IF($BI73&lt;&gt;"",IF('Capacity summary'!$D$14="Yes",IF(COUNTBLANK('Capacity summary'!$H192:$BG192)&lt;52,IF('Capacity summary'!AM192&lt;&gt;"",IF(LOWER('Capacity summary'!AM192)="x",$BI73*AM73,VALUE('Capacity summary'!AM192)),0),AM73*$BI73),AM73*$BI73),0)</f>
        <v>0</v>
      </c>
      <c r="CQ73" s="311">
        <f>IF($BI73&lt;&gt;"",IF('Capacity summary'!$D$14="Yes",IF(COUNTBLANK('Capacity summary'!$H192:$BG192)&lt;52,IF('Capacity summary'!AN192&lt;&gt;"",IF(LOWER('Capacity summary'!AN192)="x",$BI73*AN73,VALUE('Capacity summary'!AN192)),0),AN73*$BI73),AN73*$BI73),0)</f>
        <v>0</v>
      </c>
      <c r="CR73" s="311">
        <f>IF($BI73&lt;&gt;"",IF('Capacity summary'!$D$14="Yes",IF(COUNTBLANK('Capacity summary'!$H192:$BG192)&lt;52,IF('Capacity summary'!AO192&lt;&gt;"",IF(LOWER('Capacity summary'!AO192)="x",$BI73*AO73,VALUE('Capacity summary'!AO192)),0),AO73*$BI73),AO73*$BI73),0)</f>
        <v>0</v>
      </c>
      <c r="CS73" s="311">
        <f>IF($BI73&lt;&gt;"",IF('Capacity summary'!$D$14="Yes",IF(COUNTBLANK('Capacity summary'!$H192:$BG192)&lt;52,IF('Capacity summary'!AP192&lt;&gt;"",IF(LOWER('Capacity summary'!AP192)="x",$BI73*AP73,VALUE('Capacity summary'!AP192)),0),AP73*$BI73),AP73*$BI73),0)</f>
        <v>0</v>
      </c>
      <c r="CT73" s="311">
        <f>IF($BI73&lt;&gt;"",IF('Capacity summary'!$D$14="Yes",IF(COUNTBLANK('Capacity summary'!$H192:$BG192)&lt;52,IF('Capacity summary'!AQ192&lt;&gt;"",IF(LOWER('Capacity summary'!AQ192)="x",$BI73*AQ73,VALUE('Capacity summary'!AQ192)),0),AQ73*$BI73),AQ73*$BI73),0)</f>
        <v>0</v>
      </c>
      <c r="CU73" s="311">
        <f>IF($BI73&lt;&gt;"",IF('Capacity summary'!$D$14="Yes",IF(COUNTBLANK('Capacity summary'!$H192:$BG192)&lt;52,IF('Capacity summary'!AR192&lt;&gt;"",IF(LOWER('Capacity summary'!AR192)="x",$BI73*AR73,VALUE('Capacity summary'!AR192)),0),AR73*$BI73),AR73*$BI73),0)</f>
        <v>0</v>
      </c>
      <c r="CV73" s="311">
        <f>IF($BI73&lt;&gt;"",IF('Capacity summary'!$D$14="Yes",IF(COUNTBLANK('Capacity summary'!$H192:$BG192)&lt;52,IF('Capacity summary'!AS192&lt;&gt;"",IF(LOWER('Capacity summary'!AS192)="x",$BI73*AS73,VALUE('Capacity summary'!AS192)),0),AS73*$BI73),AS73*$BI73),0)</f>
        <v>0</v>
      </c>
      <c r="CW73" s="311">
        <f>IF($BI73&lt;&gt;"",IF('Capacity summary'!$D$14="Yes",IF(COUNTBLANK('Capacity summary'!$H192:$BG192)&lt;52,IF('Capacity summary'!AT192&lt;&gt;"",IF(LOWER('Capacity summary'!AT192)="x",$BI73*AT73,VALUE('Capacity summary'!AT192)),0),AT73*$BI73),AT73*$BI73),0)</f>
        <v>0</v>
      </c>
      <c r="CX73" s="311">
        <f>IF($BI73&lt;&gt;"",IF('Capacity summary'!$D$14="Yes",IF(COUNTBLANK('Capacity summary'!$H192:$BG192)&lt;52,IF('Capacity summary'!AU192&lt;&gt;"",IF(LOWER('Capacity summary'!AU192)="x",$BI73*AU73,VALUE('Capacity summary'!AU192)),0),AU73*$BI73),AU73*$BI73),0)</f>
        <v>0</v>
      </c>
      <c r="CY73" s="311">
        <f>IF($BI73&lt;&gt;"",IF('Capacity summary'!$D$14="Yes",IF(COUNTBLANK('Capacity summary'!$H192:$BG192)&lt;52,IF('Capacity summary'!AV192&lt;&gt;"",IF(LOWER('Capacity summary'!AV192)="x",$BI73*AV73,VALUE('Capacity summary'!AV192)),0),AV73*$BI73),AV73*$BI73),0)</f>
        <v>0</v>
      </c>
      <c r="CZ73" s="311">
        <f>IF($BI73&lt;&gt;"",IF('Capacity summary'!$D$14="Yes",IF(COUNTBLANK('Capacity summary'!$H192:$BG192)&lt;52,IF('Capacity summary'!AW192&lt;&gt;"",IF(LOWER('Capacity summary'!AW192)="x",$BI73*AW73,VALUE('Capacity summary'!AW192)),0),AW73*$BI73),AW73*$BI73),0)</f>
        <v>0</v>
      </c>
      <c r="DA73" s="311">
        <f>IF($BI73&lt;&gt;"",IF('Capacity summary'!$D$14="Yes",IF(COUNTBLANK('Capacity summary'!$H192:$BG192)&lt;52,IF('Capacity summary'!AX192&lt;&gt;"",IF(LOWER('Capacity summary'!AX192)="x",$BI73*AX73,VALUE('Capacity summary'!AX192)),0),AX73*$BI73),AX73*$BI73),0)</f>
        <v>0</v>
      </c>
      <c r="DB73" s="311">
        <f>IF($BI73&lt;&gt;"",IF('Capacity summary'!$D$14="Yes",IF(COUNTBLANK('Capacity summary'!$H192:$BG192)&lt;52,IF('Capacity summary'!AY192&lt;&gt;"",IF(LOWER('Capacity summary'!AY192)="x",$BI73*AY73,VALUE('Capacity summary'!AY192)),0),AY73*$BI73),AY73*$BI73),0)</f>
        <v>0</v>
      </c>
      <c r="DC73" s="311">
        <f>IF($BI73&lt;&gt;"",IF('Capacity summary'!$D$14="Yes",IF(COUNTBLANK('Capacity summary'!$H192:$BG192)&lt;52,IF('Capacity summary'!AZ192&lt;&gt;"",IF(LOWER('Capacity summary'!AZ192)="x",$BI73*AZ73,VALUE('Capacity summary'!AZ192)),0),AZ73*$BI73),AZ73*$BI73),0)</f>
        <v>0</v>
      </c>
      <c r="DD73" s="311">
        <f>IF($BI73&lt;&gt;"",IF('Capacity summary'!$D$14="Yes",IF(COUNTBLANK('Capacity summary'!$H192:$BG192)&lt;52,IF('Capacity summary'!BA192&lt;&gt;"",IF(LOWER('Capacity summary'!BA192)="x",$BI73*BA73,VALUE('Capacity summary'!BA192)),0),BA73*$BI73),BA73*$BI73),0)</f>
        <v>0</v>
      </c>
      <c r="DE73" s="311">
        <f>IF($BI73&lt;&gt;"",IF('Capacity summary'!$D$14="Yes",IF(COUNTBLANK('Capacity summary'!$H192:$BG192)&lt;52,IF('Capacity summary'!BB192&lt;&gt;"",IF(LOWER('Capacity summary'!BB192)="x",$BI73*BB73,VALUE('Capacity summary'!BB192)),0),BB73*$BI73),BB73*$BI73),0)</f>
        <v>0</v>
      </c>
      <c r="DF73" s="311">
        <f>IF($BI73&lt;&gt;"",IF('Capacity summary'!$D$14="Yes",IF(COUNTBLANK('Capacity summary'!$H192:$BG192)&lt;52,IF('Capacity summary'!BC192&lt;&gt;"",IF(LOWER('Capacity summary'!BC192)="x",$BI73*BC73,VALUE('Capacity summary'!BC192)),0),BC73*$BI73),BC73*$BI73),0)</f>
        <v>0</v>
      </c>
      <c r="DG73" s="311">
        <f>IF($BI73&lt;&gt;"",IF('Capacity summary'!$D$14="Yes",IF(COUNTBLANK('Capacity summary'!$H192:$BG192)&lt;52,IF('Capacity summary'!BD192&lt;&gt;"",IF(LOWER('Capacity summary'!BD192)="x",$BI73*BD73,VALUE('Capacity summary'!BD192)),0),BD73*$BI73),BD73*$BI73),0)</f>
        <v>0</v>
      </c>
      <c r="DH73" s="311">
        <f>IF($BI73&lt;&gt;"",IF('Capacity summary'!$D$14="Yes",IF(COUNTBLANK('Capacity summary'!$H192:$BG192)&lt;52,IF('Capacity summary'!BE192&lt;&gt;"",IF(LOWER('Capacity summary'!BE192)="x",$BI73*BE73,VALUE('Capacity summary'!BE192)),0),BE73*$BI73),BE73*$BI73),0)</f>
        <v>0</v>
      </c>
      <c r="DI73" s="311">
        <f>IF($BI73&lt;&gt;"",IF('Capacity summary'!$D$14="Yes",IF(COUNTBLANK('Capacity summary'!$H192:$BG192)&lt;52,IF('Capacity summary'!BF192&lt;&gt;"",IF(LOWER('Capacity summary'!BF192)="x",$BI73*BF73,VALUE('Capacity summary'!BF192)),0),BF73*$BI73),BF73*$BI73),0)</f>
        <v>0</v>
      </c>
      <c r="DJ73" s="311">
        <f>IF($BI73&lt;&gt;"",IF('Capacity summary'!$D$14="Yes",IF(COUNTBLANK('Capacity summary'!$H192:$BG192)&lt;52,IF('Capacity summary'!BG192&lt;&gt;"",IF(LOWER('Capacity summary'!BG192)="x",$BI73*BG73,VALUE('Capacity summary'!BG192)),0),BG73*$BI73),BG73*$BI73),0)</f>
        <v>0</v>
      </c>
      <c r="DK73" s="391">
        <f t="shared" si="4"/>
        <v>0</v>
      </c>
      <c r="DL73" s="136">
        <f t="shared" si="5"/>
        <v>0</v>
      </c>
      <c r="DM73" s="311" t="str">
        <f>Capacity!H85</f>
        <v/>
      </c>
    </row>
    <row r="74" spans="1:117" x14ac:dyDescent="0.2">
      <c r="A74" s="67">
        <f>IF(Capacity!L86='Capacity summary'!BI193,1,0)</f>
        <v>1</v>
      </c>
      <c r="B74" s="67">
        <f>IF(Capacity!V86='Capacity summary'!BI93,1,0)</f>
        <v>1</v>
      </c>
      <c r="C74" s="67" t="str">
        <f>ROW(A70)&amp;". "&amp;Capacity!B86</f>
        <v xml:space="preserve">70. </v>
      </c>
      <c r="D74" s="67">
        <f>'Capacity setup'!C81</f>
        <v>0</v>
      </c>
      <c r="E74" s="67">
        <f>'Capacity setup'!D81</f>
        <v>0</v>
      </c>
      <c r="F74" s="67">
        <f>'Capacity setup'!E81</f>
        <v>0</v>
      </c>
      <c r="H74" s="67">
        <f ca="1">IF(LOWER(Capacity!$L86)="x",IF(AND(SUMIF(Capacity_Resource,$D74,'Critical resources (hide)'!U$6:U$105)+SUMIF(Capacity_Resource,$E74,'Critical resources (hide)'!U$6:U$105)+SUMIF(Capacity_Resource,$F74,'Critical resources (hide)'!U$6:U$105)&gt;0,$E$1=2),0,1),0)</f>
        <v>1</v>
      </c>
      <c r="I74" s="67">
        <f ca="1">IF(LOWER(Capacity!$L86)="x",IF(AND(SUMIF(Capacity_Resource,$D74,'Critical resources (hide)'!V$6:V$105)+SUMIF(Capacity_Resource,$E74,'Critical resources (hide)'!V$6:V$105)+SUMIF(Capacity_Resource,$F74,'Critical resources (hide)'!V$6:V$105)&gt;0,$E$1=2),0,1),0)</f>
        <v>1</v>
      </c>
      <c r="J74" s="67">
        <f ca="1">IF(LOWER(Capacity!$L86)="x",IF(AND(SUMIF(Capacity_Resource,$D74,'Critical resources (hide)'!W$6:W$105)+SUMIF(Capacity_Resource,$E74,'Critical resources (hide)'!W$6:W$105)+SUMIF(Capacity_Resource,$F74,'Critical resources (hide)'!W$6:W$105)&gt;0,$E$1=2),0,1),0)</f>
        <v>1</v>
      </c>
      <c r="K74" s="67">
        <f ca="1">IF(LOWER(Capacity!$L86)="x",IF(AND(SUMIF(Capacity_Resource,$D74,'Critical resources (hide)'!X$6:X$105)+SUMIF(Capacity_Resource,$E74,'Critical resources (hide)'!X$6:X$105)+SUMIF(Capacity_Resource,$F74,'Critical resources (hide)'!X$6:X$105)&gt;0,$E$1=2),0,1),0)</f>
        <v>1</v>
      </c>
      <c r="L74" s="67">
        <f ca="1">IF(LOWER(Capacity!$L86)="x",IF(AND(SUMIF(Capacity_Resource,$D74,'Critical resources (hide)'!Y$6:Y$105)+SUMIF(Capacity_Resource,$E74,'Critical resources (hide)'!Y$6:Y$105)+SUMIF(Capacity_Resource,$F74,'Critical resources (hide)'!Y$6:Y$105)&gt;0,$E$1=2),0,1),0)</f>
        <v>1</v>
      </c>
      <c r="M74" s="67">
        <f ca="1">IF(LOWER(Capacity!$L86)="x",IF(AND(SUMIF(Capacity_Resource,$D74,'Critical resources (hide)'!Z$6:Z$105)+SUMIF(Capacity_Resource,$E74,'Critical resources (hide)'!Z$6:Z$105)+SUMIF(Capacity_Resource,$F74,'Critical resources (hide)'!Z$6:Z$105)&gt;0,$E$1=2),0,1),0)</f>
        <v>1</v>
      </c>
      <c r="N74" s="67">
        <f ca="1">IF(LOWER(Capacity!$L86)="x",IF(AND(SUMIF(Capacity_Resource,$D74,'Critical resources (hide)'!AA$6:AA$105)+SUMIF(Capacity_Resource,$E74,'Critical resources (hide)'!AA$6:AA$105)+SUMIF(Capacity_Resource,$F74,'Critical resources (hide)'!AA$6:AA$105)&gt;0,$E$1=2),0,1),0)</f>
        <v>1</v>
      </c>
      <c r="O74" s="67">
        <f ca="1">IF(LOWER(Capacity!$L86)="x",IF(AND(SUMIF(Capacity_Resource,$D74,'Critical resources (hide)'!AB$6:AB$105)+SUMIF(Capacity_Resource,$E74,'Critical resources (hide)'!AB$6:AB$105)+SUMIF(Capacity_Resource,$F74,'Critical resources (hide)'!AB$6:AB$105)&gt;0,$E$1=2),0,1),0)</f>
        <v>1</v>
      </c>
      <c r="P74" s="67">
        <f ca="1">IF(LOWER(Capacity!$L86)="x",IF(AND(SUMIF(Capacity_Resource,$D74,'Critical resources (hide)'!AC$6:AC$105)+SUMIF(Capacity_Resource,$E74,'Critical resources (hide)'!AC$6:AC$105)+SUMIF(Capacity_Resource,$F74,'Critical resources (hide)'!AC$6:AC$105)&gt;0,$E$1=2),0,1),0)</f>
        <v>1</v>
      </c>
      <c r="Q74" s="67">
        <f ca="1">IF(LOWER(Capacity!$L86)="x",IF(AND(SUMIF(Capacity_Resource,$D74,'Critical resources (hide)'!AD$6:AD$105)+SUMIF(Capacity_Resource,$E74,'Critical resources (hide)'!AD$6:AD$105)+SUMIF(Capacity_Resource,$F74,'Critical resources (hide)'!AD$6:AD$105)&gt;0,$E$1=2),0,1),0)</f>
        <v>1</v>
      </c>
      <c r="R74" s="67">
        <f ca="1">IF(LOWER(Capacity!$L86)="x",IF(AND(SUMIF(Capacity_Resource,$D74,'Critical resources (hide)'!AE$6:AE$105)+SUMIF(Capacity_Resource,$E74,'Critical resources (hide)'!AE$6:AE$105)+SUMIF(Capacity_Resource,$F74,'Critical resources (hide)'!AE$6:AE$105)&gt;0,$E$1=2),0,1),0)</f>
        <v>1</v>
      </c>
      <c r="S74" s="67">
        <f ca="1">IF(LOWER(Capacity!$L86)="x",IF(AND(SUMIF(Capacity_Resource,$D74,'Critical resources (hide)'!AF$6:AF$105)+SUMIF(Capacity_Resource,$E74,'Critical resources (hide)'!AF$6:AF$105)+SUMIF(Capacity_Resource,$F74,'Critical resources (hide)'!AF$6:AF$105)&gt;0,$E$1=2),0,1),0)</f>
        <v>1</v>
      </c>
      <c r="T74" s="67">
        <f ca="1">IF(LOWER(Capacity!$L86)="x",IF(AND(SUMIF(Capacity_Resource,$D74,'Critical resources (hide)'!AG$6:AG$105)+SUMIF(Capacity_Resource,$E74,'Critical resources (hide)'!AG$6:AG$105)+SUMIF(Capacity_Resource,$F74,'Critical resources (hide)'!AG$6:AG$105)&gt;0,$E$1=2),0,1),0)</f>
        <v>1</v>
      </c>
      <c r="U74" s="67">
        <f ca="1">IF(LOWER(Capacity!$L86)="x",IF(AND(SUMIF(Capacity_Resource,$D74,'Critical resources (hide)'!AH$6:AH$105)+SUMIF(Capacity_Resource,$E74,'Critical resources (hide)'!AH$6:AH$105)+SUMIF(Capacity_Resource,$F74,'Critical resources (hide)'!AH$6:AH$105)&gt;0,$E$1=2),0,1),0)</f>
        <v>1</v>
      </c>
      <c r="V74" s="67">
        <f ca="1">IF(LOWER(Capacity!$L86)="x",IF(AND(SUMIF(Capacity_Resource,$D74,'Critical resources (hide)'!AI$6:AI$105)+SUMIF(Capacity_Resource,$E74,'Critical resources (hide)'!AI$6:AI$105)+SUMIF(Capacity_Resource,$F74,'Critical resources (hide)'!AI$6:AI$105)&gt;0,$E$1=2),0,1),0)</f>
        <v>1</v>
      </c>
      <c r="W74" s="67">
        <f ca="1">IF(LOWER(Capacity!$L86)="x",IF(AND(SUMIF(Capacity_Resource,$D74,'Critical resources (hide)'!AJ$6:AJ$105)+SUMIF(Capacity_Resource,$E74,'Critical resources (hide)'!AJ$6:AJ$105)+SUMIF(Capacity_Resource,$F74,'Critical resources (hide)'!AJ$6:AJ$105)&gt;0,$E$1=2),0,1),0)</f>
        <v>1</v>
      </c>
      <c r="X74" s="67">
        <f ca="1">IF(LOWER(Capacity!$L86)="x",IF(AND(SUMIF(Capacity_Resource,$D74,'Critical resources (hide)'!AK$6:AK$105)+SUMIF(Capacity_Resource,$E74,'Critical resources (hide)'!AK$6:AK$105)+SUMIF(Capacity_Resource,$F74,'Critical resources (hide)'!AK$6:AK$105)&gt;0,$E$1=2),0,1),0)</f>
        <v>1</v>
      </c>
      <c r="Y74" s="67">
        <f ca="1">IF(LOWER(Capacity!$L86)="x",IF(AND(SUMIF(Capacity_Resource,$D74,'Critical resources (hide)'!AL$6:AL$105)+SUMIF(Capacity_Resource,$E74,'Critical resources (hide)'!AL$6:AL$105)+SUMIF(Capacity_Resource,$F74,'Critical resources (hide)'!AL$6:AL$105)&gt;0,$E$1=2),0,1),0)</f>
        <v>1</v>
      </c>
      <c r="Z74" s="67">
        <f ca="1">IF(LOWER(Capacity!$L86)="x",IF(AND(SUMIF(Capacity_Resource,$D74,'Critical resources (hide)'!AM$6:AM$105)+SUMIF(Capacity_Resource,$E74,'Critical resources (hide)'!AM$6:AM$105)+SUMIF(Capacity_Resource,$F74,'Critical resources (hide)'!AM$6:AM$105)&gt;0,$E$1=2),0,1),0)</f>
        <v>1</v>
      </c>
      <c r="AA74" s="67">
        <f ca="1">IF(LOWER(Capacity!$L86)="x",IF(AND(SUMIF(Capacity_Resource,$D74,'Critical resources (hide)'!AN$6:AN$105)+SUMIF(Capacity_Resource,$E74,'Critical resources (hide)'!AN$6:AN$105)+SUMIF(Capacity_Resource,$F74,'Critical resources (hide)'!AN$6:AN$105)&gt;0,$E$1=2),0,1),0)</f>
        <v>1</v>
      </c>
      <c r="AB74" s="67">
        <f ca="1">IF(LOWER(Capacity!$L86)="x",IF(AND(SUMIF(Capacity_Resource,$D74,'Critical resources (hide)'!AO$6:AO$105)+SUMIF(Capacity_Resource,$E74,'Critical resources (hide)'!AO$6:AO$105)+SUMIF(Capacity_Resource,$F74,'Critical resources (hide)'!AO$6:AO$105)&gt;0,$E$1=2),0,1),0)</f>
        <v>1</v>
      </c>
      <c r="AC74" s="67">
        <f ca="1">IF(LOWER(Capacity!$L86)="x",IF(AND(SUMIF(Capacity_Resource,$D74,'Critical resources (hide)'!AP$6:AP$105)+SUMIF(Capacity_Resource,$E74,'Critical resources (hide)'!AP$6:AP$105)+SUMIF(Capacity_Resource,$F74,'Critical resources (hide)'!AP$6:AP$105)&gt;0,$E$1=2),0,1),0)</f>
        <v>1</v>
      </c>
      <c r="AD74" s="67">
        <f ca="1">IF(LOWER(Capacity!$L86)="x",IF(AND(SUMIF(Capacity_Resource,$D74,'Critical resources (hide)'!AQ$6:AQ$105)+SUMIF(Capacity_Resource,$E74,'Critical resources (hide)'!AQ$6:AQ$105)+SUMIF(Capacity_Resource,$F74,'Critical resources (hide)'!AQ$6:AQ$105)&gt;0,$E$1=2),0,1),0)</f>
        <v>1</v>
      </c>
      <c r="AE74" s="67">
        <f ca="1">IF(LOWER(Capacity!$L86)="x",IF(AND(SUMIF(Capacity_Resource,$D74,'Critical resources (hide)'!AR$6:AR$105)+SUMIF(Capacity_Resource,$E74,'Critical resources (hide)'!AR$6:AR$105)+SUMIF(Capacity_Resource,$F74,'Critical resources (hide)'!AR$6:AR$105)&gt;0,$E$1=2),0,1),0)</f>
        <v>1</v>
      </c>
      <c r="AF74" s="67">
        <f ca="1">IF(LOWER(Capacity!$L86)="x",IF(AND(SUMIF(Capacity_Resource,$D74,'Critical resources (hide)'!AS$6:AS$105)+SUMIF(Capacity_Resource,$E74,'Critical resources (hide)'!AS$6:AS$105)+SUMIF(Capacity_Resource,$F74,'Critical resources (hide)'!AS$6:AS$105)&gt;0,$E$1=2),0,1),0)</f>
        <v>1</v>
      </c>
      <c r="AG74" s="67">
        <f ca="1">IF(LOWER(Capacity!$L86)="x",IF(AND(SUMIF(Capacity_Resource,$D74,'Critical resources (hide)'!AT$6:AT$105)+SUMIF(Capacity_Resource,$E74,'Critical resources (hide)'!AT$6:AT$105)+SUMIF(Capacity_Resource,$F74,'Critical resources (hide)'!AT$6:AT$105)&gt;0,$E$1=2),0,1),0)</f>
        <v>1</v>
      </c>
      <c r="AH74" s="67">
        <f ca="1">IF(LOWER(Capacity!$L86)="x",IF(AND(SUMIF(Capacity_Resource,$D74,'Critical resources (hide)'!AU$6:AU$105)+SUMIF(Capacity_Resource,$E74,'Critical resources (hide)'!AU$6:AU$105)+SUMIF(Capacity_Resource,$F74,'Critical resources (hide)'!AU$6:AU$105)&gt;0,$E$1=2),0,1),0)</f>
        <v>1</v>
      </c>
      <c r="AI74" s="67">
        <f ca="1">IF(LOWER(Capacity!$L86)="x",IF(AND(SUMIF(Capacity_Resource,$D74,'Critical resources (hide)'!AV$6:AV$105)+SUMIF(Capacity_Resource,$E74,'Critical resources (hide)'!AV$6:AV$105)+SUMIF(Capacity_Resource,$F74,'Critical resources (hide)'!AV$6:AV$105)&gt;0,$E$1=2),0,1),0)</f>
        <v>1</v>
      </c>
      <c r="AJ74" s="67">
        <f ca="1">IF(LOWER(Capacity!$L86)="x",IF(AND(SUMIF(Capacity_Resource,$D74,'Critical resources (hide)'!AW$6:AW$105)+SUMIF(Capacity_Resource,$E74,'Critical resources (hide)'!AW$6:AW$105)+SUMIF(Capacity_Resource,$F74,'Critical resources (hide)'!AW$6:AW$105)&gt;0,$E$1=2),0,1),0)</f>
        <v>1</v>
      </c>
      <c r="AK74" s="67">
        <f ca="1">IF(LOWER(Capacity!$L86)="x",IF(AND(SUMIF(Capacity_Resource,$D74,'Critical resources (hide)'!AX$6:AX$105)+SUMIF(Capacity_Resource,$E74,'Critical resources (hide)'!AX$6:AX$105)+SUMIF(Capacity_Resource,$F74,'Critical resources (hide)'!AX$6:AX$105)&gt;0,$E$1=2),0,1),0)</f>
        <v>1</v>
      </c>
      <c r="AL74" s="67">
        <f ca="1">IF(LOWER(Capacity!$L86)="x",IF(AND(SUMIF(Capacity_Resource,$D74,'Critical resources (hide)'!AY$6:AY$105)+SUMIF(Capacity_Resource,$E74,'Critical resources (hide)'!AY$6:AY$105)+SUMIF(Capacity_Resource,$F74,'Critical resources (hide)'!AY$6:AY$105)&gt;0,$E$1=2),0,1),0)</f>
        <v>1</v>
      </c>
      <c r="AM74" s="67">
        <f ca="1">IF(LOWER(Capacity!$L86)="x",IF(AND(SUMIF(Capacity_Resource,$D74,'Critical resources (hide)'!AZ$6:AZ$105)+SUMIF(Capacity_Resource,$E74,'Critical resources (hide)'!AZ$6:AZ$105)+SUMIF(Capacity_Resource,$F74,'Critical resources (hide)'!AZ$6:AZ$105)&gt;0,$E$1=2),0,1),0)</f>
        <v>1</v>
      </c>
      <c r="AN74" s="67">
        <f ca="1">IF(LOWER(Capacity!$L86)="x",IF(AND(SUMIF(Capacity_Resource,$D74,'Critical resources (hide)'!BA$6:BA$105)+SUMIF(Capacity_Resource,$E74,'Critical resources (hide)'!BA$6:BA$105)+SUMIF(Capacity_Resource,$F74,'Critical resources (hide)'!BA$6:BA$105)&gt;0,$E$1=2),0,1),0)</f>
        <v>1</v>
      </c>
      <c r="AO74" s="67">
        <f ca="1">IF(LOWER(Capacity!$L86)="x",IF(AND(SUMIF(Capacity_Resource,$D74,'Critical resources (hide)'!BB$6:BB$105)+SUMIF(Capacity_Resource,$E74,'Critical resources (hide)'!BB$6:BB$105)+SUMIF(Capacity_Resource,$F74,'Critical resources (hide)'!BB$6:BB$105)&gt;0,$E$1=2),0,1),0)</f>
        <v>1</v>
      </c>
      <c r="AP74" s="67">
        <f ca="1">IF(LOWER(Capacity!$L86)="x",IF(AND(SUMIF(Capacity_Resource,$D74,'Critical resources (hide)'!BC$6:BC$105)+SUMIF(Capacity_Resource,$E74,'Critical resources (hide)'!BC$6:BC$105)+SUMIF(Capacity_Resource,$F74,'Critical resources (hide)'!BC$6:BC$105)&gt;0,$E$1=2),0,1),0)</f>
        <v>1</v>
      </c>
      <c r="AQ74" s="67">
        <f ca="1">IF(LOWER(Capacity!$L86)="x",IF(AND(SUMIF(Capacity_Resource,$D74,'Critical resources (hide)'!BD$6:BD$105)+SUMIF(Capacity_Resource,$E74,'Critical resources (hide)'!BD$6:BD$105)+SUMIF(Capacity_Resource,$F74,'Critical resources (hide)'!BD$6:BD$105)&gt;0,$E$1=2),0,1),0)</f>
        <v>1</v>
      </c>
      <c r="AR74" s="67">
        <f ca="1">IF(LOWER(Capacity!$L86)="x",IF(AND(SUMIF(Capacity_Resource,$D74,'Critical resources (hide)'!BE$6:BE$105)+SUMIF(Capacity_Resource,$E74,'Critical resources (hide)'!BE$6:BE$105)+SUMIF(Capacity_Resource,$F74,'Critical resources (hide)'!BE$6:BE$105)&gt;0,$E$1=2),0,1),0)</f>
        <v>1</v>
      </c>
      <c r="AS74" s="67">
        <f ca="1">IF(LOWER(Capacity!$L86)="x",IF(AND(SUMIF(Capacity_Resource,$D74,'Critical resources (hide)'!BF$6:BF$105)+SUMIF(Capacity_Resource,$E74,'Critical resources (hide)'!BF$6:BF$105)+SUMIF(Capacity_Resource,$F74,'Critical resources (hide)'!BF$6:BF$105)&gt;0,$E$1=2),0,1),0)</f>
        <v>1</v>
      </c>
      <c r="AT74" s="67">
        <f ca="1">IF(LOWER(Capacity!$L86)="x",IF(AND(SUMIF(Capacity_Resource,$D74,'Critical resources (hide)'!BG$6:BG$105)+SUMIF(Capacity_Resource,$E74,'Critical resources (hide)'!BG$6:BG$105)+SUMIF(Capacity_Resource,$F74,'Critical resources (hide)'!BG$6:BG$105)&gt;0,$E$1=2),0,1),0)</f>
        <v>1</v>
      </c>
      <c r="AU74" s="67">
        <f ca="1">IF(LOWER(Capacity!$L86)="x",IF(AND(SUMIF(Capacity_Resource,$D74,'Critical resources (hide)'!BH$6:BH$105)+SUMIF(Capacity_Resource,$E74,'Critical resources (hide)'!BH$6:BH$105)+SUMIF(Capacity_Resource,$F74,'Critical resources (hide)'!BH$6:BH$105)&gt;0,$E$1=2),0,1),0)</f>
        <v>1</v>
      </c>
      <c r="AV74" s="67">
        <f ca="1">IF(LOWER(Capacity!$L86)="x",IF(AND(SUMIF(Capacity_Resource,$D74,'Critical resources (hide)'!BI$6:BI$105)+SUMIF(Capacity_Resource,$E74,'Critical resources (hide)'!BI$6:BI$105)+SUMIF(Capacity_Resource,$F74,'Critical resources (hide)'!BI$6:BI$105)&gt;0,$E$1=2),0,1),0)</f>
        <v>1</v>
      </c>
      <c r="AW74" s="67">
        <f ca="1">IF(LOWER(Capacity!$L86)="x",IF(AND(SUMIF(Capacity_Resource,$D74,'Critical resources (hide)'!BJ$6:BJ$105)+SUMIF(Capacity_Resource,$E74,'Critical resources (hide)'!BJ$6:BJ$105)+SUMIF(Capacity_Resource,$F74,'Critical resources (hide)'!BJ$6:BJ$105)&gt;0,$E$1=2),0,1),0)</f>
        <v>1</v>
      </c>
      <c r="AX74" s="67">
        <f ca="1">IF(LOWER(Capacity!$L86)="x",IF(AND(SUMIF(Capacity_Resource,$D74,'Critical resources (hide)'!BK$6:BK$105)+SUMIF(Capacity_Resource,$E74,'Critical resources (hide)'!BK$6:BK$105)+SUMIF(Capacity_Resource,$F74,'Critical resources (hide)'!BK$6:BK$105)&gt;0,$E$1=2),0,1),0)</f>
        <v>1</v>
      </c>
      <c r="AY74" s="67">
        <f ca="1">IF(LOWER(Capacity!$L86)="x",IF(AND(SUMIF(Capacity_Resource,$D74,'Critical resources (hide)'!BL$6:BL$105)+SUMIF(Capacity_Resource,$E74,'Critical resources (hide)'!BL$6:BL$105)+SUMIF(Capacity_Resource,$F74,'Critical resources (hide)'!BL$6:BL$105)&gt;0,$E$1=2),0,1),0)</f>
        <v>1</v>
      </c>
      <c r="AZ74" s="67">
        <f ca="1">IF(LOWER(Capacity!$L86)="x",IF(AND(SUMIF(Capacity_Resource,$D74,'Critical resources (hide)'!BM$6:BM$105)+SUMIF(Capacity_Resource,$E74,'Critical resources (hide)'!BM$6:BM$105)+SUMIF(Capacity_Resource,$F74,'Critical resources (hide)'!BM$6:BM$105)&gt;0,$E$1=2),0,1),0)</f>
        <v>1</v>
      </c>
      <c r="BA74" s="67">
        <f ca="1">IF(LOWER(Capacity!$L86)="x",IF(AND(SUMIF(Capacity_Resource,$D74,'Critical resources (hide)'!BN$6:BN$105)+SUMIF(Capacity_Resource,$E74,'Critical resources (hide)'!BN$6:BN$105)+SUMIF(Capacity_Resource,$F74,'Critical resources (hide)'!BN$6:BN$105)&gt;0,$E$1=2),0,1),0)</f>
        <v>1</v>
      </c>
      <c r="BB74" s="67">
        <f ca="1">IF(LOWER(Capacity!$L86)="x",IF(AND(SUMIF(Capacity_Resource,$D74,'Critical resources (hide)'!BO$6:BO$105)+SUMIF(Capacity_Resource,$E74,'Critical resources (hide)'!BO$6:BO$105)+SUMIF(Capacity_Resource,$F74,'Critical resources (hide)'!BO$6:BO$105)&gt;0,$E$1=2),0,1),0)</f>
        <v>1</v>
      </c>
      <c r="BC74" s="67">
        <f ca="1">IF(LOWER(Capacity!$L86)="x",IF(AND(SUMIF(Capacity_Resource,$D74,'Critical resources (hide)'!BP$6:BP$105)+SUMIF(Capacity_Resource,$E74,'Critical resources (hide)'!BP$6:BP$105)+SUMIF(Capacity_Resource,$F74,'Critical resources (hide)'!BP$6:BP$105)&gt;0,$E$1=2),0,1),0)</f>
        <v>1</v>
      </c>
      <c r="BD74" s="67">
        <f ca="1">IF(LOWER(Capacity!$L86)="x",IF(AND(SUMIF(Capacity_Resource,$D74,'Critical resources (hide)'!BQ$6:BQ$105)+SUMIF(Capacity_Resource,$E74,'Critical resources (hide)'!BQ$6:BQ$105)+SUMIF(Capacity_Resource,$F74,'Critical resources (hide)'!BQ$6:BQ$105)&gt;0,$E$1=2),0,1),0)</f>
        <v>1</v>
      </c>
      <c r="BE74" s="67">
        <f ca="1">IF(LOWER(Capacity!$L86)="x",IF(AND(SUMIF(Capacity_Resource,$D74,'Critical resources (hide)'!BR$6:BR$105)+SUMIF(Capacity_Resource,$E74,'Critical resources (hide)'!BR$6:BR$105)+SUMIF(Capacity_Resource,$F74,'Critical resources (hide)'!BR$6:BR$105)&gt;0,$E$1=2),0,1),0)</f>
        <v>1</v>
      </c>
      <c r="BF74" s="67">
        <f ca="1">IF(LOWER(Capacity!$L86)="x",IF(AND(SUMIF(Capacity_Resource,$D74,'Critical resources (hide)'!BS$6:BS$105)+SUMIF(Capacity_Resource,$E74,'Critical resources (hide)'!BS$6:BS$105)+SUMIF(Capacity_Resource,$F74,'Critical resources (hide)'!BS$6:BS$105)&gt;0,$E$1=2),0,1),0)</f>
        <v>1</v>
      </c>
      <c r="BG74" s="67">
        <f ca="1">IF(LOWER(Capacity!$L86)="x",IF(AND(SUMIF(Capacity_Resource,$D74,'Critical resources (hide)'!BT$6:BT$105)+SUMIF(Capacity_Resource,$E74,'Critical resources (hide)'!BT$6:BT$105)+SUMIF(Capacity_Resource,$F74,'Critical resources (hide)'!BT$6:BT$105)&gt;0,$E$1=2),0,1),0)</f>
        <v>1</v>
      </c>
      <c r="BH74" s="67">
        <f>IF(ROW(C70)&lt;=Capacity!$A$16,IF('Capacity summary'!$D$14="No",SUM(H74:BG74),'Capacity summary'!$E193),0)</f>
        <v>0</v>
      </c>
      <c r="BI74" s="5" t="str">
        <f>IF(BH74&gt;0,IF(BH74&lt;Capacity!E86,Capacity!F86,Capacity!H86/'Capacity calculation (hide)'!BH74),"")</f>
        <v/>
      </c>
      <c r="BK74" s="311">
        <f>IF($BI74&lt;&gt;"",IF('Capacity summary'!$D$14="Yes",IF(COUNTBLANK('Capacity summary'!$H193:$BG193)&lt;52,IF('Capacity summary'!H193&lt;&gt;"",IF(LOWER('Capacity summary'!H193)="x",$BI74*H74,VALUE('Capacity summary'!H193)),0),H74*$BI74),H74*$BI74),0)</f>
        <v>0</v>
      </c>
      <c r="BL74" s="311">
        <f>IF($BI74&lt;&gt;"",IF('Capacity summary'!$D$14="Yes",IF(COUNTBLANK('Capacity summary'!$H193:$BG193)&lt;52,IF('Capacity summary'!I193&lt;&gt;"",IF(LOWER('Capacity summary'!I193)="x",$BI74*I74,VALUE('Capacity summary'!I193)),0),I74*$BI74),I74*$BI74),0)</f>
        <v>0</v>
      </c>
      <c r="BM74" s="311">
        <f>IF($BI74&lt;&gt;"",IF('Capacity summary'!$D$14="Yes",IF(COUNTBLANK('Capacity summary'!$H193:$BG193)&lt;52,IF('Capacity summary'!J193&lt;&gt;"",IF(LOWER('Capacity summary'!J193)="x",$BI74*J74,VALUE('Capacity summary'!J193)),0),J74*$BI74),J74*$BI74),0)</f>
        <v>0</v>
      </c>
      <c r="BN74" s="311">
        <f>IF($BI74&lt;&gt;"",IF('Capacity summary'!$D$14="Yes",IF(COUNTBLANK('Capacity summary'!$H193:$BG193)&lt;52,IF('Capacity summary'!K193&lt;&gt;"",IF(LOWER('Capacity summary'!K193)="x",$BI74*K74,VALUE('Capacity summary'!K193)),0),K74*$BI74),K74*$BI74),0)</f>
        <v>0</v>
      </c>
      <c r="BO74" s="311">
        <f>IF($BI74&lt;&gt;"",IF('Capacity summary'!$D$14="Yes",IF(COUNTBLANK('Capacity summary'!$H193:$BG193)&lt;52,IF('Capacity summary'!L193&lt;&gt;"",IF(LOWER('Capacity summary'!L193)="x",$BI74*L74,VALUE('Capacity summary'!L193)),0),L74*$BI74),L74*$BI74),0)</f>
        <v>0</v>
      </c>
      <c r="BP74" s="311">
        <f>IF($BI74&lt;&gt;"",IF('Capacity summary'!$D$14="Yes",IF(COUNTBLANK('Capacity summary'!$H193:$BG193)&lt;52,IF('Capacity summary'!M193&lt;&gt;"",IF(LOWER('Capacity summary'!M193)="x",$BI74*M74,VALUE('Capacity summary'!M193)),0),M74*$BI74),M74*$BI74),0)</f>
        <v>0</v>
      </c>
      <c r="BQ74" s="311">
        <f>IF($BI74&lt;&gt;"",IF('Capacity summary'!$D$14="Yes",IF(COUNTBLANK('Capacity summary'!$H193:$BG193)&lt;52,IF('Capacity summary'!N193&lt;&gt;"",IF(LOWER('Capacity summary'!N193)="x",$BI74*N74,VALUE('Capacity summary'!N193)),0),N74*$BI74),N74*$BI74),0)</f>
        <v>0</v>
      </c>
      <c r="BR74" s="311">
        <f>IF($BI74&lt;&gt;"",IF('Capacity summary'!$D$14="Yes",IF(COUNTBLANK('Capacity summary'!$H193:$BG193)&lt;52,IF('Capacity summary'!O193&lt;&gt;"",IF(LOWER('Capacity summary'!O193)="x",$BI74*O74,VALUE('Capacity summary'!O193)),0),O74*$BI74),O74*$BI74),0)</f>
        <v>0</v>
      </c>
      <c r="BS74" s="311">
        <f>IF($BI74&lt;&gt;"",IF('Capacity summary'!$D$14="Yes",IF(COUNTBLANK('Capacity summary'!$H193:$BG193)&lt;52,IF('Capacity summary'!P193&lt;&gt;"",IF(LOWER('Capacity summary'!P193)="x",$BI74*P74,VALUE('Capacity summary'!P193)),0),P74*$BI74),P74*$BI74),0)</f>
        <v>0</v>
      </c>
      <c r="BT74" s="311">
        <f>IF($BI74&lt;&gt;"",IF('Capacity summary'!$D$14="Yes",IF(COUNTBLANK('Capacity summary'!$H193:$BG193)&lt;52,IF('Capacity summary'!Q193&lt;&gt;"",IF(LOWER('Capacity summary'!Q193)="x",$BI74*Q74,VALUE('Capacity summary'!Q193)),0),Q74*$BI74),Q74*$BI74),0)</f>
        <v>0</v>
      </c>
      <c r="BU74" s="311">
        <f>IF($BI74&lt;&gt;"",IF('Capacity summary'!$D$14="Yes",IF(COUNTBLANK('Capacity summary'!$H193:$BG193)&lt;52,IF('Capacity summary'!R193&lt;&gt;"",IF(LOWER('Capacity summary'!R193)="x",$BI74*R74,VALUE('Capacity summary'!R193)),0),R74*$BI74),R74*$BI74),0)</f>
        <v>0</v>
      </c>
      <c r="BV74" s="311">
        <f>IF($BI74&lt;&gt;"",IF('Capacity summary'!$D$14="Yes",IF(COUNTBLANK('Capacity summary'!$H193:$BG193)&lt;52,IF('Capacity summary'!S193&lt;&gt;"",IF(LOWER('Capacity summary'!S193)="x",$BI74*S74,VALUE('Capacity summary'!S193)),0),S74*$BI74),S74*$BI74),0)</f>
        <v>0</v>
      </c>
      <c r="BW74" s="311">
        <f>IF($BI74&lt;&gt;"",IF('Capacity summary'!$D$14="Yes",IF(COUNTBLANK('Capacity summary'!$H193:$BG193)&lt;52,IF('Capacity summary'!T193&lt;&gt;"",IF(LOWER('Capacity summary'!T193)="x",$BI74*T74,VALUE('Capacity summary'!T193)),0),T74*$BI74),T74*$BI74),0)</f>
        <v>0</v>
      </c>
      <c r="BX74" s="311">
        <f>IF($BI74&lt;&gt;"",IF('Capacity summary'!$D$14="Yes",IF(COUNTBLANK('Capacity summary'!$H193:$BG193)&lt;52,IF('Capacity summary'!U193&lt;&gt;"",IF(LOWER('Capacity summary'!U193)="x",$BI74*U74,VALUE('Capacity summary'!U193)),0),U74*$BI74),U74*$BI74),0)</f>
        <v>0</v>
      </c>
      <c r="BY74" s="311">
        <f>IF($BI74&lt;&gt;"",IF('Capacity summary'!$D$14="Yes",IF(COUNTBLANK('Capacity summary'!$H193:$BG193)&lt;52,IF('Capacity summary'!V193&lt;&gt;"",IF(LOWER('Capacity summary'!V193)="x",$BI74*V74,VALUE('Capacity summary'!V193)),0),V74*$BI74),V74*$BI74),0)</f>
        <v>0</v>
      </c>
      <c r="BZ74" s="311">
        <f>IF($BI74&lt;&gt;"",IF('Capacity summary'!$D$14="Yes",IF(COUNTBLANK('Capacity summary'!$H193:$BG193)&lt;52,IF('Capacity summary'!W193&lt;&gt;"",IF(LOWER('Capacity summary'!W193)="x",$BI74*W74,VALUE('Capacity summary'!W193)),0),W74*$BI74),W74*$BI74),0)</f>
        <v>0</v>
      </c>
      <c r="CA74" s="311">
        <f>IF($BI74&lt;&gt;"",IF('Capacity summary'!$D$14="Yes",IF(COUNTBLANK('Capacity summary'!$H193:$BG193)&lt;52,IF('Capacity summary'!X193&lt;&gt;"",IF(LOWER('Capacity summary'!X193)="x",$BI74*X74,VALUE('Capacity summary'!X193)),0),X74*$BI74),X74*$BI74),0)</f>
        <v>0</v>
      </c>
      <c r="CB74" s="311">
        <f>IF($BI74&lt;&gt;"",IF('Capacity summary'!$D$14="Yes",IF(COUNTBLANK('Capacity summary'!$H193:$BG193)&lt;52,IF('Capacity summary'!Y193&lt;&gt;"",IF(LOWER('Capacity summary'!Y193)="x",$BI74*Y74,VALUE('Capacity summary'!Y193)),0),Y74*$BI74),Y74*$BI74),0)</f>
        <v>0</v>
      </c>
      <c r="CC74" s="311">
        <f>IF($BI74&lt;&gt;"",IF('Capacity summary'!$D$14="Yes",IF(COUNTBLANK('Capacity summary'!$H193:$BG193)&lt;52,IF('Capacity summary'!Z193&lt;&gt;"",IF(LOWER('Capacity summary'!Z193)="x",$BI74*Z74,VALUE('Capacity summary'!Z193)),0),Z74*$BI74),Z74*$BI74),0)</f>
        <v>0</v>
      </c>
      <c r="CD74" s="311">
        <f>IF($BI74&lt;&gt;"",IF('Capacity summary'!$D$14="Yes",IF(COUNTBLANK('Capacity summary'!$H193:$BG193)&lt;52,IF('Capacity summary'!AA193&lt;&gt;"",IF(LOWER('Capacity summary'!AA193)="x",$BI74*AA74,VALUE('Capacity summary'!AA193)),0),AA74*$BI74),AA74*$BI74),0)</f>
        <v>0</v>
      </c>
      <c r="CE74" s="311">
        <f>IF($BI74&lt;&gt;"",IF('Capacity summary'!$D$14="Yes",IF(COUNTBLANK('Capacity summary'!$H193:$BG193)&lt;52,IF('Capacity summary'!AB193&lt;&gt;"",IF(LOWER('Capacity summary'!AB193)="x",$BI74*AB74,VALUE('Capacity summary'!AB193)),0),AB74*$BI74),AB74*$BI74),0)</f>
        <v>0</v>
      </c>
      <c r="CF74" s="311">
        <f>IF($BI74&lt;&gt;"",IF('Capacity summary'!$D$14="Yes",IF(COUNTBLANK('Capacity summary'!$H193:$BG193)&lt;52,IF('Capacity summary'!AC193&lt;&gt;"",IF(LOWER('Capacity summary'!AC193)="x",$BI74*AC74,VALUE('Capacity summary'!AC193)),0),AC74*$BI74),AC74*$BI74),0)</f>
        <v>0</v>
      </c>
      <c r="CG74" s="311">
        <f>IF($BI74&lt;&gt;"",IF('Capacity summary'!$D$14="Yes",IF(COUNTBLANK('Capacity summary'!$H193:$BG193)&lt;52,IF('Capacity summary'!AD193&lt;&gt;"",IF(LOWER('Capacity summary'!AD193)="x",$BI74*AD74,VALUE('Capacity summary'!AD193)),0),AD74*$BI74),AD74*$BI74),0)</f>
        <v>0</v>
      </c>
      <c r="CH74" s="311">
        <f>IF($BI74&lt;&gt;"",IF('Capacity summary'!$D$14="Yes",IF(COUNTBLANK('Capacity summary'!$H193:$BG193)&lt;52,IF('Capacity summary'!AE193&lt;&gt;"",IF(LOWER('Capacity summary'!AE193)="x",$BI74*AE74,VALUE('Capacity summary'!AE193)),0),AE74*$BI74),AE74*$BI74),0)</f>
        <v>0</v>
      </c>
      <c r="CI74" s="311">
        <f>IF($BI74&lt;&gt;"",IF('Capacity summary'!$D$14="Yes",IF(COUNTBLANK('Capacity summary'!$H193:$BG193)&lt;52,IF('Capacity summary'!AF193&lt;&gt;"",IF(LOWER('Capacity summary'!AF193)="x",$BI74*AF74,VALUE('Capacity summary'!AF193)),0),AF74*$BI74),AF74*$BI74),0)</f>
        <v>0</v>
      </c>
      <c r="CJ74" s="311">
        <f>IF($BI74&lt;&gt;"",IF('Capacity summary'!$D$14="Yes",IF(COUNTBLANK('Capacity summary'!$H193:$BG193)&lt;52,IF('Capacity summary'!AG193&lt;&gt;"",IF(LOWER('Capacity summary'!AG193)="x",$BI74*AG74,VALUE('Capacity summary'!AG193)),0),AG74*$BI74),AG74*$BI74),0)</f>
        <v>0</v>
      </c>
      <c r="CK74" s="311">
        <f>IF($BI74&lt;&gt;"",IF('Capacity summary'!$D$14="Yes",IF(COUNTBLANK('Capacity summary'!$H193:$BG193)&lt;52,IF('Capacity summary'!AH193&lt;&gt;"",IF(LOWER('Capacity summary'!AH193)="x",$BI74*AH74,VALUE('Capacity summary'!AH193)),0),AH74*$BI74),AH74*$BI74),0)</f>
        <v>0</v>
      </c>
      <c r="CL74" s="311">
        <f>IF($BI74&lt;&gt;"",IF('Capacity summary'!$D$14="Yes",IF(COUNTBLANK('Capacity summary'!$H193:$BG193)&lt;52,IF('Capacity summary'!AI193&lt;&gt;"",IF(LOWER('Capacity summary'!AI193)="x",$BI74*AI74,VALUE('Capacity summary'!AI193)),0),AI74*$BI74),AI74*$BI74),0)</f>
        <v>0</v>
      </c>
      <c r="CM74" s="311">
        <f>IF($BI74&lt;&gt;"",IF('Capacity summary'!$D$14="Yes",IF(COUNTBLANK('Capacity summary'!$H193:$BG193)&lt;52,IF('Capacity summary'!AJ193&lt;&gt;"",IF(LOWER('Capacity summary'!AJ193)="x",$BI74*AJ74,VALUE('Capacity summary'!AJ193)),0),AJ74*$BI74),AJ74*$BI74),0)</f>
        <v>0</v>
      </c>
      <c r="CN74" s="311">
        <f>IF($BI74&lt;&gt;"",IF('Capacity summary'!$D$14="Yes",IF(COUNTBLANK('Capacity summary'!$H193:$BG193)&lt;52,IF('Capacity summary'!AK193&lt;&gt;"",IF(LOWER('Capacity summary'!AK193)="x",$BI74*AK74,VALUE('Capacity summary'!AK193)),0),AK74*$BI74),AK74*$BI74),0)</f>
        <v>0</v>
      </c>
      <c r="CO74" s="311">
        <f>IF($BI74&lt;&gt;"",IF('Capacity summary'!$D$14="Yes",IF(COUNTBLANK('Capacity summary'!$H193:$BG193)&lt;52,IF('Capacity summary'!AL193&lt;&gt;"",IF(LOWER('Capacity summary'!AL193)="x",$BI74*AL74,VALUE('Capacity summary'!AL193)),0),AL74*$BI74),AL74*$BI74),0)</f>
        <v>0</v>
      </c>
      <c r="CP74" s="311">
        <f>IF($BI74&lt;&gt;"",IF('Capacity summary'!$D$14="Yes",IF(COUNTBLANK('Capacity summary'!$H193:$BG193)&lt;52,IF('Capacity summary'!AM193&lt;&gt;"",IF(LOWER('Capacity summary'!AM193)="x",$BI74*AM74,VALUE('Capacity summary'!AM193)),0),AM74*$BI74),AM74*$BI74),0)</f>
        <v>0</v>
      </c>
      <c r="CQ74" s="311">
        <f>IF($BI74&lt;&gt;"",IF('Capacity summary'!$D$14="Yes",IF(COUNTBLANK('Capacity summary'!$H193:$BG193)&lt;52,IF('Capacity summary'!AN193&lt;&gt;"",IF(LOWER('Capacity summary'!AN193)="x",$BI74*AN74,VALUE('Capacity summary'!AN193)),0),AN74*$BI74),AN74*$BI74),0)</f>
        <v>0</v>
      </c>
      <c r="CR74" s="311">
        <f>IF($BI74&lt;&gt;"",IF('Capacity summary'!$D$14="Yes",IF(COUNTBLANK('Capacity summary'!$H193:$BG193)&lt;52,IF('Capacity summary'!AO193&lt;&gt;"",IF(LOWER('Capacity summary'!AO193)="x",$BI74*AO74,VALUE('Capacity summary'!AO193)),0),AO74*$BI74),AO74*$BI74),0)</f>
        <v>0</v>
      </c>
      <c r="CS74" s="311">
        <f>IF($BI74&lt;&gt;"",IF('Capacity summary'!$D$14="Yes",IF(COUNTBLANK('Capacity summary'!$H193:$BG193)&lt;52,IF('Capacity summary'!AP193&lt;&gt;"",IF(LOWER('Capacity summary'!AP193)="x",$BI74*AP74,VALUE('Capacity summary'!AP193)),0),AP74*$BI74),AP74*$BI74),0)</f>
        <v>0</v>
      </c>
      <c r="CT74" s="311">
        <f>IF($BI74&lt;&gt;"",IF('Capacity summary'!$D$14="Yes",IF(COUNTBLANK('Capacity summary'!$H193:$BG193)&lt;52,IF('Capacity summary'!AQ193&lt;&gt;"",IF(LOWER('Capacity summary'!AQ193)="x",$BI74*AQ74,VALUE('Capacity summary'!AQ193)),0),AQ74*$BI74),AQ74*$BI74),0)</f>
        <v>0</v>
      </c>
      <c r="CU74" s="311">
        <f>IF($BI74&lt;&gt;"",IF('Capacity summary'!$D$14="Yes",IF(COUNTBLANK('Capacity summary'!$H193:$BG193)&lt;52,IF('Capacity summary'!AR193&lt;&gt;"",IF(LOWER('Capacity summary'!AR193)="x",$BI74*AR74,VALUE('Capacity summary'!AR193)),0),AR74*$BI74),AR74*$BI74),0)</f>
        <v>0</v>
      </c>
      <c r="CV74" s="311">
        <f>IF($BI74&lt;&gt;"",IF('Capacity summary'!$D$14="Yes",IF(COUNTBLANK('Capacity summary'!$H193:$BG193)&lt;52,IF('Capacity summary'!AS193&lt;&gt;"",IF(LOWER('Capacity summary'!AS193)="x",$BI74*AS74,VALUE('Capacity summary'!AS193)),0),AS74*$BI74),AS74*$BI74),0)</f>
        <v>0</v>
      </c>
      <c r="CW74" s="311">
        <f>IF($BI74&lt;&gt;"",IF('Capacity summary'!$D$14="Yes",IF(COUNTBLANK('Capacity summary'!$H193:$BG193)&lt;52,IF('Capacity summary'!AT193&lt;&gt;"",IF(LOWER('Capacity summary'!AT193)="x",$BI74*AT74,VALUE('Capacity summary'!AT193)),0),AT74*$BI74),AT74*$BI74),0)</f>
        <v>0</v>
      </c>
      <c r="CX74" s="311">
        <f>IF($BI74&lt;&gt;"",IF('Capacity summary'!$D$14="Yes",IF(COUNTBLANK('Capacity summary'!$H193:$BG193)&lt;52,IF('Capacity summary'!AU193&lt;&gt;"",IF(LOWER('Capacity summary'!AU193)="x",$BI74*AU74,VALUE('Capacity summary'!AU193)),0),AU74*$BI74),AU74*$BI74),0)</f>
        <v>0</v>
      </c>
      <c r="CY74" s="311">
        <f>IF($BI74&lt;&gt;"",IF('Capacity summary'!$D$14="Yes",IF(COUNTBLANK('Capacity summary'!$H193:$BG193)&lt;52,IF('Capacity summary'!AV193&lt;&gt;"",IF(LOWER('Capacity summary'!AV193)="x",$BI74*AV74,VALUE('Capacity summary'!AV193)),0),AV74*$BI74),AV74*$BI74),0)</f>
        <v>0</v>
      </c>
      <c r="CZ74" s="311">
        <f>IF($BI74&lt;&gt;"",IF('Capacity summary'!$D$14="Yes",IF(COUNTBLANK('Capacity summary'!$H193:$BG193)&lt;52,IF('Capacity summary'!AW193&lt;&gt;"",IF(LOWER('Capacity summary'!AW193)="x",$BI74*AW74,VALUE('Capacity summary'!AW193)),0),AW74*$BI74),AW74*$BI74),0)</f>
        <v>0</v>
      </c>
      <c r="DA74" s="311">
        <f>IF($BI74&lt;&gt;"",IF('Capacity summary'!$D$14="Yes",IF(COUNTBLANK('Capacity summary'!$H193:$BG193)&lt;52,IF('Capacity summary'!AX193&lt;&gt;"",IF(LOWER('Capacity summary'!AX193)="x",$BI74*AX74,VALUE('Capacity summary'!AX193)),0),AX74*$BI74),AX74*$BI74),0)</f>
        <v>0</v>
      </c>
      <c r="DB74" s="311">
        <f>IF($BI74&lt;&gt;"",IF('Capacity summary'!$D$14="Yes",IF(COUNTBLANK('Capacity summary'!$H193:$BG193)&lt;52,IF('Capacity summary'!AY193&lt;&gt;"",IF(LOWER('Capacity summary'!AY193)="x",$BI74*AY74,VALUE('Capacity summary'!AY193)),0),AY74*$BI74),AY74*$BI74),0)</f>
        <v>0</v>
      </c>
      <c r="DC74" s="311">
        <f>IF($BI74&lt;&gt;"",IF('Capacity summary'!$D$14="Yes",IF(COUNTBLANK('Capacity summary'!$H193:$BG193)&lt;52,IF('Capacity summary'!AZ193&lt;&gt;"",IF(LOWER('Capacity summary'!AZ193)="x",$BI74*AZ74,VALUE('Capacity summary'!AZ193)),0),AZ74*$BI74),AZ74*$BI74),0)</f>
        <v>0</v>
      </c>
      <c r="DD74" s="311">
        <f>IF($BI74&lt;&gt;"",IF('Capacity summary'!$D$14="Yes",IF(COUNTBLANK('Capacity summary'!$H193:$BG193)&lt;52,IF('Capacity summary'!BA193&lt;&gt;"",IF(LOWER('Capacity summary'!BA193)="x",$BI74*BA74,VALUE('Capacity summary'!BA193)),0),BA74*$BI74),BA74*$BI74),0)</f>
        <v>0</v>
      </c>
      <c r="DE74" s="311">
        <f>IF($BI74&lt;&gt;"",IF('Capacity summary'!$D$14="Yes",IF(COUNTBLANK('Capacity summary'!$H193:$BG193)&lt;52,IF('Capacity summary'!BB193&lt;&gt;"",IF(LOWER('Capacity summary'!BB193)="x",$BI74*BB74,VALUE('Capacity summary'!BB193)),0),BB74*$BI74),BB74*$BI74),0)</f>
        <v>0</v>
      </c>
      <c r="DF74" s="311">
        <f>IF($BI74&lt;&gt;"",IF('Capacity summary'!$D$14="Yes",IF(COUNTBLANK('Capacity summary'!$H193:$BG193)&lt;52,IF('Capacity summary'!BC193&lt;&gt;"",IF(LOWER('Capacity summary'!BC193)="x",$BI74*BC74,VALUE('Capacity summary'!BC193)),0),BC74*$BI74),BC74*$BI74),0)</f>
        <v>0</v>
      </c>
      <c r="DG74" s="311">
        <f>IF($BI74&lt;&gt;"",IF('Capacity summary'!$D$14="Yes",IF(COUNTBLANK('Capacity summary'!$H193:$BG193)&lt;52,IF('Capacity summary'!BD193&lt;&gt;"",IF(LOWER('Capacity summary'!BD193)="x",$BI74*BD74,VALUE('Capacity summary'!BD193)),0),BD74*$BI74),BD74*$BI74),0)</f>
        <v>0</v>
      </c>
      <c r="DH74" s="311">
        <f>IF($BI74&lt;&gt;"",IF('Capacity summary'!$D$14="Yes",IF(COUNTBLANK('Capacity summary'!$H193:$BG193)&lt;52,IF('Capacity summary'!BE193&lt;&gt;"",IF(LOWER('Capacity summary'!BE193)="x",$BI74*BE74,VALUE('Capacity summary'!BE193)),0),BE74*$BI74),BE74*$BI74),0)</f>
        <v>0</v>
      </c>
      <c r="DI74" s="311">
        <f>IF($BI74&lt;&gt;"",IF('Capacity summary'!$D$14="Yes",IF(COUNTBLANK('Capacity summary'!$H193:$BG193)&lt;52,IF('Capacity summary'!BF193&lt;&gt;"",IF(LOWER('Capacity summary'!BF193)="x",$BI74*BF74,VALUE('Capacity summary'!BF193)),0),BF74*$BI74),BF74*$BI74),0)</f>
        <v>0</v>
      </c>
      <c r="DJ74" s="311">
        <f>IF($BI74&lt;&gt;"",IF('Capacity summary'!$D$14="Yes",IF(COUNTBLANK('Capacity summary'!$H193:$BG193)&lt;52,IF('Capacity summary'!BG193&lt;&gt;"",IF(LOWER('Capacity summary'!BG193)="x",$BI74*BG74,VALUE('Capacity summary'!BG193)),0),BG74*$BI74),BG74*$BI74),0)</f>
        <v>0</v>
      </c>
      <c r="DK74" s="391">
        <f t="shared" si="4"/>
        <v>0</v>
      </c>
      <c r="DL74" s="136">
        <f t="shared" si="5"/>
        <v>0</v>
      </c>
      <c r="DM74" s="311" t="str">
        <f>Capacity!H86</f>
        <v/>
      </c>
    </row>
    <row r="75" spans="1:117" x14ac:dyDescent="0.2">
      <c r="A75" s="67">
        <f>IF(Capacity!L87='Capacity summary'!BI194,1,0)</f>
        <v>1</v>
      </c>
      <c r="B75" s="67">
        <f>IF(Capacity!V87='Capacity summary'!BI94,1,0)</f>
        <v>1</v>
      </c>
      <c r="C75" s="67" t="str">
        <f>ROW(A71)&amp;". "&amp;Capacity!B87</f>
        <v xml:space="preserve">71. </v>
      </c>
      <c r="D75" s="67">
        <f>'Capacity setup'!C82</f>
        <v>0</v>
      </c>
      <c r="E75" s="67">
        <f>'Capacity setup'!D82</f>
        <v>0</v>
      </c>
      <c r="F75" s="67">
        <f>'Capacity setup'!E82</f>
        <v>0</v>
      </c>
      <c r="H75" s="67">
        <f ca="1">IF(LOWER(Capacity!$L87)="x",IF(AND(SUMIF(Capacity_Resource,$D75,'Critical resources (hide)'!U$6:U$105)+SUMIF(Capacity_Resource,$E75,'Critical resources (hide)'!U$6:U$105)+SUMIF(Capacity_Resource,$F75,'Critical resources (hide)'!U$6:U$105)&gt;0,$E$1=2),0,1),0)</f>
        <v>1</v>
      </c>
      <c r="I75" s="67">
        <f ca="1">IF(LOWER(Capacity!$L87)="x",IF(AND(SUMIF(Capacity_Resource,$D75,'Critical resources (hide)'!V$6:V$105)+SUMIF(Capacity_Resource,$E75,'Critical resources (hide)'!V$6:V$105)+SUMIF(Capacity_Resource,$F75,'Critical resources (hide)'!V$6:V$105)&gt;0,$E$1=2),0,1),0)</f>
        <v>1</v>
      </c>
      <c r="J75" s="67">
        <f ca="1">IF(LOWER(Capacity!$L87)="x",IF(AND(SUMIF(Capacity_Resource,$D75,'Critical resources (hide)'!W$6:W$105)+SUMIF(Capacity_Resource,$E75,'Critical resources (hide)'!W$6:W$105)+SUMIF(Capacity_Resource,$F75,'Critical resources (hide)'!W$6:W$105)&gt;0,$E$1=2),0,1),0)</f>
        <v>1</v>
      </c>
      <c r="K75" s="67">
        <f ca="1">IF(LOWER(Capacity!$L87)="x",IF(AND(SUMIF(Capacity_Resource,$D75,'Critical resources (hide)'!X$6:X$105)+SUMIF(Capacity_Resource,$E75,'Critical resources (hide)'!X$6:X$105)+SUMIF(Capacity_Resource,$F75,'Critical resources (hide)'!X$6:X$105)&gt;0,$E$1=2),0,1),0)</f>
        <v>1</v>
      </c>
      <c r="L75" s="67">
        <f ca="1">IF(LOWER(Capacity!$L87)="x",IF(AND(SUMIF(Capacity_Resource,$D75,'Critical resources (hide)'!Y$6:Y$105)+SUMIF(Capacity_Resource,$E75,'Critical resources (hide)'!Y$6:Y$105)+SUMIF(Capacity_Resource,$F75,'Critical resources (hide)'!Y$6:Y$105)&gt;0,$E$1=2),0,1),0)</f>
        <v>1</v>
      </c>
      <c r="M75" s="67">
        <f ca="1">IF(LOWER(Capacity!$L87)="x",IF(AND(SUMIF(Capacity_Resource,$D75,'Critical resources (hide)'!Z$6:Z$105)+SUMIF(Capacity_Resource,$E75,'Critical resources (hide)'!Z$6:Z$105)+SUMIF(Capacity_Resource,$F75,'Critical resources (hide)'!Z$6:Z$105)&gt;0,$E$1=2),0,1),0)</f>
        <v>1</v>
      </c>
      <c r="N75" s="67">
        <f ca="1">IF(LOWER(Capacity!$L87)="x",IF(AND(SUMIF(Capacity_Resource,$D75,'Critical resources (hide)'!AA$6:AA$105)+SUMIF(Capacity_Resource,$E75,'Critical resources (hide)'!AA$6:AA$105)+SUMIF(Capacity_Resource,$F75,'Critical resources (hide)'!AA$6:AA$105)&gt;0,$E$1=2),0,1),0)</f>
        <v>1</v>
      </c>
      <c r="O75" s="67">
        <f ca="1">IF(LOWER(Capacity!$L87)="x",IF(AND(SUMIF(Capacity_Resource,$D75,'Critical resources (hide)'!AB$6:AB$105)+SUMIF(Capacity_Resource,$E75,'Critical resources (hide)'!AB$6:AB$105)+SUMIF(Capacity_Resource,$F75,'Critical resources (hide)'!AB$6:AB$105)&gt;0,$E$1=2),0,1),0)</f>
        <v>1</v>
      </c>
      <c r="P75" s="67">
        <f ca="1">IF(LOWER(Capacity!$L87)="x",IF(AND(SUMIF(Capacity_Resource,$D75,'Critical resources (hide)'!AC$6:AC$105)+SUMIF(Capacity_Resource,$E75,'Critical resources (hide)'!AC$6:AC$105)+SUMIF(Capacity_Resource,$F75,'Critical resources (hide)'!AC$6:AC$105)&gt;0,$E$1=2),0,1),0)</f>
        <v>1</v>
      </c>
      <c r="Q75" s="67">
        <f ca="1">IF(LOWER(Capacity!$L87)="x",IF(AND(SUMIF(Capacity_Resource,$D75,'Critical resources (hide)'!AD$6:AD$105)+SUMIF(Capacity_Resource,$E75,'Critical resources (hide)'!AD$6:AD$105)+SUMIF(Capacity_Resource,$F75,'Critical resources (hide)'!AD$6:AD$105)&gt;0,$E$1=2),0,1),0)</f>
        <v>1</v>
      </c>
      <c r="R75" s="67">
        <f ca="1">IF(LOWER(Capacity!$L87)="x",IF(AND(SUMIF(Capacity_Resource,$D75,'Critical resources (hide)'!AE$6:AE$105)+SUMIF(Capacity_Resource,$E75,'Critical resources (hide)'!AE$6:AE$105)+SUMIF(Capacity_Resource,$F75,'Critical resources (hide)'!AE$6:AE$105)&gt;0,$E$1=2),0,1),0)</f>
        <v>1</v>
      </c>
      <c r="S75" s="67">
        <f ca="1">IF(LOWER(Capacity!$L87)="x",IF(AND(SUMIF(Capacity_Resource,$D75,'Critical resources (hide)'!AF$6:AF$105)+SUMIF(Capacity_Resource,$E75,'Critical resources (hide)'!AF$6:AF$105)+SUMIF(Capacity_Resource,$F75,'Critical resources (hide)'!AF$6:AF$105)&gt;0,$E$1=2),0,1),0)</f>
        <v>1</v>
      </c>
      <c r="T75" s="67">
        <f ca="1">IF(LOWER(Capacity!$L87)="x",IF(AND(SUMIF(Capacity_Resource,$D75,'Critical resources (hide)'!AG$6:AG$105)+SUMIF(Capacity_Resource,$E75,'Critical resources (hide)'!AG$6:AG$105)+SUMIF(Capacity_Resource,$F75,'Critical resources (hide)'!AG$6:AG$105)&gt;0,$E$1=2),0,1),0)</f>
        <v>1</v>
      </c>
      <c r="U75" s="67">
        <f ca="1">IF(LOWER(Capacity!$L87)="x",IF(AND(SUMIF(Capacity_Resource,$D75,'Critical resources (hide)'!AH$6:AH$105)+SUMIF(Capacity_Resource,$E75,'Critical resources (hide)'!AH$6:AH$105)+SUMIF(Capacity_Resource,$F75,'Critical resources (hide)'!AH$6:AH$105)&gt;0,$E$1=2),0,1),0)</f>
        <v>1</v>
      </c>
      <c r="V75" s="67">
        <f ca="1">IF(LOWER(Capacity!$L87)="x",IF(AND(SUMIF(Capacity_Resource,$D75,'Critical resources (hide)'!AI$6:AI$105)+SUMIF(Capacity_Resource,$E75,'Critical resources (hide)'!AI$6:AI$105)+SUMIF(Capacity_Resource,$F75,'Critical resources (hide)'!AI$6:AI$105)&gt;0,$E$1=2),0,1),0)</f>
        <v>1</v>
      </c>
      <c r="W75" s="67">
        <f ca="1">IF(LOWER(Capacity!$L87)="x",IF(AND(SUMIF(Capacity_Resource,$D75,'Critical resources (hide)'!AJ$6:AJ$105)+SUMIF(Capacity_Resource,$E75,'Critical resources (hide)'!AJ$6:AJ$105)+SUMIF(Capacity_Resource,$F75,'Critical resources (hide)'!AJ$6:AJ$105)&gt;0,$E$1=2),0,1),0)</f>
        <v>1</v>
      </c>
      <c r="X75" s="67">
        <f ca="1">IF(LOWER(Capacity!$L87)="x",IF(AND(SUMIF(Capacity_Resource,$D75,'Critical resources (hide)'!AK$6:AK$105)+SUMIF(Capacity_Resource,$E75,'Critical resources (hide)'!AK$6:AK$105)+SUMIF(Capacity_Resource,$F75,'Critical resources (hide)'!AK$6:AK$105)&gt;0,$E$1=2),0,1),0)</f>
        <v>1</v>
      </c>
      <c r="Y75" s="67">
        <f ca="1">IF(LOWER(Capacity!$L87)="x",IF(AND(SUMIF(Capacity_Resource,$D75,'Critical resources (hide)'!AL$6:AL$105)+SUMIF(Capacity_Resource,$E75,'Critical resources (hide)'!AL$6:AL$105)+SUMIF(Capacity_Resource,$F75,'Critical resources (hide)'!AL$6:AL$105)&gt;0,$E$1=2),0,1),0)</f>
        <v>1</v>
      </c>
      <c r="Z75" s="67">
        <f ca="1">IF(LOWER(Capacity!$L87)="x",IF(AND(SUMIF(Capacity_Resource,$D75,'Critical resources (hide)'!AM$6:AM$105)+SUMIF(Capacity_Resource,$E75,'Critical resources (hide)'!AM$6:AM$105)+SUMIF(Capacity_Resource,$F75,'Critical resources (hide)'!AM$6:AM$105)&gt;0,$E$1=2),0,1),0)</f>
        <v>1</v>
      </c>
      <c r="AA75" s="67">
        <f ca="1">IF(LOWER(Capacity!$L87)="x",IF(AND(SUMIF(Capacity_Resource,$D75,'Critical resources (hide)'!AN$6:AN$105)+SUMIF(Capacity_Resource,$E75,'Critical resources (hide)'!AN$6:AN$105)+SUMIF(Capacity_Resource,$F75,'Critical resources (hide)'!AN$6:AN$105)&gt;0,$E$1=2),0,1),0)</f>
        <v>1</v>
      </c>
      <c r="AB75" s="67">
        <f ca="1">IF(LOWER(Capacity!$L87)="x",IF(AND(SUMIF(Capacity_Resource,$D75,'Critical resources (hide)'!AO$6:AO$105)+SUMIF(Capacity_Resource,$E75,'Critical resources (hide)'!AO$6:AO$105)+SUMIF(Capacity_Resource,$F75,'Critical resources (hide)'!AO$6:AO$105)&gt;0,$E$1=2),0,1),0)</f>
        <v>1</v>
      </c>
      <c r="AC75" s="67">
        <f ca="1">IF(LOWER(Capacity!$L87)="x",IF(AND(SUMIF(Capacity_Resource,$D75,'Critical resources (hide)'!AP$6:AP$105)+SUMIF(Capacity_Resource,$E75,'Critical resources (hide)'!AP$6:AP$105)+SUMIF(Capacity_Resource,$F75,'Critical resources (hide)'!AP$6:AP$105)&gt;0,$E$1=2),0,1),0)</f>
        <v>1</v>
      </c>
      <c r="AD75" s="67">
        <f ca="1">IF(LOWER(Capacity!$L87)="x",IF(AND(SUMIF(Capacity_Resource,$D75,'Critical resources (hide)'!AQ$6:AQ$105)+SUMIF(Capacity_Resource,$E75,'Critical resources (hide)'!AQ$6:AQ$105)+SUMIF(Capacity_Resource,$F75,'Critical resources (hide)'!AQ$6:AQ$105)&gt;0,$E$1=2),0,1),0)</f>
        <v>1</v>
      </c>
      <c r="AE75" s="67">
        <f ca="1">IF(LOWER(Capacity!$L87)="x",IF(AND(SUMIF(Capacity_Resource,$D75,'Critical resources (hide)'!AR$6:AR$105)+SUMIF(Capacity_Resource,$E75,'Critical resources (hide)'!AR$6:AR$105)+SUMIF(Capacity_Resource,$F75,'Critical resources (hide)'!AR$6:AR$105)&gt;0,$E$1=2),0,1),0)</f>
        <v>1</v>
      </c>
      <c r="AF75" s="67">
        <f ca="1">IF(LOWER(Capacity!$L87)="x",IF(AND(SUMIF(Capacity_Resource,$D75,'Critical resources (hide)'!AS$6:AS$105)+SUMIF(Capacity_Resource,$E75,'Critical resources (hide)'!AS$6:AS$105)+SUMIF(Capacity_Resource,$F75,'Critical resources (hide)'!AS$6:AS$105)&gt;0,$E$1=2),0,1),0)</f>
        <v>1</v>
      </c>
      <c r="AG75" s="67">
        <f ca="1">IF(LOWER(Capacity!$L87)="x",IF(AND(SUMIF(Capacity_Resource,$D75,'Critical resources (hide)'!AT$6:AT$105)+SUMIF(Capacity_Resource,$E75,'Critical resources (hide)'!AT$6:AT$105)+SUMIF(Capacity_Resource,$F75,'Critical resources (hide)'!AT$6:AT$105)&gt;0,$E$1=2),0,1),0)</f>
        <v>1</v>
      </c>
      <c r="AH75" s="67">
        <f ca="1">IF(LOWER(Capacity!$L87)="x",IF(AND(SUMIF(Capacity_Resource,$D75,'Critical resources (hide)'!AU$6:AU$105)+SUMIF(Capacity_Resource,$E75,'Critical resources (hide)'!AU$6:AU$105)+SUMIF(Capacity_Resource,$F75,'Critical resources (hide)'!AU$6:AU$105)&gt;0,$E$1=2),0,1),0)</f>
        <v>1</v>
      </c>
      <c r="AI75" s="67">
        <f ca="1">IF(LOWER(Capacity!$L87)="x",IF(AND(SUMIF(Capacity_Resource,$D75,'Critical resources (hide)'!AV$6:AV$105)+SUMIF(Capacity_Resource,$E75,'Critical resources (hide)'!AV$6:AV$105)+SUMIF(Capacity_Resource,$F75,'Critical resources (hide)'!AV$6:AV$105)&gt;0,$E$1=2),0,1),0)</f>
        <v>1</v>
      </c>
      <c r="AJ75" s="67">
        <f ca="1">IF(LOWER(Capacity!$L87)="x",IF(AND(SUMIF(Capacity_Resource,$D75,'Critical resources (hide)'!AW$6:AW$105)+SUMIF(Capacity_Resource,$E75,'Critical resources (hide)'!AW$6:AW$105)+SUMIF(Capacity_Resource,$F75,'Critical resources (hide)'!AW$6:AW$105)&gt;0,$E$1=2),0,1),0)</f>
        <v>1</v>
      </c>
      <c r="AK75" s="67">
        <f ca="1">IF(LOWER(Capacity!$L87)="x",IF(AND(SUMIF(Capacity_Resource,$D75,'Critical resources (hide)'!AX$6:AX$105)+SUMIF(Capacity_Resource,$E75,'Critical resources (hide)'!AX$6:AX$105)+SUMIF(Capacity_Resource,$F75,'Critical resources (hide)'!AX$6:AX$105)&gt;0,$E$1=2),0,1),0)</f>
        <v>1</v>
      </c>
      <c r="AL75" s="67">
        <f ca="1">IF(LOWER(Capacity!$L87)="x",IF(AND(SUMIF(Capacity_Resource,$D75,'Critical resources (hide)'!AY$6:AY$105)+SUMIF(Capacity_Resource,$E75,'Critical resources (hide)'!AY$6:AY$105)+SUMIF(Capacity_Resource,$F75,'Critical resources (hide)'!AY$6:AY$105)&gt;0,$E$1=2),0,1),0)</f>
        <v>1</v>
      </c>
      <c r="AM75" s="67">
        <f ca="1">IF(LOWER(Capacity!$L87)="x",IF(AND(SUMIF(Capacity_Resource,$D75,'Critical resources (hide)'!AZ$6:AZ$105)+SUMIF(Capacity_Resource,$E75,'Critical resources (hide)'!AZ$6:AZ$105)+SUMIF(Capacity_Resource,$F75,'Critical resources (hide)'!AZ$6:AZ$105)&gt;0,$E$1=2),0,1),0)</f>
        <v>1</v>
      </c>
      <c r="AN75" s="67">
        <f ca="1">IF(LOWER(Capacity!$L87)="x",IF(AND(SUMIF(Capacity_Resource,$D75,'Critical resources (hide)'!BA$6:BA$105)+SUMIF(Capacity_Resource,$E75,'Critical resources (hide)'!BA$6:BA$105)+SUMIF(Capacity_Resource,$F75,'Critical resources (hide)'!BA$6:BA$105)&gt;0,$E$1=2),0,1),0)</f>
        <v>1</v>
      </c>
      <c r="AO75" s="67">
        <f ca="1">IF(LOWER(Capacity!$L87)="x",IF(AND(SUMIF(Capacity_Resource,$D75,'Critical resources (hide)'!BB$6:BB$105)+SUMIF(Capacity_Resource,$E75,'Critical resources (hide)'!BB$6:BB$105)+SUMIF(Capacity_Resource,$F75,'Critical resources (hide)'!BB$6:BB$105)&gt;0,$E$1=2),0,1),0)</f>
        <v>1</v>
      </c>
      <c r="AP75" s="67">
        <f ca="1">IF(LOWER(Capacity!$L87)="x",IF(AND(SUMIF(Capacity_Resource,$D75,'Critical resources (hide)'!BC$6:BC$105)+SUMIF(Capacity_Resource,$E75,'Critical resources (hide)'!BC$6:BC$105)+SUMIF(Capacity_Resource,$F75,'Critical resources (hide)'!BC$6:BC$105)&gt;0,$E$1=2),0,1),0)</f>
        <v>1</v>
      </c>
      <c r="AQ75" s="67">
        <f ca="1">IF(LOWER(Capacity!$L87)="x",IF(AND(SUMIF(Capacity_Resource,$D75,'Critical resources (hide)'!BD$6:BD$105)+SUMIF(Capacity_Resource,$E75,'Critical resources (hide)'!BD$6:BD$105)+SUMIF(Capacity_Resource,$F75,'Critical resources (hide)'!BD$6:BD$105)&gt;0,$E$1=2),0,1),0)</f>
        <v>1</v>
      </c>
      <c r="AR75" s="67">
        <f ca="1">IF(LOWER(Capacity!$L87)="x",IF(AND(SUMIF(Capacity_Resource,$D75,'Critical resources (hide)'!BE$6:BE$105)+SUMIF(Capacity_Resource,$E75,'Critical resources (hide)'!BE$6:BE$105)+SUMIF(Capacity_Resource,$F75,'Critical resources (hide)'!BE$6:BE$105)&gt;0,$E$1=2),0,1),0)</f>
        <v>1</v>
      </c>
      <c r="AS75" s="67">
        <f ca="1">IF(LOWER(Capacity!$L87)="x",IF(AND(SUMIF(Capacity_Resource,$D75,'Critical resources (hide)'!BF$6:BF$105)+SUMIF(Capacity_Resource,$E75,'Critical resources (hide)'!BF$6:BF$105)+SUMIF(Capacity_Resource,$F75,'Critical resources (hide)'!BF$6:BF$105)&gt;0,$E$1=2),0,1),0)</f>
        <v>1</v>
      </c>
      <c r="AT75" s="67">
        <f ca="1">IF(LOWER(Capacity!$L87)="x",IF(AND(SUMIF(Capacity_Resource,$D75,'Critical resources (hide)'!BG$6:BG$105)+SUMIF(Capacity_Resource,$E75,'Critical resources (hide)'!BG$6:BG$105)+SUMIF(Capacity_Resource,$F75,'Critical resources (hide)'!BG$6:BG$105)&gt;0,$E$1=2),0,1),0)</f>
        <v>1</v>
      </c>
      <c r="AU75" s="67">
        <f ca="1">IF(LOWER(Capacity!$L87)="x",IF(AND(SUMIF(Capacity_Resource,$D75,'Critical resources (hide)'!BH$6:BH$105)+SUMIF(Capacity_Resource,$E75,'Critical resources (hide)'!BH$6:BH$105)+SUMIF(Capacity_Resource,$F75,'Critical resources (hide)'!BH$6:BH$105)&gt;0,$E$1=2),0,1),0)</f>
        <v>1</v>
      </c>
      <c r="AV75" s="67">
        <f ca="1">IF(LOWER(Capacity!$L87)="x",IF(AND(SUMIF(Capacity_Resource,$D75,'Critical resources (hide)'!BI$6:BI$105)+SUMIF(Capacity_Resource,$E75,'Critical resources (hide)'!BI$6:BI$105)+SUMIF(Capacity_Resource,$F75,'Critical resources (hide)'!BI$6:BI$105)&gt;0,$E$1=2),0,1),0)</f>
        <v>1</v>
      </c>
      <c r="AW75" s="67">
        <f ca="1">IF(LOWER(Capacity!$L87)="x",IF(AND(SUMIF(Capacity_Resource,$D75,'Critical resources (hide)'!BJ$6:BJ$105)+SUMIF(Capacity_Resource,$E75,'Critical resources (hide)'!BJ$6:BJ$105)+SUMIF(Capacity_Resource,$F75,'Critical resources (hide)'!BJ$6:BJ$105)&gt;0,$E$1=2),0,1),0)</f>
        <v>1</v>
      </c>
      <c r="AX75" s="67">
        <f ca="1">IF(LOWER(Capacity!$L87)="x",IF(AND(SUMIF(Capacity_Resource,$D75,'Critical resources (hide)'!BK$6:BK$105)+SUMIF(Capacity_Resource,$E75,'Critical resources (hide)'!BK$6:BK$105)+SUMIF(Capacity_Resource,$F75,'Critical resources (hide)'!BK$6:BK$105)&gt;0,$E$1=2),0,1),0)</f>
        <v>1</v>
      </c>
      <c r="AY75" s="67">
        <f ca="1">IF(LOWER(Capacity!$L87)="x",IF(AND(SUMIF(Capacity_Resource,$D75,'Critical resources (hide)'!BL$6:BL$105)+SUMIF(Capacity_Resource,$E75,'Critical resources (hide)'!BL$6:BL$105)+SUMIF(Capacity_Resource,$F75,'Critical resources (hide)'!BL$6:BL$105)&gt;0,$E$1=2),0,1),0)</f>
        <v>1</v>
      </c>
      <c r="AZ75" s="67">
        <f ca="1">IF(LOWER(Capacity!$L87)="x",IF(AND(SUMIF(Capacity_Resource,$D75,'Critical resources (hide)'!BM$6:BM$105)+SUMIF(Capacity_Resource,$E75,'Critical resources (hide)'!BM$6:BM$105)+SUMIF(Capacity_Resource,$F75,'Critical resources (hide)'!BM$6:BM$105)&gt;0,$E$1=2),0,1),0)</f>
        <v>1</v>
      </c>
      <c r="BA75" s="67">
        <f ca="1">IF(LOWER(Capacity!$L87)="x",IF(AND(SUMIF(Capacity_Resource,$D75,'Critical resources (hide)'!BN$6:BN$105)+SUMIF(Capacity_Resource,$E75,'Critical resources (hide)'!BN$6:BN$105)+SUMIF(Capacity_Resource,$F75,'Critical resources (hide)'!BN$6:BN$105)&gt;0,$E$1=2),0,1),0)</f>
        <v>1</v>
      </c>
      <c r="BB75" s="67">
        <f ca="1">IF(LOWER(Capacity!$L87)="x",IF(AND(SUMIF(Capacity_Resource,$D75,'Critical resources (hide)'!BO$6:BO$105)+SUMIF(Capacity_Resource,$E75,'Critical resources (hide)'!BO$6:BO$105)+SUMIF(Capacity_Resource,$F75,'Critical resources (hide)'!BO$6:BO$105)&gt;0,$E$1=2),0,1),0)</f>
        <v>1</v>
      </c>
      <c r="BC75" s="67">
        <f ca="1">IF(LOWER(Capacity!$L87)="x",IF(AND(SUMIF(Capacity_Resource,$D75,'Critical resources (hide)'!BP$6:BP$105)+SUMIF(Capacity_Resource,$E75,'Critical resources (hide)'!BP$6:BP$105)+SUMIF(Capacity_Resource,$F75,'Critical resources (hide)'!BP$6:BP$105)&gt;0,$E$1=2),0,1),0)</f>
        <v>1</v>
      </c>
      <c r="BD75" s="67">
        <f ca="1">IF(LOWER(Capacity!$L87)="x",IF(AND(SUMIF(Capacity_Resource,$D75,'Critical resources (hide)'!BQ$6:BQ$105)+SUMIF(Capacity_Resource,$E75,'Critical resources (hide)'!BQ$6:BQ$105)+SUMIF(Capacity_Resource,$F75,'Critical resources (hide)'!BQ$6:BQ$105)&gt;0,$E$1=2),0,1),0)</f>
        <v>1</v>
      </c>
      <c r="BE75" s="67">
        <f ca="1">IF(LOWER(Capacity!$L87)="x",IF(AND(SUMIF(Capacity_Resource,$D75,'Critical resources (hide)'!BR$6:BR$105)+SUMIF(Capacity_Resource,$E75,'Critical resources (hide)'!BR$6:BR$105)+SUMIF(Capacity_Resource,$F75,'Critical resources (hide)'!BR$6:BR$105)&gt;0,$E$1=2),0,1),0)</f>
        <v>1</v>
      </c>
      <c r="BF75" s="67">
        <f ca="1">IF(LOWER(Capacity!$L87)="x",IF(AND(SUMIF(Capacity_Resource,$D75,'Critical resources (hide)'!BS$6:BS$105)+SUMIF(Capacity_Resource,$E75,'Critical resources (hide)'!BS$6:BS$105)+SUMIF(Capacity_Resource,$F75,'Critical resources (hide)'!BS$6:BS$105)&gt;0,$E$1=2),0,1),0)</f>
        <v>1</v>
      </c>
      <c r="BG75" s="67">
        <f ca="1">IF(LOWER(Capacity!$L87)="x",IF(AND(SUMIF(Capacity_Resource,$D75,'Critical resources (hide)'!BT$6:BT$105)+SUMIF(Capacity_Resource,$E75,'Critical resources (hide)'!BT$6:BT$105)+SUMIF(Capacity_Resource,$F75,'Critical resources (hide)'!BT$6:BT$105)&gt;0,$E$1=2),0,1),0)</f>
        <v>1</v>
      </c>
      <c r="BH75" s="67">
        <f>IF(ROW(C71)&lt;=Capacity!$A$16,IF('Capacity summary'!$D$14="No",SUM(H75:BG75),'Capacity summary'!$E194),0)</f>
        <v>0</v>
      </c>
      <c r="BI75" s="5" t="str">
        <f>IF(BH75&gt;0,IF(BH75&lt;Capacity!E87,Capacity!F87,Capacity!H87/'Capacity calculation (hide)'!BH75),"")</f>
        <v/>
      </c>
      <c r="BK75" s="311">
        <f>IF($BI75&lt;&gt;"",IF('Capacity summary'!$D$14="Yes",IF(COUNTBLANK('Capacity summary'!$H194:$BG194)&lt;52,IF('Capacity summary'!H194&lt;&gt;"",IF(LOWER('Capacity summary'!H194)="x",$BI75*H75,VALUE('Capacity summary'!H194)),0),H75*$BI75),H75*$BI75),0)</f>
        <v>0</v>
      </c>
      <c r="BL75" s="311">
        <f>IF($BI75&lt;&gt;"",IF('Capacity summary'!$D$14="Yes",IF(COUNTBLANK('Capacity summary'!$H194:$BG194)&lt;52,IF('Capacity summary'!I194&lt;&gt;"",IF(LOWER('Capacity summary'!I194)="x",$BI75*I75,VALUE('Capacity summary'!I194)),0),I75*$BI75),I75*$BI75),0)</f>
        <v>0</v>
      </c>
      <c r="BM75" s="311">
        <f>IF($BI75&lt;&gt;"",IF('Capacity summary'!$D$14="Yes",IF(COUNTBLANK('Capacity summary'!$H194:$BG194)&lt;52,IF('Capacity summary'!J194&lt;&gt;"",IF(LOWER('Capacity summary'!J194)="x",$BI75*J75,VALUE('Capacity summary'!J194)),0),J75*$BI75),J75*$BI75),0)</f>
        <v>0</v>
      </c>
      <c r="BN75" s="311">
        <f>IF($BI75&lt;&gt;"",IF('Capacity summary'!$D$14="Yes",IF(COUNTBLANK('Capacity summary'!$H194:$BG194)&lt;52,IF('Capacity summary'!K194&lt;&gt;"",IF(LOWER('Capacity summary'!K194)="x",$BI75*K75,VALUE('Capacity summary'!K194)),0),K75*$BI75),K75*$BI75),0)</f>
        <v>0</v>
      </c>
      <c r="BO75" s="311">
        <f>IF($BI75&lt;&gt;"",IF('Capacity summary'!$D$14="Yes",IF(COUNTBLANK('Capacity summary'!$H194:$BG194)&lt;52,IF('Capacity summary'!L194&lt;&gt;"",IF(LOWER('Capacity summary'!L194)="x",$BI75*L75,VALUE('Capacity summary'!L194)),0),L75*$BI75),L75*$BI75),0)</f>
        <v>0</v>
      </c>
      <c r="BP75" s="311">
        <f>IF($BI75&lt;&gt;"",IF('Capacity summary'!$D$14="Yes",IF(COUNTBLANK('Capacity summary'!$H194:$BG194)&lt;52,IF('Capacity summary'!M194&lt;&gt;"",IF(LOWER('Capacity summary'!M194)="x",$BI75*M75,VALUE('Capacity summary'!M194)),0),M75*$BI75),M75*$BI75),0)</f>
        <v>0</v>
      </c>
      <c r="BQ75" s="311">
        <f>IF($BI75&lt;&gt;"",IF('Capacity summary'!$D$14="Yes",IF(COUNTBLANK('Capacity summary'!$H194:$BG194)&lt;52,IF('Capacity summary'!N194&lt;&gt;"",IF(LOWER('Capacity summary'!N194)="x",$BI75*N75,VALUE('Capacity summary'!N194)),0),N75*$BI75),N75*$BI75),0)</f>
        <v>0</v>
      </c>
      <c r="BR75" s="311">
        <f>IF($BI75&lt;&gt;"",IF('Capacity summary'!$D$14="Yes",IF(COUNTBLANK('Capacity summary'!$H194:$BG194)&lt;52,IF('Capacity summary'!O194&lt;&gt;"",IF(LOWER('Capacity summary'!O194)="x",$BI75*O75,VALUE('Capacity summary'!O194)),0),O75*$BI75),O75*$BI75),0)</f>
        <v>0</v>
      </c>
      <c r="BS75" s="311">
        <f>IF($BI75&lt;&gt;"",IF('Capacity summary'!$D$14="Yes",IF(COUNTBLANK('Capacity summary'!$H194:$BG194)&lt;52,IF('Capacity summary'!P194&lt;&gt;"",IF(LOWER('Capacity summary'!P194)="x",$BI75*P75,VALUE('Capacity summary'!P194)),0),P75*$BI75),P75*$BI75),0)</f>
        <v>0</v>
      </c>
      <c r="BT75" s="311">
        <f>IF($BI75&lt;&gt;"",IF('Capacity summary'!$D$14="Yes",IF(COUNTBLANK('Capacity summary'!$H194:$BG194)&lt;52,IF('Capacity summary'!Q194&lt;&gt;"",IF(LOWER('Capacity summary'!Q194)="x",$BI75*Q75,VALUE('Capacity summary'!Q194)),0),Q75*$BI75),Q75*$BI75),0)</f>
        <v>0</v>
      </c>
      <c r="BU75" s="311">
        <f>IF($BI75&lt;&gt;"",IF('Capacity summary'!$D$14="Yes",IF(COUNTBLANK('Capacity summary'!$H194:$BG194)&lt;52,IF('Capacity summary'!R194&lt;&gt;"",IF(LOWER('Capacity summary'!R194)="x",$BI75*R75,VALUE('Capacity summary'!R194)),0),R75*$BI75),R75*$BI75),0)</f>
        <v>0</v>
      </c>
      <c r="BV75" s="311">
        <f>IF($BI75&lt;&gt;"",IF('Capacity summary'!$D$14="Yes",IF(COUNTBLANK('Capacity summary'!$H194:$BG194)&lt;52,IF('Capacity summary'!S194&lt;&gt;"",IF(LOWER('Capacity summary'!S194)="x",$BI75*S75,VALUE('Capacity summary'!S194)),0),S75*$BI75),S75*$BI75),0)</f>
        <v>0</v>
      </c>
      <c r="BW75" s="311">
        <f>IF($BI75&lt;&gt;"",IF('Capacity summary'!$D$14="Yes",IF(COUNTBLANK('Capacity summary'!$H194:$BG194)&lt;52,IF('Capacity summary'!T194&lt;&gt;"",IF(LOWER('Capacity summary'!T194)="x",$BI75*T75,VALUE('Capacity summary'!T194)),0),T75*$BI75),T75*$BI75),0)</f>
        <v>0</v>
      </c>
      <c r="BX75" s="311">
        <f>IF($BI75&lt;&gt;"",IF('Capacity summary'!$D$14="Yes",IF(COUNTBLANK('Capacity summary'!$H194:$BG194)&lt;52,IF('Capacity summary'!U194&lt;&gt;"",IF(LOWER('Capacity summary'!U194)="x",$BI75*U75,VALUE('Capacity summary'!U194)),0),U75*$BI75),U75*$BI75),0)</f>
        <v>0</v>
      </c>
      <c r="BY75" s="311">
        <f>IF($BI75&lt;&gt;"",IF('Capacity summary'!$D$14="Yes",IF(COUNTBLANK('Capacity summary'!$H194:$BG194)&lt;52,IF('Capacity summary'!V194&lt;&gt;"",IF(LOWER('Capacity summary'!V194)="x",$BI75*V75,VALUE('Capacity summary'!V194)),0),V75*$BI75),V75*$BI75),0)</f>
        <v>0</v>
      </c>
      <c r="BZ75" s="311">
        <f>IF($BI75&lt;&gt;"",IF('Capacity summary'!$D$14="Yes",IF(COUNTBLANK('Capacity summary'!$H194:$BG194)&lt;52,IF('Capacity summary'!W194&lt;&gt;"",IF(LOWER('Capacity summary'!W194)="x",$BI75*W75,VALUE('Capacity summary'!W194)),0),W75*$BI75),W75*$BI75),0)</f>
        <v>0</v>
      </c>
      <c r="CA75" s="311">
        <f>IF($BI75&lt;&gt;"",IF('Capacity summary'!$D$14="Yes",IF(COUNTBLANK('Capacity summary'!$H194:$BG194)&lt;52,IF('Capacity summary'!X194&lt;&gt;"",IF(LOWER('Capacity summary'!X194)="x",$BI75*X75,VALUE('Capacity summary'!X194)),0),X75*$BI75),X75*$BI75),0)</f>
        <v>0</v>
      </c>
      <c r="CB75" s="311">
        <f>IF($BI75&lt;&gt;"",IF('Capacity summary'!$D$14="Yes",IF(COUNTBLANK('Capacity summary'!$H194:$BG194)&lt;52,IF('Capacity summary'!Y194&lt;&gt;"",IF(LOWER('Capacity summary'!Y194)="x",$BI75*Y75,VALUE('Capacity summary'!Y194)),0),Y75*$BI75),Y75*$BI75),0)</f>
        <v>0</v>
      </c>
      <c r="CC75" s="311">
        <f>IF($BI75&lt;&gt;"",IF('Capacity summary'!$D$14="Yes",IF(COUNTBLANK('Capacity summary'!$H194:$BG194)&lt;52,IF('Capacity summary'!Z194&lt;&gt;"",IF(LOWER('Capacity summary'!Z194)="x",$BI75*Z75,VALUE('Capacity summary'!Z194)),0),Z75*$BI75),Z75*$BI75),0)</f>
        <v>0</v>
      </c>
      <c r="CD75" s="311">
        <f>IF($BI75&lt;&gt;"",IF('Capacity summary'!$D$14="Yes",IF(COUNTBLANK('Capacity summary'!$H194:$BG194)&lt;52,IF('Capacity summary'!AA194&lt;&gt;"",IF(LOWER('Capacity summary'!AA194)="x",$BI75*AA75,VALUE('Capacity summary'!AA194)),0),AA75*$BI75),AA75*$BI75),0)</f>
        <v>0</v>
      </c>
      <c r="CE75" s="311">
        <f>IF($BI75&lt;&gt;"",IF('Capacity summary'!$D$14="Yes",IF(COUNTBLANK('Capacity summary'!$H194:$BG194)&lt;52,IF('Capacity summary'!AB194&lt;&gt;"",IF(LOWER('Capacity summary'!AB194)="x",$BI75*AB75,VALUE('Capacity summary'!AB194)),0),AB75*$BI75),AB75*$BI75),0)</f>
        <v>0</v>
      </c>
      <c r="CF75" s="311">
        <f>IF($BI75&lt;&gt;"",IF('Capacity summary'!$D$14="Yes",IF(COUNTBLANK('Capacity summary'!$H194:$BG194)&lt;52,IF('Capacity summary'!AC194&lt;&gt;"",IF(LOWER('Capacity summary'!AC194)="x",$BI75*AC75,VALUE('Capacity summary'!AC194)),0),AC75*$BI75),AC75*$BI75),0)</f>
        <v>0</v>
      </c>
      <c r="CG75" s="311">
        <f>IF($BI75&lt;&gt;"",IF('Capacity summary'!$D$14="Yes",IF(COUNTBLANK('Capacity summary'!$H194:$BG194)&lt;52,IF('Capacity summary'!AD194&lt;&gt;"",IF(LOWER('Capacity summary'!AD194)="x",$BI75*AD75,VALUE('Capacity summary'!AD194)),0),AD75*$BI75),AD75*$BI75),0)</f>
        <v>0</v>
      </c>
      <c r="CH75" s="311">
        <f>IF($BI75&lt;&gt;"",IF('Capacity summary'!$D$14="Yes",IF(COUNTBLANK('Capacity summary'!$H194:$BG194)&lt;52,IF('Capacity summary'!AE194&lt;&gt;"",IF(LOWER('Capacity summary'!AE194)="x",$BI75*AE75,VALUE('Capacity summary'!AE194)),0),AE75*$BI75),AE75*$BI75),0)</f>
        <v>0</v>
      </c>
      <c r="CI75" s="311">
        <f>IF($BI75&lt;&gt;"",IF('Capacity summary'!$D$14="Yes",IF(COUNTBLANK('Capacity summary'!$H194:$BG194)&lt;52,IF('Capacity summary'!AF194&lt;&gt;"",IF(LOWER('Capacity summary'!AF194)="x",$BI75*AF75,VALUE('Capacity summary'!AF194)),0),AF75*$BI75),AF75*$BI75),0)</f>
        <v>0</v>
      </c>
      <c r="CJ75" s="311">
        <f>IF($BI75&lt;&gt;"",IF('Capacity summary'!$D$14="Yes",IF(COUNTBLANK('Capacity summary'!$H194:$BG194)&lt;52,IF('Capacity summary'!AG194&lt;&gt;"",IF(LOWER('Capacity summary'!AG194)="x",$BI75*AG75,VALUE('Capacity summary'!AG194)),0),AG75*$BI75),AG75*$BI75),0)</f>
        <v>0</v>
      </c>
      <c r="CK75" s="311">
        <f>IF($BI75&lt;&gt;"",IF('Capacity summary'!$D$14="Yes",IF(COUNTBLANK('Capacity summary'!$H194:$BG194)&lt;52,IF('Capacity summary'!AH194&lt;&gt;"",IF(LOWER('Capacity summary'!AH194)="x",$BI75*AH75,VALUE('Capacity summary'!AH194)),0),AH75*$BI75),AH75*$BI75),0)</f>
        <v>0</v>
      </c>
      <c r="CL75" s="311">
        <f>IF($BI75&lt;&gt;"",IF('Capacity summary'!$D$14="Yes",IF(COUNTBLANK('Capacity summary'!$H194:$BG194)&lt;52,IF('Capacity summary'!AI194&lt;&gt;"",IF(LOWER('Capacity summary'!AI194)="x",$BI75*AI75,VALUE('Capacity summary'!AI194)),0),AI75*$BI75),AI75*$BI75),0)</f>
        <v>0</v>
      </c>
      <c r="CM75" s="311">
        <f>IF($BI75&lt;&gt;"",IF('Capacity summary'!$D$14="Yes",IF(COUNTBLANK('Capacity summary'!$H194:$BG194)&lt;52,IF('Capacity summary'!AJ194&lt;&gt;"",IF(LOWER('Capacity summary'!AJ194)="x",$BI75*AJ75,VALUE('Capacity summary'!AJ194)),0),AJ75*$BI75),AJ75*$BI75),0)</f>
        <v>0</v>
      </c>
      <c r="CN75" s="311">
        <f>IF($BI75&lt;&gt;"",IF('Capacity summary'!$D$14="Yes",IF(COUNTBLANK('Capacity summary'!$H194:$BG194)&lt;52,IF('Capacity summary'!AK194&lt;&gt;"",IF(LOWER('Capacity summary'!AK194)="x",$BI75*AK75,VALUE('Capacity summary'!AK194)),0),AK75*$BI75),AK75*$BI75),0)</f>
        <v>0</v>
      </c>
      <c r="CO75" s="311">
        <f>IF($BI75&lt;&gt;"",IF('Capacity summary'!$D$14="Yes",IF(COUNTBLANK('Capacity summary'!$H194:$BG194)&lt;52,IF('Capacity summary'!AL194&lt;&gt;"",IF(LOWER('Capacity summary'!AL194)="x",$BI75*AL75,VALUE('Capacity summary'!AL194)),0),AL75*$BI75),AL75*$BI75),0)</f>
        <v>0</v>
      </c>
      <c r="CP75" s="311">
        <f>IF($BI75&lt;&gt;"",IF('Capacity summary'!$D$14="Yes",IF(COUNTBLANK('Capacity summary'!$H194:$BG194)&lt;52,IF('Capacity summary'!AM194&lt;&gt;"",IF(LOWER('Capacity summary'!AM194)="x",$BI75*AM75,VALUE('Capacity summary'!AM194)),0),AM75*$BI75),AM75*$BI75),0)</f>
        <v>0</v>
      </c>
      <c r="CQ75" s="311">
        <f>IF($BI75&lt;&gt;"",IF('Capacity summary'!$D$14="Yes",IF(COUNTBLANK('Capacity summary'!$H194:$BG194)&lt;52,IF('Capacity summary'!AN194&lt;&gt;"",IF(LOWER('Capacity summary'!AN194)="x",$BI75*AN75,VALUE('Capacity summary'!AN194)),0),AN75*$BI75),AN75*$BI75),0)</f>
        <v>0</v>
      </c>
      <c r="CR75" s="311">
        <f>IF($BI75&lt;&gt;"",IF('Capacity summary'!$D$14="Yes",IF(COUNTBLANK('Capacity summary'!$H194:$BG194)&lt;52,IF('Capacity summary'!AO194&lt;&gt;"",IF(LOWER('Capacity summary'!AO194)="x",$BI75*AO75,VALUE('Capacity summary'!AO194)),0),AO75*$BI75),AO75*$BI75),0)</f>
        <v>0</v>
      </c>
      <c r="CS75" s="311">
        <f>IF($BI75&lt;&gt;"",IF('Capacity summary'!$D$14="Yes",IF(COUNTBLANK('Capacity summary'!$H194:$BG194)&lt;52,IF('Capacity summary'!AP194&lt;&gt;"",IF(LOWER('Capacity summary'!AP194)="x",$BI75*AP75,VALUE('Capacity summary'!AP194)),0),AP75*$BI75),AP75*$BI75),0)</f>
        <v>0</v>
      </c>
      <c r="CT75" s="311">
        <f>IF($BI75&lt;&gt;"",IF('Capacity summary'!$D$14="Yes",IF(COUNTBLANK('Capacity summary'!$H194:$BG194)&lt;52,IF('Capacity summary'!AQ194&lt;&gt;"",IF(LOWER('Capacity summary'!AQ194)="x",$BI75*AQ75,VALUE('Capacity summary'!AQ194)),0),AQ75*$BI75),AQ75*$BI75),0)</f>
        <v>0</v>
      </c>
      <c r="CU75" s="311">
        <f>IF($BI75&lt;&gt;"",IF('Capacity summary'!$D$14="Yes",IF(COUNTBLANK('Capacity summary'!$H194:$BG194)&lt;52,IF('Capacity summary'!AR194&lt;&gt;"",IF(LOWER('Capacity summary'!AR194)="x",$BI75*AR75,VALUE('Capacity summary'!AR194)),0),AR75*$BI75),AR75*$BI75),0)</f>
        <v>0</v>
      </c>
      <c r="CV75" s="311">
        <f>IF($BI75&lt;&gt;"",IF('Capacity summary'!$D$14="Yes",IF(COUNTBLANK('Capacity summary'!$H194:$BG194)&lt;52,IF('Capacity summary'!AS194&lt;&gt;"",IF(LOWER('Capacity summary'!AS194)="x",$BI75*AS75,VALUE('Capacity summary'!AS194)),0),AS75*$BI75),AS75*$BI75),0)</f>
        <v>0</v>
      </c>
      <c r="CW75" s="311">
        <f>IF($BI75&lt;&gt;"",IF('Capacity summary'!$D$14="Yes",IF(COUNTBLANK('Capacity summary'!$H194:$BG194)&lt;52,IF('Capacity summary'!AT194&lt;&gt;"",IF(LOWER('Capacity summary'!AT194)="x",$BI75*AT75,VALUE('Capacity summary'!AT194)),0),AT75*$BI75),AT75*$BI75),0)</f>
        <v>0</v>
      </c>
      <c r="CX75" s="311">
        <f>IF($BI75&lt;&gt;"",IF('Capacity summary'!$D$14="Yes",IF(COUNTBLANK('Capacity summary'!$H194:$BG194)&lt;52,IF('Capacity summary'!AU194&lt;&gt;"",IF(LOWER('Capacity summary'!AU194)="x",$BI75*AU75,VALUE('Capacity summary'!AU194)),0),AU75*$BI75),AU75*$BI75),0)</f>
        <v>0</v>
      </c>
      <c r="CY75" s="311">
        <f>IF($BI75&lt;&gt;"",IF('Capacity summary'!$D$14="Yes",IF(COUNTBLANK('Capacity summary'!$H194:$BG194)&lt;52,IF('Capacity summary'!AV194&lt;&gt;"",IF(LOWER('Capacity summary'!AV194)="x",$BI75*AV75,VALUE('Capacity summary'!AV194)),0),AV75*$BI75),AV75*$BI75),0)</f>
        <v>0</v>
      </c>
      <c r="CZ75" s="311">
        <f>IF($BI75&lt;&gt;"",IF('Capacity summary'!$D$14="Yes",IF(COUNTBLANK('Capacity summary'!$H194:$BG194)&lt;52,IF('Capacity summary'!AW194&lt;&gt;"",IF(LOWER('Capacity summary'!AW194)="x",$BI75*AW75,VALUE('Capacity summary'!AW194)),0),AW75*$BI75),AW75*$BI75),0)</f>
        <v>0</v>
      </c>
      <c r="DA75" s="311">
        <f>IF($BI75&lt;&gt;"",IF('Capacity summary'!$D$14="Yes",IF(COUNTBLANK('Capacity summary'!$H194:$BG194)&lt;52,IF('Capacity summary'!AX194&lt;&gt;"",IF(LOWER('Capacity summary'!AX194)="x",$BI75*AX75,VALUE('Capacity summary'!AX194)),0),AX75*$BI75),AX75*$BI75),0)</f>
        <v>0</v>
      </c>
      <c r="DB75" s="311">
        <f>IF($BI75&lt;&gt;"",IF('Capacity summary'!$D$14="Yes",IF(COUNTBLANK('Capacity summary'!$H194:$BG194)&lt;52,IF('Capacity summary'!AY194&lt;&gt;"",IF(LOWER('Capacity summary'!AY194)="x",$BI75*AY75,VALUE('Capacity summary'!AY194)),0),AY75*$BI75),AY75*$BI75),0)</f>
        <v>0</v>
      </c>
      <c r="DC75" s="311">
        <f>IF($BI75&lt;&gt;"",IF('Capacity summary'!$D$14="Yes",IF(COUNTBLANK('Capacity summary'!$H194:$BG194)&lt;52,IF('Capacity summary'!AZ194&lt;&gt;"",IF(LOWER('Capacity summary'!AZ194)="x",$BI75*AZ75,VALUE('Capacity summary'!AZ194)),0),AZ75*$BI75),AZ75*$BI75),0)</f>
        <v>0</v>
      </c>
      <c r="DD75" s="311">
        <f>IF($BI75&lt;&gt;"",IF('Capacity summary'!$D$14="Yes",IF(COUNTBLANK('Capacity summary'!$H194:$BG194)&lt;52,IF('Capacity summary'!BA194&lt;&gt;"",IF(LOWER('Capacity summary'!BA194)="x",$BI75*BA75,VALUE('Capacity summary'!BA194)),0),BA75*$BI75),BA75*$BI75),0)</f>
        <v>0</v>
      </c>
      <c r="DE75" s="311">
        <f>IF($BI75&lt;&gt;"",IF('Capacity summary'!$D$14="Yes",IF(COUNTBLANK('Capacity summary'!$H194:$BG194)&lt;52,IF('Capacity summary'!BB194&lt;&gt;"",IF(LOWER('Capacity summary'!BB194)="x",$BI75*BB75,VALUE('Capacity summary'!BB194)),0),BB75*$BI75),BB75*$BI75),0)</f>
        <v>0</v>
      </c>
      <c r="DF75" s="311">
        <f>IF($BI75&lt;&gt;"",IF('Capacity summary'!$D$14="Yes",IF(COUNTBLANK('Capacity summary'!$H194:$BG194)&lt;52,IF('Capacity summary'!BC194&lt;&gt;"",IF(LOWER('Capacity summary'!BC194)="x",$BI75*BC75,VALUE('Capacity summary'!BC194)),0),BC75*$BI75),BC75*$BI75),0)</f>
        <v>0</v>
      </c>
      <c r="DG75" s="311">
        <f>IF($BI75&lt;&gt;"",IF('Capacity summary'!$D$14="Yes",IF(COUNTBLANK('Capacity summary'!$H194:$BG194)&lt;52,IF('Capacity summary'!BD194&lt;&gt;"",IF(LOWER('Capacity summary'!BD194)="x",$BI75*BD75,VALUE('Capacity summary'!BD194)),0),BD75*$BI75),BD75*$BI75),0)</f>
        <v>0</v>
      </c>
      <c r="DH75" s="311">
        <f>IF($BI75&lt;&gt;"",IF('Capacity summary'!$D$14="Yes",IF(COUNTBLANK('Capacity summary'!$H194:$BG194)&lt;52,IF('Capacity summary'!BE194&lt;&gt;"",IF(LOWER('Capacity summary'!BE194)="x",$BI75*BE75,VALUE('Capacity summary'!BE194)),0),BE75*$BI75),BE75*$BI75),0)</f>
        <v>0</v>
      </c>
      <c r="DI75" s="311">
        <f>IF($BI75&lt;&gt;"",IF('Capacity summary'!$D$14="Yes",IF(COUNTBLANK('Capacity summary'!$H194:$BG194)&lt;52,IF('Capacity summary'!BF194&lt;&gt;"",IF(LOWER('Capacity summary'!BF194)="x",$BI75*BF75,VALUE('Capacity summary'!BF194)),0),BF75*$BI75),BF75*$BI75),0)</f>
        <v>0</v>
      </c>
      <c r="DJ75" s="311">
        <f>IF($BI75&lt;&gt;"",IF('Capacity summary'!$D$14="Yes",IF(COUNTBLANK('Capacity summary'!$H194:$BG194)&lt;52,IF('Capacity summary'!BG194&lt;&gt;"",IF(LOWER('Capacity summary'!BG194)="x",$BI75*BG75,VALUE('Capacity summary'!BG194)),0),BG75*$BI75),BG75*$BI75),0)</f>
        <v>0</v>
      </c>
      <c r="DK75" s="391">
        <f t="shared" si="4"/>
        <v>0</v>
      </c>
      <c r="DL75" s="136">
        <f t="shared" si="5"/>
        <v>0</v>
      </c>
      <c r="DM75" s="311" t="str">
        <f>Capacity!H87</f>
        <v/>
      </c>
    </row>
    <row r="76" spans="1:117" x14ac:dyDescent="0.2">
      <c r="A76" s="67">
        <f>IF(Capacity!L88='Capacity summary'!BI195,1,0)</f>
        <v>1</v>
      </c>
      <c r="B76" s="67">
        <f>IF(Capacity!V88='Capacity summary'!BI95,1,0)</f>
        <v>1</v>
      </c>
      <c r="C76" s="67" t="str">
        <f>ROW(A72)&amp;". "&amp;Capacity!B88</f>
        <v xml:space="preserve">72. </v>
      </c>
      <c r="D76" s="67">
        <f>'Capacity setup'!C83</f>
        <v>0</v>
      </c>
      <c r="E76" s="67">
        <f>'Capacity setup'!D83</f>
        <v>0</v>
      </c>
      <c r="F76" s="67">
        <f>'Capacity setup'!E83</f>
        <v>0</v>
      </c>
      <c r="H76" s="67">
        <f ca="1">IF(LOWER(Capacity!$L88)="x",IF(AND(SUMIF(Capacity_Resource,$D76,'Critical resources (hide)'!U$6:U$105)+SUMIF(Capacity_Resource,$E76,'Critical resources (hide)'!U$6:U$105)+SUMIF(Capacity_Resource,$F76,'Critical resources (hide)'!U$6:U$105)&gt;0,$E$1=2),0,1),0)</f>
        <v>1</v>
      </c>
      <c r="I76" s="67">
        <f ca="1">IF(LOWER(Capacity!$L88)="x",IF(AND(SUMIF(Capacity_Resource,$D76,'Critical resources (hide)'!V$6:V$105)+SUMIF(Capacity_Resource,$E76,'Critical resources (hide)'!V$6:V$105)+SUMIF(Capacity_Resource,$F76,'Critical resources (hide)'!V$6:V$105)&gt;0,$E$1=2),0,1),0)</f>
        <v>1</v>
      </c>
      <c r="J76" s="67">
        <f ca="1">IF(LOWER(Capacity!$L88)="x",IF(AND(SUMIF(Capacity_Resource,$D76,'Critical resources (hide)'!W$6:W$105)+SUMIF(Capacity_Resource,$E76,'Critical resources (hide)'!W$6:W$105)+SUMIF(Capacity_Resource,$F76,'Critical resources (hide)'!W$6:W$105)&gt;0,$E$1=2),0,1),0)</f>
        <v>1</v>
      </c>
      <c r="K76" s="67">
        <f ca="1">IF(LOWER(Capacity!$L88)="x",IF(AND(SUMIF(Capacity_Resource,$D76,'Critical resources (hide)'!X$6:X$105)+SUMIF(Capacity_Resource,$E76,'Critical resources (hide)'!X$6:X$105)+SUMIF(Capacity_Resource,$F76,'Critical resources (hide)'!X$6:X$105)&gt;0,$E$1=2),0,1),0)</f>
        <v>1</v>
      </c>
      <c r="L76" s="67">
        <f ca="1">IF(LOWER(Capacity!$L88)="x",IF(AND(SUMIF(Capacity_Resource,$D76,'Critical resources (hide)'!Y$6:Y$105)+SUMIF(Capacity_Resource,$E76,'Critical resources (hide)'!Y$6:Y$105)+SUMIF(Capacity_Resource,$F76,'Critical resources (hide)'!Y$6:Y$105)&gt;0,$E$1=2),0,1),0)</f>
        <v>1</v>
      </c>
      <c r="M76" s="67">
        <f ca="1">IF(LOWER(Capacity!$L88)="x",IF(AND(SUMIF(Capacity_Resource,$D76,'Critical resources (hide)'!Z$6:Z$105)+SUMIF(Capacity_Resource,$E76,'Critical resources (hide)'!Z$6:Z$105)+SUMIF(Capacity_Resource,$F76,'Critical resources (hide)'!Z$6:Z$105)&gt;0,$E$1=2),0,1),0)</f>
        <v>1</v>
      </c>
      <c r="N76" s="67">
        <f ca="1">IF(LOWER(Capacity!$L88)="x",IF(AND(SUMIF(Capacity_Resource,$D76,'Critical resources (hide)'!AA$6:AA$105)+SUMIF(Capacity_Resource,$E76,'Critical resources (hide)'!AA$6:AA$105)+SUMIF(Capacity_Resource,$F76,'Critical resources (hide)'!AA$6:AA$105)&gt;0,$E$1=2),0,1),0)</f>
        <v>1</v>
      </c>
      <c r="O76" s="67">
        <f ca="1">IF(LOWER(Capacity!$L88)="x",IF(AND(SUMIF(Capacity_Resource,$D76,'Critical resources (hide)'!AB$6:AB$105)+SUMIF(Capacity_Resource,$E76,'Critical resources (hide)'!AB$6:AB$105)+SUMIF(Capacity_Resource,$F76,'Critical resources (hide)'!AB$6:AB$105)&gt;0,$E$1=2),0,1),0)</f>
        <v>1</v>
      </c>
      <c r="P76" s="67">
        <f ca="1">IF(LOWER(Capacity!$L88)="x",IF(AND(SUMIF(Capacity_Resource,$D76,'Critical resources (hide)'!AC$6:AC$105)+SUMIF(Capacity_Resource,$E76,'Critical resources (hide)'!AC$6:AC$105)+SUMIF(Capacity_Resource,$F76,'Critical resources (hide)'!AC$6:AC$105)&gt;0,$E$1=2),0,1),0)</f>
        <v>1</v>
      </c>
      <c r="Q76" s="67">
        <f ca="1">IF(LOWER(Capacity!$L88)="x",IF(AND(SUMIF(Capacity_Resource,$D76,'Critical resources (hide)'!AD$6:AD$105)+SUMIF(Capacity_Resource,$E76,'Critical resources (hide)'!AD$6:AD$105)+SUMIF(Capacity_Resource,$F76,'Critical resources (hide)'!AD$6:AD$105)&gt;0,$E$1=2),0,1),0)</f>
        <v>1</v>
      </c>
      <c r="R76" s="67">
        <f ca="1">IF(LOWER(Capacity!$L88)="x",IF(AND(SUMIF(Capacity_Resource,$D76,'Critical resources (hide)'!AE$6:AE$105)+SUMIF(Capacity_Resource,$E76,'Critical resources (hide)'!AE$6:AE$105)+SUMIF(Capacity_Resource,$F76,'Critical resources (hide)'!AE$6:AE$105)&gt;0,$E$1=2),0,1),0)</f>
        <v>1</v>
      </c>
      <c r="S76" s="67">
        <f ca="1">IF(LOWER(Capacity!$L88)="x",IF(AND(SUMIF(Capacity_Resource,$D76,'Critical resources (hide)'!AF$6:AF$105)+SUMIF(Capacity_Resource,$E76,'Critical resources (hide)'!AF$6:AF$105)+SUMIF(Capacity_Resource,$F76,'Critical resources (hide)'!AF$6:AF$105)&gt;0,$E$1=2),0,1),0)</f>
        <v>1</v>
      </c>
      <c r="T76" s="67">
        <f ca="1">IF(LOWER(Capacity!$L88)="x",IF(AND(SUMIF(Capacity_Resource,$D76,'Critical resources (hide)'!AG$6:AG$105)+SUMIF(Capacity_Resource,$E76,'Critical resources (hide)'!AG$6:AG$105)+SUMIF(Capacity_Resource,$F76,'Critical resources (hide)'!AG$6:AG$105)&gt;0,$E$1=2),0,1),0)</f>
        <v>1</v>
      </c>
      <c r="U76" s="67">
        <f ca="1">IF(LOWER(Capacity!$L88)="x",IF(AND(SUMIF(Capacity_Resource,$D76,'Critical resources (hide)'!AH$6:AH$105)+SUMIF(Capacity_Resource,$E76,'Critical resources (hide)'!AH$6:AH$105)+SUMIF(Capacity_Resource,$F76,'Critical resources (hide)'!AH$6:AH$105)&gt;0,$E$1=2),0,1),0)</f>
        <v>1</v>
      </c>
      <c r="V76" s="67">
        <f ca="1">IF(LOWER(Capacity!$L88)="x",IF(AND(SUMIF(Capacity_Resource,$D76,'Critical resources (hide)'!AI$6:AI$105)+SUMIF(Capacity_Resource,$E76,'Critical resources (hide)'!AI$6:AI$105)+SUMIF(Capacity_Resource,$F76,'Critical resources (hide)'!AI$6:AI$105)&gt;0,$E$1=2),0,1),0)</f>
        <v>1</v>
      </c>
      <c r="W76" s="67">
        <f ca="1">IF(LOWER(Capacity!$L88)="x",IF(AND(SUMIF(Capacity_Resource,$D76,'Critical resources (hide)'!AJ$6:AJ$105)+SUMIF(Capacity_Resource,$E76,'Critical resources (hide)'!AJ$6:AJ$105)+SUMIF(Capacity_Resource,$F76,'Critical resources (hide)'!AJ$6:AJ$105)&gt;0,$E$1=2),0,1),0)</f>
        <v>1</v>
      </c>
      <c r="X76" s="67">
        <f ca="1">IF(LOWER(Capacity!$L88)="x",IF(AND(SUMIF(Capacity_Resource,$D76,'Critical resources (hide)'!AK$6:AK$105)+SUMIF(Capacity_Resource,$E76,'Critical resources (hide)'!AK$6:AK$105)+SUMIF(Capacity_Resource,$F76,'Critical resources (hide)'!AK$6:AK$105)&gt;0,$E$1=2),0,1),0)</f>
        <v>1</v>
      </c>
      <c r="Y76" s="67">
        <f ca="1">IF(LOWER(Capacity!$L88)="x",IF(AND(SUMIF(Capacity_Resource,$D76,'Critical resources (hide)'!AL$6:AL$105)+SUMIF(Capacity_Resource,$E76,'Critical resources (hide)'!AL$6:AL$105)+SUMIF(Capacity_Resource,$F76,'Critical resources (hide)'!AL$6:AL$105)&gt;0,$E$1=2),0,1),0)</f>
        <v>1</v>
      </c>
      <c r="Z76" s="67">
        <f ca="1">IF(LOWER(Capacity!$L88)="x",IF(AND(SUMIF(Capacity_Resource,$D76,'Critical resources (hide)'!AM$6:AM$105)+SUMIF(Capacity_Resource,$E76,'Critical resources (hide)'!AM$6:AM$105)+SUMIF(Capacity_Resource,$F76,'Critical resources (hide)'!AM$6:AM$105)&gt;0,$E$1=2),0,1),0)</f>
        <v>1</v>
      </c>
      <c r="AA76" s="67">
        <f ca="1">IF(LOWER(Capacity!$L88)="x",IF(AND(SUMIF(Capacity_Resource,$D76,'Critical resources (hide)'!AN$6:AN$105)+SUMIF(Capacity_Resource,$E76,'Critical resources (hide)'!AN$6:AN$105)+SUMIF(Capacity_Resource,$F76,'Critical resources (hide)'!AN$6:AN$105)&gt;0,$E$1=2),0,1),0)</f>
        <v>1</v>
      </c>
      <c r="AB76" s="67">
        <f ca="1">IF(LOWER(Capacity!$L88)="x",IF(AND(SUMIF(Capacity_Resource,$D76,'Critical resources (hide)'!AO$6:AO$105)+SUMIF(Capacity_Resource,$E76,'Critical resources (hide)'!AO$6:AO$105)+SUMIF(Capacity_Resource,$F76,'Critical resources (hide)'!AO$6:AO$105)&gt;0,$E$1=2),0,1),0)</f>
        <v>1</v>
      </c>
      <c r="AC76" s="67">
        <f ca="1">IF(LOWER(Capacity!$L88)="x",IF(AND(SUMIF(Capacity_Resource,$D76,'Critical resources (hide)'!AP$6:AP$105)+SUMIF(Capacity_Resource,$E76,'Critical resources (hide)'!AP$6:AP$105)+SUMIF(Capacity_Resource,$F76,'Critical resources (hide)'!AP$6:AP$105)&gt;0,$E$1=2),0,1),0)</f>
        <v>1</v>
      </c>
      <c r="AD76" s="67">
        <f ca="1">IF(LOWER(Capacity!$L88)="x",IF(AND(SUMIF(Capacity_Resource,$D76,'Critical resources (hide)'!AQ$6:AQ$105)+SUMIF(Capacity_Resource,$E76,'Critical resources (hide)'!AQ$6:AQ$105)+SUMIF(Capacity_Resource,$F76,'Critical resources (hide)'!AQ$6:AQ$105)&gt;0,$E$1=2),0,1),0)</f>
        <v>1</v>
      </c>
      <c r="AE76" s="67">
        <f ca="1">IF(LOWER(Capacity!$L88)="x",IF(AND(SUMIF(Capacity_Resource,$D76,'Critical resources (hide)'!AR$6:AR$105)+SUMIF(Capacity_Resource,$E76,'Critical resources (hide)'!AR$6:AR$105)+SUMIF(Capacity_Resource,$F76,'Critical resources (hide)'!AR$6:AR$105)&gt;0,$E$1=2),0,1),0)</f>
        <v>1</v>
      </c>
      <c r="AF76" s="67">
        <f ca="1">IF(LOWER(Capacity!$L88)="x",IF(AND(SUMIF(Capacity_Resource,$D76,'Critical resources (hide)'!AS$6:AS$105)+SUMIF(Capacity_Resource,$E76,'Critical resources (hide)'!AS$6:AS$105)+SUMIF(Capacity_Resource,$F76,'Critical resources (hide)'!AS$6:AS$105)&gt;0,$E$1=2),0,1),0)</f>
        <v>1</v>
      </c>
      <c r="AG76" s="67">
        <f ca="1">IF(LOWER(Capacity!$L88)="x",IF(AND(SUMIF(Capacity_Resource,$D76,'Critical resources (hide)'!AT$6:AT$105)+SUMIF(Capacity_Resource,$E76,'Critical resources (hide)'!AT$6:AT$105)+SUMIF(Capacity_Resource,$F76,'Critical resources (hide)'!AT$6:AT$105)&gt;0,$E$1=2),0,1),0)</f>
        <v>1</v>
      </c>
      <c r="AH76" s="67">
        <f ca="1">IF(LOWER(Capacity!$L88)="x",IF(AND(SUMIF(Capacity_Resource,$D76,'Critical resources (hide)'!AU$6:AU$105)+SUMIF(Capacity_Resource,$E76,'Critical resources (hide)'!AU$6:AU$105)+SUMIF(Capacity_Resource,$F76,'Critical resources (hide)'!AU$6:AU$105)&gt;0,$E$1=2),0,1),0)</f>
        <v>1</v>
      </c>
      <c r="AI76" s="67">
        <f ca="1">IF(LOWER(Capacity!$L88)="x",IF(AND(SUMIF(Capacity_Resource,$D76,'Critical resources (hide)'!AV$6:AV$105)+SUMIF(Capacity_Resource,$E76,'Critical resources (hide)'!AV$6:AV$105)+SUMIF(Capacity_Resource,$F76,'Critical resources (hide)'!AV$6:AV$105)&gt;0,$E$1=2),0,1),0)</f>
        <v>1</v>
      </c>
      <c r="AJ76" s="67">
        <f ca="1">IF(LOWER(Capacity!$L88)="x",IF(AND(SUMIF(Capacity_Resource,$D76,'Critical resources (hide)'!AW$6:AW$105)+SUMIF(Capacity_Resource,$E76,'Critical resources (hide)'!AW$6:AW$105)+SUMIF(Capacity_Resource,$F76,'Critical resources (hide)'!AW$6:AW$105)&gt;0,$E$1=2),0,1),0)</f>
        <v>1</v>
      </c>
      <c r="AK76" s="67">
        <f ca="1">IF(LOWER(Capacity!$L88)="x",IF(AND(SUMIF(Capacity_Resource,$D76,'Critical resources (hide)'!AX$6:AX$105)+SUMIF(Capacity_Resource,$E76,'Critical resources (hide)'!AX$6:AX$105)+SUMIF(Capacity_Resource,$F76,'Critical resources (hide)'!AX$6:AX$105)&gt;0,$E$1=2),0,1),0)</f>
        <v>1</v>
      </c>
      <c r="AL76" s="67">
        <f ca="1">IF(LOWER(Capacity!$L88)="x",IF(AND(SUMIF(Capacity_Resource,$D76,'Critical resources (hide)'!AY$6:AY$105)+SUMIF(Capacity_Resource,$E76,'Critical resources (hide)'!AY$6:AY$105)+SUMIF(Capacity_Resource,$F76,'Critical resources (hide)'!AY$6:AY$105)&gt;0,$E$1=2),0,1),0)</f>
        <v>1</v>
      </c>
      <c r="AM76" s="67">
        <f ca="1">IF(LOWER(Capacity!$L88)="x",IF(AND(SUMIF(Capacity_Resource,$D76,'Critical resources (hide)'!AZ$6:AZ$105)+SUMIF(Capacity_Resource,$E76,'Critical resources (hide)'!AZ$6:AZ$105)+SUMIF(Capacity_Resource,$F76,'Critical resources (hide)'!AZ$6:AZ$105)&gt;0,$E$1=2),0,1),0)</f>
        <v>1</v>
      </c>
      <c r="AN76" s="67">
        <f ca="1">IF(LOWER(Capacity!$L88)="x",IF(AND(SUMIF(Capacity_Resource,$D76,'Critical resources (hide)'!BA$6:BA$105)+SUMIF(Capacity_Resource,$E76,'Critical resources (hide)'!BA$6:BA$105)+SUMIF(Capacity_Resource,$F76,'Critical resources (hide)'!BA$6:BA$105)&gt;0,$E$1=2),0,1),0)</f>
        <v>1</v>
      </c>
      <c r="AO76" s="67">
        <f ca="1">IF(LOWER(Capacity!$L88)="x",IF(AND(SUMIF(Capacity_Resource,$D76,'Critical resources (hide)'!BB$6:BB$105)+SUMIF(Capacity_Resource,$E76,'Critical resources (hide)'!BB$6:BB$105)+SUMIF(Capacity_Resource,$F76,'Critical resources (hide)'!BB$6:BB$105)&gt;0,$E$1=2),0,1),0)</f>
        <v>1</v>
      </c>
      <c r="AP76" s="67">
        <f ca="1">IF(LOWER(Capacity!$L88)="x",IF(AND(SUMIF(Capacity_Resource,$D76,'Critical resources (hide)'!BC$6:BC$105)+SUMIF(Capacity_Resource,$E76,'Critical resources (hide)'!BC$6:BC$105)+SUMIF(Capacity_Resource,$F76,'Critical resources (hide)'!BC$6:BC$105)&gt;0,$E$1=2),0,1),0)</f>
        <v>1</v>
      </c>
      <c r="AQ76" s="67">
        <f ca="1">IF(LOWER(Capacity!$L88)="x",IF(AND(SUMIF(Capacity_Resource,$D76,'Critical resources (hide)'!BD$6:BD$105)+SUMIF(Capacity_Resource,$E76,'Critical resources (hide)'!BD$6:BD$105)+SUMIF(Capacity_Resource,$F76,'Critical resources (hide)'!BD$6:BD$105)&gt;0,$E$1=2),0,1),0)</f>
        <v>1</v>
      </c>
      <c r="AR76" s="67">
        <f ca="1">IF(LOWER(Capacity!$L88)="x",IF(AND(SUMIF(Capacity_Resource,$D76,'Critical resources (hide)'!BE$6:BE$105)+SUMIF(Capacity_Resource,$E76,'Critical resources (hide)'!BE$6:BE$105)+SUMIF(Capacity_Resource,$F76,'Critical resources (hide)'!BE$6:BE$105)&gt;0,$E$1=2),0,1),0)</f>
        <v>1</v>
      </c>
      <c r="AS76" s="67">
        <f ca="1">IF(LOWER(Capacity!$L88)="x",IF(AND(SUMIF(Capacity_Resource,$D76,'Critical resources (hide)'!BF$6:BF$105)+SUMIF(Capacity_Resource,$E76,'Critical resources (hide)'!BF$6:BF$105)+SUMIF(Capacity_Resource,$F76,'Critical resources (hide)'!BF$6:BF$105)&gt;0,$E$1=2),0,1),0)</f>
        <v>1</v>
      </c>
      <c r="AT76" s="67">
        <f ca="1">IF(LOWER(Capacity!$L88)="x",IF(AND(SUMIF(Capacity_Resource,$D76,'Critical resources (hide)'!BG$6:BG$105)+SUMIF(Capacity_Resource,$E76,'Critical resources (hide)'!BG$6:BG$105)+SUMIF(Capacity_Resource,$F76,'Critical resources (hide)'!BG$6:BG$105)&gt;0,$E$1=2),0,1),0)</f>
        <v>1</v>
      </c>
      <c r="AU76" s="67">
        <f ca="1">IF(LOWER(Capacity!$L88)="x",IF(AND(SUMIF(Capacity_Resource,$D76,'Critical resources (hide)'!BH$6:BH$105)+SUMIF(Capacity_Resource,$E76,'Critical resources (hide)'!BH$6:BH$105)+SUMIF(Capacity_Resource,$F76,'Critical resources (hide)'!BH$6:BH$105)&gt;0,$E$1=2),0,1),0)</f>
        <v>1</v>
      </c>
      <c r="AV76" s="67">
        <f ca="1">IF(LOWER(Capacity!$L88)="x",IF(AND(SUMIF(Capacity_Resource,$D76,'Critical resources (hide)'!BI$6:BI$105)+SUMIF(Capacity_Resource,$E76,'Critical resources (hide)'!BI$6:BI$105)+SUMIF(Capacity_Resource,$F76,'Critical resources (hide)'!BI$6:BI$105)&gt;0,$E$1=2),0,1),0)</f>
        <v>1</v>
      </c>
      <c r="AW76" s="67">
        <f ca="1">IF(LOWER(Capacity!$L88)="x",IF(AND(SUMIF(Capacity_Resource,$D76,'Critical resources (hide)'!BJ$6:BJ$105)+SUMIF(Capacity_Resource,$E76,'Critical resources (hide)'!BJ$6:BJ$105)+SUMIF(Capacity_Resource,$F76,'Critical resources (hide)'!BJ$6:BJ$105)&gt;0,$E$1=2),0,1),0)</f>
        <v>1</v>
      </c>
      <c r="AX76" s="67">
        <f ca="1">IF(LOWER(Capacity!$L88)="x",IF(AND(SUMIF(Capacity_Resource,$D76,'Critical resources (hide)'!BK$6:BK$105)+SUMIF(Capacity_Resource,$E76,'Critical resources (hide)'!BK$6:BK$105)+SUMIF(Capacity_Resource,$F76,'Critical resources (hide)'!BK$6:BK$105)&gt;0,$E$1=2),0,1),0)</f>
        <v>1</v>
      </c>
      <c r="AY76" s="67">
        <f ca="1">IF(LOWER(Capacity!$L88)="x",IF(AND(SUMIF(Capacity_Resource,$D76,'Critical resources (hide)'!BL$6:BL$105)+SUMIF(Capacity_Resource,$E76,'Critical resources (hide)'!BL$6:BL$105)+SUMIF(Capacity_Resource,$F76,'Critical resources (hide)'!BL$6:BL$105)&gt;0,$E$1=2),0,1),0)</f>
        <v>1</v>
      </c>
      <c r="AZ76" s="67">
        <f ca="1">IF(LOWER(Capacity!$L88)="x",IF(AND(SUMIF(Capacity_Resource,$D76,'Critical resources (hide)'!BM$6:BM$105)+SUMIF(Capacity_Resource,$E76,'Critical resources (hide)'!BM$6:BM$105)+SUMIF(Capacity_Resource,$F76,'Critical resources (hide)'!BM$6:BM$105)&gt;0,$E$1=2),0,1),0)</f>
        <v>1</v>
      </c>
      <c r="BA76" s="67">
        <f ca="1">IF(LOWER(Capacity!$L88)="x",IF(AND(SUMIF(Capacity_Resource,$D76,'Critical resources (hide)'!BN$6:BN$105)+SUMIF(Capacity_Resource,$E76,'Critical resources (hide)'!BN$6:BN$105)+SUMIF(Capacity_Resource,$F76,'Critical resources (hide)'!BN$6:BN$105)&gt;0,$E$1=2),0,1),0)</f>
        <v>1</v>
      </c>
      <c r="BB76" s="67">
        <f ca="1">IF(LOWER(Capacity!$L88)="x",IF(AND(SUMIF(Capacity_Resource,$D76,'Critical resources (hide)'!BO$6:BO$105)+SUMIF(Capacity_Resource,$E76,'Critical resources (hide)'!BO$6:BO$105)+SUMIF(Capacity_Resource,$F76,'Critical resources (hide)'!BO$6:BO$105)&gt;0,$E$1=2),0,1),0)</f>
        <v>1</v>
      </c>
      <c r="BC76" s="67">
        <f ca="1">IF(LOWER(Capacity!$L88)="x",IF(AND(SUMIF(Capacity_Resource,$D76,'Critical resources (hide)'!BP$6:BP$105)+SUMIF(Capacity_Resource,$E76,'Critical resources (hide)'!BP$6:BP$105)+SUMIF(Capacity_Resource,$F76,'Critical resources (hide)'!BP$6:BP$105)&gt;0,$E$1=2),0,1),0)</f>
        <v>1</v>
      </c>
      <c r="BD76" s="67">
        <f ca="1">IF(LOWER(Capacity!$L88)="x",IF(AND(SUMIF(Capacity_Resource,$D76,'Critical resources (hide)'!BQ$6:BQ$105)+SUMIF(Capacity_Resource,$E76,'Critical resources (hide)'!BQ$6:BQ$105)+SUMIF(Capacity_Resource,$F76,'Critical resources (hide)'!BQ$6:BQ$105)&gt;0,$E$1=2),0,1),0)</f>
        <v>1</v>
      </c>
      <c r="BE76" s="67">
        <f ca="1">IF(LOWER(Capacity!$L88)="x",IF(AND(SUMIF(Capacity_Resource,$D76,'Critical resources (hide)'!BR$6:BR$105)+SUMIF(Capacity_Resource,$E76,'Critical resources (hide)'!BR$6:BR$105)+SUMIF(Capacity_Resource,$F76,'Critical resources (hide)'!BR$6:BR$105)&gt;0,$E$1=2),0,1),0)</f>
        <v>1</v>
      </c>
      <c r="BF76" s="67">
        <f ca="1">IF(LOWER(Capacity!$L88)="x",IF(AND(SUMIF(Capacity_Resource,$D76,'Critical resources (hide)'!BS$6:BS$105)+SUMIF(Capacity_Resource,$E76,'Critical resources (hide)'!BS$6:BS$105)+SUMIF(Capacity_Resource,$F76,'Critical resources (hide)'!BS$6:BS$105)&gt;0,$E$1=2),0,1),0)</f>
        <v>1</v>
      </c>
      <c r="BG76" s="67">
        <f ca="1">IF(LOWER(Capacity!$L88)="x",IF(AND(SUMIF(Capacity_Resource,$D76,'Critical resources (hide)'!BT$6:BT$105)+SUMIF(Capacity_Resource,$E76,'Critical resources (hide)'!BT$6:BT$105)+SUMIF(Capacity_Resource,$F76,'Critical resources (hide)'!BT$6:BT$105)&gt;0,$E$1=2),0,1),0)</f>
        <v>1</v>
      </c>
      <c r="BH76" s="67">
        <f>IF(ROW(C72)&lt;=Capacity!$A$16,IF('Capacity summary'!$D$14="No",SUM(H76:BG76),'Capacity summary'!$E195),0)</f>
        <v>0</v>
      </c>
      <c r="BI76" s="5" t="str">
        <f>IF(BH76&gt;0,IF(BH76&lt;Capacity!E88,Capacity!F88,Capacity!H88/'Capacity calculation (hide)'!BH76),"")</f>
        <v/>
      </c>
      <c r="BK76" s="311">
        <f>IF($BI76&lt;&gt;"",IF('Capacity summary'!$D$14="Yes",IF(COUNTBLANK('Capacity summary'!$H195:$BG195)&lt;52,IF('Capacity summary'!H195&lt;&gt;"",IF(LOWER('Capacity summary'!H195)="x",$BI76*H76,VALUE('Capacity summary'!H195)),0),H76*$BI76),H76*$BI76),0)</f>
        <v>0</v>
      </c>
      <c r="BL76" s="311">
        <f>IF($BI76&lt;&gt;"",IF('Capacity summary'!$D$14="Yes",IF(COUNTBLANK('Capacity summary'!$H195:$BG195)&lt;52,IF('Capacity summary'!I195&lt;&gt;"",IF(LOWER('Capacity summary'!I195)="x",$BI76*I76,VALUE('Capacity summary'!I195)),0),I76*$BI76),I76*$BI76),0)</f>
        <v>0</v>
      </c>
      <c r="BM76" s="311">
        <f>IF($BI76&lt;&gt;"",IF('Capacity summary'!$D$14="Yes",IF(COUNTBLANK('Capacity summary'!$H195:$BG195)&lt;52,IF('Capacity summary'!J195&lt;&gt;"",IF(LOWER('Capacity summary'!J195)="x",$BI76*J76,VALUE('Capacity summary'!J195)),0),J76*$BI76),J76*$BI76),0)</f>
        <v>0</v>
      </c>
      <c r="BN76" s="311">
        <f>IF($BI76&lt;&gt;"",IF('Capacity summary'!$D$14="Yes",IF(COUNTBLANK('Capacity summary'!$H195:$BG195)&lt;52,IF('Capacity summary'!K195&lt;&gt;"",IF(LOWER('Capacity summary'!K195)="x",$BI76*K76,VALUE('Capacity summary'!K195)),0),K76*$BI76),K76*$BI76),0)</f>
        <v>0</v>
      </c>
      <c r="BO76" s="311">
        <f>IF($BI76&lt;&gt;"",IF('Capacity summary'!$D$14="Yes",IF(COUNTBLANK('Capacity summary'!$H195:$BG195)&lt;52,IF('Capacity summary'!L195&lt;&gt;"",IF(LOWER('Capacity summary'!L195)="x",$BI76*L76,VALUE('Capacity summary'!L195)),0),L76*$BI76),L76*$BI76),0)</f>
        <v>0</v>
      </c>
      <c r="BP76" s="311">
        <f>IF($BI76&lt;&gt;"",IF('Capacity summary'!$D$14="Yes",IF(COUNTBLANK('Capacity summary'!$H195:$BG195)&lt;52,IF('Capacity summary'!M195&lt;&gt;"",IF(LOWER('Capacity summary'!M195)="x",$BI76*M76,VALUE('Capacity summary'!M195)),0),M76*$BI76),M76*$BI76),0)</f>
        <v>0</v>
      </c>
      <c r="BQ76" s="311">
        <f>IF($BI76&lt;&gt;"",IF('Capacity summary'!$D$14="Yes",IF(COUNTBLANK('Capacity summary'!$H195:$BG195)&lt;52,IF('Capacity summary'!N195&lt;&gt;"",IF(LOWER('Capacity summary'!N195)="x",$BI76*N76,VALUE('Capacity summary'!N195)),0),N76*$BI76),N76*$BI76),0)</f>
        <v>0</v>
      </c>
      <c r="BR76" s="311">
        <f>IF($BI76&lt;&gt;"",IF('Capacity summary'!$D$14="Yes",IF(COUNTBLANK('Capacity summary'!$H195:$BG195)&lt;52,IF('Capacity summary'!O195&lt;&gt;"",IF(LOWER('Capacity summary'!O195)="x",$BI76*O76,VALUE('Capacity summary'!O195)),0),O76*$BI76),O76*$BI76),0)</f>
        <v>0</v>
      </c>
      <c r="BS76" s="311">
        <f>IF($BI76&lt;&gt;"",IF('Capacity summary'!$D$14="Yes",IF(COUNTBLANK('Capacity summary'!$H195:$BG195)&lt;52,IF('Capacity summary'!P195&lt;&gt;"",IF(LOWER('Capacity summary'!P195)="x",$BI76*P76,VALUE('Capacity summary'!P195)),0),P76*$BI76),P76*$BI76),0)</f>
        <v>0</v>
      </c>
      <c r="BT76" s="311">
        <f>IF($BI76&lt;&gt;"",IF('Capacity summary'!$D$14="Yes",IF(COUNTBLANK('Capacity summary'!$H195:$BG195)&lt;52,IF('Capacity summary'!Q195&lt;&gt;"",IF(LOWER('Capacity summary'!Q195)="x",$BI76*Q76,VALUE('Capacity summary'!Q195)),0),Q76*$BI76),Q76*$BI76),0)</f>
        <v>0</v>
      </c>
      <c r="BU76" s="311">
        <f>IF($BI76&lt;&gt;"",IF('Capacity summary'!$D$14="Yes",IF(COUNTBLANK('Capacity summary'!$H195:$BG195)&lt;52,IF('Capacity summary'!R195&lt;&gt;"",IF(LOWER('Capacity summary'!R195)="x",$BI76*R76,VALUE('Capacity summary'!R195)),0),R76*$BI76),R76*$BI76),0)</f>
        <v>0</v>
      </c>
      <c r="BV76" s="311">
        <f>IF($BI76&lt;&gt;"",IF('Capacity summary'!$D$14="Yes",IF(COUNTBLANK('Capacity summary'!$H195:$BG195)&lt;52,IF('Capacity summary'!S195&lt;&gt;"",IF(LOWER('Capacity summary'!S195)="x",$BI76*S76,VALUE('Capacity summary'!S195)),0),S76*$BI76),S76*$BI76),0)</f>
        <v>0</v>
      </c>
      <c r="BW76" s="311">
        <f>IF($BI76&lt;&gt;"",IF('Capacity summary'!$D$14="Yes",IF(COUNTBLANK('Capacity summary'!$H195:$BG195)&lt;52,IF('Capacity summary'!T195&lt;&gt;"",IF(LOWER('Capacity summary'!T195)="x",$BI76*T76,VALUE('Capacity summary'!T195)),0),T76*$BI76),T76*$BI76),0)</f>
        <v>0</v>
      </c>
      <c r="BX76" s="311">
        <f>IF($BI76&lt;&gt;"",IF('Capacity summary'!$D$14="Yes",IF(COUNTBLANK('Capacity summary'!$H195:$BG195)&lt;52,IF('Capacity summary'!U195&lt;&gt;"",IF(LOWER('Capacity summary'!U195)="x",$BI76*U76,VALUE('Capacity summary'!U195)),0),U76*$BI76),U76*$BI76),0)</f>
        <v>0</v>
      </c>
      <c r="BY76" s="311">
        <f>IF($BI76&lt;&gt;"",IF('Capacity summary'!$D$14="Yes",IF(COUNTBLANK('Capacity summary'!$H195:$BG195)&lt;52,IF('Capacity summary'!V195&lt;&gt;"",IF(LOWER('Capacity summary'!V195)="x",$BI76*V76,VALUE('Capacity summary'!V195)),0),V76*$BI76),V76*$BI76),0)</f>
        <v>0</v>
      </c>
      <c r="BZ76" s="311">
        <f>IF($BI76&lt;&gt;"",IF('Capacity summary'!$D$14="Yes",IF(COUNTBLANK('Capacity summary'!$H195:$BG195)&lt;52,IF('Capacity summary'!W195&lt;&gt;"",IF(LOWER('Capacity summary'!W195)="x",$BI76*W76,VALUE('Capacity summary'!W195)),0),W76*$BI76),W76*$BI76),0)</f>
        <v>0</v>
      </c>
      <c r="CA76" s="311">
        <f>IF($BI76&lt;&gt;"",IF('Capacity summary'!$D$14="Yes",IF(COUNTBLANK('Capacity summary'!$H195:$BG195)&lt;52,IF('Capacity summary'!X195&lt;&gt;"",IF(LOWER('Capacity summary'!X195)="x",$BI76*X76,VALUE('Capacity summary'!X195)),0),X76*$BI76),X76*$BI76),0)</f>
        <v>0</v>
      </c>
      <c r="CB76" s="311">
        <f>IF($BI76&lt;&gt;"",IF('Capacity summary'!$D$14="Yes",IF(COUNTBLANK('Capacity summary'!$H195:$BG195)&lt;52,IF('Capacity summary'!Y195&lt;&gt;"",IF(LOWER('Capacity summary'!Y195)="x",$BI76*Y76,VALUE('Capacity summary'!Y195)),0),Y76*$BI76),Y76*$BI76),0)</f>
        <v>0</v>
      </c>
      <c r="CC76" s="311">
        <f>IF($BI76&lt;&gt;"",IF('Capacity summary'!$D$14="Yes",IF(COUNTBLANK('Capacity summary'!$H195:$BG195)&lt;52,IF('Capacity summary'!Z195&lt;&gt;"",IF(LOWER('Capacity summary'!Z195)="x",$BI76*Z76,VALUE('Capacity summary'!Z195)),0),Z76*$BI76),Z76*$BI76),0)</f>
        <v>0</v>
      </c>
      <c r="CD76" s="311">
        <f>IF($BI76&lt;&gt;"",IF('Capacity summary'!$D$14="Yes",IF(COUNTBLANK('Capacity summary'!$H195:$BG195)&lt;52,IF('Capacity summary'!AA195&lt;&gt;"",IF(LOWER('Capacity summary'!AA195)="x",$BI76*AA76,VALUE('Capacity summary'!AA195)),0),AA76*$BI76),AA76*$BI76),0)</f>
        <v>0</v>
      </c>
      <c r="CE76" s="311">
        <f>IF($BI76&lt;&gt;"",IF('Capacity summary'!$D$14="Yes",IF(COUNTBLANK('Capacity summary'!$H195:$BG195)&lt;52,IF('Capacity summary'!AB195&lt;&gt;"",IF(LOWER('Capacity summary'!AB195)="x",$BI76*AB76,VALUE('Capacity summary'!AB195)),0),AB76*$BI76),AB76*$BI76),0)</f>
        <v>0</v>
      </c>
      <c r="CF76" s="311">
        <f>IF($BI76&lt;&gt;"",IF('Capacity summary'!$D$14="Yes",IF(COUNTBLANK('Capacity summary'!$H195:$BG195)&lt;52,IF('Capacity summary'!AC195&lt;&gt;"",IF(LOWER('Capacity summary'!AC195)="x",$BI76*AC76,VALUE('Capacity summary'!AC195)),0),AC76*$BI76),AC76*$BI76),0)</f>
        <v>0</v>
      </c>
      <c r="CG76" s="311">
        <f>IF($BI76&lt;&gt;"",IF('Capacity summary'!$D$14="Yes",IF(COUNTBLANK('Capacity summary'!$H195:$BG195)&lt;52,IF('Capacity summary'!AD195&lt;&gt;"",IF(LOWER('Capacity summary'!AD195)="x",$BI76*AD76,VALUE('Capacity summary'!AD195)),0),AD76*$BI76),AD76*$BI76),0)</f>
        <v>0</v>
      </c>
      <c r="CH76" s="311">
        <f>IF($BI76&lt;&gt;"",IF('Capacity summary'!$D$14="Yes",IF(COUNTBLANK('Capacity summary'!$H195:$BG195)&lt;52,IF('Capacity summary'!AE195&lt;&gt;"",IF(LOWER('Capacity summary'!AE195)="x",$BI76*AE76,VALUE('Capacity summary'!AE195)),0),AE76*$BI76),AE76*$BI76),0)</f>
        <v>0</v>
      </c>
      <c r="CI76" s="311">
        <f>IF($BI76&lt;&gt;"",IF('Capacity summary'!$D$14="Yes",IF(COUNTBLANK('Capacity summary'!$H195:$BG195)&lt;52,IF('Capacity summary'!AF195&lt;&gt;"",IF(LOWER('Capacity summary'!AF195)="x",$BI76*AF76,VALUE('Capacity summary'!AF195)),0),AF76*$BI76),AF76*$BI76),0)</f>
        <v>0</v>
      </c>
      <c r="CJ76" s="311">
        <f>IF($BI76&lt;&gt;"",IF('Capacity summary'!$D$14="Yes",IF(COUNTBLANK('Capacity summary'!$H195:$BG195)&lt;52,IF('Capacity summary'!AG195&lt;&gt;"",IF(LOWER('Capacity summary'!AG195)="x",$BI76*AG76,VALUE('Capacity summary'!AG195)),0),AG76*$BI76),AG76*$BI76),0)</f>
        <v>0</v>
      </c>
      <c r="CK76" s="311">
        <f>IF($BI76&lt;&gt;"",IF('Capacity summary'!$D$14="Yes",IF(COUNTBLANK('Capacity summary'!$H195:$BG195)&lt;52,IF('Capacity summary'!AH195&lt;&gt;"",IF(LOWER('Capacity summary'!AH195)="x",$BI76*AH76,VALUE('Capacity summary'!AH195)),0),AH76*$BI76),AH76*$BI76),0)</f>
        <v>0</v>
      </c>
      <c r="CL76" s="311">
        <f>IF($BI76&lt;&gt;"",IF('Capacity summary'!$D$14="Yes",IF(COUNTBLANK('Capacity summary'!$H195:$BG195)&lt;52,IF('Capacity summary'!AI195&lt;&gt;"",IF(LOWER('Capacity summary'!AI195)="x",$BI76*AI76,VALUE('Capacity summary'!AI195)),0),AI76*$BI76),AI76*$BI76),0)</f>
        <v>0</v>
      </c>
      <c r="CM76" s="311">
        <f>IF($BI76&lt;&gt;"",IF('Capacity summary'!$D$14="Yes",IF(COUNTBLANK('Capacity summary'!$H195:$BG195)&lt;52,IF('Capacity summary'!AJ195&lt;&gt;"",IF(LOWER('Capacity summary'!AJ195)="x",$BI76*AJ76,VALUE('Capacity summary'!AJ195)),0),AJ76*$BI76),AJ76*$BI76),0)</f>
        <v>0</v>
      </c>
      <c r="CN76" s="311">
        <f>IF($BI76&lt;&gt;"",IF('Capacity summary'!$D$14="Yes",IF(COUNTBLANK('Capacity summary'!$H195:$BG195)&lt;52,IF('Capacity summary'!AK195&lt;&gt;"",IF(LOWER('Capacity summary'!AK195)="x",$BI76*AK76,VALUE('Capacity summary'!AK195)),0),AK76*$BI76),AK76*$BI76),0)</f>
        <v>0</v>
      </c>
      <c r="CO76" s="311">
        <f>IF($BI76&lt;&gt;"",IF('Capacity summary'!$D$14="Yes",IF(COUNTBLANK('Capacity summary'!$H195:$BG195)&lt;52,IF('Capacity summary'!AL195&lt;&gt;"",IF(LOWER('Capacity summary'!AL195)="x",$BI76*AL76,VALUE('Capacity summary'!AL195)),0),AL76*$BI76),AL76*$BI76),0)</f>
        <v>0</v>
      </c>
      <c r="CP76" s="311">
        <f>IF($BI76&lt;&gt;"",IF('Capacity summary'!$D$14="Yes",IF(COUNTBLANK('Capacity summary'!$H195:$BG195)&lt;52,IF('Capacity summary'!AM195&lt;&gt;"",IF(LOWER('Capacity summary'!AM195)="x",$BI76*AM76,VALUE('Capacity summary'!AM195)),0),AM76*$BI76),AM76*$BI76),0)</f>
        <v>0</v>
      </c>
      <c r="CQ76" s="311">
        <f>IF($BI76&lt;&gt;"",IF('Capacity summary'!$D$14="Yes",IF(COUNTBLANK('Capacity summary'!$H195:$BG195)&lt;52,IF('Capacity summary'!AN195&lt;&gt;"",IF(LOWER('Capacity summary'!AN195)="x",$BI76*AN76,VALUE('Capacity summary'!AN195)),0),AN76*$BI76),AN76*$BI76),0)</f>
        <v>0</v>
      </c>
      <c r="CR76" s="311">
        <f>IF($BI76&lt;&gt;"",IF('Capacity summary'!$D$14="Yes",IF(COUNTBLANK('Capacity summary'!$H195:$BG195)&lt;52,IF('Capacity summary'!AO195&lt;&gt;"",IF(LOWER('Capacity summary'!AO195)="x",$BI76*AO76,VALUE('Capacity summary'!AO195)),0),AO76*$BI76),AO76*$BI76),0)</f>
        <v>0</v>
      </c>
      <c r="CS76" s="311">
        <f>IF($BI76&lt;&gt;"",IF('Capacity summary'!$D$14="Yes",IF(COUNTBLANK('Capacity summary'!$H195:$BG195)&lt;52,IF('Capacity summary'!AP195&lt;&gt;"",IF(LOWER('Capacity summary'!AP195)="x",$BI76*AP76,VALUE('Capacity summary'!AP195)),0),AP76*$BI76),AP76*$BI76),0)</f>
        <v>0</v>
      </c>
      <c r="CT76" s="311">
        <f>IF($BI76&lt;&gt;"",IF('Capacity summary'!$D$14="Yes",IF(COUNTBLANK('Capacity summary'!$H195:$BG195)&lt;52,IF('Capacity summary'!AQ195&lt;&gt;"",IF(LOWER('Capacity summary'!AQ195)="x",$BI76*AQ76,VALUE('Capacity summary'!AQ195)),0),AQ76*$BI76),AQ76*$BI76),0)</f>
        <v>0</v>
      </c>
      <c r="CU76" s="311">
        <f>IF($BI76&lt;&gt;"",IF('Capacity summary'!$D$14="Yes",IF(COUNTBLANK('Capacity summary'!$H195:$BG195)&lt;52,IF('Capacity summary'!AR195&lt;&gt;"",IF(LOWER('Capacity summary'!AR195)="x",$BI76*AR76,VALUE('Capacity summary'!AR195)),0),AR76*$BI76),AR76*$BI76),0)</f>
        <v>0</v>
      </c>
      <c r="CV76" s="311">
        <f>IF($BI76&lt;&gt;"",IF('Capacity summary'!$D$14="Yes",IF(COUNTBLANK('Capacity summary'!$H195:$BG195)&lt;52,IF('Capacity summary'!AS195&lt;&gt;"",IF(LOWER('Capacity summary'!AS195)="x",$BI76*AS76,VALUE('Capacity summary'!AS195)),0),AS76*$BI76),AS76*$BI76),0)</f>
        <v>0</v>
      </c>
      <c r="CW76" s="311">
        <f>IF($BI76&lt;&gt;"",IF('Capacity summary'!$D$14="Yes",IF(COUNTBLANK('Capacity summary'!$H195:$BG195)&lt;52,IF('Capacity summary'!AT195&lt;&gt;"",IF(LOWER('Capacity summary'!AT195)="x",$BI76*AT76,VALUE('Capacity summary'!AT195)),0),AT76*$BI76),AT76*$BI76),0)</f>
        <v>0</v>
      </c>
      <c r="CX76" s="311">
        <f>IF($BI76&lt;&gt;"",IF('Capacity summary'!$D$14="Yes",IF(COUNTBLANK('Capacity summary'!$H195:$BG195)&lt;52,IF('Capacity summary'!AU195&lt;&gt;"",IF(LOWER('Capacity summary'!AU195)="x",$BI76*AU76,VALUE('Capacity summary'!AU195)),0),AU76*$BI76),AU76*$BI76),0)</f>
        <v>0</v>
      </c>
      <c r="CY76" s="311">
        <f>IF($BI76&lt;&gt;"",IF('Capacity summary'!$D$14="Yes",IF(COUNTBLANK('Capacity summary'!$H195:$BG195)&lt;52,IF('Capacity summary'!AV195&lt;&gt;"",IF(LOWER('Capacity summary'!AV195)="x",$BI76*AV76,VALUE('Capacity summary'!AV195)),0),AV76*$BI76),AV76*$BI76),0)</f>
        <v>0</v>
      </c>
      <c r="CZ76" s="311">
        <f>IF($BI76&lt;&gt;"",IF('Capacity summary'!$D$14="Yes",IF(COUNTBLANK('Capacity summary'!$H195:$BG195)&lt;52,IF('Capacity summary'!AW195&lt;&gt;"",IF(LOWER('Capacity summary'!AW195)="x",$BI76*AW76,VALUE('Capacity summary'!AW195)),0),AW76*$BI76),AW76*$BI76),0)</f>
        <v>0</v>
      </c>
      <c r="DA76" s="311">
        <f>IF($BI76&lt;&gt;"",IF('Capacity summary'!$D$14="Yes",IF(COUNTBLANK('Capacity summary'!$H195:$BG195)&lt;52,IF('Capacity summary'!AX195&lt;&gt;"",IF(LOWER('Capacity summary'!AX195)="x",$BI76*AX76,VALUE('Capacity summary'!AX195)),0),AX76*$BI76),AX76*$BI76),0)</f>
        <v>0</v>
      </c>
      <c r="DB76" s="311">
        <f>IF($BI76&lt;&gt;"",IF('Capacity summary'!$D$14="Yes",IF(COUNTBLANK('Capacity summary'!$H195:$BG195)&lt;52,IF('Capacity summary'!AY195&lt;&gt;"",IF(LOWER('Capacity summary'!AY195)="x",$BI76*AY76,VALUE('Capacity summary'!AY195)),0),AY76*$BI76),AY76*$BI76),0)</f>
        <v>0</v>
      </c>
      <c r="DC76" s="311">
        <f>IF($BI76&lt;&gt;"",IF('Capacity summary'!$D$14="Yes",IF(COUNTBLANK('Capacity summary'!$H195:$BG195)&lt;52,IF('Capacity summary'!AZ195&lt;&gt;"",IF(LOWER('Capacity summary'!AZ195)="x",$BI76*AZ76,VALUE('Capacity summary'!AZ195)),0),AZ76*$BI76),AZ76*$BI76),0)</f>
        <v>0</v>
      </c>
      <c r="DD76" s="311">
        <f>IF($BI76&lt;&gt;"",IF('Capacity summary'!$D$14="Yes",IF(COUNTBLANK('Capacity summary'!$H195:$BG195)&lt;52,IF('Capacity summary'!BA195&lt;&gt;"",IF(LOWER('Capacity summary'!BA195)="x",$BI76*BA76,VALUE('Capacity summary'!BA195)),0),BA76*$BI76),BA76*$BI76),0)</f>
        <v>0</v>
      </c>
      <c r="DE76" s="311">
        <f>IF($BI76&lt;&gt;"",IF('Capacity summary'!$D$14="Yes",IF(COUNTBLANK('Capacity summary'!$H195:$BG195)&lt;52,IF('Capacity summary'!BB195&lt;&gt;"",IF(LOWER('Capacity summary'!BB195)="x",$BI76*BB76,VALUE('Capacity summary'!BB195)),0),BB76*$BI76),BB76*$BI76),0)</f>
        <v>0</v>
      </c>
      <c r="DF76" s="311">
        <f>IF($BI76&lt;&gt;"",IF('Capacity summary'!$D$14="Yes",IF(COUNTBLANK('Capacity summary'!$H195:$BG195)&lt;52,IF('Capacity summary'!BC195&lt;&gt;"",IF(LOWER('Capacity summary'!BC195)="x",$BI76*BC76,VALUE('Capacity summary'!BC195)),0),BC76*$BI76),BC76*$BI76),0)</f>
        <v>0</v>
      </c>
      <c r="DG76" s="311">
        <f>IF($BI76&lt;&gt;"",IF('Capacity summary'!$D$14="Yes",IF(COUNTBLANK('Capacity summary'!$H195:$BG195)&lt;52,IF('Capacity summary'!BD195&lt;&gt;"",IF(LOWER('Capacity summary'!BD195)="x",$BI76*BD76,VALUE('Capacity summary'!BD195)),0),BD76*$BI76),BD76*$BI76),0)</f>
        <v>0</v>
      </c>
      <c r="DH76" s="311">
        <f>IF($BI76&lt;&gt;"",IF('Capacity summary'!$D$14="Yes",IF(COUNTBLANK('Capacity summary'!$H195:$BG195)&lt;52,IF('Capacity summary'!BE195&lt;&gt;"",IF(LOWER('Capacity summary'!BE195)="x",$BI76*BE76,VALUE('Capacity summary'!BE195)),0),BE76*$BI76),BE76*$BI76),0)</f>
        <v>0</v>
      </c>
      <c r="DI76" s="311">
        <f>IF($BI76&lt;&gt;"",IF('Capacity summary'!$D$14="Yes",IF(COUNTBLANK('Capacity summary'!$H195:$BG195)&lt;52,IF('Capacity summary'!BF195&lt;&gt;"",IF(LOWER('Capacity summary'!BF195)="x",$BI76*BF76,VALUE('Capacity summary'!BF195)),0),BF76*$BI76),BF76*$BI76),0)</f>
        <v>0</v>
      </c>
      <c r="DJ76" s="311">
        <f>IF($BI76&lt;&gt;"",IF('Capacity summary'!$D$14="Yes",IF(COUNTBLANK('Capacity summary'!$H195:$BG195)&lt;52,IF('Capacity summary'!BG195&lt;&gt;"",IF(LOWER('Capacity summary'!BG195)="x",$BI76*BG76,VALUE('Capacity summary'!BG195)),0),BG76*$BI76),BG76*$BI76),0)</f>
        <v>0</v>
      </c>
      <c r="DK76" s="391">
        <f t="shared" si="4"/>
        <v>0</v>
      </c>
      <c r="DL76" s="136">
        <f t="shared" si="5"/>
        <v>0</v>
      </c>
      <c r="DM76" s="311" t="str">
        <f>Capacity!H88</f>
        <v/>
      </c>
    </row>
    <row r="77" spans="1:117" x14ac:dyDescent="0.2">
      <c r="A77" s="67">
        <f>IF(Capacity!L89='Capacity summary'!BI196,1,0)</f>
        <v>1</v>
      </c>
      <c r="B77" s="67">
        <f>IF(Capacity!V89='Capacity summary'!BI96,1,0)</f>
        <v>1</v>
      </c>
      <c r="C77" s="67" t="str">
        <f>ROW(A73)&amp;". "&amp;Capacity!B89</f>
        <v xml:space="preserve">73. </v>
      </c>
      <c r="D77" s="67">
        <f>'Capacity setup'!C84</f>
        <v>0</v>
      </c>
      <c r="E77" s="67">
        <f>'Capacity setup'!D84</f>
        <v>0</v>
      </c>
      <c r="F77" s="67">
        <f>'Capacity setup'!E84</f>
        <v>0</v>
      </c>
      <c r="H77" s="67">
        <f ca="1">IF(LOWER(Capacity!$L89)="x",IF(AND(SUMIF(Capacity_Resource,$D77,'Critical resources (hide)'!U$6:U$105)+SUMIF(Capacity_Resource,$E77,'Critical resources (hide)'!U$6:U$105)+SUMIF(Capacity_Resource,$F77,'Critical resources (hide)'!U$6:U$105)&gt;0,$E$1=2),0,1),0)</f>
        <v>1</v>
      </c>
      <c r="I77" s="67">
        <f ca="1">IF(LOWER(Capacity!$L89)="x",IF(AND(SUMIF(Capacity_Resource,$D77,'Critical resources (hide)'!V$6:V$105)+SUMIF(Capacity_Resource,$E77,'Critical resources (hide)'!V$6:V$105)+SUMIF(Capacity_Resource,$F77,'Critical resources (hide)'!V$6:V$105)&gt;0,$E$1=2),0,1),0)</f>
        <v>1</v>
      </c>
      <c r="J77" s="67">
        <f ca="1">IF(LOWER(Capacity!$L89)="x",IF(AND(SUMIF(Capacity_Resource,$D77,'Critical resources (hide)'!W$6:W$105)+SUMIF(Capacity_Resource,$E77,'Critical resources (hide)'!W$6:W$105)+SUMIF(Capacity_Resource,$F77,'Critical resources (hide)'!W$6:W$105)&gt;0,$E$1=2),0,1),0)</f>
        <v>1</v>
      </c>
      <c r="K77" s="67">
        <f ca="1">IF(LOWER(Capacity!$L89)="x",IF(AND(SUMIF(Capacity_Resource,$D77,'Critical resources (hide)'!X$6:X$105)+SUMIF(Capacity_Resource,$E77,'Critical resources (hide)'!X$6:X$105)+SUMIF(Capacity_Resource,$F77,'Critical resources (hide)'!X$6:X$105)&gt;0,$E$1=2),0,1),0)</f>
        <v>1</v>
      </c>
      <c r="L77" s="67">
        <f ca="1">IF(LOWER(Capacity!$L89)="x",IF(AND(SUMIF(Capacity_Resource,$D77,'Critical resources (hide)'!Y$6:Y$105)+SUMIF(Capacity_Resource,$E77,'Critical resources (hide)'!Y$6:Y$105)+SUMIF(Capacity_Resource,$F77,'Critical resources (hide)'!Y$6:Y$105)&gt;0,$E$1=2),0,1),0)</f>
        <v>1</v>
      </c>
      <c r="M77" s="67">
        <f ca="1">IF(LOWER(Capacity!$L89)="x",IF(AND(SUMIF(Capacity_Resource,$D77,'Critical resources (hide)'!Z$6:Z$105)+SUMIF(Capacity_Resource,$E77,'Critical resources (hide)'!Z$6:Z$105)+SUMIF(Capacity_Resource,$F77,'Critical resources (hide)'!Z$6:Z$105)&gt;0,$E$1=2),0,1),0)</f>
        <v>1</v>
      </c>
      <c r="N77" s="67">
        <f ca="1">IF(LOWER(Capacity!$L89)="x",IF(AND(SUMIF(Capacity_Resource,$D77,'Critical resources (hide)'!AA$6:AA$105)+SUMIF(Capacity_Resource,$E77,'Critical resources (hide)'!AA$6:AA$105)+SUMIF(Capacity_Resource,$F77,'Critical resources (hide)'!AA$6:AA$105)&gt;0,$E$1=2),0,1),0)</f>
        <v>1</v>
      </c>
      <c r="O77" s="67">
        <f ca="1">IF(LOWER(Capacity!$L89)="x",IF(AND(SUMIF(Capacity_Resource,$D77,'Critical resources (hide)'!AB$6:AB$105)+SUMIF(Capacity_Resource,$E77,'Critical resources (hide)'!AB$6:AB$105)+SUMIF(Capacity_Resource,$F77,'Critical resources (hide)'!AB$6:AB$105)&gt;0,$E$1=2),0,1),0)</f>
        <v>1</v>
      </c>
      <c r="P77" s="67">
        <f ca="1">IF(LOWER(Capacity!$L89)="x",IF(AND(SUMIF(Capacity_Resource,$D77,'Critical resources (hide)'!AC$6:AC$105)+SUMIF(Capacity_Resource,$E77,'Critical resources (hide)'!AC$6:AC$105)+SUMIF(Capacity_Resource,$F77,'Critical resources (hide)'!AC$6:AC$105)&gt;0,$E$1=2),0,1),0)</f>
        <v>1</v>
      </c>
      <c r="Q77" s="67">
        <f ca="1">IF(LOWER(Capacity!$L89)="x",IF(AND(SUMIF(Capacity_Resource,$D77,'Critical resources (hide)'!AD$6:AD$105)+SUMIF(Capacity_Resource,$E77,'Critical resources (hide)'!AD$6:AD$105)+SUMIF(Capacity_Resource,$F77,'Critical resources (hide)'!AD$6:AD$105)&gt;0,$E$1=2),0,1),0)</f>
        <v>1</v>
      </c>
      <c r="R77" s="67">
        <f ca="1">IF(LOWER(Capacity!$L89)="x",IF(AND(SUMIF(Capacity_Resource,$D77,'Critical resources (hide)'!AE$6:AE$105)+SUMIF(Capacity_Resource,$E77,'Critical resources (hide)'!AE$6:AE$105)+SUMIF(Capacity_Resource,$F77,'Critical resources (hide)'!AE$6:AE$105)&gt;0,$E$1=2),0,1),0)</f>
        <v>1</v>
      </c>
      <c r="S77" s="67">
        <f ca="1">IF(LOWER(Capacity!$L89)="x",IF(AND(SUMIF(Capacity_Resource,$D77,'Critical resources (hide)'!AF$6:AF$105)+SUMIF(Capacity_Resource,$E77,'Critical resources (hide)'!AF$6:AF$105)+SUMIF(Capacity_Resource,$F77,'Critical resources (hide)'!AF$6:AF$105)&gt;0,$E$1=2),0,1),0)</f>
        <v>1</v>
      </c>
      <c r="T77" s="67">
        <f ca="1">IF(LOWER(Capacity!$L89)="x",IF(AND(SUMIF(Capacity_Resource,$D77,'Critical resources (hide)'!AG$6:AG$105)+SUMIF(Capacity_Resource,$E77,'Critical resources (hide)'!AG$6:AG$105)+SUMIF(Capacity_Resource,$F77,'Critical resources (hide)'!AG$6:AG$105)&gt;0,$E$1=2),0,1),0)</f>
        <v>1</v>
      </c>
      <c r="U77" s="67">
        <f ca="1">IF(LOWER(Capacity!$L89)="x",IF(AND(SUMIF(Capacity_Resource,$D77,'Critical resources (hide)'!AH$6:AH$105)+SUMIF(Capacity_Resource,$E77,'Critical resources (hide)'!AH$6:AH$105)+SUMIF(Capacity_Resource,$F77,'Critical resources (hide)'!AH$6:AH$105)&gt;0,$E$1=2),0,1),0)</f>
        <v>1</v>
      </c>
      <c r="V77" s="67">
        <f ca="1">IF(LOWER(Capacity!$L89)="x",IF(AND(SUMIF(Capacity_Resource,$D77,'Critical resources (hide)'!AI$6:AI$105)+SUMIF(Capacity_Resource,$E77,'Critical resources (hide)'!AI$6:AI$105)+SUMIF(Capacity_Resource,$F77,'Critical resources (hide)'!AI$6:AI$105)&gt;0,$E$1=2),0,1),0)</f>
        <v>1</v>
      </c>
      <c r="W77" s="67">
        <f ca="1">IF(LOWER(Capacity!$L89)="x",IF(AND(SUMIF(Capacity_Resource,$D77,'Critical resources (hide)'!AJ$6:AJ$105)+SUMIF(Capacity_Resource,$E77,'Critical resources (hide)'!AJ$6:AJ$105)+SUMIF(Capacity_Resource,$F77,'Critical resources (hide)'!AJ$6:AJ$105)&gt;0,$E$1=2),0,1),0)</f>
        <v>1</v>
      </c>
      <c r="X77" s="67">
        <f ca="1">IF(LOWER(Capacity!$L89)="x",IF(AND(SUMIF(Capacity_Resource,$D77,'Critical resources (hide)'!AK$6:AK$105)+SUMIF(Capacity_Resource,$E77,'Critical resources (hide)'!AK$6:AK$105)+SUMIF(Capacity_Resource,$F77,'Critical resources (hide)'!AK$6:AK$105)&gt;0,$E$1=2),0,1),0)</f>
        <v>1</v>
      </c>
      <c r="Y77" s="67">
        <f ca="1">IF(LOWER(Capacity!$L89)="x",IF(AND(SUMIF(Capacity_Resource,$D77,'Critical resources (hide)'!AL$6:AL$105)+SUMIF(Capacity_Resource,$E77,'Critical resources (hide)'!AL$6:AL$105)+SUMIF(Capacity_Resource,$F77,'Critical resources (hide)'!AL$6:AL$105)&gt;0,$E$1=2),0,1),0)</f>
        <v>1</v>
      </c>
      <c r="Z77" s="67">
        <f ca="1">IF(LOWER(Capacity!$L89)="x",IF(AND(SUMIF(Capacity_Resource,$D77,'Critical resources (hide)'!AM$6:AM$105)+SUMIF(Capacity_Resource,$E77,'Critical resources (hide)'!AM$6:AM$105)+SUMIF(Capacity_Resource,$F77,'Critical resources (hide)'!AM$6:AM$105)&gt;0,$E$1=2),0,1),0)</f>
        <v>1</v>
      </c>
      <c r="AA77" s="67">
        <f ca="1">IF(LOWER(Capacity!$L89)="x",IF(AND(SUMIF(Capacity_Resource,$D77,'Critical resources (hide)'!AN$6:AN$105)+SUMIF(Capacity_Resource,$E77,'Critical resources (hide)'!AN$6:AN$105)+SUMIF(Capacity_Resource,$F77,'Critical resources (hide)'!AN$6:AN$105)&gt;0,$E$1=2),0,1),0)</f>
        <v>1</v>
      </c>
      <c r="AB77" s="67">
        <f ca="1">IF(LOWER(Capacity!$L89)="x",IF(AND(SUMIF(Capacity_Resource,$D77,'Critical resources (hide)'!AO$6:AO$105)+SUMIF(Capacity_Resource,$E77,'Critical resources (hide)'!AO$6:AO$105)+SUMIF(Capacity_Resource,$F77,'Critical resources (hide)'!AO$6:AO$105)&gt;0,$E$1=2),0,1),0)</f>
        <v>1</v>
      </c>
      <c r="AC77" s="67">
        <f ca="1">IF(LOWER(Capacity!$L89)="x",IF(AND(SUMIF(Capacity_Resource,$D77,'Critical resources (hide)'!AP$6:AP$105)+SUMIF(Capacity_Resource,$E77,'Critical resources (hide)'!AP$6:AP$105)+SUMIF(Capacity_Resource,$F77,'Critical resources (hide)'!AP$6:AP$105)&gt;0,$E$1=2),0,1),0)</f>
        <v>1</v>
      </c>
      <c r="AD77" s="67">
        <f ca="1">IF(LOWER(Capacity!$L89)="x",IF(AND(SUMIF(Capacity_Resource,$D77,'Critical resources (hide)'!AQ$6:AQ$105)+SUMIF(Capacity_Resource,$E77,'Critical resources (hide)'!AQ$6:AQ$105)+SUMIF(Capacity_Resource,$F77,'Critical resources (hide)'!AQ$6:AQ$105)&gt;0,$E$1=2),0,1),0)</f>
        <v>1</v>
      </c>
      <c r="AE77" s="67">
        <f ca="1">IF(LOWER(Capacity!$L89)="x",IF(AND(SUMIF(Capacity_Resource,$D77,'Critical resources (hide)'!AR$6:AR$105)+SUMIF(Capacity_Resource,$E77,'Critical resources (hide)'!AR$6:AR$105)+SUMIF(Capacity_Resource,$F77,'Critical resources (hide)'!AR$6:AR$105)&gt;0,$E$1=2),0,1),0)</f>
        <v>1</v>
      </c>
      <c r="AF77" s="67">
        <f ca="1">IF(LOWER(Capacity!$L89)="x",IF(AND(SUMIF(Capacity_Resource,$D77,'Critical resources (hide)'!AS$6:AS$105)+SUMIF(Capacity_Resource,$E77,'Critical resources (hide)'!AS$6:AS$105)+SUMIF(Capacity_Resource,$F77,'Critical resources (hide)'!AS$6:AS$105)&gt;0,$E$1=2),0,1),0)</f>
        <v>1</v>
      </c>
      <c r="AG77" s="67">
        <f ca="1">IF(LOWER(Capacity!$L89)="x",IF(AND(SUMIF(Capacity_Resource,$D77,'Critical resources (hide)'!AT$6:AT$105)+SUMIF(Capacity_Resource,$E77,'Critical resources (hide)'!AT$6:AT$105)+SUMIF(Capacity_Resource,$F77,'Critical resources (hide)'!AT$6:AT$105)&gt;0,$E$1=2),0,1),0)</f>
        <v>1</v>
      </c>
      <c r="AH77" s="67">
        <f ca="1">IF(LOWER(Capacity!$L89)="x",IF(AND(SUMIF(Capacity_Resource,$D77,'Critical resources (hide)'!AU$6:AU$105)+SUMIF(Capacity_Resource,$E77,'Critical resources (hide)'!AU$6:AU$105)+SUMIF(Capacity_Resource,$F77,'Critical resources (hide)'!AU$6:AU$105)&gt;0,$E$1=2),0,1),0)</f>
        <v>1</v>
      </c>
      <c r="AI77" s="67">
        <f ca="1">IF(LOWER(Capacity!$L89)="x",IF(AND(SUMIF(Capacity_Resource,$D77,'Critical resources (hide)'!AV$6:AV$105)+SUMIF(Capacity_Resource,$E77,'Critical resources (hide)'!AV$6:AV$105)+SUMIF(Capacity_Resource,$F77,'Critical resources (hide)'!AV$6:AV$105)&gt;0,$E$1=2),0,1),0)</f>
        <v>1</v>
      </c>
      <c r="AJ77" s="67">
        <f ca="1">IF(LOWER(Capacity!$L89)="x",IF(AND(SUMIF(Capacity_Resource,$D77,'Critical resources (hide)'!AW$6:AW$105)+SUMIF(Capacity_Resource,$E77,'Critical resources (hide)'!AW$6:AW$105)+SUMIF(Capacity_Resource,$F77,'Critical resources (hide)'!AW$6:AW$105)&gt;0,$E$1=2),0,1),0)</f>
        <v>1</v>
      </c>
      <c r="AK77" s="67">
        <f ca="1">IF(LOWER(Capacity!$L89)="x",IF(AND(SUMIF(Capacity_Resource,$D77,'Critical resources (hide)'!AX$6:AX$105)+SUMIF(Capacity_Resource,$E77,'Critical resources (hide)'!AX$6:AX$105)+SUMIF(Capacity_Resource,$F77,'Critical resources (hide)'!AX$6:AX$105)&gt;0,$E$1=2),0,1),0)</f>
        <v>1</v>
      </c>
      <c r="AL77" s="67">
        <f ca="1">IF(LOWER(Capacity!$L89)="x",IF(AND(SUMIF(Capacity_Resource,$D77,'Critical resources (hide)'!AY$6:AY$105)+SUMIF(Capacity_Resource,$E77,'Critical resources (hide)'!AY$6:AY$105)+SUMIF(Capacity_Resource,$F77,'Critical resources (hide)'!AY$6:AY$105)&gt;0,$E$1=2),0,1),0)</f>
        <v>1</v>
      </c>
      <c r="AM77" s="67">
        <f ca="1">IF(LOWER(Capacity!$L89)="x",IF(AND(SUMIF(Capacity_Resource,$D77,'Critical resources (hide)'!AZ$6:AZ$105)+SUMIF(Capacity_Resource,$E77,'Critical resources (hide)'!AZ$6:AZ$105)+SUMIF(Capacity_Resource,$F77,'Critical resources (hide)'!AZ$6:AZ$105)&gt;0,$E$1=2),0,1),0)</f>
        <v>1</v>
      </c>
      <c r="AN77" s="67">
        <f ca="1">IF(LOWER(Capacity!$L89)="x",IF(AND(SUMIF(Capacity_Resource,$D77,'Critical resources (hide)'!BA$6:BA$105)+SUMIF(Capacity_Resource,$E77,'Critical resources (hide)'!BA$6:BA$105)+SUMIF(Capacity_Resource,$F77,'Critical resources (hide)'!BA$6:BA$105)&gt;0,$E$1=2),0,1),0)</f>
        <v>1</v>
      </c>
      <c r="AO77" s="67">
        <f ca="1">IF(LOWER(Capacity!$L89)="x",IF(AND(SUMIF(Capacity_Resource,$D77,'Critical resources (hide)'!BB$6:BB$105)+SUMIF(Capacity_Resource,$E77,'Critical resources (hide)'!BB$6:BB$105)+SUMIF(Capacity_Resource,$F77,'Critical resources (hide)'!BB$6:BB$105)&gt;0,$E$1=2),0,1),0)</f>
        <v>1</v>
      </c>
      <c r="AP77" s="67">
        <f ca="1">IF(LOWER(Capacity!$L89)="x",IF(AND(SUMIF(Capacity_Resource,$D77,'Critical resources (hide)'!BC$6:BC$105)+SUMIF(Capacity_Resource,$E77,'Critical resources (hide)'!BC$6:BC$105)+SUMIF(Capacity_Resource,$F77,'Critical resources (hide)'!BC$6:BC$105)&gt;0,$E$1=2),0,1),0)</f>
        <v>1</v>
      </c>
      <c r="AQ77" s="67">
        <f ca="1">IF(LOWER(Capacity!$L89)="x",IF(AND(SUMIF(Capacity_Resource,$D77,'Critical resources (hide)'!BD$6:BD$105)+SUMIF(Capacity_Resource,$E77,'Critical resources (hide)'!BD$6:BD$105)+SUMIF(Capacity_Resource,$F77,'Critical resources (hide)'!BD$6:BD$105)&gt;0,$E$1=2),0,1),0)</f>
        <v>1</v>
      </c>
      <c r="AR77" s="67">
        <f ca="1">IF(LOWER(Capacity!$L89)="x",IF(AND(SUMIF(Capacity_Resource,$D77,'Critical resources (hide)'!BE$6:BE$105)+SUMIF(Capacity_Resource,$E77,'Critical resources (hide)'!BE$6:BE$105)+SUMIF(Capacity_Resource,$F77,'Critical resources (hide)'!BE$6:BE$105)&gt;0,$E$1=2),0,1),0)</f>
        <v>1</v>
      </c>
      <c r="AS77" s="67">
        <f ca="1">IF(LOWER(Capacity!$L89)="x",IF(AND(SUMIF(Capacity_Resource,$D77,'Critical resources (hide)'!BF$6:BF$105)+SUMIF(Capacity_Resource,$E77,'Critical resources (hide)'!BF$6:BF$105)+SUMIF(Capacity_Resource,$F77,'Critical resources (hide)'!BF$6:BF$105)&gt;0,$E$1=2),0,1),0)</f>
        <v>1</v>
      </c>
      <c r="AT77" s="67">
        <f ca="1">IF(LOWER(Capacity!$L89)="x",IF(AND(SUMIF(Capacity_Resource,$D77,'Critical resources (hide)'!BG$6:BG$105)+SUMIF(Capacity_Resource,$E77,'Critical resources (hide)'!BG$6:BG$105)+SUMIF(Capacity_Resource,$F77,'Critical resources (hide)'!BG$6:BG$105)&gt;0,$E$1=2),0,1),0)</f>
        <v>1</v>
      </c>
      <c r="AU77" s="67">
        <f ca="1">IF(LOWER(Capacity!$L89)="x",IF(AND(SUMIF(Capacity_Resource,$D77,'Critical resources (hide)'!BH$6:BH$105)+SUMIF(Capacity_Resource,$E77,'Critical resources (hide)'!BH$6:BH$105)+SUMIF(Capacity_Resource,$F77,'Critical resources (hide)'!BH$6:BH$105)&gt;0,$E$1=2),0,1),0)</f>
        <v>1</v>
      </c>
      <c r="AV77" s="67">
        <f ca="1">IF(LOWER(Capacity!$L89)="x",IF(AND(SUMIF(Capacity_Resource,$D77,'Critical resources (hide)'!BI$6:BI$105)+SUMIF(Capacity_Resource,$E77,'Critical resources (hide)'!BI$6:BI$105)+SUMIF(Capacity_Resource,$F77,'Critical resources (hide)'!BI$6:BI$105)&gt;0,$E$1=2),0,1),0)</f>
        <v>1</v>
      </c>
      <c r="AW77" s="67">
        <f ca="1">IF(LOWER(Capacity!$L89)="x",IF(AND(SUMIF(Capacity_Resource,$D77,'Critical resources (hide)'!BJ$6:BJ$105)+SUMIF(Capacity_Resource,$E77,'Critical resources (hide)'!BJ$6:BJ$105)+SUMIF(Capacity_Resource,$F77,'Critical resources (hide)'!BJ$6:BJ$105)&gt;0,$E$1=2),0,1),0)</f>
        <v>1</v>
      </c>
      <c r="AX77" s="67">
        <f ca="1">IF(LOWER(Capacity!$L89)="x",IF(AND(SUMIF(Capacity_Resource,$D77,'Critical resources (hide)'!BK$6:BK$105)+SUMIF(Capacity_Resource,$E77,'Critical resources (hide)'!BK$6:BK$105)+SUMIF(Capacity_Resource,$F77,'Critical resources (hide)'!BK$6:BK$105)&gt;0,$E$1=2),0,1),0)</f>
        <v>1</v>
      </c>
      <c r="AY77" s="67">
        <f ca="1">IF(LOWER(Capacity!$L89)="x",IF(AND(SUMIF(Capacity_Resource,$D77,'Critical resources (hide)'!BL$6:BL$105)+SUMIF(Capacity_Resource,$E77,'Critical resources (hide)'!BL$6:BL$105)+SUMIF(Capacity_Resource,$F77,'Critical resources (hide)'!BL$6:BL$105)&gt;0,$E$1=2),0,1),0)</f>
        <v>1</v>
      </c>
      <c r="AZ77" s="67">
        <f ca="1">IF(LOWER(Capacity!$L89)="x",IF(AND(SUMIF(Capacity_Resource,$D77,'Critical resources (hide)'!BM$6:BM$105)+SUMIF(Capacity_Resource,$E77,'Critical resources (hide)'!BM$6:BM$105)+SUMIF(Capacity_Resource,$F77,'Critical resources (hide)'!BM$6:BM$105)&gt;0,$E$1=2),0,1),0)</f>
        <v>1</v>
      </c>
      <c r="BA77" s="67">
        <f ca="1">IF(LOWER(Capacity!$L89)="x",IF(AND(SUMIF(Capacity_Resource,$D77,'Critical resources (hide)'!BN$6:BN$105)+SUMIF(Capacity_Resource,$E77,'Critical resources (hide)'!BN$6:BN$105)+SUMIF(Capacity_Resource,$F77,'Critical resources (hide)'!BN$6:BN$105)&gt;0,$E$1=2),0,1),0)</f>
        <v>1</v>
      </c>
      <c r="BB77" s="67">
        <f ca="1">IF(LOWER(Capacity!$L89)="x",IF(AND(SUMIF(Capacity_Resource,$D77,'Critical resources (hide)'!BO$6:BO$105)+SUMIF(Capacity_Resource,$E77,'Critical resources (hide)'!BO$6:BO$105)+SUMIF(Capacity_Resource,$F77,'Critical resources (hide)'!BO$6:BO$105)&gt;0,$E$1=2),0,1),0)</f>
        <v>1</v>
      </c>
      <c r="BC77" s="67">
        <f ca="1">IF(LOWER(Capacity!$L89)="x",IF(AND(SUMIF(Capacity_Resource,$D77,'Critical resources (hide)'!BP$6:BP$105)+SUMIF(Capacity_Resource,$E77,'Critical resources (hide)'!BP$6:BP$105)+SUMIF(Capacity_Resource,$F77,'Critical resources (hide)'!BP$6:BP$105)&gt;0,$E$1=2),0,1),0)</f>
        <v>1</v>
      </c>
      <c r="BD77" s="67">
        <f ca="1">IF(LOWER(Capacity!$L89)="x",IF(AND(SUMIF(Capacity_Resource,$D77,'Critical resources (hide)'!BQ$6:BQ$105)+SUMIF(Capacity_Resource,$E77,'Critical resources (hide)'!BQ$6:BQ$105)+SUMIF(Capacity_Resource,$F77,'Critical resources (hide)'!BQ$6:BQ$105)&gt;0,$E$1=2),0,1),0)</f>
        <v>1</v>
      </c>
      <c r="BE77" s="67">
        <f ca="1">IF(LOWER(Capacity!$L89)="x",IF(AND(SUMIF(Capacity_Resource,$D77,'Critical resources (hide)'!BR$6:BR$105)+SUMIF(Capacity_Resource,$E77,'Critical resources (hide)'!BR$6:BR$105)+SUMIF(Capacity_Resource,$F77,'Critical resources (hide)'!BR$6:BR$105)&gt;0,$E$1=2),0,1),0)</f>
        <v>1</v>
      </c>
      <c r="BF77" s="67">
        <f ca="1">IF(LOWER(Capacity!$L89)="x",IF(AND(SUMIF(Capacity_Resource,$D77,'Critical resources (hide)'!BS$6:BS$105)+SUMIF(Capacity_Resource,$E77,'Critical resources (hide)'!BS$6:BS$105)+SUMIF(Capacity_Resource,$F77,'Critical resources (hide)'!BS$6:BS$105)&gt;0,$E$1=2),0,1),0)</f>
        <v>1</v>
      </c>
      <c r="BG77" s="67">
        <f ca="1">IF(LOWER(Capacity!$L89)="x",IF(AND(SUMIF(Capacity_Resource,$D77,'Critical resources (hide)'!BT$6:BT$105)+SUMIF(Capacity_Resource,$E77,'Critical resources (hide)'!BT$6:BT$105)+SUMIF(Capacity_Resource,$F77,'Critical resources (hide)'!BT$6:BT$105)&gt;0,$E$1=2),0,1),0)</f>
        <v>1</v>
      </c>
      <c r="BH77" s="67">
        <f>IF(ROW(C73)&lt;=Capacity!$A$16,IF('Capacity summary'!$D$14="No",SUM(H77:BG77),'Capacity summary'!$E196),0)</f>
        <v>0</v>
      </c>
      <c r="BI77" s="5" t="str">
        <f>IF(BH77&gt;0,IF(BH77&lt;Capacity!E89,Capacity!F89,Capacity!H89/'Capacity calculation (hide)'!BH77),"")</f>
        <v/>
      </c>
      <c r="BK77" s="311">
        <f>IF($BI77&lt;&gt;"",IF('Capacity summary'!$D$14="Yes",IF(COUNTBLANK('Capacity summary'!$H196:$BG196)&lt;52,IF('Capacity summary'!H196&lt;&gt;"",IF(LOWER('Capacity summary'!H196)="x",$BI77*H77,VALUE('Capacity summary'!H196)),0),H77*$BI77),H77*$BI77),0)</f>
        <v>0</v>
      </c>
      <c r="BL77" s="311">
        <f>IF($BI77&lt;&gt;"",IF('Capacity summary'!$D$14="Yes",IF(COUNTBLANK('Capacity summary'!$H196:$BG196)&lt;52,IF('Capacity summary'!I196&lt;&gt;"",IF(LOWER('Capacity summary'!I196)="x",$BI77*I77,VALUE('Capacity summary'!I196)),0),I77*$BI77),I77*$BI77),0)</f>
        <v>0</v>
      </c>
      <c r="BM77" s="311">
        <f>IF($BI77&lt;&gt;"",IF('Capacity summary'!$D$14="Yes",IF(COUNTBLANK('Capacity summary'!$H196:$BG196)&lt;52,IF('Capacity summary'!J196&lt;&gt;"",IF(LOWER('Capacity summary'!J196)="x",$BI77*J77,VALUE('Capacity summary'!J196)),0),J77*$BI77),J77*$BI77),0)</f>
        <v>0</v>
      </c>
      <c r="BN77" s="311">
        <f>IF($BI77&lt;&gt;"",IF('Capacity summary'!$D$14="Yes",IF(COUNTBLANK('Capacity summary'!$H196:$BG196)&lt;52,IF('Capacity summary'!K196&lt;&gt;"",IF(LOWER('Capacity summary'!K196)="x",$BI77*K77,VALUE('Capacity summary'!K196)),0),K77*$BI77),K77*$BI77),0)</f>
        <v>0</v>
      </c>
      <c r="BO77" s="311">
        <f>IF($BI77&lt;&gt;"",IF('Capacity summary'!$D$14="Yes",IF(COUNTBLANK('Capacity summary'!$H196:$BG196)&lt;52,IF('Capacity summary'!L196&lt;&gt;"",IF(LOWER('Capacity summary'!L196)="x",$BI77*L77,VALUE('Capacity summary'!L196)),0),L77*$BI77),L77*$BI77),0)</f>
        <v>0</v>
      </c>
      <c r="BP77" s="311">
        <f>IF($BI77&lt;&gt;"",IF('Capacity summary'!$D$14="Yes",IF(COUNTBLANK('Capacity summary'!$H196:$BG196)&lt;52,IF('Capacity summary'!M196&lt;&gt;"",IF(LOWER('Capacity summary'!M196)="x",$BI77*M77,VALUE('Capacity summary'!M196)),0),M77*$BI77),M77*$BI77),0)</f>
        <v>0</v>
      </c>
      <c r="BQ77" s="311">
        <f>IF($BI77&lt;&gt;"",IF('Capacity summary'!$D$14="Yes",IF(COUNTBLANK('Capacity summary'!$H196:$BG196)&lt;52,IF('Capacity summary'!N196&lt;&gt;"",IF(LOWER('Capacity summary'!N196)="x",$BI77*N77,VALUE('Capacity summary'!N196)),0),N77*$BI77),N77*$BI77),0)</f>
        <v>0</v>
      </c>
      <c r="BR77" s="311">
        <f>IF($BI77&lt;&gt;"",IF('Capacity summary'!$D$14="Yes",IF(COUNTBLANK('Capacity summary'!$H196:$BG196)&lt;52,IF('Capacity summary'!O196&lt;&gt;"",IF(LOWER('Capacity summary'!O196)="x",$BI77*O77,VALUE('Capacity summary'!O196)),0),O77*$BI77),O77*$BI77),0)</f>
        <v>0</v>
      </c>
      <c r="BS77" s="311">
        <f>IF($BI77&lt;&gt;"",IF('Capacity summary'!$D$14="Yes",IF(COUNTBLANK('Capacity summary'!$H196:$BG196)&lt;52,IF('Capacity summary'!P196&lt;&gt;"",IF(LOWER('Capacity summary'!P196)="x",$BI77*P77,VALUE('Capacity summary'!P196)),0),P77*$BI77),P77*$BI77),0)</f>
        <v>0</v>
      </c>
      <c r="BT77" s="311">
        <f>IF($BI77&lt;&gt;"",IF('Capacity summary'!$D$14="Yes",IF(COUNTBLANK('Capacity summary'!$H196:$BG196)&lt;52,IF('Capacity summary'!Q196&lt;&gt;"",IF(LOWER('Capacity summary'!Q196)="x",$BI77*Q77,VALUE('Capacity summary'!Q196)),0),Q77*$BI77),Q77*$BI77),0)</f>
        <v>0</v>
      </c>
      <c r="BU77" s="311">
        <f>IF($BI77&lt;&gt;"",IF('Capacity summary'!$D$14="Yes",IF(COUNTBLANK('Capacity summary'!$H196:$BG196)&lt;52,IF('Capacity summary'!R196&lt;&gt;"",IF(LOWER('Capacity summary'!R196)="x",$BI77*R77,VALUE('Capacity summary'!R196)),0),R77*$BI77),R77*$BI77),0)</f>
        <v>0</v>
      </c>
      <c r="BV77" s="311">
        <f>IF($BI77&lt;&gt;"",IF('Capacity summary'!$D$14="Yes",IF(COUNTBLANK('Capacity summary'!$H196:$BG196)&lt;52,IF('Capacity summary'!S196&lt;&gt;"",IF(LOWER('Capacity summary'!S196)="x",$BI77*S77,VALUE('Capacity summary'!S196)),0),S77*$BI77),S77*$BI77),0)</f>
        <v>0</v>
      </c>
      <c r="BW77" s="311">
        <f>IF($BI77&lt;&gt;"",IF('Capacity summary'!$D$14="Yes",IF(COUNTBLANK('Capacity summary'!$H196:$BG196)&lt;52,IF('Capacity summary'!T196&lt;&gt;"",IF(LOWER('Capacity summary'!T196)="x",$BI77*T77,VALUE('Capacity summary'!T196)),0),T77*$BI77),T77*$BI77),0)</f>
        <v>0</v>
      </c>
      <c r="BX77" s="311">
        <f>IF($BI77&lt;&gt;"",IF('Capacity summary'!$D$14="Yes",IF(COUNTBLANK('Capacity summary'!$H196:$BG196)&lt;52,IF('Capacity summary'!U196&lt;&gt;"",IF(LOWER('Capacity summary'!U196)="x",$BI77*U77,VALUE('Capacity summary'!U196)),0),U77*$BI77),U77*$BI77),0)</f>
        <v>0</v>
      </c>
      <c r="BY77" s="311">
        <f>IF($BI77&lt;&gt;"",IF('Capacity summary'!$D$14="Yes",IF(COUNTBLANK('Capacity summary'!$H196:$BG196)&lt;52,IF('Capacity summary'!V196&lt;&gt;"",IF(LOWER('Capacity summary'!V196)="x",$BI77*V77,VALUE('Capacity summary'!V196)),0),V77*$BI77),V77*$BI77),0)</f>
        <v>0</v>
      </c>
      <c r="BZ77" s="311">
        <f>IF($BI77&lt;&gt;"",IF('Capacity summary'!$D$14="Yes",IF(COUNTBLANK('Capacity summary'!$H196:$BG196)&lt;52,IF('Capacity summary'!W196&lt;&gt;"",IF(LOWER('Capacity summary'!W196)="x",$BI77*W77,VALUE('Capacity summary'!W196)),0),W77*$BI77),W77*$BI77),0)</f>
        <v>0</v>
      </c>
      <c r="CA77" s="311">
        <f>IF($BI77&lt;&gt;"",IF('Capacity summary'!$D$14="Yes",IF(COUNTBLANK('Capacity summary'!$H196:$BG196)&lt;52,IF('Capacity summary'!X196&lt;&gt;"",IF(LOWER('Capacity summary'!X196)="x",$BI77*X77,VALUE('Capacity summary'!X196)),0),X77*$BI77),X77*$BI77),0)</f>
        <v>0</v>
      </c>
      <c r="CB77" s="311">
        <f>IF($BI77&lt;&gt;"",IF('Capacity summary'!$D$14="Yes",IF(COUNTBLANK('Capacity summary'!$H196:$BG196)&lt;52,IF('Capacity summary'!Y196&lt;&gt;"",IF(LOWER('Capacity summary'!Y196)="x",$BI77*Y77,VALUE('Capacity summary'!Y196)),0),Y77*$BI77),Y77*$BI77),0)</f>
        <v>0</v>
      </c>
      <c r="CC77" s="311">
        <f>IF($BI77&lt;&gt;"",IF('Capacity summary'!$D$14="Yes",IF(COUNTBLANK('Capacity summary'!$H196:$BG196)&lt;52,IF('Capacity summary'!Z196&lt;&gt;"",IF(LOWER('Capacity summary'!Z196)="x",$BI77*Z77,VALUE('Capacity summary'!Z196)),0),Z77*$BI77),Z77*$BI77),0)</f>
        <v>0</v>
      </c>
      <c r="CD77" s="311">
        <f>IF($BI77&lt;&gt;"",IF('Capacity summary'!$D$14="Yes",IF(COUNTBLANK('Capacity summary'!$H196:$BG196)&lt;52,IF('Capacity summary'!AA196&lt;&gt;"",IF(LOWER('Capacity summary'!AA196)="x",$BI77*AA77,VALUE('Capacity summary'!AA196)),0),AA77*$BI77),AA77*$BI77),0)</f>
        <v>0</v>
      </c>
      <c r="CE77" s="311">
        <f>IF($BI77&lt;&gt;"",IF('Capacity summary'!$D$14="Yes",IF(COUNTBLANK('Capacity summary'!$H196:$BG196)&lt;52,IF('Capacity summary'!AB196&lt;&gt;"",IF(LOWER('Capacity summary'!AB196)="x",$BI77*AB77,VALUE('Capacity summary'!AB196)),0),AB77*$BI77),AB77*$BI77),0)</f>
        <v>0</v>
      </c>
      <c r="CF77" s="311">
        <f>IF($BI77&lt;&gt;"",IF('Capacity summary'!$D$14="Yes",IF(COUNTBLANK('Capacity summary'!$H196:$BG196)&lt;52,IF('Capacity summary'!AC196&lt;&gt;"",IF(LOWER('Capacity summary'!AC196)="x",$BI77*AC77,VALUE('Capacity summary'!AC196)),0),AC77*$BI77),AC77*$BI77),0)</f>
        <v>0</v>
      </c>
      <c r="CG77" s="311">
        <f>IF($BI77&lt;&gt;"",IF('Capacity summary'!$D$14="Yes",IF(COUNTBLANK('Capacity summary'!$H196:$BG196)&lt;52,IF('Capacity summary'!AD196&lt;&gt;"",IF(LOWER('Capacity summary'!AD196)="x",$BI77*AD77,VALUE('Capacity summary'!AD196)),0),AD77*$BI77),AD77*$BI77),0)</f>
        <v>0</v>
      </c>
      <c r="CH77" s="311">
        <f>IF($BI77&lt;&gt;"",IF('Capacity summary'!$D$14="Yes",IF(COUNTBLANK('Capacity summary'!$H196:$BG196)&lt;52,IF('Capacity summary'!AE196&lt;&gt;"",IF(LOWER('Capacity summary'!AE196)="x",$BI77*AE77,VALUE('Capacity summary'!AE196)),0),AE77*$BI77),AE77*$BI77),0)</f>
        <v>0</v>
      </c>
      <c r="CI77" s="311">
        <f>IF($BI77&lt;&gt;"",IF('Capacity summary'!$D$14="Yes",IF(COUNTBLANK('Capacity summary'!$H196:$BG196)&lt;52,IF('Capacity summary'!AF196&lt;&gt;"",IF(LOWER('Capacity summary'!AF196)="x",$BI77*AF77,VALUE('Capacity summary'!AF196)),0),AF77*$BI77),AF77*$BI77),0)</f>
        <v>0</v>
      </c>
      <c r="CJ77" s="311">
        <f>IF($BI77&lt;&gt;"",IF('Capacity summary'!$D$14="Yes",IF(COUNTBLANK('Capacity summary'!$H196:$BG196)&lt;52,IF('Capacity summary'!AG196&lt;&gt;"",IF(LOWER('Capacity summary'!AG196)="x",$BI77*AG77,VALUE('Capacity summary'!AG196)),0),AG77*$BI77),AG77*$BI77),0)</f>
        <v>0</v>
      </c>
      <c r="CK77" s="311">
        <f>IF($BI77&lt;&gt;"",IF('Capacity summary'!$D$14="Yes",IF(COUNTBLANK('Capacity summary'!$H196:$BG196)&lt;52,IF('Capacity summary'!AH196&lt;&gt;"",IF(LOWER('Capacity summary'!AH196)="x",$BI77*AH77,VALUE('Capacity summary'!AH196)),0),AH77*$BI77),AH77*$BI77),0)</f>
        <v>0</v>
      </c>
      <c r="CL77" s="311">
        <f>IF($BI77&lt;&gt;"",IF('Capacity summary'!$D$14="Yes",IF(COUNTBLANK('Capacity summary'!$H196:$BG196)&lt;52,IF('Capacity summary'!AI196&lt;&gt;"",IF(LOWER('Capacity summary'!AI196)="x",$BI77*AI77,VALUE('Capacity summary'!AI196)),0),AI77*$BI77),AI77*$BI77),0)</f>
        <v>0</v>
      </c>
      <c r="CM77" s="311">
        <f>IF($BI77&lt;&gt;"",IF('Capacity summary'!$D$14="Yes",IF(COUNTBLANK('Capacity summary'!$H196:$BG196)&lt;52,IF('Capacity summary'!AJ196&lt;&gt;"",IF(LOWER('Capacity summary'!AJ196)="x",$BI77*AJ77,VALUE('Capacity summary'!AJ196)),0),AJ77*$BI77),AJ77*$BI77),0)</f>
        <v>0</v>
      </c>
      <c r="CN77" s="311">
        <f>IF($BI77&lt;&gt;"",IF('Capacity summary'!$D$14="Yes",IF(COUNTBLANK('Capacity summary'!$H196:$BG196)&lt;52,IF('Capacity summary'!AK196&lt;&gt;"",IF(LOWER('Capacity summary'!AK196)="x",$BI77*AK77,VALUE('Capacity summary'!AK196)),0),AK77*$BI77),AK77*$BI77),0)</f>
        <v>0</v>
      </c>
      <c r="CO77" s="311">
        <f>IF($BI77&lt;&gt;"",IF('Capacity summary'!$D$14="Yes",IF(COUNTBLANK('Capacity summary'!$H196:$BG196)&lt;52,IF('Capacity summary'!AL196&lt;&gt;"",IF(LOWER('Capacity summary'!AL196)="x",$BI77*AL77,VALUE('Capacity summary'!AL196)),0),AL77*$BI77),AL77*$BI77),0)</f>
        <v>0</v>
      </c>
      <c r="CP77" s="311">
        <f>IF($BI77&lt;&gt;"",IF('Capacity summary'!$D$14="Yes",IF(COUNTBLANK('Capacity summary'!$H196:$BG196)&lt;52,IF('Capacity summary'!AM196&lt;&gt;"",IF(LOWER('Capacity summary'!AM196)="x",$BI77*AM77,VALUE('Capacity summary'!AM196)),0),AM77*$BI77),AM77*$BI77),0)</f>
        <v>0</v>
      </c>
      <c r="CQ77" s="311">
        <f>IF($BI77&lt;&gt;"",IF('Capacity summary'!$D$14="Yes",IF(COUNTBLANK('Capacity summary'!$H196:$BG196)&lt;52,IF('Capacity summary'!AN196&lt;&gt;"",IF(LOWER('Capacity summary'!AN196)="x",$BI77*AN77,VALUE('Capacity summary'!AN196)),0),AN77*$BI77),AN77*$BI77),0)</f>
        <v>0</v>
      </c>
      <c r="CR77" s="311">
        <f>IF($BI77&lt;&gt;"",IF('Capacity summary'!$D$14="Yes",IF(COUNTBLANK('Capacity summary'!$H196:$BG196)&lt;52,IF('Capacity summary'!AO196&lt;&gt;"",IF(LOWER('Capacity summary'!AO196)="x",$BI77*AO77,VALUE('Capacity summary'!AO196)),0),AO77*$BI77),AO77*$BI77),0)</f>
        <v>0</v>
      </c>
      <c r="CS77" s="311">
        <f>IF($BI77&lt;&gt;"",IF('Capacity summary'!$D$14="Yes",IF(COUNTBLANK('Capacity summary'!$H196:$BG196)&lt;52,IF('Capacity summary'!AP196&lt;&gt;"",IF(LOWER('Capacity summary'!AP196)="x",$BI77*AP77,VALUE('Capacity summary'!AP196)),0),AP77*$BI77),AP77*$BI77),0)</f>
        <v>0</v>
      </c>
      <c r="CT77" s="311">
        <f>IF($BI77&lt;&gt;"",IF('Capacity summary'!$D$14="Yes",IF(COUNTBLANK('Capacity summary'!$H196:$BG196)&lt;52,IF('Capacity summary'!AQ196&lt;&gt;"",IF(LOWER('Capacity summary'!AQ196)="x",$BI77*AQ77,VALUE('Capacity summary'!AQ196)),0),AQ77*$BI77),AQ77*$BI77),0)</f>
        <v>0</v>
      </c>
      <c r="CU77" s="311">
        <f>IF($BI77&lt;&gt;"",IF('Capacity summary'!$D$14="Yes",IF(COUNTBLANK('Capacity summary'!$H196:$BG196)&lt;52,IF('Capacity summary'!AR196&lt;&gt;"",IF(LOWER('Capacity summary'!AR196)="x",$BI77*AR77,VALUE('Capacity summary'!AR196)),0),AR77*$BI77),AR77*$BI77),0)</f>
        <v>0</v>
      </c>
      <c r="CV77" s="311">
        <f>IF($BI77&lt;&gt;"",IF('Capacity summary'!$D$14="Yes",IF(COUNTBLANK('Capacity summary'!$H196:$BG196)&lt;52,IF('Capacity summary'!AS196&lt;&gt;"",IF(LOWER('Capacity summary'!AS196)="x",$BI77*AS77,VALUE('Capacity summary'!AS196)),0),AS77*$BI77),AS77*$BI77),0)</f>
        <v>0</v>
      </c>
      <c r="CW77" s="311">
        <f>IF($BI77&lt;&gt;"",IF('Capacity summary'!$D$14="Yes",IF(COUNTBLANK('Capacity summary'!$H196:$BG196)&lt;52,IF('Capacity summary'!AT196&lt;&gt;"",IF(LOWER('Capacity summary'!AT196)="x",$BI77*AT77,VALUE('Capacity summary'!AT196)),0),AT77*$BI77),AT77*$BI77),0)</f>
        <v>0</v>
      </c>
      <c r="CX77" s="311">
        <f>IF($BI77&lt;&gt;"",IF('Capacity summary'!$D$14="Yes",IF(COUNTBLANK('Capacity summary'!$H196:$BG196)&lt;52,IF('Capacity summary'!AU196&lt;&gt;"",IF(LOWER('Capacity summary'!AU196)="x",$BI77*AU77,VALUE('Capacity summary'!AU196)),0),AU77*$BI77),AU77*$BI77),0)</f>
        <v>0</v>
      </c>
      <c r="CY77" s="311">
        <f>IF($BI77&lt;&gt;"",IF('Capacity summary'!$D$14="Yes",IF(COUNTBLANK('Capacity summary'!$H196:$BG196)&lt;52,IF('Capacity summary'!AV196&lt;&gt;"",IF(LOWER('Capacity summary'!AV196)="x",$BI77*AV77,VALUE('Capacity summary'!AV196)),0),AV77*$BI77),AV77*$BI77),0)</f>
        <v>0</v>
      </c>
      <c r="CZ77" s="311">
        <f>IF($BI77&lt;&gt;"",IF('Capacity summary'!$D$14="Yes",IF(COUNTBLANK('Capacity summary'!$H196:$BG196)&lt;52,IF('Capacity summary'!AW196&lt;&gt;"",IF(LOWER('Capacity summary'!AW196)="x",$BI77*AW77,VALUE('Capacity summary'!AW196)),0),AW77*$BI77),AW77*$BI77),0)</f>
        <v>0</v>
      </c>
      <c r="DA77" s="311">
        <f>IF($BI77&lt;&gt;"",IF('Capacity summary'!$D$14="Yes",IF(COUNTBLANK('Capacity summary'!$H196:$BG196)&lt;52,IF('Capacity summary'!AX196&lt;&gt;"",IF(LOWER('Capacity summary'!AX196)="x",$BI77*AX77,VALUE('Capacity summary'!AX196)),0),AX77*$BI77),AX77*$BI77),0)</f>
        <v>0</v>
      </c>
      <c r="DB77" s="311">
        <f>IF($BI77&lt;&gt;"",IF('Capacity summary'!$D$14="Yes",IF(COUNTBLANK('Capacity summary'!$H196:$BG196)&lt;52,IF('Capacity summary'!AY196&lt;&gt;"",IF(LOWER('Capacity summary'!AY196)="x",$BI77*AY77,VALUE('Capacity summary'!AY196)),0),AY77*$BI77),AY77*$BI77),0)</f>
        <v>0</v>
      </c>
      <c r="DC77" s="311">
        <f>IF($BI77&lt;&gt;"",IF('Capacity summary'!$D$14="Yes",IF(COUNTBLANK('Capacity summary'!$H196:$BG196)&lt;52,IF('Capacity summary'!AZ196&lt;&gt;"",IF(LOWER('Capacity summary'!AZ196)="x",$BI77*AZ77,VALUE('Capacity summary'!AZ196)),0),AZ77*$BI77),AZ77*$BI77),0)</f>
        <v>0</v>
      </c>
      <c r="DD77" s="311">
        <f>IF($BI77&lt;&gt;"",IF('Capacity summary'!$D$14="Yes",IF(COUNTBLANK('Capacity summary'!$H196:$BG196)&lt;52,IF('Capacity summary'!BA196&lt;&gt;"",IF(LOWER('Capacity summary'!BA196)="x",$BI77*BA77,VALUE('Capacity summary'!BA196)),0),BA77*$BI77),BA77*$BI77),0)</f>
        <v>0</v>
      </c>
      <c r="DE77" s="311">
        <f>IF($BI77&lt;&gt;"",IF('Capacity summary'!$D$14="Yes",IF(COUNTBLANK('Capacity summary'!$H196:$BG196)&lt;52,IF('Capacity summary'!BB196&lt;&gt;"",IF(LOWER('Capacity summary'!BB196)="x",$BI77*BB77,VALUE('Capacity summary'!BB196)),0),BB77*$BI77),BB77*$BI77),0)</f>
        <v>0</v>
      </c>
      <c r="DF77" s="311">
        <f>IF($BI77&lt;&gt;"",IF('Capacity summary'!$D$14="Yes",IF(COUNTBLANK('Capacity summary'!$H196:$BG196)&lt;52,IF('Capacity summary'!BC196&lt;&gt;"",IF(LOWER('Capacity summary'!BC196)="x",$BI77*BC77,VALUE('Capacity summary'!BC196)),0),BC77*$BI77),BC77*$BI77),0)</f>
        <v>0</v>
      </c>
      <c r="DG77" s="311">
        <f>IF($BI77&lt;&gt;"",IF('Capacity summary'!$D$14="Yes",IF(COUNTBLANK('Capacity summary'!$H196:$BG196)&lt;52,IF('Capacity summary'!BD196&lt;&gt;"",IF(LOWER('Capacity summary'!BD196)="x",$BI77*BD77,VALUE('Capacity summary'!BD196)),0),BD77*$BI77),BD77*$BI77),0)</f>
        <v>0</v>
      </c>
      <c r="DH77" s="311">
        <f>IF($BI77&lt;&gt;"",IF('Capacity summary'!$D$14="Yes",IF(COUNTBLANK('Capacity summary'!$H196:$BG196)&lt;52,IF('Capacity summary'!BE196&lt;&gt;"",IF(LOWER('Capacity summary'!BE196)="x",$BI77*BE77,VALUE('Capacity summary'!BE196)),0),BE77*$BI77),BE77*$BI77),0)</f>
        <v>0</v>
      </c>
      <c r="DI77" s="311">
        <f>IF($BI77&lt;&gt;"",IF('Capacity summary'!$D$14="Yes",IF(COUNTBLANK('Capacity summary'!$H196:$BG196)&lt;52,IF('Capacity summary'!BF196&lt;&gt;"",IF(LOWER('Capacity summary'!BF196)="x",$BI77*BF77,VALUE('Capacity summary'!BF196)),0),BF77*$BI77),BF77*$BI77),0)</f>
        <v>0</v>
      </c>
      <c r="DJ77" s="311">
        <f>IF($BI77&lt;&gt;"",IF('Capacity summary'!$D$14="Yes",IF(COUNTBLANK('Capacity summary'!$H196:$BG196)&lt;52,IF('Capacity summary'!BG196&lt;&gt;"",IF(LOWER('Capacity summary'!BG196)="x",$BI77*BG77,VALUE('Capacity summary'!BG196)),0),BG77*$BI77),BG77*$BI77),0)</f>
        <v>0</v>
      </c>
      <c r="DK77" s="391">
        <f t="shared" si="4"/>
        <v>0</v>
      </c>
      <c r="DL77" s="136">
        <f t="shared" si="5"/>
        <v>0</v>
      </c>
      <c r="DM77" s="311" t="str">
        <f>Capacity!H89</f>
        <v/>
      </c>
    </row>
    <row r="78" spans="1:117" x14ac:dyDescent="0.2">
      <c r="A78" s="67">
        <f>IF(Capacity!L90='Capacity summary'!BI197,1,0)</f>
        <v>1</v>
      </c>
      <c r="B78" s="67">
        <f>IF(Capacity!V90='Capacity summary'!BI97,1,0)</f>
        <v>1</v>
      </c>
      <c r="C78" s="67" t="str">
        <f>ROW(A74)&amp;". "&amp;Capacity!B90</f>
        <v xml:space="preserve">74. </v>
      </c>
      <c r="D78" s="67">
        <f>'Capacity setup'!C85</f>
        <v>0</v>
      </c>
      <c r="E78" s="67">
        <f>'Capacity setup'!D85</f>
        <v>0</v>
      </c>
      <c r="F78" s="67">
        <f>'Capacity setup'!E85</f>
        <v>0</v>
      </c>
      <c r="H78" s="67">
        <f ca="1">IF(LOWER(Capacity!$L90)="x",IF(AND(SUMIF(Capacity_Resource,$D78,'Critical resources (hide)'!U$6:U$105)+SUMIF(Capacity_Resource,$E78,'Critical resources (hide)'!U$6:U$105)+SUMIF(Capacity_Resource,$F78,'Critical resources (hide)'!U$6:U$105)&gt;0,$E$1=2),0,1),0)</f>
        <v>1</v>
      </c>
      <c r="I78" s="67">
        <f ca="1">IF(LOWER(Capacity!$L90)="x",IF(AND(SUMIF(Capacity_Resource,$D78,'Critical resources (hide)'!V$6:V$105)+SUMIF(Capacity_Resource,$E78,'Critical resources (hide)'!V$6:V$105)+SUMIF(Capacity_Resource,$F78,'Critical resources (hide)'!V$6:V$105)&gt;0,$E$1=2),0,1),0)</f>
        <v>1</v>
      </c>
      <c r="J78" s="67">
        <f ca="1">IF(LOWER(Capacity!$L90)="x",IF(AND(SUMIF(Capacity_Resource,$D78,'Critical resources (hide)'!W$6:W$105)+SUMIF(Capacity_Resource,$E78,'Critical resources (hide)'!W$6:W$105)+SUMIF(Capacity_Resource,$F78,'Critical resources (hide)'!W$6:W$105)&gt;0,$E$1=2),0,1),0)</f>
        <v>1</v>
      </c>
      <c r="K78" s="67">
        <f ca="1">IF(LOWER(Capacity!$L90)="x",IF(AND(SUMIF(Capacity_Resource,$D78,'Critical resources (hide)'!X$6:X$105)+SUMIF(Capacity_Resource,$E78,'Critical resources (hide)'!X$6:X$105)+SUMIF(Capacity_Resource,$F78,'Critical resources (hide)'!X$6:X$105)&gt;0,$E$1=2),0,1),0)</f>
        <v>1</v>
      </c>
      <c r="L78" s="67">
        <f ca="1">IF(LOWER(Capacity!$L90)="x",IF(AND(SUMIF(Capacity_Resource,$D78,'Critical resources (hide)'!Y$6:Y$105)+SUMIF(Capacity_Resource,$E78,'Critical resources (hide)'!Y$6:Y$105)+SUMIF(Capacity_Resource,$F78,'Critical resources (hide)'!Y$6:Y$105)&gt;0,$E$1=2),0,1),0)</f>
        <v>1</v>
      </c>
      <c r="M78" s="67">
        <f ca="1">IF(LOWER(Capacity!$L90)="x",IF(AND(SUMIF(Capacity_Resource,$D78,'Critical resources (hide)'!Z$6:Z$105)+SUMIF(Capacity_Resource,$E78,'Critical resources (hide)'!Z$6:Z$105)+SUMIF(Capacity_Resource,$F78,'Critical resources (hide)'!Z$6:Z$105)&gt;0,$E$1=2),0,1),0)</f>
        <v>1</v>
      </c>
      <c r="N78" s="67">
        <f ca="1">IF(LOWER(Capacity!$L90)="x",IF(AND(SUMIF(Capacity_Resource,$D78,'Critical resources (hide)'!AA$6:AA$105)+SUMIF(Capacity_Resource,$E78,'Critical resources (hide)'!AA$6:AA$105)+SUMIF(Capacity_Resource,$F78,'Critical resources (hide)'!AA$6:AA$105)&gt;0,$E$1=2),0,1),0)</f>
        <v>1</v>
      </c>
      <c r="O78" s="67">
        <f ca="1">IF(LOWER(Capacity!$L90)="x",IF(AND(SUMIF(Capacity_Resource,$D78,'Critical resources (hide)'!AB$6:AB$105)+SUMIF(Capacity_Resource,$E78,'Critical resources (hide)'!AB$6:AB$105)+SUMIF(Capacity_Resource,$F78,'Critical resources (hide)'!AB$6:AB$105)&gt;0,$E$1=2),0,1),0)</f>
        <v>1</v>
      </c>
      <c r="P78" s="67">
        <f ca="1">IF(LOWER(Capacity!$L90)="x",IF(AND(SUMIF(Capacity_Resource,$D78,'Critical resources (hide)'!AC$6:AC$105)+SUMIF(Capacity_Resource,$E78,'Critical resources (hide)'!AC$6:AC$105)+SUMIF(Capacity_Resource,$F78,'Critical resources (hide)'!AC$6:AC$105)&gt;0,$E$1=2),0,1),0)</f>
        <v>1</v>
      </c>
      <c r="Q78" s="67">
        <f ca="1">IF(LOWER(Capacity!$L90)="x",IF(AND(SUMIF(Capacity_Resource,$D78,'Critical resources (hide)'!AD$6:AD$105)+SUMIF(Capacity_Resource,$E78,'Critical resources (hide)'!AD$6:AD$105)+SUMIF(Capacity_Resource,$F78,'Critical resources (hide)'!AD$6:AD$105)&gt;0,$E$1=2),0,1),0)</f>
        <v>1</v>
      </c>
      <c r="R78" s="67">
        <f ca="1">IF(LOWER(Capacity!$L90)="x",IF(AND(SUMIF(Capacity_Resource,$D78,'Critical resources (hide)'!AE$6:AE$105)+SUMIF(Capacity_Resource,$E78,'Critical resources (hide)'!AE$6:AE$105)+SUMIF(Capacity_Resource,$F78,'Critical resources (hide)'!AE$6:AE$105)&gt;0,$E$1=2),0,1),0)</f>
        <v>1</v>
      </c>
      <c r="S78" s="67">
        <f ca="1">IF(LOWER(Capacity!$L90)="x",IF(AND(SUMIF(Capacity_Resource,$D78,'Critical resources (hide)'!AF$6:AF$105)+SUMIF(Capacity_Resource,$E78,'Critical resources (hide)'!AF$6:AF$105)+SUMIF(Capacity_Resource,$F78,'Critical resources (hide)'!AF$6:AF$105)&gt;0,$E$1=2),0,1),0)</f>
        <v>1</v>
      </c>
      <c r="T78" s="67">
        <f ca="1">IF(LOWER(Capacity!$L90)="x",IF(AND(SUMIF(Capacity_Resource,$D78,'Critical resources (hide)'!AG$6:AG$105)+SUMIF(Capacity_Resource,$E78,'Critical resources (hide)'!AG$6:AG$105)+SUMIF(Capacity_Resource,$F78,'Critical resources (hide)'!AG$6:AG$105)&gt;0,$E$1=2),0,1),0)</f>
        <v>1</v>
      </c>
      <c r="U78" s="67">
        <f ca="1">IF(LOWER(Capacity!$L90)="x",IF(AND(SUMIF(Capacity_Resource,$D78,'Critical resources (hide)'!AH$6:AH$105)+SUMIF(Capacity_Resource,$E78,'Critical resources (hide)'!AH$6:AH$105)+SUMIF(Capacity_Resource,$F78,'Critical resources (hide)'!AH$6:AH$105)&gt;0,$E$1=2),0,1),0)</f>
        <v>1</v>
      </c>
      <c r="V78" s="67">
        <f ca="1">IF(LOWER(Capacity!$L90)="x",IF(AND(SUMIF(Capacity_Resource,$D78,'Critical resources (hide)'!AI$6:AI$105)+SUMIF(Capacity_Resource,$E78,'Critical resources (hide)'!AI$6:AI$105)+SUMIF(Capacity_Resource,$F78,'Critical resources (hide)'!AI$6:AI$105)&gt;0,$E$1=2),0,1),0)</f>
        <v>1</v>
      </c>
      <c r="W78" s="67">
        <f ca="1">IF(LOWER(Capacity!$L90)="x",IF(AND(SUMIF(Capacity_Resource,$D78,'Critical resources (hide)'!AJ$6:AJ$105)+SUMIF(Capacity_Resource,$E78,'Critical resources (hide)'!AJ$6:AJ$105)+SUMIF(Capacity_Resource,$F78,'Critical resources (hide)'!AJ$6:AJ$105)&gt;0,$E$1=2),0,1),0)</f>
        <v>1</v>
      </c>
      <c r="X78" s="67">
        <f ca="1">IF(LOWER(Capacity!$L90)="x",IF(AND(SUMIF(Capacity_Resource,$D78,'Critical resources (hide)'!AK$6:AK$105)+SUMIF(Capacity_Resource,$E78,'Critical resources (hide)'!AK$6:AK$105)+SUMIF(Capacity_Resource,$F78,'Critical resources (hide)'!AK$6:AK$105)&gt;0,$E$1=2),0,1),0)</f>
        <v>1</v>
      </c>
      <c r="Y78" s="67">
        <f ca="1">IF(LOWER(Capacity!$L90)="x",IF(AND(SUMIF(Capacity_Resource,$D78,'Critical resources (hide)'!AL$6:AL$105)+SUMIF(Capacity_Resource,$E78,'Critical resources (hide)'!AL$6:AL$105)+SUMIF(Capacity_Resource,$F78,'Critical resources (hide)'!AL$6:AL$105)&gt;0,$E$1=2),0,1),0)</f>
        <v>1</v>
      </c>
      <c r="Z78" s="67">
        <f ca="1">IF(LOWER(Capacity!$L90)="x",IF(AND(SUMIF(Capacity_Resource,$D78,'Critical resources (hide)'!AM$6:AM$105)+SUMIF(Capacity_Resource,$E78,'Critical resources (hide)'!AM$6:AM$105)+SUMIF(Capacity_Resource,$F78,'Critical resources (hide)'!AM$6:AM$105)&gt;0,$E$1=2),0,1),0)</f>
        <v>1</v>
      </c>
      <c r="AA78" s="67">
        <f ca="1">IF(LOWER(Capacity!$L90)="x",IF(AND(SUMIF(Capacity_Resource,$D78,'Critical resources (hide)'!AN$6:AN$105)+SUMIF(Capacity_Resource,$E78,'Critical resources (hide)'!AN$6:AN$105)+SUMIF(Capacity_Resource,$F78,'Critical resources (hide)'!AN$6:AN$105)&gt;0,$E$1=2),0,1),0)</f>
        <v>1</v>
      </c>
      <c r="AB78" s="67">
        <f ca="1">IF(LOWER(Capacity!$L90)="x",IF(AND(SUMIF(Capacity_Resource,$D78,'Critical resources (hide)'!AO$6:AO$105)+SUMIF(Capacity_Resource,$E78,'Critical resources (hide)'!AO$6:AO$105)+SUMIF(Capacity_Resource,$F78,'Critical resources (hide)'!AO$6:AO$105)&gt;0,$E$1=2),0,1),0)</f>
        <v>1</v>
      </c>
      <c r="AC78" s="67">
        <f ca="1">IF(LOWER(Capacity!$L90)="x",IF(AND(SUMIF(Capacity_Resource,$D78,'Critical resources (hide)'!AP$6:AP$105)+SUMIF(Capacity_Resource,$E78,'Critical resources (hide)'!AP$6:AP$105)+SUMIF(Capacity_Resource,$F78,'Critical resources (hide)'!AP$6:AP$105)&gt;0,$E$1=2),0,1),0)</f>
        <v>1</v>
      </c>
      <c r="AD78" s="67">
        <f ca="1">IF(LOWER(Capacity!$L90)="x",IF(AND(SUMIF(Capacity_Resource,$D78,'Critical resources (hide)'!AQ$6:AQ$105)+SUMIF(Capacity_Resource,$E78,'Critical resources (hide)'!AQ$6:AQ$105)+SUMIF(Capacity_Resource,$F78,'Critical resources (hide)'!AQ$6:AQ$105)&gt;0,$E$1=2),0,1),0)</f>
        <v>1</v>
      </c>
      <c r="AE78" s="67">
        <f ca="1">IF(LOWER(Capacity!$L90)="x",IF(AND(SUMIF(Capacity_Resource,$D78,'Critical resources (hide)'!AR$6:AR$105)+SUMIF(Capacity_Resource,$E78,'Critical resources (hide)'!AR$6:AR$105)+SUMIF(Capacity_Resource,$F78,'Critical resources (hide)'!AR$6:AR$105)&gt;0,$E$1=2),0,1),0)</f>
        <v>1</v>
      </c>
      <c r="AF78" s="67">
        <f ca="1">IF(LOWER(Capacity!$L90)="x",IF(AND(SUMIF(Capacity_Resource,$D78,'Critical resources (hide)'!AS$6:AS$105)+SUMIF(Capacity_Resource,$E78,'Critical resources (hide)'!AS$6:AS$105)+SUMIF(Capacity_Resource,$F78,'Critical resources (hide)'!AS$6:AS$105)&gt;0,$E$1=2),0,1),0)</f>
        <v>1</v>
      </c>
      <c r="AG78" s="67">
        <f ca="1">IF(LOWER(Capacity!$L90)="x",IF(AND(SUMIF(Capacity_Resource,$D78,'Critical resources (hide)'!AT$6:AT$105)+SUMIF(Capacity_Resource,$E78,'Critical resources (hide)'!AT$6:AT$105)+SUMIF(Capacity_Resource,$F78,'Critical resources (hide)'!AT$6:AT$105)&gt;0,$E$1=2),0,1),0)</f>
        <v>1</v>
      </c>
      <c r="AH78" s="67">
        <f ca="1">IF(LOWER(Capacity!$L90)="x",IF(AND(SUMIF(Capacity_Resource,$D78,'Critical resources (hide)'!AU$6:AU$105)+SUMIF(Capacity_Resource,$E78,'Critical resources (hide)'!AU$6:AU$105)+SUMIF(Capacity_Resource,$F78,'Critical resources (hide)'!AU$6:AU$105)&gt;0,$E$1=2),0,1),0)</f>
        <v>1</v>
      </c>
      <c r="AI78" s="67">
        <f ca="1">IF(LOWER(Capacity!$L90)="x",IF(AND(SUMIF(Capacity_Resource,$D78,'Critical resources (hide)'!AV$6:AV$105)+SUMIF(Capacity_Resource,$E78,'Critical resources (hide)'!AV$6:AV$105)+SUMIF(Capacity_Resource,$F78,'Critical resources (hide)'!AV$6:AV$105)&gt;0,$E$1=2),0,1),0)</f>
        <v>1</v>
      </c>
      <c r="AJ78" s="67">
        <f ca="1">IF(LOWER(Capacity!$L90)="x",IF(AND(SUMIF(Capacity_Resource,$D78,'Critical resources (hide)'!AW$6:AW$105)+SUMIF(Capacity_Resource,$E78,'Critical resources (hide)'!AW$6:AW$105)+SUMIF(Capacity_Resource,$F78,'Critical resources (hide)'!AW$6:AW$105)&gt;0,$E$1=2),0,1),0)</f>
        <v>1</v>
      </c>
      <c r="AK78" s="67">
        <f ca="1">IF(LOWER(Capacity!$L90)="x",IF(AND(SUMIF(Capacity_Resource,$D78,'Critical resources (hide)'!AX$6:AX$105)+SUMIF(Capacity_Resource,$E78,'Critical resources (hide)'!AX$6:AX$105)+SUMIF(Capacity_Resource,$F78,'Critical resources (hide)'!AX$6:AX$105)&gt;0,$E$1=2),0,1),0)</f>
        <v>1</v>
      </c>
      <c r="AL78" s="67">
        <f ca="1">IF(LOWER(Capacity!$L90)="x",IF(AND(SUMIF(Capacity_Resource,$D78,'Critical resources (hide)'!AY$6:AY$105)+SUMIF(Capacity_Resource,$E78,'Critical resources (hide)'!AY$6:AY$105)+SUMIF(Capacity_Resource,$F78,'Critical resources (hide)'!AY$6:AY$105)&gt;0,$E$1=2),0,1),0)</f>
        <v>1</v>
      </c>
      <c r="AM78" s="67">
        <f ca="1">IF(LOWER(Capacity!$L90)="x",IF(AND(SUMIF(Capacity_Resource,$D78,'Critical resources (hide)'!AZ$6:AZ$105)+SUMIF(Capacity_Resource,$E78,'Critical resources (hide)'!AZ$6:AZ$105)+SUMIF(Capacity_Resource,$F78,'Critical resources (hide)'!AZ$6:AZ$105)&gt;0,$E$1=2),0,1),0)</f>
        <v>1</v>
      </c>
      <c r="AN78" s="67">
        <f ca="1">IF(LOWER(Capacity!$L90)="x",IF(AND(SUMIF(Capacity_Resource,$D78,'Critical resources (hide)'!BA$6:BA$105)+SUMIF(Capacity_Resource,$E78,'Critical resources (hide)'!BA$6:BA$105)+SUMIF(Capacity_Resource,$F78,'Critical resources (hide)'!BA$6:BA$105)&gt;0,$E$1=2),0,1),0)</f>
        <v>1</v>
      </c>
      <c r="AO78" s="67">
        <f ca="1">IF(LOWER(Capacity!$L90)="x",IF(AND(SUMIF(Capacity_Resource,$D78,'Critical resources (hide)'!BB$6:BB$105)+SUMIF(Capacity_Resource,$E78,'Critical resources (hide)'!BB$6:BB$105)+SUMIF(Capacity_Resource,$F78,'Critical resources (hide)'!BB$6:BB$105)&gt;0,$E$1=2),0,1),0)</f>
        <v>1</v>
      </c>
      <c r="AP78" s="67">
        <f ca="1">IF(LOWER(Capacity!$L90)="x",IF(AND(SUMIF(Capacity_Resource,$D78,'Critical resources (hide)'!BC$6:BC$105)+SUMIF(Capacity_Resource,$E78,'Critical resources (hide)'!BC$6:BC$105)+SUMIF(Capacity_Resource,$F78,'Critical resources (hide)'!BC$6:BC$105)&gt;0,$E$1=2),0,1),0)</f>
        <v>1</v>
      </c>
      <c r="AQ78" s="67">
        <f ca="1">IF(LOWER(Capacity!$L90)="x",IF(AND(SUMIF(Capacity_Resource,$D78,'Critical resources (hide)'!BD$6:BD$105)+SUMIF(Capacity_Resource,$E78,'Critical resources (hide)'!BD$6:BD$105)+SUMIF(Capacity_Resource,$F78,'Critical resources (hide)'!BD$6:BD$105)&gt;0,$E$1=2),0,1),0)</f>
        <v>1</v>
      </c>
      <c r="AR78" s="67">
        <f ca="1">IF(LOWER(Capacity!$L90)="x",IF(AND(SUMIF(Capacity_Resource,$D78,'Critical resources (hide)'!BE$6:BE$105)+SUMIF(Capacity_Resource,$E78,'Critical resources (hide)'!BE$6:BE$105)+SUMIF(Capacity_Resource,$F78,'Critical resources (hide)'!BE$6:BE$105)&gt;0,$E$1=2),0,1),0)</f>
        <v>1</v>
      </c>
      <c r="AS78" s="67">
        <f ca="1">IF(LOWER(Capacity!$L90)="x",IF(AND(SUMIF(Capacity_Resource,$D78,'Critical resources (hide)'!BF$6:BF$105)+SUMIF(Capacity_Resource,$E78,'Critical resources (hide)'!BF$6:BF$105)+SUMIF(Capacity_Resource,$F78,'Critical resources (hide)'!BF$6:BF$105)&gt;0,$E$1=2),0,1),0)</f>
        <v>1</v>
      </c>
      <c r="AT78" s="67">
        <f ca="1">IF(LOWER(Capacity!$L90)="x",IF(AND(SUMIF(Capacity_Resource,$D78,'Critical resources (hide)'!BG$6:BG$105)+SUMIF(Capacity_Resource,$E78,'Critical resources (hide)'!BG$6:BG$105)+SUMIF(Capacity_Resource,$F78,'Critical resources (hide)'!BG$6:BG$105)&gt;0,$E$1=2),0,1),0)</f>
        <v>1</v>
      </c>
      <c r="AU78" s="67">
        <f ca="1">IF(LOWER(Capacity!$L90)="x",IF(AND(SUMIF(Capacity_Resource,$D78,'Critical resources (hide)'!BH$6:BH$105)+SUMIF(Capacity_Resource,$E78,'Critical resources (hide)'!BH$6:BH$105)+SUMIF(Capacity_Resource,$F78,'Critical resources (hide)'!BH$6:BH$105)&gt;0,$E$1=2),0,1),0)</f>
        <v>1</v>
      </c>
      <c r="AV78" s="67">
        <f ca="1">IF(LOWER(Capacity!$L90)="x",IF(AND(SUMIF(Capacity_Resource,$D78,'Critical resources (hide)'!BI$6:BI$105)+SUMIF(Capacity_Resource,$E78,'Critical resources (hide)'!BI$6:BI$105)+SUMIF(Capacity_Resource,$F78,'Critical resources (hide)'!BI$6:BI$105)&gt;0,$E$1=2),0,1),0)</f>
        <v>1</v>
      </c>
      <c r="AW78" s="67">
        <f ca="1">IF(LOWER(Capacity!$L90)="x",IF(AND(SUMIF(Capacity_Resource,$D78,'Critical resources (hide)'!BJ$6:BJ$105)+SUMIF(Capacity_Resource,$E78,'Critical resources (hide)'!BJ$6:BJ$105)+SUMIF(Capacity_Resource,$F78,'Critical resources (hide)'!BJ$6:BJ$105)&gt;0,$E$1=2),0,1),0)</f>
        <v>1</v>
      </c>
      <c r="AX78" s="67">
        <f ca="1">IF(LOWER(Capacity!$L90)="x",IF(AND(SUMIF(Capacity_Resource,$D78,'Critical resources (hide)'!BK$6:BK$105)+SUMIF(Capacity_Resource,$E78,'Critical resources (hide)'!BK$6:BK$105)+SUMIF(Capacity_Resource,$F78,'Critical resources (hide)'!BK$6:BK$105)&gt;0,$E$1=2),0,1),0)</f>
        <v>1</v>
      </c>
      <c r="AY78" s="67">
        <f ca="1">IF(LOWER(Capacity!$L90)="x",IF(AND(SUMIF(Capacity_Resource,$D78,'Critical resources (hide)'!BL$6:BL$105)+SUMIF(Capacity_Resource,$E78,'Critical resources (hide)'!BL$6:BL$105)+SUMIF(Capacity_Resource,$F78,'Critical resources (hide)'!BL$6:BL$105)&gt;0,$E$1=2),0,1),0)</f>
        <v>1</v>
      </c>
      <c r="AZ78" s="67">
        <f ca="1">IF(LOWER(Capacity!$L90)="x",IF(AND(SUMIF(Capacity_Resource,$D78,'Critical resources (hide)'!BM$6:BM$105)+SUMIF(Capacity_Resource,$E78,'Critical resources (hide)'!BM$6:BM$105)+SUMIF(Capacity_Resource,$F78,'Critical resources (hide)'!BM$6:BM$105)&gt;0,$E$1=2),0,1),0)</f>
        <v>1</v>
      </c>
      <c r="BA78" s="67">
        <f ca="1">IF(LOWER(Capacity!$L90)="x",IF(AND(SUMIF(Capacity_Resource,$D78,'Critical resources (hide)'!BN$6:BN$105)+SUMIF(Capacity_Resource,$E78,'Critical resources (hide)'!BN$6:BN$105)+SUMIF(Capacity_Resource,$F78,'Critical resources (hide)'!BN$6:BN$105)&gt;0,$E$1=2),0,1),0)</f>
        <v>1</v>
      </c>
      <c r="BB78" s="67">
        <f ca="1">IF(LOWER(Capacity!$L90)="x",IF(AND(SUMIF(Capacity_Resource,$D78,'Critical resources (hide)'!BO$6:BO$105)+SUMIF(Capacity_Resource,$E78,'Critical resources (hide)'!BO$6:BO$105)+SUMIF(Capacity_Resource,$F78,'Critical resources (hide)'!BO$6:BO$105)&gt;0,$E$1=2),0,1),0)</f>
        <v>1</v>
      </c>
      <c r="BC78" s="67">
        <f ca="1">IF(LOWER(Capacity!$L90)="x",IF(AND(SUMIF(Capacity_Resource,$D78,'Critical resources (hide)'!BP$6:BP$105)+SUMIF(Capacity_Resource,$E78,'Critical resources (hide)'!BP$6:BP$105)+SUMIF(Capacity_Resource,$F78,'Critical resources (hide)'!BP$6:BP$105)&gt;0,$E$1=2),0,1),0)</f>
        <v>1</v>
      </c>
      <c r="BD78" s="67">
        <f ca="1">IF(LOWER(Capacity!$L90)="x",IF(AND(SUMIF(Capacity_Resource,$D78,'Critical resources (hide)'!BQ$6:BQ$105)+SUMIF(Capacity_Resource,$E78,'Critical resources (hide)'!BQ$6:BQ$105)+SUMIF(Capacity_Resource,$F78,'Critical resources (hide)'!BQ$6:BQ$105)&gt;0,$E$1=2),0,1),0)</f>
        <v>1</v>
      </c>
      <c r="BE78" s="67">
        <f ca="1">IF(LOWER(Capacity!$L90)="x",IF(AND(SUMIF(Capacity_Resource,$D78,'Critical resources (hide)'!BR$6:BR$105)+SUMIF(Capacity_Resource,$E78,'Critical resources (hide)'!BR$6:BR$105)+SUMIF(Capacity_Resource,$F78,'Critical resources (hide)'!BR$6:BR$105)&gt;0,$E$1=2),0,1),0)</f>
        <v>1</v>
      </c>
      <c r="BF78" s="67">
        <f ca="1">IF(LOWER(Capacity!$L90)="x",IF(AND(SUMIF(Capacity_Resource,$D78,'Critical resources (hide)'!BS$6:BS$105)+SUMIF(Capacity_Resource,$E78,'Critical resources (hide)'!BS$6:BS$105)+SUMIF(Capacity_Resource,$F78,'Critical resources (hide)'!BS$6:BS$105)&gt;0,$E$1=2),0,1),0)</f>
        <v>1</v>
      </c>
      <c r="BG78" s="67">
        <f ca="1">IF(LOWER(Capacity!$L90)="x",IF(AND(SUMIF(Capacity_Resource,$D78,'Critical resources (hide)'!BT$6:BT$105)+SUMIF(Capacity_Resource,$E78,'Critical resources (hide)'!BT$6:BT$105)+SUMIF(Capacity_Resource,$F78,'Critical resources (hide)'!BT$6:BT$105)&gt;0,$E$1=2),0,1),0)</f>
        <v>1</v>
      </c>
      <c r="BH78" s="67">
        <f>IF(ROW(C74)&lt;=Capacity!$A$16,IF('Capacity summary'!$D$14="No",SUM(H78:BG78),'Capacity summary'!$E197),0)</f>
        <v>0</v>
      </c>
      <c r="BI78" s="5" t="str">
        <f>IF(BH78&gt;0,IF(BH78&lt;Capacity!E90,Capacity!F90,Capacity!H90/'Capacity calculation (hide)'!BH78),"")</f>
        <v/>
      </c>
      <c r="BK78" s="311">
        <f>IF($BI78&lt;&gt;"",IF('Capacity summary'!$D$14="Yes",IF(COUNTBLANK('Capacity summary'!$H197:$BG197)&lt;52,IF('Capacity summary'!H197&lt;&gt;"",IF(LOWER('Capacity summary'!H197)="x",$BI78*H78,VALUE('Capacity summary'!H197)),0),H78*$BI78),H78*$BI78),0)</f>
        <v>0</v>
      </c>
      <c r="BL78" s="311">
        <f>IF($BI78&lt;&gt;"",IF('Capacity summary'!$D$14="Yes",IF(COUNTBLANK('Capacity summary'!$H197:$BG197)&lt;52,IF('Capacity summary'!I197&lt;&gt;"",IF(LOWER('Capacity summary'!I197)="x",$BI78*I78,VALUE('Capacity summary'!I197)),0),I78*$BI78),I78*$BI78),0)</f>
        <v>0</v>
      </c>
      <c r="BM78" s="311">
        <f>IF($BI78&lt;&gt;"",IF('Capacity summary'!$D$14="Yes",IF(COUNTBLANK('Capacity summary'!$H197:$BG197)&lt;52,IF('Capacity summary'!J197&lt;&gt;"",IF(LOWER('Capacity summary'!J197)="x",$BI78*J78,VALUE('Capacity summary'!J197)),0),J78*$BI78),J78*$BI78),0)</f>
        <v>0</v>
      </c>
      <c r="BN78" s="311">
        <f>IF($BI78&lt;&gt;"",IF('Capacity summary'!$D$14="Yes",IF(COUNTBLANK('Capacity summary'!$H197:$BG197)&lt;52,IF('Capacity summary'!K197&lt;&gt;"",IF(LOWER('Capacity summary'!K197)="x",$BI78*K78,VALUE('Capacity summary'!K197)),0),K78*$BI78),K78*$BI78),0)</f>
        <v>0</v>
      </c>
      <c r="BO78" s="311">
        <f>IF($BI78&lt;&gt;"",IF('Capacity summary'!$D$14="Yes",IF(COUNTBLANK('Capacity summary'!$H197:$BG197)&lt;52,IF('Capacity summary'!L197&lt;&gt;"",IF(LOWER('Capacity summary'!L197)="x",$BI78*L78,VALUE('Capacity summary'!L197)),0),L78*$BI78),L78*$BI78),0)</f>
        <v>0</v>
      </c>
      <c r="BP78" s="311">
        <f>IF($BI78&lt;&gt;"",IF('Capacity summary'!$D$14="Yes",IF(COUNTBLANK('Capacity summary'!$H197:$BG197)&lt;52,IF('Capacity summary'!M197&lt;&gt;"",IF(LOWER('Capacity summary'!M197)="x",$BI78*M78,VALUE('Capacity summary'!M197)),0),M78*$BI78),M78*$BI78),0)</f>
        <v>0</v>
      </c>
      <c r="BQ78" s="311">
        <f>IF($BI78&lt;&gt;"",IF('Capacity summary'!$D$14="Yes",IF(COUNTBLANK('Capacity summary'!$H197:$BG197)&lt;52,IF('Capacity summary'!N197&lt;&gt;"",IF(LOWER('Capacity summary'!N197)="x",$BI78*N78,VALUE('Capacity summary'!N197)),0),N78*$BI78),N78*$BI78),0)</f>
        <v>0</v>
      </c>
      <c r="BR78" s="311">
        <f>IF($BI78&lt;&gt;"",IF('Capacity summary'!$D$14="Yes",IF(COUNTBLANK('Capacity summary'!$H197:$BG197)&lt;52,IF('Capacity summary'!O197&lt;&gt;"",IF(LOWER('Capacity summary'!O197)="x",$BI78*O78,VALUE('Capacity summary'!O197)),0),O78*$BI78),O78*$BI78),0)</f>
        <v>0</v>
      </c>
      <c r="BS78" s="311">
        <f>IF($BI78&lt;&gt;"",IF('Capacity summary'!$D$14="Yes",IF(COUNTBLANK('Capacity summary'!$H197:$BG197)&lt;52,IF('Capacity summary'!P197&lt;&gt;"",IF(LOWER('Capacity summary'!P197)="x",$BI78*P78,VALUE('Capacity summary'!P197)),0),P78*$BI78),P78*$BI78),0)</f>
        <v>0</v>
      </c>
      <c r="BT78" s="311">
        <f>IF($BI78&lt;&gt;"",IF('Capacity summary'!$D$14="Yes",IF(COUNTBLANK('Capacity summary'!$H197:$BG197)&lt;52,IF('Capacity summary'!Q197&lt;&gt;"",IF(LOWER('Capacity summary'!Q197)="x",$BI78*Q78,VALUE('Capacity summary'!Q197)),0),Q78*$BI78),Q78*$BI78),0)</f>
        <v>0</v>
      </c>
      <c r="BU78" s="311">
        <f>IF($BI78&lt;&gt;"",IF('Capacity summary'!$D$14="Yes",IF(COUNTBLANK('Capacity summary'!$H197:$BG197)&lt;52,IF('Capacity summary'!R197&lt;&gt;"",IF(LOWER('Capacity summary'!R197)="x",$BI78*R78,VALUE('Capacity summary'!R197)),0),R78*$BI78),R78*$BI78),0)</f>
        <v>0</v>
      </c>
      <c r="BV78" s="311">
        <f>IF($BI78&lt;&gt;"",IF('Capacity summary'!$D$14="Yes",IF(COUNTBLANK('Capacity summary'!$H197:$BG197)&lt;52,IF('Capacity summary'!S197&lt;&gt;"",IF(LOWER('Capacity summary'!S197)="x",$BI78*S78,VALUE('Capacity summary'!S197)),0),S78*$BI78),S78*$BI78),0)</f>
        <v>0</v>
      </c>
      <c r="BW78" s="311">
        <f>IF($BI78&lt;&gt;"",IF('Capacity summary'!$D$14="Yes",IF(COUNTBLANK('Capacity summary'!$H197:$BG197)&lt;52,IF('Capacity summary'!T197&lt;&gt;"",IF(LOWER('Capacity summary'!T197)="x",$BI78*T78,VALUE('Capacity summary'!T197)),0),T78*$BI78),T78*$BI78),0)</f>
        <v>0</v>
      </c>
      <c r="BX78" s="311">
        <f>IF($BI78&lt;&gt;"",IF('Capacity summary'!$D$14="Yes",IF(COUNTBLANK('Capacity summary'!$H197:$BG197)&lt;52,IF('Capacity summary'!U197&lt;&gt;"",IF(LOWER('Capacity summary'!U197)="x",$BI78*U78,VALUE('Capacity summary'!U197)),0),U78*$BI78),U78*$BI78),0)</f>
        <v>0</v>
      </c>
      <c r="BY78" s="311">
        <f>IF($BI78&lt;&gt;"",IF('Capacity summary'!$D$14="Yes",IF(COUNTBLANK('Capacity summary'!$H197:$BG197)&lt;52,IF('Capacity summary'!V197&lt;&gt;"",IF(LOWER('Capacity summary'!V197)="x",$BI78*V78,VALUE('Capacity summary'!V197)),0),V78*$BI78),V78*$BI78),0)</f>
        <v>0</v>
      </c>
      <c r="BZ78" s="311">
        <f>IF($BI78&lt;&gt;"",IF('Capacity summary'!$D$14="Yes",IF(COUNTBLANK('Capacity summary'!$H197:$BG197)&lt;52,IF('Capacity summary'!W197&lt;&gt;"",IF(LOWER('Capacity summary'!W197)="x",$BI78*W78,VALUE('Capacity summary'!W197)),0),W78*$BI78),W78*$BI78),0)</f>
        <v>0</v>
      </c>
      <c r="CA78" s="311">
        <f>IF($BI78&lt;&gt;"",IF('Capacity summary'!$D$14="Yes",IF(COUNTBLANK('Capacity summary'!$H197:$BG197)&lt;52,IF('Capacity summary'!X197&lt;&gt;"",IF(LOWER('Capacity summary'!X197)="x",$BI78*X78,VALUE('Capacity summary'!X197)),0),X78*$BI78),X78*$BI78),0)</f>
        <v>0</v>
      </c>
      <c r="CB78" s="311">
        <f>IF($BI78&lt;&gt;"",IF('Capacity summary'!$D$14="Yes",IF(COUNTBLANK('Capacity summary'!$H197:$BG197)&lt;52,IF('Capacity summary'!Y197&lt;&gt;"",IF(LOWER('Capacity summary'!Y197)="x",$BI78*Y78,VALUE('Capacity summary'!Y197)),0),Y78*$BI78),Y78*$BI78),0)</f>
        <v>0</v>
      </c>
      <c r="CC78" s="311">
        <f>IF($BI78&lt;&gt;"",IF('Capacity summary'!$D$14="Yes",IF(COUNTBLANK('Capacity summary'!$H197:$BG197)&lt;52,IF('Capacity summary'!Z197&lt;&gt;"",IF(LOWER('Capacity summary'!Z197)="x",$BI78*Z78,VALUE('Capacity summary'!Z197)),0),Z78*$BI78),Z78*$BI78),0)</f>
        <v>0</v>
      </c>
      <c r="CD78" s="311">
        <f>IF($BI78&lt;&gt;"",IF('Capacity summary'!$D$14="Yes",IF(COUNTBLANK('Capacity summary'!$H197:$BG197)&lt;52,IF('Capacity summary'!AA197&lt;&gt;"",IF(LOWER('Capacity summary'!AA197)="x",$BI78*AA78,VALUE('Capacity summary'!AA197)),0),AA78*$BI78),AA78*$BI78),0)</f>
        <v>0</v>
      </c>
      <c r="CE78" s="311">
        <f>IF($BI78&lt;&gt;"",IF('Capacity summary'!$D$14="Yes",IF(COUNTBLANK('Capacity summary'!$H197:$BG197)&lt;52,IF('Capacity summary'!AB197&lt;&gt;"",IF(LOWER('Capacity summary'!AB197)="x",$BI78*AB78,VALUE('Capacity summary'!AB197)),0),AB78*$BI78),AB78*$BI78),0)</f>
        <v>0</v>
      </c>
      <c r="CF78" s="311">
        <f>IF($BI78&lt;&gt;"",IF('Capacity summary'!$D$14="Yes",IF(COUNTBLANK('Capacity summary'!$H197:$BG197)&lt;52,IF('Capacity summary'!AC197&lt;&gt;"",IF(LOWER('Capacity summary'!AC197)="x",$BI78*AC78,VALUE('Capacity summary'!AC197)),0),AC78*$BI78),AC78*$BI78),0)</f>
        <v>0</v>
      </c>
      <c r="CG78" s="311">
        <f>IF($BI78&lt;&gt;"",IF('Capacity summary'!$D$14="Yes",IF(COUNTBLANK('Capacity summary'!$H197:$BG197)&lt;52,IF('Capacity summary'!AD197&lt;&gt;"",IF(LOWER('Capacity summary'!AD197)="x",$BI78*AD78,VALUE('Capacity summary'!AD197)),0),AD78*$BI78),AD78*$BI78),0)</f>
        <v>0</v>
      </c>
      <c r="CH78" s="311">
        <f>IF($BI78&lt;&gt;"",IF('Capacity summary'!$D$14="Yes",IF(COUNTBLANK('Capacity summary'!$H197:$BG197)&lt;52,IF('Capacity summary'!AE197&lt;&gt;"",IF(LOWER('Capacity summary'!AE197)="x",$BI78*AE78,VALUE('Capacity summary'!AE197)),0),AE78*$BI78),AE78*$BI78),0)</f>
        <v>0</v>
      </c>
      <c r="CI78" s="311">
        <f>IF($BI78&lt;&gt;"",IF('Capacity summary'!$D$14="Yes",IF(COUNTBLANK('Capacity summary'!$H197:$BG197)&lt;52,IF('Capacity summary'!AF197&lt;&gt;"",IF(LOWER('Capacity summary'!AF197)="x",$BI78*AF78,VALUE('Capacity summary'!AF197)),0),AF78*$BI78),AF78*$BI78),0)</f>
        <v>0</v>
      </c>
      <c r="CJ78" s="311">
        <f>IF($BI78&lt;&gt;"",IF('Capacity summary'!$D$14="Yes",IF(COUNTBLANK('Capacity summary'!$H197:$BG197)&lt;52,IF('Capacity summary'!AG197&lt;&gt;"",IF(LOWER('Capacity summary'!AG197)="x",$BI78*AG78,VALUE('Capacity summary'!AG197)),0),AG78*$BI78),AG78*$BI78),0)</f>
        <v>0</v>
      </c>
      <c r="CK78" s="311">
        <f>IF($BI78&lt;&gt;"",IF('Capacity summary'!$D$14="Yes",IF(COUNTBLANK('Capacity summary'!$H197:$BG197)&lt;52,IF('Capacity summary'!AH197&lt;&gt;"",IF(LOWER('Capacity summary'!AH197)="x",$BI78*AH78,VALUE('Capacity summary'!AH197)),0),AH78*$BI78),AH78*$BI78),0)</f>
        <v>0</v>
      </c>
      <c r="CL78" s="311">
        <f>IF($BI78&lt;&gt;"",IF('Capacity summary'!$D$14="Yes",IF(COUNTBLANK('Capacity summary'!$H197:$BG197)&lt;52,IF('Capacity summary'!AI197&lt;&gt;"",IF(LOWER('Capacity summary'!AI197)="x",$BI78*AI78,VALUE('Capacity summary'!AI197)),0),AI78*$BI78),AI78*$BI78),0)</f>
        <v>0</v>
      </c>
      <c r="CM78" s="311">
        <f>IF($BI78&lt;&gt;"",IF('Capacity summary'!$D$14="Yes",IF(COUNTBLANK('Capacity summary'!$H197:$BG197)&lt;52,IF('Capacity summary'!AJ197&lt;&gt;"",IF(LOWER('Capacity summary'!AJ197)="x",$BI78*AJ78,VALUE('Capacity summary'!AJ197)),0),AJ78*$BI78),AJ78*$BI78),0)</f>
        <v>0</v>
      </c>
      <c r="CN78" s="311">
        <f>IF($BI78&lt;&gt;"",IF('Capacity summary'!$D$14="Yes",IF(COUNTBLANK('Capacity summary'!$H197:$BG197)&lt;52,IF('Capacity summary'!AK197&lt;&gt;"",IF(LOWER('Capacity summary'!AK197)="x",$BI78*AK78,VALUE('Capacity summary'!AK197)),0),AK78*$BI78),AK78*$BI78),0)</f>
        <v>0</v>
      </c>
      <c r="CO78" s="311">
        <f>IF($BI78&lt;&gt;"",IF('Capacity summary'!$D$14="Yes",IF(COUNTBLANK('Capacity summary'!$H197:$BG197)&lt;52,IF('Capacity summary'!AL197&lt;&gt;"",IF(LOWER('Capacity summary'!AL197)="x",$BI78*AL78,VALUE('Capacity summary'!AL197)),0),AL78*$BI78),AL78*$BI78),0)</f>
        <v>0</v>
      </c>
      <c r="CP78" s="311">
        <f>IF($BI78&lt;&gt;"",IF('Capacity summary'!$D$14="Yes",IF(COUNTBLANK('Capacity summary'!$H197:$BG197)&lt;52,IF('Capacity summary'!AM197&lt;&gt;"",IF(LOWER('Capacity summary'!AM197)="x",$BI78*AM78,VALUE('Capacity summary'!AM197)),0),AM78*$BI78),AM78*$BI78),0)</f>
        <v>0</v>
      </c>
      <c r="CQ78" s="311">
        <f>IF($BI78&lt;&gt;"",IF('Capacity summary'!$D$14="Yes",IF(COUNTBLANK('Capacity summary'!$H197:$BG197)&lt;52,IF('Capacity summary'!AN197&lt;&gt;"",IF(LOWER('Capacity summary'!AN197)="x",$BI78*AN78,VALUE('Capacity summary'!AN197)),0),AN78*$BI78),AN78*$BI78),0)</f>
        <v>0</v>
      </c>
      <c r="CR78" s="311">
        <f>IF($BI78&lt;&gt;"",IF('Capacity summary'!$D$14="Yes",IF(COUNTBLANK('Capacity summary'!$H197:$BG197)&lt;52,IF('Capacity summary'!AO197&lt;&gt;"",IF(LOWER('Capacity summary'!AO197)="x",$BI78*AO78,VALUE('Capacity summary'!AO197)),0),AO78*$BI78),AO78*$BI78),0)</f>
        <v>0</v>
      </c>
      <c r="CS78" s="311">
        <f>IF($BI78&lt;&gt;"",IF('Capacity summary'!$D$14="Yes",IF(COUNTBLANK('Capacity summary'!$H197:$BG197)&lt;52,IF('Capacity summary'!AP197&lt;&gt;"",IF(LOWER('Capacity summary'!AP197)="x",$BI78*AP78,VALUE('Capacity summary'!AP197)),0),AP78*$BI78),AP78*$BI78),0)</f>
        <v>0</v>
      </c>
      <c r="CT78" s="311">
        <f>IF($BI78&lt;&gt;"",IF('Capacity summary'!$D$14="Yes",IF(COUNTBLANK('Capacity summary'!$H197:$BG197)&lt;52,IF('Capacity summary'!AQ197&lt;&gt;"",IF(LOWER('Capacity summary'!AQ197)="x",$BI78*AQ78,VALUE('Capacity summary'!AQ197)),0),AQ78*$BI78),AQ78*$BI78),0)</f>
        <v>0</v>
      </c>
      <c r="CU78" s="311">
        <f>IF($BI78&lt;&gt;"",IF('Capacity summary'!$D$14="Yes",IF(COUNTBLANK('Capacity summary'!$H197:$BG197)&lt;52,IF('Capacity summary'!AR197&lt;&gt;"",IF(LOWER('Capacity summary'!AR197)="x",$BI78*AR78,VALUE('Capacity summary'!AR197)),0),AR78*$BI78),AR78*$BI78),0)</f>
        <v>0</v>
      </c>
      <c r="CV78" s="311">
        <f>IF($BI78&lt;&gt;"",IF('Capacity summary'!$D$14="Yes",IF(COUNTBLANK('Capacity summary'!$H197:$BG197)&lt;52,IF('Capacity summary'!AS197&lt;&gt;"",IF(LOWER('Capacity summary'!AS197)="x",$BI78*AS78,VALUE('Capacity summary'!AS197)),0),AS78*$BI78),AS78*$BI78),0)</f>
        <v>0</v>
      </c>
      <c r="CW78" s="311">
        <f>IF($BI78&lt;&gt;"",IF('Capacity summary'!$D$14="Yes",IF(COUNTBLANK('Capacity summary'!$H197:$BG197)&lt;52,IF('Capacity summary'!AT197&lt;&gt;"",IF(LOWER('Capacity summary'!AT197)="x",$BI78*AT78,VALUE('Capacity summary'!AT197)),0),AT78*$BI78),AT78*$BI78),0)</f>
        <v>0</v>
      </c>
      <c r="CX78" s="311">
        <f>IF($BI78&lt;&gt;"",IF('Capacity summary'!$D$14="Yes",IF(COUNTBLANK('Capacity summary'!$H197:$BG197)&lt;52,IF('Capacity summary'!AU197&lt;&gt;"",IF(LOWER('Capacity summary'!AU197)="x",$BI78*AU78,VALUE('Capacity summary'!AU197)),0),AU78*$BI78),AU78*$BI78),0)</f>
        <v>0</v>
      </c>
      <c r="CY78" s="311">
        <f>IF($BI78&lt;&gt;"",IF('Capacity summary'!$D$14="Yes",IF(COUNTBLANK('Capacity summary'!$H197:$BG197)&lt;52,IF('Capacity summary'!AV197&lt;&gt;"",IF(LOWER('Capacity summary'!AV197)="x",$BI78*AV78,VALUE('Capacity summary'!AV197)),0),AV78*$BI78),AV78*$BI78),0)</f>
        <v>0</v>
      </c>
      <c r="CZ78" s="311">
        <f>IF($BI78&lt;&gt;"",IF('Capacity summary'!$D$14="Yes",IF(COUNTBLANK('Capacity summary'!$H197:$BG197)&lt;52,IF('Capacity summary'!AW197&lt;&gt;"",IF(LOWER('Capacity summary'!AW197)="x",$BI78*AW78,VALUE('Capacity summary'!AW197)),0),AW78*$BI78),AW78*$BI78),0)</f>
        <v>0</v>
      </c>
      <c r="DA78" s="311">
        <f>IF($BI78&lt;&gt;"",IF('Capacity summary'!$D$14="Yes",IF(COUNTBLANK('Capacity summary'!$H197:$BG197)&lt;52,IF('Capacity summary'!AX197&lt;&gt;"",IF(LOWER('Capacity summary'!AX197)="x",$BI78*AX78,VALUE('Capacity summary'!AX197)),0),AX78*$BI78),AX78*$BI78),0)</f>
        <v>0</v>
      </c>
      <c r="DB78" s="311">
        <f>IF($BI78&lt;&gt;"",IF('Capacity summary'!$D$14="Yes",IF(COUNTBLANK('Capacity summary'!$H197:$BG197)&lt;52,IF('Capacity summary'!AY197&lt;&gt;"",IF(LOWER('Capacity summary'!AY197)="x",$BI78*AY78,VALUE('Capacity summary'!AY197)),0),AY78*$BI78),AY78*$BI78),0)</f>
        <v>0</v>
      </c>
      <c r="DC78" s="311">
        <f>IF($BI78&lt;&gt;"",IF('Capacity summary'!$D$14="Yes",IF(COUNTBLANK('Capacity summary'!$H197:$BG197)&lt;52,IF('Capacity summary'!AZ197&lt;&gt;"",IF(LOWER('Capacity summary'!AZ197)="x",$BI78*AZ78,VALUE('Capacity summary'!AZ197)),0),AZ78*$BI78),AZ78*$BI78),0)</f>
        <v>0</v>
      </c>
      <c r="DD78" s="311">
        <f>IF($BI78&lt;&gt;"",IF('Capacity summary'!$D$14="Yes",IF(COUNTBLANK('Capacity summary'!$H197:$BG197)&lt;52,IF('Capacity summary'!BA197&lt;&gt;"",IF(LOWER('Capacity summary'!BA197)="x",$BI78*BA78,VALUE('Capacity summary'!BA197)),0),BA78*$BI78),BA78*$BI78),0)</f>
        <v>0</v>
      </c>
      <c r="DE78" s="311">
        <f>IF($BI78&lt;&gt;"",IF('Capacity summary'!$D$14="Yes",IF(COUNTBLANK('Capacity summary'!$H197:$BG197)&lt;52,IF('Capacity summary'!BB197&lt;&gt;"",IF(LOWER('Capacity summary'!BB197)="x",$BI78*BB78,VALUE('Capacity summary'!BB197)),0),BB78*$BI78),BB78*$BI78),0)</f>
        <v>0</v>
      </c>
      <c r="DF78" s="311">
        <f>IF($BI78&lt;&gt;"",IF('Capacity summary'!$D$14="Yes",IF(COUNTBLANK('Capacity summary'!$H197:$BG197)&lt;52,IF('Capacity summary'!BC197&lt;&gt;"",IF(LOWER('Capacity summary'!BC197)="x",$BI78*BC78,VALUE('Capacity summary'!BC197)),0),BC78*$BI78),BC78*$BI78),0)</f>
        <v>0</v>
      </c>
      <c r="DG78" s="311">
        <f>IF($BI78&lt;&gt;"",IF('Capacity summary'!$D$14="Yes",IF(COUNTBLANK('Capacity summary'!$H197:$BG197)&lt;52,IF('Capacity summary'!BD197&lt;&gt;"",IF(LOWER('Capacity summary'!BD197)="x",$BI78*BD78,VALUE('Capacity summary'!BD197)),0),BD78*$BI78),BD78*$BI78),0)</f>
        <v>0</v>
      </c>
      <c r="DH78" s="311">
        <f>IF($BI78&lt;&gt;"",IF('Capacity summary'!$D$14="Yes",IF(COUNTBLANK('Capacity summary'!$H197:$BG197)&lt;52,IF('Capacity summary'!BE197&lt;&gt;"",IF(LOWER('Capacity summary'!BE197)="x",$BI78*BE78,VALUE('Capacity summary'!BE197)),0),BE78*$BI78),BE78*$BI78),0)</f>
        <v>0</v>
      </c>
      <c r="DI78" s="311">
        <f>IF($BI78&lt;&gt;"",IF('Capacity summary'!$D$14="Yes",IF(COUNTBLANK('Capacity summary'!$H197:$BG197)&lt;52,IF('Capacity summary'!BF197&lt;&gt;"",IF(LOWER('Capacity summary'!BF197)="x",$BI78*BF78,VALUE('Capacity summary'!BF197)),0),BF78*$BI78),BF78*$BI78),0)</f>
        <v>0</v>
      </c>
      <c r="DJ78" s="311">
        <f>IF($BI78&lt;&gt;"",IF('Capacity summary'!$D$14="Yes",IF(COUNTBLANK('Capacity summary'!$H197:$BG197)&lt;52,IF('Capacity summary'!BG197&lt;&gt;"",IF(LOWER('Capacity summary'!BG197)="x",$BI78*BG78,VALUE('Capacity summary'!BG197)),0),BG78*$BI78),BG78*$BI78),0)</f>
        <v>0</v>
      </c>
      <c r="DK78" s="391">
        <f t="shared" si="4"/>
        <v>0</v>
      </c>
      <c r="DL78" s="136">
        <f t="shared" si="5"/>
        <v>0</v>
      </c>
      <c r="DM78" s="311" t="str">
        <f>Capacity!H90</f>
        <v/>
      </c>
    </row>
    <row r="79" spans="1:117" x14ac:dyDescent="0.2">
      <c r="A79" s="67">
        <f>IF(Capacity!L91='Capacity summary'!BI198,1,0)</f>
        <v>1</v>
      </c>
      <c r="B79" s="67">
        <f>IF(Capacity!V91='Capacity summary'!BI98,1,0)</f>
        <v>1</v>
      </c>
      <c r="C79" s="67" t="str">
        <f>ROW(A75)&amp;". "&amp;Capacity!B91</f>
        <v xml:space="preserve">75. </v>
      </c>
      <c r="D79" s="67">
        <f>'Capacity setup'!C86</f>
        <v>0</v>
      </c>
      <c r="E79" s="67">
        <f>'Capacity setup'!D86</f>
        <v>0</v>
      </c>
      <c r="F79" s="67">
        <f>'Capacity setup'!E86</f>
        <v>0</v>
      </c>
      <c r="H79" s="67">
        <f ca="1">IF(LOWER(Capacity!$L91)="x",IF(AND(SUMIF(Capacity_Resource,$D79,'Critical resources (hide)'!U$6:U$105)+SUMIF(Capacity_Resource,$E79,'Critical resources (hide)'!U$6:U$105)+SUMIF(Capacity_Resource,$F79,'Critical resources (hide)'!U$6:U$105)&gt;0,$E$1=2),0,1),0)</f>
        <v>1</v>
      </c>
      <c r="I79" s="67">
        <f ca="1">IF(LOWER(Capacity!$L91)="x",IF(AND(SUMIF(Capacity_Resource,$D79,'Critical resources (hide)'!V$6:V$105)+SUMIF(Capacity_Resource,$E79,'Critical resources (hide)'!V$6:V$105)+SUMIF(Capacity_Resource,$F79,'Critical resources (hide)'!V$6:V$105)&gt;0,$E$1=2),0,1),0)</f>
        <v>1</v>
      </c>
      <c r="J79" s="67">
        <f ca="1">IF(LOWER(Capacity!$L91)="x",IF(AND(SUMIF(Capacity_Resource,$D79,'Critical resources (hide)'!W$6:W$105)+SUMIF(Capacity_Resource,$E79,'Critical resources (hide)'!W$6:W$105)+SUMIF(Capacity_Resource,$F79,'Critical resources (hide)'!W$6:W$105)&gt;0,$E$1=2),0,1),0)</f>
        <v>1</v>
      </c>
      <c r="K79" s="67">
        <f ca="1">IF(LOWER(Capacity!$L91)="x",IF(AND(SUMIF(Capacity_Resource,$D79,'Critical resources (hide)'!X$6:X$105)+SUMIF(Capacity_Resource,$E79,'Critical resources (hide)'!X$6:X$105)+SUMIF(Capacity_Resource,$F79,'Critical resources (hide)'!X$6:X$105)&gt;0,$E$1=2),0,1),0)</f>
        <v>1</v>
      </c>
      <c r="L79" s="67">
        <f ca="1">IF(LOWER(Capacity!$L91)="x",IF(AND(SUMIF(Capacity_Resource,$D79,'Critical resources (hide)'!Y$6:Y$105)+SUMIF(Capacity_Resource,$E79,'Critical resources (hide)'!Y$6:Y$105)+SUMIF(Capacity_Resource,$F79,'Critical resources (hide)'!Y$6:Y$105)&gt;0,$E$1=2),0,1),0)</f>
        <v>1</v>
      </c>
      <c r="M79" s="67">
        <f ca="1">IF(LOWER(Capacity!$L91)="x",IF(AND(SUMIF(Capacity_Resource,$D79,'Critical resources (hide)'!Z$6:Z$105)+SUMIF(Capacity_Resource,$E79,'Critical resources (hide)'!Z$6:Z$105)+SUMIF(Capacity_Resource,$F79,'Critical resources (hide)'!Z$6:Z$105)&gt;0,$E$1=2),0,1),0)</f>
        <v>1</v>
      </c>
      <c r="N79" s="67">
        <f ca="1">IF(LOWER(Capacity!$L91)="x",IF(AND(SUMIF(Capacity_Resource,$D79,'Critical resources (hide)'!AA$6:AA$105)+SUMIF(Capacity_Resource,$E79,'Critical resources (hide)'!AA$6:AA$105)+SUMIF(Capacity_Resource,$F79,'Critical resources (hide)'!AA$6:AA$105)&gt;0,$E$1=2),0,1),0)</f>
        <v>1</v>
      </c>
      <c r="O79" s="67">
        <f ca="1">IF(LOWER(Capacity!$L91)="x",IF(AND(SUMIF(Capacity_Resource,$D79,'Critical resources (hide)'!AB$6:AB$105)+SUMIF(Capacity_Resource,$E79,'Critical resources (hide)'!AB$6:AB$105)+SUMIF(Capacity_Resource,$F79,'Critical resources (hide)'!AB$6:AB$105)&gt;0,$E$1=2),0,1),0)</f>
        <v>1</v>
      </c>
      <c r="P79" s="67">
        <f ca="1">IF(LOWER(Capacity!$L91)="x",IF(AND(SUMIF(Capacity_Resource,$D79,'Critical resources (hide)'!AC$6:AC$105)+SUMIF(Capacity_Resource,$E79,'Critical resources (hide)'!AC$6:AC$105)+SUMIF(Capacity_Resource,$F79,'Critical resources (hide)'!AC$6:AC$105)&gt;0,$E$1=2),0,1),0)</f>
        <v>1</v>
      </c>
      <c r="Q79" s="67">
        <f ca="1">IF(LOWER(Capacity!$L91)="x",IF(AND(SUMIF(Capacity_Resource,$D79,'Critical resources (hide)'!AD$6:AD$105)+SUMIF(Capacity_Resource,$E79,'Critical resources (hide)'!AD$6:AD$105)+SUMIF(Capacity_Resource,$F79,'Critical resources (hide)'!AD$6:AD$105)&gt;0,$E$1=2),0,1),0)</f>
        <v>1</v>
      </c>
      <c r="R79" s="67">
        <f ca="1">IF(LOWER(Capacity!$L91)="x",IF(AND(SUMIF(Capacity_Resource,$D79,'Critical resources (hide)'!AE$6:AE$105)+SUMIF(Capacity_Resource,$E79,'Critical resources (hide)'!AE$6:AE$105)+SUMIF(Capacity_Resource,$F79,'Critical resources (hide)'!AE$6:AE$105)&gt;0,$E$1=2),0,1),0)</f>
        <v>1</v>
      </c>
      <c r="S79" s="67">
        <f ca="1">IF(LOWER(Capacity!$L91)="x",IF(AND(SUMIF(Capacity_Resource,$D79,'Critical resources (hide)'!AF$6:AF$105)+SUMIF(Capacity_Resource,$E79,'Critical resources (hide)'!AF$6:AF$105)+SUMIF(Capacity_Resource,$F79,'Critical resources (hide)'!AF$6:AF$105)&gt;0,$E$1=2),0,1),0)</f>
        <v>1</v>
      </c>
      <c r="T79" s="67">
        <f ca="1">IF(LOWER(Capacity!$L91)="x",IF(AND(SUMIF(Capacity_Resource,$D79,'Critical resources (hide)'!AG$6:AG$105)+SUMIF(Capacity_Resource,$E79,'Critical resources (hide)'!AG$6:AG$105)+SUMIF(Capacity_Resource,$F79,'Critical resources (hide)'!AG$6:AG$105)&gt;0,$E$1=2),0,1),0)</f>
        <v>1</v>
      </c>
      <c r="U79" s="67">
        <f ca="1">IF(LOWER(Capacity!$L91)="x",IF(AND(SUMIF(Capacity_Resource,$D79,'Critical resources (hide)'!AH$6:AH$105)+SUMIF(Capacity_Resource,$E79,'Critical resources (hide)'!AH$6:AH$105)+SUMIF(Capacity_Resource,$F79,'Critical resources (hide)'!AH$6:AH$105)&gt;0,$E$1=2),0,1),0)</f>
        <v>1</v>
      </c>
      <c r="V79" s="67">
        <f ca="1">IF(LOWER(Capacity!$L91)="x",IF(AND(SUMIF(Capacity_Resource,$D79,'Critical resources (hide)'!AI$6:AI$105)+SUMIF(Capacity_Resource,$E79,'Critical resources (hide)'!AI$6:AI$105)+SUMIF(Capacity_Resource,$F79,'Critical resources (hide)'!AI$6:AI$105)&gt;0,$E$1=2),0,1),0)</f>
        <v>1</v>
      </c>
      <c r="W79" s="67">
        <f ca="1">IF(LOWER(Capacity!$L91)="x",IF(AND(SUMIF(Capacity_Resource,$D79,'Critical resources (hide)'!AJ$6:AJ$105)+SUMIF(Capacity_Resource,$E79,'Critical resources (hide)'!AJ$6:AJ$105)+SUMIF(Capacity_Resource,$F79,'Critical resources (hide)'!AJ$6:AJ$105)&gt;0,$E$1=2),0,1),0)</f>
        <v>1</v>
      </c>
      <c r="X79" s="67">
        <f ca="1">IF(LOWER(Capacity!$L91)="x",IF(AND(SUMIF(Capacity_Resource,$D79,'Critical resources (hide)'!AK$6:AK$105)+SUMIF(Capacity_Resource,$E79,'Critical resources (hide)'!AK$6:AK$105)+SUMIF(Capacity_Resource,$F79,'Critical resources (hide)'!AK$6:AK$105)&gt;0,$E$1=2),0,1),0)</f>
        <v>1</v>
      </c>
      <c r="Y79" s="67">
        <f ca="1">IF(LOWER(Capacity!$L91)="x",IF(AND(SUMIF(Capacity_Resource,$D79,'Critical resources (hide)'!AL$6:AL$105)+SUMIF(Capacity_Resource,$E79,'Critical resources (hide)'!AL$6:AL$105)+SUMIF(Capacity_Resource,$F79,'Critical resources (hide)'!AL$6:AL$105)&gt;0,$E$1=2),0,1),0)</f>
        <v>1</v>
      </c>
      <c r="Z79" s="67">
        <f ca="1">IF(LOWER(Capacity!$L91)="x",IF(AND(SUMIF(Capacity_Resource,$D79,'Critical resources (hide)'!AM$6:AM$105)+SUMIF(Capacity_Resource,$E79,'Critical resources (hide)'!AM$6:AM$105)+SUMIF(Capacity_Resource,$F79,'Critical resources (hide)'!AM$6:AM$105)&gt;0,$E$1=2),0,1),0)</f>
        <v>1</v>
      </c>
      <c r="AA79" s="67">
        <f ca="1">IF(LOWER(Capacity!$L91)="x",IF(AND(SUMIF(Capacity_Resource,$D79,'Critical resources (hide)'!AN$6:AN$105)+SUMIF(Capacity_Resource,$E79,'Critical resources (hide)'!AN$6:AN$105)+SUMIF(Capacity_Resource,$F79,'Critical resources (hide)'!AN$6:AN$105)&gt;0,$E$1=2),0,1),0)</f>
        <v>1</v>
      </c>
      <c r="AB79" s="67">
        <f ca="1">IF(LOWER(Capacity!$L91)="x",IF(AND(SUMIF(Capacity_Resource,$D79,'Critical resources (hide)'!AO$6:AO$105)+SUMIF(Capacity_Resource,$E79,'Critical resources (hide)'!AO$6:AO$105)+SUMIF(Capacity_Resource,$F79,'Critical resources (hide)'!AO$6:AO$105)&gt;0,$E$1=2),0,1),0)</f>
        <v>1</v>
      </c>
      <c r="AC79" s="67">
        <f ca="1">IF(LOWER(Capacity!$L91)="x",IF(AND(SUMIF(Capacity_Resource,$D79,'Critical resources (hide)'!AP$6:AP$105)+SUMIF(Capacity_Resource,$E79,'Critical resources (hide)'!AP$6:AP$105)+SUMIF(Capacity_Resource,$F79,'Critical resources (hide)'!AP$6:AP$105)&gt;0,$E$1=2),0,1),0)</f>
        <v>1</v>
      </c>
      <c r="AD79" s="67">
        <f ca="1">IF(LOWER(Capacity!$L91)="x",IF(AND(SUMIF(Capacity_Resource,$D79,'Critical resources (hide)'!AQ$6:AQ$105)+SUMIF(Capacity_Resource,$E79,'Critical resources (hide)'!AQ$6:AQ$105)+SUMIF(Capacity_Resource,$F79,'Critical resources (hide)'!AQ$6:AQ$105)&gt;0,$E$1=2),0,1),0)</f>
        <v>1</v>
      </c>
      <c r="AE79" s="67">
        <f ca="1">IF(LOWER(Capacity!$L91)="x",IF(AND(SUMIF(Capacity_Resource,$D79,'Critical resources (hide)'!AR$6:AR$105)+SUMIF(Capacity_Resource,$E79,'Critical resources (hide)'!AR$6:AR$105)+SUMIF(Capacity_Resource,$F79,'Critical resources (hide)'!AR$6:AR$105)&gt;0,$E$1=2),0,1),0)</f>
        <v>1</v>
      </c>
      <c r="AF79" s="67">
        <f ca="1">IF(LOWER(Capacity!$L91)="x",IF(AND(SUMIF(Capacity_Resource,$D79,'Critical resources (hide)'!AS$6:AS$105)+SUMIF(Capacity_Resource,$E79,'Critical resources (hide)'!AS$6:AS$105)+SUMIF(Capacity_Resource,$F79,'Critical resources (hide)'!AS$6:AS$105)&gt;0,$E$1=2),0,1),0)</f>
        <v>1</v>
      </c>
      <c r="AG79" s="67">
        <f ca="1">IF(LOWER(Capacity!$L91)="x",IF(AND(SUMIF(Capacity_Resource,$D79,'Critical resources (hide)'!AT$6:AT$105)+SUMIF(Capacity_Resource,$E79,'Critical resources (hide)'!AT$6:AT$105)+SUMIF(Capacity_Resource,$F79,'Critical resources (hide)'!AT$6:AT$105)&gt;0,$E$1=2),0,1),0)</f>
        <v>1</v>
      </c>
      <c r="AH79" s="67">
        <f ca="1">IF(LOWER(Capacity!$L91)="x",IF(AND(SUMIF(Capacity_Resource,$D79,'Critical resources (hide)'!AU$6:AU$105)+SUMIF(Capacity_Resource,$E79,'Critical resources (hide)'!AU$6:AU$105)+SUMIF(Capacity_Resource,$F79,'Critical resources (hide)'!AU$6:AU$105)&gt;0,$E$1=2),0,1),0)</f>
        <v>1</v>
      </c>
      <c r="AI79" s="67">
        <f ca="1">IF(LOWER(Capacity!$L91)="x",IF(AND(SUMIF(Capacity_Resource,$D79,'Critical resources (hide)'!AV$6:AV$105)+SUMIF(Capacity_Resource,$E79,'Critical resources (hide)'!AV$6:AV$105)+SUMIF(Capacity_Resource,$F79,'Critical resources (hide)'!AV$6:AV$105)&gt;0,$E$1=2),0,1),0)</f>
        <v>1</v>
      </c>
      <c r="AJ79" s="67">
        <f ca="1">IF(LOWER(Capacity!$L91)="x",IF(AND(SUMIF(Capacity_Resource,$D79,'Critical resources (hide)'!AW$6:AW$105)+SUMIF(Capacity_Resource,$E79,'Critical resources (hide)'!AW$6:AW$105)+SUMIF(Capacity_Resource,$F79,'Critical resources (hide)'!AW$6:AW$105)&gt;0,$E$1=2),0,1),0)</f>
        <v>1</v>
      </c>
      <c r="AK79" s="67">
        <f ca="1">IF(LOWER(Capacity!$L91)="x",IF(AND(SUMIF(Capacity_Resource,$D79,'Critical resources (hide)'!AX$6:AX$105)+SUMIF(Capacity_Resource,$E79,'Critical resources (hide)'!AX$6:AX$105)+SUMIF(Capacity_Resource,$F79,'Critical resources (hide)'!AX$6:AX$105)&gt;0,$E$1=2),0,1),0)</f>
        <v>1</v>
      </c>
      <c r="AL79" s="67">
        <f ca="1">IF(LOWER(Capacity!$L91)="x",IF(AND(SUMIF(Capacity_Resource,$D79,'Critical resources (hide)'!AY$6:AY$105)+SUMIF(Capacity_Resource,$E79,'Critical resources (hide)'!AY$6:AY$105)+SUMIF(Capacity_Resource,$F79,'Critical resources (hide)'!AY$6:AY$105)&gt;0,$E$1=2),0,1),0)</f>
        <v>1</v>
      </c>
      <c r="AM79" s="67">
        <f ca="1">IF(LOWER(Capacity!$L91)="x",IF(AND(SUMIF(Capacity_Resource,$D79,'Critical resources (hide)'!AZ$6:AZ$105)+SUMIF(Capacity_Resource,$E79,'Critical resources (hide)'!AZ$6:AZ$105)+SUMIF(Capacity_Resource,$F79,'Critical resources (hide)'!AZ$6:AZ$105)&gt;0,$E$1=2),0,1),0)</f>
        <v>1</v>
      </c>
      <c r="AN79" s="67">
        <f ca="1">IF(LOWER(Capacity!$L91)="x",IF(AND(SUMIF(Capacity_Resource,$D79,'Critical resources (hide)'!BA$6:BA$105)+SUMIF(Capacity_Resource,$E79,'Critical resources (hide)'!BA$6:BA$105)+SUMIF(Capacity_Resource,$F79,'Critical resources (hide)'!BA$6:BA$105)&gt;0,$E$1=2),0,1),0)</f>
        <v>1</v>
      </c>
      <c r="AO79" s="67">
        <f ca="1">IF(LOWER(Capacity!$L91)="x",IF(AND(SUMIF(Capacity_Resource,$D79,'Critical resources (hide)'!BB$6:BB$105)+SUMIF(Capacity_Resource,$E79,'Critical resources (hide)'!BB$6:BB$105)+SUMIF(Capacity_Resource,$F79,'Critical resources (hide)'!BB$6:BB$105)&gt;0,$E$1=2),0,1),0)</f>
        <v>1</v>
      </c>
      <c r="AP79" s="67">
        <f ca="1">IF(LOWER(Capacity!$L91)="x",IF(AND(SUMIF(Capacity_Resource,$D79,'Critical resources (hide)'!BC$6:BC$105)+SUMIF(Capacity_Resource,$E79,'Critical resources (hide)'!BC$6:BC$105)+SUMIF(Capacity_Resource,$F79,'Critical resources (hide)'!BC$6:BC$105)&gt;0,$E$1=2),0,1),0)</f>
        <v>1</v>
      </c>
      <c r="AQ79" s="67">
        <f ca="1">IF(LOWER(Capacity!$L91)="x",IF(AND(SUMIF(Capacity_Resource,$D79,'Critical resources (hide)'!BD$6:BD$105)+SUMIF(Capacity_Resource,$E79,'Critical resources (hide)'!BD$6:BD$105)+SUMIF(Capacity_Resource,$F79,'Critical resources (hide)'!BD$6:BD$105)&gt;0,$E$1=2),0,1),0)</f>
        <v>1</v>
      </c>
      <c r="AR79" s="67">
        <f ca="1">IF(LOWER(Capacity!$L91)="x",IF(AND(SUMIF(Capacity_Resource,$D79,'Critical resources (hide)'!BE$6:BE$105)+SUMIF(Capacity_Resource,$E79,'Critical resources (hide)'!BE$6:BE$105)+SUMIF(Capacity_Resource,$F79,'Critical resources (hide)'!BE$6:BE$105)&gt;0,$E$1=2),0,1),0)</f>
        <v>1</v>
      </c>
      <c r="AS79" s="67">
        <f ca="1">IF(LOWER(Capacity!$L91)="x",IF(AND(SUMIF(Capacity_Resource,$D79,'Critical resources (hide)'!BF$6:BF$105)+SUMIF(Capacity_Resource,$E79,'Critical resources (hide)'!BF$6:BF$105)+SUMIF(Capacity_Resource,$F79,'Critical resources (hide)'!BF$6:BF$105)&gt;0,$E$1=2),0,1),0)</f>
        <v>1</v>
      </c>
      <c r="AT79" s="67">
        <f ca="1">IF(LOWER(Capacity!$L91)="x",IF(AND(SUMIF(Capacity_Resource,$D79,'Critical resources (hide)'!BG$6:BG$105)+SUMIF(Capacity_Resource,$E79,'Critical resources (hide)'!BG$6:BG$105)+SUMIF(Capacity_Resource,$F79,'Critical resources (hide)'!BG$6:BG$105)&gt;0,$E$1=2),0,1),0)</f>
        <v>1</v>
      </c>
      <c r="AU79" s="67">
        <f ca="1">IF(LOWER(Capacity!$L91)="x",IF(AND(SUMIF(Capacity_Resource,$D79,'Critical resources (hide)'!BH$6:BH$105)+SUMIF(Capacity_Resource,$E79,'Critical resources (hide)'!BH$6:BH$105)+SUMIF(Capacity_Resource,$F79,'Critical resources (hide)'!BH$6:BH$105)&gt;0,$E$1=2),0,1),0)</f>
        <v>1</v>
      </c>
      <c r="AV79" s="67">
        <f ca="1">IF(LOWER(Capacity!$L91)="x",IF(AND(SUMIF(Capacity_Resource,$D79,'Critical resources (hide)'!BI$6:BI$105)+SUMIF(Capacity_Resource,$E79,'Critical resources (hide)'!BI$6:BI$105)+SUMIF(Capacity_Resource,$F79,'Critical resources (hide)'!BI$6:BI$105)&gt;0,$E$1=2),0,1),0)</f>
        <v>1</v>
      </c>
      <c r="AW79" s="67">
        <f ca="1">IF(LOWER(Capacity!$L91)="x",IF(AND(SUMIF(Capacity_Resource,$D79,'Critical resources (hide)'!BJ$6:BJ$105)+SUMIF(Capacity_Resource,$E79,'Critical resources (hide)'!BJ$6:BJ$105)+SUMIF(Capacity_Resource,$F79,'Critical resources (hide)'!BJ$6:BJ$105)&gt;0,$E$1=2),0,1),0)</f>
        <v>1</v>
      </c>
      <c r="AX79" s="67">
        <f ca="1">IF(LOWER(Capacity!$L91)="x",IF(AND(SUMIF(Capacity_Resource,$D79,'Critical resources (hide)'!BK$6:BK$105)+SUMIF(Capacity_Resource,$E79,'Critical resources (hide)'!BK$6:BK$105)+SUMIF(Capacity_Resource,$F79,'Critical resources (hide)'!BK$6:BK$105)&gt;0,$E$1=2),0,1),0)</f>
        <v>1</v>
      </c>
      <c r="AY79" s="67">
        <f ca="1">IF(LOWER(Capacity!$L91)="x",IF(AND(SUMIF(Capacity_Resource,$D79,'Critical resources (hide)'!BL$6:BL$105)+SUMIF(Capacity_Resource,$E79,'Critical resources (hide)'!BL$6:BL$105)+SUMIF(Capacity_Resource,$F79,'Critical resources (hide)'!BL$6:BL$105)&gt;0,$E$1=2),0,1),0)</f>
        <v>1</v>
      </c>
      <c r="AZ79" s="67">
        <f ca="1">IF(LOWER(Capacity!$L91)="x",IF(AND(SUMIF(Capacity_Resource,$D79,'Critical resources (hide)'!BM$6:BM$105)+SUMIF(Capacity_Resource,$E79,'Critical resources (hide)'!BM$6:BM$105)+SUMIF(Capacity_Resource,$F79,'Critical resources (hide)'!BM$6:BM$105)&gt;0,$E$1=2),0,1),0)</f>
        <v>1</v>
      </c>
      <c r="BA79" s="67">
        <f ca="1">IF(LOWER(Capacity!$L91)="x",IF(AND(SUMIF(Capacity_Resource,$D79,'Critical resources (hide)'!BN$6:BN$105)+SUMIF(Capacity_Resource,$E79,'Critical resources (hide)'!BN$6:BN$105)+SUMIF(Capacity_Resource,$F79,'Critical resources (hide)'!BN$6:BN$105)&gt;0,$E$1=2),0,1),0)</f>
        <v>1</v>
      </c>
      <c r="BB79" s="67">
        <f ca="1">IF(LOWER(Capacity!$L91)="x",IF(AND(SUMIF(Capacity_Resource,$D79,'Critical resources (hide)'!BO$6:BO$105)+SUMIF(Capacity_Resource,$E79,'Critical resources (hide)'!BO$6:BO$105)+SUMIF(Capacity_Resource,$F79,'Critical resources (hide)'!BO$6:BO$105)&gt;0,$E$1=2),0,1),0)</f>
        <v>1</v>
      </c>
      <c r="BC79" s="67">
        <f ca="1">IF(LOWER(Capacity!$L91)="x",IF(AND(SUMIF(Capacity_Resource,$D79,'Critical resources (hide)'!BP$6:BP$105)+SUMIF(Capacity_Resource,$E79,'Critical resources (hide)'!BP$6:BP$105)+SUMIF(Capacity_Resource,$F79,'Critical resources (hide)'!BP$6:BP$105)&gt;0,$E$1=2),0,1),0)</f>
        <v>1</v>
      </c>
      <c r="BD79" s="67">
        <f ca="1">IF(LOWER(Capacity!$L91)="x",IF(AND(SUMIF(Capacity_Resource,$D79,'Critical resources (hide)'!BQ$6:BQ$105)+SUMIF(Capacity_Resource,$E79,'Critical resources (hide)'!BQ$6:BQ$105)+SUMIF(Capacity_Resource,$F79,'Critical resources (hide)'!BQ$6:BQ$105)&gt;0,$E$1=2),0,1),0)</f>
        <v>1</v>
      </c>
      <c r="BE79" s="67">
        <f ca="1">IF(LOWER(Capacity!$L91)="x",IF(AND(SUMIF(Capacity_Resource,$D79,'Critical resources (hide)'!BR$6:BR$105)+SUMIF(Capacity_Resource,$E79,'Critical resources (hide)'!BR$6:BR$105)+SUMIF(Capacity_Resource,$F79,'Critical resources (hide)'!BR$6:BR$105)&gt;0,$E$1=2),0,1),0)</f>
        <v>1</v>
      </c>
      <c r="BF79" s="67">
        <f ca="1">IF(LOWER(Capacity!$L91)="x",IF(AND(SUMIF(Capacity_Resource,$D79,'Critical resources (hide)'!BS$6:BS$105)+SUMIF(Capacity_Resource,$E79,'Critical resources (hide)'!BS$6:BS$105)+SUMIF(Capacity_Resource,$F79,'Critical resources (hide)'!BS$6:BS$105)&gt;0,$E$1=2),0,1),0)</f>
        <v>1</v>
      </c>
      <c r="BG79" s="67">
        <f ca="1">IF(LOWER(Capacity!$L91)="x",IF(AND(SUMIF(Capacity_Resource,$D79,'Critical resources (hide)'!BT$6:BT$105)+SUMIF(Capacity_Resource,$E79,'Critical resources (hide)'!BT$6:BT$105)+SUMIF(Capacity_Resource,$F79,'Critical resources (hide)'!BT$6:BT$105)&gt;0,$E$1=2),0,1),0)</f>
        <v>1</v>
      </c>
      <c r="BH79" s="67">
        <f>IF(ROW(C75)&lt;=Capacity!$A$16,IF('Capacity summary'!$D$14="No",SUM(H79:BG79),'Capacity summary'!$E198),0)</f>
        <v>0</v>
      </c>
      <c r="BI79" s="5" t="str">
        <f>IF(BH79&gt;0,IF(BH79&lt;Capacity!E91,Capacity!F91,Capacity!H91/'Capacity calculation (hide)'!BH79),"")</f>
        <v/>
      </c>
      <c r="BK79" s="311">
        <f>IF($BI79&lt;&gt;"",IF('Capacity summary'!$D$14="Yes",IF(COUNTBLANK('Capacity summary'!$H198:$BG198)&lt;52,IF('Capacity summary'!H198&lt;&gt;"",IF(LOWER('Capacity summary'!H198)="x",$BI79*H79,VALUE('Capacity summary'!H198)),0),H79*$BI79),H79*$BI79),0)</f>
        <v>0</v>
      </c>
      <c r="BL79" s="311">
        <f>IF($BI79&lt;&gt;"",IF('Capacity summary'!$D$14="Yes",IF(COUNTBLANK('Capacity summary'!$H198:$BG198)&lt;52,IF('Capacity summary'!I198&lt;&gt;"",IF(LOWER('Capacity summary'!I198)="x",$BI79*I79,VALUE('Capacity summary'!I198)),0),I79*$BI79),I79*$BI79),0)</f>
        <v>0</v>
      </c>
      <c r="BM79" s="311">
        <f>IF($BI79&lt;&gt;"",IF('Capacity summary'!$D$14="Yes",IF(COUNTBLANK('Capacity summary'!$H198:$BG198)&lt;52,IF('Capacity summary'!J198&lt;&gt;"",IF(LOWER('Capacity summary'!J198)="x",$BI79*J79,VALUE('Capacity summary'!J198)),0),J79*$BI79),J79*$BI79),0)</f>
        <v>0</v>
      </c>
      <c r="BN79" s="311">
        <f>IF($BI79&lt;&gt;"",IF('Capacity summary'!$D$14="Yes",IF(COUNTBLANK('Capacity summary'!$H198:$BG198)&lt;52,IF('Capacity summary'!K198&lt;&gt;"",IF(LOWER('Capacity summary'!K198)="x",$BI79*K79,VALUE('Capacity summary'!K198)),0),K79*$BI79),K79*$BI79),0)</f>
        <v>0</v>
      </c>
      <c r="BO79" s="311">
        <f>IF($BI79&lt;&gt;"",IF('Capacity summary'!$D$14="Yes",IF(COUNTBLANK('Capacity summary'!$H198:$BG198)&lt;52,IF('Capacity summary'!L198&lt;&gt;"",IF(LOWER('Capacity summary'!L198)="x",$BI79*L79,VALUE('Capacity summary'!L198)),0),L79*$BI79),L79*$BI79),0)</f>
        <v>0</v>
      </c>
      <c r="BP79" s="311">
        <f>IF($BI79&lt;&gt;"",IF('Capacity summary'!$D$14="Yes",IF(COUNTBLANK('Capacity summary'!$H198:$BG198)&lt;52,IF('Capacity summary'!M198&lt;&gt;"",IF(LOWER('Capacity summary'!M198)="x",$BI79*M79,VALUE('Capacity summary'!M198)),0),M79*$BI79),M79*$BI79),0)</f>
        <v>0</v>
      </c>
      <c r="BQ79" s="311">
        <f>IF($BI79&lt;&gt;"",IF('Capacity summary'!$D$14="Yes",IF(COUNTBLANK('Capacity summary'!$H198:$BG198)&lt;52,IF('Capacity summary'!N198&lt;&gt;"",IF(LOWER('Capacity summary'!N198)="x",$BI79*N79,VALUE('Capacity summary'!N198)),0),N79*$BI79),N79*$BI79),0)</f>
        <v>0</v>
      </c>
      <c r="BR79" s="311">
        <f>IF($BI79&lt;&gt;"",IF('Capacity summary'!$D$14="Yes",IF(COUNTBLANK('Capacity summary'!$H198:$BG198)&lt;52,IF('Capacity summary'!O198&lt;&gt;"",IF(LOWER('Capacity summary'!O198)="x",$BI79*O79,VALUE('Capacity summary'!O198)),0),O79*$BI79),O79*$BI79),0)</f>
        <v>0</v>
      </c>
      <c r="BS79" s="311">
        <f>IF($BI79&lt;&gt;"",IF('Capacity summary'!$D$14="Yes",IF(COUNTBLANK('Capacity summary'!$H198:$BG198)&lt;52,IF('Capacity summary'!P198&lt;&gt;"",IF(LOWER('Capacity summary'!P198)="x",$BI79*P79,VALUE('Capacity summary'!P198)),0),P79*$BI79),P79*$BI79),0)</f>
        <v>0</v>
      </c>
      <c r="BT79" s="311">
        <f>IF($BI79&lt;&gt;"",IF('Capacity summary'!$D$14="Yes",IF(COUNTBLANK('Capacity summary'!$H198:$BG198)&lt;52,IF('Capacity summary'!Q198&lt;&gt;"",IF(LOWER('Capacity summary'!Q198)="x",$BI79*Q79,VALUE('Capacity summary'!Q198)),0),Q79*$BI79),Q79*$BI79),0)</f>
        <v>0</v>
      </c>
      <c r="BU79" s="311">
        <f>IF($BI79&lt;&gt;"",IF('Capacity summary'!$D$14="Yes",IF(COUNTBLANK('Capacity summary'!$H198:$BG198)&lt;52,IF('Capacity summary'!R198&lt;&gt;"",IF(LOWER('Capacity summary'!R198)="x",$BI79*R79,VALUE('Capacity summary'!R198)),0),R79*$BI79),R79*$BI79),0)</f>
        <v>0</v>
      </c>
      <c r="BV79" s="311">
        <f>IF($BI79&lt;&gt;"",IF('Capacity summary'!$D$14="Yes",IF(COUNTBLANK('Capacity summary'!$H198:$BG198)&lt;52,IF('Capacity summary'!S198&lt;&gt;"",IF(LOWER('Capacity summary'!S198)="x",$BI79*S79,VALUE('Capacity summary'!S198)),0),S79*$BI79),S79*$BI79),0)</f>
        <v>0</v>
      </c>
      <c r="BW79" s="311">
        <f>IF($BI79&lt;&gt;"",IF('Capacity summary'!$D$14="Yes",IF(COUNTBLANK('Capacity summary'!$H198:$BG198)&lt;52,IF('Capacity summary'!T198&lt;&gt;"",IF(LOWER('Capacity summary'!T198)="x",$BI79*T79,VALUE('Capacity summary'!T198)),0),T79*$BI79),T79*$BI79),0)</f>
        <v>0</v>
      </c>
      <c r="BX79" s="311">
        <f>IF($BI79&lt;&gt;"",IF('Capacity summary'!$D$14="Yes",IF(COUNTBLANK('Capacity summary'!$H198:$BG198)&lt;52,IF('Capacity summary'!U198&lt;&gt;"",IF(LOWER('Capacity summary'!U198)="x",$BI79*U79,VALUE('Capacity summary'!U198)),0),U79*$BI79),U79*$BI79),0)</f>
        <v>0</v>
      </c>
      <c r="BY79" s="311">
        <f>IF($BI79&lt;&gt;"",IF('Capacity summary'!$D$14="Yes",IF(COUNTBLANK('Capacity summary'!$H198:$BG198)&lt;52,IF('Capacity summary'!V198&lt;&gt;"",IF(LOWER('Capacity summary'!V198)="x",$BI79*V79,VALUE('Capacity summary'!V198)),0),V79*$BI79),V79*$BI79),0)</f>
        <v>0</v>
      </c>
      <c r="BZ79" s="311">
        <f>IF($BI79&lt;&gt;"",IF('Capacity summary'!$D$14="Yes",IF(COUNTBLANK('Capacity summary'!$H198:$BG198)&lt;52,IF('Capacity summary'!W198&lt;&gt;"",IF(LOWER('Capacity summary'!W198)="x",$BI79*W79,VALUE('Capacity summary'!W198)),0),W79*$BI79),W79*$BI79),0)</f>
        <v>0</v>
      </c>
      <c r="CA79" s="311">
        <f>IF($BI79&lt;&gt;"",IF('Capacity summary'!$D$14="Yes",IF(COUNTBLANK('Capacity summary'!$H198:$BG198)&lt;52,IF('Capacity summary'!X198&lt;&gt;"",IF(LOWER('Capacity summary'!X198)="x",$BI79*X79,VALUE('Capacity summary'!X198)),0),X79*$BI79),X79*$BI79),0)</f>
        <v>0</v>
      </c>
      <c r="CB79" s="311">
        <f>IF($BI79&lt;&gt;"",IF('Capacity summary'!$D$14="Yes",IF(COUNTBLANK('Capacity summary'!$H198:$BG198)&lt;52,IF('Capacity summary'!Y198&lt;&gt;"",IF(LOWER('Capacity summary'!Y198)="x",$BI79*Y79,VALUE('Capacity summary'!Y198)),0),Y79*$BI79),Y79*$BI79),0)</f>
        <v>0</v>
      </c>
      <c r="CC79" s="311">
        <f>IF($BI79&lt;&gt;"",IF('Capacity summary'!$D$14="Yes",IF(COUNTBLANK('Capacity summary'!$H198:$BG198)&lt;52,IF('Capacity summary'!Z198&lt;&gt;"",IF(LOWER('Capacity summary'!Z198)="x",$BI79*Z79,VALUE('Capacity summary'!Z198)),0),Z79*$BI79),Z79*$BI79),0)</f>
        <v>0</v>
      </c>
      <c r="CD79" s="311">
        <f>IF($BI79&lt;&gt;"",IF('Capacity summary'!$D$14="Yes",IF(COUNTBLANK('Capacity summary'!$H198:$BG198)&lt;52,IF('Capacity summary'!AA198&lt;&gt;"",IF(LOWER('Capacity summary'!AA198)="x",$BI79*AA79,VALUE('Capacity summary'!AA198)),0),AA79*$BI79),AA79*$BI79),0)</f>
        <v>0</v>
      </c>
      <c r="CE79" s="311">
        <f>IF($BI79&lt;&gt;"",IF('Capacity summary'!$D$14="Yes",IF(COUNTBLANK('Capacity summary'!$H198:$BG198)&lt;52,IF('Capacity summary'!AB198&lt;&gt;"",IF(LOWER('Capacity summary'!AB198)="x",$BI79*AB79,VALUE('Capacity summary'!AB198)),0),AB79*$BI79),AB79*$BI79),0)</f>
        <v>0</v>
      </c>
      <c r="CF79" s="311">
        <f>IF($BI79&lt;&gt;"",IF('Capacity summary'!$D$14="Yes",IF(COUNTBLANK('Capacity summary'!$H198:$BG198)&lt;52,IF('Capacity summary'!AC198&lt;&gt;"",IF(LOWER('Capacity summary'!AC198)="x",$BI79*AC79,VALUE('Capacity summary'!AC198)),0),AC79*$BI79),AC79*$BI79),0)</f>
        <v>0</v>
      </c>
      <c r="CG79" s="311">
        <f>IF($BI79&lt;&gt;"",IF('Capacity summary'!$D$14="Yes",IF(COUNTBLANK('Capacity summary'!$H198:$BG198)&lt;52,IF('Capacity summary'!AD198&lt;&gt;"",IF(LOWER('Capacity summary'!AD198)="x",$BI79*AD79,VALUE('Capacity summary'!AD198)),0),AD79*$BI79),AD79*$BI79),0)</f>
        <v>0</v>
      </c>
      <c r="CH79" s="311">
        <f>IF($BI79&lt;&gt;"",IF('Capacity summary'!$D$14="Yes",IF(COUNTBLANK('Capacity summary'!$H198:$BG198)&lt;52,IF('Capacity summary'!AE198&lt;&gt;"",IF(LOWER('Capacity summary'!AE198)="x",$BI79*AE79,VALUE('Capacity summary'!AE198)),0),AE79*$BI79),AE79*$BI79),0)</f>
        <v>0</v>
      </c>
      <c r="CI79" s="311">
        <f>IF($BI79&lt;&gt;"",IF('Capacity summary'!$D$14="Yes",IF(COUNTBLANK('Capacity summary'!$H198:$BG198)&lt;52,IF('Capacity summary'!AF198&lt;&gt;"",IF(LOWER('Capacity summary'!AF198)="x",$BI79*AF79,VALUE('Capacity summary'!AF198)),0),AF79*$BI79),AF79*$BI79),0)</f>
        <v>0</v>
      </c>
      <c r="CJ79" s="311">
        <f>IF($BI79&lt;&gt;"",IF('Capacity summary'!$D$14="Yes",IF(COUNTBLANK('Capacity summary'!$H198:$BG198)&lt;52,IF('Capacity summary'!AG198&lt;&gt;"",IF(LOWER('Capacity summary'!AG198)="x",$BI79*AG79,VALUE('Capacity summary'!AG198)),0),AG79*$BI79),AG79*$BI79),0)</f>
        <v>0</v>
      </c>
      <c r="CK79" s="311">
        <f>IF($BI79&lt;&gt;"",IF('Capacity summary'!$D$14="Yes",IF(COUNTBLANK('Capacity summary'!$H198:$BG198)&lt;52,IF('Capacity summary'!AH198&lt;&gt;"",IF(LOWER('Capacity summary'!AH198)="x",$BI79*AH79,VALUE('Capacity summary'!AH198)),0),AH79*$BI79),AH79*$BI79),0)</f>
        <v>0</v>
      </c>
      <c r="CL79" s="311">
        <f>IF($BI79&lt;&gt;"",IF('Capacity summary'!$D$14="Yes",IF(COUNTBLANK('Capacity summary'!$H198:$BG198)&lt;52,IF('Capacity summary'!AI198&lt;&gt;"",IF(LOWER('Capacity summary'!AI198)="x",$BI79*AI79,VALUE('Capacity summary'!AI198)),0),AI79*$BI79),AI79*$BI79),0)</f>
        <v>0</v>
      </c>
      <c r="CM79" s="311">
        <f>IF($BI79&lt;&gt;"",IF('Capacity summary'!$D$14="Yes",IF(COUNTBLANK('Capacity summary'!$H198:$BG198)&lt;52,IF('Capacity summary'!AJ198&lt;&gt;"",IF(LOWER('Capacity summary'!AJ198)="x",$BI79*AJ79,VALUE('Capacity summary'!AJ198)),0),AJ79*$BI79),AJ79*$BI79),0)</f>
        <v>0</v>
      </c>
      <c r="CN79" s="311">
        <f>IF($BI79&lt;&gt;"",IF('Capacity summary'!$D$14="Yes",IF(COUNTBLANK('Capacity summary'!$H198:$BG198)&lt;52,IF('Capacity summary'!AK198&lt;&gt;"",IF(LOWER('Capacity summary'!AK198)="x",$BI79*AK79,VALUE('Capacity summary'!AK198)),0),AK79*$BI79),AK79*$BI79),0)</f>
        <v>0</v>
      </c>
      <c r="CO79" s="311">
        <f>IF($BI79&lt;&gt;"",IF('Capacity summary'!$D$14="Yes",IF(COUNTBLANK('Capacity summary'!$H198:$BG198)&lt;52,IF('Capacity summary'!AL198&lt;&gt;"",IF(LOWER('Capacity summary'!AL198)="x",$BI79*AL79,VALUE('Capacity summary'!AL198)),0),AL79*$BI79),AL79*$BI79),0)</f>
        <v>0</v>
      </c>
      <c r="CP79" s="311">
        <f>IF($BI79&lt;&gt;"",IF('Capacity summary'!$D$14="Yes",IF(COUNTBLANK('Capacity summary'!$H198:$BG198)&lt;52,IF('Capacity summary'!AM198&lt;&gt;"",IF(LOWER('Capacity summary'!AM198)="x",$BI79*AM79,VALUE('Capacity summary'!AM198)),0),AM79*$BI79),AM79*$BI79),0)</f>
        <v>0</v>
      </c>
      <c r="CQ79" s="311">
        <f>IF($BI79&lt;&gt;"",IF('Capacity summary'!$D$14="Yes",IF(COUNTBLANK('Capacity summary'!$H198:$BG198)&lt;52,IF('Capacity summary'!AN198&lt;&gt;"",IF(LOWER('Capacity summary'!AN198)="x",$BI79*AN79,VALUE('Capacity summary'!AN198)),0),AN79*$BI79),AN79*$BI79),0)</f>
        <v>0</v>
      </c>
      <c r="CR79" s="311">
        <f>IF($BI79&lt;&gt;"",IF('Capacity summary'!$D$14="Yes",IF(COUNTBLANK('Capacity summary'!$H198:$BG198)&lt;52,IF('Capacity summary'!AO198&lt;&gt;"",IF(LOWER('Capacity summary'!AO198)="x",$BI79*AO79,VALUE('Capacity summary'!AO198)),0),AO79*$BI79),AO79*$BI79),0)</f>
        <v>0</v>
      </c>
      <c r="CS79" s="311">
        <f>IF($BI79&lt;&gt;"",IF('Capacity summary'!$D$14="Yes",IF(COUNTBLANK('Capacity summary'!$H198:$BG198)&lt;52,IF('Capacity summary'!AP198&lt;&gt;"",IF(LOWER('Capacity summary'!AP198)="x",$BI79*AP79,VALUE('Capacity summary'!AP198)),0),AP79*$BI79),AP79*$BI79),0)</f>
        <v>0</v>
      </c>
      <c r="CT79" s="311">
        <f>IF($BI79&lt;&gt;"",IF('Capacity summary'!$D$14="Yes",IF(COUNTBLANK('Capacity summary'!$H198:$BG198)&lt;52,IF('Capacity summary'!AQ198&lt;&gt;"",IF(LOWER('Capacity summary'!AQ198)="x",$BI79*AQ79,VALUE('Capacity summary'!AQ198)),0),AQ79*$BI79),AQ79*$BI79),0)</f>
        <v>0</v>
      </c>
      <c r="CU79" s="311">
        <f>IF($BI79&lt;&gt;"",IF('Capacity summary'!$D$14="Yes",IF(COUNTBLANK('Capacity summary'!$H198:$BG198)&lt;52,IF('Capacity summary'!AR198&lt;&gt;"",IF(LOWER('Capacity summary'!AR198)="x",$BI79*AR79,VALUE('Capacity summary'!AR198)),0),AR79*$BI79),AR79*$BI79),0)</f>
        <v>0</v>
      </c>
      <c r="CV79" s="311">
        <f>IF($BI79&lt;&gt;"",IF('Capacity summary'!$D$14="Yes",IF(COUNTBLANK('Capacity summary'!$H198:$BG198)&lt;52,IF('Capacity summary'!AS198&lt;&gt;"",IF(LOWER('Capacity summary'!AS198)="x",$BI79*AS79,VALUE('Capacity summary'!AS198)),0),AS79*$BI79),AS79*$BI79),0)</f>
        <v>0</v>
      </c>
      <c r="CW79" s="311">
        <f>IF($BI79&lt;&gt;"",IF('Capacity summary'!$D$14="Yes",IF(COUNTBLANK('Capacity summary'!$H198:$BG198)&lt;52,IF('Capacity summary'!AT198&lt;&gt;"",IF(LOWER('Capacity summary'!AT198)="x",$BI79*AT79,VALUE('Capacity summary'!AT198)),0),AT79*$BI79),AT79*$BI79),0)</f>
        <v>0</v>
      </c>
      <c r="CX79" s="311">
        <f>IF($BI79&lt;&gt;"",IF('Capacity summary'!$D$14="Yes",IF(COUNTBLANK('Capacity summary'!$H198:$BG198)&lt;52,IF('Capacity summary'!AU198&lt;&gt;"",IF(LOWER('Capacity summary'!AU198)="x",$BI79*AU79,VALUE('Capacity summary'!AU198)),0),AU79*$BI79),AU79*$BI79),0)</f>
        <v>0</v>
      </c>
      <c r="CY79" s="311">
        <f>IF($BI79&lt;&gt;"",IF('Capacity summary'!$D$14="Yes",IF(COUNTBLANK('Capacity summary'!$H198:$BG198)&lt;52,IF('Capacity summary'!AV198&lt;&gt;"",IF(LOWER('Capacity summary'!AV198)="x",$BI79*AV79,VALUE('Capacity summary'!AV198)),0),AV79*$BI79),AV79*$BI79),0)</f>
        <v>0</v>
      </c>
      <c r="CZ79" s="311">
        <f>IF($BI79&lt;&gt;"",IF('Capacity summary'!$D$14="Yes",IF(COUNTBLANK('Capacity summary'!$H198:$BG198)&lt;52,IF('Capacity summary'!AW198&lt;&gt;"",IF(LOWER('Capacity summary'!AW198)="x",$BI79*AW79,VALUE('Capacity summary'!AW198)),0),AW79*$BI79),AW79*$BI79),0)</f>
        <v>0</v>
      </c>
      <c r="DA79" s="311">
        <f>IF($BI79&lt;&gt;"",IF('Capacity summary'!$D$14="Yes",IF(COUNTBLANK('Capacity summary'!$H198:$BG198)&lt;52,IF('Capacity summary'!AX198&lt;&gt;"",IF(LOWER('Capacity summary'!AX198)="x",$BI79*AX79,VALUE('Capacity summary'!AX198)),0),AX79*$BI79),AX79*$BI79),0)</f>
        <v>0</v>
      </c>
      <c r="DB79" s="311">
        <f>IF($BI79&lt;&gt;"",IF('Capacity summary'!$D$14="Yes",IF(COUNTBLANK('Capacity summary'!$H198:$BG198)&lt;52,IF('Capacity summary'!AY198&lt;&gt;"",IF(LOWER('Capacity summary'!AY198)="x",$BI79*AY79,VALUE('Capacity summary'!AY198)),0),AY79*$BI79),AY79*$BI79),0)</f>
        <v>0</v>
      </c>
      <c r="DC79" s="311">
        <f>IF($BI79&lt;&gt;"",IF('Capacity summary'!$D$14="Yes",IF(COUNTBLANK('Capacity summary'!$H198:$BG198)&lt;52,IF('Capacity summary'!AZ198&lt;&gt;"",IF(LOWER('Capacity summary'!AZ198)="x",$BI79*AZ79,VALUE('Capacity summary'!AZ198)),0),AZ79*$BI79),AZ79*$BI79),0)</f>
        <v>0</v>
      </c>
      <c r="DD79" s="311">
        <f>IF($BI79&lt;&gt;"",IF('Capacity summary'!$D$14="Yes",IF(COUNTBLANK('Capacity summary'!$H198:$BG198)&lt;52,IF('Capacity summary'!BA198&lt;&gt;"",IF(LOWER('Capacity summary'!BA198)="x",$BI79*BA79,VALUE('Capacity summary'!BA198)),0),BA79*$BI79),BA79*$BI79),0)</f>
        <v>0</v>
      </c>
      <c r="DE79" s="311">
        <f>IF($BI79&lt;&gt;"",IF('Capacity summary'!$D$14="Yes",IF(COUNTBLANK('Capacity summary'!$H198:$BG198)&lt;52,IF('Capacity summary'!BB198&lt;&gt;"",IF(LOWER('Capacity summary'!BB198)="x",$BI79*BB79,VALUE('Capacity summary'!BB198)),0),BB79*$BI79),BB79*$BI79),0)</f>
        <v>0</v>
      </c>
      <c r="DF79" s="311">
        <f>IF($BI79&lt;&gt;"",IF('Capacity summary'!$D$14="Yes",IF(COUNTBLANK('Capacity summary'!$H198:$BG198)&lt;52,IF('Capacity summary'!BC198&lt;&gt;"",IF(LOWER('Capacity summary'!BC198)="x",$BI79*BC79,VALUE('Capacity summary'!BC198)),0),BC79*$BI79),BC79*$BI79),0)</f>
        <v>0</v>
      </c>
      <c r="DG79" s="311">
        <f>IF($BI79&lt;&gt;"",IF('Capacity summary'!$D$14="Yes",IF(COUNTBLANK('Capacity summary'!$H198:$BG198)&lt;52,IF('Capacity summary'!BD198&lt;&gt;"",IF(LOWER('Capacity summary'!BD198)="x",$BI79*BD79,VALUE('Capacity summary'!BD198)),0),BD79*$BI79),BD79*$BI79),0)</f>
        <v>0</v>
      </c>
      <c r="DH79" s="311">
        <f>IF($BI79&lt;&gt;"",IF('Capacity summary'!$D$14="Yes",IF(COUNTBLANK('Capacity summary'!$H198:$BG198)&lt;52,IF('Capacity summary'!BE198&lt;&gt;"",IF(LOWER('Capacity summary'!BE198)="x",$BI79*BE79,VALUE('Capacity summary'!BE198)),0),BE79*$BI79),BE79*$BI79),0)</f>
        <v>0</v>
      </c>
      <c r="DI79" s="311">
        <f>IF($BI79&lt;&gt;"",IF('Capacity summary'!$D$14="Yes",IF(COUNTBLANK('Capacity summary'!$H198:$BG198)&lt;52,IF('Capacity summary'!BF198&lt;&gt;"",IF(LOWER('Capacity summary'!BF198)="x",$BI79*BF79,VALUE('Capacity summary'!BF198)),0),BF79*$BI79),BF79*$BI79),0)</f>
        <v>0</v>
      </c>
      <c r="DJ79" s="311">
        <f>IF($BI79&lt;&gt;"",IF('Capacity summary'!$D$14="Yes",IF(COUNTBLANK('Capacity summary'!$H198:$BG198)&lt;52,IF('Capacity summary'!BG198&lt;&gt;"",IF(LOWER('Capacity summary'!BG198)="x",$BI79*BG79,VALUE('Capacity summary'!BG198)),0),BG79*$BI79),BG79*$BI79),0)</f>
        <v>0</v>
      </c>
      <c r="DK79" s="391">
        <f t="shared" si="4"/>
        <v>0</v>
      </c>
      <c r="DL79" s="136">
        <f t="shared" si="5"/>
        <v>0</v>
      </c>
      <c r="DM79" s="311" t="str">
        <f>Capacity!H91</f>
        <v/>
      </c>
    </row>
    <row r="80" spans="1:117" x14ac:dyDescent="0.2">
      <c r="A80" s="67">
        <f>IF(Capacity!L92='Capacity summary'!BI199,1,0)</f>
        <v>1</v>
      </c>
      <c r="B80" s="67">
        <f>IF(Capacity!V92='Capacity summary'!BI99,1,0)</f>
        <v>1</v>
      </c>
      <c r="C80" s="67" t="str">
        <f>ROW(A76)&amp;". "&amp;Capacity!B92</f>
        <v xml:space="preserve">76. </v>
      </c>
      <c r="D80" s="67">
        <f>'Capacity setup'!C87</f>
        <v>0</v>
      </c>
      <c r="E80" s="67">
        <f>'Capacity setup'!D87</f>
        <v>0</v>
      </c>
      <c r="F80" s="67">
        <f>'Capacity setup'!E87</f>
        <v>0</v>
      </c>
      <c r="H80" s="67">
        <f ca="1">IF(LOWER(Capacity!$L92)="x",IF(AND(SUMIF(Capacity_Resource,$D80,'Critical resources (hide)'!U$6:U$105)+SUMIF(Capacity_Resource,$E80,'Critical resources (hide)'!U$6:U$105)+SUMIF(Capacity_Resource,$F80,'Critical resources (hide)'!U$6:U$105)&gt;0,$E$1=2),0,1),0)</f>
        <v>1</v>
      </c>
      <c r="I80" s="67">
        <f ca="1">IF(LOWER(Capacity!$L92)="x",IF(AND(SUMIF(Capacity_Resource,$D80,'Critical resources (hide)'!V$6:V$105)+SUMIF(Capacity_Resource,$E80,'Critical resources (hide)'!V$6:V$105)+SUMIF(Capacity_Resource,$F80,'Critical resources (hide)'!V$6:V$105)&gt;0,$E$1=2),0,1),0)</f>
        <v>1</v>
      </c>
      <c r="J80" s="67">
        <f ca="1">IF(LOWER(Capacity!$L92)="x",IF(AND(SUMIF(Capacity_Resource,$D80,'Critical resources (hide)'!W$6:W$105)+SUMIF(Capacity_Resource,$E80,'Critical resources (hide)'!W$6:W$105)+SUMIF(Capacity_Resource,$F80,'Critical resources (hide)'!W$6:W$105)&gt;0,$E$1=2),0,1),0)</f>
        <v>1</v>
      </c>
      <c r="K80" s="67">
        <f ca="1">IF(LOWER(Capacity!$L92)="x",IF(AND(SUMIF(Capacity_Resource,$D80,'Critical resources (hide)'!X$6:X$105)+SUMIF(Capacity_Resource,$E80,'Critical resources (hide)'!X$6:X$105)+SUMIF(Capacity_Resource,$F80,'Critical resources (hide)'!X$6:X$105)&gt;0,$E$1=2),0,1),0)</f>
        <v>1</v>
      </c>
      <c r="L80" s="67">
        <f ca="1">IF(LOWER(Capacity!$L92)="x",IF(AND(SUMIF(Capacity_Resource,$D80,'Critical resources (hide)'!Y$6:Y$105)+SUMIF(Capacity_Resource,$E80,'Critical resources (hide)'!Y$6:Y$105)+SUMIF(Capacity_Resource,$F80,'Critical resources (hide)'!Y$6:Y$105)&gt;0,$E$1=2),0,1),0)</f>
        <v>1</v>
      </c>
      <c r="M80" s="67">
        <f ca="1">IF(LOWER(Capacity!$L92)="x",IF(AND(SUMIF(Capacity_Resource,$D80,'Critical resources (hide)'!Z$6:Z$105)+SUMIF(Capacity_Resource,$E80,'Critical resources (hide)'!Z$6:Z$105)+SUMIF(Capacity_Resource,$F80,'Critical resources (hide)'!Z$6:Z$105)&gt;0,$E$1=2),0,1),0)</f>
        <v>1</v>
      </c>
      <c r="N80" s="67">
        <f ca="1">IF(LOWER(Capacity!$L92)="x",IF(AND(SUMIF(Capacity_Resource,$D80,'Critical resources (hide)'!AA$6:AA$105)+SUMIF(Capacity_Resource,$E80,'Critical resources (hide)'!AA$6:AA$105)+SUMIF(Capacity_Resource,$F80,'Critical resources (hide)'!AA$6:AA$105)&gt;0,$E$1=2),0,1),0)</f>
        <v>1</v>
      </c>
      <c r="O80" s="67">
        <f ca="1">IF(LOWER(Capacity!$L92)="x",IF(AND(SUMIF(Capacity_Resource,$D80,'Critical resources (hide)'!AB$6:AB$105)+SUMIF(Capacity_Resource,$E80,'Critical resources (hide)'!AB$6:AB$105)+SUMIF(Capacity_Resource,$F80,'Critical resources (hide)'!AB$6:AB$105)&gt;0,$E$1=2),0,1),0)</f>
        <v>1</v>
      </c>
      <c r="P80" s="67">
        <f ca="1">IF(LOWER(Capacity!$L92)="x",IF(AND(SUMIF(Capacity_Resource,$D80,'Critical resources (hide)'!AC$6:AC$105)+SUMIF(Capacity_Resource,$E80,'Critical resources (hide)'!AC$6:AC$105)+SUMIF(Capacity_Resource,$F80,'Critical resources (hide)'!AC$6:AC$105)&gt;0,$E$1=2),0,1),0)</f>
        <v>1</v>
      </c>
      <c r="Q80" s="67">
        <f ca="1">IF(LOWER(Capacity!$L92)="x",IF(AND(SUMIF(Capacity_Resource,$D80,'Critical resources (hide)'!AD$6:AD$105)+SUMIF(Capacity_Resource,$E80,'Critical resources (hide)'!AD$6:AD$105)+SUMIF(Capacity_Resource,$F80,'Critical resources (hide)'!AD$6:AD$105)&gt;0,$E$1=2),0,1),0)</f>
        <v>1</v>
      </c>
      <c r="R80" s="67">
        <f ca="1">IF(LOWER(Capacity!$L92)="x",IF(AND(SUMIF(Capacity_Resource,$D80,'Critical resources (hide)'!AE$6:AE$105)+SUMIF(Capacity_Resource,$E80,'Critical resources (hide)'!AE$6:AE$105)+SUMIF(Capacity_Resource,$F80,'Critical resources (hide)'!AE$6:AE$105)&gt;0,$E$1=2),0,1),0)</f>
        <v>1</v>
      </c>
      <c r="S80" s="67">
        <f ca="1">IF(LOWER(Capacity!$L92)="x",IF(AND(SUMIF(Capacity_Resource,$D80,'Critical resources (hide)'!AF$6:AF$105)+SUMIF(Capacity_Resource,$E80,'Critical resources (hide)'!AF$6:AF$105)+SUMIF(Capacity_Resource,$F80,'Critical resources (hide)'!AF$6:AF$105)&gt;0,$E$1=2),0,1),0)</f>
        <v>1</v>
      </c>
      <c r="T80" s="67">
        <f ca="1">IF(LOWER(Capacity!$L92)="x",IF(AND(SUMIF(Capacity_Resource,$D80,'Critical resources (hide)'!AG$6:AG$105)+SUMIF(Capacity_Resource,$E80,'Critical resources (hide)'!AG$6:AG$105)+SUMIF(Capacity_Resource,$F80,'Critical resources (hide)'!AG$6:AG$105)&gt;0,$E$1=2),0,1),0)</f>
        <v>1</v>
      </c>
      <c r="U80" s="67">
        <f ca="1">IF(LOWER(Capacity!$L92)="x",IF(AND(SUMIF(Capacity_Resource,$D80,'Critical resources (hide)'!AH$6:AH$105)+SUMIF(Capacity_Resource,$E80,'Critical resources (hide)'!AH$6:AH$105)+SUMIF(Capacity_Resource,$F80,'Critical resources (hide)'!AH$6:AH$105)&gt;0,$E$1=2),0,1),0)</f>
        <v>1</v>
      </c>
      <c r="V80" s="67">
        <f ca="1">IF(LOWER(Capacity!$L92)="x",IF(AND(SUMIF(Capacity_Resource,$D80,'Critical resources (hide)'!AI$6:AI$105)+SUMIF(Capacity_Resource,$E80,'Critical resources (hide)'!AI$6:AI$105)+SUMIF(Capacity_Resource,$F80,'Critical resources (hide)'!AI$6:AI$105)&gt;0,$E$1=2),0,1),0)</f>
        <v>1</v>
      </c>
      <c r="W80" s="67">
        <f ca="1">IF(LOWER(Capacity!$L92)="x",IF(AND(SUMIF(Capacity_Resource,$D80,'Critical resources (hide)'!AJ$6:AJ$105)+SUMIF(Capacity_Resource,$E80,'Critical resources (hide)'!AJ$6:AJ$105)+SUMIF(Capacity_Resource,$F80,'Critical resources (hide)'!AJ$6:AJ$105)&gt;0,$E$1=2),0,1),0)</f>
        <v>1</v>
      </c>
      <c r="X80" s="67">
        <f ca="1">IF(LOWER(Capacity!$L92)="x",IF(AND(SUMIF(Capacity_Resource,$D80,'Critical resources (hide)'!AK$6:AK$105)+SUMIF(Capacity_Resource,$E80,'Critical resources (hide)'!AK$6:AK$105)+SUMIF(Capacity_Resource,$F80,'Critical resources (hide)'!AK$6:AK$105)&gt;0,$E$1=2),0,1),0)</f>
        <v>1</v>
      </c>
      <c r="Y80" s="67">
        <f ca="1">IF(LOWER(Capacity!$L92)="x",IF(AND(SUMIF(Capacity_Resource,$D80,'Critical resources (hide)'!AL$6:AL$105)+SUMIF(Capacity_Resource,$E80,'Critical resources (hide)'!AL$6:AL$105)+SUMIF(Capacity_Resource,$F80,'Critical resources (hide)'!AL$6:AL$105)&gt;0,$E$1=2),0,1),0)</f>
        <v>1</v>
      </c>
      <c r="Z80" s="67">
        <f ca="1">IF(LOWER(Capacity!$L92)="x",IF(AND(SUMIF(Capacity_Resource,$D80,'Critical resources (hide)'!AM$6:AM$105)+SUMIF(Capacity_Resource,$E80,'Critical resources (hide)'!AM$6:AM$105)+SUMIF(Capacity_Resource,$F80,'Critical resources (hide)'!AM$6:AM$105)&gt;0,$E$1=2),0,1),0)</f>
        <v>1</v>
      </c>
      <c r="AA80" s="67">
        <f ca="1">IF(LOWER(Capacity!$L92)="x",IF(AND(SUMIF(Capacity_Resource,$D80,'Critical resources (hide)'!AN$6:AN$105)+SUMIF(Capacity_Resource,$E80,'Critical resources (hide)'!AN$6:AN$105)+SUMIF(Capacity_Resource,$F80,'Critical resources (hide)'!AN$6:AN$105)&gt;0,$E$1=2),0,1),0)</f>
        <v>1</v>
      </c>
      <c r="AB80" s="67">
        <f ca="1">IF(LOWER(Capacity!$L92)="x",IF(AND(SUMIF(Capacity_Resource,$D80,'Critical resources (hide)'!AO$6:AO$105)+SUMIF(Capacity_Resource,$E80,'Critical resources (hide)'!AO$6:AO$105)+SUMIF(Capacity_Resource,$F80,'Critical resources (hide)'!AO$6:AO$105)&gt;0,$E$1=2),0,1),0)</f>
        <v>1</v>
      </c>
      <c r="AC80" s="67">
        <f ca="1">IF(LOWER(Capacity!$L92)="x",IF(AND(SUMIF(Capacity_Resource,$D80,'Critical resources (hide)'!AP$6:AP$105)+SUMIF(Capacity_Resource,$E80,'Critical resources (hide)'!AP$6:AP$105)+SUMIF(Capacity_Resource,$F80,'Critical resources (hide)'!AP$6:AP$105)&gt;0,$E$1=2),0,1),0)</f>
        <v>1</v>
      </c>
      <c r="AD80" s="67">
        <f ca="1">IF(LOWER(Capacity!$L92)="x",IF(AND(SUMIF(Capacity_Resource,$D80,'Critical resources (hide)'!AQ$6:AQ$105)+SUMIF(Capacity_Resource,$E80,'Critical resources (hide)'!AQ$6:AQ$105)+SUMIF(Capacity_Resource,$F80,'Critical resources (hide)'!AQ$6:AQ$105)&gt;0,$E$1=2),0,1),0)</f>
        <v>1</v>
      </c>
      <c r="AE80" s="67">
        <f ca="1">IF(LOWER(Capacity!$L92)="x",IF(AND(SUMIF(Capacity_Resource,$D80,'Critical resources (hide)'!AR$6:AR$105)+SUMIF(Capacity_Resource,$E80,'Critical resources (hide)'!AR$6:AR$105)+SUMIF(Capacity_Resource,$F80,'Critical resources (hide)'!AR$6:AR$105)&gt;0,$E$1=2),0,1),0)</f>
        <v>1</v>
      </c>
      <c r="AF80" s="67">
        <f ca="1">IF(LOWER(Capacity!$L92)="x",IF(AND(SUMIF(Capacity_Resource,$D80,'Critical resources (hide)'!AS$6:AS$105)+SUMIF(Capacity_Resource,$E80,'Critical resources (hide)'!AS$6:AS$105)+SUMIF(Capacity_Resource,$F80,'Critical resources (hide)'!AS$6:AS$105)&gt;0,$E$1=2),0,1),0)</f>
        <v>1</v>
      </c>
      <c r="AG80" s="67">
        <f ca="1">IF(LOWER(Capacity!$L92)="x",IF(AND(SUMIF(Capacity_Resource,$D80,'Critical resources (hide)'!AT$6:AT$105)+SUMIF(Capacity_Resource,$E80,'Critical resources (hide)'!AT$6:AT$105)+SUMIF(Capacity_Resource,$F80,'Critical resources (hide)'!AT$6:AT$105)&gt;0,$E$1=2),0,1),0)</f>
        <v>1</v>
      </c>
      <c r="AH80" s="67">
        <f ca="1">IF(LOWER(Capacity!$L92)="x",IF(AND(SUMIF(Capacity_Resource,$D80,'Critical resources (hide)'!AU$6:AU$105)+SUMIF(Capacity_Resource,$E80,'Critical resources (hide)'!AU$6:AU$105)+SUMIF(Capacity_Resource,$F80,'Critical resources (hide)'!AU$6:AU$105)&gt;0,$E$1=2),0,1),0)</f>
        <v>1</v>
      </c>
      <c r="AI80" s="67">
        <f ca="1">IF(LOWER(Capacity!$L92)="x",IF(AND(SUMIF(Capacity_Resource,$D80,'Critical resources (hide)'!AV$6:AV$105)+SUMIF(Capacity_Resource,$E80,'Critical resources (hide)'!AV$6:AV$105)+SUMIF(Capacity_Resource,$F80,'Critical resources (hide)'!AV$6:AV$105)&gt;0,$E$1=2),0,1),0)</f>
        <v>1</v>
      </c>
      <c r="AJ80" s="67">
        <f ca="1">IF(LOWER(Capacity!$L92)="x",IF(AND(SUMIF(Capacity_Resource,$D80,'Critical resources (hide)'!AW$6:AW$105)+SUMIF(Capacity_Resource,$E80,'Critical resources (hide)'!AW$6:AW$105)+SUMIF(Capacity_Resource,$F80,'Critical resources (hide)'!AW$6:AW$105)&gt;0,$E$1=2),0,1),0)</f>
        <v>1</v>
      </c>
      <c r="AK80" s="67">
        <f ca="1">IF(LOWER(Capacity!$L92)="x",IF(AND(SUMIF(Capacity_Resource,$D80,'Critical resources (hide)'!AX$6:AX$105)+SUMIF(Capacity_Resource,$E80,'Critical resources (hide)'!AX$6:AX$105)+SUMIF(Capacity_Resource,$F80,'Critical resources (hide)'!AX$6:AX$105)&gt;0,$E$1=2),0,1),0)</f>
        <v>1</v>
      </c>
      <c r="AL80" s="67">
        <f ca="1">IF(LOWER(Capacity!$L92)="x",IF(AND(SUMIF(Capacity_Resource,$D80,'Critical resources (hide)'!AY$6:AY$105)+SUMIF(Capacity_Resource,$E80,'Critical resources (hide)'!AY$6:AY$105)+SUMIF(Capacity_Resource,$F80,'Critical resources (hide)'!AY$6:AY$105)&gt;0,$E$1=2),0,1),0)</f>
        <v>1</v>
      </c>
      <c r="AM80" s="67">
        <f ca="1">IF(LOWER(Capacity!$L92)="x",IF(AND(SUMIF(Capacity_Resource,$D80,'Critical resources (hide)'!AZ$6:AZ$105)+SUMIF(Capacity_Resource,$E80,'Critical resources (hide)'!AZ$6:AZ$105)+SUMIF(Capacity_Resource,$F80,'Critical resources (hide)'!AZ$6:AZ$105)&gt;0,$E$1=2),0,1),0)</f>
        <v>1</v>
      </c>
      <c r="AN80" s="67">
        <f ca="1">IF(LOWER(Capacity!$L92)="x",IF(AND(SUMIF(Capacity_Resource,$D80,'Critical resources (hide)'!BA$6:BA$105)+SUMIF(Capacity_Resource,$E80,'Critical resources (hide)'!BA$6:BA$105)+SUMIF(Capacity_Resource,$F80,'Critical resources (hide)'!BA$6:BA$105)&gt;0,$E$1=2),0,1),0)</f>
        <v>1</v>
      </c>
      <c r="AO80" s="67">
        <f ca="1">IF(LOWER(Capacity!$L92)="x",IF(AND(SUMIF(Capacity_Resource,$D80,'Critical resources (hide)'!BB$6:BB$105)+SUMIF(Capacity_Resource,$E80,'Critical resources (hide)'!BB$6:BB$105)+SUMIF(Capacity_Resource,$F80,'Critical resources (hide)'!BB$6:BB$105)&gt;0,$E$1=2),0,1),0)</f>
        <v>1</v>
      </c>
      <c r="AP80" s="67">
        <f ca="1">IF(LOWER(Capacity!$L92)="x",IF(AND(SUMIF(Capacity_Resource,$D80,'Critical resources (hide)'!BC$6:BC$105)+SUMIF(Capacity_Resource,$E80,'Critical resources (hide)'!BC$6:BC$105)+SUMIF(Capacity_Resource,$F80,'Critical resources (hide)'!BC$6:BC$105)&gt;0,$E$1=2),0,1),0)</f>
        <v>1</v>
      </c>
      <c r="AQ80" s="67">
        <f ca="1">IF(LOWER(Capacity!$L92)="x",IF(AND(SUMIF(Capacity_Resource,$D80,'Critical resources (hide)'!BD$6:BD$105)+SUMIF(Capacity_Resource,$E80,'Critical resources (hide)'!BD$6:BD$105)+SUMIF(Capacity_Resource,$F80,'Critical resources (hide)'!BD$6:BD$105)&gt;0,$E$1=2),0,1),0)</f>
        <v>1</v>
      </c>
      <c r="AR80" s="67">
        <f ca="1">IF(LOWER(Capacity!$L92)="x",IF(AND(SUMIF(Capacity_Resource,$D80,'Critical resources (hide)'!BE$6:BE$105)+SUMIF(Capacity_Resource,$E80,'Critical resources (hide)'!BE$6:BE$105)+SUMIF(Capacity_Resource,$F80,'Critical resources (hide)'!BE$6:BE$105)&gt;0,$E$1=2),0,1),0)</f>
        <v>1</v>
      </c>
      <c r="AS80" s="67">
        <f ca="1">IF(LOWER(Capacity!$L92)="x",IF(AND(SUMIF(Capacity_Resource,$D80,'Critical resources (hide)'!BF$6:BF$105)+SUMIF(Capacity_Resource,$E80,'Critical resources (hide)'!BF$6:BF$105)+SUMIF(Capacity_Resource,$F80,'Critical resources (hide)'!BF$6:BF$105)&gt;0,$E$1=2),0,1),0)</f>
        <v>1</v>
      </c>
      <c r="AT80" s="67">
        <f ca="1">IF(LOWER(Capacity!$L92)="x",IF(AND(SUMIF(Capacity_Resource,$D80,'Critical resources (hide)'!BG$6:BG$105)+SUMIF(Capacity_Resource,$E80,'Critical resources (hide)'!BG$6:BG$105)+SUMIF(Capacity_Resource,$F80,'Critical resources (hide)'!BG$6:BG$105)&gt;0,$E$1=2),0,1),0)</f>
        <v>1</v>
      </c>
      <c r="AU80" s="67">
        <f ca="1">IF(LOWER(Capacity!$L92)="x",IF(AND(SUMIF(Capacity_Resource,$D80,'Critical resources (hide)'!BH$6:BH$105)+SUMIF(Capacity_Resource,$E80,'Critical resources (hide)'!BH$6:BH$105)+SUMIF(Capacity_Resource,$F80,'Critical resources (hide)'!BH$6:BH$105)&gt;0,$E$1=2),0,1),0)</f>
        <v>1</v>
      </c>
      <c r="AV80" s="67">
        <f ca="1">IF(LOWER(Capacity!$L92)="x",IF(AND(SUMIF(Capacity_Resource,$D80,'Critical resources (hide)'!BI$6:BI$105)+SUMIF(Capacity_Resource,$E80,'Critical resources (hide)'!BI$6:BI$105)+SUMIF(Capacity_Resource,$F80,'Critical resources (hide)'!BI$6:BI$105)&gt;0,$E$1=2),0,1),0)</f>
        <v>1</v>
      </c>
      <c r="AW80" s="67">
        <f ca="1">IF(LOWER(Capacity!$L92)="x",IF(AND(SUMIF(Capacity_Resource,$D80,'Critical resources (hide)'!BJ$6:BJ$105)+SUMIF(Capacity_Resource,$E80,'Critical resources (hide)'!BJ$6:BJ$105)+SUMIF(Capacity_Resource,$F80,'Critical resources (hide)'!BJ$6:BJ$105)&gt;0,$E$1=2),0,1),0)</f>
        <v>1</v>
      </c>
      <c r="AX80" s="67">
        <f ca="1">IF(LOWER(Capacity!$L92)="x",IF(AND(SUMIF(Capacity_Resource,$D80,'Critical resources (hide)'!BK$6:BK$105)+SUMIF(Capacity_Resource,$E80,'Critical resources (hide)'!BK$6:BK$105)+SUMIF(Capacity_Resource,$F80,'Critical resources (hide)'!BK$6:BK$105)&gt;0,$E$1=2),0,1),0)</f>
        <v>1</v>
      </c>
      <c r="AY80" s="67">
        <f ca="1">IF(LOWER(Capacity!$L92)="x",IF(AND(SUMIF(Capacity_Resource,$D80,'Critical resources (hide)'!BL$6:BL$105)+SUMIF(Capacity_Resource,$E80,'Critical resources (hide)'!BL$6:BL$105)+SUMIF(Capacity_Resource,$F80,'Critical resources (hide)'!BL$6:BL$105)&gt;0,$E$1=2),0,1),0)</f>
        <v>1</v>
      </c>
      <c r="AZ80" s="67">
        <f ca="1">IF(LOWER(Capacity!$L92)="x",IF(AND(SUMIF(Capacity_Resource,$D80,'Critical resources (hide)'!BM$6:BM$105)+SUMIF(Capacity_Resource,$E80,'Critical resources (hide)'!BM$6:BM$105)+SUMIF(Capacity_Resource,$F80,'Critical resources (hide)'!BM$6:BM$105)&gt;0,$E$1=2),0,1),0)</f>
        <v>1</v>
      </c>
      <c r="BA80" s="67">
        <f ca="1">IF(LOWER(Capacity!$L92)="x",IF(AND(SUMIF(Capacity_Resource,$D80,'Critical resources (hide)'!BN$6:BN$105)+SUMIF(Capacity_Resource,$E80,'Critical resources (hide)'!BN$6:BN$105)+SUMIF(Capacity_Resource,$F80,'Critical resources (hide)'!BN$6:BN$105)&gt;0,$E$1=2),0,1),0)</f>
        <v>1</v>
      </c>
      <c r="BB80" s="67">
        <f ca="1">IF(LOWER(Capacity!$L92)="x",IF(AND(SUMIF(Capacity_Resource,$D80,'Critical resources (hide)'!BO$6:BO$105)+SUMIF(Capacity_Resource,$E80,'Critical resources (hide)'!BO$6:BO$105)+SUMIF(Capacity_Resource,$F80,'Critical resources (hide)'!BO$6:BO$105)&gt;0,$E$1=2),0,1),0)</f>
        <v>1</v>
      </c>
      <c r="BC80" s="67">
        <f ca="1">IF(LOWER(Capacity!$L92)="x",IF(AND(SUMIF(Capacity_Resource,$D80,'Critical resources (hide)'!BP$6:BP$105)+SUMIF(Capacity_Resource,$E80,'Critical resources (hide)'!BP$6:BP$105)+SUMIF(Capacity_Resource,$F80,'Critical resources (hide)'!BP$6:BP$105)&gt;0,$E$1=2),0,1),0)</f>
        <v>1</v>
      </c>
      <c r="BD80" s="67">
        <f ca="1">IF(LOWER(Capacity!$L92)="x",IF(AND(SUMIF(Capacity_Resource,$D80,'Critical resources (hide)'!BQ$6:BQ$105)+SUMIF(Capacity_Resource,$E80,'Critical resources (hide)'!BQ$6:BQ$105)+SUMIF(Capacity_Resource,$F80,'Critical resources (hide)'!BQ$6:BQ$105)&gt;0,$E$1=2),0,1),0)</f>
        <v>1</v>
      </c>
      <c r="BE80" s="67">
        <f ca="1">IF(LOWER(Capacity!$L92)="x",IF(AND(SUMIF(Capacity_Resource,$D80,'Critical resources (hide)'!BR$6:BR$105)+SUMIF(Capacity_Resource,$E80,'Critical resources (hide)'!BR$6:BR$105)+SUMIF(Capacity_Resource,$F80,'Critical resources (hide)'!BR$6:BR$105)&gt;0,$E$1=2),0,1),0)</f>
        <v>1</v>
      </c>
      <c r="BF80" s="67">
        <f ca="1">IF(LOWER(Capacity!$L92)="x",IF(AND(SUMIF(Capacity_Resource,$D80,'Critical resources (hide)'!BS$6:BS$105)+SUMIF(Capacity_Resource,$E80,'Critical resources (hide)'!BS$6:BS$105)+SUMIF(Capacity_Resource,$F80,'Critical resources (hide)'!BS$6:BS$105)&gt;0,$E$1=2),0,1),0)</f>
        <v>1</v>
      </c>
      <c r="BG80" s="67">
        <f ca="1">IF(LOWER(Capacity!$L92)="x",IF(AND(SUMIF(Capacity_Resource,$D80,'Critical resources (hide)'!BT$6:BT$105)+SUMIF(Capacity_Resource,$E80,'Critical resources (hide)'!BT$6:BT$105)+SUMIF(Capacity_Resource,$F80,'Critical resources (hide)'!BT$6:BT$105)&gt;0,$E$1=2),0,1),0)</f>
        <v>1</v>
      </c>
      <c r="BH80" s="67">
        <f>IF(ROW(C76)&lt;=Capacity!$A$16,IF('Capacity summary'!$D$14="No",SUM(H80:BG80),'Capacity summary'!$E199),0)</f>
        <v>0</v>
      </c>
      <c r="BI80" s="5" t="str">
        <f>IF(BH80&gt;0,IF(BH80&lt;Capacity!E92,Capacity!F92,Capacity!H92/'Capacity calculation (hide)'!BH80),"")</f>
        <v/>
      </c>
      <c r="BK80" s="311">
        <f>IF($BI80&lt;&gt;"",IF('Capacity summary'!$D$14="Yes",IF(COUNTBLANK('Capacity summary'!$H199:$BG199)&lt;52,IF('Capacity summary'!H199&lt;&gt;"",IF(LOWER('Capacity summary'!H199)="x",$BI80*H80,VALUE('Capacity summary'!H199)),0),H80*$BI80),H80*$BI80),0)</f>
        <v>0</v>
      </c>
      <c r="BL80" s="311">
        <f>IF($BI80&lt;&gt;"",IF('Capacity summary'!$D$14="Yes",IF(COUNTBLANK('Capacity summary'!$H199:$BG199)&lt;52,IF('Capacity summary'!I199&lt;&gt;"",IF(LOWER('Capacity summary'!I199)="x",$BI80*I80,VALUE('Capacity summary'!I199)),0),I80*$BI80),I80*$BI80),0)</f>
        <v>0</v>
      </c>
      <c r="BM80" s="311">
        <f>IF($BI80&lt;&gt;"",IF('Capacity summary'!$D$14="Yes",IF(COUNTBLANK('Capacity summary'!$H199:$BG199)&lt;52,IF('Capacity summary'!J199&lt;&gt;"",IF(LOWER('Capacity summary'!J199)="x",$BI80*J80,VALUE('Capacity summary'!J199)),0),J80*$BI80),J80*$BI80),0)</f>
        <v>0</v>
      </c>
      <c r="BN80" s="311">
        <f>IF($BI80&lt;&gt;"",IF('Capacity summary'!$D$14="Yes",IF(COUNTBLANK('Capacity summary'!$H199:$BG199)&lt;52,IF('Capacity summary'!K199&lt;&gt;"",IF(LOWER('Capacity summary'!K199)="x",$BI80*K80,VALUE('Capacity summary'!K199)),0),K80*$BI80),K80*$BI80),0)</f>
        <v>0</v>
      </c>
      <c r="BO80" s="311">
        <f>IF($BI80&lt;&gt;"",IF('Capacity summary'!$D$14="Yes",IF(COUNTBLANK('Capacity summary'!$H199:$BG199)&lt;52,IF('Capacity summary'!L199&lt;&gt;"",IF(LOWER('Capacity summary'!L199)="x",$BI80*L80,VALUE('Capacity summary'!L199)),0),L80*$BI80),L80*$BI80),0)</f>
        <v>0</v>
      </c>
      <c r="BP80" s="311">
        <f>IF($BI80&lt;&gt;"",IF('Capacity summary'!$D$14="Yes",IF(COUNTBLANK('Capacity summary'!$H199:$BG199)&lt;52,IF('Capacity summary'!M199&lt;&gt;"",IF(LOWER('Capacity summary'!M199)="x",$BI80*M80,VALUE('Capacity summary'!M199)),0),M80*$BI80),M80*$BI80),0)</f>
        <v>0</v>
      </c>
      <c r="BQ80" s="311">
        <f>IF($BI80&lt;&gt;"",IF('Capacity summary'!$D$14="Yes",IF(COUNTBLANK('Capacity summary'!$H199:$BG199)&lt;52,IF('Capacity summary'!N199&lt;&gt;"",IF(LOWER('Capacity summary'!N199)="x",$BI80*N80,VALUE('Capacity summary'!N199)),0),N80*$BI80),N80*$BI80),0)</f>
        <v>0</v>
      </c>
      <c r="BR80" s="311">
        <f>IF($BI80&lt;&gt;"",IF('Capacity summary'!$D$14="Yes",IF(COUNTBLANK('Capacity summary'!$H199:$BG199)&lt;52,IF('Capacity summary'!O199&lt;&gt;"",IF(LOWER('Capacity summary'!O199)="x",$BI80*O80,VALUE('Capacity summary'!O199)),0),O80*$BI80),O80*$BI80),0)</f>
        <v>0</v>
      </c>
      <c r="BS80" s="311">
        <f>IF($BI80&lt;&gt;"",IF('Capacity summary'!$D$14="Yes",IF(COUNTBLANK('Capacity summary'!$H199:$BG199)&lt;52,IF('Capacity summary'!P199&lt;&gt;"",IF(LOWER('Capacity summary'!P199)="x",$BI80*P80,VALUE('Capacity summary'!P199)),0),P80*$BI80),P80*$BI80),0)</f>
        <v>0</v>
      </c>
      <c r="BT80" s="311">
        <f>IF($BI80&lt;&gt;"",IF('Capacity summary'!$D$14="Yes",IF(COUNTBLANK('Capacity summary'!$H199:$BG199)&lt;52,IF('Capacity summary'!Q199&lt;&gt;"",IF(LOWER('Capacity summary'!Q199)="x",$BI80*Q80,VALUE('Capacity summary'!Q199)),0),Q80*$BI80),Q80*$BI80),0)</f>
        <v>0</v>
      </c>
      <c r="BU80" s="311">
        <f>IF($BI80&lt;&gt;"",IF('Capacity summary'!$D$14="Yes",IF(COUNTBLANK('Capacity summary'!$H199:$BG199)&lt;52,IF('Capacity summary'!R199&lt;&gt;"",IF(LOWER('Capacity summary'!R199)="x",$BI80*R80,VALUE('Capacity summary'!R199)),0),R80*$BI80),R80*$BI80),0)</f>
        <v>0</v>
      </c>
      <c r="BV80" s="311">
        <f>IF($BI80&lt;&gt;"",IF('Capacity summary'!$D$14="Yes",IF(COUNTBLANK('Capacity summary'!$H199:$BG199)&lt;52,IF('Capacity summary'!S199&lt;&gt;"",IF(LOWER('Capacity summary'!S199)="x",$BI80*S80,VALUE('Capacity summary'!S199)),0),S80*$BI80),S80*$BI80),0)</f>
        <v>0</v>
      </c>
      <c r="BW80" s="311">
        <f>IF($BI80&lt;&gt;"",IF('Capacity summary'!$D$14="Yes",IF(COUNTBLANK('Capacity summary'!$H199:$BG199)&lt;52,IF('Capacity summary'!T199&lt;&gt;"",IF(LOWER('Capacity summary'!T199)="x",$BI80*T80,VALUE('Capacity summary'!T199)),0),T80*$BI80),T80*$BI80),0)</f>
        <v>0</v>
      </c>
      <c r="BX80" s="311">
        <f>IF($BI80&lt;&gt;"",IF('Capacity summary'!$D$14="Yes",IF(COUNTBLANK('Capacity summary'!$H199:$BG199)&lt;52,IF('Capacity summary'!U199&lt;&gt;"",IF(LOWER('Capacity summary'!U199)="x",$BI80*U80,VALUE('Capacity summary'!U199)),0),U80*$BI80),U80*$BI80),0)</f>
        <v>0</v>
      </c>
      <c r="BY80" s="311">
        <f>IF($BI80&lt;&gt;"",IF('Capacity summary'!$D$14="Yes",IF(COUNTBLANK('Capacity summary'!$H199:$BG199)&lt;52,IF('Capacity summary'!V199&lt;&gt;"",IF(LOWER('Capacity summary'!V199)="x",$BI80*V80,VALUE('Capacity summary'!V199)),0),V80*$BI80),V80*$BI80),0)</f>
        <v>0</v>
      </c>
      <c r="BZ80" s="311">
        <f>IF($BI80&lt;&gt;"",IF('Capacity summary'!$D$14="Yes",IF(COUNTBLANK('Capacity summary'!$H199:$BG199)&lt;52,IF('Capacity summary'!W199&lt;&gt;"",IF(LOWER('Capacity summary'!W199)="x",$BI80*W80,VALUE('Capacity summary'!W199)),0),W80*$BI80),W80*$BI80),0)</f>
        <v>0</v>
      </c>
      <c r="CA80" s="311">
        <f>IF($BI80&lt;&gt;"",IF('Capacity summary'!$D$14="Yes",IF(COUNTBLANK('Capacity summary'!$H199:$BG199)&lt;52,IF('Capacity summary'!X199&lt;&gt;"",IF(LOWER('Capacity summary'!X199)="x",$BI80*X80,VALUE('Capacity summary'!X199)),0),X80*$BI80),X80*$BI80),0)</f>
        <v>0</v>
      </c>
      <c r="CB80" s="311">
        <f>IF($BI80&lt;&gt;"",IF('Capacity summary'!$D$14="Yes",IF(COUNTBLANK('Capacity summary'!$H199:$BG199)&lt;52,IF('Capacity summary'!Y199&lt;&gt;"",IF(LOWER('Capacity summary'!Y199)="x",$BI80*Y80,VALUE('Capacity summary'!Y199)),0),Y80*$BI80),Y80*$BI80),0)</f>
        <v>0</v>
      </c>
      <c r="CC80" s="311">
        <f>IF($BI80&lt;&gt;"",IF('Capacity summary'!$D$14="Yes",IF(COUNTBLANK('Capacity summary'!$H199:$BG199)&lt;52,IF('Capacity summary'!Z199&lt;&gt;"",IF(LOWER('Capacity summary'!Z199)="x",$BI80*Z80,VALUE('Capacity summary'!Z199)),0),Z80*$BI80),Z80*$BI80),0)</f>
        <v>0</v>
      </c>
      <c r="CD80" s="311">
        <f>IF($BI80&lt;&gt;"",IF('Capacity summary'!$D$14="Yes",IF(COUNTBLANK('Capacity summary'!$H199:$BG199)&lt;52,IF('Capacity summary'!AA199&lt;&gt;"",IF(LOWER('Capacity summary'!AA199)="x",$BI80*AA80,VALUE('Capacity summary'!AA199)),0),AA80*$BI80),AA80*$BI80),0)</f>
        <v>0</v>
      </c>
      <c r="CE80" s="311">
        <f>IF($BI80&lt;&gt;"",IF('Capacity summary'!$D$14="Yes",IF(COUNTBLANK('Capacity summary'!$H199:$BG199)&lt;52,IF('Capacity summary'!AB199&lt;&gt;"",IF(LOWER('Capacity summary'!AB199)="x",$BI80*AB80,VALUE('Capacity summary'!AB199)),0),AB80*$BI80),AB80*$BI80),0)</f>
        <v>0</v>
      </c>
      <c r="CF80" s="311">
        <f>IF($BI80&lt;&gt;"",IF('Capacity summary'!$D$14="Yes",IF(COUNTBLANK('Capacity summary'!$H199:$BG199)&lt;52,IF('Capacity summary'!AC199&lt;&gt;"",IF(LOWER('Capacity summary'!AC199)="x",$BI80*AC80,VALUE('Capacity summary'!AC199)),0),AC80*$BI80),AC80*$BI80),0)</f>
        <v>0</v>
      </c>
      <c r="CG80" s="311">
        <f>IF($BI80&lt;&gt;"",IF('Capacity summary'!$D$14="Yes",IF(COUNTBLANK('Capacity summary'!$H199:$BG199)&lt;52,IF('Capacity summary'!AD199&lt;&gt;"",IF(LOWER('Capacity summary'!AD199)="x",$BI80*AD80,VALUE('Capacity summary'!AD199)),0),AD80*$BI80),AD80*$BI80),0)</f>
        <v>0</v>
      </c>
      <c r="CH80" s="311">
        <f>IF($BI80&lt;&gt;"",IF('Capacity summary'!$D$14="Yes",IF(COUNTBLANK('Capacity summary'!$H199:$BG199)&lt;52,IF('Capacity summary'!AE199&lt;&gt;"",IF(LOWER('Capacity summary'!AE199)="x",$BI80*AE80,VALUE('Capacity summary'!AE199)),0),AE80*$BI80),AE80*$BI80),0)</f>
        <v>0</v>
      </c>
      <c r="CI80" s="311">
        <f>IF($BI80&lt;&gt;"",IF('Capacity summary'!$D$14="Yes",IF(COUNTBLANK('Capacity summary'!$H199:$BG199)&lt;52,IF('Capacity summary'!AF199&lt;&gt;"",IF(LOWER('Capacity summary'!AF199)="x",$BI80*AF80,VALUE('Capacity summary'!AF199)),0),AF80*$BI80),AF80*$BI80),0)</f>
        <v>0</v>
      </c>
      <c r="CJ80" s="311">
        <f>IF($BI80&lt;&gt;"",IF('Capacity summary'!$D$14="Yes",IF(COUNTBLANK('Capacity summary'!$H199:$BG199)&lt;52,IF('Capacity summary'!AG199&lt;&gt;"",IF(LOWER('Capacity summary'!AG199)="x",$BI80*AG80,VALUE('Capacity summary'!AG199)),0),AG80*$BI80),AG80*$BI80),0)</f>
        <v>0</v>
      </c>
      <c r="CK80" s="311">
        <f>IF($BI80&lt;&gt;"",IF('Capacity summary'!$D$14="Yes",IF(COUNTBLANK('Capacity summary'!$H199:$BG199)&lt;52,IF('Capacity summary'!AH199&lt;&gt;"",IF(LOWER('Capacity summary'!AH199)="x",$BI80*AH80,VALUE('Capacity summary'!AH199)),0),AH80*$BI80),AH80*$BI80),0)</f>
        <v>0</v>
      </c>
      <c r="CL80" s="311">
        <f>IF($BI80&lt;&gt;"",IF('Capacity summary'!$D$14="Yes",IF(COUNTBLANK('Capacity summary'!$H199:$BG199)&lt;52,IF('Capacity summary'!AI199&lt;&gt;"",IF(LOWER('Capacity summary'!AI199)="x",$BI80*AI80,VALUE('Capacity summary'!AI199)),0),AI80*$BI80),AI80*$BI80),0)</f>
        <v>0</v>
      </c>
      <c r="CM80" s="311">
        <f>IF($BI80&lt;&gt;"",IF('Capacity summary'!$D$14="Yes",IF(COUNTBLANK('Capacity summary'!$H199:$BG199)&lt;52,IF('Capacity summary'!AJ199&lt;&gt;"",IF(LOWER('Capacity summary'!AJ199)="x",$BI80*AJ80,VALUE('Capacity summary'!AJ199)),0),AJ80*$BI80),AJ80*$BI80),0)</f>
        <v>0</v>
      </c>
      <c r="CN80" s="311">
        <f>IF($BI80&lt;&gt;"",IF('Capacity summary'!$D$14="Yes",IF(COUNTBLANK('Capacity summary'!$H199:$BG199)&lt;52,IF('Capacity summary'!AK199&lt;&gt;"",IF(LOWER('Capacity summary'!AK199)="x",$BI80*AK80,VALUE('Capacity summary'!AK199)),0),AK80*$BI80),AK80*$BI80),0)</f>
        <v>0</v>
      </c>
      <c r="CO80" s="311">
        <f>IF($BI80&lt;&gt;"",IF('Capacity summary'!$D$14="Yes",IF(COUNTBLANK('Capacity summary'!$H199:$BG199)&lt;52,IF('Capacity summary'!AL199&lt;&gt;"",IF(LOWER('Capacity summary'!AL199)="x",$BI80*AL80,VALUE('Capacity summary'!AL199)),0),AL80*$BI80),AL80*$BI80),0)</f>
        <v>0</v>
      </c>
      <c r="CP80" s="311">
        <f>IF($BI80&lt;&gt;"",IF('Capacity summary'!$D$14="Yes",IF(COUNTBLANK('Capacity summary'!$H199:$BG199)&lt;52,IF('Capacity summary'!AM199&lt;&gt;"",IF(LOWER('Capacity summary'!AM199)="x",$BI80*AM80,VALUE('Capacity summary'!AM199)),0),AM80*$BI80),AM80*$BI80),0)</f>
        <v>0</v>
      </c>
      <c r="CQ80" s="311">
        <f>IF($BI80&lt;&gt;"",IF('Capacity summary'!$D$14="Yes",IF(COUNTBLANK('Capacity summary'!$H199:$BG199)&lt;52,IF('Capacity summary'!AN199&lt;&gt;"",IF(LOWER('Capacity summary'!AN199)="x",$BI80*AN80,VALUE('Capacity summary'!AN199)),0),AN80*$BI80),AN80*$BI80),0)</f>
        <v>0</v>
      </c>
      <c r="CR80" s="311">
        <f>IF($BI80&lt;&gt;"",IF('Capacity summary'!$D$14="Yes",IF(COUNTBLANK('Capacity summary'!$H199:$BG199)&lt;52,IF('Capacity summary'!AO199&lt;&gt;"",IF(LOWER('Capacity summary'!AO199)="x",$BI80*AO80,VALUE('Capacity summary'!AO199)),0),AO80*$BI80),AO80*$BI80),0)</f>
        <v>0</v>
      </c>
      <c r="CS80" s="311">
        <f>IF($BI80&lt;&gt;"",IF('Capacity summary'!$D$14="Yes",IF(COUNTBLANK('Capacity summary'!$H199:$BG199)&lt;52,IF('Capacity summary'!AP199&lt;&gt;"",IF(LOWER('Capacity summary'!AP199)="x",$BI80*AP80,VALUE('Capacity summary'!AP199)),0),AP80*$BI80),AP80*$BI80),0)</f>
        <v>0</v>
      </c>
      <c r="CT80" s="311">
        <f>IF($BI80&lt;&gt;"",IF('Capacity summary'!$D$14="Yes",IF(COUNTBLANK('Capacity summary'!$H199:$BG199)&lt;52,IF('Capacity summary'!AQ199&lt;&gt;"",IF(LOWER('Capacity summary'!AQ199)="x",$BI80*AQ80,VALUE('Capacity summary'!AQ199)),0),AQ80*$BI80),AQ80*$BI80),0)</f>
        <v>0</v>
      </c>
      <c r="CU80" s="311">
        <f>IF($BI80&lt;&gt;"",IF('Capacity summary'!$D$14="Yes",IF(COUNTBLANK('Capacity summary'!$H199:$BG199)&lt;52,IF('Capacity summary'!AR199&lt;&gt;"",IF(LOWER('Capacity summary'!AR199)="x",$BI80*AR80,VALUE('Capacity summary'!AR199)),0),AR80*$BI80),AR80*$BI80),0)</f>
        <v>0</v>
      </c>
      <c r="CV80" s="311">
        <f>IF($BI80&lt;&gt;"",IF('Capacity summary'!$D$14="Yes",IF(COUNTBLANK('Capacity summary'!$H199:$BG199)&lt;52,IF('Capacity summary'!AS199&lt;&gt;"",IF(LOWER('Capacity summary'!AS199)="x",$BI80*AS80,VALUE('Capacity summary'!AS199)),0),AS80*$BI80),AS80*$BI80),0)</f>
        <v>0</v>
      </c>
      <c r="CW80" s="311">
        <f>IF($BI80&lt;&gt;"",IF('Capacity summary'!$D$14="Yes",IF(COUNTBLANK('Capacity summary'!$H199:$BG199)&lt;52,IF('Capacity summary'!AT199&lt;&gt;"",IF(LOWER('Capacity summary'!AT199)="x",$BI80*AT80,VALUE('Capacity summary'!AT199)),0),AT80*$BI80),AT80*$BI80),0)</f>
        <v>0</v>
      </c>
      <c r="CX80" s="311">
        <f>IF($BI80&lt;&gt;"",IF('Capacity summary'!$D$14="Yes",IF(COUNTBLANK('Capacity summary'!$H199:$BG199)&lt;52,IF('Capacity summary'!AU199&lt;&gt;"",IF(LOWER('Capacity summary'!AU199)="x",$BI80*AU80,VALUE('Capacity summary'!AU199)),0),AU80*$BI80),AU80*$BI80),0)</f>
        <v>0</v>
      </c>
      <c r="CY80" s="311">
        <f>IF($BI80&lt;&gt;"",IF('Capacity summary'!$D$14="Yes",IF(COUNTBLANK('Capacity summary'!$H199:$BG199)&lt;52,IF('Capacity summary'!AV199&lt;&gt;"",IF(LOWER('Capacity summary'!AV199)="x",$BI80*AV80,VALUE('Capacity summary'!AV199)),0),AV80*$BI80),AV80*$BI80),0)</f>
        <v>0</v>
      </c>
      <c r="CZ80" s="311">
        <f>IF($BI80&lt;&gt;"",IF('Capacity summary'!$D$14="Yes",IF(COUNTBLANK('Capacity summary'!$H199:$BG199)&lt;52,IF('Capacity summary'!AW199&lt;&gt;"",IF(LOWER('Capacity summary'!AW199)="x",$BI80*AW80,VALUE('Capacity summary'!AW199)),0),AW80*$BI80),AW80*$BI80),0)</f>
        <v>0</v>
      </c>
      <c r="DA80" s="311">
        <f>IF($BI80&lt;&gt;"",IF('Capacity summary'!$D$14="Yes",IF(COUNTBLANK('Capacity summary'!$H199:$BG199)&lt;52,IF('Capacity summary'!AX199&lt;&gt;"",IF(LOWER('Capacity summary'!AX199)="x",$BI80*AX80,VALUE('Capacity summary'!AX199)),0),AX80*$BI80),AX80*$BI80),0)</f>
        <v>0</v>
      </c>
      <c r="DB80" s="311">
        <f>IF($BI80&lt;&gt;"",IF('Capacity summary'!$D$14="Yes",IF(COUNTBLANK('Capacity summary'!$H199:$BG199)&lt;52,IF('Capacity summary'!AY199&lt;&gt;"",IF(LOWER('Capacity summary'!AY199)="x",$BI80*AY80,VALUE('Capacity summary'!AY199)),0),AY80*$BI80),AY80*$BI80),0)</f>
        <v>0</v>
      </c>
      <c r="DC80" s="311">
        <f>IF($BI80&lt;&gt;"",IF('Capacity summary'!$D$14="Yes",IF(COUNTBLANK('Capacity summary'!$H199:$BG199)&lt;52,IF('Capacity summary'!AZ199&lt;&gt;"",IF(LOWER('Capacity summary'!AZ199)="x",$BI80*AZ80,VALUE('Capacity summary'!AZ199)),0),AZ80*$BI80),AZ80*$BI80),0)</f>
        <v>0</v>
      </c>
      <c r="DD80" s="311">
        <f>IF($BI80&lt;&gt;"",IF('Capacity summary'!$D$14="Yes",IF(COUNTBLANK('Capacity summary'!$H199:$BG199)&lt;52,IF('Capacity summary'!BA199&lt;&gt;"",IF(LOWER('Capacity summary'!BA199)="x",$BI80*BA80,VALUE('Capacity summary'!BA199)),0),BA80*$BI80),BA80*$BI80),0)</f>
        <v>0</v>
      </c>
      <c r="DE80" s="311">
        <f>IF($BI80&lt;&gt;"",IF('Capacity summary'!$D$14="Yes",IF(COUNTBLANK('Capacity summary'!$H199:$BG199)&lt;52,IF('Capacity summary'!BB199&lt;&gt;"",IF(LOWER('Capacity summary'!BB199)="x",$BI80*BB80,VALUE('Capacity summary'!BB199)),0),BB80*$BI80),BB80*$BI80),0)</f>
        <v>0</v>
      </c>
      <c r="DF80" s="311">
        <f>IF($BI80&lt;&gt;"",IF('Capacity summary'!$D$14="Yes",IF(COUNTBLANK('Capacity summary'!$H199:$BG199)&lt;52,IF('Capacity summary'!BC199&lt;&gt;"",IF(LOWER('Capacity summary'!BC199)="x",$BI80*BC80,VALUE('Capacity summary'!BC199)),0),BC80*$BI80),BC80*$BI80),0)</f>
        <v>0</v>
      </c>
      <c r="DG80" s="311">
        <f>IF($BI80&lt;&gt;"",IF('Capacity summary'!$D$14="Yes",IF(COUNTBLANK('Capacity summary'!$H199:$BG199)&lt;52,IF('Capacity summary'!BD199&lt;&gt;"",IF(LOWER('Capacity summary'!BD199)="x",$BI80*BD80,VALUE('Capacity summary'!BD199)),0),BD80*$BI80),BD80*$BI80),0)</f>
        <v>0</v>
      </c>
      <c r="DH80" s="311">
        <f>IF($BI80&lt;&gt;"",IF('Capacity summary'!$D$14="Yes",IF(COUNTBLANK('Capacity summary'!$H199:$BG199)&lt;52,IF('Capacity summary'!BE199&lt;&gt;"",IF(LOWER('Capacity summary'!BE199)="x",$BI80*BE80,VALUE('Capacity summary'!BE199)),0),BE80*$BI80),BE80*$BI80),0)</f>
        <v>0</v>
      </c>
      <c r="DI80" s="311">
        <f>IF($BI80&lt;&gt;"",IF('Capacity summary'!$D$14="Yes",IF(COUNTBLANK('Capacity summary'!$H199:$BG199)&lt;52,IF('Capacity summary'!BF199&lt;&gt;"",IF(LOWER('Capacity summary'!BF199)="x",$BI80*BF80,VALUE('Capacity summary'!BF199)),0),BF80*$BI80),BF80*$BI80),0)</f>
        <v>0</v>
      </c>
      <c r="DJ80" s="311">
        <f>IF($BI80&lt;&gt;"",IF('Capacity summary'!$D$14="Yes",IF(COUNTBLANK('Capacity summary'!$H199:$BG199)&lt;52,IF('Capacity summary'!BG199&lt;&gt;"",IF(LOWER('Capacity summary'!BG199)="x",$BI80*BG80,VALUE('Capacity summary'!BG199)),0),BG80*$BI80),BG80*$BI80),0)</f>
        <v>0</v>
      </c>
      <c r="DK80" s="391">
        <f t="shared" si="4"/>
        <v>0</v>
      </c>
      <c r="DL80" s="136">
        <f t="shared" si="5"/>
        <v>0</v>
      </c>
      <c r="DM80" s="311" t="str">
        <f>Capacity!H92</f>
        <v/>
      </c>
    </row>
    <row r="81" spans="1:117" x14ac:dyDescent="0.2">
      <c r="A81" s="67">
        <f>IF(Capacity!L93='Capacity summary'!BI200,1,0)</f>
        <v>1</v>
      </c>
      <c r="B81" s="67">
        <f>IF(Capacity!V93='Capacity summary'!BI100,1,0)</f>
        <v>1</v>
      </c>
      <c r="C81" s="67" t="str">
        <f>ROW(A77)&amp;". "&amp;Capacity!B93</f>
        <v xml:space="preserve">77. </v>
      </c>
      <c r="D81" s="67">
        <f>'Capacity setup'!C88</f>
        <v>0</v>
      </c>
      <c r="E81" s="67">
        <f>'Capacity setup'!D88</f>
        <v>0</v>
      </c>
      <c r="F81" s="67">
        <f>'Capacity setup'!E88</f>
        <v>0</v>
      </c>
      <c r="H81" s="67">
        <f ca="1">IF(LOWER(Capacity!$L93)="x",IF(AND(SUMIF(Capacity_Resource,$D81,'Critical resources (hide)'!U$6:U$105)+SUMIF(Capacity_Resource,$E81,'Critical resources (hide)'!U$6:U$105)+SUMIF(Capacity_Resource,$F81,'Critical resources (hide)'!U$6:U$105)&gt;0,$E$1=2),0,1),0)</f>
        <v>1</v>
      </c>
      <c r="I81" s="67">
        <f ca="1">IF(LOWER(Capacity!$L93)="x",IF(AND(SUMIF(Capacity_Resource,$D81,'Critical resources (hide)'!V$6:V$105)+SUMIF(Capacity_Resource,$E81,'Critical resources (hide)'!V$6:V$105)+SUMIF(Capacity_Resource,$F81,'Critical resources (hide)'!V$6:V$105)&gt;0,$E$1=2),0,1),0)</f>
        <v>1</v>
      </c>
      <c r="J81" s="67">
        <f ca="1">IF(LOWER(Capacity!$L93)="x",IF(AND(SUMIF(Capacity_Resource,$D81,'Critical resources (hide)'!W$6:W$105)+SUMIF(Capacity_Resource,$E81,'Critical resources (hide)'!W$6:W$105)+SUMIF(Capacity_Resource,$F81,'Critical resources (hide)'!W$6:W$105)&gt;0,$E$1=2),0,1),0)</f>
        <v>1</v>
      </c>
      <c r="K81" s="67">
        <f ca="1">IF(LOWER(Capacity!$L93)="x",IF(AND(SUMIF(Capacity_Resource,$D81,'Critical resources (hide)'!X$6:X$105)+SUMIF(Capacity_Resource,$E81,'Critical resources (hide)'!X$6:X$105)+SUMIF(Capacity_Resource,$F81,'Critical resources (hide)'!X$6:X$105)&gt;0,$E$1=2),0,1),0)</f>
        <v>1</v>
      </c>
      <c r="L81" s="67">
        <f ca="1">IF(LOWER(Capacity!$L93)="x",IF(AND(SUMIF(Capacity_Resource,$D81,'Critical resources (hide)'!Y$6:Y$105)+SUMIF(Capacity_Resource,$E81,'Critical resources (hide)'!Y$6:Y$105)+SUMIF(Capacity_Resource,$F81,'Critical resources (hide)'!Y$6:Y$105)&gt;0,$E$1=2),0,1),0)</f>
        <v>1</v>
      </c>
      <c r="M81" s="67">
        <f ca="1">IF(LOWER(Capacity!$L93)="x",IF(AND(SUMIF(Capacity_Resource,$D81,'Critical resources (hide)'!Z$6:Z$105)+SUMIF(Capacity_Resource,$E81,'Critical resources (hide)'!Z$6:Z$105)+SUMIF(Capacity_Resource,$F81,'Critical resources (hide)'!Z$6:Z$105)&gt;0,$E$1=2),0,1),0)</f>
        <v>1</v>
      </c>
      <c r="N81" s="67">
        <f ca="1">IF(LOWER(Capacity!$L93)="x",IF(AND(SUMIF(Capacity_Resource,$D81,'Critical resources (hide)'!AA$6:AA$105)+SUMIF(Capacity_Resource,$E81,'Critical resources (hide)'!AA$6:AA$105)+SUMIF(Capacity_Resource,$F81,'Critical resources (hide)'!AA$6:AA$105)&gt;0,$E$1=2),0,1),0)</f>
        <v>1</v>
      </c>
      <c r="O81" s="67">
        <f ca="1">IF(LOWER(Capacity!$L93)="x",IF(AND(SUMIF(Capacity_Resource,$D81,'Critical resources (hide)'!AB$6:AB$105)+SUMIF(Capacity_Resource,$E81,'Critical resources (hide)'!AB$6:AB$105)+SUMIF(Capacity_Resource,$F81,'Critical resources (hide)'!AB$6:AB$105)&gt;0,$E$1=2),0,1),0)</f>
        <v>1</v>
      </c>
      <c r="P81" s="67">
        <f ca="1">IF(LOWER(Capacity!$L93)="x",IF(AND(SUMIF(Capacity_Resource,$D81,'Critical resources (hide)'!AC$6:AC$105)+SUMIF(Capacity_Resource,$E81,'Critical resources (hide)'!AC$6:AC$105)+SUMIF(Capacity_Resource,$F81,'Critical resources (hide)'!AC$6:AC$105)&gt;0,$E$1=2),0,1),0)</f>
        <v>1</v>
      </c>
      <c r="Q81" s="67">
        <f ca="1">IF(LOWER(Capacity!$L93)="x",IF(AND(SUMIF(Capacity_Resource,$D81,'Critical resources (hide)'!AD$6:AD$105)+SUMIF(Capacity_Resource,$E81,'Critical resources (hide)'!AD$6:AD$105)+SUMIF(Capacity_Resource,$F81,'Critical resources (hide)'!AD$6:AD$105)&gt;0,$E$1=2),0,1),0)</f>
        <v>1</v>
      </c>
      <c r="R81" s="67">
        <f ca="1">IF(LOWER(Capacity!$L93)="x",IF(AND(SUMIF(Capacity_Resource,$D81,'Critical resources (hide)'!AE$6:AE$105)+SUMIF(Capacity_Resource,$E81,'Critical resources (hide)'!AE$6:AE$105)+SUMIF(Capacity_Resource,$F81,'Critical resources (hide)'!AE$6:AE$105)&gt;0,$E$1=2),0,1),0)</f>
        <v>1</v>
      </c>
      <c r="S81" s="67">
        <f ca="1">IF(LOWER(Capacity!$L93)="x",IF(AND(SUMIF(Capacity_Resource,$D81,'Critical resources (hide)'!AF$6:AF$105)+SUMIF(Capacity_Resource,$E81,'Critical resources (hide)'!AF$6:AF$105)+SUMIF(Capacity_Resource,$F81,'Critical resources (hide)'!AF$6:AF$105)&gt;0,$E$1=2),0,1),0)</f>
        <v>1</v>
      </c>
      <c r="T81" s="67">
        <f ca="1">IF(LOWER(Capacity!$L93)="x",IF(AND(SUMIF(Capacity_Resource,$D81,'Critical resources (hide)'!AG$6:AG$105)+SUMIF(Capacity_Resource,$E81,'Critical resources (hide)'!AG$6:AG$105)+SUMIF(Capacity_Resource,$F81,'Critical resources (hide)'!AG$6:AG$105)&gt;0,$E$1=2),0,1),0)</f>
        <v>1</v>
      </c>
      <c r="U81" s="67">
        <f ca="1">IF(LOWER(Capacity!$L93)="x",IF(AND(SUMIF(Capacity_Resource,$D81,'Critical resources (hide)'!AH$6:AH$105)+SUMIF(Capacity_Resource,$E81,'Critical resources (hide)'!AH$6:AH$105)+SUMIF(Capacity_Resource,$F81,'Critical resources (hide)'!AH$6:AH$105)&gt;0,$E$1=2),0,1),0)</f>
        <v>1</v>
      </c>
      <c r="V81" s="67">
        <f ca="1">IF(LOWER(Capacity!$L93)="x",IF(AND(SUMIF(Capacity_Resource,$D81,'Critical resources (hide)'!AI$6:AI$105)+SUMIF(Capacity_Resource,$E81,'Critical resources (hide)'!AI$6:AI$105)+SUMIF(Capacity_Resource,$F81,'Critical resources (hide)'!AI$6:AI$105)&gt;0,$E$1=2),0,1),0)</f>
        <v>1</v>
      </c>
      <c r="W81" s="67">
        <f ca="1">IF(LOWER(Capacity!$L93)="x",IF(AND(SUMIF(Capacity_Resource,$D81,'Critical resources (hide)'!AJ$6:AJ$105)+SUMIF(Capacity_Resource,$E81,'Critical resources (hide)'!AJ$6:AJ$105)+SUMIF(Capacity_Resource,$F81,'Critical resources (hide)'!AJ$6:AJ$105)&gt;0,$E$1=2),0,1),0)</f>
        <v>1</v>
      </c>
      <c r="X81" s="67">
        <f ca="1">IF(LOWER(Capacity!$L93)="x",IF(AND(SUMIF(Capacity_Resource,$D81,'Critical resources (hide)'!AK$6:AK$105)+SUMIF(Capacity_Resource,$E81,'Critical resources (hide)'!AK$6:AK$105)+SUMIF(Capacity_Resource,$F81,'Critical resources (hide)'!AK$6:AK$105)&gt;0,$E$1=2),0,1),0)</f>
        <v>1</v>
      </c>
      <c r="Y81" s="67">
        <f ca="1">IF(LOWER(Capacity!$L93)="x",IF(AND(SUMIF(Capacity_Resource,$D81,'Critical resources (hide)'!AL$6:AL$105)+SUMIF(Capacity_Resource,$E81,'Critical resources (hide)'!AL$6:AL$105)+SUMIF(Capacity_Resource,$F81,'Critical resources (hide)'!AL$6:AL$105)&gt;0,$E$1=2),0,1),0)</f>
        <v>1</v>
      </c>
      <c r="Z81" s="67">
        <f ca="1">IF(LOWER(Capacity!$L93)="x",IF(AND(SUMIF(Capacity_Resource,$D81,'Critical resources (hide)'!AM$6:AM$105)+SUMIF(Capacity_Resource,$E81,'Critical resources (hide)'!AM$6:AM$105)+SUMIF(Capacity_Resource,$F81,'Critical resources (hide)'!AM$6:AM$105)&gt;0,$E$1=2),0,1),0)</f>
        <v>1</v>
      </c>
      <c r="AA81" s="67">
        <f ca="1">IF(LOWER(Capacity!$L93)="x",IF(AND(SUMIF(Capacity_Resource,$D81,'Critical resources (hide)'!AN$6:AN$105)+SUMIF(Capacity_Resource,$E81,'Critical resources (hide)'!AN$6:AN$105)+SUMIF(Capacity_Resource,$F81,'Critical resources (hide)'!AN$6:AN$105)&gt;0,$E$1=2),0,1),0)</f>
        <v>1</v>
      </c>
      <c r="AB81" s="67">
        <f ca="1">IF(LOWER(Capacity!$L93)="x",IF(AND(SUMIF(Capacity_Resource,$D81,'Critical resources (hide)'!AO$6:AO$105)+SUMIF(Capacity_Resource,$E81,'Critical resources (hide)'!AO$6:AO$105)+SUMIF(Capacity_Resource,$F81,'Critical resources (hide)'!AO$6:AO$105)&gt;0,$E$1=2),0,1),0)</f>
        <v>1</v>
      </c>
      <c r="AC81" s="67">
        <f ca="1">IF(LOWER(Capacity!$L93)="x",IF(AND(SUMIF(Capacity_Resource,$D81,'Critical resources (hide)'!AP$6:AP$105)+SUMIF(Capacity_Resource,$E81,'Critical resources (hide)'!AP$6:AP$105)+SUMIF(Capacity_Resource,$F81,'Critical resources (hide)'!AP$6:AP$105)&gt;0,$E$1=2),0,1),0)</f>
        <v>1</v>
      </c>
      <c r="AD81" s="67">
        <f ca="1">IF(LOWER(Capacity!$L93)="x",IF(AND(SUMIF(Capacity_Resource,$D81,'Critical resources (hide)'!AQ$6:AQ$105)+SUMIF(Capacity_Resource,$E81,'Critical resources (hide)'!AQ$6:AQ$105)+SUMIF(Capacity_Resource,$F81,'Critical resources (hide)'!AQ$6:AQ$105)&gt;0,$E$1=2),0,1),0)</f>
        <v>1</v>
      </c>
      <c r="AE81" s="67">
        <f ca="1">IF(LOWER(Capacity!$L93)="x",IF(AND(SUMIF(Capacity_Resource,$D81,'Critical resources (hide)'!AR$6:AR$105)+SUMIF(Capacity_Resource,$E81,'Critical resources (hide)'!AR$6:AR$105)+SUMIF(Capacity_Resource,$F81,'Critical resources (hide)'!AR$6:AR$105)&gt;0,$E$1=2),0,1),0)</f>
        <v>1</v>
      </c>
      <c r="AF81" s="67">
        <f ca="1">IF(LOWER(Capacity!$L93)="x",IF(AND(SUMIF(Capacity_Resource,$D81,'Critical resources (hide)'!AS$6:AS$105)+SUMIF(Capacity_Resource,$E81,'Critical resources (hide)'!AS$6:AS$105)+SUMIF(Capacity_Resource,$F81,'Critical resources (hide)'!AS$6:AS$105)&gt;0,$E$1=2),0,1),0)</f>
        <v>1</v>
      </c>
      <c r="AG81" s="67">
        <f ca="1">IF(LOWER(Capacity!$L93)="x",IF(AND(SUMIF(Capacity_Resource,$D81,'Critical resources (hide)'!AT$6:AT$105)+SUMIF(Capacity_Resource,$E81,'Critical resources (hide)'!AT$6:AT$105)+SUMIF(Capacity_Resource,$F81,'Critical resources (hide)'!AT$6:AT$105)&gt;0,$E$1=2),0,1),0)</f>
        <v>1</v>
      </c>
      <c r="AH81" s="67">
        <f ca="1">IF(LOWER(Capacity!$L93)="x",IF(AND(SUMIF(Capacity_Resource,$D81,'Critical resources (hide)'!AU$6:AU$105)+SUMIF(Capacity_Resource,$E81,'Critical resources (hide)'!AU$6:AU$105)+SUMIF(Capacity_Resource,$F81,'Critical resources (hide)'!AU$6:AU$105)&gt;0,$E$1=2),0,1),0)</f>
        <v>1</v>
      </c>
      <c r="AI81" s="67">
        <f ca="1">IF(LOWER(Capacity!$L93)="x",IF(AND(SUMIF(Capacity_Resource,$D81,'Critical resources (hide)'!AV$6:AV$105)+SUMIF(Capacity_Resource,$E81,'Critical resources (hide)'!AV$6:AV$105)+SUMIF(Capacity_Resource,$F81,'Critical resources (hide)'!AV$6:AV$105)&gt;0,$E$1=2),0,1),0)</f>
        <v>1</v>
      </c>
      <c r="AJ81" s="67">
        <f ca="1">IF(LOWER(Capacity!$L93)="x",IF(AND(SUMIF(Capacity_Resource,$D81,'Critical resources (hide)'!AW$6:AW$105)+SUMIF(Capacity_Resource,$E81,'Critical resources (hide)'!AW$6:AW$105)+SUMIF(Capacity_Resource,$F81,'Critical resources (hide)'!AW$6:AW$105)&gt;0,$E$1=2),0,1),0)</f>
        <v>1</v>
      </c>
      <c r="AK81" s="67">
        <f ca="1">IF(LOWER(Capacity!$L93)="x",IF(AND(SUMIF(Capacity_Resource,$D81,'Critical resources (hide)'!AX$6:AX$105)+SUMIF(Capacity_Resource,$E81,'Critical resources (hide)'!AX$6:AX$105)+SUMIF(Capacity_Resource,$F81,'Critical resources (hide)'!AX$6:AX$105)&gt;0,$E$1=2),0,1),0)</f>
        <v>1</v>
      </c>
      <c r="AL81" s="67">
        <f ca="1">IF(LOWER(Capacity!$L93)="x",IF(AND(SUMIF(Capacity_Resource,$D81,'Critical resources (hide)'!AY$6:AY$105)+SUMIF(Capacity_Resource,$E81,'Critical resources (hide)'!AY$6:AY$105)+SUMIF(Capacity_Resource,$F81,'Critical resources (hide)'!AY$6:AY$105)&gt;0,$E$1=2),0,1),0)</f>
        <v>1</v>
      </c>
      <c r="AM81" s="67">
        <f ca="1">IF(LOWER(Capacity!$L93)="x",IF(AND(SUMIF(Capacity_Resource,$D81,'Critical resources (hide)'!AZ$6:AZ$105)+SUMIF(Capacity_Resource,$E81,'Critical resources (hide)'!AZ$6:AZ$105)+SUMIF(Capacity_Resource,$F81,'Critical resources (hide)'!AZ$6:AZ$105)&gt;0,$E$1=2),0,1),0)</f>
        <v>1</v>
      </c>
      <c r="AN81" s="67">
        <f ca="1">IF(LOWER(Capacity!$L93)="x",IF(AND(SUMIF(Capacity_Resource,$D81,'Critical resources (hide)'!BA$6:BA$105)+SUMIF(Capacity_Resource,$E81,'Critical resources (hide)'!BA$6:BA$105)+SUMIF(Capacity_Resource,$F81,'Critical resources (hide)'!BA$6:BA$105)&gt;0,$E$1=2),0,1),0)</f>
        <v>1</v>
      </c>
      <c r="AO81" s="67">
        <f ca="1">IF(LOWER(Capacity!$L93)="x",IF(AND(SUMIF(Capacity_Resource,$D81,'Critical resources (hide)'!BB$6:BB$105)+SUMIF(Capacity_Resource,$E81,'Critical resources (hide)'!BB$6:BB$105)+SUMIF(Capacity_Resource,$F81,'Critical resources (hide)'!BB$6:BB$105)&gt;0,$E$1=2),0,1),0)</f>
        <v>1</v>
      </c>
      <c r="AP81" s="67">
        <f ca="1">IF(LOWER(Capacity!$L93)="x",IF(AND(SUMIF(Capacity_Resource,$D81,'Critical resources (hide)'!BC$6:BC$105)+SUMIF(Capacity_Resource,$E81,'Critical resources (hide)'!BC$6:BC$105)+SUMIF(Capacity_Resource,$F81,'Critical resources (hide)'!BC$6:BC$105)&gt;0,$E$1=2),0,1),0)</f>
        <v>1</v>
      </c>
      <c r="AQ81" s="67">
        <f ca="1">IF(LOWER(Capacity!$L93)="x",IF(AND(SUMIF(Capacity_Resource,$D81,'Critical resources (hide)'!BD$6:BD$105)+SUMIF(Capacity_Resource,$E81,'Critical resources (hide)'!BD$6:BD$105)+SUMIF(Capacity_Resource,$F81,'Critical resources (hide)'!BD$6:BD$105)&gt;0,$E$1=2),0,1),0)</f>
        <v>1</v>
      </c>
      <c r="AR81" s="67">
        <f ca="1">IF(LOWER(Capacity!$L93)="x",IF(AND(SUMIF(Capacity_Resource,$D81,'Critical resources (hide)'!BE$6:BE$105)+SUMIF(Capacity_Resource,$E81,'Critical resources (hide)'!BE$6:BE$105)+SUMIF(Capacity_Resource,$F81,'Critical resources (hide)'!BE$6:BE$105)&gt;0,$E$1=2),0,1),0)</f>
        <v>1</v>
      </c>
      <c r="AS81" s="67">
        <f ca="1">IF(LOWER(Capacity!$L93)="x",IF(AND(SUMIF(Capacity_Resource,$D81,'Critical resources (hide)'!BF$6:BF$105)+SUMIF(Capacity_Resource,$E81,'Critical resources (hide)'!BF$6:BF$105)+SUMIF(Capacity_Resource,$F81,'Critical resources (hide)'!BF$6:BF$105)&gt;0,$E$1=2),0,1),0)</f>
        <v>1</v>
      </c>
      <c r="AT81" s="67">
        <f ca="1">IF(LOWER(Capacity!$L93)="x",IF(AND(SUMIF(Capacity_Resource,$D81,'Critical resources (hide)'!BG$6:BG$105)+SUMIF(Capacity_Resource,$E81,'Critical resources (hide)'!BG$6:BG$105)+SUMIF(Capacity_Resource,$F81,'Critical resources (hide)'!BG$6:BG$105)&gt;0,$E$1=2),0,1),0)</f>
        <v>1</v>
      </c>
      <c r="AU81" s="67">
        <f ca="1">IF(LOWER(Capacity!$L93)="x",IF(AND(SUMIF(Capacity_Resource,$D81,'Critical resources (hide)'!BH$6:BH$105)+SUMIF(Capacity_Resource,$E81,'Critical resources (hide)'!BH$6:BH$105)+SUMIF(Capacity_Resource,$F81,'Critical resources (hide)'!BH$6:BH$105)&gt;0,$E$1=2),0,1),0)</f>
        <v>1</v>
      </c>
      <c r="AV81" s="67">
        <f ca="1">IF(LOWER(Capacity!$L93)="x",IF(AND(SUMIF(Capacity_Resource,$D81,'Critical resources (hide)'!BI$6:BI$105)+SUMIF(Capacity_Resource,$E81,'Critical resources (hide)'!BI$6:BI$105)+SUMIF(Capacity_Resource,$F81,'Critical resources (hide)'!BI$6:BI$105)&gt;0,$E$1=2),0,1),0)</f>
        <v>1</v>
      </c>
      <c r="AW81" s="67">
        <f ca="1">IF(LOWER(Capacity!$L93)="x",IF(AND(SUMIF(Capacity_Resource,$D81,'Critical resources (hide)'!BJ$6:BJ$105)+SUMIF(Capacity_Resource,$E81,'Critical resources (hide)'!BJ$6:BJ$105)+SUMIF(Capacity_Resource,$F81,'Critical resources (hide)'!BJ$6:BJ$105)&gt;0,$E$1=2),0,1),0)</f>
        <v>1</v>
      </c>
      <c r="AX81" s="67">
        <f ca="1">IF(LOWER(Capacity!$L93)="x",IF(AND(SUMIF(Capacity_Resource,$D81,'Critical resources (hide)'!BK$6:BK$105)+SUMIF(Capacity_Resource,$E81,'Critical resources (hide)'!BK$6:BK$105)+SUMIF(Capacity_Resource,$F81,'Critical resources (hide)'!BK$6:BK$105)&gt;0,$E$1=2),0,1),0)</f>
        <v>1</v>
      </c>
      <c r="AY81" s="67">
        <f ca="1">IF(LOWER(Capacity!$L93)="x",IF(AND(SUMIF(Capacity_Resource,$D81,'Critical resources (hide)'!BL$6:BL$105)+SUMIF(Capacity_Resource,$E81,'Critical resources (hide)'!BL$6:BL$105)+SUMIF(Capacity_Resource,$F81,'Critical resources (hide)'!BL$6:BL$105)&gt;0,$E$1=2),0,1),0)</f>
        <v>1</v>
      </c>
      <c r="AZ81" s="67">
        <f ca="1">IF(LOWER(Capacity!$L93)="x",IF(AND(SUMIF(Capacity_Resource,$D81,'Critical resources (hide)'!BM$6:BM$105)+SUMIF(Capacity_Resource,$E81,'Critical resources (hide)'!BM$6:BM$105)+SUMIF(Capacity_Resource,$F81,'Critical resources (hide)'!BM$6:BM$105)&gt;0,$E$1=2),0,1),0)</f>
        <v>1</v>
      </c>
      <c r="BA81" s="67">
        <f ca="1">IF(LOWER(Capacity!$L93)="x",IF(AND(SUMIF(Capacity_Resource,$D81,'Critical resources (hide)'!BN$6:BN$105)+SUMIF(Capacity_Resource,$E81,'Critical resources (hide)'!BN$6:BN$105)+SUMIF(Capacity_Resource,$F81,'Critical resources (hide)'!BN$6:BN$105)&gt;0,$E$1=2),0,1),0)</f>
        <v>1</v>
      </c>
      <c r="BB81" s="67">
        <f ca="1">IF(LOWER(Capacity!$L93)="x",IF(AND(SUMIF(Capacity_Resource,$D81,'Critical resources (hide)'!BO$6:BO$105)+SUMIF(Capacity_Resource,$E81,'Critical resources (hide)'!BO$6:BO$105)+SUMIF(Capacity_Resource,$F81,'Critical resources (hide)'!BO$6:BO$105)&gt;0,$E$1=2),0,1),0)</f>
        <v>1</v>
      </c>
      <c r="BC81" s="67">
        <f ca="1">IF(LOWER(Capacity!$L93)="x",IF(AND(SUMIF(Capacity_Resource,$D81,'Critical resources (hide)'!BP$6:BP$105)+SUMIF(Capacity_Resource,$E81,'Critical resources (hide)'!BP$6:BP$105)+SUMIF(Capacity_Resource,$F81,'Critical resources (hide)'!BP$6:BP$105)&gt;0,$E$1=2),0,1),0)</f>
        <v>1</v>
      </c>
      <c r="BD81" s="67">
        <f ca="1">IF(LOWER(Capacity!$L93)="x",IF(AND(SUMIF(Capacity_Resource,$D81,'Critical resources (hide)'!BQ$6:BQ$105)+SUMIF(Capacity_Resource,$E81,'Critical resources (hide)'!BQ$6:BQ$105)+SUMIF(Capacity_Resource,$F81,'Critical resources (hide)'!BQ$6:BQ$105)&gt;0,$E$1=2),0,1),0)</f>
        <v>1</v>
      </c>
      <c r="BE81" s="67">
        <f ca="1">IF(LOWER(Capacity!$L93)="x",IF(AND(SUMIF(Capacity_Resource,$D81,'Critical resources (hide)'!BR$6:BR$105)+SUMIF(Capacity_Resource,$E81,'Critical resources (hide)'!BR$6:BR$105)+SUMIF(Capacity_Resource,$F81,'Critical resources (hide)'!BR$6:BR$105)&gt;0,$E$1=2),0,1),0)</f>
        <v>1</v>
      </c>
      <c r="BF81" s="67">
        <f ca="1">IF(LOWER(Capacity!$L93)="x",IF(AND(SUMIF(Capacity_Resource,$D81,'Critical resources (hide)'!BS$6:BS$105)+SUMIF(Capacity_Resource,$E81,'Critical resources (hide)'!BS$6:BS$105)+SUMIF(Capacity_Resource,$F81,'Critical resources (hide)'!BS$6:BS$105)&gt;0,$E$1=2),0,1),0)</f>
        <v>1</v>
      </c>
      <c r="BG81" s="67">
        <f ca="1">IF(LOWER(Capacity!$L93)="x",IF(AND(SUMIF(Capacity_Resource,$D81,'Critical resources (hide)'!BT$6:BT$105)+SUMIF(Capacity_Resource,$E81,'Critical resources (hide)'!BT$6:BT$105)+SUMIF(Capacity_Resource,$F81,'Critical resources (hide)'!BT$6:BT$105)&gt;0,$E$1=2),0,1),0)</f>
        <v>1</v>
      </c>
      <c r="BH81" s="67">
        <f>IF(ROW(C77)&lt;=Capacity!$A$16,IF('Capacity summary'!$D$14="No",SUM(H81:BG81),'Capacity summary'!$E200),0)</f>
        <v>0</v>
      </c>
      <c r="BI81" s="5" t="str">
        <f>IF(BH81&gt;0,IF(BH81&lt;Capacity!E93,Capacity!F93,Capacity!H93/'Capacity calculation (hide)'!BH81),"")</f>
        <v/>
      </c>
      <c r="BK81" s="311">
        <f>IF($BI81&lt;&gt;"",IF('Capacity summary'!$D$14="Yes",IF(COUNTBLANK('Capacity summary'!$H200:$BG200)&lt;52,IF('Capacity summary'!H200&lt;&gt;"",IF(LOWER('Capacity summary'!H200)="x",$BI81*H81,VALUE('Capacity summary'!H200)),0),H81*$BI81),H81*$BI81),0)</f>
        <v>0</v>
      </c>
      <c r="BL81" s="311">
        <f>IF($BI81&lt;&gt;"",IF('Capacity summary'!$D$14="Yes",IF(COUNTBLANK('Capacity summary'!$H200:$BG200)&lt;52,IF('Capacity summary'!I200&lt;&gt;"",IF(LOWER('Capacity summary'!I200)="x",$BI81*I81,VALUE('Capacity summary'!I200)),0),I81*$BI81),I81*$BI81),0)</f>
        <v>0</v>
      </c>
      <c r="BM81" s="311">
        <f>IF($BI81&lt;&gt;"",IF('Capacity summary'!$D$14="Yes",IF(COUNTBLANK('Capacity summary'!$H200:$BG200)&lt;52,IF('Capacity summary'!J200&lt;&gt;"",IF(LOWER('Capacity summary'!J200)="x",$BI81*J81,VALUE('Capacity summary'!J200)),0),J81*$BI81),J81*$BI81),0)</f>
        <v>0</v>
      </c>
      <c r="BN81" s="311">
        <f>IF($BI81&lt;&gt;"",IF('Capacity summary'!$D$14="Yes",IF(COUNTBLANK('Capacity summary'!$H200:$BG200)&lt;52,IF('Capacity summary'!K200&lt;&gt;"",IF(LOWER('Capacity summary'!K200)="x",$BI81*K81,VALUE('Capacity summary'!K200)),0),K81*$BI81),K81*$BI81),0)</f>
        <v>0</v>
      </c>
      <c r="BO81" s="311">
        <f>IF($BI81&lt;&gt;"",IF('Capacity summary'!$D$14="Yes",IF(COUNTBLANK('Capacity summary'!$H200:$BG200)&lt;52,IF('Capacity summary'!L200&lt;&gt;"",IF(LOWER('Capacity summary'!L200)="x",$BI81*L81,VALUE('Capacity summary'!L200)),0),L81*$BI81),L81*$BI81),0)</f>
        <v>0</v>
      </c>
      <c r="BP81" s="311">
        <f>IF($BI81&lt;&gt;"",IF('Capacity summary'!$D$14="Yes",IF(COUNTBLANK('Capacity summary'!$H200:$BG200)&lt;52,IF('Capacity summary'!M200&lt;&gt;"",IF(LOWER('Capacity summary'!M200)="x",$BI81*M81,VALUE('Capacity summary'!M200)),0),M81*$BI81),M81*$BI81),0)</f>
        <v>0</v>
      </c>
      <c r="BQ81" s="311">
        <f>IF($BI81&lt;&gt;"",IF('Capacity summary'!$D$14="Yes",IF(COUNTBLANK('Capacity summary'!$H200:$BG200)&lt;52,IF('Capacity summary'!N200&lt;&gt;"",IF(LOWER('Capacity summary'!N200)="x",$BI81*N81,VALUE('Capacity summary'!N200)),0),N81*$BI81),N81*$BI81),0)</f>
        <v>0</v>
      </c>
      <c r="BR81" s="311">
        <f>IF($BI81&lt;&gt;"",IF('Capacity summary'!$D$14="Yes",IF(COUNTBLANK('Capacity summary'!$H200:$BG200)&lt;52,IF('Capacity summary'!O200&lt;&gt;"",IF(LOWER('Capacity summary'!O200)="x",$BI81*O81,VALUE('Capacity summary'!O200)),0),O81*$BI81),O81*$BI81),0)</f>
        <v>0</v>
      </c>
      <c r="BS81" s="311">
        <f>IF($BI81&lt;&gt;"",IF('Capacity summary'!$D$14="Yes",IF(COUNTBLANK('Capacity summary'!$H200:$BG200)&lt;52,IF('Capacity summary'!P200&lt;&gt;"",IF(LOWER('Capacity summary'!P200)="x",$BI81*P81,VALUE('Capacity summary'!P200)),0),P81*$BI81),P81*$BI81),0)</f>
        <v>0</v>
      </c>
      <c r="BT81" s="311">
        <f>IF($BI81&lt;&gt;"",IF('Capacity summary'!$D$14="Yes",IF(COUNTBLANK('Capacity summary'!$H200:$BG200)&lt;52,IF('Capacity summary'!Q200&lt;&gt;"",IF(LOWER('Capacity summary'!Q200)="x",$BI81*Q81,VALUE('Capacity summary'!Q200)),0),Q81*$BI81),Q81*$BI81),0)</f>
        <v>0</v>
      </c>
      <c r="BU81" s="311">
        <f>IF($BI81&lt;&gt;"",IF('Capacity summary'!$D$14="Yes",IF(COUNTBLANK('Capacity summary'!$H200:$BG200)&lt;52,IF('Capacity summary'!R200&lt;&gt;"",IF(LOWER('Capacity summary'!R200)="x",$BI81*R81,VALUE('Capacity summary'!R200)),0),R81*$BI81),R81*$BI81),0)</f>
        <v>0</v>
      </c>
      <c r="BV81" s="311">
        <f>IF($BI81&lt;&gt;"",IF('Capacity summary'!$D$14="Yes",IF(COUNTBLANK('Capacity summary'!$H200:$BG200)&lt;52,IF('Capacity summary'!S200&lt;&gt;"",IF(LOWER('Capacity summary'!S200)="x",$BI81*S81,VALUE('Capacity summary'!S200)),0),S81*$BI81),S81*$BI81),0)</f>
        <v>0</v>
      </c>
      <c r="BW81" s="311">
        <f>IF($BI81&lt;&gt;"",IF('Capacity summary'!$D$14="Yes",IF(COUNTBLANK('Capacity summary'!$H200:$BG200)&lt;52,IF('Capacity summary'!T200&lt;&gt;"",IF(LOWER('Capacity summary'!T200)="x",$BI81*T81,VALUE('Capacity summary'!T200)),0),T81*$BI81),T81*$BI81),0)</f>
        <v>0</v>
      </c>
      <c r="BX81" s="311">
        <f>IF($BI81&lt;&gt;"",IF('Capacity summary'!$D$14="Yes",IF(COUNTBLANK('Capacity summary'!$H200:$BG200)&lt;52,IF('Capacity summary'!U200&lt;&gt;"",IF(LOWER('Capacity summary'!U200)="x",$BI81*U81,VALUE('Capacity summary'!U200)),0),U81*$BI81),U81*$BI81),0)</f>
        <v>0</v>
      </c>
      <c r="BY81" s="311">
        <f>IF($BI81&lt;&gt;"",IF('Capacity summary'!$D$14="Yes",IF(COUNTBLANK('Capacity summary'!$H200:$BG200)&lt;52,IF('Capacity summary'!V200&lt;&gt;"",IF(LOWER('Capacity summary'!V200)="x",$BI81*V81,VALUE('Capacity summary'!V200)),0),V81*$BI81),V81*$BI81),0)</f>
        <v>0</v>
      </c>
      <c r="BZ81" s="311">
        <f>IF($BI81&lt;&gt;"",IF('Capacity summary'!$D$14="Yes",IF(COUNTBLANK('Capacity summary'!$H200:$BG200)&lt;52,IF('Capacity summary'!W200&lt;&gt;"",IF(LOWER('Capacity summary'!W200)="x",$BI81*W81,VALUE('Capacity summary'!W200)),0),W81*$BI81),W81*$BI81),0)</f>
        <v>0</v>
      </c>
      <c r="CA81" s="311">
        <f>IF($BI81&lt;&gt;"",IF('Capacity summary'!$D$14="Yes",IF(COUNTBLANK('Capacity summary'!$H200:$BG200)&lt;52,IF('Capacity summary'!X200&lt;&gt;"",IF(LOWER('Capacity summary'!X200)="x",$BI81*X81,VALUE('Capacity summary'!X200)),0),X81*$BI81),X81*$BI81),0)</f>
        <v>0</v>
      </c>
      <c r="CB81" s="311">
        <f>IF($BI81&lt;&gt;"",IF('Capacity summary'!$D$14="Yes",IF(COUNTBLANK('Capacity summary'!$H200:$BG200)&lt;52,IF('Capacity summary'!Y200&lt;&gt;"",IF(LOWER('Capacity summary'!Y200)="x",$BI81*Y81,VALUE('Capacity summary'!Y200)),0),Y81*$BI81),Y81*$BI81),0)</f>
        <v>0</v>
      </c>
      <c r="CC81" s="311">
        <f>IF($BI81&lt;&gt;"",IF('Capacity summary'!$D$14="Yes",IF(COUNTBLANK('Capacity summary'!$H200:$BG200)&lt;52,IF('Capacity summary'!Z200&lt;&gt;"",IF(LOWER('Capacity summary'!Z200)="x",$BI81*Z81,VALUE('Capacity summary'!Z200)),0),Z81*$BI81),Z81*$BI81),0)</f>
        <v>0</v>
      </c>
      <c r="CD81" s="311">
        <f>IF($BI81&lt;&gt;"",IF('Capacity summary'!$D$14="Yes",IF(COUNTBLANK('Capacity summary'!$H200:$BG200)&lt;52,IF('Capacity summary'!AA200&lt;&gt;"",IF(LOWER('Capacity summary'!AA200)="x",$BI81*AA81,VALUE('Capacity summary'!AA200)),0),AA81*$BI81),AA81*$BI81),0)</f>
        <v>0</v>
      </c>
      <c r="CE81" s="311">
        <f>IF($BI81&lt;&gt;"",IF('Capacity summary'!$D$14="Yes",IF(COUNTBLANK('Capacity summary'!$H200:$BG200)&lt;52,IF('Capacity summary'!AB200&lt;&gt;"",IF(LOWER('Capacity summary'!AB200)="x",$BI81*AB81,VALUE('Capacity summary'!AB200)),0),AB81*$BI81),AB81*$BI81),0)</f>
        <v>0</v>
      </c>
      <c r="CF81" s="311">
        <f>IF($BI81&lt;&gt;"",IF('Capacity summary'!$D$14="Yes",IF(COUNTBLANK('Capacity summary'!$H200:$BG200)&lt;52,IF('Capacity summary'!AC200&lt;&gt;"",IF(LOWER('Capacity summary'!AC200)="x",$BI81*AC81,VALUE('Capacity summary'!AC200)),0),AC81*$BI81),AC81*$BI81),0)</f>
        <v>0</v>
      </c>
      <c r="CG81" s="311">
        <f>IF($BI81&lt;&gt;"",IF('Capacity summary'!$D$14="Yes",IF(COUNTBLANK('Capacity summary'!$H200:$BG200)&lt;52,IF('Capacity summary'!AD200&lt;&gt;"",IF(LOWER('Capacity summary'!AD200)="x",$BI81*AD81,VALUE('Capacity summary'!AD200)),0),AD81*$BI81),AD81*$BI81),0)</f>
        <v>0</v>
      </c>
      <c r="CH81" s="311">
        <f>IF($BI81&lt;&gt;"",IF('Capacity summary'!$D$14="Yes",IF(COUNTBLANK('Capacity summary'!$H200:$BG200)&lt;52,IF('Capacity summary'!AE200&lt;&gt;"",IF(LOWER('Capacity summary'!AE200)="x",$BI81*AE81,VALUE('Capacity summary'!AE200)),0),AE81*$BI81),AE81*$BI81),0)</f>
        <v>0</v>
      </c>
      <c r="CI81" s="311">
        <f>IF($BI81&lt;&gt;"",IF('Capacity summary'!$D$14="Yes",IF(COUNTBLANK('Capacity summary'!$H200:$BG200)&lt;52,IF('Capacity summary'!AF200&lt;&gt;"",IF(LOWER('Capacity summary'!AF200)="x",$BI81*AF81,VALUE('Capacity summary'!AF200)),0),AF81*$BI81),AF81*$BI81),0)</f>
        <v>0</v>
      </c>
      <c r="CJ81" s="311">
        <f>IF($BI81&lt;&gt;"",IF('Capacity summary'!$D$14="Yes",IF(COUNTBLANK('Capacity summary'!$H200:$BG200)&lt;52,IF('Capacity summary'!AG200&lt;&gt;"",IF(LOWER('Capacity summary'!AG200)="x",$BI81*AG81,VALUE('Capacity summary'!AG200)),0),AG81*$BI81),AG81*$BI81),0)</f>
        <v>0</v>
      </c>
      <c r="CK81" s="311">
        <f>IF($BI81&lt;&gt;"",IF('Capacity summary'!$D$14="Yes",IF(COUNTBLANK('Capacity summary'!$H200:$BG200)&lt;52,IF('Capacity summary'!AH200&lt;&gt;"",IF(LOWER('Capacity summary'!AH200)="x",$BI81*AH81,VALUE('Capacity summary'!AH200)),0),AH81*$BI81),AH81*$BI81),0)</f>
        <v>0</v>
      </c>
      <c r="CL81" s="311">
        <f>IF($BI81&lt;&gt;"",IF('Capacity summary'!$D$14="Yes",IF(COUNTBLANK('Capacity summary'!$H200:$BG200)&lt;52,IF('Capacity summary'!AI200&lt;&gt;"",IF(LOWER('Capacity summary'!AI200)="x",$BI81*AI81,VALUE('Capacity summary'!AI200)),0),AI81*$BI81),AI81*$BI81),0)</f>
        <v>0</v>
      </c>
      <c r="CM81" s="311">
        <f>IF($BI81&lt;&gt;"",IF('Capacity summary'!$D$14="Yes",IF(COUNTBLANK('Capacity summary'!$H200:$BG200)&lt;52,IF('Capacity summary'!AJ200&lt;&gt;"",IF(LOWER('Capacity summary'!AJ200)="x",$BI81*AJ81,VALUE('Capacity summary'!AJ200)),0),AJ81*$BI81),AJ81*$BI81),0)</f>
        <v>0</v>
      </c>
      <c r="CN81" s="311">
        <f>IF($BI81&lt;&gt;"",IF('Capacity summary'!$D$14="Yes",IF(COUNTBLANK('Capacity summary'!$H200:$BG200)&lt;52,IF('Capacity summary'!AK200&lt;&gt;"",IF(LOWER('Capacity summary'!AK200)="x",$BI81*AK81,VALUE('Capacity summary'!AK200)),0),AK81*$BI81),AK81*$BI81),0)</f>
        <v>0</v>
      </c>
      <c r="CO81" s="311">
        <f>IF($BI81&lt;&gt;"",IF('Capacity summary'!$D$14="Yes",IF(COUNTBLANK('Capacity summary'!$H200:$BG200)&lt;52,IF('Capacity summary'!AL200&lt;&gt;"",IF(LOWER('Capacity summary'!AL200)="x",$BI81*AL81,VALUE('Capacity summary'!AL200)),0),AL81*$BI81),AL81*$BI81),0)</f>
        <v>0</v>
      </c>
      <c r="CP81" s="311">
        <f>IF($BI81&lt;&gt;"",IF('Capacity summary'!$D$14="Yes",IF(COUNTBLANK('Capacity summary'!$H200:$BG200)&lt;52,IF('Capacity summary'!AM200&lt;&gt;"",IF(LOWER('Capacity summary'!AM200)="x",$BI81*AM81,VALUE('Capacity summary'!AM200)),0),AM81*$BI81),AM81*$BI81),0)</f>
        <v>0</v>
      </c>
      <c r="CQ81" s="311">
        <f>IF($BI81&lt;&gt;"",IF('Capacity summary'!$D$14="Yes",IF(COUNTBLANK('Capacity summary'!$H200:$BG200)&lt;52,IF('Capacity summary'!AN200&lt;&gt;"",IF(LOWER('Capacity summary'!AN200)="x",$BI81*AN81,VALUE('Capacity summary'!AN200)),0),AN81*$BI81),AN81*$BI81),0)</f>
        <v>0</v>
      </c>
      <c r="CR81" s="311">
        <f>IF($BI81&lt;&gt;"",IF('Capacity summary'!$D$14="Yes",IF(COUNTBLANK('Capacity summary'!$H200:$BG200)&lt;52,IF('Capacity summary'!AO200&lt;&gt;"",IF(LOWER('Capacity summary'!AO200)="x",$BI81*AO81,VALUE('Capacity summary'!AO200)),0),AO81*$BI81),AO81*$BI81),0)</f>
        <v>0</v>
      </c>
      <c r="CS81" s="311">
        <f>IF($BI81&lt;&gt;"",IF('Capacity summary'!$D$14="Yes",IF(COUNTBLANK('Capacity summary'!$H200:$BG200)&lt;52,IF('Capacity summary'!AP200&lt;&gt;"",IF(LOWER('Capacity summary'!AP200)="x",$BI81*AP81,VALUE('Capacity summary'!AP200)),0),AP81*$BI81),AP81*$BI81),0)</f>
        <v>0</v>
      </c>
      <c r="CT81" s="311">
        <f>IF($BI81&lt;&gt;"",IF('Capacity summary'!$D$14="Yes",IF(COUNTBLANK('Capacity summary'!$H200:$BG200)&lt;52,IF('Capacity summary'!AQ200&lt;&gt;"",IF(LOWER('Capacity summary'!AQ200)="x",$BI81*AQ81,VALUE('Capacity summary'!AQ200)),0),AQ81*$BI81),AQ81*$BI81),0)</f>
        <v>0</v>
      </c>
      <c r="CU81" s="311">
        <f>IF($BI81&lt;&gt;"",IF('Capacity summary'!$D$14="Yes",IF(COUNTBLANK('Capacity summary'!$H200:$BG200)&lt;52,IF('Capacity summary'!AR200&lt;&gt;"",IF(LOWER('Capacity summary'!AR200)="x",$BI81*AR81,VALUE('Capacity summary'!AR200)),0),AR81*$BI81),AR81*$BI81),0)</f>
        <v>0</v>
      </c>
      <c r="CV81" s="311">
        <f>IF($BI81&lt;&gt;"",IF('Capacity summary'!$D$14="Yes",IF(COUNTBLANK('Capacity summary'!$H200:$BG200)&lt;52,IF('Capacity summary'!AS200&lt;&gt;"",IF(LOWER('Capacity summary'!AS200)="x",$BI81*AS81,VALUE('Capacity summary'!AS200)),0),AS81*$BI81),AS81*$BI81),0)</f>
        <v>0</v>
      </c>
      <c r="CW81" s="311">
        <f>IF($BI81&lt;&gt;"",IF('Capacity summary'!$D$14="Yes",IF(COUNTBLANK('Capacity summary'!$H200:$BG200)&lt;52,IF('Capacity summary'!AT200&lt;&gt;"",IF(LOWER('Capacity summary'!AT200)="x",$BI81*AT81,VALUE('Capacity summary'!AT200)),0),AT81*$BI81),AT81*$BI81),0)</f>
        <v>0</v>
      </c>
      <c r="CX81" s="311">
        <f>IF($BI81&lt;&gt;"",IF('Capacity summary'!$D$14="Yes",IF(COUNTBLANK('Capacity summary'!$H200:$BG200)&lt;52,IF('Capacity summary'!AU200&lt;&gt;"",IF(LOWER('Capacity summary'!AU200)="x",$BI81*AU81,VALUE('Capacity summary'!AU200)),0),AU81*$BI81),AU81*$BI81),0)</f>
        <v>0</v>
      </c>
      <c r="CY81" s="311">
        <f>IF($BI81&lt;&gt;"",IF('Capacity summary'!$D$14="Yes",IF(COUNTBLANK('Capacity summary'!$H200:$BG200)&lt;52,IF('Capacity summary'!AV200&lt;&gt;"",IF(LOWER('Capacity summary'!AV200)="x",$BI81*AV81,VALUE('Capacity summary'!AV200)),0),AV81*$BI81),AV81*$BI81),0)</f>
        <v>0</v>
      </c>
      <c r="CZ81" s="311">
        <f>IF($BI81&lt;&gt;"",IF('Capacity summary'!$D$14="Yes",IF(COUNTBLANK('Capacity summary'!$H200:$BG200)&lt;52,IF('Capacity summary'!AW200&lt;&gt;"",IF(LOWER('Capacity summary'!AW200)="x",$BI81*AW81,VALUE('Capacity summary'!AW200)),0),AW81*$BI81),AW81*$BI81),0)</f>
        <v>0</v>
      </c>
      <c r="DA81" s="311">
        <f>IF($BI81&lt;&gt;"",IF('Capacity summary'!$D$14="Yes",IF(COUNTBLANK('Capacity summary'!$H200:$BG200)&lt;52,IF('Capacity summary'!AX200&lt;&gt;"",IF(LOWER('Capacity summary'!AX200)="x",$BI81*AX81,VALUE('Capacity summary'!AX200)),0),AX81*$BI81),AX81*$BI81),0)</f>
        <v>0</v>
      </c>
      <c r="DB81" s="311">
        <f>IF($BI81&lt;&gt;"",IF('Capacity summary'!$D$14="Yes",IF(COUNTBLANK('Capacity summary'!$H200:$BG200)&lt;52,IF('Capacity summary'!AY200&lt;&gt;"",IF(LOWER('Capacity summary'!AY200)="x",$BI81*AY81,VALUE('Capacity summary'!AY200)),0),AY81*$BI81),AY81*$BI81),0)</f>
        <v>0</v>
      </c>
      <c r="DC81" s="311">
        <f>IF($BI81&lt;&gt;"",IF('Capacity summary'!$D$14="Yes",IF(COUNTBLANK('Capacity summary'!$H200:$BG200)&lt;52,IF('Capacity summary'!AZ200&lt;&gt;"",IF(LOWER('Capacity summary'!AZ200)="x",$BI81*AZ81,VALUE('Capacity summary'!AZ200)),0),AZ81*$BI81),AZ81*$BI81),0)</f>
        <v>0</v>
      </c>
      <c r="DD81" s="311">
        <f>IF($BI81&lt;&gt;"",IF('Capacity summary'!$D$14="Yes",IF(COUNTBLANK('Capacity summary'!$H200:$BG200)&lt;52,IF('Capacity summary'!BA200&lt;&gt;"",IF(LOWER('Capacity summary'!BA200)="x",$BI81*BA81,VALUE('Capacity summary'!BA200)),0),BA81*$BI81),BA81*$BI81),0)</f>
        <v>0</v>
      </c>
      <c r="DE81" s="311">
        <f>IF($BI81&lt;&gt;"",IF('Capacity summary'!$D$14="Yes",IF(COUNTBLANK('Capacity summary'!$H200:$BG200)&lt;52,IF('Capacity summary'!BB200&lt;&gt;"",IF(LOWER('Capacity summary'!BB200)="x",$BI81*BB81,VALUE('Capacity summary'!BB200)),0),BB81*$BI81),BB81*$BI81),0)</f>
        <v>0</v>
      </c>
      <c r="DF81" s="311">
        <f>IF($BI81&lt;&gt;"",IF('Capacity summary'!$D$14="Yes",IF(COUNTBLANK('Capacity summary'!$H200:$BG200)&lt;52,IF('Capacity summary'!BC200&lt;&gt;"",IF(LOWER('Capacity summary'!BC200)="x",$BI81*BC81,VALUE('Capacity summary'!BC200)),0),BC81*$BI81),BC81*$BI81),0)</f>
        <v>0</v>
      </c>
      <c r="DG81" s="311">
        <f>IF($BI81&lt;&gt;"",IF('Capacity summary'!$D$14="Yes",IF(COUNTBLANK('Capacity summary'!$H200:$BG200)&lt;52,IF('Capacity summary'!BD200&lt;&gt;"",IF(LOWER('Capacity summary'!BD200)="x",$BI81*BD81,VALUE('Capacity summary'!BD200)),0),BD81*$BI81),BD81*$BI81),0)</f>
        <v>0</v>
      </c>
      <c r="DH81" s="311">
        <f>IF($BI81&lt;&gt;"",IF('Capacity summary'!$D$14="Yes",IF(COUNTBLANK('Capacity summary'!$H200:$BG200)&lt;52,IF('Capacity summary'!BE200&lt;&gt;"",IF(LOWER('Capacity summary'!BE200)="x",$BI81*BE81,VALUE('Capacity summary'!BE200)),0),BE81*$BI81),BE81*$BI81),0)</f>
        <v>0</v>
      </c>
      <c r="DI81" s="311">
        <f>IF($BI81&lt;&gt;"",IF('Capacity summary'!$D$14="Yes",IF(COUNTBLANK('Capacity summary'!$H200:$BG200)&lt;52,IF('Capacity summary'!BF200&lt;&gt;"",IF(LOWER('Capacity summary'!BF200)="x",$BI81*BF81,VALUE('Capacity summary'!BF200)),0),BF81*$BI81),BF81*$BI81),0)</f>
        <v>0</v>
      </c>
      <c r="DJ81" s="311">
        <f>IF($BI81&lt;&gt;"",IF('Capacity summary'!$D$14="Yes",IF(COUNTBLANK('Capacity summary'!$H200:$BG200)&lt;52,IF('Capacity summary'!BG200&lt;&gt;"",IF(LOWER('Capacity summary'!BG200)="x",$BI81*BG81,VALUE('Capacity summary'!BG200)),0),BG81*$BI81),BG81*$BI81),0)</f>
        <v>0</v>
      </c>
      <c r="DK81" s="391">
        <f t="shared" si="4"/>
        <v>0</v>
      </c>
      <c r="DL81" s="136">
        <f t="shared" si="5"/>
        <v>0</v>
      </c>
      <c r="DM81" s="311" t="str">
        <f>Capacity!H93</f>
        <v/>
      </c>
    </row>
    <row r="82" spans="1:117" x14ac:dyDescent="0.2">
      <c r="A82" s="67">
        <f>IF(Capacity!L94='Capacity summary'!BI201,1,0)</f>
        <v>1</v>
      </c>
      <c r="B82" s="67">
        <f>IF(Capacity!V94='Capacity summary'!BI101,1,0)</f>
        <v>1</v>
      </c>
      <c r="C82" s="67" t="str">
        <f>ROW(A78)&amp;". "&amp;Capacity!B94</f>
        <v xml:space="preserve">78. </v>
      </c>
      <c r="D82" s="67">
        <f>'Capacity setup'!C89</f>
        <v>0</v>
      </c>
      <c r="E82" s="67">
        <f>'Capacity setup'!D89</f>
        <v>0</v>
      </c>
      <c r="F82" s="67">
        <f>'Capacity setup'!E89</f>
        <v>0</v>
      </c>
      <c r="H82" s="67">
        <f ca="1">IF(LOWER(Capacity!$L94)="x",IF(AND(SUMIF(Capacity_Resource,$D82,'Critical resources (hide)'!U$6:U$105)+SUMIF(Capacity_Resource,$E82,'Critical resources (hide)'!U$6:U$105)+SUMIF(Capacity_Resource,$F82,'Critical resources (hide)'!U$6:U$105)&gt;0,$E$1=2),0,1),0)</f>
        <v>1</v>
      </c>
      <c r="I82" s="67">
        <f ca="1">IF(LOWER(Capacity!$L94)="x",IF(AND(SUMIF(Capacity_Resource,$D82,'Critical resources (hide)'!V$6:V$105)+SUMIF(Capacity_Resource,$E82,'Critical resources (hide)'!V$6:V$105)+SUMIF(Capacity_Resource,$F82,'Critical resources (hide)'!V$6:V$105)&gt;0,$E$1=2),0,1),0)</f>
        <v>1</v>
      </c>
      <c r="J82" s="67">
        <f ca="1">IF(LOWER(Capacity!$L94)="x",IF(AND(SUMIF(Capacity_Resource,$D82,'Critical resources (hide)'!W$6:W$105)+SUMIF(Capacity_Resource,$E82,'Critical resources (hide)'!W$6:W$105)+SUMIF(Capacity_Resource,$F82,'Critical resources (hide)'!W$6:W$105)&gt;0,$E$1=2),0,1),0)</f>
        <v>1</v>
      </c>
      <c r="K82" s="67">
        <f ca="1">IF(LOWER(Capacity!$L94)="x",IF(AND(SUMIF(Capacity_Resource,$D82,'Critical resources (hide)'!X$6:X$105)+SUMIF(Capacity_Resource,$E82,'Critical resources (hide)'!X$6:X$105)+SUMIF(Capacity_Resource,$F82,'Critical resources (hide)'!X$6:X$105)&gt;0,$E$1=2),0,1),0)</f>
        <v>1</v>
      </c>
      <c r="L82" s="67">
        <f ca="1">IF(LOWER(Capacity!$L94)="x",IF(AND(SUMIF(Capacity_Resource,$D82,'Critical resources (hide)'!Y$6:Y$105)+SUMIF(Capacity_Resource,$E82,'Critical resources (hide)'!Y$6:Y$105)+SUMIF(Capacity_Resource,$F82,'Critical resources (hide)'!Y$6:Y$105)&gt;0,$E$1=2),0,1),0)</f>
        <v>1</v>
      </c>
      <c r="M82" s="67">
        <f ca="1">IF(LOWER(Capacity!$L94)="x",IF(AND(SUMIF(Capacity_Resource,$D82,'Critical resources (hide)'!Z$6:Z$105)+SUMIF(Capacity_Resource,$E82,'Critical resources (hide)'!Z$6:Z$105)+SUMIF(Capacity_Resource,$F82,'Critical resources (hide)'!Z$6:Z$105)&gt;0,$E$1=2),0,1),0)</f>
        <v>1</v>
      </c>
      <c r="N82" s="67">
        <f ca="1">IF(LOWER(Capacity!$L94)="x",IF(AND(SUMIF(Capacity_Resource,$D82,'Critical resources (hide)'!AA$6:AA$105)+SUMIF(Capacity_Resource,$E82,'Critical resources (hide)'!AA$6:AA$105)+SUMIF(Capacity_Resource,$F82,'Critical resources (hide)'!AA$6:AA$105)&gt;0,$E$1=2),0,1),0)</f>
        <v>1</v>
      </c>
      <c r="O82" s="67">
        <f ca="1">IF(LOWER(Capacity!$L94)="x",IF(AND(SUMIF(Capacity_Resource,$D82,'Critical resources (hide)'!AB$6:AB$105)+SUMIF(Capacity_Resource,$E82,'Critical resources (hide)'!AB$6:AB$105)+SUMIF(Capacity_Resource,$F82,'Critical resources (hide)'!AB$6:AB$105)&gt;0,$E$1=2),0,1),0)</f>
        <v>1</v>
      </c>
      <c r="P82" s="67">
        <f ca="1">IF(LOWER(Capacity!$L94)="x",IF(AND(SUMIF(Capacity_Resource,$D82,'Critical resources (hide)'!AC$6:AC$105)+SUMIF(Capacity_Resource,$E82,'Critical resources (hide)'!AC$6:AC$105)+SUMIF(Capacity_Resource,$F82,'Critical resources (hide)'!AC$6:AC$105)&gt;0,$E$1=2),0,1),0)</f>
        <v>1</v>
      </c>
      <c r="Q82" s="67">
        <f ca="1">IF(LOWER(Capacity!$L94)="x",IF(AND(SUMIF(Capacity_Resource,$D82,'Critical resources (hide)'!AD$6:AD$105)+SUMIF(Capacity_Resource,$E82,'Critical resources (hide)'!AD$6:AD$105)+SUMIF(Capacity_Resource,$F82,'Critical resources (hide)'!AD$6:AD$105)&gt;0,$E$1=2),0,1),0)</f>
        <v>1</v>
      </c>
      <c r="R82" s="67">
        <f ca="1">IF(LOWER(Capacity!$L94)="x",IF(AND(SUMIF(Capacity_Resource,$D82,'Critical resources (hide)'!AE$6:AE$105)+SUMIF(Capacity_Resource,$E82,'Critical resources (hide)'!AE$6:AE$105)+SUMIF(Capacity_Resource,$F82,'Critical resources (hide)'!AE$6:AE$105)&gt;0,$E$1=2),0,1),0)</f>
        <v>1</v>
      </c>
      <c r="S82" s="67">
        <f ca="1">IF(LOWER(Capacity!$L94)="x",IF(AND(SUMIF(Capacity_Resource,$D82,'Critical resources (hide)'!AF$6:AF$105)+SUMIF(Capacity_Resource,$E82,'Critical resources (hide)'!AF$6:AF$105)+SUMIF(Capacity_Resource,$F82,'Critical resources (hide)'!AF$6:AF$105)&gt;0,$E$1=2),0,1),0)</f>
        <v>1</v>
      </c>
      <c r="T82" s="67">
        <f ca="1">IF(LOWER(Capacity!$L94)="x",IF(AND(SUMIF(Capacity_Resource,$D82,'Critical resources (hide)'!AG$6:AG$105)+SUMIF(Capacity_Resource,$E82,'Critical resources (hide)'!AG$6:AG$105)+SUMIF(Capacity_Resource,$F82,'Critical resources (hide)'!AG$6:AG$105)&gt;0,$E$1=2),0,1),0)</f>
        <v>1</v>
      </c>
      <c r="U82" s="67">
        <f ca="1">IF(LOWER(Capacity!$L94)="x",IF(AND(SUMIF(Capacity_Resource,$D82,'Critical resources (hide)'!AH$6:AH$105)+SUMIF(Capacity_Resource,$E82,'Critical resources (hide)'!AH$6:AH$105)+SUMIF(Capacity_Resource,$F82,'Critical resources (hide)'!AH$6:AH$105)&gt;0,$E$1=2),0,1),0)</f>
        <v>1</v>
      </c>
      <c r="V82" s="67">
        <f ca="1">IF(LOWER(Capacity!$L94)="x",IF(AND(SUMIF(Capacity_Resource,$D82,'Critical resources (hide)'!AI$6:AI$105)+SUMIF(Capacity_Resource,$E82,'Critical resources (hide)'!AI$6:AI$105)+SUMIF(Capacity_Resource,$F82,'Critical resources (hide)'!AI$6:AI$105)&gt;0,$E$1=2),0,1),0)</f>
        <v>1</v>
      </c>
      <c r="W82" s="67">
        <f ca="1">IF(LOWER(Capacity!$L94)="x",IF(AND(SUMIF(Capacity_Resource,$D82,'Critical resources (hide)'!AJ$6:AJ$105)+SUMIF(Capacity_Resource,$E82,'Critical resources (hide)'!AJ$6:AJ$105)+SUMIF(Capacity_Resource,$F82,'Critical resources (hide)'!AJ$6:AJ$105)&gt;0,$E$1=2),0,1),0)</f>
        <v>1</v>
      </c>
      <c r="X82" s="67">
        <f ca="1">IF(LOWER(Capacity!$L94)="x",IF(AND(SUMIF(Capacity_Resource,$D82,'Critical resources (hide)'!AK$6:AK$105)+SUMIF(Capacity_Resource,$E82,'Critical resources (hide)'!AK$6:AK$105)+SUMIF(Capacity_Resource,$F82,'Critical resources (hide)'!AK$6:AK$105)&gt;0,$E$1=2),0,1),0)</f>
        <v>1</v>
      </c>
      <c r="Y82" s="67">
        <f ca="1">IF(LOWER(Capacity!$L94)="x",IF(AND(SUMIF(Capacity_Resource,$D82,'Critical resources (hide)'!AL$6:AL$105)+SUMIF(Capacity_Resource,$E82,'Critical resources (hide)'!AL$6:AL$105)+SUMIF(Capacity_Resource,$F82,'Critical resources (hide)'!AL$6:AL$105)&gt;0,$E$1=2),0,1),0)</f>
        <v>1</v>
      </c>
      <c r="Z82" s="67">
        <f ca="1">IF(LOWER(Capacity!$L94)="x",IF(AND(SUMIF(Capacity_Resource,$D82,'Critical resources (hide)'!AM$6:AM$105)+SUMIF(Capacity_Resource,$E82,'Critical resources (hide)'!AM$6:AM$105)+SUMIF(Capacity_Resource,$F82,'Critical resources (hide)'!AM$6:AM$105)&gt;0,$E$1=2),0,1),0)</f>
        <v>1</v>
      </c>
      <c r="AA82" s="67">
        <f ca="1">IF(LOWER(Capacity!$L94)="x",IF(AND(SUMIF(Capacity_Resource,$D82,'Critical resources (hide)'!AN$6:AN$105)+SUMIF(Capacity_Resource,$E82,'Critical resources (hide)'!AN$6:AN$105)+SUMIF(Capacity_Resource,$F82,'Critical resources (hide)'!AN$6:AN$105)&gt;0,$E$1=2),0,1),0)</f>
        <v>1</v>
      </c>
      <c r="AB82" s="67">
        <f ca="1">IF(LOWER(Capacity!$L94)="x",IF(AND(SUMIF(Capacity_Resource,$D82,'Critical resources (hide)'!AO$6:AO$105)+SUMIF(Capacity_Resource,$E82,'Critical resources (hide)'!AO$6:AO$105)+SUMIF(Capacity_Resource,$F82,'Critical resources (hide)'!AO$6:AO$105)&gt;0,$E$1=2),0,1),0)</f>
        <v>1</v>
      </c>
      <c r="AC82" s="67">
        <f ca="1">IF(LOWER(Capacity!$L94)="x",IF(AND(SUMIF(Capacity_Resource,$D82,'Critical resources (hide)'!AP$6:AP$105)+SUMIF(Capacity_Resource,$E82,'Critical resources (hide)'!AP$6:AP$105)+SUMIF(Capacity_Resource,$F82,'Critical resources (hide)'!AP$6:AP$105)&gt;0,$E$1=2),0,1),0)</f>
        <v>1</v>
      </c>
      <c r="AD82" s="67">
        <f ca="1">IF(LOWER(Capacity!$L94)="x",IF(AND(SUMIF(Capacity_Resource,$D82,'Critical resources (hide)'!AQ$6:AQ$105)+SUMIF(Capacity_Resource,$E82,'Critical resources (hide)'!AQ$6:AQ$105)+SUMIF(Capacity_Resource,$F82,'Critical resources (hide)'!AQ$6:AQ$105)&gt;0,$E$1=2),0,1),0)</f>
        <v>1</v>
      </c>
      <c r="AE82" s="67">
        <f ca="1">IF(LOWER(Capacity!$L94)="x",IF(AND(SUMIF(Capacity_Resource,$D82,'Critical resources (hide)'!AR$6:AR$105)+SUMIF(Capacity_Resource,$E82,'Critical resources (hide)'!AR$6:AR$105)+SUMIF(Capacity_Resource,$F82,'Critical resources (hide)'!AR$6:AR$105)&gt;0,$E$1=2),0,1),0)</f>
        <v>1</v>
      </c>
      <c r="AF82" s="67">
        <f ca="1">IF(LOWER(Capacity!$L94)="x",IF(AND(SUMIF(Capacity_Resource,$D82,'Critical resources (hide)'!AS$6:AS$105)+SUMIF(Capacity_Resource,$E82,'Critical resources (hide)'!AS$6:AS$105)+SUMIF(Capacity_Resource,$F82,'Critical resources (hide)'!AS$6:AS$105)&gt;0,$E$1=2),0,1),0)</f>
        <v>1</v>
      </c>
      <c r="AG82" s="67">
        <f ca="1">IF(LOWER(Capacity!$L94)="x",IF(AND(SUMIF(Capacity_Resource,$D82,'Critical resources (hide)'!AT$6:AT$105)+SUMIF(Capacity_Resource,$E82,'Critical resources (hide)'!AT$6:AT$105)+SUMIF(Capacity_Resource,$F82,'Critical resources (hide)'!AT$6:AT$105)&gt;0,$E$1=2),0,1),0)</f>
        <v>1</v>
      </c>
      <c r="AH82" s="67">
        <f ca="1">IF(LOWER(Capacity!$L94)="x",IF(AND(SUMIF(Capacity_Resource,$D82,'Critical resources (hide)'!AU$6:AU$105)+SUMIF(Capacity_Resource,$E82,'Critical resources (hide)'!AU$6:AU$105)+SUMIF(Capacity_Resource,$F82,'Critical resources (hide)'!AU$6:AU$105)&gt;0,$E$1=2),0,1),0)</f>
        <v>1</v>
      </c>
      <c r="AI82" s="67">
        <f ca="1">IF(LOWER(Capacity!$L94)="x",IF(AND(SUMIF(Capacity_Resource,$D82,'Critical resources (hide)'!AV$6:AV$105)+SUMIF(Capacity_Resource,$E82,'Critical resources (hide)'!AV$6:AV$105)+SUMIF(Capacity_Resource,$F82,'Critical resources (hide)'!AV$6:AV$105)&gt;0,$E$1=2),0,1),0)</f>
        <v>1</v>
      </c>
      <c r="AJ82" s="67">
        <f ca="1">IF(LOWER(Capacity!$L94)="x",IF(AND(SUMIF(Capacity_Resource,$D82,'Critical resources (hide)'!AW$6:AW$105)+SUMIF(Capacity_Resource,$E82,'Critical resources (hide)'!AW$6:AW$105)+SUMIF(Capacity_Resource,$F82,'Critical resources (hide)'!AW$6:AW$105)&gt;0,$E$1=2),0,1),0)</f>
        <v>1</v>
      </c>
      <c r="AK82" s="67">
        <f ca="1">IF(LOWER(Capacity!$L94)="x",IF(AND(SUMIF(Capacity_Resource,$D82,'Critical resources (hide)'!AX$6:AX$105)+SUMIF(Capacity_Resource,$E82,'Critical resources (hide)'!AX$6:AX$105)+SUMIF(Capacity_Resource,$F82,'Critical resources (hide)'!AX$6:AX$105)&gt;0,$E$1=2),0,1),0)</f>
        <v>1</v>
      </c>
      <c r="AL82" s="67">
        <f ca="1">IF(LOWER(Capacity!$L94)="x",IF(AND(SUMIF(Capacity_Resource,$D82,'Critical resources (hide)'!AY$6:AY$105)+SUMIF(Capacity_Resource,$E82,'Critical resources (hide)'!AY$6:AY$105)+SUMIF(Capacity_Resource,$F82,'Critical resources (hide)'!AY$6:AY$105)&gt;0,$E$1=2),0,1),0)</f>
        <v>1</v>
      </c>
      <c r="AM82" s="67">
        <f ca="1">IF(LOWER(Capacity!$L94)="x",IF(AND(SUMIF(Capacity_Resource,$D82,'Critical resources (hide)'!AZ$6:AZ$105)+SUMIF(Capacity_Resource,$E82,'Critical resources (hide)'!AZ$6:AZ$105)+SUMIF(Capacity_Resource,$F82,'Critical resources (hide)'!AZ$6:AZ$105)&gt;0,$E$1=2),0,1),0)</f>
        <v>1</v>
      </c>
      <c r="AN82" s="67">
        <f ca="1">IF(LOWER(Capacity!$L94)="x",IF(AND(SUMIF(Capacity_Resource,$D82,'Critical resources (hide)'!BA$6:BA$105)+SUMIF(Capacity_Resource,$E82,'Critical resources (hide)'!BA$6:BA$105)+SUMIF(Capacity_Resource,$F82,'Critical resources (hide)'!BA$6:BA$105)&gt;0,$E$1=2),0,1),0)</f>
        <v>1</v>
      </c>
      <c r="AO82" s="67">
        <f ca="1">IF(LOWER(Capacity!$L94)="x",IF(AND(SUMIF(Capacity_Resource,$D82,'Critical resources (hide)'!BB$6:BB$105)+SUMIF(Capacity_Resource,$E82,'Critical resources (hide)'!BB$6:BB$105)+SUMIF(Capacity_Resource,$F82,'Critical resources (hide)'!BB$6:BB$105)&gt;0,$E$1=2),0,1),0)</f>
        <v>1</v>
      </c>
      <c r="AP82" s="67">
        <f ca="1">IF(LOWER(Capacity!$L94)="x",IF(AND(SUMIF(Capacity_Resource,$D82,'Critical resources (hide)'!BC$6:BC$105)+SUMIF(Capacity_Resource,$E82,'Critical resources (hide)'!BC$6:BC$105)+SUMIF(Capacity_Resource,$F82,'Critical resources (hide)'!BC$6:BC$105)&gt;0,$E$1=2),0,1),0)</f>
        <v>1</v>
      </c>
      <c r="AQ82" s="67">
        <f ca="1">IF(LOWER(Capacity!$L94)="x",IF(AND(SUMIF(Capacity_Resource,$D82,'Critical resources (hide)'!BD$6:BD$105)+SUMIF(Capacity_Resource,$E82,'Critical resources (hide)'!BD$6:BD$105)+SUMIF(Capacity_Resource,$F82,'Critical resources (hide)'!BD$6:BD$105)&gt;0,$E$1=2),0,1),0)</f>
        <v>1</v>
      </c>
      <c r="AR82" s="67">
        <f ca="1">IF(LOWER(Capacity!$L94)="x",IF(AND(SUMIF(Capacity_Resource,$D82,'Critical resources (hide)'!BE$6:BE$105)+SUMIF(Capacity_Resource,$E82,'Critical resources (hide)'!BE$6:BE$105)+SUMIF(Capacity_Resource,$F82,'Critical resources (hide)'!BE$6:BE$105)&gt;0,$E$1=2),0,1),0)</f>
        <v>1</v>
      </c>
      <c r="AS82" s="67">
        <f ca="1">IF(LOWER(Capacity!$L94)="x",IF(AND(SUMIF(Capacity_Resource,$D82,'Critical resources (hide)'!BF$6:BF$105)+SUMIF(Capacity_Resource,$E82,'Critical resources (hide)'!BF$6:BF$105)+SUMIF(Capacity_Resource,$F82,'Critical resources (hide)'!BF$6:BF$105)&gt;0,$E$1=2),0,1),0)</f>
        <v>1</v>
      </c>
      <c r="AT82" s="67">
        <f ca="1">IF(LOWER(Capacity!$L94)="x",IF(AND(SUMIF(Capacity_Resource,$D82,'Critical resources (hide)'!BG$6:BG$105)+SUMIF(Capacity_Resource,$E82,'Critical resources (hide)'!BG$6:BG$105)+SUMIF(Capacity_Resource,$F82,'Critical resources (hide)'!BG$6:BG$105)&gt;0,$E$1=2),0,1),0)</f>
        <v>1</v>
      </c>
      <c r="AU82" s="67">
        <f ca="1">IF(LOWER(Capacity!$L94)="x",IF(AND(SUMIF(Capacity_Resource,$D82,'Critical resources (hide)'!BH$6:BH$105)+SUMIF(Capacity_Resource,$E82,'Critical resources (hide)'!BH$6:BH$105)+SUMIF(Capacity_Resource,$F82,'Critical resources (hide)'!BH$6:BH$105)&gt;0,$E$1=2),0,1),0)</f>
        <v>1</v>
      </c>
      <c r="AV82" s="67">
        <f ca="1">IF(LOWER(Capacity!$L94)="x",IF(AND(SUMIF(Capacity_Resource,$D82,'Critical resources (hide)'!BI$6:BI$105)+SUMIF(Capacity_Resource,$E82,'Critical resources (hide)'!BI$6:BI$105)+SUMIF(Capacity_Resource,$F82,'Critical resources (hide)'!BI$6:BI$105)&gt;0,$E$1=2),0,1),0)</f>
        <v>1</v>
      </c>
      <c r="AW82" s="67">
        <f ca="1">IF(LOWER(Capacity!$L94)="x",IF(AND(SUMIF(Capacity_Resource,$D82,'Critical resources (hide)'!BJ$6:BJ$105)+SUMIF(Capacity_Resource,$E82,'Critical resources (hide)'!BJ$6:BJ$105)+SUMIF(Capacity_Resource,$F82,'Critical resources (hide)'!BJ$6:BJ$105)&gt;0,$E$1=2),0,1),0)</f>
        <v>1</v>
      </c>
      <c r="AX82" s="67">
        <f ca="1">IF(LOWER(Capacity!$L94)="x",IF(AND(SUMIF(Capacity_Resource,$D82,'Critical resources (hide)'!BK$6:BK$105)+SUMIF(Capacity_Resource,$E82,'Critical resources (hide)'!BK$6:BK$105)+SUMIF(Capacity_Resource,$F82,'Critical resources (hide)'!BK$6:BK$105)&gt;0,$E$1=2),0,1),0)</f>
        <v>1</v>
      </c>
      <c r="AY82" s="67">
        <f ca="1">IF(LOWER(Capacity!$L94)="x",IF(AND(SUMIF(Capacity_Resource,$D82,'Critical resources (hide)'!BL$6:BL$105)+SUMIF(Capacity_Resource,$E82,'Critical resources (hide)'!BL$6:BL$105)+SUMIF(Capacity_Resource,$F82,'Critical resources (hide)'!BL$6:BL$105)&gt;0,$E$1=2),0,1),0)</f>
        <v>1</v>
      </c>
      <c r="AZ82" s="67">
        <f ca="1">IF(LOWER(Capacity!$L94)="x",IF(AND(SUMIF(Capacity_Resource,$D82,'Critical resources (hide)'!BM$6:BM$105)+SUMIF(Capacity_Resource,$E82,'Critical resources (hide)'!BM$6:BM$105)+SUMIF(Capacity_Resource,$F82,'Critical resources (hide)'!BM$6:BM$105)&gt;0,$E$1=2),0,1),0)</f>
        <v>1</v>
      </c>
      <c r="BA82" s="67">
        <f ca="1">IF(LOWER(Capacity!$L94)="x",IF(AND(SUMIF(Capacity_Resource,$D82,'Critical resources (hide)'!BN$6:BN$105)+SUMIF(Capacity_Resource,$E82,'Critical resources (hide)'!BN$6:BN$105)+SUMIF(Capacity_Resource,$F82,'Critical resources (hide)'!BN$6:BN$105)&gt;0,$E$1=2),0,1),0)</f>
        <v>1</v>
      </c>
      <c r="BB82" s="67">
        <f ca="1">IF(LOWER(Capacity!$L94)="x",IF(AND(SUMIF(Capacity_Resource,$D82,'Critical resources (hide)'!BO$6:BO$105)+SUMIF(Capacity_Resource,$E82,'Critical resources (hide)'!BO$6:BO$105)+SUMIF(Capacity_Resource,$F82,'Critical resources (hide)'!BO$6:BO$105)&gt;0,$E$1=2),0,1),0)</f>
        <v>1</v>
      </c>
      <c r="BC82" s="67">
        <f ca="1">IF(LOWER(Capacity!$L94)="x",IF(AND(SUMIF(Capacity_Resource,$D82,'Critical resources (hide)'!BP$6:BP$105)+SUMIF(Capacity_Resource,$E82,'Critical resources (hide)'!BP$6:BP$105)+SUMIF(Capacity_Resource,$F82,'Critical resources (hide)'!BP$6:BP$105)&gt;0,$E$1=2),0,1),0)</f>
        <v>1</v>
      </c>
      <c r="BD82" s="67">
        <f ca="1">IF(LOWER(Capacity!$L94)="x",IF(AND(SUMIF(Capacity_Resource,$D82,'Critical resources (hide)'!BQ$6:BQ$105)+SUMIF(Capacity_Resource,$E82,'Critical resources (hide)'!BQ$6:BQ$105)+SUMIF(Capacity_Resource,$F82,'Critical resources (hide)'!BQ$6:BQ$105)&gt;0,$E$1=2),0,1),0)</f>
        <v>1</v>
      </c>
      <c r="BE82" s="67">
        <f ca="1">IF(LOWER(Capacity!$L94)="x",IF(AND(SUMIF(Capacity_Resource,$D82,'Critical resources (hide)'!BR$6:BR$105)+SUMIF(Capacity_Resource,$E82,'Critical resources (hide)'!BR$6:BR$105)+SUMIF(Capacity_Resource,$F82,'Critical resources (hide)'!BR$6:BR$105)&gt;0,$E$1=2),0,1),0)</f>
        <v>1</v>
      </c>
      <c r="BF82" s="67">
        <f ca="1">IF(LOWER(Capacity!$L94)="x",IF(AND(SUMIF(Capacity_Resource,$D82,'Critical resources (hide)'!BS$6:BS$105)+SUMIF(Capacity_Resource,$E82,'Critical resources (hide)'!BS$6:BS$105)+SUMIF(Capacity_Resource,$F82,'Critical resources (hide)'!BS$6:BS$105)&gt;0,$E$1=2),0,1),0)</f>
        <v>1</v>
      </c>
      <c r="BG82" s="67">
        <f ca="1">IF(LOWER(Capacity!$L94)="x",IF(AND(SUMIF(Capacity_Resource,$D82,'Critical resources (hide)'!BT$6:BT$105)+SUMIF(Capacity_Resource,$E82,'Critical resources (hide)'!BT$6:BT$105)+SUMIF(Capacity_Resource,$F82,'Critical resources (hide)'!BT$6:BT$105)&gt;0,$E$1=2),0,1),0)</f>
        <v>1</v>
      </c>
      <c r="BH82" s="67">
        <f>IF(ROW(C78)&lt;=Capacity!$A$16,IF('Capacity summary'!$D$14="No",SUM(H82:BG82),'Capacity summary'!$E201),0)</f>
        <v>0</v>
      </c>
      <c r="BI82" s="5" t="str">
        <f>IF(BH82&gt;0,IF(BH82&lt;Capacity!E94,Capacity!F94,Capacity!H94/'Capacity calculation (hide)'!BH82),"")</f>
        <v/>
      </c>
      <c r="BK82" s="311">
        <f>IF($BI82&lt;&gt;"",IF('Capacity summary'!$D$14="Yes",IF(COUNTBLANK('Capacity summary'!$H201:$BG201)&lt;52,IF('Capacity summary'!H201&lt;&gt;"",IF(LOWER('Capacity summary'!H201)="x",$BI82*H82,VALUE('Capacity summary'!H201)),0),H82*$BI82),H82*$BI82),0)</f>
        <v>0</v>
      </c>
      <c r="BL82" s="311">
        <f>IF($BI82&lt;&gt;"",IF('Capacity summary'!$D$14="Yes",IF(COUNTBLANK('Capacity summary'!$H201:$BG201)&lt;52,IF('Capacity summary'!I201&lt;&gt;"",IF(LOWER('Capacity summary'!I201)="x",$BI82*I82,VALUE('Capacity summary'!I201)),0),I82*$BI82),I82*$BI82),0)</f>
        <v>0</v>
      </c>
      <c r="BM82" s="311">
        <f>IF($BI82&lt;&gt;"",IF('Capacity summary'!$D$14="Yes",IF(COUNTBLANK('Capacity summary'!$H201:$BG201)&lt;52,IF('Capacity summary'!J201&lt;&gt;"",IF(LOWER('Capacity summary'!J201)="x",$BI82*J82,VALUE('Capacity summary'!J201)),0),J82*$BI82),J82*$BI82),0)</f>
        <v>0</v>
      </c>
      <c r="BN82" s="311">
        <f>IF($BI82&lt;&gt;"",IF('Capacity summary'!$D$14="Yes",IF(COUNTBLANK('Capacity summary'!$H201:$BG201)&lt;52,IF('Capacity summary'!K201&lt;&gt;"",IF(LOWER('Capacity summary'!K201)="x",$BI82*K82,VALUE('Capacity summary'!K201)),0),K82*$BI82),K82*$BI82),0)</f>
        <v>0</v>
      </c>
      <c r="BO82" s="311">
        <f>IF($BI82&lt;&gt;"",IF('Capacity summary'!$D$14="Yes",IF(COUNTBLANK('Capacity summary'!$H201:$BG201)&lt;52,IF('Capacity summary'!L201&lt;&gt;"",IF(LOWER('Capacity summary'!L201)="x",$BI82*L82,VALUE('Capacity summary'!L201)),0),L82*$BI82),L82*$BI82),0)</f>
        <v>0</v>
      </c>
      <c r="BP82" s="311">
        <f>IF($BI82&lt;&gt;"",IF('Capacity summary'!$D$14="Yes",IF(COUNTBLANK('Capacity summary'!$H201:$BG201)&lt;52,IF('Capacity summary'!M201&lt;&gt;"",IF(LOWER('Capacity summary'!M201)="x",$BI82*M82,VALUE('Capacity summary'!M201)),0),M82*$BI82),M82*$BI82),0)</f>
        <v>0</v>
      </c>
      <c r="BQ82" s="311">
        <f>IF($BI82&lt;&gt;"",IF('Capacity summary'!$D$14="Yes",IF(COUNTBLANK('Capacity summary'!$H201:$BG201)&lt;52,IF('Capacity summary'!N201&lt;&gt;"",IF(LOWER('Capacity summary'!N201)="x",$BI82*N82,VALUE('Capacity summary'!N201)),0),N82*$BI82),N82*$BI82),0)</f>
        <v>0</v>
      </c>
      <c r="BR82" s="311">
        <f>IF($BI82&lt;&gt;"",IF('Capacity summary'!$D$14="Yes",IF(COUNTBLANK('Capacity summary'!$H201:$BG201)&lt;52,IF('Capacity summary'!O201&lt;&gt;"",IF(LOWER('Capacity summary'!O201)="x",$BI82*O82,VALUE('Capacity summary'!O201)),0),O82*$BI82),O82*$BI82),0)</f>
        <v>0</v>
      </c>
      <c r="BS82" s="311">
        <f>IF($BI82&lt;&gt;"",IF('Capacity summary'!$D$14="Yes",IF(COUNTBLANK('Capacity summary'!$H201:$BG201)&lt;52,IF('Capacity summary'!P201&lt;&gt;"",IF(LOWER('Capacity summary'!P201)="x",$BI82*P82,VALUE('Capacity summary'!P201)),0),P82*$BI82),P82*$BI82),0)</f>
        <v>0</v>
      </c>
      <c r="BT82" s="311">
        <f>IF($BI82&lt;&gt;"",IF('Capacity summary'!$D$14="Yes",IF(COUNTBLANK('Capacity summary'!$H201:$BG201)&lt;52,IF('Capacity summary'!Q201&lt;&gt;"",IF(LOWER('Capacity summary'!Q201)="x",$BI82*Q82,VALUE('Capacity summary'!Q201)),0),Q82*$BI82),Q82*$BI82),0)</f>
        <v>0</v>
      </c>
      <c r="BU82" s="311">
        <f>IF($BI82&lt;&gt;"",IF('Capacity summary'!$D$14="Yes",IF(COUNTBLANK('Capacity summary'!$H201:$BG201)&lt;52,IF('Capacity summary'!R201&lt;&gt;"",IF(LOWER('Capacity summary'!R201)="x",$BI82*R82,VALUE('Capacity summary'!R201)),0),R82*$BI82),R82*$BI82),0)</f>
        <v>0</v>
      </c>
      <c r="BV82" s="311">
        <f>IF($BI82&lt;&gt;"",IF('Capacity summary'!$D$14="Yes",IF(COUNTBLANK('Capacity summary'!$H201:$BG201)&lt;52,IF('Capacity summary'!S201&lt;&gt;"",IF(LOWER('Capacity summary'!S201)="x",$BI82*S82,VALUE('Capacity summary'!S201)),0),S82*$BI82),S82*$BI82),0)</f>
        <v>0</v>
      </c>
      <c r="BW82" s="311">
        <f>IF($BI82&lt;&gt;"",IF('Capacity summary'!$D$14="Yes",IF(COUNTBLANK('Capacity summary'!$H201:$BG201)&lt;52,IF('Capacity summary'!T201&lt;&gt;"",IF(LOWER('Capacity summary'!T201)="x",$BI82*T82,VALUE('Capacity summary'!T201)),0),T82*$BI82),T82*$BI82),0)</f>
        <v>0</v>
      </c>
      <c r="BX82" s="311">
        <f>IF($BI82&lt;&gt;"",IF('Capacity summary'!$D$14="Yes",IF(COUNTBLANK('Capacity summary'!$H201:$BG201)&lt;52,IF('Capacity summary'!U201&lt;&gt;"",IF(LOWER('Capacity summary'!U201)="x",$BI82*U82,VALUE('Capacity summary'!U201)),0),U82*$BI82),U82*$BI82),0)</f>
        <v>0</v>
      </c>
      <c r="BY82" s="311">
        <f>IF($BI82&lt;&gt;"",IF('Capacity summary'!$D$14="Yes",IF(COUNTBLANK('Capacity summary'!$H201:$BG201)&lt;52,IF('Capacity summary'!V201&lt;&gt;"",IF(LOWER('Capacity summary'!V201)="x",$BI82*V82,VALUE('Capacity summary'!V201)),0),V82*$BI82),V82*$BI82),0)</f>
        <v>0</v>
      </c>
      <c r="BZ82" s="311">
        <f>IF($BI82&lt;&gt;"",IF('Capacity summary'!$D$14="Yes",IF(COUNTBLANK('Capacity summary'!$H201:$BG201)&lt;52,IF('Capacity summary'!W201&lt;&gt;"",IF(LOWER('Capacity summary'!W201)="x",$BI82*W82,VALUE('Capacity summary'!W201)),0),W82*$BI82),W82*$BI82),0)</f>
        <v>0</v>
      </c>
      <c r="CA82" s="311">
        <f>IF($BI82&lt;&gt;"",IF('Capacity summary'!$D$14="Yes",IF(COUNTBLANK('Capacity summary'!$H201:$BG201)&lt;52,IF('Capacity summary'!X201&lt;&gt;"",IF(LOWER('Capacity summary'!X201)="x",$BI82*X82,VALUE('Capacity summary'!X201)),0),X82*$BI82),X82*$BI82),0)</f>
        <v>0</v>
      </c>
      <c r="CB82" s="311">
        <f>IF($BI82&lt;&gt;"",IF('Capacity summary'!$D$14="Yes",IF(COUNTBLANK('Capacity summary'!$H201:$BG201)&lt;52,IF('Capacity summary'!Y201&lt;&gt;"",IF(LOWER('Capacity summary'!Y201)="x",$BI82*Y82,VALUE('Capacity summary'!Y201)),0),Y82*$BI82),Y82*$BI82),0)</f>
        <v>0</v>
      </c>
      <c r="CC82" s="311">
        <f>IF($BI82&lt;&gt;"",IF('Capacity summary'!$D$14="Yes",IF(COUNTBLANK('Capacity summary'!$H201:$BG201)&lt;52,IF('Capacity summary'!Z201&lt;&gt;"",IF(LOWER('Capacity summary'!Z201)="x",$BI82*Z82,VALUE('Capacity summary'!Z201)),0),Z82*$BI82),Z82*$BI82),0)</f>
        <v>0</v>
      </c>
      <c r="CD82" s="311">
        <f>IF($BI82&lt;&gt;"",IF('Capacity summary'!$D$14="Yes",IF(COUNTBLANK('Capacity summary'!$H201:$BG201)&lt;52,IF('Capacity summary'!AA201&lt;&gt;"",IF(LOWER('Capacity summary'!AA201)="x",$BI82*AA82,VALUE('Capacity summary'!AA201)),0),AA82*$BI82),AA82*$BI82),0)</f>
        <v>0</v>
      </c>
      <c r="CE82" s="311">
        <f>IF($BI82&lt;&gt;"",IF('Capacity summary'!$D$14="Yes",IF(COUNTBLANK('Capacity summary'!$H201:$BG201)&lt;52,IF('Capacity summary'!AB201&lt;&gt;"",IF(LOWER('Capacity summary'!AB201)="x",$BI82*AB82,VALUE('Capacity summary'!AB201)),0),AB82*$BI82),AB82*$BI82),0)</f>
        <v>0</v>
      </c>
      <c r="CF82" s="311">
        <f>IF($BI82&lt;&gt;"",IF('Capacity summary'!$D$14="Yes",IF(COUNTBLANK('Capacity summary'!$H201:$BG201)&lt;52,IF('Capacity summary'!AC201&lt;&gt;"",IF(LOWER('Capacity summary'!AC201)="x",$BI82*AC82,VALUE('Capacity summary'!AC201)),0),AC82*$BI82),AC82*$BI82),0)</f>
        <v>0</v>
      </c>
      <c r="CG82" s="311">
        <f>IF($BI82&lt;&gt;"",IF('Capacity summary'!$D$14="Yes",IF(COUNTBLANK('Capacity summary'!$H201:$BG201)&lt;52,IF('Capacity summary'!AD201&lt;&gt;"",IF(LOWER('Capacity summary'!AD201)="x",$BI82*AD82,VALUE('Capacity summary'!AD201)),0),AD82*$BI82),AD82*$BI82),0)</f>
        <v>0</v>
      </c>
      <c r="CH82" s="311">
        <f>IF($BI82&lt;&gt;"",IF('Capacity summary'!$D$14="Yes",IF(COUNTBLANK('Capacity summary'!$H201:$BG201)&lt;52,IF('Capacity summary'!AE201&lt;&gt;"",IF(LOWER('Capacity summary'!AE201)="x",$BI82*AE82,VALUE('Capacity summary'!AE201)),0),AE82*$BI82),AE82*$BI82),0)</f>
        <v>0</v>
      </c>
      <c r="CI82" s="311">
        <f>IF($BI82&lt;&gt;"",IF('Capacity summary'!$D$14="Yes",IF(COUNTBLANK('Capacity summary'!$H201:$BG201)&lt;52,IF('Capacity summary'!AF201&lt;&gt;"",IF(LOWER('Capacity summary'!AF201)="x",$BI82*AF82,VALUE('Capacity summary'!AF201)),0),AF82*$BI82),AF82*$BI82),0)</f>
        <v>0</v>
      </c>
      <c r="CJ82" s="311">
        <f>IF($BI82&lt;&gt;"",IF('Capacity summary'!$D$14="Yes",IF(COUNTBLANK('Capacity summary'!$H201:$BG201)&lt;52,IF('Capacity summary'!AG201&lt;&gt;"",IF(LOWER('Capacity summary'!AG201)="x",$BI82*AG82,VALUE('Capacity summary'!AG201)),0),AG82*$BI82),AG82*$BI82),0)</f>
        <v>0</v>
      </c>
      <c r="CK82" s="311">
        <f>IF($BI82&lt;&gt;"",IF('Capacity summary'!$D$14="Yes",IF(COUNTBLANK('Capacity summary'!$H201:$BG201)&lt;52,IF('Capacity summary'!AH201&lt;&gt;"",IF(LOWER('Capacity summary'!AH201)="x",$BI82*AH82,VALUE('Capacity summary'!AH201)),0),AH82*$BI82),AH82*$BI82),0)</f>
        <v>0</v>
      </c>
      <c r="CL82" s="311">
        <f>IF($BI82&lt;&gt;"",IF('Capacity summary'!$D$14="Yes",IF(COUNTBLANK('Capacity summary'!$H201:$BG201)&lt;52,IF('Capacity summary'!AI201&lt;&gt;"",IF(LOWER('Capacity summary'!AI201)="x",$BI82*AI82,VALUE('Capacity summary'!AI201)),0),AI82*$BI82),AI82*$BI82),0)</f>
        <v>0</v>
      </c>
      <c r="CM82" s="311">
        <f>IF($BI82&lt;&gt;"",IF('Capacity summary'!$D$14="Yes",IF(COUNTBLANK('Capacity summary'!$H201:$BG201)&lt;52,IF('Capacity summary'!AJ201&lt;&gt;"",IF(LOWER('Capacity summary'!AJ201)="x",$BI82*AJ82,VALUE('Capacity summary'!AJ201)),0),AJ82*$BI82),AJ82*$BI82),0)</f>
        <v>0</v>
      </c>
      <c r="CN82" s="311">
        <f>IF($BI82&lt;&gt;"",IF('Capacity summary'!$D$14="Yes",IF(COUNTBLANK('Capacity summary'!$H201:$BG201)&lt;52,IF('Capacity summary'!AK201&lt;&gt;"",IF(LOWER('Capacity summary'!AK201)="x",$BI82*AK82,VALUE('Capacity summary'!AK201)),0),AK82*$BI82),AK82*$BI82),0)</f>
        <v>0</v>
      </c>
      <c r="CO82" s="311">
        <f>IF($BI82&lt;&gt;"",IF('Capacity summary'!$D$14="Yes",IF(COUNTBLANK('Capacity summary'!$H201:$BG201)&lt;52,IF('Capacity summary'!AL201&lt;&gt;"",IF(LOWER('Capacity summary'!AL201)="x",$BI82*AL82,VALUE('Capacity summary'!AL201)),0),AL82*$BI82),AL82*$BI82),0)</f>
        <v>0</v>
      </c>
      <c r="CP82" s="311">
        <f>IF($BI82&lt;&gt;"",IF('Capacity summary'!$D$14="Yes",IF(COUNTBLANK('Capacity summary'!$H201:$BG201)&lt;52,IF('Capacity summary'!AM201&lt;&gt;"",IF(LOWER('Capacity summary'!AM201)="x",$BI82*AM82,VALUE('Capacity summary'!AM201)),0),AM82*$BI82),AM82*$BI82),0)</f>
        <v>0</v>
      </c>
      <c r="CQ82" s="311">
        <f>IF($BI82&lt;&gt;"",IF('Capacity summary'!$D$14="Yes",IF(COUNTBLANK('Capacity summary'!$H201:$BG201)&lt;52,IF('Capacity summary'!AN201&lt;&gt;"",IF(LOWER('Capacity summary'!AN201)="x",$BI82*AN82,VALUE('Capacity summary'!AN201)),0),AN82*$BI82),AN82*$BI82),0)</f>
        <v>0</v>
      </c>
      <c r="CR82" s="311">
        <f>IF($BI82&lt;&gt;"",IF('Capacity summary'!$D$14="Yes",IF(COUNTBLANK('Capacity summary'!$H201:$BG201)&lt;52,IF('Capacity summary'!AO201&lt;&gt;"",IF(LOWER('Capacity summary'!AO201)="x",$BI82*AO82,VALUE('Capacity summary'!AO201)),0),AO82*$BI82),AO82*$BI82),0)</f>
        <v>0</v>
      </c>
      <c r="CS82" s="311">
        <f>IF($BI82&lt;&gt;"",IF('Capacity summary'!$D$14="Yes",IF(COUNTBLANK('Capacity summary'!$H201:$BG201)&lt;52,IF('Capacity summary'!AP201&lt;&gt;"",IF(LOWER('Capacity summary'!AP201)="x",$BI82*AP82,VALUE('Capacity summary'!AP201)),0),AP82*$BI82),AP82*$BI82),0)</f>
        <v>0</v>
      </c>
      <c r="CT82" s="311">
        <f>IF($BI82&lt;&gt;"",IF('Capacity summary'!$D$14="Yes",IF(COUNTBLANK('Capacity summary'!$H201:$BG201)&lt;52,IF('Capacity summary'!AQ201&lt;&gt;"",IF(LOWER('Capacity summary'!AQ201)="x",$BI82*AQ82,VALUE('Capacity summary'!AQ201)),0),AQ82*$BI82),AQ82*$BI82),0)</f>
        <v>0</v>
      </c>
      <c r="CU82" s="311">
        <f>IF($BI82&lt;&gt;"",IF('Capacity summary'!$D$14="Yes",IF(COUNTBLANK('Capacity summary'!$H201:$BG201)&lt;52,IF('Capacity summary'!AR201&lt;&gt;"",IF(LOWER('Capacity summary'!AR201)="x",$BI82*AR82,VALUE('Capacity summary'!AR201)),0),AR82*$BI82),AR82*$BI82),0)</f>
        <v>0</v>
      </c>
      <c r="CV82" s="311">
        <f>IF($BI82&lt;&gt;"",IF('Capacity summary'!$D$14="Yes",IF(COUNTBLANK('Capacity summary'!$H201:$BG201)&lt;52,IF('Capacity summary'!AS201&lt;&gt;"",IF(LOWER('Capacity summary'!AS201)="x",$BI82*AS82,VALUE('Capacity summary'!AS201)),0),AS82*$BI82),AS82*$BI82),0)</f>
        <v>0</v>
      </c>
      <c r="CW82" s="311">
        <f>IF($BI82&lt;&gt;"",IF('Capacity summary'!$D$14="Yes",IF(COUNTBLANK('Capacity summary'!$H201:$BG201)&lt;52,IF('Capacity summary'!AT201&lt;&gt;"",IF(LOWER('Capacity summary'!AT201)="x",$BI82*AT82,VALUE('Capacity summary'!AT201)),0),AT82*$BI82),AT82*$BI82),0)</f>
        <v>0</v>
      </c>
      <c r="CX82" s="311">
        <f>IF($BI82&lt;&gt;"",IF('Capacity summary'!$D$14="Yes",IF(COUNTBLANK('Capacity summary'!$H201:$BG201)&lt;52,IF('Capacity summary'!AU201&lt;&gt;"",IF(LOWER('Capacity summary'!AU201)="x",$BI82*AU82,VALUE('Capacity summary'!AU201)),0),AU82*$BI82),AU82*$BI82),0)</f>
        <v>0</v>
      </c>
      <c r="CY82" s="311">
        <f>IF($BI82&lt;&gt;"",IF('Capacity summary'!$D$14="Yes",IF(COUNTBLANK('Capacity summary'!$H201:$BG201)&lt;52,IF('Capacity summary'!AV201&lt;&gt;"",IF(LOWER('Capacity summary'!AV201)="x",$BI82*AV82,VALUE('Capacity summary'!AV201)),0),AV82*$BI82),AV82*$BI82),0)</f>
        <v>0</v>
      </c>
      <c r="CZ82" s="311">
        <f>IF($BI82&lt;&gt;"",IF('Capacity summary'!$D$14="Yes",IF(COUNTBLANK('Capacity summary'!$H201:$BG201)&lt;52,IF('Capacity summary'!AW201&lt;&gt;"",IF(LOWER('Capacity summary'!AW201)="x",$BI82*AW82,VALUE('Capacity summary'!AW201)),0),AW82*$BI82),AW82*$BI82),0)</f>
        <v>0</v>
      </c>
      <c r="DA82" s="311">
        <f>IF($BI82&lt;&gt;"",IF('Capacity summary'!$D$14="Yes",IF(COUNTBLANK('Capacity summary'!$H201:$BG201)&lt;52,IF('Capacity summary'!AX201&lt;&gt;"",IF(LOWER('Capacity summary'!AX201)="x",$BI82*AX82,VALUE('Capacity summary'!AX201)),0),AX82*$BI82),AX82*$BI82),0)</f>
        <v>0</v>
      </c>
      <c r="DB82" s="311">
        <f>IF($BI82&lt;&gt;"",IF('Capacity summary'!$D$14="Yes",IF(COUNTBLANK('Capacity summary'!$H201:$BG201)&lt;52,IF('Capacity summary'!AY201&lt;&gt;"",IF(LOWER('Capacity summary'!AY201)="x",$BI82*AY82,VALUE('Capacity summary'!AY201)),0),AY82*$BI82),AY82*$BI82),0)</f>
        <v>0</v>
      </c>
      <c r="DC82" s="311">
        <f>IF($BI82&lt;&gt;"",IF('Capacity summary'!$D$14="Yes",IF(COUNTBLANK('Capacity summary'!$H201:$BG201)&lt;52,IF('Capacity summary'!AZ201&lt;&gt;"",IF(LOWER('Capacity summary'!AZ201)="x",$BI82*AZ82,VALUE('Capacity summary'!AZ201)),0),AZ82*$BI82),AZ82*$BI82),0)</f>
        <v>0</v>
      </c>
      <c r="DD82" s="311">
        <f>IF($BI82&lt;&gt;"",IF('Capacity summary'!$D$14="Yes",IF(COUNTBLANK('Capacity summary'!$H201:$BG201)&lt;52,IF('Capacity summary'!BA201&lt;&gt;"",IF(LOWER('Capacity summary'!BA201)="x",$BI82*BA82,VALUE('Capacity summary'!BA201)),0),BA82*$BI82),BA82*$BI82),0)</f>
        <v>0</v>
      </c>
      <c r="DE82" s="311">
        <f>IF($BI82&lt;&gt;"",IF('Capacity summary'!$D$14="Yes",IF(COUNTBLANK('Capacity summary'!$H201:$BG201)&lt;52,IF('Capacity summary'!BB201&lt;&gt;"",IF(LOWER('Capacity summary'!BB201)="x",$BI82*BB82,VALUE('Capacity summary'!BB201)),0),BB82*$BI82),BB82*$BI82),0)</f>
        <v>0</v>
      </c>
      <c r="DF82" s="311">
        <f>IF($BI82&lt;&gt;"",IF('Capacity summary'!$D$14="Yes",IF(COUNTBLANK('Capacity summary'!$H201:$BG201)&lt;52,IF('Capacity summary'!BC201&lt;&gt;"",IF(LOWER('Capacity summary'!BC201)="x",$BI82*BC82,VALUE('Capacity summary'!BC201)),0),BC82*$BI82),BC82*$BI82),0)</f>
        <v>0</v>
      </c>
      <c r="DG82" s="311">
        <f>IF($BI82&lt;&gt;"",IF('Capacity summary'!$D$14="Yes",IF(COUNTBLANK('Capacity summary'!$H201:$BG201)&lt;52,IF('Capacity summary'!BD201&lt;&gt;"",IF(LOWER('Capacity summary'!BD201)="x",$BI82*BD82,VALUE('Capacity summary'!BD201)),0),BD82*$BI82),BD82*$BI82),0)</f>
        <v>0</v>
      </c>
      <c r="DH82" s="311">
        <f>IF($BI82&lt;&gt;"",IF('Capacity summary'!$D$14="Yes",IF(COUNTBLANK('Capacity summary'!$H201:$BG201)&lt;52,IF('Capacity summary'!BE201&lt;&gt;"",IF(LOWER('Capacity summary'!BE201)="x",$BI82*BE82,VALUE('Capacity summary'!BE201)),0),BE82*$BI82),BE82*$BI82),0)</f>
        <v>0</v>
      </c>
      <c r="DI82" s="311">
        <f>IF($BI82&lt;&gt;"",IF('Capacity summary'!$D$14="Yes",IF(COUNTBLANK('Capacity summary'!$H201:$BG201)&lt;52,IF('Capacity summary'!BF201&lt;&gt;"",IF(LOWER('Capacity summary'!BF201)="x",$BI82*BF82,VALUE('Capacity summary'!BF201)),0),BF82*$BI82),BF82*$BI82),0)</f>
        <v>0</v>
      </c>
      <c r="DJ82" s="311">
        <f>IF($BI82&lt;&gt;"",IF('Capacity summary'!$D$14="Yes",IF(COUNTBLANK('Capacity summary'!$H201:$BG201)&lt;52,IF('Capacity summary'!BG201&lt;&gt;"",IF(LOWER('Capacity summary'!BG201)="x",$BI82*BG82,VALUE('Capacity summary'!BG201)),0),BG82*$BI82),BG82*$BI82),0)</f>
        <v>0</v>
      </c>
      <c r="DK82" s="391">
        <f t="shared" si="4"/>
        <v>0</v>
      </c>
      <c r="DL82" s="136">
        <f t="shared" si="5"/>
        <v>0</v>
      </c>
      <c r="DM82" s="311" t="str">
        <f>Capacity!H94</f>
        <v/>
      </c>
    </row>
    <row r="83" spans="1:117" x14ac:dyDescent="0.2">
      <c r="A83" s="67">
        <f>IF(Capacity!L95='Capacity summary'!BI202,1,0)</f>
        <v>1</v>
      </c>
      <c r="B83" s="67">
        <f>IF(Capacity!V95='Capacity summary'!BI102,1,0)</f>
        <v>1</v>
      </c>
      <c r="C83" s="67" t="str">
        <f>ROW(A79)&amp;". "&amp;Capacity!B95</f>
        <v xml:space="preserve">79. </v>
      </c>
      <c r="D83" s="67">
        <f>'Capacity setup'!C90</f>
        <v>0</v>
      </c>
      <c r="E83" s="67">
        <f>'Capacity setup'!D90</f>
        <v>0</v>
      </c>
      <c r="F83" s="67">
        <f>'Capacity setup'!E90</f>
        <v>0</v>
      </c>
      <c r="H83" s="67">
        <f ca="1">IF(LOWER(Capacity!$L95)="x",IF(AND(SUMIF(Capacity_Resource,$D83,'Critical resources (hide)'!U$6:U$105)+SUMIF(Capacity_Resource,$E83,'Critical resources (hide)'!U$6:U$105)+SUMIF(Capacity_Resource,$F83,'Critical resources (hide)'!U$6:U$105)&gt;0,$E$1=2),0,1),0)</f>
        <v>1</v>
      </c>
      <c r="I83" s="67">
        <f ca="1">IF(LOWER(Capacity!$L95)="x",IF(AND(SUMIF(Capacity_Resource,$D83,'Critical resources (hide)'!V$6:V$105)+SUMIF(Capacity_Resource,$E83,'Critical resources (hide)'!V$6:V$105)+SUMIF(Capacity_Resource,$F83,'Critical resources (hide)'!V$6:V$105)&gt;0,$E$1=2),0,1),0)</f>
        <v>1</v>
      </c>
      <c r="J83" s="67">
        <f ca="1">IF(LOWER(Capacity!$L95)="x",IF(AND(SUMIF(Capacity_Resource,$D83,'Critical resources (hide)'!W$6:W$105)+SUMIF(Capacity_Resource,$E83,'Critical resources (hide)'!W$6:W$105)+SUMIF(Capacity_Resource,$F83,'Critical resources (hide)'!W$6:W$105)&gt;0,$E$1=2),0,1),0)</f>
        <v>1</v>
      </c>
      <c r="K83" s="67">
        <f ca="1">IF(LOWER(Capacity!$L95)="x",IF(AND(SUMIF(Capacity_Resource,$D83,'Critical resources (hide)'!X$6:X$105)+SUMIF(Capacity_Resource,$E83,'Critical resources (hide)'!X$6:X$105)+SUMIF(Capacity_Resource,$F83,'Critical resources (hide)'!X$6:X$105)&gt;0,$E$1=2),0,1),0)</f>
        <v>1</v>
      </c>
      <c r="L83" s="67">
        <f ca="1">IF(LOWER(Capacity!$L95)="x",IF(AND(SUMIF(Capacity_Resource,$D83,'Critical resources (hide)'!Y$6:Y$105)+SUMIF(Capacity_Resource,$E83,'Critical resources (hide)'!Y$6:Y$105)+SUMIF(Capacity_Resource,$F83,'Critical resources (hide)'!Y$6:Y$105)&gt;0,$E$1=2),0,1),0)</f>
        <v>1</v>
      </c>
      <c r="M83" s="67">
        <f ca="1">IF(LOWER(Capacity!$L95)="x",IF(AND(SUMIF(Capacity_Resource,$D83,'Critical resources (hide)'!Z$6:Z$105)+SUMIF(Capacity_Resource,$E83,'Critical resources (hide)'!Z$6:Z$105)+SUMIF(Capacity_Resource,$F83,'Critical resources (hide)'!Z$6:Z$105)&gt;0,$E$1=2),0,1),0)</f>
        <v>1</v>
      </c>
      <c r="N83" s="67">
        <f ca="1">IF(LOWER(Capacity!$L95)="x",IF(AND(SUMIF(Capacity_Resource,$D83,'Critical resources (hide)'!AA$6:AA$105)+SUMIF(Capacity_Resource,$E83,'Critical resources (hide)'!AA$6:AA$105)+SUMIF(Capacity_Resource,$F83,'Critical resources (hide)'!AA$6:AA$105)&gt;0,$E$1=2),0,1),0)</f>
        <v>1</v>
      </c>
      <c r="O83" s="67">
        <f ca="1">IF(LOWER(Capacity!$L95)="x",IF(AND(SUMIF(Capacity_Resource,$D83,'Critical resources (hide)'!AB$6:AB$105)+SUMIF(Capacity_Resource,$E83,'Critical resources (hide)'!AB$6:AB$105)+SUMIF(Capacity_Resource,$F83,'Critical resources (hide)'!AB$6:AB$105)&gt;0,$E$1=2),0,1),0)</f>
        <v>1</v>
      </c>
      <c r="P83" s="67">
        <f ca="1">IF(LOWER(Capacity!$L95)="x",IF(AND(SUMIF(Capacity_Resource,$D83,'Critical resources (hide)'!AC$6:AC$105)+SUMIF(Capacity_Resource,$E83,'Critical resources (hide)'!AC$6:AC$105)+SUMIF(Capacity_Resource,$F83,'Critical resources (hide)'!AC$6:AC$105)&gt;0,$E$1=2),0,1),0)</f>
        <v>1</v>
      </c>
      <c r="Q83" s="67">
        <f ca="1">IF(LOWER(Capacity!$L95)="x",IF(AND(SUMIF(Capacity_Resource,$D83,'Critical resources (hide)'!AD$6:AD$105)+SUMIF(Capacity_Resource,$E83,'Critical resources (hide)'!AD$6:AD$105)+SUMIF(Capacity_Resource,$F83,'Critical resources (hide)'!AD$6:AD$105)&gt;0,$E$1=2),0,1),0)</f>
        <v>1</v>
      </c>
      <c r="R83" s="67">
        <f ca="1">IF(LOWER(Capacity!$L95)="x",IF(AND(SUMIF(Capacity_Resource,$D83,'Critical resources (hide)'!AE$6:AE$105)+SUMIF(Capacity_Resource,$E83,'Critical resources (hide)'!AE$6:AE$105)+SUMIF(Capacity_Resource,$F83,'Critical resources (hide)'!AE$6:AE$105)&gt;0,$E$1=2),0,1),0)</f>
        <v>1</v>
      </c>
      <c r="S83" s="67">
        <f ca="1">IF(LOWER(Capacity!$L95)="x",IF(AND(SUMIF(Capacity_Resource,$D83,'Critical resources (hide)'!AF$6:AF$105)+SUMIF(Capacity_Resource,$E83,'Critical resources (hide)'!AF$6:AF$105)+SUMIF(Capacity_Resource,$F83,'Critical resources (hide)'!AF$6:AF$105)&gt;0,$E$1=2),0,1),0)</f>
        <v>1</v>
      </c>
      <c r="T83" s="67">
        <f ca="1">IF(LOWER(Capacity!$L95)="x",IF(AND(SUMIF(Capacity_Resource,$D83,'Critical resources (hide)'!AG$6:AG$105)+SUMIF(Capacity_Resource,$E83,'Critical resources (hide)'!AG$6:AG$105)+SUMIF(Capacity_Resource,$F83,'Critical resources (hide)'!AG$6:AG$105)&gt;0,$E$1=2),0,1),0)</f>
        <v>1</v>
      </c>
      <c r="U83" s="67">
        <f ca="1">IF(LOWER(Capacity!$L95)="x",IF(AND(SUMIF(Capacity_Resource,$D83,'Critical resources (hide)'!AH$6:AH$105)+SUMIF(Capacity_Resource,$E83,'Critical resources (hide)'!AH$6:AH$105)+SUMIF(Capacity_Resource,$F83,'Critical resources (hide)'!AH$6:AH$105)&gt;0,$E$1=2),0,1),0)</f>
        <v>1</v>
      </c>
      <c r="V83" s="67">
        <f ca="1">IF(LOWER(Capacity!$L95)="x",IF(AND(SUMIF(Capacity_Resource,$D83,'Critical resources (hide)'!AI$6:AI$105)+SUMIF(Capacity_Resource,$E83,'Critical resources (hide)'!AI$6:AI$105)+SUMIF(Capacity_Resource,$F83,'Critical resources (hide)'!AI$6:AI$105)&gt;0,$E$1=2),0,1),0)</f>
        <v>1</v>
      </c>
      <c r="W83" s="67">
        <f ca="1">IF(LOWER(Capacity!$L95)="x",IF(AND(SUMIF(Capacity_Resource,$D83,'Critical resources (hide)'!AJ$6:AJ$105)+SUMIF(Capacity_Resource,$E83,'Critical resources (hide)'!AJ$6:AJ$105)+SUMIF(Capacity_Resource,$F83,'Critical resources (hide)'!AJ$6:AJ$105)&gt;0,$E$1=2),0,1),0)</f>
        <v>1</v>
      </c>
      <c r="X83" s="67">
        <f ca="1">IF(LOWER(Capacity!$L95)="x",IF(AND(SUMIF(Capacity_Resource,$D83,'Critical resources (hide)'!AK$6:AK$105)+SUMIF(Capacity_Resource,$E83,'Critical resources (hide)'!AK$6:AK$105)+SUMIF(Capacity_Resource,$F83,'Critical resources (hide)'!AK$6:AK$105)&gt;0,$E$1=2),0,1),0)</f>
        <v>1</v>
      </c>
      <c r="Y83" s="67">
        <f ca="1">IF(LOWER(Capacity!$L95)="x",IF(AND(SUMIF(Capacity_Resource,$D83,'Critical resources (hide)'!AL$6:AL$105)+SUMIF(Capacity_Resource,$E83,'Critical resources (hide)'!AL$6:AL$105)+SUMIF(Capacity_Resource,$F83,'Critical resources (hide)'!AL$6:AL$105)&gt;0,$E$1=2),0,1),0)</f>
        <v>1</v>
      </c>
      <c r="Z83" s="67">
        <f ca="1">IF(LOWER(Capacity!$L95)="x",IF(AND(SUMIF(Capacity_Resource,$D83,'Critical resources (hide)'!AM$6:AM$105)+SUMIF(Capacity_Resource,$E83,'Critical resources (hide)'!AM$6:AM$105)+SUMIF(Capacity_Resource,$F83,'Critical resources (hide)'!AM$6:AM$105)&gt;0,$E$1=2),0,1),0)</f>
        <v>1</v>
      </c>
      <c r="AA83" s="67">
        <f ca="1">IF(LOWER(Capacity!$L95)="x",IF(AND(SUMIF(Capacity_Resource,$D83,'Critical resources (hide)'!AN$6:AN$105)+SUMIF(Capacity_Resource,$E83,'Critical resources (hide)'!AN$6:AN$105)+SUMIF(Capacity_Resource,$F83,'Critical resources (hide)'!AN$6:AN$105)&gt;0,$E$1=2),0,1),0)</f>
        <v>1</v>
      </c>
      <c r="AB83" s="67">
        <f ca="1">IF(LOWER(Capacity!$L95)="x",IF(AND(SUMIF(Capacity_Resource,$D83,'Critical resources (hide)'!AO$6:AO$105)+SUMIF(Capacity_Resource,$E83,'Critical resources (hide)'!AO$6:AO$105)+SUMIF(Capacity_Resource,$F83,'Critical resources (hide)'!AO$6:AO$105)&gt;0,$E$1=2),0,1),0)</f>
        <v>1</v>
      </c>
      <c r="AC83" s="67">
        <f ca="1">IF(LOWER(Capacity!$L95)="x",IF(AND(SUMIF(Capacity_Resource,$D83,'Critical resources (hide)'!AP$6:AP$105)+SUMIF(Capacity_Resource,$E83,'Critical resources (hide)'!AP$6:AP$105)+SUMIF(Capacity_Resource,$F83,'Critical resources (hide)'!AP$6:AP$105)&gt;0,$E$1=2),0,1),0)</f>
        <v>1</v>
      </c>
      <c r="AD83" s="67">
        <f ca="1">IF(LOWER(Capacity!$L95)="x",IF(AND(SUMIF(Capacity_Resource,$D83,'Critical resources (hide)'!AQ$6:AQ$105)+SUMIF(Capacity_Resource,$E83,'Critical resources (hide)'!AQ$6:AQ$105)+SUMIF(Capacity_Resource,$F83,'Critical resources (hide)'!AQ$6:AQ$105)&gt;0,$E$1=2),0,1),0)</f>
        <v>1</v>
      </c>
      <c r="AE83" s="67">
        <f ca="1">IF(LOWER(Capacity!$L95)="x",IF(AND(SUMIF(Capacity_Resource,$D83,'Critical resources (hide)'!AR$6:AR$105)+SUMIF(Capacity_Resource,$E83,'Critical resources (hide)'!AR$6:AR$105)+SUMIF(Capacity_Resource,$F83,'Critical resources (hide)'!AR$6:AR$105)&gt;0,$E$1=2),0,1),0)</f>
        <v>1</v>
      </c>
      <c r="AF83" s="67">
        <f ca="1">IF(LOWER(Capacity!$L95)="x",IF(AND(SUMIF(Capacity_Resource,$D83,'Critical resources (hide)'!AS$6:AS$105)+SUMIF(Capacity_Resource,$E83,'Critical resources (hide)'!AS$6:AS$105)+SUMIF(Capacity_Resource,$F83,'Critical resources (hide)'!AS$6:AS$105)&gt;0,$E$1=2),0,1),0)</f>
        <v>1</v>
      </c>
      <c r="AG83" s="67">
        <f ca="1">IF(LOWER(Capacity!$L95)="x",IF(AND(SUMIF(Capacity_Resource,$D83,'Critical resources (hide)'!AT$6:AT$105)+SUMIF(Capacity_Resource,$E83,'Critical resources (hide)'!AT$6:AT$105)+SUMIF(Capacity_Resource,$F83,'Critical resources (hide)'!AT$6:AT$105)&gt;0,$E$1=2),0,1),0)</f>
        <v>1</v>
      </c>
      <c r="AH83" s="67">
        <f ca="1">IF(LOWER(Capacity!$L95)="x",IF(AND(SUMIF(Capacity_Resource,$D83,'Critical resources (hide)'!AU$6:AU$105)+SUMIF(Capacity_Resource,$E83,'Critical resources (hide)'!AU$6:AU$105)+SUMIF(Capacity_Resource,$F83,'Critical resources (hide)'!AU$6:AU$105)&gt;0,$E$1=2),0,1),0)</f>
        <v>1</v>
      </c>
      <c r="AI83" s="67">
        <f ca="1">IF(LOWER(Capacity!$L95)="x",IF(AND(SUMIF(Capacity_Resource,$D83,'Critical resources (hide)'!AV$6:AV$105)+SUMIF(Capacity_Resource,$E83,'Critical resources (hide)'!AV$6:AV$105)+SUMIF(Capacity_Resource,$F83,'Critical resources (hide)'!AV$6:AV$105)&gt;0,$E$1=2),0,1),0)</f>
        <v>1</v>
      </c>
      <c r="AJ83" s="67">
        <f ca="1">IF(LOWER(Capacity!$L95)="x",IF(AND(SUMIF(Capacity_Resource,$D83,'Critical resources (hide)'!AW$6:AW$105)+SUMIF(Capacity_Resource,$E83,'Critical resources (hide)'!AW$6:AW$105)+SUMIF(Capacity_Resource,$F83,'Critical resources (hide)'!AW$6:AW$105)&gt;0,$E$1=2),0,1),0)</f>
        <v>1</v>
      </c>
      <c r="AK83" s="67">
        <f ca="1">IF(LOWER(Capacity!$L95)="x",IF(AND(SUMIF(Capacity_Resource,$D83,'Critical resources (hide)'!AX$6:AX$105)+SUMIF(Capacity_Resource,$E83,'Critical resources (hide)'!AX$6:AX$105)+SUMIF(Capacity_Resource,$F83,'Critical resources (hide)'!AX$6:AX$105)&gt;0,$E$1=2),0,1),0)</f>
        <v>1</v>
      </c>
      <c r="AL83" s="67">
        <f ca="1">IF(LOWER(Capacity!$L95)="x",IF(AND(SUMIF(Capacity_Resource,$D83,'Critical resources (hide)'!AY$6:AY$105)+SUMIF(Capacity_Resource,$E83,'Critical resources (hide)'!AY$6:AY$105)+SUMIF(Capacity_Resource,$F83,'Critical resources (hide)'!AY$6:AY$105)&gt;0,$E$1=2),0,1),0)</f>
        <v>1</v>
      </c>
      <c r="AM83" s="67">
        <f ca="1">IF(LOWER(Capacity!$L95)="x",IF(AND(SUMIF(Capacity_Resource,$D83,'Critical resources (hide)'!AZ$6:AZ$105)+SUMIF(Capacity_Resource,$E83,'Critical resources (hide)'!AZ$6:AZ$105)+SUMIF(Capacity_Resource,$F83,'Critical resources (hide)'!AZ$6:AZ$105)&gt;0,$E$1=2),0,1),0)</f>
        <v>1</v>
      </c>
      <c r="AN83" s="67">
        <f ca="1">IF(LOWER(Capacity!$L95)="x",IF(AND(SUMIF(Capacity_Resource,$D83,'Critical resources (hide)'!BA$6:BA$105)+SUMIF(Capacity_Resource,$E83,'Critical resources (hide)'!BA$6:BA$105)+SUMIF(Capacity_Resource,$F83,'Critical resources (hide)'!BA$6:BA$105)&gt;0,$E$1=2),0,1),0)</f>
        <v>1</v>
      </c>
      <c r="AO83" s="67">
        <f ca="1">IF(LOWER(Capacity!$L95)="x",IF(AND(SUMIF(Capacity_Resource,$D83,'Critical resources (hide)'!BB$6:BB$105)+SUMIF(Capacity_Resource,$E83,'Critical resources (hide)'!BB$6:BB$105)+SUMIF(Capacity_Resource,$F83,'Critical resources (hide)'!BB$6:BB$105)&gt;0,$E$1=2),0,1),0)</f>
        <v>1</v>
      </c>
      <c r="AP83" s="67">
        <f ca="1">IF(LOWER(Capacity!$L95)="x",IF(AND(SUMIF(Capacity_Resource,$D83,'Critical resources (hide)'!BC$6:BC$105)+SUMIF(Capacity_Resource,$E83,'Critical resources (hide)'!BC$6:BC$105)+SUMIF(Capacity_Resource,$F83,'Critical resources (hide)'!BC$6:BC$105)&gt;0,$E$1=2),0,1),0)</f>
        <v>1</v>
      </c>
      <c r="AQ83" s="67">
        <f ca="1">IF(LOWER(Capacity!$L95)="x",IF(AND(SUMIF(Capacity_Resource,$D83,'Critical resources (hide)'!BD$6:BD$105)+SUMIF(Capacity_Resource,$E83,'Critical resources (hide)'!BD$6:BD$105)+SUMIF(Capacity_Resource,$F83,'Critical resources (hide)'!BD$6:BD$105)&gt;0,$E$1=2),0,1),0)</f>
        <v>1</v>
      </c>
      <c r="AR83" s="67">
        <f ca="1">IF(LOWER(Capacity!$L95)="x",IF(AND(SUMIF(Capacity_Resource,$D83,'Critical resources (hide)'!BE$6:BE$105)+SUMIF(Capacity_Resource,$E83,'Critical resources (hide)'!BE$6:BE$105)+SUMIF(Capacity_Resource,$F83,'Critical resources (hide)'!BE$6:BE$105)&gt;0,$E$1=2),0,1),0)</f>
        <v>1</v>
      </c>
      <c r="AS83" s="67">
        <f ca="1">IF(LOWER(Capacity!$L95)="x",IF(AND(SUMIF(Capacity_Resource,$D83,'Critical resources (hide)'!BF$6:BF$105)+SUMIF(Capacity_Resource,$E83,'Critical resources (hide)'!BF$6:BF$105)+SUMIF(Capacity_Resource,$F83,'Critical resources (hide)'!BF$6:BF$105)&gt;0,$E$1=2),0,1),0)</f>
        <v>1</v>
      </c>
      <c r="AT83" s="67">
        <f ca="1">IF(LOWER(Capacity!$L95)="x",IF(AND(SUMIF(Capacity_Resource,$D83,'Critical resources (hide)'!BG$6:BG$105)+SUMIF(Capacity_Resource,$E83,'Critical resources (hide)'!BG$6:BG$105)+SUMIF(Capacity_Resource,$F83,'Critical resources (hide)'!BG$6:BG$105)&gt;0,$E$1=2),0,1),0)</f>
        <v>1</v>
      </c>
      <c r="AU83" s="67">
        <f ca="1">IF(LOWER(Capacity!$L95)="x",IF(AND(SUMIF(Capacity_Resource,$D83,'Critical resources (hide)'!BH$6:BH$105)+SUMIF(Capacity_Resource,$E83,'Critical resources (hide)'!BH$6:BH$105)+SUMIF(Capacity_Resource,$F83,'Critical resources (hide)'!BH$6:BH$105)&gt;0,$E$1=2),0,1),0)</f>
        <v>1</v>
      </c>
      <c r="AV83" s="67">
        <f ca="1">IF(LOWER(Capacity!$L95)="x",IF(AND(SUMIF(Capacity_Resource,$D83,'Critical resources (hide)'!BI$6:BI$105)+SUMIF(Capacity_Resource,$E83,'Critical resources (hide)'!BI$6:BI$105)+SUMIF(Capacity_Resource,$F83,'Critical resources (hide)'!BI$6:BI$105)&gt;0,$E$1=2),0,1),0)</f>
        <v>1</v>
      </c>
      <c r="AW83" s="67">
        <f ca="1">IF(LOWER(Capacity!$L95)="x",IF(AND(SUMIF(Capacity_Resource,$D83,'Critical resources (hide)'!BJ$6:BJ$105)+SUMIF(Capacity_Resource,$E83,'Critical resources (hide)'!BJ$6:BJ$105)+SUMIF(Capacity_Resource,$F83,'Critical resources (hide)'!BJ$6:BJ$105)&gt;0,$E$1=2),0,1),0)</f>
        <v>1</v>
      </c>
      <c r="AX83" s="67">
        <f ca="1">IF(LOWER(Capacity!$L95)="x",IF(AND(SUMIF(Capacity_Resource,$D83,'Critical resources (hide)'!BK$6:BK$105)+SUMIF(Capacity_Resource,$E83,'Critical resources (hide)'!BK$6:BK$105)+SUMIF(Capacity_Resource,$F83,'Critical resources (hide)'!BK$6:BK$105)&gt;0,$E$1=2),0,1),0)</f>
        <v>1</v>
      </c>
      <c r="AY83" s="67">
        <f ca="1">IF(LOWER(Capacity!$L95)="x",IF(AND(SUMIF(Capacity_Resource,$D83,'Critical resources (hide)'!BL$6:BL$105)+SUMIF(Capacity_Resource,$E83,'Critical resources (hide)'!BL$6:BL$105)+SUMIF(Capacity_Resource,$F83,'Critical resources (hide)'!BL$6:BL$105)&gt;0,$E$1=2),0,1),0)</f>
        <v>1</v>
      </c>
      <c r="AZ83" s="67">
        <f ca="1">IF(LOWER(Capacity!$L95)="x",IF(AND(SUMIF(Capacity_Resource,$D83,'Critical resources (hide)'!BM$6:BM$105)+SUMIF(Capacity_Resource,$E83,'Critical resources (hide)'!BM$6:BM$105)+SUMIF(Capacity_Resource,$F83,'Critical resources (hide)'!BM$6:BM$105)&gt;0,$E$1=2),0,1),0)</f>
        <v>1</v>
      </c>
      <c r="BA83" s="67">
        <f ca="1">IF(LOWER(Capacity!$L95)="x",IF(AND(SUMIF(Capacity_Resource,$D83,'Critical resources (hide)'!BN$6:BN$105)+SUMIF(Capacity_Resource,$E83,'Critical resources (hide)'!BN$6:BN$105)+SUMIF(Capacity_Resource,$F83,'Critical resources (hide)'!BN$6:BN$105)&gt;0,$E$1=2),0,1),0)</f>
        <v>1</v>
      </c>
      <c r="BB83" s="67">
        <f ca="1">IF(LOWER(Capacity!$L95)="x",IF(AND(SUMIF(Capacity_Resource,$D83,'Critical resources (hide)'!BO$6:BO$105)+SUMIF(Capacity_Resource,$E83,'Critical resources (hide)'!BO$6:BO$105)+SUMIF(Capacity_Resource,$F83,'Critical resources (hide)'!BO$6:BO$105)&gt;0,$E$1=2),0,1),0)</f>
        <v>1</v>
      </c>
      <c r="BC83" s="67">
        <f ca="1">IF(LOWER(Capacity!$L95)="x",IF(AND(SUMIF(Capacity_Resource,$D83,'Critical resources (hide)'!BP$6:BP$105)+SUMIF(Capacity_Resource,$E83,'Critical resources (hide)'!BP$6:BP$105)+SUMIF(Capacity_Resource,$F83,'Critical resources (hide)'!BP$6:BP$105)&gt;0,$E$1=2),0,1),0)</f>
        <v>1</v>
      </c>
      <c r="BD83" s="67">
        <f ca="1">IF(LOWER(Capacity!$L95)="x",IF(AND(SUMIF(Capacity_Resource,$D83,'Critical resources (hide)'!BQ$6:BQ$105)+SUMIF(Capacity_Resource,$E83,'Critical resources (hide)'!BQ$6:BQ$105)+SUMIF(Capacity_Resource,$F83,'Critical resources (hide)'!BQ$6:BQ$105)&gt;0,$E$1=2),0,1),0)</f>
        <v>1</v>
      </c>
      <c r="BE83" s="67">
        <f ca="1">IF(LOWER(Capacity!$L95)="x",IF(AND(SUMIF(Capacity_Resource,$D83,'Critical resources (hide)'!BR$6:BR$105)+SUMIF(Capacity_Resource,$E83,'Critical resources (hide)'!BR$6:BR$105)+SUMIF(Capacity_Resource,$F83,'Critical resources (hide)'!BR$6:BR$105)&gt;0,$E$1=2),0,1),0)</f>
        <v>1</v>
      </c>
      <c r="BF83" s="67">
        <f ca="1">IF(LOWER(Capacity!$L95)="x",IF(AND(SUMIF(Capacity_Resource,$D83,'Critical resources (hide)'!BS$6:BS$105)+SUMIF(Capacity_Resource,$E83,'Critical resources (hide)'!BS$6:BS$105)+SUMIF(Capacity_Resource,$F83,'Critical resources (hide)'!BS$6:BS$105)&gt;0,$E$1=2),0,1),0)</f>
        <v>1</v>
      </c>
      <c r="BG83" s="67">
        <f ca="1">IF(LOWER(Capacity!$L95)="x",IF(AND(SUMIF(Capacity_Resource,$D83,'Critical resources (hide)'!BT$6:BT$105)+SUMIF(Capacity_Resource,$E83,'Critical resources (hide)'!BT$6:BT$105)+SUMIF(Capacity_Resource,$F83,'Critical resources (hide)'!BT$6:BT$105)&gt;0,$E$1=2),0,1),0)</f>
        <v>1</v>
      </c>
      <c r="BH83" s="67">
        <f>IF(ROW(C79)&lt;=Capacity!$A$16,IF('Capacity summary'!$D$14="No",SUM(H83:BG83),'Capacity summary'!$E202),0)</f>
        <v>0</v>
      </c>
      <c r="BI83" s="5" t="str">
        <f>IF(BH83&gt;0,IF(BH83&lt;Capacity!E95,Capacity!F95,Capacity!H95/'Capacity calculation (hide)'!BH83),"")</f>
        <v/>
      </c>
      <c r="BK83" s="311">
        <f>IF($BI83&lt;&gt;"",IF('Capacity summary'!$D$14="Yes",IF(COUNTBLANK('Capacity summary'!$H202:$BG202)&lt;52,IF('Capacity summary'!H202&lt;&gt;"",IF(LOWER('Capacity summary'!H202)="x",$BI83*H83,VALUE('Capacity summary'!H202)),0),H83*$BI83),H83*$BI83),0)</f>
        <v>0</v>
      </c>
      <c r="BL83" s="311">
        <f>IF($BI83&lt;&gt;"",IF('Capacity summary'!$D$14="Yes",IF(COUNTBLANK('Capacity summary'!$H202:$BG202)&lt;52,IF('Capacity summary'!I202&lt;&gt;"",IF(LOWER('Capacity summary'!I202)="x",$BI83*I83,VALUE('Capacity summary'!I202)),0),I83*$BI83),I83*$BI83),0)</f>
        <v>0</v>
      </c>
      <c r="BM83" s="311">
        <f>IF($BI83&lt;&gt;"",IF('Capacity summary'!$D$14="Yes",IF(COUNTBLANK('Capacity summary'!$H202:$BG202)&lt;52,IF('Capacity summary'!J202&lt;&gt;"",IF(LOWER('Capacity summary'!J202)="x",$BI83*J83,VALUE('Capacity summary'!J202)),0),J83*$BI83),J83*$BI83),0)</f>
        <v>0</v>
      </c>
      <c r="BN83" s="311">
        <f>IF($BI83&lt;&gt;"",IF('Capacity summary'!$D$14="Yes",IF(COUNTBLANK('Capacity summary'!$H202:$BG202)&lt;52,IF('Capacity summary'!K202&lt;&gt;"",IF(LOWER('Capacity summary'!K202)="x",$BI83*K83,VALUE('Capacity summary'!K202)),0),K83*$BI83),K83*$BI83),0)</f>
        <v>0</v>
      </c>
      <c r="BO83" s="311">
        <f>IF($BI83&lt;&gt;"",IF('Capacity summary'!$D$14="Yes",IF(COUNTBLANK('Capacity summary'!$H202:$BG202)&lt;52,IF('Capacity summary'!L202&lt;&gt;"",IF(LOWER('Capacity summary'!L202)="x",$BI83*L83,VALUE('Capacity summary'!L202)),0),L83*$BI83),L83*$BI83),0)</f>
        <v>0</v>
      </c>
      <c r="BP83" s="311">
        <f>IF($BI83&lt;&gt;"",IF('Capacity summary'!$D$14="Yes",IF(COUNTBLANK('Capacity summary'!$H202:$BG202)&lt;52,IF('Capacity summary'!M202&lt;&gt;"",IF(LOWER('Capacity summary'!M202)="x",$BI83*M83,VALUE('Capacity summary'!M202)),0),M83*$BI83),M83*$BI83),0)</f>
        <v>0</v>
      </c>
      <c r="BQ83" s="311">
        <f>IF($BI83&lt;&gt;"",IF('Capacity summary'!$D$14="Yes",IF(COUNTBLANK('Capacity summary'!$H202:$BG202)&lt;52,IF('Capacity summary'!N202&lt;&gt;"",IF(LOWER('Capacity summary'!N202)="x",$BI83*N83,VALUE('Capacity summary'!N202)),0),N83*$BI83),N83*$BI83),0)</f>
        <v>0</v>
      </c>
      <c r="BR83" s="311">
        <f>IF($BI83&lt;&gt;"",IF('Capacity summary'!$D$14="Yes",IF(COUNTBLANK('Capacity summary'!$H202:$BG202)&lt;52,IF('Capacity summary'!O202&lt;&gt;"",IF(LOWER('Capacity summary'!O202)="x",$BI83*O83,VALUE('Capacity summary'!O202)),0),O83*$BI83),O83*$BI83),0)</f>
        <v>0</v>
      </c>
      <c r="BS83" s="311">
        <f>IF($BI83&lt;&gt;"",IF('Capacity summary'!$D$14="Yes",IF(COUNTBLANK('Capacity summary'!$H202:$BG202)&lt;52,IF('Capacity summary'!P202&lt;&gt;"",IF(LOWER('Capacity summary'!P202)="x",$BI83*P83,VALUE('Capacity summary'!P202)),0),P83*$BI83),P83*$BI83),0)</f>
        <v>0</v>
      </c>
      <c r="BT83" s="311">
        <f>IF($BI83&lt;&gt;"",IF('Capacity summary'!$D$14="Yes",IF(COUNTBLANK('Capacity summary'!$H202:$BG202)&lt;52,IF('Capacity summary'!Q202&lt;&gt;"",IF(LOWER('Capacity summary'!Q202)="x",$BI83*Q83,VALUE('Capacity summary'!Q202)),0),Q83*$BI83),Q83*$BI83),0)</f>
        <v>0</v>
      </c>
      <c r="BU83" s="311">
        <f>IF($BI83&lt;&gt;"",IF('Capacity summary'!$D$14="Yes",IF(COUNTBLANK('Capacity summary'!$H202:$BG202)&lt;52,IF('Capacity summary'!R202&lt;&gt;"",IF(LOWER('Capacity summary'!R202)="x",$BI83*R83,VALUE('Capacity summary'!R202)),0),R83*$BI83),R83*$BI83),0)</f>
        <v>0</v>
      </c>
      <c r="BV83" s="311">
        <f>IF($BI83&lt;&gt;"",IF('Capacity summary'!$D$14="Yes",IF(COUNTBLANK('Capacity summary'!$H202:$BG202)&lt;52,IF('Capacity summary'!S202&lt;&gt;"",IF(LOWER('Capacity summary'!S202)="x",$BI83*S83,VALUE('Capacity summary'!S202)),0),S83*$BI83),S83*$BI83),0)</f>
        <v>0</v>
      </c>
      <c r="BW83" s="311">
        <f>IF($BI83&lt;&gt;"",IF('Capacity summary'!$D$14="Yes",IF(COUNTBLANK('Capacity summary'!$H202:$BG202)&lt;52,IF('Capacity summary'!T202&lt;&gt;"",IF(LOWER('Capacity summary'!T202)="x",$BI83*T83,VALUE('Capacity summary'!T202)),0),T83*$BI83),T83*$BI83),0)</f>
        <v>0</v>
      </c>
      <c r="BX83" s="311">
        <f>IF($BI83&lt;&gt;"",IF('Capacity summary'!$D$14="Yes",IF(COUNTBLANK('Capacity summary'!$H202:$BG202)&lt;52,IF('Capacity summary'!U202&lt;&gt;"",IF(LOWER('Capacity summary'!U202)="x",$BI83*U83,VALUE('Capacity summary'!U202)),0),U83*$BI83),U83*$BI83),0)</f>
        <v>0</v>
      </c>
      <c r="BY83" s="311">
        <f>IF($BI83&lt;&gt;"",IF('Capacity summary'!$D$14="Yes",IF(COUNTBLANK('Capacity summary'!$H202:$BG202)&lt;52,IF('Capacity summary'!V202&lt;&gt;"",IF(LOWER('Capacity summary'!V202)="x",$BI83*V83,VALUE('Capacity summary'!V202)),0),V83*$BI83),V83*$BI83),0)</f>
        <v>0</v>
      </c>
      <c r="BZ83" s="311">
        <f>IF($BI83&lt;&gt;"",IF('Capacity summary'!$D$14="Yes",IF(COUNTBLANK('Capacity summary'!$H202:$BG202)&lt;52,IF('Capacity summary'!W202&lt;&gt;"",IF(LOWER('Capacity summary'!W202)="x",$BI83*W83,VALUE('Capacity summary'!W202)),0),W83*$BI83),W83*$BI83),0)</f>
        <v>0</v>
      </c>
      <c r="CA83" s="311">
        <f>IF($BI83&lt;&gt;"",IF('Capacity summary'!$D$14="Yes",IF(COUNTBLANK('Capacity summary'!$H202:$BG202)&lt;52,IF('Capacity summary'!X202&lt;&gt;"",IF(LOWER('Capacity summary'!X202)="x",$BI83*X83,VALUE('Capacity summary'!X202)),0),X83*$BI83),X83*$BI83),0)</f>
        <v>0</v>
      </c>
      <c r="CB83" s="311">
        <f>IF($BI83&lt;&gt;"",IF('Capacity summary'!$D$14="Yes",IF(COUNTBLANK('Capacity summary'!$H202:$BG202)&lt;52,IF('Capacity summary'!Y202&lt;&gt;"",IF(LOWER('Capacity summary'!Y202)="x",$BI83*Y83,VALUE('Capacity summary'!Y202)),0),Y83*$BI83),Y83*$BI83),0)</f>
        <v>0</v>
      </c>
      <c r="CC83" s="311">
        <f>IF($BI83&lt;&gt;"",IF('Capacity summary'!$D$14="Yes",IF(COUNTBLANK('Capacity summary'!$H202:$BG202)&lt;52,IF('Capacity summary'!Z202&lt;&gt;"",IF(LOWER('Capacity summary'!Z202)="x",$BI83*Z83,VALUE('Capacity summary'!Z202)),0),Z83*$BI83),Z83*$BI83),0)</f>
        <v>0</v>
      </c>
      <c r="CD83" s="311">
        <f>IF($BI83&lt;&gt;"",IF('Capacity summary'!$D$14="Yes",IF(COUNTBLANK('Capacity summary'!$H202:$BG202)&lt;52,IF('Capacity summary'!AA202&lt;&gt;"",IF(LOWER('Capacity summary'!AA202)="x",$BI83*AA83,VALUE('Capacity summary'!AA202)),0),AA83*$BI83),AA83*$BI83),0)</f>
        <v>0</v>
      </c>
      <c r="CE83" s="311">
        <f>IF($BI83&lt;&gt;"",IF('Capacity summary'!$D$14="Yes",IF(COUNTBLANK('Capacity summary'!$H202:$BG202)&lt;52,IF('Capacity summary'!AB202&lt;&gt;"",IF(LOWER('Capacity summary'!AB202)="x",$BI83*AB83,VALUE('Capacity summary'!AB202)),0),AB83*$BI83),AB83*$BI83),0)</f>
        <v>0</v>
      </c>
      <c r="CF83" s="311">
        <f>IF($BI83&lt;&gt;"",IF('Capacity summary'!$D$14="Yes",IF(COUNTBLANK('Capacity summary'!$H202:$BG202)&lt;52,IF('Capacity summary'!AC202&lt;&gt;"",IF(LOWER('Capacity summary'!AC202)="x",$BI83*AC83,VALUE('Capacity summary'!AC202)),0),AC83*$BI83),AC83*$BI83),0)</f>
        <v>0</v>
      </c>
      <c r="CG83" s="311">
        <f>IF($BI83&lt;&gt;"",IF('Capacity summary'!$D$14="Yes",IF(COUNTBLANK('Capacity summary'!$H202:$BG202)&lt;52,IF('Capacity summary'!AD202&lt;&gt;"",IF(LOWER('Capacity summary'!AD202)="x",$BI83*AD83,VALUE('Capacity summary'!AD202)),0),AD83*$BI83),AD83*$BI83),0)</f>
        <v>0</v>
      </c>
      <c r="CH83" s="311">
        <f>IF($BI83&lt;&gt;"",IF('Capacity summary'!$D$14="Yes",IF(COUNTBLANK('Capacity summary'!$H202:$BG202)&lt;52,IF('Capacity summary'!AE202&lt;&gt;"",IF(LOWER('Capacity summary'!AE202)="x",$BI83*AE83,VALUE('Capacity summary'!AE202)),0),AE83*$BI83),AE83*$BI83),0)</f>
        <v>0</v>
      </c>
      <c r="CI83" s="311">
        <f>IF($BI83&lt;&gt;"",IF('Capacity summary'!$D$14="Yes",IF(COUNTBLANK('Capacity summary'!$H202:$BG202)&lt;52,IF('Capacity summary'!AF202&lt;&gt;"",IF(LOWER('Capacity summary'!AF202)="x",$BI83*AF83,VALUE('Capacity summary'!AF202)),0),AF83*$BI83),AF83*$BI83),0)</f>
        <v>0</v>
      </c>
      <c r="CJ83" s="311">
        <f>IF($BI83&lt;&gt;"",IF('Capacity summary'!$D$14="Yes",IF(COUNTBLANK('Capacity summary'!$H202:$BG202)&lt;52,IF('Capacity summary'!AG202&lt;&gt;"",IF(LOWER('Capacity summary'!AG202)="x",$BI83*AG83,VALUE('Capacity summary'!AG202)),0),AG83*$BI83),AG83*$BI83),0)</f>
        <v>0</v>
      </c>
      <c r="CK83" s="311">
        <f>IF($BI83&lt;&gt;"",IF('Capacity summary'!$D$14="Yes",IF(COUNTBLANK('Capacity summary'!$H202:$BG202)&lt;52,IF('Capacity summary'!AH202&lt;&gt;"",IF(LOWER('Capacity summary'!AH202)="x",$BI83*AH83,VALUE('Capacity summary'!AH202)),0),AH83*$BI83),AH83*$BI83),0)</f>
        <v>0</v>
      </c>
      <c r="CL83" s="311">
        <f>IF($BI83&lt;&gt;"",IF('Capacity summary'!$D$14="Yes",IF(COUNTBLANK('Capacity summary'!$H202:$BG202)&lt;52,IF('Capacity summary'!AI202&lt;&gt;"",IF(LOWER('Capacity summary'!AI202)="x",$BI83*AI83,VALUE('Capacity summary'!AI202)),0),AI83*$BI83),AI83*$BI83),0)</f>
        <v>0</v>
      </c>
      <c r="CM83" s="311">
        <f>IF($BI83&lt;&gt;"",IF('Capacity summary'!$D$14="Yes",IF(COUNTBLANK('Capacity summary'!$H202:$BG202)&lt;52,IF('Capacity summary'!AJ202&lt;&gt;"",IF(LOWER('Capacity summary'!AJ202)="x",$BI83*AJ83,VALUE('Capacity summary'!AJ202)),0),AJ83*$BI83),AJ83*$BI83),0)</f>
        <v>0</v>
      </c>
      <c r="CN83" s="311">
        <f>IF($BI83&lt;&gt;"",IF('Capacity summary'!$D$14="Yes",IF(COUNTBLANK('Capacity summary'!$H202:$BG202)&lt;52,IF('Capacity summary'!AK202&lt;&gt;"",IF(LOWER('Capacity summary'!AK202)="x",$BI83*AK83,VALUE('Capacity summary'!AK202)),0),AK83*$BI83),AK83*$BI83),0)</f>
        <v>0</v>
      </c>
      <c r="CO83" s="311">
        <f>IF($BI83&lt;&gt;"",IF('Capacity summary'!$D$14="Yes",IF(COUNTBLANK('Capacity summary'!$H202:$BG202)&lt;52,IF('Capacity summary'!AL202&lt;&gt;"",IF(LOWER('Capacity summary'!AL202)="x",$BI83*AL83,VALUE('Capacity summary'!AL202)),0),AL83*$BI83),AL83*$BI83),0)</f>
        <v>0</v>
      </c>
      <c r="CP83" s="311">
        <f>IF($BI83&lt;&gt;"",IF('Capacity summary'!$D$14="Yes",IF(COUNTBLANK('Capacity summary'!$H202:$BG202)&lt;52,IF('Capacity summary'!AM202&lt;&gt;"",IF(LOWER('Capacity summary'!AM202)="x",$BI83*AM83,VALUE('Capacity summary'!AM202)),0),AM83*$BI83),AM83*$BI83),0)</f>
        <v>0</v>
      </c>
      <c r="CQ83" s="311">
        <f>IF($BI83&lt;&gt;"",IF('Capacity summary'!$D$14="Yes",IF(COUNTBLANK('Capacity summary'!$H202:$BG202)&lt;52,IF('Capacity summary'!AN202&lt;&gt;"",IF(LOWER('Capacity summary'!AN202)="x",$BI83*AN83,VALUE('Capacity summary'!AN202)),0),AN83*$BI83),AN83*$BI83),0)</f>
        <v>0</v>
      </c>
      <c r="CR83" s="311">
        <f>IF($BI83&lt;&gt;"",IF('Capacity summary'!$D$14="Yes",IF(COUNTBLANK('Capacity summary'!$H202:$BG202)&lt;52,IF('Capacity summary'!AO202&lt;&gt;"",IF(LOWER('Capacity summary'!AO202)="x",$BI83*AO83,VALUE('Capacity summary'!AO202)),0),AO83*$BI83),AO83*$BI83),0)</f>
        <v>0</v>
      </c>
      <c r="CS83" s="311">
        <f>IF($BI83&lt;&gt;"",IF('Capacity summary'!$D$14="Yes",IF(COUNTBLANK('Capacity summary'!$H202:$BG202)&lt;52,IF('Capacity summary'!AP202&lt;&gt;"",IF(LOWER('Capacity summary'!AP202)="x",$BI83*AP83,VALUE('Capacity summary'!AP202)),0),AP83*$BI83),AP83*$BI83),0)</f>
        <v>0</v>
      </c>
      <c r="CT83" s="311">
        <f>IF($BI83&lt;&gt;"",IF('Capacity summary'!$D$14="Yes",IF(COUNTBLANK('Capacity summary'!$H202:$BG202)&lt;52,IF('Capacity summary'!AQ202&lt;&gt;"",IF(LOWER('Capacity summary'!AQ202)="x",$BI83*AQ83,VALUE('Capacity summary'!AQ202)),0),AQ83*$BI83),AQ83*$BI83),0)</f>
        <v>0</v>
      </c>
      <c r="CU83" s="311">
        <f>IF($BI83&lt;&gt;"",IF('Capacity summary'!$D$14="Yes",IF(COUNTBLANK('Capacity summary'!$H202:$BG202)&lt;52,IF('Capacity summary'!AR202&lt;&gt;"",IF(LOWER('Capacity summary'!AR202)="x",$BI83*AR83,VALUE('Capacity summary'!AR202)),0),AR83*$BI83),AR83*$BI83),0)</f>
        <v>0</v>
      </c>
      <c r="CV83" s="311">
        <f>IF($BI83&lt;&gt;"",IF('Capacity summary'!$D$14="Yes",IF(COUNTBLANK('Capacity summary'!$H202:$BG202)&lt;52,IF('Capacity summary'!AS202&lt;&gt;"",IF(LOWER('Capacity summary'!AS202)="x",$BI83*AS83,VALUE('Capacity summary'!AS202)),0),AS83*$BI83),AS83*$BI83),0)</f>
        <v>0</v>
      </c>
      <c r="CW83" s="311">
        <f>IF($BI83&lt;&gt;"",IF('Capacity summary'!$D$14="Yes",IF(COUNTBLANK('Capacity summary'!$H202:$BG202)&lt;52,IF('Capacity summary'!AT202&lt;&gt;"",IF(LOWER('Capacity summary'!AT202)="x",$BI83*AT83,VALUE('Capacity summary'!AT202)),0),AT83*$BI83),AT83*$BI83),0)</f>
        <v>0</v>
      </c>
      <c r="CX83" s="311">
        <f>IF($BI83&lt;&gt;"",IF('Capacity summary'!$D$14="Yes",IF(COUNTBLANK('Capacity summary'!$H202:$BG202)&lt;52,IF('Capacity summary'!AU202&lt;&gt;"",IF(LOWER('Capacity summary'!AU202)="x",$BI83*AU83,VALUE('Capacity summary'!AU202)),0),AU83*$BI83),AU83*$BI83),0)</f>
        <v>0</v>
      </c>
      <c r="CY83" s="311">
        <f>IF($BI83&lt;&gt;"",IF('Capacity summary'!$D$14="Yes",IF(COUNTBLANK('Capacity summary'!$H202:$BG202)&lt;52,IF('Capacity summary'!AV202&lt;&gt;"",IF(LOWER('Capacity summary'!AV202)="x",$BI83*AV83,VALUE('Capacity summary'!AV202)),0),AV83*$BI83),AV83*$BI83),0)</f>
        <v>0</v>
      </c>
      <c r="CZ83" s="311">
        <f>IF($BI83&lt;&gt;"",IF('Capacity summary'!$D$14="Yes",IF(COUNTBLANK('Capacity summary'!$H202:$BG202)&lt;52,IF('Capacity summary'!AW202&lt;&gt;"",IF(LOWER('Capacity summary'!AW202)="x",$BI83*AW83,VALUE('Capacity summary'!AW202)),0),AW83*$BI83),AW83*$BI83),0)</f>
        <v>0</v>
      </c>
      <c r="DA83" s="311">
        <f>IF($BI83&lt;&gt;"",IF('Capacity summary'!$D$14="Yes",IF(COUNTBLANK('Capacity summary'!$H202:$BG202)&lt;52,IF('Capacity summary'!AX202&lt;&gt;"",IF(LOWER('Capacity summary'!AX202)="x",$BI83*AX83,VALUE('Capacity summary'!AX202)),0),AX83*$BI83),AX83*$BI83),0)</f>
        <v>0</v>
      </c>
      <c r="DB83" s="311">
        <f>IF($BI83&lt;&gt;"",IF('Capacity summary'!$D$14="Yes",IF(COUNTBLANK('Capacity summary'!$H202:$BG202)&lt;52,IF('Capacity summary'!AY202&lt;&gt;"",IF(LOWER('Capacity summary'!AY202)="x",$BI83*AY83,VALUE('Capacity summary'!AY202)),0),AY83*$BI83),AY83*$BI83),0)</f>
        <v>0</v>
      </c>
      <c r="DC83" s="311">
        <f>IF($BI83&lt;&gt;"",IF('Capacity summary'!$D$14="Yes",IF(COUNTBLANK('Capacity summary'!$H202:$BG202)&lt;52,IF('Capacity summary'!AZ202&lt;&gt;"",IF(LOWER('Capacity summary'!AZ202)="x",$BI83*AZ83,VALUE('Capacity summary'!AZ202)),0),AZ83*$BI83),AZ83*$BI83),0)</f>
        <v>0</v>
      </c>
      <c r="DD83" s="311">
        <f>IF($BI83&lt;&gt;"",IF('Capacity summary'!$D$14="Yes",IF(COUNTBLANK('Capacity summary'!$H202:$BG202)&lt;52,IF('Capacity summary'!BA202&lt;&gt;"",IF(LOWER('Capacity summary'!BA202)="x",$BI83*BA83,VALUE('Capacity summary'!BA202)),0),BA83*$BI83),BA83*$BI83),0)</f>
        <v>0</v>
      </c>
      <c r="DE83" s="311">
        <f>IF($BI83&lt;&gt;"",IF('Capacity summary'!$D$14="Yes",IF(COUNTBLANK('Capacity summary'!$H202:$BG202)&lt;52,IF('Capacity summary'!BB202&lt;&gt;"",IF(LOWER('Capacity summary'!BB202)="x",$BI83*BB83,VALUE('Capacity summary'!BB202)),0),BB83*$BI83),BB83*$BI83),0)</f>
        <v>0</v>
      </c>
      <c r="DF83" s="311">
        <f>IF($BI83&lt;&gt;"",IF('Capacity summary'!$D$14="Yes",IF(COUNTBLANK('Capacity summary'!$H202:$BG202)&lt;52,IF('Capacity summary'!BC202&lt;&gt;"",IF(LOWER('Capacity summary'!BC202)="x",$BI83*BC83,VALUE('Capacity summary'!BC202)),0),BC83*$BI83),BC83*$BI83),0)</f>
        <v>0</v>
      </c>
      <c r="DG83" s="311">
        <f>IF($BI83&lt;&gt;"",IF('Capacity summary'!$D$14="Yes",IF(COUNTBLANK('Capacity summary'!$H202:$BG202)&lt;52,IF('Capacity summary'!BD202&lt;&gt;"",IF(LOWER('Capacity summary'!BD202)="x",$BI83*BD83,VALUE('Capacity summary'!BD202)),0),BD83*$BI83),BD83*$BI83),0)</f>
        <v>0</v>
      </c>
      <c r="DH83" s="311">
        <f>IF($BI83&lt;&gt;"",IF('Capacity summary'!$D$14="Yes",IF(COUNTBLANK('Capacity summary'!$H202:$BG202)&lt;52,IF('Capacity summary'!BE202&lt;&gt;"",IF(LOWER('Capacity summary'!BE202)="x",$BI83*BE83,VALUE('Capacity summary'!BE202)),0),BE83*$BI83),BE83*$BI83),0)</f>
        <v>0</v>
      </c>
      <c r="DI83" s="311">
        <f>IF($BI83&lt;&gt;"",IF('Capacity summary'!$D$14="Yes",IF(COUNTBLANK('Capacity summary'!$H202:$BG202)&lt;52,IF('Capacity summary'!BF202&lt;&gt;"",IF(LOWER('Capacity summary'!BF202)="x",$BI83*BF83,VALUE('Capacity summary'!BF202)),0),BF83*$BI83),BF83*$BI83),0)</f>
        <v>0</v>
      </c>
      <c r="DJ83" s="311">
        <f>IF($BI83&lt;&gt;"",IF('Capacity summary'!$D$14="Yes",IF(COUNTBLANK('Capacity summary'!$H202:$BG202)&lt;52,IF('Capacity summary'!BG202&lt;&gt;"",IF(LOWER('Capacity summary'!BG202)="x",$BI83*BG83,VALUE('Capacity summary'!BG202)),0),BG83*$BI83),BG83*$BI83),0)</f>
        <v>0</v>
      </c>
      <c r="DK83" s="391">
        <f t="shared" si="4"/>
        <v>0</v>
      </c>
      <c r="DL83" s="136">
        <f t="shared" si="5"/>
        <v>0</v>
      </c>
      <c r="DM83" s="311" t="str">
        <f>Capacity!H95</f>
        <v/>
      </c>
    </row>
    <row r="84" spans="1:117" x14ac:dyDescent="0.2">
      <c r="A84" s="67">
        <f>IF(Capacity!L96='Capacity summary'!BI203,1,0)</f>
        <v>1</v>
      </c>
      <c r="B84" s="67">
        <f>IF(Capacity!V96='Capacity summary'!BI103,1,0)</f>
        <v>1</v>
      </c>
      <c r="C84" s="67" t="str">
        <f>ROW(A80)&amp;". "&amp;Capacity!B96</f>
        <v xml:space="preserve">80. </v>
      </c>
      <c r="D84" s="67">
        <f>'Capacity setup'!C91</f>
        <v>0</v>
      </c>
      <c r="E84" s="67">
        <f>'Capacity setup'!D91</f>
        <v>0</v>
      </c>
      <c r="F84" s="67">
        <f>'Capacity setup'!E91</f>
        <v>0</v>
      </c>
      <c r="H84" s="67">
        <f ca="1">IF(LOWER(Capacity!$L96)="x",IF(AND(SUMIF(Capacity_Resource,$D84,'Critical resources (hide)'!U$6:U$105)+SUMIF(Capacity_Resource,$E84,'Critical resources (hide)'!U$6:U$105)+SUMIF(Capacity_Resource,$F84,'Critical resources (hide)'!U$6:U$105)&gt;0,$E$1=2),0,1),0)</f>
        <v>1</v>
      </c>
      <c r="I84" s="67">
        <f ca="1">IF(LOWER(Capacity!$L96)="x",IF(AND(SUMIF(Capacity_Resource,$D84,'Critical resources (hide)'!V$6:V$105)+SUMIF(Capacity_Resource,$E84,'Critical resources (hide)'!V$6:V$105)+SUMIF(Capacity_Resource,$F84,'Critical resources (hide)'!V$6:V$105)&gt;0,$E$1=2),0,1),0)</f>
        <v>1</v>
      </c>
      <c r="J84" s="67">
        <f ca="1">IF(LOWER(Capacity!$L96)="x",IF(AND(SUMIF(Capacity_Resource,$D84,'Critical resources (hide)'!W$6:W$105)+SUMIF(Capacity_Resource,$E84,'Critical resources (hide)'!W$6:W$105)+SUMIF(Capacity_Resource,$F84,'Critical resources (hide)'!W$6:W$105)&gt;0,$E$1=2),0,1),0)</f>
        <v>1</v>
      </c>
      <c r="K84" s="67">
        <f ca="1">IF(LOWER(Capacity!$L96)="x",IF(AND(SUMIF(Capacity_Resource,$D84,'Critical resources (hide)'!X$6:X$105)+SUMIF(Capacity_Resource,$E84,'Critical resources (hide)'!X$6:X$105)+SUMIF(Capacity_Resource,$F84,'Critical resources (hide)'!X$6:X$105)&gt;0,$E$1=2),0,1),0)</f>
        <v>1</v>
      </c>
      <c r="L84" s="67">
        <f ca="1">IF(LOWER(Capacity!$L96)="x",IF(AND(SUMIF(Capacity_Resource,$D84,'Critical resources (hide)'!Y$6:Y$105)+SUMIF(Capacity_Resource,$E84,'Critical resources (hide)'!Y$6:Y$105)+SUMIF(Capacity_Resource,$F84,'Critical resources (hide)'!Y$6:Y$105)&gt;0,$E$1=2),0,1),0)</f>
        <v>1</v>
      </c>
      <c r="M84" s="67">
        <f ca="1">IF(LOWER(Capacity!$L96)="x",IF(AND(SUMIF(Capacity_Resource,$D84,'Critical resources (hide)'!Z$6:Z$105)+SUMIF(Capacity_Resource,$E84,'Critical resources (hide)'!Z$6:Z$105)+SUMIF(Capacity_Resource,$F84,'Critical resources (hide)'!Z$6:Z$105)&gt;0,$E$1=2),0,1),0)</f>
        <v>1</v>
      </c>
      <c r="N84" s="67">
        <f ca="1">IF(LOWER(Capacity!$L96)="x",IF(AND(SUMIF(Capacity_Resource,$D84,'Critical resources (hide)'!AA$6:AA$105)+SUMIF(Capacity_Resource,$E84,'Critical resources (hide)'!AA$6:AA$105)+SUMIF(Capacity_Resource,$F84,'Critical resources (hide)'!AA$6:AA$105)&gt;0,$E$1=2),0,1),0)</f>
        <v>1</v>
      </c>
      <c r="O84" s="67">
        <f ca="1">IF(LOWER(Capacity!$L96)="x",IF(AND(SUMIF(Capacity_Resource,$D84,'Critical resources (hide)'!AB$6:AB$105)+SUMIF(Capacity_Resource,$E84,'Critical resources (hide)'!AB$6:AB$105)+SUMIF(Capacity_Resource,$F84,'Critical resources (hide)'!AB$6:AB$105)&gt;0,$E$1=2),0,1),0)</f>
        <v>1</v>
      </c>
      <c r="P84" s="67">
        <f ca="1">IF(LOWER(Capacity!$L96)="x",IF(AND(SUMIF(Capacity_Resource,$D84,'Critical resources (hide)'!AC$6:AC$105)+SUMIF(Capacity_Resource,$E84,'Critical resources (hide)'!AC$6:AC$105)+SUMIF(Capacity_Resource,$F84,'Critical resources (hide)'!AC$6:AC$105)&gt;0,$E$1=2),0,1),0)</f>
        <v>1</v>
      </c>
      <c r="Q84" s="67">
        <f ca="1">IF(LOWER(Capacity!$L96)="x",IF(AND(SUMIF(Capacity_Resource,$D84,'Critical resources (hide)'!AD$6:AD$105)+SUMIF(Capacity_Resource,$E84,'Critical resources (hide)'!AD$6:AD$105)+SUMIF(Capacity_Resource,$F84,'Critical resources (hide)'!AD$6:AD$105)&gt;0,$E$1=2),0,1),0)</f>
        <v>1</v>
      </c>
      <c r="R84" s="67">
        <f ca="1">IF(LOWER(Capacity!$L96)="x",IF(AND(SUMIF(Capacity_Resource,$D84,'Critical resources (hide)'!AE$6:AE$105)+SUMIF(Capacity_Resource,$E84,'Critical resources (hide)'!AE$6:AE$105)+SUMIF(Capacity_Resource,$F84,'Critical resources (hide)'!AE$6:AE$105)&gt;0,$E$1=2),0,1),0)</f>
        <v>1</v>
      </c>
      <c r="S84" s="67">
        <f ca="1">IF(LOWER(Capacity!$L96)="x",IF(AND(SUMIF(Capacity_Resource,$D84,'Critical resources (hide)'!AF$6:AF$105)+SUMIF(Capacity_Resource,$E84,'Critical resources (hide)'!AF$6:AF$105)+SUMIF(Capacity_Resource,$F84,'Critical resources (hide)'!AF$6:AF$105)&gt;0,$E$1=2),0,1),0)</f>
        <v>1</v>
      </c>
      <c r="T84" s="67">
        <f ca="1">IF(LOWER(Capacity!$L96)="x",IF(AND(SUMIF(Capacity_Resource,$D84,'Critical resources (hide)'!AG$6:AG$105)+SUMIF(Capacity_Resource,$E84,'Critical resources (hide)'!AG$6:AG$105)+SUMIF(Capacity_Resource,$F84,'Critical resources (hide)'!AG$6:AG$105)&gt;0,$E$1=2),0,1),0)</f>
        <v>1</v>
      </c>
      <c r="U84" s="67">
        <f ca="1">IF(LOWER(Capacity!$L96)="x",IF(AND(SUMIF(Capacity_Resource,$D84,'Critical resources (hide)'!AH$6:AH$105)+SUMIF(Capacity_Resource,$E84,'Critical resources (hide)'!AH$6:AH$105)+SUMIF(Capacity_Resource,$F84,'Critical resources (hide)'!AH$6:AH$105)&gt;0,$E$1=2),0,1),0)</f>
        <v>1</v>
      </c>
      <c r="V84" s="67">
        <f ca="1">IF(LOWER(Capacity!$L96)="x",IF(AND(SUMIF(Capacity_Resource,$D84,'Critical resources (hide)'!AI$6:AI$105)+SUMIF(Capacity_Resource,$E84,'Critical resources (hide)'!AI$6:AI$105)+SUMIF(Capacity_Resource,$F84,'Critical resources (hide)'!AI$6:AI$105)&gt;0,$E$1=2),0,1),0)</f>
        <v>1</v>
      </c>
      <c r="W84" s="67">
        <f ca="1">IF(LOWER(Capacity!$L96)="x",IF(AND(SUMIF(Capacity_Resource,$D84,'Critical resources (hide)'!AJ$6:AJ$105)+SUMIF(Capacity_Resource,$E84,'Critical resources (hide)'!AJ$6:AJ$105)+SUMIF(Capacity_Resource,$F84,'Critical resources (hide)'!AJ$6:AJ$105)&gt;0,$E$1=2),0,1),0)</f>
        <v>1</v>
      </c>
      <c r="X84" s="67">
        <f ca="1">IF(LOWER(Capacity!$L96)="x",IF(AND(SUMIF(Capacity_Resource,$D84,'Critical resources (hide)'!AK$6:AK$105)+SUMIF(Capacity_Resource,$E84,'Critical resources (hide)'!AK$6:AK$105)+SUMIF(Capacity_Resource,$F84,'Critical resources (hide)'!AK$6:AK$105)&gt;0,$E$1=2),0,1),0)</f>
        <v>1</v>
      </c>
      <c r="Y84" s="67">
        <f ca="1">IF(LOWER(Capacity!$L96)="x",IF(AND(SUMIF(Capacity_Resource,$D84,'Critical resources (hide)'!AL$6:AL$105)+SUMIF(Capacity_Resource,$E84,'Critical resources (hide)'!AL$6:AL$105)+SUMIF(Capacity_Resource,$F84,'Critical resources (hide)'!AL$6:AL$105)&gt;0,$E$1=2),0,1),0)</f>
        <v>1</v>
      </c>
      <c r="Z84" s="67">
        <f ca="1">IF(LOWER(Capacity!$L96)="x",IF(AND(SUMIF(Capacity_Resource,$D84,'Critical resources (hide)'!AM$6:AM$105)+SUMIF(Capacity_Resource,$E84,'Critical resources (hide)'!AM$6:AM$105)+SUMIF(Capacity_Resource,$F84,'Critical resources (hide)'!AM$6:AM$105)&gt;0,$E$1=2),0,1),0)</f>
        <v>1</v>
      </c>
      <c r="AA84" s="67">
        <f ca="1">IF(LOWER(Capacity!$L96)="x",IF(AND(SUMIF(Capacity_Resource,$D84,'Critical resources (hide)'!AN$6:AN$105)+SUMIF(Capacity_Resource,$E84,'Critical resources (hide)'!AN$6:AN$105)+SUMIF(Capacity_Resource,$F84,'Critical resources (hide)'!AN$6:AN$105)&gt;0,$E$1=2),0,1),0)</f>
        <v>1</v>
      </c>
      <c r="AB84" s="67">
        <f ca="1">IF(LOWER(Capacity!$L96)="x",IF(AND(SUMIF(Capacity_Resource,$D84,'Critical resources (hide)'!AO$6:AO$105)+SUMIF(Capacity_Resource,$E84,'Critical resources (hide)'!AO$6:AO$105)+SUMIF(Capacity_Resource,$F84,'Critical resources (hide)'!AO$6:AO$105)&gt;0,$E$1=2),0,1),0)</f>
        <v>1</v>
      </c>
      <c r="AC84" s="67">
        <f ca="1">IF(LOWER(Capacity!$L96)="x",IF(AND(SUMIF(Capacity_Resource,$D84,'Critical resources (hide)'!AP$6:AP$105)+SUMIF(Capacity_Resource,$E84,'Critical resources (hide)'!AP$6:AP$105)+SUMIF(Capacity_Resource,$F84,'Critical resources (hide)'!AP$6:AP$105)&gt;0,$E$1=2),0,1),0)</f>
        <v>1</v>
      </c>
      <c r="AD84" s="67">
        <f ca="1">IF(LOWER(Capacity!$L96)="x",IF(AND(SUMIF(Capacity_Resource,$D84,'Critical resources (hide)'!AQ$6:AQ$105)+SUMIF(Capacity_Resource,$E84,'Critical resources (hide)'!AQ$6:AQ$105)+SUMIF(Capacity_Resource,$F84,'Critical resources (hide)'!AQ$6:AQ$105)&gt;0,$E$1=2),0,1),0)</f>
        <v>1</v>
      </c>
      <c r="AE84" s="67">
        <f ca="1">IF(LOWER(Capacity!$L96)="x",IF(AND(SUMIF(Capacity_Resource,$D84,'Critical resources (hide)'!AR$6:AR$105)+SUMIF(Capacity_Resource,$E84,'Critical resources (hide)'!AR$6:AR$105)+SUMIF(Capacity_Resource,$F84,'Critical resources (hide)'!AR$6:AR$105)&gt;0,$E$1=2),0,1),0)</f>
        <v>1</v>
      </c>
      <c r="AF84" s="67">
        <f ca="1">IF(LOWER(Capacity!$L96)="x",IF(AND(SUMIF(Capacity_Resource,$D84,'Critical resources (hide)'!AS$6:AS$105)+SUMIF(Capacity_Resource,$E84,'Critical resources (hide)'!AS$6:AS$105)+SUMIF(Capacity_Resource,$F84,'Critical resources (hide)'!AS$6:AS$105)&gt;0,$E$1=2),0,1),0)</f>
        <v>1</v>
      </c>
      <c r="AG84" s="67">
        <f ca="1">IF(LOWER(Capacity!$L96)="x",IF(AND(SUMIF(Capacity_Resource,$D84,'Critical resources (hide)'!AT$6:AT$105)+SUMIF(Capacity_Resource,$E84,'Critical resources (hide)'!AT$6:AT$105)+SUMIF(Capacity_Resource,$F84,'Critical resources (hide)'!AT$6:AT$105)&gt;0,$E$1=2),0,1),0)</f>
        <v>1</v>
      </c>
      <c r="AH84" s="67">
        <f ca="1">IF(LOWER(Capacity!$L96)="x",IF(AND(SUMIF(Capacity_Resource,$D84,'Critical resources (hide)'!AU$6:AU$105)+SUMIF(Capacity_Resource,$E84,'Critical resources (hide)'!AU$6:AU$105)+SUMIF(Capacity_Resource,$F84,'Critical resources (hide)'!AU$6:AU$105)&gt;0,$E$1=2),0,1),0)</f>
        <v>1</v>
      </c>
      <c r="AI84" s="67">
        <f ca="1">IF(LOWER(Capacity!$L96)="x",IF(AND(SUMIF(Capacity_Resource,$D84,'Critical resources (hide)'!AV$6:AV$105)+SUMIF(Capacity_Resource,$E84,'Critical resources (hide)'!AV$6:AV$105)+SUMIF(Capacity_Resource,$F84,'Critical resources (hide)'!AV$6:AV$105)&gt;0,$E$1=2),0,1),0)</f>
        <v>1</v>
      </c>
      <c r="AJ84" s="67">
        <f ca="1">IF(LOWER(Capacity!$L96)="x",IF(AND(SUMIF(Capacity_Resource,$D84,'Critical resources (hide)'!AW$6:AW$105)+SUMIF(Capacity_Resource,$E84,'Critical resources (hide)'!AW$6:AW$105)+SUMIF(Capacity_Resource,$F84,'Critical resources (hide)'!AW$6:AW$105)&gt;0,$E$1=2),0,1),0)</f>
        <v>1</v>
      </c>
      <c r="AK84" s="67">
        <f ca="1">IF(LOWER(Capacity!$L96)="x",IF(AND(SUMIF(Capacity_Resource,$D84,'Critical resources (hide)'!AX$6:AX$105)+SUMIF(Capacity_Resource,$E84,'Critical resources (hide)'!AX$6:AX$105)+SUMIF(Capacity_Resource,$F84,'Critical resources (hide)'!AX$6:AX$105)&gt;0,$E$1=2),0,1),0)</f>
        <v>1</v>
      </c>
      <c r="AL84" s="67">
        <f ca="1">IF(LOWER(Capacity!$L96)="x",IF(AND(SUMIF(Capacity_Resource,$D84,'Critical resources (hide)'!AY$6:AY$105)+SUMIF(Capacity_Resource,$E84,'Critical resources (hide)'!AY$6:AY$105)+SUMIF(Capacity_Resource,$F84,'Critical resources (hide)'!AY$6:AY$105)&gt;0,$E$1=2),0,1),0)</f>
        <v>1</v>
      </c>
      <c r="AM84" s="67">
        <f ca="1">IF(LOWER(Capacity!$L96)="x",IF(AND(SUMIF(Capacity_Resource,$D84,'Critical resources (hide)'!AZ$6:AZ$105)+SUMIF(Capacity_Resource,$E84,'Critical resources (hide)'!AZ$6:AZ$105)+SUMIF(Capacity_Resource,$F84,'Critical resources (hide)'!AZ$6:AZ$105)&gt;0,$E$1=2),0,1),0)</f>
        <v>1</v>
      </c>
      <c r="AN84" s="67">
        <f ca="1">IF(LOWER(Capacity!$L96)="x",IF(AND(SUMIF(Capacity_Resource,$D84,'Critical resources (hide)'!BA$6:BA$105)+SUMIF(Capacity_Resource,$E84,'Critical resources (hide)'!BA$6:BA$105)+SUMIF(Capacity_Resource,$F84,'Critical resources (hide)'!BA$6:BA$105)&gt;0,$E$1=2),0,1),0)</f>
        <v>1</v>
      </c>
      <c r="AO84" s="67">
        <f ca="1">IF(LOWER(Capacity!$L96)="x",IF(AND(SUMIF(Capacity_Resource,$D84,'Critical resources (hide)'!BB$6:BB$105)+SUMIF(Capacity_Resource,$E84,'Critical resources (hide)'!BB$6:BB$105)+SUMIF(Capacity_Resource,$F84,'Critical resources (hide)'!BB$6:BB$105)&gt;0,$E$1=2),0,1),0)</f>
        <v>1</v>
      </c>
      <c r="AP84" s="67">
        <f ca="1">IF(LOWER(Capacity!$L96)="x",IF(AND(SUMIF(Capacity_Resource,$D84,'Critical resources (hide)'!BC$6:BC$105)+SUMIF(Capacity_Resource,$E84,'Critical resources (hide)'!BC$6:BC$105)+SUMIF(Capacity_Resource,$F84,'Critical resources (hide)'!BC$6:BC$105)&gt;0,$E$1=2),0,1),0)</f>
        <v>1</v>
      </c>
      <c r="AQ84" s="67">
        <f ca="1">IF(LOWER(Capacity!$L96)="x",IF(AND(SUMIF(Capacity_Resource,$D84,'Critical resources (hide)'!BD$6:BD$105)+SUMIF(Capacity_Resource,$E84,'Critical resources (hide)'!BD$6:BD$105)+SUMIF(Capacity_Resource,$F84,'Critical resources (hide)'!BD$6:BD$105)&gt;0,$E$1=2),0,1),0)</f>
        <v>1</v>
      </c>
      <c r="AR84" s="67">
        <f ca="1">IF(LOWER(Capacity!$L96)="x",IF(AND(SUMIF(Capacity_Resource,$D84,'Critical resources (hide)'!BE$6:BE$105)+SUMIF(Capacity_Resource,$E84,'Critical resources (hide)'!BE$6:BE$105)+SUMIF(Capacity_Resource,$F84,'Critical resources (hide)'!BE$6:BE$105)&gt;0,$E$1=2),0,1),0)</f>
        <v>1</v>
      </c>
      <c r="AS84" s="67">
        <f ca="1">IF(LOWER(Capacity!$L96)="x",IF(AND(SUMIF(Capacity_Resource,$D84,'Critical resources (hide)'!BF$6:BF$105)+SUMIF(Capacity_Resource,$E84,'Critical resources (hide)'!BF$6:BF$105)+SUMIF(Capacity_Resource,$F84,'Critical resources (hide)'!BF$6:BF$105)&gt;0,$E$1=2),0,1),0)</f>
        <v>1</v>
      </c>
      <c r="AT84" s="67">
        <f ca="1">IF(LOWER(Capacity!$L96)="x",IF(AND(SUMIF(Capacity_Resource,$D84,'Critical resources (hide)'!BG$6:BG$105)+SUMIF(Capacity_Resource,$E84,'Critical resources (hide)'!BG$6:BG$105)+SUMIF(Capacity_Resource,$F84,'Critical resources (hide)'!BG$6:BG$105)&gt;0,$E$1=2),0,1),0)</f>
        <v>1</v>
      </c>
      <c r="AU84" s="67">
        <f ca="1">IF(LOWER(Capacity!$L96)="x",IF(AND(SUMIF(Capacity_Resource,$D84,'Critical resources (hide)'!BH$6:BH$105)+SUMIF(Capacity_Resource,$E84,'Critical resources (hide)'!BH$6:BH$105)+SUMIF(Capacity_Resource,$F84,'Critical resources (hide)'!BH$6:BH$105)&gt;0,$E$1=2),0,1),0)</f>
        <v>1</v>
      </c>
      <c r="AV84" s="67">
        <f ca="1">IF(LOWER(Capacity!$L96)="x",IF(AND(SUMIF(Capacity_Resource,$D84,'Critical resources (hide)'!BI$6:BI$105)+SUMIF(Capacity_Resource,$E84,'Critical resources (hide)'!BI$6:BI$105)+SUMIF(Capacity_Resource,$F84,'Critical resources (hide)'!BI$6:BI$105)&gt;0,$E$1=2),0,1),0)</f>
        <v>1</v>
      </c>
      <c r="AW84" s="67">
        <f ca="1">IF(LOWER(Capacity!$L96)="x",IF(AND(SUMIF(Capacity_Resource,$D84,'Critical resources (hide)'!BJ$6:BJ$105)+SUMIF(Capacity_Resource,$E84,'Critical resources (hide)'!BJ$6:BJ$105)+SUMIF(Capacity_Resource,$F84,'Critical resources (hide)'!BJ$6:BJ$105)&gt;0,$E$1=2),0,1),0)</f>
        <v>1</v>
      </c>
      <c r="AX84" s="67">
        <f ca="1">IF(LOWER(Capacity!$L96)="x",IF(AND(SUMIF(Capacity_Resource,$D84,'Critical resources (hide)'!BK$6:BK$105)+SUMIF(Capacity_Resource,$E84,'Critical resources (hide)'!BK$6:BK$105)+SUMIF(Capacity_Resource,$F84,'Critical resources (hide)'!BK$6:BK$105)&gt;0,$E$1=2),0,1),0)</f>
        <v>1</v>
      </c>
      <c r="AY84" s="67">
        <f ca="1">IF(LOWER(Capacity!$L96)="x",IF(AND(SUMIF(Capacity_Resource,$D84,'Critical resources (hide)'!BL$6:BL$105)+SUMIF(Capacity_Resource,$E84,'Critical resources (hide)'!BL$6:BL$105)+SUMIF(Capacity_Resource,$F84,'Critical resources (hide)'!BL$6:BL$105)&gt;0,$E$1=2),0,1),0)</f>
        <v>1</v>
      </c>
      <c r="AZ84" s="67">
        <f ca="1">IF(LOWER(Capacity!$L96)="x",IF(AND(SUMIF(Capacity_Resource,$D84,'Critical resources (hide)'!BM$6:BM$105)+SUMIF(Capacity_Resource,$E84,'Critical resources (hide)'!BM$6:BM$105)+SUMIF(Capacity_Resource,$F84,'Critical resources (hide)'!BM$6:BM$105)&gt;0,$E$1=2),0,1),0)</f>
        <v>1</v>
      </c>
      <c r="BA84" s="67">
        <f ca="1">IF(LOWER(Capacity!$L96)="x",IF(AND(SUMIF(Capacity_Resource,$D84,'Critical resources (hide)'!BN$6:BN$105)+SUMIF(Capacity_Resource,$E84,'Critical resources (hide)'!BN$6:BN$105)+SUMIF(Capacity_Resource,$F84,'Critical resources (hide)'!BN$6:BN$105)&gt;0,$E$1=2),0,1),0)</f>
        <v>1</v>
      </c>
      <c r="BB84" s="67">
        <f ca="1">IF(LOWER(Capacity!$L96)="x",IF(AND(SUMIF(Capacity_Resource,$D84,'Critical resources (hide)'!BO$6:BO$105)+SUMIF(Capacity_Resource,$E84,'Critical resources (hide)'!BO$6:BO$105)+SUMIF(Capacity_Resource,$F84,'Critical resources (hide)'!BO$6:BO$105)&gt;0,$E$1=2),0,1),0)</f>
        <v>1</v>
      </c>
      <c r="BC84" s="67">
        <f ca="1">IF(LOWER(Capacity!$L96)="x",IF(AND(SUMIF(Capacity_Resource,$D84,'Critical resources (hide)'!BP$6:BP$105)+SUMIF(Capacity_Resource,$E84,'Critical resources (hide)'!BP$6:BP$105)+SUMIF(Capacity_Resource,$F84,'Critical resources (hide)'!BP$6:BP$105)&gt;0,$E$1=2),0,1),0)</f>
        <v>1</v>
      </c>
      <c r="BD84" s="67">
        <f ca="1">IF(LOWER(Capacity!$L96)="x",IF(AND(SUMIF(Capacity_Resource,$D84,'Critical resources (hide)'!BQ$6:BQ$105)+SUMIF(Capacity_Resource,$E84,'Critical resources (hide)'!BQ$6:BQ$105)+SUMIF(Capacity_Resource,$F84,'Critical resources (hide)'!BQ$6:BQ$105)&gt;0,$E$1=2),0,1),0)</f>
        <v>1</v>
      </c>
      <c r="BE84" s="67">
        <f ca="1">IF(LOWER(Capacity!$L96)="x",IF(AND(SUMIF(Capacity_Resource,$D84,'Critical resources (hide)'!BR$6:BR$105)+SUMIF(Capacity_Resource,$E84,'Critical resources (hide)'!BR$6:BR$105)+SUMIF(Capacity_Resource,$F84,'Critical resources (hide)'!BR$6:BR$105)&gt;0,$E$1=2),0,1),0)</f>
        <v>1</v>
      </c>
      <c r="BF84" s="67">
        <f ca="1">IF(LOWER(Capacity!$L96)="x",IF(AND(SUMIF(Capacity_Resource,$D84,'Critical resources (hide)'!BS$6:BS$105)+SUMIF(Capacity_Resource,$E84,'Critical resources (hide)'!BS$6:BS$105)+SUMIF(Capacity_Resource,$F84,'Critical resources (hide)'!BS$6:BS$105)&gt;0,$E$1=2),0,1),0)</f>
        <v>1</v>
      </c>
      <c r="BG84" s="67">
        <f ca="1">IF(LOWER(Capacity!$L96)="x",IF(AND(SUMIF(Capacity_Resource,$D84,'Critical resources (hide)'!BT$6:BT$105)+SUMIF(Capacity_Resource,$E84,'Critical resources (hide)'!BT$6:BT$105)+SUMIF(Capacity_Resource,$F84,'Critical resources (hide)'!BT$6:BT$105)&gt;0,$E$1=2),0,1),0)</f>
        <v>1</v>
      </c>
      <c r="BH84" s="67">
        <f>IF(ROW(C80)&lt;=Capacity!$A$16,IF('Capacity summary'!$D$14="No",SUM(H84:BG84),'Capacity summary'!$E203),0)</f>
        <v>0</v>
      </c>
      <c r="BI84" s="5" t="str">
        <f>IF(BH84&gt;0,IF(BH84&lt;Capacity!E96,Capacity!F96,Capacity!H96/'Capacity calculation (hide)'!BH84),"")</f>
        <v/>
      </c>
      <c r="BK84" s="311">
        <f>IF($BI84&lt;&gt;"",IF('Capacity summary'!$D$14="Yes",IF(COUNTBLANK('Capacity summary'!$H203:$BG203)&lt;52,IF('Capacity summary'!H203&lt;&gt;"",IF(LOWER('Capacity summary'!H203)="x",$BI84*H84,VALUE('Capacity summary'!H203)),0),H84*$BI84),H84*$BI84),0)</f>
        <v>0</v>
      </c>
      <c r="BL84" s="311">
        <f>IF($BI84&lt;&gt;"",IF('Capacity summary'!$D$14="Yes",IF(COUNTBLANK('Capacity summary'!$H203:$BG203)&lt;52,IF('Capacity summary'!I203&lt;&gt;"",IF(LOWER('Capacity summary'!I203)="x",$BI84*I84,VALUE('Capacity summary'!I203)),0),I84*$BI84),I84*$BI84),0)</f>
        <v>0</v>
      </c>
      <c r="BM84" s="311">
        <f>IF($BI84&lt;&gt;"",IF('Capacity summary'!$D$14="Yes",IF(COUNTBLANK('Capacity summary'!$H203:$BG203)&lt;52,IF('Capacity summary'!J203&lt;&gt;"",IF(LOWER('Capacity summary'!J203)="x",$BI84*J84,VALUE('Capacity summary'!J203)),0),J84*$BI84),J84*$BI84),0)</f>
        <v>0</v>
      </c>
      <c r="BN84" s="311">
        <f>IF($BI84&lt;&gt;"",IF('Capacity summary'!$D$14="Yes",IF(COUNTBLANK('Capacity summary'!$H203:$BG203)&lt;52,IF('Capacity summary'!K203&lt;&gt;"",IF(LOWER('Capacity summary'!K203)="x",$BI84*K84,VALUE('Capacity summary'!K203)),0),K84*$BI84),K84*$BI84),0)</f>
        <v>0</v>
      </c>
      <c r="BO84" s="311">
        <f>IF($BI84&lt;&gt;"",IF('Capacity summary'!$D$14="Yes",IF(COUNTBLANK('Capacity summary'!$H203:$BG203)&lt;52,IF('Capacity summary'!L203&lt;&gt;"",IF(LOWER('Capacity summary'!L203)="x",$BI84*L84,VALUE('Capacity summary'!L203)),0),L84*$BI84),L84*$BI84),0)</f>
        <v>0</v>
      </c>
      <c r="BP84" s="311">
        <f>IF($BI84&lt;&gt;"",IF('Capacity summary'!$D$14="Yes",IF(COUNTBLANK('Capacity summary'!$H203:$BG203)&lt;52,IF('Capacity summary'!M203&lt;&gt;"",IF(LOWER('Capacity summary'!M203)="x",$BI84*M84,VALUE('Capacity summary'!M203)),0),M84*$BI84),M84*$BI84),0)</f>
        <v>0</v>
      </c>
      <c r="BQ84" s="311">
        <f>IF($BI84&lt;&gt;"",IF('Capacity summary'!$D$14="Yes",IF(COUNTBLANK('Capacity summary'!$H203:$BG203)&lt;52,IF('Capacity summary'!N203&lt;&gt;"",IF(LOWER('Capacity summary'!N203)="x",$BI84*N84,VALUE('Capacity summary'!N203)),0),N84*$BI84),N84*$BI84),0)</f>
        <v>0</v>
      </c>
      <c r="BR84" s="311">
        <f>IF($BI84&lt;&gt;"",IF('Capacity summary'!$D$14="Yes",IF(COUNTBLANK('Capacity summary'!$H203:$BG203)&lt;52,IF('Capacity summary'!O203&lt;&gt;"",IF(LOWER('Capacity summary'!O203)="x",$BI84*O84,VALUE('Capacity summary'!O203)),0),O84*$BI84),O84*$BI84),0)</f>
        <v>0</v>
      </c>
      <c r="BS84" s="311">
        <f>IF($BI84&lt;&gt;"",IF('Capacity summary'!$D$14="Yes",IF(COUNTBLANK('Capacity summary'!$H203:$BG203)&lt;52,IF('Capacity summary'!P203&lt;&gt;"",IF(LOWER('Capacity summary'!P203)="x",$BI84*P84,VALUE('Capacity summary'!P203)),0),P84*$BI84),P84*$BI84),0)</f>
        <v>0</v>
      </c>
      <c r="BT84" s="311">
        <f>IF($BI84&lt;&gt;"",IF('Capacity summary'!$D$14="Yes",IF(COUNTBLANK('Capacity summary'!$H203:$BG203)&lt;52,IF('Capacity summary'!Q203&lt;&gt;"",IF(LOWER('Capacity summary'!Q203)="x",$BI84*Q84,VALUE('Capacity summary'!Q203)),0),Q84*$BI84),Q84*$BI84),0)</f>
        <v>0</v>
      </c>
      <c r="BU84" s="311">
        <f>IF($BI84&lt;&gt;"",IF('Capacity summary'!$D$14="Yes",IF(COUNTBLANK('Capacity summary'!$H203:$BG203)&lt;52,IF('Capacity summary'!R203&lt;&gt;"",IF(LOWER('Capacity summary'!R203)="x",$BI84*R84,VALUE('Capacity summary'!R203)),0),R84*$BI84),R84*$BI84),0)</f>
        <v>0</v>
      </c>
      <c r="BV84" s="311">
        <f>IF($BI84&lt;&gt;"",IF('Capacity summary'!$D$14="Yes",IF(COUNTBLANK('Capacity summary'!$H203:$BG203)&lt;52,IF('Capacity summary'!S203&lt;&gt;"",IF(LOWER('Capacity summary'!S203)="x",$BI84*S84,VALUE('Capacity summary'!S203)),0),S84*$BI84),S84*$BI84),0)</f>
        <v>0</v>
      </c>
      <c r="BW84" s="311">
        <f>IF($BI84&lt;&gt;"",IF('Capacity summary'!$D$14="Yes",IF(COUNTBLANK('Capacity summary'!$H203:$BG203)&lt;52,IF('Capacity summary'!T203&lt;&gt;"",IF(LOWER('Capacity summary'!T203)="x",$BI84*T84,VALUE('Capacity summary'!T203)),0),T84*$BI84),T84*$BI84),0)</f>
        <v>0</v>
      </c>
      <c r="BX84" s="311">
        <f>IF($BI84&lt;&gt;"",IF('Capacity summary'!$D$14="Yes",IF(COUNTBLANK('Capacity summary'!$H203:$BG203)&lt;52,IF('Capacity summary'!U203&lt;&gt;"",IF(LOWER('Capacity summary'!U203)="x",$BI84*U84,VALUE('Capacity summary'!U203)),0),U84*$BI84),U84*$BI84),0)</f>
        <v>0</v>
      </c>
      <c r="BY84" s="311">
        <f>IF($BI84&lt;&gt;"",IF('Capacity summary'!$D$14="Yes",IF(COUNTBLANK('Capacity summary'!$H203:$BG203)&lt;52,IF('Capacity summary'!V203&lt;&gt;"",IF(LOWER('Capacity summary'!V203)="x",$BI84*V84,VALUE('Capacity summary'!V203)),0),V84*$BI84),V84*$BI84),0)</f>
        <v>0</v>
      </c>
      <c r="BZ84" s="311">
        <f>IF($BI84&lt;&gt;"",IF('Capacity summary'!$D$14="Yes",IF(COUNTBLANK('Capacity summary'!$H203:$BG203)&lt;52,IF('Capacity summary'!W203&lt;&gt;"",IF(LOWER('Capacity summary'!W203)="x",$BI84*W84,VALUE('Capacity summary'!W203)),0),W84*$BI84),W84*$BI84),0)</f>
        <v>0</v>
      </c>
      <c r="CA84" s="311">
        <f>IF($BI84&lt;&gt;"",IF('Capacity summary'!$D$14="Yes",IF(COUNTBLANK('Capacity summary'!$H203:$BG203)&lt;52,IF('Capacity summary'!X203&lt;&gt;"",IF(LOWER('Capacity summary'!X203)="x",$BI84*X84,VALUE('Capacity summary'!X203)),0),X84*$BI84),X84*$BI84),0)</f>
        <v>0</v>
      </c>
      <c r="CB84" s="311">
        <f>IF($BI84&lt;&gt;"",IF('Capacity summary'!$D$14="Yes",IF(COUNTBLANK('Capacity summary'!$H203:$BG203)&lt;52,IF('Capacity summary'!Y203&lt;&gt;"",IF(LOWER('Capacity summary'!Y203)="x",$BI84*Y84,VALUE('Capacity summary'!Y203)),0),Y84*$BI84),Y84*$BI84),0)</f>
        <v>0</v>
      </c>
      <c r="CC84" s="311">
        <f>IF($BI84&lt;&gt;"",IF('Capacity summary'!$D$14="Yes",IF(COUNTBLANK('Capacity summary'!$H203:$BG203)&lt;52,IF('Capacity summary'!Z203&lt;&gt;"",IF(LOWER('Capacity summary'!Z203)="x",$BI84*Z84,VALUE('Capacity summary'!Z203)),0),Z84*$BI84),Z84*$BI84),0)</f>
        <v>0</v>
      </c>
      <c r="CD84" s="311">
        <f>IF($BI84&lt;&gt;"",IF('Capacity summary'!$D$14="Yes",IF(COUNTBLANK('Capacity summary'!$H203:$BG203)&lt;52,IF('Capacity summary'!AA203&lt;&gt;"",IF(LOWER('Capacity summary'!AA203)="x",$BI84*AA84,VALUE('Capacity summary'!AA203)),0),AA84*$BI84),AA84*$BI84),0)</f>
        <v>0</v>
      </c>
      <c r="CE84" s="311">
        <f>IF($BI84&lt;&gt;"",IF('Capacity summary'!$D$14="Yes",IF(COUNTBLANK('Capacity summary'!$H203:$BG203)&lt;52,IF('Capacity summary'!AB203&lt;&gt;"",IF(LOWER('Capacity summary'!AB203)="x",$BI84*AB84,VALUE('Capacity summary'!AB203)),0),AB84*$BI84),AB84*$BI84),0)</f>
        <v>0</v>
      </c>
      <c r="CF84" s="311">
        <f>IF($BI84&lt;&gt;"",IF('Capacity summary'!$D$14="Yes",IF(COUNTBLANK('Capacity summary'!$H203:$BG203)&lt;52,IF('Capacity summary'!AC203&lt;&gt;"",IF(LOWER('Capacity summary'!AC203)="x",$BI84*AC84,VALUE('Capacity summary'!AC203)),0),AC84*$BI84),AC84*$BI84),0)</f>
        <v>0</v>
      </c>
      <c r="CG84" s="311">
        <f>IF($BI84&lt;&gt;"",IF('Capacity summary'!$D$14="Yes",IF(COUNTBLANK('Capacity summary'!$H203:$BG203)&lt;52,IF('Capacity summary'!AD203&lt;&gt;"",IF(LOWER('Capacity summary'!AD203)="x",$BI84*AD84,VALUE('Capacity summary'!AD203)),0),AD84*$BI84),AD84*$BI84),0)</f>
        <v>0</v>
      </c>
      <c r="CH84" s="311">
        <f>IF($BI84&lt;&gt;"",IF('Capacity summary'!$D$14="Yes",IF(COUNTBLANK('Capacity summary'!$H203:$BG203)&lt;52,IF('Capacity summary'!AE203&lt;&gt;"",IF(LOWER('Capacity summary'!AE203)="x",$BI84*AE84,VALUE('Capacity summary'!AE203)),0),AE84*$BI84),AE84*$BI84),0)</f>
        <v>0</v>
      </c>
      <c r="CI84" s="311">
        <f>IF($BI84&lt;&gt;"",IF('Capacity summary'!$D$14="Yes",IF(COUNTBLANK('Capacity summary'!$H203:$BG203)&lt;52,IF('Capacity summary'!AF203&lt;&gt;"",IF(LOWER('Capacity summary'!AF203)="x",$BI84*AF84,VALUE('Capacity summary'!AF203)),0),AF84*$BI84),AF84*$BI84),0)</f>
        <v>0</v>
      </c>
      <c r="CJ84" s="311">
        <f>IF($BI84&lt;&gt;"",IF('Capacity summary'!$D$14="Yes",IF(COUNTBLANK('Capacity summary'!$H203:$BG203)&lt;52,IF('Capacity summary'!AG203&lt;&gt;"",IF(LOWER('Capacity summary'!AG203)="x",$BI84*AG84,VALUE('Capacity summary'!AG203)),0),AG84*$BI84),AG84*$BI84),0)</f>
        <v>0</v>
      </c>
      <c r="CK84" s="311">
        <f>IF($BI84&lt;&gt;"",IF('Capacity summary'!$D$14="Yes",IF(COUNTBLANK('Capacity summary'!$H203:$BG203)&lt;52,IF('Capacity summary'!AH203&lt;&gt;"",IF(LOWER('Capacity summary'!AH203)="x",$BI84*AH84,VALUE('Capacity summary'!AH203)),0),AH84*$BI84),AH84*$BI84),0)</f>
        <v>0</v>
      </c>
      <c r="CL84" s="311">
        <f>IF($BI84&lt;&gt;"",IF('Capacity summary'!$D$14="Yes",IF(COUNTBLANK('Capacity summary'!$H203:$BG203)&lt;52,IF('Capacity summary'!AI203&lt;&gt;"",IF(LOWER('Capacity summary'!AI203)="x",$BI84*AI84,VALUE('Capacity summary'!AI203)),0),AI84*$BI84),AI84*$BI84),0)</f>
        <v>0</v>
      </c>
      <c r="CM84" s="311">
        <f>IF($BI84&lt;&gt;"",IF('Capacity summary'!$D$14="Yes",IF(COUNTBLANK('Capacity summary'!$H203:$BG203)&lt;52,IF('Capacity summary'!AJ203&lt;&gt;"",IF(LOWER('Capacity summary'!AJ203)="x",$BI84*AJ84,VALUE('Capacity summary'!AJ203)),0),AJ84*$BI84),AJ84*$BI84),0)</f>
        <v>0</v>
      </c>
      <c r="CN84" s="311">
        <f>IF($BI84&lt;&gt;"",IF('Capacity summary'!$D$14="Yes",IF(COUNTBLANK('Capacity summary'!$H203:$BG203)&lt;52,IF('Capacity summary'!AK203&lt;&gt;"",IF(LOWER('Capacity summary'!AK203)="x",$BI84*AK84,VALUE('Capacity summary'!AK203)),0),AK84*$BI84),AK84*$BI84),0)</f>
        <v>0</v>
      </c>
      <c r="CO84" s="311">
        <f>IF($BI84&lt;&gt;"",IF('Capacity summary'!$D$14="Yes",IF(COUNTBLANK('Capacity summary'!$H203:$BG203)&lt;52,IF('Capacity summary'!AL203&lt;&gt;"",IF(LOWER('Capacity summary'!AL203)="x",$BI84*AL84,VALUE('Capacity summary'!AL203)),0),AL84*$BI84),AL84*$BI84),0)</f>
        <v>0</v>
      </c>
      <c r="CP84" s="311">
        <f>IF($BI84&lt;&gt;"",IF('Capacity summary'!$D$14="Yes",IF(COUNTBLANK('Capacity summary'!$H203:$BG203)&lt;52,IF('Capacity summary'!AM203&lt;&gt;"",IF(LOWER('Capacity summary'!AM203)="x",$BI84*AM84,VALUE('Capacity summary'!AM203)),0),AM84*$BI84),AM84*$BI84),0)</f>
        <v>0</v>
      </c>
      <c r="CQ84" s="311">
        <f>IF($BI84&lt;&gt;"",IF('Capacity summary'!$D$14="Yes",IF(COUNTBLANK('Capacity summary'!$H203:$BG203)&lt;52,IF('Capacity summary'!AN203&lt;&gt;"",IF(LOWER('Capacity summary'!AN203)="x",$BI84*AN84,VALUE('Capacity summary'!AN203)),0),AN84*$BI84),AN84*$BI84),0)</f>
        <v>0</v>
      </c>
      <c r="CR84" s="311">
        <f>IF($BI84&lt;&gt;"",IF('Capacity summary'!$D$14="Yes",IF(COUNTBLANK('Capacity summary'!$H203:$BG203)&lt;52,IF('Capacity summary'!AO203&lt;&gt;"",IF(LOWER('Capacity summary'!AO203)="x",$BI84*AO84,VALUE('Capacity summary'!AO203)),0),AO84*$BI84),AO84*$BI84),0)</f>
        <v>0</v>
      </c>
      <c r="CS84" s="311">
        <f>IF($BI84&lt;&gt;"",IF('Capacity summary'!$D$14="Yes",IF(COUNTBLANK('Capacity summary'!$H203:$BG203)&lt;52,IF('Capacity summary'!AP203&lt;&gt;"",IF(LOWER('Capacity summary'!AP203)="x",$BI84*AP84,VALUE('Capacity summary'!AP203)),0),AP84*$BI84),AP84*$BI84),0)</f>
        <v>0</v>
      </c>
      <c r="CT84" s="311">
        <f>IF($BI84&lt;&gt;"",IF('Capacity summary'!$D$14="Yes",IF(COUNTBLANK('Capacity summary'!$H203:$BG203)&lt;52,IF('Capacity summary'!AQ203&lt;&gt;"",IF(LOWER('Capacity summary'!AQ203)="x",$BI84*AQ84,VALUE('Capacity summary'!AQ203)),0),AQ84*$BI84),AQ84*$BI84),0)</f>
        <v>0</v>
      </c>
      <c r="CU84" s="311">
        <f>IF($BI84&lt;&gt;"",IF('Capacity summary'!$D$14="Yes",IF(COUNTBLANK('Capacity summary'!$H203:$BG203)&lt;52,IF('Capacity summary'!AR203&lt;&gt;"",IF(LOWER('Capacity summary'!AR203)="x",$BI84*AR84,VALUE('Capacity summary'!AR203)),0),AR84*$BI84),AR84*$BI84),0)</f>
        <v>0</v>
      </c>
      <c r="CV84" s="311">
        <f>IF($BI84&lt;&gt;"",IF('Capacity summary'!$D$14="Yes",IF(COUNTBLANK('Capacity summary'!$H203:$BG203)&lt;52,IF('Capacity summary'!AS203&lt;&gt;"",IF(LOWER('Capacity summary'!AS203)="x",$BI84*AS84,VALUE('Capacity summary'!AS203)),0),AS84*$BI84),AS84*$BI84),0)</f>
        <v>0</v>
      </c>
      <c r="CW84" s="311">
        <f>IF($BI84&lt;&gt;"",IF('Capacity summary'!$D$14="Yes",IF(COUNTBLANK('Capacity summary'!$H203:$BG203)&lt;52,IF('Capacity summary'!AT203&lt;&gt;"",IF(LOWER('Capacity summary'!AT203)="x",$BI84*AT84,VALUE('Capacity summary'!AT203)),0),AT84*$BI84),AT84*$BI84),0)</f>
        <v>0</v>
      </c>
      <c r="CX84" s="311">
        <f>IF($BI84&lt;&gt;"",IF('Capacity summary'!$D$14="Yes",IF(COUNTBLANK('Capacity summary'!$H203:$BG203)&lt;52,IF('Capacity summary'!AU203&lt;&gt;"",IF(LOWER('Capacity summary'!AU203)="x",$BI84*AU84,VALUE('Capacity summary'!AU203)),0),AU84*$BI84),AU84*$BI84),0)</f>
        <v>0</v>
      </c>
      <c r="CY84" s="311">
        <f>IF($BI84&lt;&gt;"",IF('Capacity summary'!$D$14="Yes",IF(COUNTBLANK('Capacity summary'!$H203:$BG203)&lt;52,IF('Capacity summary'!AV203&lt;&gt;"",IF(LOWER('Capacity summary'!AV203)="x",$BI84*AV84,VALUE('Capacity summary'!AV203)),0),AV84*$BI84),AV84*$BI84),0)</f>
        <v>0</v>
      </c>
      <c r="CZ84" s="311">
        <f>IF($BI84&lt;&gt;"",IF('Capacity summary'!$D$14="Yes",IF(COUNTBLANK('Capacity summary'!$H203:$BG203)&lt;52,IF('Capacity summary'!AW203&lt;&gt;"",IF(LOWER('Capacity summary'!AW203)="x",$BI84*AW84,VALUE('Capacity summary'!AW203)),0),AW84*$BI84),AW84*$BI84),0)</f>
        <v>0</v>
      </c>
      <c r="DA84" s="311">
        <f>IF($BI84&lt;&gt;"",IF('Capacity summary'!$D$14="Yes",IF(COUNTBLANK('Capacity summary'!$H203:$BG203)&lt;52,IF('Capacity summary'!AX203&lt;&gt;"",IF(LOWER('Capacity summary'!AX203)="x",$BI84*AX84,VALUE('Capacity summary'!AX203)),0),AX84*$BI84),AX84*$BI84),0)</f>
        <v>0</v>
      </c>
      <c r="DB84" s="311">
        <f>IF($BI84&lt;&gt;"",IF('Capacity summary'!$D$14="Yes",IF(COUNTBLANK('Capacity summary'!$H203:$BG203)&lt;52,IF('Capacity summary'!AY203&lt;&gt;"",IF(LOWER('Capacity summary'!AY203)="x",$BI84*AY84,VALUE('Capacity summary'!AY203)),0),AY84*$BI84),AY84*$BI84),0)</f>
        <v>0</v>
      </c>
      <c r="DC84" s="311">
        <f>IF($BI84&lt;&gt;"",IF('Capacity summary'!$D$14="Yes",IF(COUNTBLANK('Capacity summary'!$H203:$BG203)&lt;52,IF('Capacity summary'!AZ203&lt;&gt;"",IF(LOWER('Capacity summary'!AZ203)="x",$BI84*AZ84,VALUE('Capacity summary'!AZ203)),0),AZ84*$BI84),AZ84*$BI84),0)</f>
        <v>0</v>
      </c>
      <c r="DD84" s="311">
        <f>IF($BI84&lt;&gt;"",IF('Capacity summary'!$D$14="Yes",IF(COUNTBLANK('Capacity summary'!$H203:$BG203)&lt;52,IF('Capacity summary'!BA203&lt;&gt;"",IF(LOWER('Capacity summary'!BA203)="x",$BI84*BA84,VALUE('Capacity summary'!BA203)),0),BA84*$BI84),BA84*$BI84),0)</f>
        <v>0</v>
      </c>
      <c r="DE84" s="311">
        <f>IF($BI84&lt;&gt;"",IF('Capacity summary'!$D$14="Yes",IF(COUNTBLANK('Capacity summary'!$H203:$BG203)&lt;52,IF('Capacity summary'!BB203&lt;&gt;"",IF(LOWER('Capacity summary'!BB203)="x",$BI84*BB84,VALUE('Capacity summary'!BB203)),0),BB84*$BI84),BB84*$BI84),0)</f>
        <v>0</v>
      </c>
      <c r="DF84" s="311">
        <f>IF($BI84&lt;&gt;"",IF('Capacity summary'!$D$14="Yes",IF(COUNTBLANK('Capacity summary'!$H203:$BG203)&lt;52,IF('Capacity summary'!BC203&lt;&gt;"",IF(LOWER('Capacity summary'!BC203)="x",$BI84*BC84,VALUE('Capacity summary'!BC203)),0),BC84*$BI84),BC84*$BI84),0)</f>
        <v>0</v>
      </c>
      <c r="DG84" s="311">
        <f>IF($BI84&lt;&gt;"",IF('Capacity summary'!$D$14="Yes",IF(COUNTBLANK('Capacity summary'!$H203:$BG203)&lt;52,IF('Capacity summary'!BD203&lt;&gt;"",IF(LOWER('Capacity summary'!BD203)="x",$BI84*BD84,VALUE('Capacity summary'!BD203)),0),BD84*$BI84),BD84*$BI84),0)</f>
        <v>0</v>
      </c>
      <c r="DH84" s="311">
        <f>IF($BI84&lt;&gt;"",IF('Capacity summary'!$D$14="Yes",IF(COUNTBLANK('Capacity summary'!$H203:$BG203)&lt;52,IF('Capacity summary'!BE203&lt;&gt;"",IF(LOWER('Capacity summary'!BE203)="x",$BI84*BE84,VALUE('Capacity summary'!BE203)),0),BE84*$BI84),BE84*$BI84),0)</f>
        <v>0</v>
      </c>
      <c r="DI84" s="311">
        <f>IF($BI84&lt;&gt;"",IF('Capacity summary'!$D$14="Yes",IF(COUNTBLANK('Capacity summary'!$H203:$BG203)&lt;52,IF('Capacity summary'!BF203&lt;&gt;"",IF(LOWER('Capacity summary'!BF203)="x",$BI84*BF84,VALUE('Capacity summary'!BF203)),0),BF84*$BI84),BF84*$BI84),0)</f>
        <v>0</v>
      </c>
      <c r="DJ84" s="311">
        <f>IF($BI84&lt;&gt;"",IF('Capacity summary'!$D$14="Yes",IF(COUNTBLANK('Capacity summary'!$H203:$BG203)&lt;52,IF('Capacity summary'!BG203&lt;&gt;"",IF(LOWER('Capacity summary'!BG203)="x",$BI84*BG84,VALUE('Capacity summary'!BG203)),0),BG84*$BI84),BG84*$BI84),0)</f>
        <v>0</v>
      </c>
      <c r="DK84" s="391">
        <f t="shared" si="4"/>
        <v>0</v>
      </c>
      <c r="DL84" s="136">
        <f t="shared" si="5"/>
        <v>0</v>
      </c>
      <c r="DM84" s="311" t="str">
        <f>Capacity!H96</f>
        <v/>
      </c>
    </row>
    <row r="85" spans="1:117" x14ac:dyDescent="0.2">
      <c r="A85" s="67">
        <f>IF(Capacity!L97='Capacity summary'!BI204,1,0)</f>
        <v>1</v>
      </c>
      <c r="B85" s="67">
        <f>IF(Capacity!V97='Capacity summary'!BI104,1,0)</f>
        <v>1</v>
      </c>
      <c r="C85" s="67" t="str">
        <f>ROW(A81)&amp;". "&amp;Capacity!B97</f>
        <v xml:space="preserve">81. </v>
      </c>
      <c r="D85" s="67">
        <f>'Capacity setup'!C92</f>
        <v>0</v>
      </c>
      <c r="E85" s="67">
        <f>'Capacity setup'!D92</f>
        <v>0</v>
      </c>
      <c r="F85" s="67">
        <f>'Capacity setup'!E92</f>
        <v>0</v>
      </c>
      <c r="H85" s="67">
        <f ca="1">IF(LOWER(Capacity!$L97)="x",IF(AND(SUMIF(Capacity_Resource,$D85,'Critical resources (hide)'!U$6:U$105)+SUMIF(Capacity_Resource,$E85,'Critical resources (hide)'!U$6:U$105)+SUMIF(Capacity_Resource,$F85,'Critical resources (hide)'!U$6:U$105)&gt;0,$E$1=2),0,1),0)</f>
        <v>1</v>
      </c>
      <c r="I85" s="67">
        <f ca="1">IF(LOWER(Capacity!$L97)="x",IF(AND(SUMIF(Capacity_Resource,$D85,'Critical resources (hide)'!V$6:V$105)+SUMIF(Capacity_Resource,$E85,'Critical resources (hide)'!V$6:V$105)+SUMIF(Capacity_Resource,$F85,'Critical resources (hide)'!V$6:V$105)&gt;0,$E$1=2),0,1),0)</f>
        <v>1</v>
      </c>
      <c r="J85" s="67">
        <f ca="1">IF(LOWER(Capacity!$L97)="x",IF(AND(SUMIF(Capacity_Resource,$D85,'Critical resources (hide)'!W$6:W$105)+SUMIF(Capacity_Resource,$E85,'Critical resources (hide)'!W$6:W$105)+SUMIF(Capacity_Resource,$F85,'Critical resources (hide)'!W$6:W$105)&gt;0,$E$1=2),0,1),0)</f>
        <v>1</v>
      </c>
      <c r="K85" s="67">
        <f ca="1">IF(LOWER(Capacity!$L97)="x",IF(AND(SUMIF(Capacity_Resource,$D85,'Critical resources (hide)'!X$6:X$105)+SUMIF(Capacity_Resource,$E85,'Critical resources (hide)'!X$6:X$105)+SUMIF(Capacity_Resource,$F85,'Critical resources (hide)'!X$6:X$105)&gt;0,$E$1=2),0,1),0)</f>
        <v>1</v>
      </c>
      <c r="L85" s="67">
        <f ca="1">IF(LOWER(Capacity!$L97)="x",IF(AND(SUMIF(Capacity_Resource,$D85,'Critical resources (hide)'!Y$6:Y$105)+SUMIF(Capacity_Resource,$E85,'Critical resources (hide)'!Y$6:Y$105)+SUMIF(Capacity_Resource,$F85,'Critical resources (hide)'!Y$6:Y$105)&gt;0,$E$1=2),0,1),0)</f>
        <v>1</v>
      </c>
      <c r="M85" s="67">
        <f ca="1">IF(LOWER(Capacity!$L97)="x",IF(AND(SUMIF(Capacity_Resource,$D85,'Critical resources (hide)'!Z$6:Z$105)+SUMIF(Capacity_Resource,$E85,'Critical resources (hide)'!Z$6:Z$105)+SUMIF(Capacity_Resource,$F85,'Critical resources (hide)'!Z$6:Z$105)&gt;0,$E$1=2),0,1),0)</f>
        <v>1</v>
      </c>
      <c r="N85" s="67">
        <f ca="1">IF(LOWER(Capacity!$L97)="x",IF(AND(SUMIF(Capacity_Resource,$D85,'Critical resources (hide)'!AA$6:AA$105)+SUMIF(Capacity_Resource,$E85,'Critical resources (hide)'!AA$6:AA$105)+SUMIF(Capacity_Resource,$F85,'Critical resources (hide)'!AA$6:AA$105)&gt;0,$E$1=2),0,1),0)</f>
        <v>1</v>
      </c>
      <c r="O85" s="67">
        <f ca="1">IF(LOWER(Capacity!$L97)="x",IF(AND(SUMIF(Capacity_Resource,$D85,'Critical resources (hide)'!AB$6:AB$105)+SUMIF(Capacity_Resource,$E85,'Critical resources (hide)'!AB$6:AB$105)+SUMIF(Capacity_Resource,$F85,'Critical resources (hide)'!AB$6:AB$105)&gt;0,$E$1=2),0,1),0)</f>
        <v>1</v>
      </c>
      <c r="P85" s="67">
        <f ca="1">IF(LOWER(Capacity!$L97)="x",IF(AND(SUMIF(Capacity_Resource,$D85,'Critical resources (hide)'!AC$6:AC$105)+SUMIF(Capacity_Resource,$E85,'Critical resources (hide)'!AC$6:AC$105)+SUMIF(Capacity_Resource,$F85,'Critical resources (hide)'!AC$6:AC$105)&gt;0,$E$1=2),0,1),0)</f>
        <v>1</v>
      </c>
      <c r="Q85" s="67">
        <f ca="1">IF(LOWER(Capacity!$L97)="x",IF(AND(SUMIF(Capacity_Resource,$D85,'Critical resources (hide)'!AD$6:AD$105)+SUMIF(Capacity_Resource,$E85,'Critical resources (hide)'!AD$6:AD$105)+SUMIF(Capacity_Resource,$F85,'Critical resources (hide)'!AD$6:AD$105)&gt;0,$E$1=2),0,1),0)</f>
        <v>1</v>
      </c>
      <c r="R85" s="67">
        <f ca="1">IF(LOWER(Capacity!$L97)="x",IF(AND(SUMIF(Capacity_Resource,$D85,'Critical resources (hide)'!AE$6:AE$105)+SUMIF(Capacity_Resource,$E85,'Critical resources (hide)'!AE$6:AE$105)+SUMIF(Capacity_Resource,$F85,'Critical resources (hide)'!AE$6:AE$105)&gt;0,$E$1=2),0,1),0)</f>
        <v>1</v>
      </c>
      <c r="S85" s="67">
        <f ca="1">IF(LOWER(Capacity!$L97)="x",IF(AND(SUMIF(Capacity_Resource,$D85,'Critical resources (hide)'!AF$6:AF$105)+SUMIF(Capacity_Resource,$E85,'Critical resources (hide)'!AF$6:AF$105)+SUMIF(Capacity_Resource,$F85,'Critical resources (hide)'!AF$6:AF$105)&gt;0,$E$1=2),0,1),0)</f>
        <v>1</v>
      </c>
      <c r="T85" s="67">
        <f ca="1">IF(LOWER(Capacity!$L97)="x",IF(AND(SUMIF(Capacity_Resource,$D85,'Critical resources (hide)'!AG$6:AG$105)+SUMIF(Capacity_Resource,$E85,'Critical resources (hide)'!AG$6:AG$105)+SUMIF(Capacity_Resource,$F85,'Critical resources (hide)'!AG$6:AG$105)&gt;0,$E$1=2),0,1),0)</f>
        <v>1</v>
      </c>
      <c r="U85" s="67">
        <f ca="1">IF(LOWER(Capacity!$L97)="x",IF(AND(SUMIF(Capacity_Resource,$D85,'Critical resources (hide)'!AH$6:AH$105)+SUMIF(Capacity_Resource,$E85,'Critical resources (hide)'!AH$6:AH$105)+SUMIF(Capacity_Resource,$F85,'Critical resources (hide)'!AH$6:AH$105)&gt;0,$E$1=2),0,1),0)</f>
        <v>1</v>
      </c>
      <c r="V85" s="67">
        <f ca="1">IF(LOWER(Capacity!$L97)="x",IF(AND(SUMIF(Capacity_Resource,$D85,'Critical resources (hide)'!AI$6:AI$105)+SUMIF(Capacity_Resource,$E85,'Critical resources (hide)'!AI$6:AI$105)+SUMIF(Capacity_Resource,$F85,'Critical resources (hide)'!AI$6:AI$105)&gt;0,$E$1=2),0,1),0)</f>
        <v>1</v>
      </c>
      <c r="W85" s="67">
        <f ca="1">IF(LOWER(Capacity!$L97)="x",IF(AND(SUMIF(Capacity_Resource,$D85,'Critical resources (hide)'!AJ$6:AJ$105)+SUMIF(Capacity_Resource,$E85,'Critical resources (hide)'!AJ$6:AJ$105)+SUMIF(Capacity_Resource,$F85,'Critical resources (hide)'!AJ$6:AJ$105)&gt;0,$E$1=2),0,1),0)</f>
        <v>1</v>
      </c>
      <c r="X85" s="67">
        <f ca="1">IF(LOWER(Capacity!$L97)="x",IF(AND(SUMIF(Capacity_Resource,$D85,'Critical resources (hide)'!AK$6:AK$105)+SUMIF(Capacity_Resource,$E85,'Critical resources (hide)'!AK$6:AK$105)+SUMIF(Capacity_Resource,$F85,'Critical resources (hide)'!AK$6:AK$105)&gt;0,$E$1=2),0,1),0)</f>
        <v>1</v>
      </c>
      <c r="Y85" s="67">
        <f ca="1">IF(LOWER(Capacity!$L97)="x",IF(AND(SUMIF(Capacity_Resource,$D85,'Critical resources (hide)'!AL$6:AL$105)+SUMIF(Capacity_Resource,$E85,'Critical resources (hide)'!AL$6:AL$105)+SUMIF(Capacity_Resource,$F85,'Critical resources (hide)'!AL$6:AL$105)&gt;0,$E$1=2),0,1),0)</f>
        <v>1</v>
      </c>
      <c r="Z85" s="67">
        <f ca="1">IF(LOWER(Capacity!$L97)="x",IF(AND(SUMIF(Capacity_Resource,$D85,'Critical resources (hide)'!AM$6:AM$105)+SUMIF(Capacity_Resource,$E85,'Critical resources (hide)'!AM$6:AM$105)+SUMIF(Capacity_Resource,$F85,'Critical resources (hide)'!AM$6:AM$105)&gt;0,$E$1=2),0,1),0)</f>
        <v>1</v>
      </c>
      <c r="AA85" s="67">
        <f ca="1">IF(LOWER(Capacity!$L97)="x",IF(AND(SUMIF(Capacity_Resource,$D85,'Critical resources (hide)'!AN$6:AN$105)+SUMIF(Capacity_Resource,$E85,'Critical resources (hide)'!AN$6:AN$105)+SUMIF(Capacity_Resource,$F85,'Critical resources (hide)'!AN$6:AN$105)&gt;0,$E$1=2),0,1),0)</f>
        <v>1</v>
      </c>
      <c r="AB85" s="67">
        <f ca="1">IF(LOWER(Capacity!$L97)="x",IF(AND(SUMIF(Capacity_Resource,$D85,'Critical resources (hide)'!AO$6:AO$105)+SUMIF(Capacity_Resource,$E85,'Critical resources (hide)'!AO$6:AO$105)+SUMIF(Capacity_Resource,$F85,'Critical resources (hide)'!AO$6:AO$105)&gt;0,$E$1=2),0,1),0)</f>
        <v>1</v>
      </c>
      <c r="AC85" s="67">
        <f ca="1">IF(LOWER(Capacity!$L97)="x",IF(AND(SUMIF(Capacity_Resource,$D85,'Critical resources (hide)'!AP$6:AP$105)+SUMIF(Capacity_Resource,$E85,'Critical resources (hide)'!AP$6:AP$105)+SUMIF(Capacity_Resource,$F85,'Critical resources (hide)'!AP$6:AP$105)&gt;0,$E$1=2),0,1),0)</f>
        <v>1</v>
      </c>
      <c r="AD85" s="67">
        <f ca="1">IF(LOWER(Capacity!$L97)="x",IF(AND(SUMIF(Capacity_Resource,$D85,'Critical resources (hide)'!AQ$6:AQ$105)+SUMIF(Capacity_Resource,$E85,'Critical resources (hide)'!AQ$6:AQ$105)+SUMIF(Capacity_Resource,$F85,'Critical resources (hide)'!AQ$6:AQ$105)&gt;0,$E$1=2),0,1),0)</f>
        <v>1</v>
      </c>
      <c r="AE85" s="67">
        <f ca="1">IF(LOWER(Capacity!$L97)="x",IF(AND(SUMIF(Capacity_Resource,$D85,'Critical resources (hide)'!AR$6:AR$105)+SUMIF(Capacity_Resource,$E85,'Critical resources (hide)'!AR$6:AR$105)+SUMIF(Capacity_Resource,$F85,'Critical resources (hide)'!AR$6:AR$105)&gt;0,$E$1=2),0,1),0)</f>
        <v>1</v>
      </c>
      <c r="AF85" s="67">
        <f ca="1">IF(LOWER(Capacity!$L97)="x",IF(AND(SUMIF(Capacity_Resource,$D85,'Critical resources (hide)'!AS$6:AS$105)+SUMIF(Capacity_Resource,$E85,'Critical resources (hide)'!AS$6:AS$105)+SUMIF(Capacity_Resource,$F85,'Critical resources (hide)'!AS$6:AS$105)&gt;0,$E$1=2),0,1),0)</f>
        <v>1</v>
      </c>
      <c r="AG85" s="67">
        <f ca="1">IF(LOWER(Capacity!$L97)="x",IF(AND(SUMIF(Capacity_Resource,$D85,'Critical resources (hide)'!AT$6:AT$105)+SUMIF(Capacity_Resource,$E85,'Critical resources (hide)'!AT$6:AT$105)+SUMIF(Capacity_Resource,$F85,'Critical resources (hide)'!AT$6:AT$105)&gt;0,$E$1=2),0,1),0)</f>
        <v>1</v>
      </c>
      <c r="AH85" s="67">
        <f ca="1">IF(LOWER(Capacity!$L97)="x",IF(AND(SUMIF(Capacity_Resource,$D85,'Critical resources (hide)'!AU$6:AU$105)+SUMIF(Capacity_Resource,$E85,'Critical resources (hide)'!AU$6:AU$105)+SUMIF(Capacity_Resource,$F85,'Critical resources (hide)'!AU$6:AU$105)&gt;0,$E$1=2),0,1),0)</f>
        <v>1</v>
      </c>
      <c r="AI85" s="67">
        <f ca="1">IF(LOWER(Capacity!$L97)="x",IF(AND(SUMIF(Capacity_Resource,$D85,'Critical resources (hide)'!AV$6:AV$105)+SUMIF(Capacity_Resource,$E85,'Critical resources (hide)'!AV$6:AV$105)+SUMIF(Capacity_Resource,$F85,'Critical resources (hide)'!AV$6:AV$105)&gt;0,$E$1=2),0,1),0)</f>
        <v>1</v>
      </c>
      <c r="AJ85" s="67">
        <f ca="1">IF(LOWER(Capacity!$L97)="x",IF(AND(SUMIF(Capacity_Resource,$D85,'Critical resources (hide)'!AW$6:AW$105)+SUMIF(Capacity_Resource,$E85,'Critical resources (hide)'!AW$6:AW$105)+SUMIF(Capacity_Resource,$F85,'Critical resources (hide)'!AW$6:AW$105)&gt;0,$E$1=2),0,1),0)</f>
        <v>1</v>
      </c>
      <c r="AK85" s="67">
        <f ca="1">IF(LOWER(Capacity!$L97)="x",IF(AND(SUMIF(Capacity_Resource,$D85,'Critical resources (hide)'!AX$6:AX$105)+SUMIF(Capacity_Resource,$E85,'Critical resources (hide)'!AX$6:AX$105)+SUMIF(Capacity_Resource,$F85,'Critical resources (hide)'!AX$6:AX$105)&gt;0,$E$1=2),0,1),0)</f>
        <v>1</v>
      </c>
      <c r="AL85" s="67">
        <f ca="1">IF(LOWER(Capacity!$L97)="x",IF(AND(SUMIF(Capacity_Resource,$D85,'Critical resources (hide)'!AY$6:AY$105)+SUMIF(Capacity_Resource,$E85,'Critical resources (hide)'!AY$6:AY$105)+SUMIF(Capacity_Resource,$F85,'Critical resources (hide)'!AY$6:AY$105)&gt;0,$E$1=2),0,1),0)</f>
        <v>1</v>
      </c>
      <c r="AM85" s="67">
        <f ca="1">IF(LOWER(Capacity!$L97)="x",IF(AND(SUMIF(Capacity_Resource,$D85,'Critical resources (hide)'!AZ$6:AZ$105)+SUMIF(Capacity_Resource,$E85,'Critical resources (hide)'!AZ$6:AZ$105)+SUMIF(Capacity_Resource,$F85,'Critical resources (hide)'!AZ$6:AZ$105)&gt;0,$E$1=2),0,1),0)</f>
        <v>1</v>
      </c>
      <c r="AN85" s="67">
        <f ca="1">IF(LOWER(Capacity!$L97)="x",IF(AND(SUMIF(Capacity_Resource,$D85,'Critical resources (hide)'!BA$6:BA$105)+SUMIF(Capacity_Resource,$E85,'Critical resources (hide)'!BA$6:BA$105)+SUMIF(Capacity_Resource,$F85,'Critical resources (hide)'!BA$6:BA$105)&gt;0,$E$1=2),0,1),0)</f>
        <v>1</v>
      </c>
      <c r="AO85" s="67">
        <f ca="1">IF(LOWER(Capacity!$L97)="x",IF(AND(SUMIF(Capacity_Resource,$D85,'Critical resources (hide)'!BB$6:BB$105)+SUMIF(Capacity_Resource,$E85,'Critical resources (hide)'!BB$6:BB$105)+SUMIF(Capacity_Resource,$F85,'Critical resources (hide)'!BB$6:BB$105)&gt;0,$E$1=2),0,1),0)</f>
        <v>1</v>
      </c>
      <c r="AP85" s="67">
        <f ca="1">IF(LOWER(Capacity!$L97)="x",IF(AND(SUMIF(Capacity_Resource,$D85,'Critical resources (hide)'!BC$6:BC$105)+SUMIF(Capacity_Resource,$E85,'Critical resources (hide)'!BC$6:BC$105)+SUMIF(Capacity_Resource,$F85,'Critical resources (hide)'!BC$6:BC$105)&gt;0,$E$1=2),0,1),0)</f>
        <v>1</v>
      </c>
      <c r="AQ85" s="67">
        <f ca="1">IF(LOWER(Capacity!$L97)="x",IF(AND(SUMIF(Capacity_Resource,$D85,'Critical resources (hide)'!BD$6:BD$105)+SUMIF(Capacity_Resource,$E85,'Critical resources (hide)'!BD$6:BD$105)+SUMIF(Capacity_Resource,$F85,'Critical resources (hide)'!BD$6:BD$105)&gt;0,$E$1=2),0,1),0)</f>
        <v>1</v>
      </c>
      <c r="AR85" s="67">
        <f ca="1">IF(LOWER(Capacity!$L97)="x",IF(AND(SUMIF(Capacity_Resource,$D85,'Critical resources (hide)'!BE$6:BE$105)+SUMIF(Capacity_Resource,$E85,'Critical resources (hide)'!BE$6:BE$105)+SUMIF(Capacity_Resource,$F85,'Critical resources (hide)'!BE$6:BE$105)&gt;0,$E$1=2),0,1),0)</f>
        <v>1</v>
      </c>
      <c r="AS85" s="67">
        <f ca="1">IF(LOWER(Capacity!$L97)="x",IF(AND(SUMIF(Capacity_Resource,$D85,'Critical resources (hide)'!BF$6:BF$105)+SUMIF(Capacity_Resource,$E85,'Critical resources (hide)'!BF$6:BF$105)+SUMIF(Capacity_Resource,$F85,'Critical resources (hide)'!BF$6:BF$105)&gt;0,$E$1=2),0,1),0)</f>
        <v>1</v>
      </c>
      <c r="AT85" s="67">
        <f ca="1">IF(LOWER(Capacity!$L97)="x",IF(AND(SUMIF(Capacity_Resource,$D85,'Critical resources (hide)'!BG$6:BG$105)+SUMIF(Capacity_Resource,$E85,'Critical resources (hide)'!BG$6:BG$105)+SUMIF(Capacity_Resource,$F85,'Critical resources (hide)'!BG$6:BG$105)&gt;0,$E$1=2),0,1),0)</f>
        <v>1</v>
      </c>
      <c r="AU85" s="67">
        <f ca="1">IF(LOWER(Capacity!$L97)="x",IF(AND(SUMIF(Capacity_Resource,$D85,'Critical resources (hide)'!BH$6:BH$105)+SUMIF(Capacity_Resource,$E85,'Critical resources (hide)'!BH$6:BH$105)+SUMIF(Capacity_Resource,$F85,'Critical resources (hide)'!BH$6:BH$105)&gt;0,$E$1=2),0,1),0)</f>
        <v>1</v>
      </c>
      <c r="AV85" s="67">
        <f ca="1">IF(LOWER(Capacity!$L97)="x",IF(AND(SUMIF(Capacity_Resource,$D85,'Critical resources (hide)'!BI$6:BI$105)+SUMIF(Capacity_Resource,$E85,'Critical resources (hide)'!BI$6:BI$105)+SUMIF(Capacity_Resource,$F85,'Critical resources (hide)'!BI$6:BI$105)&gt;0,$E$1=2),0,1),0)</f>
        <v>1</v>
      </c>
      <c r="AW85" s="67">
        <f ca="1">IF(LOWER(Capacity!$L97)="x",IF(AND(SUMIF(Capacity_Resource,$D85,'Critical resources (hide)'!BJ$6:BJ$105)+SUMIF(Capacity_Resource,$E85,'Critical resources (hide)'!BJ$6:BJ$105)+SUMIF(Capacity_Resource,$F85,'Critical resources (hide)'!BJ$6:BJ$105)&gt;0,$E$1=2),0,1),0)</f>
        <v>1</v>
      </c>
      <c r="AX85" s="67">
        <f ca="1">IF(LOWER(Capacity!$L97)="x",IF(AND(SUMIF(Capacity_Resource,$D85,'Critical resources (hide)'!BK$6:BK$105)+SUMIF(Capacity_Resource,$E85,'Critical resources (hide)'!BK$6:BK$105)+SUMIF(Capacity_Resource,$F85,'Critical resources (hide)'!BK$6:BK$105)&gt;0,$E$1=2),0,1),0)</f>
        <v>1</v>
      </c>
      <c r="AY85" s="67">
        <f ca="1">IF(LOWER(Capacity!$L97)="x",IF(AND(SUMIF(Capacity_Resource,$D85,'Critical resources (hide)'!BL$6:BL$105)+SUMIF(Capacity_Resource,$E85,'Critical resources (hide)'!BL$6:BL$105)+SUMIF(Capacity_Resource,$F85,'Critical resources (hide)'!BL$6:BL$105)&gt;0,$E$1=2),0,1),0)</f>
        <v>1</v>
      </c>
      <c r="AZ85" s="67">
        <f ca="1">IF(LOWER(Capacity!$L97)="x",IF(AND(SUMIF(Capacity_Resource,$D85,'Critical resources (hide)'!BM$6:BM$105)+SUMIF(Capacity_Resource,$E85,'Critical resources (hide)'!BM$6:BM$105)+SUMIF(Capacity_Resource,$F85,'Critical resources (hide)'!BM$6:BM$105)&gt;0,$E$1=2),0,1),0)</f>
        <v>1</v>
      </c>
      <c r="BA85" s="67">
        <f ca="1">IF(LOWER(Capacity!$L97)="x",IF(AND(SUMIF(Capacity_Resource,$D85,'Critical resources (hide)'!BN$6:BN$105)+SUMIF(Capacity_Resource,$E85,'Critical resources (hide)'!BN$6:BN$105)+SUMIF(Capacity_Resource,$F85,'Critical resources (hide)'!BN$6:BN$105)&gt;0,$E$1=2),0,1),0)</f>
        <v>1</v>
      </c>
      <c r="BB85" s="67">
        <f ca="1">IF(LOWER(Capacity!$L97)="x",IF(AND(SUMIF(Capacity_Resource,$D85,'Critical resources (hide)'!BO$6:BO$105)+SUMIF(Capacity_Resource,$E85,'Critical resources (hide)'!BO$6:BO$105)+SUMIF(Capacity_Resource,$F85,'Critical resources (hide)'!BO$6:BO$105)&gt;0,$E$1=2),0,1),0)</f>
        <v>1</v>
      </c>
      <c r="BC85" s="67">
        <f ca="1">IF(LOWER(Capacity!$L97)="x",IF(AND(SUMIF(Capacity_Resource,$D85,'Critical resources (hide)'!BP$6:BP$105)+SUMIF(Capacity_Resource,$E85,'Critical resources (hide)'!BP$6:BP$105)+SUMIF(Capacity_Resource,$F85,'Critical resources (hide)'!BP$6:BP$105)&gt;0,$E$1=2),0,1),0)</f>
        <v>1</v>
      </c>
      <c r="BD85" s="67">
        <f ca="1">IF(LOWER(Capacity!$L97)="x",IF(AND(SUMIF(Capacity_Resource,$D85,'Critical resources (hide)'!BQ$6:BQ$105)+SUMIF(Capacity_Resource,$E85,'Critical resources (hide)'!BQ$6:BQ$105)+SUMIF(Capacity_Resource,$F85,'Critical resources (hide)'!BQ$6:BQ$105)&gt;0,$E$1=2),0,1),0)</f>
        <v>1</v>
      </c>
      <c r="BE85" s="67">
        <f ca="1">IF(LOWER(Capacity!$L97)="x",IF(AND(SUMIF(Capacity_Resource,$D85,'Critical resources (hide)'!BR$6:BR$105)+SUMIF(Capacity_Resource,$E85,'Critical resources (hide)'!BR$6:BR$105)+SUMIF(Capacity_Resource,$F85,'Critical resources (hide)'!BR$6:BR$105)&gt;0,$E$1=2),0,1),0)</f>
        <v>1</v>
      </c>
      <c r="BF85" s="67">
        <f ca="1">IF(LOWER(Capacity!$L97)="x",IF(AND(SUMIF(Capacity_Resource,$D85,'Critical resources (hide)'!BS$6:BS$105)+SUMIF(Capacity_Resource,$E85,'Critical resources (hide)'!BS$6:BS$105)+SUMIF(Capacity_Resource,$F85,'Critical resources (hide)'!BS$6:BS$105)&gt;0,$E$1=2),0,1),0)</f>
        <v>1</v>
      </c>
      <c r="BG85" s="67">
        <f ca="1">IF(LOWER(Capacity!$L97)="x",IF(AND(SUMIF(Capacity_Resource,$D85,'Critical resources (hide)'!BT$6:BT$105)+SUMIF(Capacity_Resource,$E85,'Critical resources (hide)'!BT$6:BT$105)+SUMIF(Capacity_Resource,$F85,'Critical resources (hide)'!BT$6:BT$105)&gt;0,$E$1=2),0,1),0)</f>
        <v>1</v>
      </c>
      <c r="BH85" s="67">
        <f>IF(ROW(C81)&lt;=Capacity!$A$16,IF('Capacity summary'!$D$14="No",SUM(H85:BG85),'Capacity summary'!$E204),0)</f>
        <v>0</v>
      </c>
      <c r="BI85" s="5" t="str">
        <f>IF(BH85&gt;0,IF(BH85&lt;Capacity!E97,Capacity!F97,Capacity!H97/'Capacity calculation (hide)'!BH85),"")</f>
        <v/>
      </c>
      <c r="BK85" s="311">
        <f>IF($BI85&lt;&gt;"",IF('Capacity summary'!$D$14="Yes",IF(COUNTBLANK('Capacity summary'!$H204:$BG204)&lt;52,IF('Capacity summary'!H204&lt;&gt;"",IF(LOWER('Capacity summary'!H204)="x",$BI85*H85,VALUE('Capacity summary'!H204)),0),H85*$BI85),H85*$BI85),0)</f>
        <v>0</v>
      </c>
      <c r="BL85" s="311">
        <f>IF($BI85&lt;&gt;"",IF('Capacity summary'!$D$14="Yes",IF(COUNTBLANK('Capacity summary'!$H204:$BG204)&lt;52,IF('Capacity summary'!I204&lt;&gt;"",IF(LOWER('Capacity summary'!I204)="x",$BI85*I85,VALUE('Capacity summary'!I204)),0),I85*$BI85),I85*$BI85),0)</f>
        <v>0</v>
      </c>
      <c r="BM85" s="311">
        <f>IF($BI85&lt;&gt;"",IF('Capacity summary'!$D$14="Yes",IF(COUNTBLANK('Capacity summary'!$H204:$BG204)&lt;52,IF('Capacity summary'!J204&lt;&gt;"",IF(LOWER('Capacity summary'!J204)="x",$BI85*J85,VALUE('Capacity summary'!J204)),0),J85*$BI85),J85*$BI85),0)</f>
        <v>0</v>
      </c>
      <c r="BN85" s="311">
        <f>IF($BI85&lt;&gt;"",IF('Capacity summary'!$D$14="Yes",IF(COUNTBLANK('Capacity summary'!$H204:$BG204)&lt;52,IF('Capacity summary'!K204&lt;&gt;"",IF(LOWER('Capacity summary'!K204)="x",$BI85*K85,VALUE('Capacity summary'!K204)),0),K85*$BI85),K85*$BI85),0)</f>
        <v>0</v>
      </c>
      <c r="BO85" s="311">
        <f>IF($BI85&lt;&gt;"",IF('Capacity summary'!$D$14="Yes",IF(COUNTBLANK('Capacity summary'!$H204:$BG204)&lt;52,IF('Capacity summary'!L204&lt;&gt;"",IF(LOWER('Capacity summary'!L204)="x",$BI85*L85,VALUE('Capacity summary'!L204)),0),L85*$BI85),L85*$BI85),0)</f>
        <v>0</v>
      </c>
      <c r="BP85" s="311">
        <f>IF($BI85&lt;&gt;"",IF('Capacity summary'!$D$14="Yes",IF(COUNTBLANK('Capacity summary'!$H204:$BG204)&lt;52,IF('Capacity summary'!M204&lt;&gt;"",IF(LOWER('Capacity summary'!M204)="x",$BI85*M85,VALUE('Capacity summary'!M204)),0),M85*$BI85),M85*$BI85),0)</f>
        <v>0</v>
      </c>
      <c r="BQ85" s="311">
        <f>IF($BI85&lt;&gt;"",IF('Capacity summary'!$D$14="Yes",IF(COUNTBLANK('Capacity summary'!$H204:$BG204)&lt;52,IF('Capacity summary'!N204&lt;&gt;"",IF(LOWER('Capacity summary'!N204)="x",$BI85*N85,VALUE('Capacity summary'!N204)),0),N85*$BI85),N85*$BI85),0)</f>
        <v>0</v>
      </c>
      <c r="BR85" s="311">
        <f>IF($BI85&lt;&gt;"",IF('Capacity summary'!$D$14="Yes",IF(COUNTBLANK('Capacity summary'!$H204:$BG204)&lt;52,IF('Capacity summary'!O204&lt;&gt;"",IF(LOWER('Capacity summary'!O204)="x",$BI85*O85,VALUE('Capacity summary'!O204)),0),O85*$BI85),O85*$BI85),0)</f>
        <v>0</v>
      </c>
      <c r="BS85" s="311">
        <f>IF($BI85&lt;&gt;"",IF('Capacity summary'!$D$14="Yes",IF(COUNTBLANK('Capacity summary'!$H204:$BG204)&lt;52,IF('Capacity summary'!P204&lt;&gt;"",IF(LOWER('Capacity summary'!P204)="x",$BI85*P85,VALUE('Capacity summary'!P204)),0),P85*$BI85),P85*$BI85),0)</f>
        <v>0</v>
      </c>
      <c r="BT85" s="311">
        <f>IF($BI85&lt;&gt;"",IF('Capacity summary'!$D$14="Yes",IF(COUNTBLANK('Capacity summary'!$H204:$BG204)&lt;52,IF('Capacity summary'!Q204&lt;&gt;"",IF(LOWER('Capacity summary'!Q204)="x",$BI85*Q85,VALUE('Capacity summary'!Q204)),0),Q85*$BI85),Q85*$BI85),0)</f>
        <v>0</v>
      </c>
      <c r="BU85" s="311">
        <f>IF($BI85&lt;&gt;"",IF('Capacity summary'!$D$14="Yes",IF(COUNTBLANK('Capacity summary'!$H204:$BG204)&lt;52,IF('Capacity summary'!R204&lt;&gt;"",IF(LOWER('Capacity summary'!R204)="x",$BI85*R85,VALUE('Capacity summary'!R204)),0),R85*$BI85),R85*$BI85),0)</f>
        <v>0</v>
      </c>
      <c r="BV85" s="311">
        <f>IF($BI85&lt;&gt;"",IF('Capacity summary'!$D$14="Yes",IF(COUNTBLANK('Capacity summary'!$H204:$BG204)&lt;52,IF('Capacity summary'!S204&lt;&gt;"",IF(LOWER('Capacity summary'!S204)="x",$BI85*S85,VALUE('Capacity summary'!S204)),0),S85*$BI85),S85*$BI85),0)</f>
        <v>0</v>
      </c>
      <c r="BW85" s="311">
        <f>IF($BI85&lt;&gt;"",IF('Capacity summary'!$D$14="Yes",IF(COUNTBLANK('Capacity summary'!$H204:$BG204)&lt;52,IF('Capacity summary'!T204&lt;&gt;"",IF(LOWER('Capacity summary'!T204)="x",$BI85*T85,VALUE('Capacity summary'!T204)),0),T85*$BI85),T85*$BI85),0)</f>
        <v>0</v>
      </c>
      <c r="BX85" s="311">
        <f>IF($BI85&lt;&gt;"",IF('Capacity summary'!$D$14="Yes",IF(COUNTBLANK('Capacity summary'!$H204:$BG204)&lt;52,IF('Capacity summary'!U204&lt;&gt;"",IF(LOWER('Capacity summary'!U204)="x",$BI85*U85,VALUE('Capacity summary'!U204)),0),U85*$BI85),U85*$BI85),0)</f>
        <v>0</v>
      </c>
      <c r="BY85" s="311">
        <f>IF($BI85&lt;&gt;"",IF('Capacity summary'!$D$14="Yes",IF(COUNTBLANK('Capacity summary'!$H204:$BG204)&lt;52,IF('Capacity summary'!V204&lt;&gt;"",IF(LOWER('Capacity summary'!V204)="x",$BI85*V85,VALUE('Capacity summary'!V204)),0),V85*$BI85),V85*$BI85),0)</f>
        <v>0</v>
      </c>
      <c r="BZ85" s="311">
        <f>IF($BI85&lt;&gt;"",IF('Capacity summary'!$D$14="Yes",IF(COUNTBLANK('Capacity summary'!$H204:$BG204)&lt;52,IF('Capacity summary'!W204&lt;&gt;"",IF(LOWER('Capacity summary'!W204)="x",$BI85*W85,VALUE('Capacity summary'!W204)),0),W85*$BI85),W85*$BI85),0)</f>
        <v>0</v>
      </c>
      <c r="CA85" s="311">
        <f>IF($BI85&lt;&gt;"",IF('Capacity summary'!$D$14="Yes",IF(COUNTBLANK('Capacity summary'!$H204:$BG204)&lt;52,IF('Capacity summary'!X204&lt;&gt;"",IF(LOWER('Capacity summary'!X204)="x",$BI85*X85,VALUE('Capacity summary'!X204)),0),X85*$BI85),X85*$BI85),0)</f>
        <v>0</v>
      </c>
      <c r="CB85" s="311">
        <f>IF($BI85&lt;&gt;"",IF('Capacity summary'!$D$14="Yes",IF(COUNTBLANK('Capacity summary'!$H204:$BG204)&lt;52,IF('Capacity summary'!Y204&lt;&gt;"",IF(LOWER('Capacity summary'!Y204)="x",$BI85*Y85,VALUE('Capacity summary'!Y204)),0),Y85*$BI85),Y85*$BI85),0)</f>
        <v>0</v>
      </c>
      <c r="CC85" s="311">
        <f>IF($BI85&lt;&gt;"",IF('Capacity summary'!$D$14="Yes",IF(COUNTBLANK('Capacity summary'!$H204:$BG204)&lt;52,IF('Capacity summary'!Z204&lt;&gt;"",IF(LOWER('Capacity summary'!Z204)="x",$BI85*Z85,VALUE('Capacity summary'!Z204)),0),Z85*$BI85),Z85*$BI85),0)</f>
        <v>0</v>
      </c>
      <c r="CD85" s="311">
        <f>IF($BI85&lt;&gt;"",IF('Capacity summary'!$D$14="Yes",IF(COUNTBLANK('Capacity summary'!$H204:$BG204)&lt;52,IF('Capacity summary'!AA204&lt;&gt;"",IF(LOWER('Capacity summary'!AA204)="x",$BI85*AA85,VALUE('Capacity summary'!AA204)),0),AA85*$BI85),AA85*$BI85),0)</f>
        <v>0</v>
      </c>
      <c r="CE85" s="311">
        <f>IF($BI85&lt;&gt;"",IF('Capacity summary'!$D$14="Yes",IF(COUNTBLANK('Capacity summary'!$H204:$BG204)&lt;52,IF('Capacity summary'!AB204&lt;&gt;"",IF(LOWER('Capacity summary'!AB204)="x",$BI85*AB85,VALUE('Capacity summary'!AB204)),0),AB85*$BI85),AB85*$BI85),0)</f>
        <v>0</v>
      </c>
      <c r="CF85" s="311">
        <f>IF($BI85&lt;&gt;"",IF('Capacity summary'!$D$14="Yes",IF(COUNTBLANK('Capacity summary'!$H204:$BG204)&lt;52,IF('Capacity summary'!AC204&lt;&gt;"",IF(LOWER('Capacity summary'!AC204)="x",$BI85*AC85,VALUE('Capacity summary'!AC204)),0),AC85*$BI85),AC85*$BI85),0)</f>
        <v>0</v>
      </c>
      <c r="CG85" s="311">
        <f>IF($BI85&lt;&gt;"",IF('Capacity summary'!$D$14="Yes",IF(COUNTBLANK('Capacity summary'!$H204:$BG204)&lt;52,IF('Capacity summary'!AD204&lt;&gt;"",IF(LOWER('Capacity summary'!AD204)="x",$BI85*AD85,VALUE('Capacity summary'!AD204)),0),AD85*$BI85),AD85*$BI85),0)</f>
        <v>0</v>
      </c>
      <c r="CH85" s="311">
        <f>IF($BI85&lt;&gt;"",IF('Capacity summary'!$D$14="Yes",IF(COUNTBLANK('Capacity summary'!$H204:$BG204)&lt;52,IF('Capacity summary'!AE204&lt;&gt;"",IF(LOWER('Capacity summary'!AE204)="x",$BI85*AE85,VALUE('Capacity summary'!AE204)),0),AE85*$BI85),AE85*$BI85),0)</f>
        <v>0</v>
      </c>
      <c r="CI85" s="311">
        <f>IF($BI85&lt;&gt;"",IF('Capacity summary'!$D$14="Yes",IF(COUNTBLANK('Capacity summary'!$H204:$BG204)&lt;52,IF('Capacity summary'!AF204&lt;&gt;"",IF(LOWER('Capacity summary'!AF204)="x",$BI85*AF85,VALUE('Capacity summary'!AF204)),0),AF85*$BI85),AF85*$BI85),0)</f>
        <v>0</v>
      </c>
      <c r="CJ85" s="311">
        <f>IF($BI85&lt;&gt;"",IF('Capacity summary'!$D$14="Yes",IF(COUNTBLANK('Capacity summary'!$H204:$BG204)&lt;52,IF('Capacity summary'!AG204&lt;&gt;"",IF(LOWER('Capacity summary'!AG204)="x",$BI85*AG85,VALUE('Capacity summary'!AG204)),0),AG85*$BI85),AG85*$BI85),0)</f>
        <v>0</v>
      </c>
      <c r="CK85" s="311">
        <f>IF($BI85&lt;&gt;"",IF('Capacity summary'!$D$14="Yes",IF(COUNTBLANK('Capacity summary'!$H204:$BG204)&lt;52,IF('Capacity summary'!AH204&lt;&gt;"",IF(LOWER('Capacity summary'!AH204)="x",$BI85*AH85,VALUE('Capacity summary'!AH204)),0),AH85*$BI85),AH85*$BI85),0)</f>
        <v>0</v>
      </c>
      <c r="CL85" s="311">
        <f>IF($BI85&lt;&gt;"",IF('Capacity summary'!$D$14="Yes",IF(COUNTBLANK('Capacity summary'!$H204:$BG204)&lt;52,IF('Capacity summary'!AI204&lt;&gt;"",IF(LOWER('Capacity summary'!AI204)="x",$BI85*AI85,VALUE('Capacity summary'!AI204)),0),AI85*$BI85),AI85*$BI85),0)</f>
        <v>0</v>
      </c>
      <c r="CM85" s="311">
        <f>IF($BI85&lt;&gt;"",IF('Capacity summary'!$D$14="Yes",IF(COUNTBLANK('Capacity summary'!$H204:$BG204)&lt;52,IF('Capacity summary'!AJ204&lt;&gt;"",IF(LOWER('Capacity summary'!AJ204)="x",$BI85*AJ85,VALUE('Capacity summary'!AJ204)),0),AJ85*$BI85),AJ85*$BI85),0)</f>
        <v>0</v>
      </c>
      <c r="CN85" s="311">
        <f>IF($BI85&lt;&gt;"",IF('Capacity summary'!$D$14="Yes",IF(COUNTBLANK('Capacity summary'!$H204:$BG204)&lt;52,IF('Capacity summary'!AK204&lt;&gt;"",IF(LOWER('Capacity summary'!AK204)="x",$BI85*AK85,VALUE('Capacity summary'!AK204)),0),AK85*$BI85),AK85*$BI85),0)</f>
        <v>0</v>
      </c>
      <c r="CO85" s="311">
        <f>IF($BI85&lt;&gt;"",IF('Capacity summary'!$D$14="Yes",IF(COUNTBLANK('Capacity summary'!$H204:$BG204)&lt;52,IF('Capacity summary'!AL204&lt;&gt;"",IF(LOWER('Capacity summary'!AL204)="x",$BI85*AL85,VALUE('Capacity summary'!AL204)),0),AL85*$BI85),AL85*$BI85),0)</f>
        <v>0</v>
      </c>
      <c r="CP85" s="311">
        <f>IF($BI85&lt;&gt;"",IF('Capacity summary'!$D$14="Yes",IF(COUNTBLANK('Capacity summary'!$H204:$BG204)&lt;52,IF('Capacity summary'!AM204&lt;&gt;"",IF(LOWER('Capacity summary'!AM204)="x",$BI85*AM85,VALUE('Capacity summary'!AM204)),0),AM85*$BI85),AM85*$BI85),0)</f>
        <v>0</v>
      </c>
      <c r="CQ85" s="311">
        <f>IF($BI85&lt;&gt;"",IF('Capacity summary'!$D$14="Yes",IF(COUNTBLANK('Capacity summary'!$H204:$BG204)&lt;52,IF('Capacity summary'!AN204&lt;&gt;"",IF(LOWER('Capacity summary'!AN204)="x",$BI85*AN85,VALUE('Capacity summary'!AN204)),0),AN85*$BI85),AN85*$BI85),0)</f>
        <v>0</v>
      </c>
      <c r="CR85" s="311">
        <f>IF($BI85&lt;&gt;"",IF('Capacity summary'!$D$14="Yes",IF(COUNTBLANK('Capacity summary'!$H204:$BG204)&lt;52,IF('Capacity summary'!AO204&lt;&gt;"",IF(LOWER('Capacity summary'!AO204)="x",$BI85*AO85,VALUE('Capacity summary'!AO204)),0),AO85*$BI85),AO85*$BI85),0)</f>
        <v>0</v>
      </c>
      <c r="CS85" s="311">
        <f>IF($BI85&lt;&gt;"",IF('Capacity summary'!$D$14="Yes",IF(COUNTBLANK('Capacity summary'!$H204:$BG204)&lt;52,IF('Capacity summary'!AP204&lt;&gt;"",IF(LOWER('Capacity summary'!AP204)="x",$BI85*AP85,VALUE('Capacity summary'!AP204)),0),AP85*$BI85),AP85*$BI85),0)</f>
        <v>0</v>
      </c>
      <c r="CT85" s="311">
        <f>IF($BI85&lt;&gt;"",IF('Capacity summary'!$D$14="Yes",IF(COUNTBLANK('Capacity summary'!$H204:$BG204)&lt;52,IF('Capacity summary'!AQ204&lt;&gt;"",IF(LOWER('Capacity summary'!AQ204)="x",$BI85*AQ85,VALUE('Capacity summary'!AQ204)),0),AQ85*$BI85),AQ85*$BI85),0)</f>
        <v>0</v>
      </c>
      <c r="CU85" s="311">
        <f>IF($BI85&lt;&gt;"",IF('Capacity summary'!$D$14="Yes",IF(COUNTBLANK('Capacity summary'!$H204:$BG204)&lt;52,IF('Capacity summary'!AR204&lt;&gt;"",IF(LOWER('Capacity summary'!AR204)="x",$BI85*AR85,VALUE('Capacity summary'!AR204)),0),AR85*$BI85),AR85*$BI85),0)</f>
        <v>0</v>
      </c>
      <c r="CV85" s="311">
        <f>IF($BI85&lt;&gt;"",IF('Capacity summary'!$D$14="Yes",IF(COUNTBLANK('Capacity summary'!$H204:$BG204)&lt;52,IF('Capacity summary'!AS204&lt;&gt;"",IF(LOWER('Capacity summary'!AS204)="x",$BI85*AS85,VALUE('Capacity summary'!AS204)),0),AS85*$BI85),AS85*$BI85),0)</f>
        <v>0</v>
      </c>
      <c r="CW85" s="311">
        <f>IF($BI85&lt;&gt;"",IF('Capacity summary'!$D$14="Yes",IF(COUNTBLANK('Capacity summary'!$H204:$BG204)&lt;52,IF('Capacity summary'!AT204&lt;&gt;"",IF(LOWER('Capacity summary'!AT204)="x",$BI85*AT85,VALUE('Capacity summary'!AT204)),0),AT85*$BI85),AT85*$BI85),0)</f>
        <v>0</v>
      </c>
      <c r="CX85" s="311">
        <f>IF($BI85&lt;&gt;"",IF('Capacity summary'!$D$14="Yes",IF(COUNTBLANK('Capacity summary'!$H204:$BG204)&lt;52,IF('Capacity summary'!AU204&lt;&gt;"",IF(LOWER('Capacity summary'!AU204)="x",$BI85*AU85,VALUE('Capacity summary'!AU204)),0),AU85*$BI85),AU85*$BI85),0)</f>
        <v>0</v>
      </c>
      <c r="CY85" s="311">
        <f>IF($BI85&lt;&gt;"",IF('Capacity summary'!$D$14="Yes",IF(COUNTBLANK('Capacity summary'!$H204:$BG204)&lt;52,IF('Capacity summary'!AV204&lt;&gt;"",IF(LOWER('Capacity summary'!AV204)="x",$BI85*AV85,VALUE('Capacity summary'!AV204)),0),AV85*$BI85),AV85*$BI85),0)</f>
        <v>0</v>
      </c>
      <c r="CZ85" s="311">
        <f>IF($BI85&lt;&gt;"",IF('Capacity summary'!$D$14="Yes",IF(COUNTBLANK('Capacity summary'!$H204:$BG204)&lt;52,IF('Capacity summary'!AW204&lt;&gt;"",IF(LOWER('Capacity summary'!AW204)="x",$BI85*AW85,VALUE('Capacity summary'!AW204)),0),AW85*$BI85),AW85*$BI85),0)</f>
        <v>0</v>
      </c>
      <c r="DA85" s="311">
        <f>IF($BI85&lt;&gt;"",IF('Capacity summary'!$D$14="Yes",IF(COUNTBLANK('Capacity summary'!$H204:$BG204)&lt;52,IF('Capacity summary'!AX204&lt;&gt;"",IF(LOWER('Capacity summary'!AX204)="x",$BI85*AX85,VALUE('Capacity summary'!AX204)),0),AX85*$BI85),AX85*$BI85),0)</f>
        <v>0</v>
      </c>
      <c r="DB85" s="311">
        <f>IF($BI85&lt;&gt;"",IF('Capacity summary'!$D$14="Yes",IF(COUNTBLANK('Capacity summary'!$H204:$BG204)&lt;52,IF('Capacity summary'!AY204&lt;&gt;"",IF(LOWER('Capacity summary'!AY204)="x",$BI85*AY85,VALUE('Capacity summary'!AY204)),0),AY85*$BI85),AY85*$BI85),0)</f>
        <v>0</v>
      </c>
      <c r="DC85" s="311">
        <f>IF($BI85&lt;&gt;"",IF('Capacity summary'!$D$14="Yes",IF(COUNTBLANK('Capacity summary'!$H204:$BG204)&lt;52,IF('Capacity summary'!AZ204&lt;&gt;"",IF(LOWER('Capacity summary'!AZ204)="x",$BI85*AZ85,VALUE('Capacity summary'!AZ204)),0),AZ85*$BI85),AZ85*$BI85),0)</f>
        <v>0</v>
      </c>
      <c r="DD85" s="311">
        <f>IF($BI85&lt;&gt;"",IF('Capacity summary'!$D$14="Yes",IF(COUNTBLANK('Capacity summary'!$H204:$BG204)&lt;52,IF('Capacity summary'!BA204&lt;&gt;"",IF(LOWER('Capacity summary'!BA204)="x",$BI85*BA85,VALUE('Capacity summary'!BA204)),0),BA85*$BI85),BA85*$BI85),0)</f>
        <v>0</v>
      </c>
      <c r="DE85" s="311">
        <f>IF($BI85&lt;&gt;"",IF('Capacity summary'!$D$14="Yes",IF(COUNTBLANK('Capacity summary'!$H204:$BG204)&lt;52,IF('Capacity summary'!BB204&lt;&gt;"",IF(LOWER('Capacity summary'!BB204)="x",$BI85*BB85,VALUE('Capacity summary'!BB204)),0),BB85*$BI85),BB85*$BI85),0)</f>
        <v>0</v>
      </c>
      <c r="DF85" s="311">
        <f>IF($BI85&lt;&gt;"",IF('Capacity summary'!$D$14="Yes",IF(COUNTBLANK('Capacity summary'!$H204:$BG204)&lt;52,IF('Capacity summary'!BC204&lt;&gt;"",IF(LOWER('Capacity summary'!BC204)="x",$BI85*BC85,VALUE('Capacity summary'!BC204)),0),BC85*$BI85),BC85*$BI85),0)</f>
        <v>0</v>
      </c>
      <c r="DG85" s="311">
        <f>IF($BI85&lt;&gt;"",IF('Capacity summary'!$D$14="Yes",IF(COUNTBLANK('Capacity summary'!$H204:$BG204)&lt;52,IF('Capacity summary'!BD204&lt;&gt;"",IF(LOWER('Capacity summary'!BD204)="x",$BI85*BD85,VALUE('Capacity summary'!BD204)),0),BD85*$BI85),BD85*$BI85),0)</f>
        <v>0</v>
      </c>
      <c r="DH85" s="311">
        <f>IF($BI85&lt;&gt;"",IF('Capacity summary'!$D$14="Yes",IF(COUNTBLANK('Capacity summary'!$H204:$BG204)&lt;52,IF('Capacity summary'!BE204&lt;&gt;"",IF(LOWER('Capacity summary'!BE204)="x",$BI85*BE85,VALUE('Capacity summary'!BE204)),0),BE85*$BI85),BE85*$BI85),0)</f>
        <v>0</v>
      </c>
      <c r="DI85" s="311">
        <f>IF($BI85&lt;&gt;"",IF('Capacity summary'!$D$14="Yes",IF(COUNTBLANK('Capacity summary'!$H204:$BG204)&lt;52,IF('Capacity summary'!BF204&lt;&gt;"",IF(LOWER('Capacity summary'!BF204)="x",$BI85*BF85,VALUE('Capacity summary'!BF204)),0),BF85*$BI85),BF85*$BI85),0)</f>
        <v>0</v>
      </c>
      <c r="DJ85" s="311">
        <f>IF($BI85&lt;&gt;"",IF('Capacity summary'!$D$14="Yes",IF(COUNTBLANK('Capacity summary'!$H204:$BG204)&lt;52,IF('Capacity summary'!BG204&lt;&gt;"",IF(LOWER('Capacity summary'!BG204)="x",$BI85*BG85,VALUE('Capacity summary'!BG204)),0),BG85*$BI85),BG85*$BI85),0)</f>
        <v>0</v>
      </c>
      <c r="DK85" s="391">
        <f t="shared" si="4"/>
        <v>0</v>
      </c>
      <c r="DL85" s="136">
        <f t="shared" si="5"/>
        <v>0</v>
      </c>
      <c r="DM85" s="311" t="str">
        <f>Capacity!H97</f>
        <v/>
      </c>
    </row>
    <row r="86" spans="1:117" x14ac:dyDescent="0.2">
      <c r="A86" s="67">
        <f>IF(Capacity!L98='Capacity summary'!BI205,1,0)</f>
        <v>1</v>
      </c>
      <c r="B86" s="67">
        <f>IF(Capacity!V98='Capacity summary'!BI105,1,0)</f>
        <v>1</v>
      </c>
      <c r="C86" s="67" t="str">
        <f>ROW(A82)&amp;". "&amp;Capacity!B98</f>
        <v xml:space="preserve">82. </v>
      </c>
      <c r="D86" s="67">
        <f>'Capacity setup'!C93</f>
        <v>0</v>
      </c>
      <c r="E86" s="67">
        <f>'Capacity setup'!D93</f>
        <v>0</v>
      </c>
      <c r="F86" s="67">
        <f>'Capacity setup'!E93</f>
        <v>0</v>
      </c>
      <c r="H86" s="67">
        <f ca="1">IF(LOWER(Capacity!$L98)="x",IF(AND(SUMIF(Capacity_Resource,$D86,'Critical resources (hide)'!U$6:U$105)+SUMIF(Capacity_Resource,$E86,'Critical resources (hide)'!U$6:U$105)+SUMIF(Capacity_Resource,$F86,'Critical resources (hide)'!U$6:U$105)&gt;0,$E$1=2),0,1),0)</f>
        <v>1</v>
      </c>
      <c r="I86" s="67">
        <f ca="1">IF(LOWER(Capacity!$L98)="x",IF(AND(SUMIF(Capacity_Resource,$D86,'Critical resources (hide)'!V$6:V$105)+SUMIF(Capacity_Resource,$E86,'Critical resources (hide)'!V$6:V$105)+SUMIF(Capacity_Resource,$F86,'Critical resources (hide)'!V$6:V$105)&gt;0,$E$1=2),0,1),0)</f>
        <v>1</v>
      </c>
      <c r="J86" s="67">
        <f ca="1">IF(LOWER(Capacity!$L98)="x",IF(AND(SUMIF(Capacity_Resource,$D86,'Critical resources (hide)'!W$6:W$105)+SUMIF(Capacity_Resource,$E86,'Critical resources (hide)'!W$6:W$105)+SUMIF(Capacity_Resource,$F86,'Critical resources (hide)'!W$6:W$105)&gt;0,$E$1=2),0,1),0)</f>
        <v>1</v>
      </c>
      <c r="K86" s="67">
        <f ca="1">IF(LOWER(Capacity!$L98)="x",IF(AND(SUMIF(Capacity_Resource,$D86,'Critical resources (hide)'!X$6:X$105)+SUMIF(Capacity_Resource,$E86,'Critical resources (hide)'!X$6:X$105)+SUMIF(Capacity_Resource,$F86,'Critical resources (hide)'!X$6:X$105)&gt;0,$E$1=2),0,1),0)</f>
        <v>1</v>
      </c>
      <c r="L86" s="67">
        <f ca="1">IF(LOWER(Capacity!$L98)="x",IF(AND(SUMIF(Capacity_Resource,$D86,'Critical resources (hide)'!Y$6:Y$105)+SUMIF(Capacity_Resource,$E86,'Critical resources (hide)'!Y$6:Y$105)+SUMIF(Capacity_Resource,$F86,'Critical resources (hide)'!Y$6:Y$105)&gt;0,$E$1=2),0,1),0)</f>
        <v>1</v>
      </c>
      <c r="M86" s="67">
        <f ca="1">IF(LOWER(Capacity!$L98)="x",IF(AND(SUMIF(Capacity_Resource,$D86,'Critical resources (hide)'!Z$6:Z$105)+SUMIF(Capacity_Resource,$E86,'Critical resources (hide)'!Z$6:Z$105)+SUMIF(Capacity_Resource,$F86,'Critical resources (hide)'!Z$6:Z$105)&gt;0,$E$1=2),0,1),0)</f>
        <v>1</v>
      </c>
      <c r="N86" s="67">
        <f ca="1">IF(LOWER(Capacity!$L98)="x",IF(AND(SUMIF(Capacity_Resource,$D86,'Critical resources (hide)'!AA$6:AA$105)+SUMIF(Capacity_Resource,$E86,'Critical resources (hide)'!AA$6:AA$105)+SUMIF(Capacity_Resource,$F86,'Critical resources (hide)'!AA$6:AA$105)&gt;0,$E$1=2),0,1),0)</f>
        <v>1</v>
      </c>
      <c r="O86" s="67">
        <f ca="1">IF(LOWER(Capacity!$L98)="x",IF(AND(SUMIF(Capacity_Resource,$D86,'Critical resources (hide)'!AB$6:AB$105)+SUMIF(Capacity_Resource,$E86,'Critical resources (hide)'!AB$6:AB$105)+SUMIF(Capacity_Resource,$F86,'Critical resources (hide)'!AB$6:AB$105)&gt;0,$E$1=2),0,1),0)</f>
        <v>1</v>
      </c>
      <c r="P86" s="67">
        <f ca="1">IF(LOWER(Capacity!$L98)="x",IF(AND(SUMIF(Capacity_Resource,$D86,'Critical resources (hide)'!AC$6:AC$105)+SUMIF(Capacity_Resource,$E86,'Critical resources (hide)'!AC$6:AC$105)+SUMIF(Capacity_Resource,$F86,'Critical resources (hide)'!AC$6:AC$105)&gt;0,$E$1=2),0,1),0)</f>
        <v>1</v>
      </c>
      <c r="Q86" s="67">
        <f ca="1">IF(LOWER(Capacity!$L98)="x",IF(AND(SUMIF(Capacity_Resource,$D86,'Critical resources (hide)'!AD$6:AD$105)+SUMIF(Capacity_Resource,$E86,'Critical resources (hide)'!AD$6:AD$105)+SUMIF(Capacity_Resource,$F86,'Critical resources (hide)'!AD$6:AD$105)&gt;0,$E$1=2),0,1),0)</f>
        <v>1</v>
      </c>
      <c r="R86" s="67">
        <f ca="1">IF(LOWER(Capacity!$L98)="x",IF(AND(SUMIF(Capacity_Resource,$D86,'Critical resources (hide)'!AE$6:AE$105)+SUMIF(Capacity_Resource,$E86,'Critical resources (hide)'!AE$6:AE$105)+SUMIF(Capacity_Resource,$F86,'Critical resources (hide)'!AE$6:AE$105)&gt;0,$E$1=2),0,1),0)</f>
        <v>1</v>
      </c>
      <c r="S86" s="67">
        <f ca="1">IF(LOWER(Capacity!$L98)="x",IF(AND(SUMIF(Capacity_Resource,$D86,'Critical resources (hide)'!AF$6:AF$105)+SUMIF(Capacity_Resource,$E86,'Critical resources (hide)'!AF$6:AF$105)+SUMIF(Capacity_Resource,$F86,'Critical resources (hide)'!AF$6:AF$105)&gt;0,$E$1=2),0,1),0)</f>
        <v>1</v>
      </c>
      <c r="T86" s="67">
        <f ca="1">IF(LOWER(Capacity!$L98)="x",IF(AND(SUMIF(Capacity_Resource,$D86,'Critical resources (hide)'!AG$6:AG$105)+SUMIF(Capacity_Resource,$E86,'Critical resources (hide)'!AG$6:AG$105)+SUMIF(Capacity_Resource,$F86,'Critical resources (hide)'!AG$6:AG$105)&gt;0,$E$1=2),0,1),0)</f>
        <v>1</v>
      </c>
      <c r="U86" s="67">
        <f ca="1">IF(LOWER(Capacity!$L98)="x",IF(AND(SUMIF(Capacity_Resource,$D86,'Critical resources (hide)'!AH$6:AH$105)+SUMIF(Capacity_Resource,$E86,'Critical resources (hide)'!AH$6:AH$105)+SUMIF(Capacity_Resource,$F86,'Critical resources (hide)'!AH$6:AH$105)&gt;0,$E$1=2),0,1),0)</f>
        <v>1</v>
      </c>
      <c r="V86" s="67">
        <f ca="1">IF(LOWER(Capacity!$L98)="x",IF(AND(SUMIF(Capacity_Resource,$D86,'Critical resources (hide)'!AI$6:AI$105)+SUMIF(Capacity_Resource,$E86,'Critical resources (hide)'!AI$6:AI$105)+SUMIF(Capacity_Resource,$F86,'Critical resources (hide)'!AI$6:AI$105)&gt;0,$E$1=2),0,1),0)</f>
        <v>1</v>
      </c>
      <c r="W86" s="67">
        <f ca="1">IF(LOWER(Capacity!$L98)="x",IF(AND(SUMIF(Capacity_Resource,$D86,'Critical resources (hide)'!AJ$6:AJ$105)+SUMIF(Capacity_Resource,$E86,'Critical resources (hide)'!AJ$6:AJ$105)+SUMIF(Capacity_Resource,$F86,'Critical resources (hide)'!AJ$6:AJ$105)&gt;0,$E$1=2),0,1),0)</f>
        <v>1</v>
      </c>
      <c r="X86" s="67">
        <f ca="1">IF(LOWER(Capacity!$L98)="x",IF(AND(SUMIF(Capacity_Resource,$D86,'Critical resources (hide)'!AK$6:AK$105)+SUMIF(Capacity_Resource,$E86,'Critical resources (hide)'!AK$6:AK$105)+SUMIF(Capacity_Resource,$F86,'Critical resources (hide)'!AK$6:AK$105)&gt;0,$E$1=2),0,1),0)</f>
        <v>1</v>
      </c>
      <c r="Y86" s="67">
        <f ca="1">IF(LOWER(Capacity!$L98)="x",IF(AND(SUMIF(Capacity_Resource,$D86,'Critical resources (hide)'!AL$6:AL$105)+SUMIF(Capacity_Resource,$E86,'Critical resources (hide)'!AL$6:AL$105)+SUMIF(Capacity_Resource,$F86,'Critical resources (hide)'!AL$6:AL$105)&gt;0,$E$1=2),0,1),0)</f>
        <v>1</v>
      </c>
      <c r="Z86" s="67">
        <f ca="1">IF(LOWER(Capacity!$L98)="x",IF(AND(SUMIF(Capacity_Resource,$D86,'Critical resources (hide)'!AM$6:AM$105)+SUMIF(Capacity_Resource,$E86,'Critical resources (hide)'!AM$6:AM$105)+SUMIF(Capacity_Resource,$F86,'Critical resources (hide)'!AM$6:AM$105)&gt;0,$E$1=2),0,1),0)</f>
        <v>1</v>
      </c>
      <c r="AA86" s="67">
        <f ca="1">IF(LOWER(Capacity!$L98)="x",IF(AND(SUMIF(Capacity_Resource,$D86,'Critical resources (hide)'!AN$6:AN$105)+SUMIF(Capacity_Resource,$E86,'Critical resources (hide)'!AN$6:AN$105)+SUMIF(Capacity_Resource,$F86,'Critical resources (hide)'!AN$6:AN$105)&gt;0,$E$1=2),0,1),0)</f>
        <v>1</v>
      </c>
      <c r="AB86" s="67">
        <f ca="1">IF(LOWER(Capacity!$L98)="x",IF(AND(SUMIF(Capacity_Resource,$D86,'Critical resources (hide)'!AO$6:AO$105)+SUMIF(Capacity_Resource,$E86,'Critical resources (hide)'!AO$6:AO$105)+SUMIF(Capacity_Resource,$F86,'Critical resources (hide)'!AO$6:AO$105)&gt;0,$E$1=2),0,1),0)</f>
        <v>1</v>
      </c>
      <c r="AC86" s="67">
        <f ca="1">IF(LOWER(Capacity!$L98)="x",IF(AND(SUMIF(Capacity_Resource,$D86,'Critical resources (hide)'!AP$6:AP$105)+SUMIF(Capacity_Resource,$E86,'Critical resources (hide)'!AP$6:AP$105)+SUMIF(Capacity_Resource,$F86,'Critical resources (hide)'!AP$6:AP$105)&gt;0,$E$1=2),0,1),0)</f>
        <v>1</v>
      </c>
      <c r="AD86" s="67">
        <f ca="1">IF(LOWER(Capacity!$L98)="x",IF(AND(SUMIF(Capacity_Resource,$D86,'Critical resources (hide)'!AQ$6:AQ$105)+SUMIF(Capacity_Resource,$E86,'Critical resources (hide)'!AQ$6:AQ$105)+SUMIF(Capacity_Resource,$F86,'Critical resources (hide)'!AQ$6:AQ$105)&gt;0,$E$1=2),0,1),0)</f>
        <v>1</v>
      </c>
      <c r="AE86" s="67">
        <f ca="1">IF(LOWER(Capacity!$L98)="x",IF(AND(SUMIF(Capacity_Resource,$D86,'Critical resources (hide)'!AR$6:AR$105)+SUMIF(Capacity_Resource,$E86,'Critical resources (hide)'!AR$6:AR$105)+SUMIF(Capacity_Resource,$F86,'Critical resources (hide)'!AR$6:AR$105)&gt;0,$E$1=2),0,1),0)</f>
        <v>1</v>
      </c>
      <c r="AF86" s="67">
        <f ca="1">IF(LOWER(Capacity!$L98)="x",IF(AND(SUMIF(Capacity_Resource,$D86,'Critical resources (hide)'!AS$6:AS$105)+SUMIF(Capacity_Resource,$E86,'Critical resources (hide)'!AS$6:AS$105)+SUMIF(Capacity_Resource,$F86,'Critical resources (hide)'!AS$6:AS$105)&gt;0,$E$1=2),0,1),0)</f>
        <v>1</v>
      </c>
      <c r="AG86" s="67">
        <f ca="1">IF(LOWER(Capacity!$L98)="x",IF(AND(SUMIF(Capacity_Resource,$D86,'Critical resources (hide)'!AT$6:AT$105)+SUMIF(Capacity_Resource,$E86,'Critical resources (hide)'!AT$6:AT$105)+SUMIF(Capacity_Resource,$F86,'Critical resources (hide)'!AT$6:AT$105)&gt;0,$E$1=2),0,1),0)</f>
        <v>1</v>
      </c>
      <c r="AH86" s="67">
        <f ca="1">IF(LOWER(Capacity!$L98)="x",IF(AND(SUMIF(Capacity_Resource,$D86,'Critical resources (hide)'!AU$6:AU$105)+SUMIF(Capacity_Resource,$E86,'Critical resources (hide)'!AU$6:AU$105)+SUMIF(Capacity_Resource,$F86,'Critical resources (hide)'!AU$6:AU$105)&gt;0,$E$1=2),0,1),0)</f>
        <v>1</v>
      </c>
      <c r="AI86" s="67">
        <f ca="1">IF(LOWER(Capacity!$L98)="x",IF(AND(SUMIF(Capacity_Resource,$D86,'Critical resources (hide)'!AV$6:AV$105)+SUMIF(Capacity_Resource,$E86,'Critical resources (hide)'!AV$6:AV$105)+SUMIF(Capacity_Resource,$F86,'Critical resources (hide)'!AV$6:AV$105)&gt;0,$E$1=2),0,1),0)</f>
        <v>1</v>
      </c>
      <c r="AJ86" s="67">
        <f ca="1">IF(LOWER(Capacity!$L98)="x",IF(AND(SUMIF(Capacity_Resource,$D86,'Critical resources (hide)'!AW$6:AW$105)+SUMIF(Capacity_Resource,$E86,'Critical resources (hide)'!AW$6:AW$105)+SUMIF(Capacity_Resource,$F86,'Critical resources (hide)'!AW$6:AW$105)&gt;0,$E$1=2),0,1),0)</f>
        <v>1</v>
      </c>
      <c r="AK86" s="67">
        <f ca="1">IF(LOWER(Capacity!$L98)="x",IF(AND(SUMIF(Capacity_Resource,$D86,'Critical resources (hide)'!AX$6:AX$105)+SUMIF(Capacity_Resource,$E86,'Critical resources (hide)'!AX$6:AX$105)+SUMIF(Capacity_Resource,$F86,'Critical resources (hide)'!AX$6:AX$105)&gt;0,$E$1=2),0,1),0)</f>
        <v>1</v>
      </c>
      <c r="AL86" s="67">
        <f ca="1">IF(LOWER(Capacity!$L98)="x",IF(AND(SUMIF(Capacity_Resource,$D86,'Critical resources (hide)'!AY$6:AY$105)+SUMIF(Capacity_Resource,$E86,'Critical resources (hide)'!AY$6:AY$105)+SUMIF(Capacity_Resource,$F86,'Critical resources (hide)'!AY$6:AY$105)&gt;0,$E$1=2),0,1),0)</f>
        <v>1</v>
      </c>
      <c r="AM86" s="67">
        <f ca="1">IF(LOWER(Capacity!$L98)="x",IF(AND(SUMIF(Capacity_Resource,$D86,'Critical resources (hide)'!AZ$6:AZ$105)+SUMIF(Capacity_Resource,$E86,'Critical resources (hide)'!AZ$6:AZ$105)+SUMIF(Capacity_Resource,$F86,'Critical resources (hide)'!AZ$6:AZ$105)&gt;0,$E$1=2),0,1),0)</f>
        <v>1</v>
      </c>
      <c r="AN86" s="67">
        <f ca="1">IF(LOWER(Capacity!$L98)="x",IF(AND(SUMIF(Capacity_Resource,$D86,'Critical resources (hide)'!BA$6:BA$105)+SUMIF(Capacity_Resource,$E86,'Critical resources (hide)'!BA$6:BA$105)+SUMIF(Capacity_Resource,$F86,'Critical resources (hide)'!BA$6:BA$105)&gt;0,$E$1=2),0,1),0)</f>
        <v>1</v>
      </c>
      <c r="AO86" s="67">
        <f ca="1">IF(LOWER(Capacity!$L98)="x",IF(AND(SUMIF(Capacity_Resource,$D86,'Critical resources (hide)'!BB$6:BB$105)+SUMIF(Capacity_Resource,$E86,'Critical resources (hide)'!BB$6:BB$105)+SUMIF(Capacity_Resource,$F86,'Critical resources (hide)'!BB$6:BB$105)&gt;0,$E$1=2),0,1),0)</f>
        <v>1</v>
      </c>
      <c r="AP86" s="67">
        <f ca="1">IF(LOWER(Capacity!$L98)="x",IF(AND(SUMIF(Capacity_Resource,$D86,'Critical resources (hide)'!BC$6:BC$105)+SUMIF(Capacity_Resource,$E86,'Critical resources (hide)'!BC$6:BC$105)+SUMIF(Capacity_Resource,$F86,'Critical resources (hide)'!BC$6:BC$105)&gt;0,$E$1=2),0,1),0)</f>
        <v>1</v>
      </c>
      <c r="AQ86" s="67">
        <f ca="1">IF(LOWER(Capacity!$L98)="x",IF(AND(SUMIF(Capacity_Resource,$D86,'Critical resources (hide)'!BD$6:BD$105)+SUMIF(Capacity_Resource,$E86,'Critical resources (hide)'!BD$6:BD$105)+SUMIF(Capacity_Resource,$F86,'Critical resources (hide)'!BD$6:BD$105)&gt;0,$E$1=2),0,1),0)</f>
        <v>1</v>
      </c>
      <c r="AR86" s="67">
        <f ca="1">IF(LOWER(Capacity!$L98)="x",IF(AND(SUMIF(Capacity_Resource,$D86,'Critical resources (hide)'!BE$6:BE$105)+SUMIF(Capacity_Resource,$E86,'Critical resources (hide)'!BE$6:BE$105)+SUMIF(Capacity_Resource,$F86,'Critical resources (hide)'!BE$6:BE$105)&gt;0,$E$1=2),0,1),0)</f>
        <v>1</v>
      </c>
      <c r="AS86" s="67">
        <f ca="1">IF(LOWER(Capacity!$L98)="x",IF(AND(SUMIF(Capacity_Resource,$D86,'Critical resources (hide)'!BF$6:BF$105)+SUMIF(Capacity_Resource,$E86,'Critical resources (hide)'!BF$6:BF$105)+SUMIF(Capacity_Resource,$F86,'Critical resources (hide)'!BF$6:BF$105)&gt;0,$E$1=2),0,1),0)</f>
        <v>1</v>
      </c>
      <c r="AT86" s="67">
        <f ca="1">IF(LOWER(Capacity!$L98)="x",IF(AND(SUMIF(Capacity_Resource,$D86,'Critical resources (hide)'!BG$6:BG$105)+SUMIF(Capacity_Resource,$E86,'Critical resources (hide)'!BG$6:BG$105)+SUMIF(Capacity_Resource,$F86,'Critical resources (hide)'!BG$6:BG$105)&gt;0,$E$1=2),0,1),0)</f>
        <v>1</v>
      </c>
      <c r="AU86" s="67">
        <f ca="1">IF(LOWER(Capacity!$L98)="x",IF(AND(SUMIF(Capacity_Resource,$D86,'Critical resources (hide)'!BH$6:BH$105)+SUMIF(Capacity_Resource,$E86,'Critical resources (hide)'!BH$6:BH$105)+SUMIF(Capacity_Resource,$F86,'Critical resources (hide)'!BH$6:BH$105)&gt;0,$E$1=2),0,1),0)</f>
        <v>1</v>
      </c>
      <c r="AV86" s="67">
        <f ca="1">IF(LOWER(Capacity!$L98)="x",IF(AND(SUMIF(Capacity_Resource,$D86,'Critical resources (hide)'!BI$6:BI$105)+SUMIF(Capacity_Resource,$E86,'Critical resources (hide)'!BI$6:BI$105)+SUMIF(Capacity_Resource,$F86,'Critical resources (hide)'!BI$6:BI$105)&gt;0,$E$1=2),0,1),0)</f>
        <v>1</v>
      </c>
      <c r="AW86" s="67">
        <f ca="1">IF(LOWER(Capacity!$L98)="x",IF(AND(SUMIF(Capacity_Resource,$D86,'Critical resources (hide)'!BJ$6:BJ$105)+SUMIF(Capacity_Resource,$E86,'Critical resources (hide)'!BJ$6:BJ$105)+SUMIF(Capacity_Resource,$F86,'Critical resources (hide)'!BJ$6:BJ$105)&gt;0,$E$1=2),0,1),0)</f>
        <v>1</v>
      </c>
      <c r="AX86" s="67">
        <f ca="1">IF(LOWER(Capacity!$L98)="x",IF(AND(SUMIF(Capacity_Resource,$D86,'Critical resources (hide)'!BK$6:BK$105)+SUMIF(Capacity_Resource,$E86,'Critical resources (hide)'!BK$6:BK$105)+SUMIF(Capacity_Resource,$F86,'Critical resources (hide)'!BK$6:BK$105)&gt;0,$E$1=2),0,1),0)</f>
        <v>1</v>
      </c>
      <c r="AY86" s="67">
        <f ca="1">IF(LOWER(Capacity!$L98)="x",IF(AND(SUMIF(Capacity_Resource,$D86,'Critical resources (hide)'!BL$6:BL$105)+SUMIF(Capacity_Resource,$E86,'Critical resources (hide)'!BL$6:BL$105)+SUMIF(Capacity_Resource,$F86,'Critical resources (hide)'!BL$6:BL$105)&gt;0,$E$1=2),0,1),0)</f>
        <v>1</v>
      </c>
      <c r="AZ86" s="67">
        <f ca="1">IF(LOWER(Capacity!$L98)="x",IF(AND(SUMIF(Capacity_Resource,$D86,'Critical resources (hide)'!BM$6:BM$105)+SUMIF(Capacity_Resource,$E86,'Critical resources (hide)'!BM$6:BM$105)+SUMIF(Capacity_Resource,$F86,'Critical resources (hide)'!BM$6:BM$105)&gt;0,$E$1=2),0,1),0)</f>
        <v>1</v>
      </c>
      <c r="BA86" s="67">
        <f ca="1">IF(LOWER(Capacity!$L98)="x",IF(AND(SUMIF(Capacity_Resource,$D86,'Critical resources (hide)'!BN$6:BN$105)+SUMIF(Capacity_Resource,$E86,'Critical resources (hide)'!BN$6:BN$105)+SUMIF(Capacity_Resource,$F86,'Critical resources (hide)'!BN$6:BN$105)&gt;0,$E$1=2),0,1),0)</f>
        <v>1</v>
      </c>
      <c r="BB86" s="67">
        <f ca="1">IF(LOWER(Capacity!$L98)="x",IF(AND(SUMIF(Capacity_Resource,$D86,'Critical resources (hide)'!BO$6:BO$105)+SUMIF(Capacity_Resource,$E86,'Critical resources (hide)'!BO$6:BO$105)+SUMIF(Capacity_Resource,$F86,'Critical resources (hide)'!BO$6:BO$105)&gt;0,$E$1=2),0,1),0)</f>
        <v>1</v>
      </c>
      <c r="BC86" s="67">
        <f ca="1">IF(LOWER(Capacity!$L98)="x",IF(AND(SUMIF(Capacity_Resource,$D86,'Critical resources (hide)'!BP$6:BP$105)+SUMIF(Capacity_Resource,$E86,'Critical resources (hide)'!BP$6:BP$105)+SUMIF(Capacity_Resource,$F86,'Critical resources (hide)'!BP$6:BP$105)&gt;0,$E$1=2),0,1),0)</f>
        <v>1</v>
      </c>
      <c r="BD86" s="67">
        <f ca="1">IF(LOWER(Capacity!$L98)="x",IF(AND(SUMIF(Capacity_Resource,$D86,'Critical resources (hide)'!BQ$6:BQ$105)+SUMIF(Capacity_Resource,$E86,'Critical resources (hide)'!BQ$6:BQ$105)+SUMIF(Capacity_Resource,$F86,'Critical resources (hide)'!BQ$6:BQ$105)&gt;0,$E$1=2),0,1),0)</f>
        <v>1</v>
      </c>
      <c r="BE86" s="67">
        <f ca="1">IF(LOWER(Capacity!$L98)="x",IF(AND(SUMIF(Capacity_Resource,$D86,'Critical resources (hide)'!BR$6:BR$105)+SUMIF(Capacity_Resource,$E86,'Critical resources (hide)'!BR$6:BR$105)+SUMIF(Capacity_Resource,$F86,'Critical resources (hide)'!BR$6:BR$105)&gt;0,$E$1=2),0,1),0)</f>
        <v>1</v>
      </c>
      <c r="BF86" s="67">
        <f ca="1">IF(LOWER(Capacity!$L98)="x",IF(AND(SUMIF(Capacity_Resource,$D86,'Critical resources (hide)'!BS$6:BS$105)+SUMIF(Capacity_Resource,$E86,'Critical resources (hide)'!BS$6:BS$105)+SUMIF(Capacity_Resource,$F86,'Critical resources (hide)'!BS$6:BS$105)&gt;0,$E$1=2),0,1),0)</f>
        <v>1</v>
      </c>
      <c r="BG86" s="67">
        <f ca="1">IF(LOWER(Capacity!$L98)="x",IF(AND(SUMIF(Capacity_Resource,$D86,'Critical resources (hide)'!BT$6:BT$105)+SUMIF(Capacity_Resource,$E86,'Critical resources (hide)'!BT$6:BT$105)+SUMIF(Capacity_Resource,$F86,'Critical resources (hide)'!BT$6:BT$105)&gt;0,$E$1=2),0,1),0)</f>
        <v>1</v>
      </c>
      <c r="BH86" s="67">
        <f>IF(ROW(C82)&lt;=Capacity!$A$16,IF('Capacity summary'!$D$14="No",SUM(H86:BG86),'Capacity summary'!$E205),0)</f>
        <v>0</v>
      </c>
      <c r="BI86" s="5" t="str">
        <f>IF(BH86&gt;0,IF(BH86&lt;Capacity!E98,Capacity!F98,Capacity!H98/'Capacity calculation (hide)'!BH86),"")</f>
        <v/>
      </c>
      <c r="BK86" s="311">
        <f>IF($BI86&lt;&gt;"",IF('Capacity summary'!$D$14="Yes",IF(COUNTBLANK('Capacity summary'!$H205:$BG205)&lt;52,IF('Capacity summary'!H205&lt;&gt;"",IF(LOWER('Capacity summary'!H205)="x",$BI86*H86,VALUE('Capacity summary'!H205)),0),H86*$BI86),H86*$BI86),0)</f>
        <v>0</v>
      </c>
      <c r="BL86" s="311">
        <f>IF($BI86&lt;&gt;"",IF('Capacity summary'!$D$14="Yes",IF(COUNTBLANK('Capacity summary'!$H205:$BG205)&lt;52,IF('Capacity summary'!I205&lt;&gt;"",IF(LOWER('Capacity summary'!I205)="x",$BI86*I86,VALUE('Capacity summary'!I205)),0),I86*$BI86),I86*$BI86),0)</f>
        <v>0</v>
      </c>
      <c r="BM86" s="311">
        <f>IF($BI86&lt;&gt;"",IF('Capacity summary'!$D$14="Yes",IF(COUNTBLANK('Capacity summary'!$H205:$BG205)&lt;52,IF('Capacity summary'!J205&lt;&gt;"",IF(LOWER('Capacity summary'!J205)="x",$BI86*J86,VALUE('Capacity summary'!J205)),0),J86*$BI86),J86*$BI86),0)</f>
        <v>0</v>
      </c>
      <c r="BN86" s="311">
        <f>IF($BI86&lt;&gt;"",IF('Capacity summary'!$D$14="Yes",IF(COUNTBLANK('Capacity summary'!$H205:$BG205)&lt;52,IF('Capacity summary'!K205&lt;&gt;"",IF(LOWER('Capacity summary'!K205)="x",$BI86*K86,VALUE('Capacity summary'!K205)),0),K86*$BI86),K86*$BI86),0)</f>
        <v>0</v>
      </c>
      <c r="BO86" s="311">
        <f>IF($BI86&lt;&gt;"",IF('Capacity summary'!$D$14="Yes",IF(COUNTBLANK('Capacity summary'!$H205:$BG205)&lt;52,IF('Capacity summary'!L205&lt;&gt;"",IF(LOWER('Capacity summary'!L205)="x",$BI86*L86,VALUE('Capacity summary'!L205)),0),L86*$BI86),L86*$BI86),0)</f>
        <v>0</v>
      </c>
      <c r="BP86" s="311">
        <f>IF($BI86&lt;&gt;"",IF('Capacity summary'!$D$14="Yes",IF(COUNTBLANK('Capacity summary'!$H205:$BG205)&lt;52,IF('Capacity summary'!M205&lt;&gt;"",IF(LOWER('Capacity summary'!M205)="x",$BI86*M86,VALUE('Capacity summary'!M205)),0),M86*$BI86),M86*$BI86),0)</f>
        <v>0</v>
      </c>
      <c r="BQ86" s="311">
        <f>IF($BI86&lt;&gt;"",IF('Capacity summary'!$D$14="Yes",IF(COUNTBLANK('Capacity summary'!$H205:$BG205)&lt;52,IF('Capacity summary'!N205&lt;&gt;"",IF(LOWER('Capacity summary'!N205)="x",$BI86*N86,VALUE('Capacity summary'!N205)),0),N86*$BI86),N86*$BI86),0)</f>
        <v>0</v>
      </c>
      <c r="BR86" s="311">
        <f>IF($BI86&lt;&gt;"",IF('Capacity summary'!$D$14="Yes",IF(COUNTBLANK('Capacity summary'!$H205:$BG205)&lt;52,IF('Capacity summary'!O205&lt;&gt;"",IF(LOWER('Capacity summary'!O205)="x",$BI86*O86,VALUE('Capacity summary'!O205)),0),O86*$BI86),O86*$BI86),0)</f>
        <v>0</v>
      </c>
      <c r="BS86" s="311">
        <f>IF($BI86&lt;&gt;"",IF('Capacity summary'!$D$14="Yes",IF(COUNTBLANK('Capacity summary'!$H205:$BG205)&lt;52,IF('Capacity summary'!P205&lt;&gt;"",IF(LOWER('Capacity summary'!P205)="x",$BI86*P86,VALUE('Capacity summary'!P205)),0),P86*$BI86),P86*$BI86),0)</f>
        <v>0</v>
      </c>
      <c r="BT86" s="311">
        <f>IF($BI86&lt;&gt;"",IF('Capacity summary'!$D$14="Yes",IF(COUNTBLANK('Capacity summary'!$H205:$BG205)&lt;52,IF('Capacity summary'!Q205&lt;&gt;"",IF(LOWER('Capacity summary'!Q205)="x",$BI86*Q86,VALUE('Capacity summary'!Q205)),0),Q86*$BI86),Q86*$BI86),0)</f>
        <v>0</v>
      </c>
      <c r="BU86" s="311">
        <f>IF($BI86&lt;&gt;"",IF('Capacity summary'!$D$14="Yes",IF(COUNTBLANK('Capacity summary'!$H205:$BG205)&lt;52,IF('Capacity summary'!R205&lt;&gt;"",IF(LOWER('Capacity summary'!R205)="x",$BI86*R86,VALUE('Capacity summary'!R205)),0),R86*$BI86),R86*$BI86),0)</f>
        <v>0</v>
      </c>
      <c r="BV86" s="311">
        <f>IF($BI86&lt;&gt;"",IF('Capacity summary'!$D$14="Yes",IF(COUNTBLANK('Capacity summary'!$H205:$BG205)&lt;52,IF('Capacity summary'!S205&lt;&gt;"",IF(LOWER('Capacity summary'!S205)="x",$BI86*S86,VALUE('Capacity summary'!S205)),0),S86*$BI86),S86*$BI86),0)</f>
        <v>0</v>
      </c>
      <c r="BW86" s="311">
        <f>IF($BI86&lt;&gt;"",IF('Capacity summary'!$D$14="Yes",IF(COUNTBLANK('Capacity summary'!$H205:$BG205)&lt;52,IF('Capacity summary'!T205&lt;&gt;"",IF(LOWER('Capacity summary'!T205)="x",$BI86*T86,VALUE('Capacity summary'!T205)),0),T86*$BI86),T86*$BI86),0)</f>
        <v>0</v>
      </c>
      <c r="BX86" s="311">
        <f>IF($BI86&lt;&gt;"",IF('Capacity summary'!$D$14="Yes",IF(COUNTBLANK('Capacity summary'!$H205:$BG205)&lt;52,IF('Capacity summary'!U205&lt;&gt;"",IF(LOWER('Capacity summary'!U205)="x",$BI86*U86,VALUE('Capacity summary'!U205)),0),U86*$BI86),U86*$BI86),0)</f>
        <v>0</v>
      </c>
      <c r="BY86" s="311">
        <f>IF($BI86&lt;&gt;"",IF('Capacity summary'!$D$14="Yes",IF(COUNTBLANK('Capacity summary'!$H205:$BG205)&lt;52,IF('Capacity summary'!V205&lt;&gt;"",IF(LOWER('Capacity summary'!V205)="x",$BI86*V86,VALUE('Capacity summary'!V205)),0),V86*$BI86),V86*$BI86),0)</f>
        <v>0</v>
      </c>
      <c r="BZ86" s="311">
        <f>IF($BI86&lt;&gt;"",IF('Capacity summary'!$D$14="Yes",IF(COUNTBLANK('Capacity summary'!$H205:$BG205)&lt;52,IF('Capacity summary'!W205&lt;&gt;"",IF(LOWER('Capacity summary'!W205)="x",$BI86*W86,VALUE('Capacity summary'!W205)),0),W86*$BI86),W86*$BI86),0)</f>
        <v>0</v>
      </c>
      <c r="CA86" s="311">
        <f>IF($BI86&lt;&gt;"",IF('Capacity summary'!$D$14="Yes",IF(COUNTBLANK('Capacity summary'!$H205:$BG205)&lt;52,IF('Capacity summary'!X205&lt;&gt;"",IF(LOWER('Capacity summary'!X205)="x",$BI86*X86,VALUE('Capacity summary'!X205)),0),X86*$BI86),X86*$BI86),0)</f>
        <v>0</v>
      </c>
      <c r="CB86" s="311">
        <f>IF($BI86&lt;&gt;"",IF('Capacity summary'!$D$14="Yes",IF(COUNTBLANK('Capacity summary'!$H205:$BG205)&lt;52,IF('Capacity summary'!Y205&lt;&gt;"",IF(LOWER('Capacity summary'!Y205)="x",$BI86*Y86,VALUE('Capacity summary'!Y205)),0),Y86*$BI86),Y86*$BI86),0)</f>
        <v>0</v>
      </c>
      <c r="CC86" s="311">
        <f>IF($BI86&lt;&gt;"",IF('Capacity summary'!$D$14="Yes",IF(COUNTBLANK('Capacity summary'!$H205:$BG205)&lt;52,IF('Capacity summary'!Z205&lt;&gt;"",IF(LOWER('Capacity summary'!Z205)="x",$BI86*Z86,VALUE('Capacity summary'!Z205)),0),Z86*$BI86),Z86*$BI86),0)</f>
        <v>0</v>
      </c>
      <c r="CD86" s="311">
        <f>IF($BI86&lt;&gt;"",IF('Capacity summary'!$D$14="Yes",IF(COUNTBLANK('Capacity summary'!$H205:$BG205)&lt;52,IF('Capacity summary'!AA205&lt;&gt;"",IF(LOWER('Capacity summary'!AA205)="x",$BI86*AA86,VALUE('Capacity summary'!AA205)),0),AA86*$BI86),AA86*$BI86),0)</f>
        <v>0</v>
      </c>
      <c r="CE86" s="311">
        <f>IF($BI86&lt;&gt;"",IF('Capacity summary'!$D$14="Yes",IF(COUNTBLANK('Capacity summary'!$H205:$BG205)&lt;52,IF('Capacity summary'!AB205&lt;&gt;"",IF(LOWER('Capacity summary'!AB205)="x",$BI86*AB86,VALUE('Capacity summary'!AB205)),0),AB86*$BI86),AB86*$BI86),0)</f>
        <v>0</v>
      </c>
      <c r="CF86" s="311">
        <f>IF($BI86&lt;&gt;"",IF('Capacity summary'!$D$14="Yes",IF(COUNTBLANK('Capacity summary'!$H205:$BG205)&lt;52,IF('Capacity summary'!AC205&lt;&gt;"",IF(LOWER('Capacity summary'!AC205)="x",$BI86*AC86,VALUE('Capacity summary'!AC205)),0),AC86*$BI86),AC86*$BI86),0)</f>
        <v>0</v>
      </c>
      <c r="CG86" s="311">
        <f>IF($BI86&lt;&gt;"",IF('Capacity summary'!$D$14="Yes",IF(COUNTBLANK('Capacity summary'!$H205:$BG205)&lt;52,IF('Capacity summary'!AD205&lt;&gt;"",IF(LOWER('Capacity summary'!AD205)="x",$BI86*AD86,VALUE('Capacity summary'!AD205)),0),AD86*$BI86),AD86*$BI86),0)</f>
        <v>0</v>
      </c>
      <c r="CH86" s="311">
        <f>IF($BI86&lt;&gt;"",IF('Capacity summary'!$D$14="Yes",IF(COUNTBLANK('Capacity summary'!$H205:$BG205)&lt;52,IF('Capacity summary'!AE205&lt;&gt;"",IF(LOWER('Capacity summary'!AE205)="x",$BI86*AE86,VALUE('Capacity summary'!AE205)),0),AE86*$BI86),AE86*$BI86),0)</f>
        <v>0</v>
      </c>
      <c r="CI86" s="311">
        <f>IF($BI86&lt;&gt;"",IF('Capacity summary'!$D$14="Yes",IF(COUNTBLANK('Capacity summary'!$H205:$BG205)&lt;52,IF('Capacity summary'!AF205&lt;&gt;"",IF(LOWER('Capacity summary'!AF205)="x",$BI86*AF86,VALUE('Capacity summary'!AF205)),0),AF86*$BI86),AF86*$BI86),0)</f>
        <v>0</v>
      </c>
      <c r="CJ86" s="311">
        <f>IF($BI86&lt;&gt;"",IF('Capacity summary'!$D$14="Yes",IF(COUNTBLANK('Capacity summary'!$H205:$BG205)&lt;52,IF('Capacity summary'!AG205&lt;&gt;"",IF(LOWER('Capacity summary'!AG205)="x",$BI86*AG86,VALUE('Capacity summary'!AG205)),0),AG86*$BI86),AG86*$BI86),0)</f>
        <v>0</v>
      </c>
      <c r="CK86" s="311">
        <f>IF($BI86&lt;&gt;"",IF('Capacity summary'!$D$14="Yes",IF(COUNTBLANK('Capacity summary'!$H205:$BG205)&lt;52,IF('Capacity summary'!AH205&lt;&gt;"",IF(LOWER('Capacity summary'!AH205)="x",$BI86*AH86,VALUE('Capacity summary'!AH205)),0),AH86*$BI86),AH86*$BI86),0)</f>
        <v>0</v>
      </c>
      <c r="CL86" s="311">
        <f>IF($BI86&lt;&gt;"",IF('Capacity summary'!$D$14="Yes",IF(COUNTBLANK('Capacity summary'!$H205:$BG205)&lt;52,IF('Capacity summary'!AI205&lt;&gt;"",IF(LOWER('Capacity summary'!AI205)="x",$BI86*AI86,VALUE('Capacity summary'!AI205)),0),AI86*$BI86),AI86*$BI86),0)</f>
        <v>0</v>
      </c>
      <c r="CM86" s="311">
        <f>IF($BI86&lt;&gt;"",IF('Capacity summary'!$D$14="Yes",IF(COUNTBLANK('Capacity summary'!$H205:$BG205)&lt;52,IF('Capacity summary'!AJ205&lt;&gt;"",IF(LOWER('Capacity summary'!AJ205)="x",$BI86*AJ86,VALUE('Capacity summary'!AJ205)),0),AJ86*$BI86),AJ86*$BI86),0)</f>
        <v>0</v>
      </c>
      <c r="CN86" s="311">
        <f>IF($BI86&lt;&gt;"",IF('Capacity summary'!$D$14="Yes",IF(COUNTBLANK('Capacity summary'!$H205:$BG205)&lt;52,IF('Capacity summary'!AK205&lt;&gt;"",IF(LOWER('Capacity summary'!AK205)="x",$BI86*AK86,VALUE('Capacity summary'!AK205)),0),AK86*$BI86),AK86*$BI86),0)</f>
        <v>0</v>
      </c>
      <c r="CO86" s="311">
        <f>IF($BI86&lt;&gt;"",IF('Capacity summary'!$D$14="Yes",IF(COUNTBLANK('Capacity summary'!$H205:$BG205)&lt;52,IF('Capacity summary'!AL205&lt;&gt;"",IF(LOWER('Capacity summary'!AL205)="x",$BI86*AL86,VALUE('Capacity summary'!AL205)),0),AL86*$BI86),AL86*$BI86),0)</f>
        <v>0</v>
      </c>
      <c r="CP86" s="311">
        <f>IF($BI86&lt;&gt;"",IF('Capacity summary'!$D$14="Yes",IF(COUNTBLANK('Capacity summary'!$H205:$BG205)&lt;52,IF('Capacity summary'!AM205&lt;&gt;"",IF(LOWER('Capacity summary'!AM205)="x",$BI86*AM86,VALUE('Capacity summary'!AM205)),0),AM86*$BI86),AM86*$BI86),0)</f>
        <v>0</v>
      </c>
      <c r="CQ86" s="311">
        <f>IF($BI86&lt;&gt;"",IF('Capacity summary'!$D$14="Yes",IF(COUNTBLANK('Capacity summary'!$H205:$BG205)&lt;52,IF('Capacity summary'!AN205&lt;&gt;"",IF(LOWER('Capacity summary'!AN205)="x",$BI86*AN86,VALUE('Capacity summary'!AN205)),0),AN86*$BI86),AN86*$BI86),0)</f>
        <v>0</v>
      </c>
      <c r="CR86" s="311">
        <f>IF($BI86&lt;&gt;"",IF('Capacity summary'!$D$14="Yes",IF(COUNTBLANK('Capacity summary'!$H205:$BG205)&lt;52,IF('Capacity summary'!AO205&lt;&gt;"",IF(LOWER('Capacity summary'!AO205)="x",$BI86*AO86,VALUE('Capacity summary'!AO205)),0),AO86*$BI86),AO86*$BI86),0)</f>
        <v>0</v>
      </c>
      <c r="CS86" s="311">
        <f>IF($BI86&lt;&gt;"",IF('Capacity summary'!$D$14="Yes",IF(COUNTBLANK('Capacity summary'!$H205:$BG205)&lt;52,IF('Capacity summary'!AP205&lt;&gt;"",IF(LOWER('Capacity summary'!AP205)="x",$BI86*AP86,VALUE('Capacity summary'!AP205)),0),AP86*$BI86),AP86*$BI86),0)</f>
        <v>0</v>
      </c>
      <c r="CT86" s="311">
        <f>IF($BI86&lt;&gt;"",IF('Capacity summary'!$D$14="Yes",IF(COUNTBLANK('Capacity summary'!$H205:$BG205)&lt;52,IF('Capacity summary'!AQ205&lt;&gt;"",IF(LOWER('Capacity summary'!AQ205)="x",$BI86*AQ86,VALUE('Capacity summary'!AQ205)),0),AQ86*$BI86),AQ86*$BI86),0)</f>
        <v>0</v>
      </c>
      <c r="CU86" s="311">
        <f>IF($BI86&lt;&gt;"",IF('Capacity summary'!$D$14="Yes",IF(COUNTBLANK('Capacity summary'!$H205:$BG205)&lt;52,IF('Capacity summary'!AR205&lt;&gt;"",IF(LOWER('Capacity summary'!AR205)="x",$BI86*AR86,VALUE('Capacity summary'!AR205)),0),AR86*$BI86),AR86*$BI86),0)</f>
        <v>0</v>
      </c>
      <c r="CV86" s="311">
        <f>IF($BI86&lt;&gt;"",IF('Capacity summary'!$D$14="Yes",IF(COUNTBLANK('Capacity summary'!$H205:$BG205)&lt;52,IF('Capacity summary'!AS205&lt;&gt;"",IF(LOWER('Capacity summary'!AS205)="x",$BI86*AS86,VALUE('Capacity summary'!AS205)),0),AS86*$BI86),AS86*$BI86),0)</f>
        <v>0</v>
      </c>
      <c r="CW86" s="311">
        <f>IF($BI86&lt;&gt;"",IF('Capacity summary'!$D$14="Yes",IF(COUNTBLANK('Capacity summary'!$H205:$BG205)&lt;52,IF('Capacity summary'!AT205&lt;&gt;"",IF(LOWER('Capacity summary'!AT205)="x",$BI86*AT86,VALUE('Capacity summary'!AT205)),0),AT86*$BI86),AT86*$BI86),0)</f>
        <v>0</v>
      </c>
      <c r="CX86" s="311">
        <f>IF($BI86&lt;&gt;"",IF('Capacity summary'!$D$14="Yes",IF(COUNTBLANK('Capacity summary'!$H205:$BG205)&lt;52,IF('Capacity summary'!AU205&lt;&gt;"",IF(LOWER('Capacity summary'!AU205)="x",$BI86*AU86,VALUE('Capacity summary'!AU205)),0),AU86*$BI86),AU86*$BI86),0)</f>
        <v>0</v>
      </c>
      <c r="CY86" s="311">
        <f>IF($BI86&lt;&gt;"",IF('Capacity summary'!$D$14="Yes",IF(COUNTBLANK('Capacity summary'!$H205:$BG205)&lt;52,IF('Capacity summary'!AV205&lt;&gt;"",IF(LOWER('Capacity summary'!AV205)="x",$BI86*AV86,VALUE('Capacity summary'!AV205)),0),AV86*$BI86),AV86*$BI86),0)</f>
        <v>0</v>
      </c>
      <c r="CZ86" s="311">
        <f>IF($BI86&lt;&gt;"",IF('Capacity summary'!$D$14="Yes",IF(COUNTBLANK('Capacity summary'!$H205:$BG205)&lt;52,IF('Capacity summary'!AW205&lt;&gt;"",IF(LOWER('Capacity summary'!AW205)="x",$BI86*AW86,VALUE('Capacity summary'!AW205)),0),AW86*$BI86),AW86*$BI86),0)</f>
        <v>0</v>
      </c>
      <c r="DA86" s="311">
        <f>IF($BI86&lt;&gt;"",IF('Capacity summary'!$D$14="Yes",IF(COUNTBLANK('Capacity summary'!$H205:$BG205)&lt;52,IF('Capacity summary'!AX205&lt;&gt;"",IF(LOWER('Capacity summary'!AX205)="x",$BI86*AX86,VALUE('Capacity summary'!AX205)),0),AX86*$BI86),AX86*$BI86),0)</f>
        <v>0</v>
      </c>
      <c r="DB86" s="311">
        <f>IF($BI86&lt;&gt;"",IF('Capacity summary'!$D$14="Yes",IF(COUNTBLANK('Capacity summary'!$H205:$BG205)&lt;52,IF('Capacity summary'!AY205&lt;&gt;"",IF(LOWER('Capacity summary'!AY205)="x",$BI86*AY86,VALUE('Capacity summary'!AY205)),0),AY86*$BI86),AY86*$BI86),0)</f>
        <v>0</v>
      </c>
      <c r="DC86" s="311">
        <f>IF($BI86&lt;&gt;"",IF('Capacity summary'!$D$14="Yes",IF(COUNTBLANK('Capacity summary'!$H205:$BG205)&lt;52,IF('Capacity summary'!AZ205&lt;&gt;"",IF(LOWER('Capacity summary'!AZ205)="x",$BI86*AZ86,VALUE('Capacity summary'!AZ205)),0),AZ86*$BI86),AZ86*$BI86),0)</f>
        <v>0</v>
      </c>
      <c r="DD86" s="311">
        <f>IF($BI86&lt;&gt;"",IF('Capacity summary'!$D$14="Yes",IF(COUNTBLANK('Capacity summary'!$H205:$BG205)&lt;52,IF('Capacity summary'!BA205&lt;&gt;"",IF(LOWER('Capacity summary'!BA205)="x",$BI86*BA86,VALUE('Capacity summary'!BA205)),0),BA86*$BI86),BA86*$BI86),0)</f>
        <v>0</v>
      </c>
      <c r="DE86" s="311">
        <f>IF($BI86&lt;&gt;"",IF('Capacity summary'!$D$14="Yes",IF(COUNTBLANK('Capacity summary'!$H205:$BG205)&lt;52,IF('Capacity summary'!BB205&lt;&gt;"",IF(LOWER('Capacity summary'!BB205)="x",$BI86*BB86,VALUE('Capacity summary'!BB205)),0),BB86*$BI86),BB86*$BI86),0)</f>
        <v>0</v>
      </c>
      <c r="DF86" s="311">
        <f>IF($BI86&lt;&gt;"",IF('Capacity summary'!$D$14="Yes",IF(COUNTBLANK('Capacity summary'!$H205:$BG205)&lt;52,IF('Capacity summary'!BC205&lt;&gt;"",IF(LOWER('Capacity summary'!BC205)="x",$BI86*BC86,VALUE('Capacity summary'!BC205)),0),BC86*$BI86),BC86*$BI86),0)</f>
        <v>0</v>
      </c>
      <c r="DG86" s="311">
        <f>IF($BI86&lt;&gt;"",IF('Capacity summary'!$D$14="Yes",IF(COUNTBLANK('Capacity summary'!$H205:$BG205)&lt;52,IF('Capacity summary'!BD205&lt;&gt;"",IF(LOWER('Capacity summary'!BD205)="x",$BI86*BD86,VALUE('Capacity summary'!BD205)),0),BD86*$BI86),BD86*$BI86),0)</f>
        <v>0</v>
      </c>
      <c r="DH86" s="311">
        <f>IF($BI86&lt;&gt;"",IF('Capacity summary'!$D$14="Yes",IF(COUNTBLANK('Capacity summary'!$H205:$BG205)&lt;52,IF('Capacity summary'!BE205&lt;&gt;"",IF(LOWER('Capacity summary'!BE205)="x",$BI86*BE86,VALUE('Capacity summary'!BE205)),0),BE86*$BI86),BE86*$BI86),0)</f>
        <v>0</v>
      </c>
      <c r="DI86" s="311">
        <f>IF($BI86&lt;&gt;"",IF('Capacity summary'!$D$14="Yes",IF(COUNTBLANK('Capacity summary'!$H205:$BG205)&lt;52,IF('Capacity summary'!BF205&lt;&gt;"",IF(LOWER('Capacity summary'!BF205)="x",$BI86*BF86,VALUE('Capacity summary'!BF205)),0),BF86*$BI86),BF86*$BI86),0)</f>
        <v>0</v>
      </c>
      <c r="DJ86" s="311">
        <f>IF($BI86&lt;&gt;"",IF('Capacity summary'!$D$14="Yes",IF(COUNTBLANK('Capacity summary'!$H205:$BG205)&lt;52,IF('Capacity summary'!BG205&lt;&gt;"",IF(LOWER('Capacity summary'!BG205)="x",$BI86*BG86,VALUE('Capacity summary'!BG205)),0),BG86*$BI86),BG86*$BI86),0)</f>
        <v>0</v>
      </c>
      <c r="DK86" s="391">
        <f t="shared" si="4"/>
        <v>0</v>
      </c>
      <c r="DL86" s="136">
        <f t="shared" si="5"/>
        <v>0</v>
      </c>
      <c r="DM86" s="311" t="str">
        <f>Capacity!H98</f>
        <v/>
      </c>
    </row>
    <row r="87" spans="1:117" x14ac:dyDescent="0.2">
      <c r="A87" s="67">
        <f>IF(Capacity!L99='Capacity summary'!BI206,1,0)</f>
        <v>1</v>
      </c>
      <c r="B87" s="67">
        <f>IF(Capacity!V99='Capacity summary'!BI106,1,0)</f>
        <v>1</v>
      </c>
      <c r="C87" s="67" t="str">
        <f>ROW(A83)&amp;". "&amp;Capacity!B99</f>
        <v xml:space="preserve">83. </v>
      </c>
      <c r="D87" s="67">
        <f>'Capacity setup'!C94</f>
        <v>0</v>
      </c>
      <c r="E87" s="67">
        <f>'Capacity setup'!D94</f>
        <v>0</v>
      </c>
      <c r="F87" s="67">
        <f>'Capacity setup'!E94</f>
        <v>0</v>
      </c>
      <c r="H87" s="67">
        <f ca="1">IF(LOWER(Capacity!$L99)="x",IF(AND(SUMIF(Capacity_Resource,$D87,'Critical resources (hide)'!U$6:U$105)+SUMIF(Capacity_Resource,$E87,'Critical resources (hide)'!U$6:U$105)+SUMIF(Capacity_Resource,$F87,'Critical resources (hide)'!U$6:U$105)&gt;0,$E$1=2),0,1),0)</f>
        <v>1</v>
      </c>
      <c r="I87" s="67">
        <f ca="1">IF(LOWER(Capacity!$L99)="x",IF(AND(SUMIF(Capacity_Resource,$D87,'Critical resources (hide)'!V$6:V$105)+SUMIF(Capacity_Resource,$E87,'Critical resources (hide)'!V$6:V$105)+SUMIF(Capacity_Resource,$F87,'Critical resources (hide)'!V$6:V$105)&gt;0,$E$1=2),0,1),0)</f>
        <v>1</v>
      </c>
      <c r="J87" s="67">
        <f ca="1">IF(LOWER(Capacity!$L99)="x",IF(AND(SUMIF(Capacity_Resource,$D87,'Critical resources (hide)'!W$6:W$105)+SUMIF(Capacity_Resource,$E87,'Critical resources (hide)'!W$6:W$105)+SUMIF(Capacity_Resource,$F87,'Critical resources (hide)'!W$6:W$105)&gt;0,$E$1=2),0,1),0)</f>
        <v>1</v>
      </c>
      <c r="K87" s="67">
        <f ca="1">IF(LOWER(Capacity!$L99)="x",IF(AND(SUMIF(Capacity_Resource,$D87,'Critical resources (hide)'!X$6:X$105)+SUMIF(Capacity_Resource,$E87,'Critical resources (hide)'!X$6:X$105)+SUMIF(Capacity_Resource,$F87,'Critical resources (hide)'!X$6:X$105)&gt;0,$E$1=2),0,1),0)</f>
        <v>1</v>
      </c>
      <c r="L87" s="67">
        <f ca="1">IF(LOWER(Capacity!$L99)="x",IF(AND(SUMIF(Capacity_Resource,$D87,'Critical resources (hide)'!Y$6:Y$105)+SUMIF(Capacity_Resource,$E87,'Critical resources (hide)'!Y$6:Y$105)+SUMIF(Capacity_Resource,$F87,'Critical resources (hide)'!Y$6:Y$105)&gt;0,$E$1=2),0,1),0)</f>
        <v>1</v>
      </c>
      <c r="M87" s="67">
        <f ca="1">IF(LOWER(Capacity!$L99)="x",IF(AND(SUMIF(Capacity_Resource,$D87,'Critical resources (hide)'!Z$6:Z$105)+SUMIF(Capacity_Resource,$E87,'Critical resources (hide)'!Z$6:Z$105)+SUMIF(Capacity_Resource,$F87,'Critical resources (hide)'!Z$6:Z$105)&gt;0,$E$1=2),0,1),0)</f>
        <v>1</v>
      </c>
      <c r="N87" s="67">
        <f ca="1">IF(LOWER(Capacity!$L99)="x",IF(AND(SUMIF(Capacity_Resource,$D87,'Critical resources (hide)'!AA$6:AA$105)+SUMIF(Capacity_Resource,$E87,'Critical resources (hide)'!AA$6:AA$105)+SUMIF(Capacity_Resource,$F87,'Critical resources (hide)'!AA$6:AA$105)&gt;0,$E$1=2),0,1),0)</f>
        <v>1</v>
      </c>
      <c r="O87" s="67">
        <f ca="1">IF(LOWER(Capacity!$L99)="x",IF(AND(SUMIF(Capacity_Resource,$D87,'Critical resources (hide)'!AB$6:AB$105)+SUMIF(Capacity_Resource,$E87,'Critical resources (hide)'!AB$6:AB$105)+SUMIF(Capacity_Resource,$F87,'Critical resources (hide)'!AB$6:AB$105)&gt;0,$E$1=2),0,1),0)</f>
        <v>1</v>
      </c>
      <c r="P87" s="67">
        <f ca="1">IF(LOWER(Capacity!$L99)="x",IF(AND(SUMIF(Capacity_Resource,$D87,'Critical resources (hide)'!AC$6:AC$105)+SUMIF(Capacity_Resource,$E87,'Critical resources (hide)'!AC$6:AC$105)+SUMIF(Capacity_Resource,$F87,'Critical resources (hide)'!AC$6:AC$105)&gt;0,$E$1=2),0,1),0)</f>
        <v>1</v>
      </c>
      <c r="Q87" s="67">
        <f ca="1">IF(LOWER(Capacity!$L99)="x",IF(AND(SUMIF(Capacity_Resource,$D87,'Critical resources (hide)'!AD$6:AD$105)+SUMIF(Capacity_Resource,$E87,'Critical resources (hide)'!AD$6:AD$105)+SUMIF(Capacity_Resource,$F87,'Critical resources (hide)'!AD$6:AD$105)&gt;0,$E$1=2),0,1),0)</f>
        <v>1</v>
      </c>
      <c r="R87" s="67">
        <f ca="1">IF(LOWER(Capacity!$L99)="x",IF(AND(SUMIF(Capacity_Resource,$D87,'Critical resources (hide)'!AE$6:AE$105)+SUMIF(Capacity_Resource,$E87,'Critical resources (hide)'!AE$6:AE$105)+SUMIF(Capacity_Resource,$F87,'Critical resources (hide)'!AE$6:AE$105)&gt;0,$E$1=2),0,1),0)</f>
        <v>1</v>
      </c>
      <c r="S87" s="67">
        <f ca="1">IF(LOWER(Capacity!$L99)="x",IF(AND(SUMIF(Capacity_Resource,$D87,'Critical resources (hide)'!AF$6:AF$105)+SUMIF(Capacity_Resource,$E87,'Critical resources (hide)'!AF$6:AF$105)+SUMIF(Capacity_Resource,$F87,'Critical resources (hide)'!AF$6:AF$105)&gt;0,$E$1=2),0,1),0)</f>
        <v>1</v>
      </c>
      <c r="T87" s="67">
        <f ca="1">IF(LOWER(Capacity!$L99)="x",IF(AND(SUMIF(Capacity_Resource,$D87,'Critical resources (hide)'!AG$6:AG$105)+SUMIF(Capacity_Resource,$E87,'Critical resources (hide)'!AG$6:AG$105)+SUMIF(Capacity_Resource,$F87,'Critical resources (hide)'!AG$6:AG$105)&gt;0,$E$1=2),0,1),0)</f>
        <v>1</v>
      </c>
      <c r="U87" s="67">
        <f ca="1">IF(LOWER(Capacity!$L99)="x",IF(AND(SUMIF(Capacity_Resource,$D87,'Critical resources (hide)'!AH$6:AH$105)+SUMIF(Capacity_Resource,$E87,'Critical resources (hide)'!AH$6:AH$105)+SUMIF(Capacity_Resource,$F87,'Critical resources (hide)'!AH$6:AH$105)&gt;0,$E$1=2),0,1),0)</f>
        <v>1</v>
      </c>
      <c r="V87" s="67">
        <f ca="1">IF(LOWER(Capacity!$L99)="x",IF(AND(SUMIF(Capacity_Resource,$D87,'Critical resources (hide)'!AI$6:AI$105)+SUMIF(Capacity_Resource,$E87,'Critical resources (hide)'!AI$6:AI$105)+SUMIF(Capacity_Resource,$F87,'Critical resources (hide)'!AI$6:AI$105)&gt;0,$E$1=2),0,1),0)</f>
        <v>1</v>
      </c>
      <c r="W87" s="67">
        <f ca="1">IF(LOWER(Capacity!$L99)="x",IF(AND(SUMIF(Capacity_Resource,$D87,'Critical resources (hide)'!AJ$6:AJ$105)+SUMIF(Capacity_Resource,$E87,'Critical resources (hide)'!AJ$6:AJ$105)+SUMIF(Capacity_Resource,$F87,'Critical resources (hide)'!AJ$6:AJ$105)&gt;0,$E$1=2),0,1),0)</f>
        <v>1</v>
      </c>
      <c r="X87" s="67">
        <f ca="1">IF(LOWER(Capacity!$L99)="x",IF(AND(SUMIF(Capacity_Resource,$D87,'Critical resources (hide)'!AK$6:AK$105)+SUMIF(Capacity_Resource,$E87,'Critical resources (hide)'!AK$6:AK$105)+SUMIF(Capacity_Resource,$F87,'Critical resources (hide)'!AK$6:AK$105)&gt;0,$E$1=2),0,1),0)</f>
        <v>1</v>
      </c>
      <c r="Y87" s="67">
        <f ca="1">IF(LOWER(Capacity!$L99)="x",IF(AND(SUMIF(Capacity_Resource,$D87,'Critical resources (hide)'!AL$6:AL$105)+SUMIF(Capacity_Resource,$E87,'Critical resources (hide)'!AL$6:AL$105)+SUMIF(Capacity_Resource,$F87,'Critical resources (hide)'!AL$6:AL$105)&gt;0,$E$1=2),0,1),0)</f>
        <v>1</v>
      </c>
      <c r="Z87" s="67">
        <f ca="1">IF(LOWER(Capacity!$L99)="x",IF(AND(SUMIF(Capacity_Resource,$D87,'Critical resources (hide)'!AM$6:AM$105)+SUMIF(Capacity_Resource,$E87,'Critical resources (hide)'!AM$6:AM$105)+SUMIF(Capacity_Resource,$F87,'Critical resources (hide)'!AM$6:AM$105)&gt;0,$E$1=2),0,1),0)</f>
        <v>1</v>
      </c>
      <c r="AA87" s="67">
        <f ca="1">IF(LOWER(Capacity!$L99)="x",IF(AND(SUMIF(Capacity_Resource,$D87,'Critical resources (hide)'!AN$6:AN$105)+SUMIF(Capacity_Resource,$E87,'Critical resources (hide)'!AN$6:AN$105)+SUMIF(Capacity_Resource,$F87,'Critical resources (hide)'!AN$6:AN$105)&gt;0,$E$1=2),0,1),0)</f>
        <v>1</v>
      </c>
      <c r="AB87" s="67">
        <f ca="1">IF(LOWER(Capacity!$L99)="x",IF(AND(SUMIF(Capacity_Resource,$D87,'Critical resources (hide)'!AO$6:AO$105)+SUMIF(Capacity_Resource,$E87,'Critical resources (hide)'!AO$6:AO$105)+SUMIF(Capacity_Resource,$F87,'Critical resources (hide)'!AO$6:AO$105)&gt;0,$E$1=2),0,1),0)</f>
        <v>1</v>
      </c>
      <c r="AC87" s="67">
        <f ca="1">IF(LOWER(Capacity!$L99)="x",IF(AND(SUMIF(Capacity_Resource,$D87,'Critical resources (hide)'!AP$6:AP$105)+SUMIF(Capacity_Resource,$E87,'Critical resources (hide)'!AP$6:AP$105)+SUMIF(Capacity_Resource,$F87,'Critical resources (hide)'!AP$6:AP$105)&gt;0,$E$1=2),0,1),0)</f>
        <v>1</v>
      </c>
      <c r="AD87" s="67">
        <f ca="1">IF(LOWER(Capacity!$L99)="x",IF(AND(SUMIF(Capacity_Resource,$D87,'Critical resources (hide)'!AQ$6:AQ$105)+SUMIF(Capacity_Resource,$E87,'Critical resources (hide)'!AQ$6:AQ$105)+SUMIF(Capacity_Resource,$F87,'Critical resources (hide)'!AQ$6:AQ$105)&gt;0,$E$1=2),0,1),0)</f>
        <v>1</v>
      </c>
      <c r="AE87" s="67">
        <f ca="1">IF(LOWER(Capacity!$L99)="x",IF(AND(SUMIF(Capacity_Resource,$D87,'Critical resources (hide)'!AR$6:AR$105)+SUMIF(Capacity_Resource,$E87,'Critical resources (hide)'!AR$6:AR$105)+SUMIF(Capacity_Resource,$F87,'Critical resources (hide)'!AR$6:AR$105)&gt;0,$E$1=2),0,1),0)</f>
        <v>1</v>
      </c>
      <c r="AF87" s="67">
        <f ca="1">IF(LOWER(Capacity!$L99)="x",IF(AND(SUMIF(Capacity_Resource,$D87,'Critical resources (hide)'!AS$6:AS$105)+SUMIF(Capacity_Resource,$E87,'Critical resources (hide)'!AS$6:AS$105)+SUMIF(Capacity_Resource,$F87,'Critical resources (hide)'!AS$6:AS$105)&gt;0,$E$1=2),0,1),0)</f>
        <v>1</v>
      </c>
      <c r="AG87" s="67">
        <f ca="1">IF(LOWER(Capacity!$L99)="x",IF(AND(SUMIF(Capacity_Resource,$D87,'Critical resources (hide)'!AT$6:AT$105)+SUMIF(Capacity_Resource,$E87,'Critical resources (hide)'!AT$6:AT$105)+SUMIF(Capacity_Resource,$F87,'Critical resources (hide)'!AT$6:AT$105)&gt;0,$E$1=2),0,1),0)</f>
        <v>1</v>
      </c>
      <c r="AH87" s="67">
        <f ca="1">IF(LOWER(Capacity!$L99)="x",IF(AND(SUMIF(Capacity_Resource,$D87,'Critical resources (hide)'!AU$6:AU$105)+SUMIF(Capacity_Resource,$E87,'Critical resources (hide)'!AU$6:AU$105)+SUMIF(Capacity_Resource,$F87,'Critical resources (hide)'!AU$6:AU$105)&gt;0,$E$1=2),0,1),0)</f>
        <v>1</v>
      </c>
      <c r="AI87" s="67">
        <f ca="1">IF(LOWER(Capacity!$L99)="x",IF(AND(SUMIF(Capacity_Resource,$D87,'Critical resources (hide)'!AV$6:AV$105)+SUMIF(Capacity_Resource,$E87,'Critical resources (hide)'!AV$6:AV$105)+SUMIF(Capacity_Resource,$F87,'Critical resources (hide)'!AV$6:AV$105)&gt;0,$E$1=2),0,1),0)</f>
        <v>1</v>
      </c>
      <c r="AJ87" s="67">
        <f ca="1">IF(LOWER(Capacity!$L99)="x",IF(AND(SUMIF(Capacity_Resource,$D87,'Critical resources (hide)'!AW$6:AW$105)+SUMIF(Capacity_Resource,$E87,'Critical resources (hide)'!AW$6:AW$105)+SUMIF(Capacity_Resource,$F87,'Critical resources (hide)'!AW$6:AW$105)&gt;0,$E$1=2),0,1),0)</f>
        <v>1</v>
      </c>
      <c r="AK87" s="67">
        <f ca="1">IF(LOWER(Capacity!$L99)="x",IF(AND(SUMIF(Capacity_Resource,$D87,'Critical resources (hide)'!AX$6:AX$105)+SUMIF(Capacity_Resource,$E87,'Critical resources (hide)'!AX$6:AX$105)+SUMIF(Capacity_Resource,$F87,'Critical resources (hide)'!AX$6:AX$105)&gt;0,$E$1=2),0,1),0)</f>
        <v>1</v>
      </c>
      <c r="AL87" s="67">
        <f ca="1">IF(LOWER(Capacity!$L99)="x",IF(AND(SUMIF(Capacity_Resource,$D87,'Critical resources (hide)'!AY$6:AY$105)+SUMIF(Capacity_Resource,$E87,'Critical resources (hide)'!AY$6:AY$105)+SUMIF(Capacity_Resource,$F87,'Critical resources (hide)'!AY$6:AY$105)&gt;0,$E$1=2),0,1),0)</f>
        <v>1</v>
      </c>
      <c r="AM87" s="67">
        <f ca="1">IF(LOWER(Capacity!$L99)="x",IF(AND(SUMIF(Capacity_Resource,$D87,'Critical resources (hide)'!AZ$6:AZ$105)+SUMIF(Capacity_Resource,$E87,'Critical resources (hide)'!AZ$6:AZ$105)+SUMIF(Capacity_Resource,$F87,'Critical resources (hide)'!AZ$6:AZ$105)&gt;0,$E$1=2),0,1),0)</f>
        <v>1</v>
      </c>
      <c r="AN87" s="67">
        <f ca="1">IF(LOWER(Capacity!$L99)="x",IF(AND(SUMIF(Capacity_Resource,$D87,'Critical resources (hide)'!BA$6:BA$105)+SUMIF(Capacity_Resource,$E87,'Critical resources (hide)'!BA$6:BA$105)+SUMIF(Capacity_Resource,$F87,'Critical resources (hide)'!BA$6:BA$105)&gt;0,$E$1=2),0,1),0)</f>
        <v>1</v>
      </c>
      <c r="AO87" s="67">
        <f ca="1">IF(LOWER(Capacity!$L99)="x",IF(AND(SUMIF(Capacity_Resource,$D87,'Critical resources (hide)'!BB$6:BB$105)+SUMIF(Capacity_Resource,$E87,'Critical resources (hide)'!BB$6:BB$105)+SUMIF(Capacity_Resource,$F87,'Critical resources (hide)'!BB$6:BB$105)&gt;0,$E$1=2),0,1),0)</f>
        <v>1</v>
      </c>
      <c r="AP87" s="67">
        <f ca="1">IF(LOWER(Capacity!$L99)="x",IF(AND(SUMIF(Capacity_Resource,$D87,'Critical resources (hide)'!BC$6:BC$105)+SUMIF(Capacity_Resource,$E87,'Critical resources (hide)'!BC$6:BC$105)+SUMIF(Capacity_Resource,$F87,'Critical resources (hide)'!BC$6:BC$105)&gt;0,$E$1=2),0,1),0)</f>
        <v>1</v>
      </c>
      <c r="AQ87" s="67">
        <f ca="1">IF(LOWER(Capacity!$L99)="x",IF(AND(SUMIF(Capacity_Resource,$D87,'Critical resources (hide)'!BD$6:BD$105)+SUMIF(Capacity_Resource,$E87,'Critical resources (hide)'!BD$6:BD$105)+SUMIF(Capacity_Resource,$F87,'Critical resources (hide)'!BD$6:BD$105)&gt;0,$E$1=2),0,1),0)</f>
        <v>1</v>
      </c>
      <c r="AR87" s="67">
        <f ca="1">IF(LOWER(Capacity!$L99)="x",IF(AND(SUMIF(Capacity_Resource,$D87,'Critical resources (hide)'!BE$6:BE$105)+SUMIF(Capacity_Resource,$E87,'Critical resources (hide)'!BE$6:BE$105)+SUMIF(Capacity_Resource,$F87,'Critical resources (hide)'!BE$6:BE$105)&gt;0,$E$1=2),0,1),0)</f>
        <v>1</v>
      </c>
      <c r="AS87" s="67">
        <f ca="1">IF(LOWER(Capacity!$L99)="x",IF(AND(SUMIF(Capacity_Resource,$D87,'Critical resources (hide)'!BF$6:BF$105)+SUMIF(Capacity_Resource,$E87,'Critical resources (hide)'!BF$6:BF$105)+SUMIF(Capacity_Resource,$F87,'Critical resources (hide)'!BF$6:BF$105)&gt;0,$E$1=2),0,1),0)</f>
        <v>1</v>
      </c>
      <c r="AT87" s="67">
        <f ca="1">IF(LOWER(Capacity!$L99)="x",IF(AND(SUMIF(Capacity_Resource,$D87,'Critical resources (hide)'!BG$6:BG$105)+SUMIF(Capacity_Resource,$E87,'Critical resources (hide)'!BG$6:BG$105)+SUMIF(Capacity_Resource,$F87,'Critical resources (hide)'!BG$6:BG$105)&gt;0,$E$1=2),0,1),0)</f>
        <v>1</v>
      </c>
      <c r="AU87" s="67">
        <f ca="1">IF(LOWER(Capacity!$L99)="x",IF(AND(SUMIF(Capacity_Resource,$D87,'Critical resources (hide)'!BH$6:BH$105)+SUMIF(Capacity_Resource,$E87,'Critical resources (hide)'!BH$6:BH$105)+SUMIF(Capacity_Resource,$F87,'Critical resources (hide)'!BH$6:BH$105)&gt;0,$E$1=2),0,1),0)</f>
        <v>1</v>
      </c>
      <c r="AV87" s="67">
        <f ca="1">IF(LOWER(Capacity!$L99)="x",IF(AND(SUMIF(Capacity_Resource,$D87,'Critical resources (hide)'!BI$6:BI$105)+SUMIF(Capacity_Resource,$E87,'Critical resources (hide)'!BI$6:BI$105)+SUMIF(Capacity_Resource,$F87,'Critical resources (hide)'!BI$6:BI$105)&gt;0,$E$1=2),0,1),0)</f>
        <v>1</v>
      </c>
      <c r="AW87" s="67">
        <f ca="1">IF(LOWER(Capacity!$L99)="x",IF(AND(SUMIF(Capacity_Resource,$D87,'Critical resources (hide)'!BJ$6:BJ$105)+SUMIF(Capacity_Resource,$E87,'Critical resources (hide)'!BJ$6:BJ$105)+SUMIF(Capacity_Resource,$F87,'Critical resources (hide)'!BJ$6:BJ$105)&gt;0,$E$1=2),0,1),0)</f>
        <v>1</v>
      </c>
      <c r="AX87" s="67">
        <f ca="1">IF(LOWER(Capacity!$L99)="x",IF(AND(SUMIF(Capacity_Resource,$D87,'Critical resources (hide)'!BK$6:BK$105)+SUMIF(Capacity_Resource,$E87,'Critical resources (hide)'!BK$6:BK$105)+SUMIF(Capacity_Resource,$F87,'Critical resources (hide)'!BK$6:BK$105)&gt;0,$E$1=2),0,1),0)</f>
        <v>1</v>
      </c>
      <c r="AY87" s="67">
        <f ca="1">IF(LOWER(Capacity!$L99)="x",IF(AND(SUMIF(Capacity_Resource,$D87,'Critical resources (hide)'!BL$6:BL$105)+SUMIF(Capacity_Resource,$E87,'Critical resources (hide)'!BL$6:BL$105)+SUMIF(Capacity_Resource,$F87,'Critical resources (hide)'!BL$6:BL$105)&gt;0,$E$1=2),0,1),0)</f>
        <v>1</v>
      </c>
      <c r="AZ87" s="67">
        <f ca="1">IF(LOWER(Capacity!$L99)="x",IF(AND(SUMIF(Capacity_Resource,$D87,'Critical resources (hide)'!BM$6:BM$105)+SUMIF(Capacity_Resource,$E87,'Critical resources (hide)'!BM$6:BM$105)+SUMIF(Capacity_Resource,$F87,'Critical resources (hide)'!BM$6:BM$105)&gt;0,$E$1=2),0,1),0)</f>
        <v>1</v>
      </c>
      <c r="BA87" s="67">
        <f ca="1">IF(LOWER(Capacity!$L99)="x",IF(AND(SUMIF(Capacity_Resource,$D87,'Critical resources (hide)'!BN$6:BN$105)+SUMIF(Capacity_Resource,$E87,'Critical resources (hide)'!BN$6:BN$105)+SUMIF(Capacity_Resource,$F87,'Critical resources (hide)'!BN$6:BN$105)&gt;0,$E$1=2),0,1),0)</f>
        <v>1</v>
      </c>
      <c r="BB87" s="67">
        <f ca="1">IF(LOWER(Capacity!$L99)="x",IF(AND(SUMIF(Capacity_Resource,$D87,'Critical resources (hide)'!BO$6:BO$105)+SUMIF(Capacity_Resource,$E87,'Critical resources (hide)'!BO$6:BO$105)+SUMIF(Capacity_Resource,$F87,'Critical resources (hide)'!BO$6:BO$105)&gt;0,$E$1=2),0,1),0)</f>
        <v>1</v>
      </c>
      <c r="BC87" s="67">
        <f ca="1">IF(LOWER(Capacity!$L99)="x",IF(AND(SUMIF(Capacity_Resource,$D87,'Critical resources (hide)'!BP$6:BP$105)+SUMIF(Capacity_Resource,$E87,'Critical resources (hide)'!BP$6:BP$105)+SUMIF(Capacity_Resource,$F87,'Critical resources (hide)'!BP$6:BP$105)&gt;0,$E$1=2),0,1),0)</f>
        <v>1</v>
      </c>
      <c r="BD87" s="67">
        <f ca="1">IF(LOWER(Capacity!$L99)="x",IF(AND(SUMIF(Capacity_Resource,$D87,'Critical resources (hide)'!BQ$6:BQ$105)+SUMIF(Capacity_Resource,$E87,'Critical resources (hide)'!BQ$6:BQ$105)+SUMIF(Capacity_Resource,$F87,'Critical resources (hide)'!BQ$6:BQ$105)&gt;0,$E$1=2),0,1),0)</f>
        <v>1</v>
      </c>
      <c r="BE87" s="67">
        <f ca="1">IF(LOWER(Capacity!$L99)="x",IF(AND(SUMIF(Capacity_Resource,$D87,'Critical resources (hide)'!BR$6:BR$105)+SUMIF(Capacity_Resource,$E87,'Critical resources (hide)'!BR$6:BR$105)+SUMIF(Capacity_Resource,$F87,'Critical resources (hide)'!BR$6:BR$105)&gt;0,$E$1=2),0,1),0)</f>
        <v>1</v>
      </c>
      <c r="BF87" s="67">
        <f ca="1">IF(LOWER(Capacity!$L99)="x",IF(AND(SUMIF(Capacity_Resource,$D87,'Critical resources (hide)'!BS$6:BS$105)+SUMIF(Capacity_Resource,$E87,'Critical resources (hide)'!BS$6:BS$105)+SUMIF(Capacity_Resource,$F87,'Critical resources (hide)'!BS$6:BS$105)&gt;0,$E$1=2),0,1),0)</f>
        <v>1</v>
      </c>
      <c r="BG87" s="67">
        <f ca="1">IF(LOWER(Capacity!$L99)="x",IF(AND(SUMIF(Capacity_Resource,$D87,'Critical resources (hide)'!BT$6:BT$105)+SUMIF(Capacity_Resource,$E87,'Critical resources (hide)'!BT$6:BT$105)+SUMIF(Capacity_Resource,$F87,'Critical resources (hide)'!BT$6:BT$105)&gt;0,$E$1=2),0,1),0)</f>
        <v>1</v>
      </c>
      <c r="BH87" s="67">
        <f>IF(ROW(C83)&lt;=Capacity!$A$16,IF('Capacity summary'!$D$14="No",SUM(H87:BG87),'Capacity summary'!$E206),0)</f>
        <v>0</v>
      </c>
      <c r="BI87" s="5" t="str">
        <f>IF(BH87&gt;0,IF(BH87&lt;Capacity!E99,Capacity!F99,Capacity!H99/'Capacity calculation (hide)'!BH87),"")</f>
        <v/>
      </c>
      <c r="BK87" s="311">
        <f>IF($BI87&lt;&gt;"",IF('Capacity summary'!$D$14="Yes",IF(COUNTBLANK('Capacity summary'!$H206:$BG206)&lt;52,IF('Capacity summary'!H206&lt;&gt;"",IF(LOWER('Capacity summary'!H206)="x",$BI87*H87,VALUE('Capacity summary'!H206)),0),H87*$BI87),H87*$BI87),0)</f>
        <v>0</v>
      </c>
      <c r="BL87" s="311">
        <f>IF($BI87&lt;&gt;"",IF('Capacity summary'!$D$14="Yes",IF(COUNTBLANK('Capacity summary'!$H206:$BG206)&lt;52,IF('Capacity summary'!I206&lt;&gt;"",IF(LOWER('Capacity summary'!I206)="x",$BI87*I87,VALUE('Capacity summary'!I206)),0),I87*$BI87),I87*$BI87),0)</f>
        <v>0</v>
      </c>
      <c r="BM87" s="311">
        <f>IF($BI87&lt;&gt;"",IF('Capacity summary'!$D$14="Yes",IF(COUNTBLANK('Capacity summary'!$H206:$BG206)&lt;52,IF('Capacity summary'!J206&lt;&gt;"",IF(LOWER('Capacity summary'!J206)="x",$BI87*J87,VALUE('Capacity summary'!J206)),0),J87*$BI87),J87*$BI87),0)</f>
        <v>0</v>
      </c>
      <c r="BN87" s="311">
        <f>IF($BI87&lt;&gt;"",IF('Capacity summary'!$D$14="Yes",IF(COUNTBLANK('Capacity summary'!$H206:$BG206)&lt;52,IF('Capacity summary'!K206&lt;&gt;"",IF(LOWER('Capacity summary'!K206)="x",$BI87*K87,VALUE('Capacity summary'!K206)),0),K87*$BI87),K87*$BI87),0)</f>
        <v>0</v>
      </c>
      <c r="BO87" s="311">
        <f>IF($BI87&lt;&gt;"",IF('Capacity summary'!$D$14="Yes",IF(COUNTBLANK('Capacity summary'!$H206:$BG206)&lt;52,IF('Capacity summary'!L206&lt;&gt;"",IF(LOWER('Capacity summary'!L206)="x",$BI87*L87,VALUE('Capacity summary'!L206)),0),L87*$BI87),L87*$BI87),0)</f>
        <v>0</v>
      </c>
      <c r="BP87" s="311">
        <f>IF($BI87&lt;&gt;"",IF('Capacity summary'!$D$14="Yes",IF(COUNTBLANK('Capacity summary'!$H206:$BG206)&lt;52,IF('Capacity summary'!M206&lt;&gt;"",IF(LOWER('Capacity summary'!M206)="x",$BI87*M87,VALUE('Capacity summary'!M206)),0),M87*$BI87),M87*$BI87),0)</f>
        <v>0</v>
      </c>
      <c r="BQ87" s="311">
        <f>IF($BI87&lt;&gt;"",IF('Capacity summary'!$D$14="Yes",IF(COUNTBLANK('Capacity summary'!$H206:$BG206)&lt;52,IF('Capacity summary'!N206&lt;&gt;"",IF(LOWER('Capacity summary'!N206)="x",$BI87*N87,VALUE('Capacity summary'!N206)),0),N87*$BI87),N87*$BI87),0)</f>
        <v>0</v>
      </c>
      <c r="BR87" s="311">
        <f>IF($BI87&lt;&gt;"",IF('Capacity summary'!$D$14="Yes",IF(COUNTBLANK('Capacity summary'!$H206:$BG206)&lt;52,IF('Capacity summary'!O206&lt;&gt;"",IF(LOWER('Capacity summary'!O206)="x",$BI87*O87,VALUE('Capacity summary'!O206)),0),O87*$BI87),O87*$BI87),0)</f>
        <v>0</v>
      </c>
      <c r="BS87" s="311">
        <f>IF($BI87&lt;&gt;"",IF('Capacity summary'!$D$14="Yes",IF(COUNTBLANK('Capacity summary'!$H206:$BG206)&lt;52,IF('Capacity summary'!P206&lt;&gt;"",IF(LOWER('Capacity summary'!P206)="x",$BI87*P87,VALUE('Capacity summary'!P206)),0),P87*$BI87),P87*$BI87),0)</f>
        <v>0</v>
      </c>
      <c r="BT87" s="311">
        <f>IF($BI87&lt;&gt;"",IF('Capacity summary'!$D$14="Yes",IF(COUNTBLANK('Capacity summary'!$H206:$BG206)&lt;52,IF('Capacity summary'!Q206&lt;&gt;"",IF(LOWER('Capacity summary'!Q206)="x",$BI87*Q87,VALUE('Capacity summary'!Q206)),0),Q87*$BI87),Q87*$BI87),0)</f>
        <v>0</v>
      </c>
      <c r="BU87" s="311">
        <f>IF($BI87&lt;&gt;"",IF('Capacity summary'!$D$14="Yes",IF(COUNTBLANK('Capacity summary'!$H206:$BG206)&lt;52,IF('Capacity summary'!R206&lt;&gt;"",IF(LOWER('Capacity summary'!R206)="x",$BI87*R87,VALUE('Capacity summary'!R206)),0),R87*$BI87),R87*$BI87),0)</f>
        <v>0</v>
      </c>
      <c r="BV87" s="311">
        <f>IF($BI87&lt;&gt;"",IF('Capacity summary'!$D$14="Yes",IF(COUNTBLANK('Capacity summary'!$H206:$BG206)&lt;52,IF('Capacity summary'!S206&lt;&gt;"",IF(LOWER('Capacity summary'!S206)="x",$BI87*S87,VALUE('Capacity summary'!S206)),0),S87*$BI87),S87*$BI87),0)</f>
        <v>0</v>
      </c>
      <c r="BW87" s="311">
        <f>IF($BI87&lt;&gt;"",IF('Capacity summary'!$D$14="Yes",IF(COUNTBLANK('Capacity summary'!$H206:$BG206)&lt;52,IF('Capacity summary'!T206&lt;&gt;"",IF(LOWER('Capacity summary'!T206)="x",$BI87*T87,VALUE('Capacity summary'!T206)),0),T87*$BI87),T87*$BI87),0)</f>
        <v>0</v>
      </c>
      <c r="BX87" s="311">
        <f>IF($BI87&lt;&gt;"",IF('Capacity summary'!$D$14="Yes",IF(COUNTBLANK('Capacity summary'!$H206:$BG206)&lt;52,IF('Capacity summary'!U206&lt;&gt;"",IF(LOWER('Capacity summary'!U206)="x",$BI87*U87,VALUE('Capacity summary'!U206)),0),U87*$BI87),U87*$BI87),0)</f>
        <v>0</v>
      </c>
      <c r="BY87" s="311">
        <f>IF($BI87&lt;&gt;"",IF('Capacity summary'!$D$14="Yes",IF(COUNTBLANK('Capacity summary'!$H206:$BG206)&lt;52,IF('Capacity summary'!V206&lt;&gt;"",IF(LOWER('Capacity summary'!V206)="x",$BI87*V87,VALUE('Capacity summary'!V206)),0),V87*$BI87),V87*$BI87),0)</f>
        <v>0</v>
      </c>
      <c r="BZ87" s="311">
        <f>IF($BI87&lt;&gt;"",IF('Capacity summary'!$D$14="Yes",IF(COUNTBLANK('Capacity summary'!$H206:$BG206)&lt;52,IF('Capacity summary'!W206&lt;&gt;"",IF(LOWER('Capacity summary'!W206)="x",$BI87*W87,VALUE('Capacity summary'!W206)),0),W87*$BI87),W87*$BI87),0)</f>
        <v>0</v>
      </c>
      <c r="CA87" s="311">
        <f>IF($BI87&lt;&gt;"",IF('Capacity summary'!$D$14="Yes",IF(COUNTBLANK('Capacity summary'!$H206:$BG206)&lt;52,IF('Capacity summary'!X206&lt;&gt;"",IF(LOWER('Capacity summary'!X206)="x",$BI87*X87,VALUE('Capacity summary'!X206)),0),X87*$BI87),X87*$BI87),0)</f>
        <v>0</v>
      </c>
      <c r="CB87" s="311">
        <f>IF($BI87&lt;&gt;"",IF('Capacity summary'!$D$14="Yes",IF(COUNTBLANK('Capacity summary'!$H206:$BG206)&lt;52,IF('Capacity summary'!Y206&lt;&gt;"",IF(LOWER('Capacity summary'!Y206)="x",$BI87*Y87,VALUE('Capacity summary'!Y206)),0),Y87*$BI87),Y87*$BI87),0)</f>
        <v>0</v>
      </c>
      <c r="CC87" s="311">
        <f>IF($BI87&lt;&gt;"",IF('Capacity summary'!$D$14="Yes",IF(COUNTBLANK('Capacity summary'!$H206:$BG206)&lt;52,IF('Capacity summary'!Z206&lt;&gt;"",IF(LOWER('Capacity summary'!Z206)="x",$BI87*Z87,VALUE('Capacity summary'!Z206)),0),Z87*$BI87),Z87*$BI87),0)</f>
        <v>0</v>
      </c>
      <c r="CD87" s="311">
        <f>IF($BI87&lt;&gt;"",IF('Capacity summary'!$D$14="Yes",IF(COUNTBLANK('Capacity summary'!$H206:$BG206)&lt;52,IF('Capacity summary'!AA206&lt;&gt;"",IF(LOWER('Capacity summary'!AA206)="x",$BI87*AA87,VALUE('Capacity summary'!AA206)),0),AA87*$BI87),AA87*$BI87),0)</f>
        <v>0</v>
      </c>
      <c r="CE87" s="311">
        <f>IF($BI87&lt;&gt;"",IF('Capacity summary'!$D$14="Yes",IF(COUNTBLANK('Capacity summary'!$H206:$BG206)&lt;52,IF('Capacity summary'!AB206&lt;&gt;"",IF(LOWER('Capacity summary'!AB206)="x",$BI87*AB87,VALUE('Capacity summary'!AB206)),0),AB87*$BI87),AB87*$BI87),0)</f>
        <v>0</v>
      </c>
      <c r="CF87" s="311">
        <f>IF($BI87&lt;&gt;"",IF('Capacity summary'!$D$14="Yes",IF(COUNTBLANK('Capacity summary'!$H206:$BG206)&lt;52,IF('Capacity summary'!AC206&lt;&gt;"",IF(LOWER('Capacity summary'!AC206)="x",$BI87*AC87,VALUE('Capacity summary'!AC206)),0),AC87*$BI87),AC87*$BI87),0)</f>
        <v>0</v>
      </c>
      <c r="CG87" s="311">
        <f>IF($BI87&lt;&gt;"",IF('Capacity summary'!$D$14="Yes",IF(COUNTBLANK('Capacity summary'!$H206:$BG206)&lt;52,IF('Capacity summary'!AD206&lt;&gt;"",IF(LOWER('Capacity summary'!AD206)="x",$BI87*AD87,VALUE('Capacity summary'!AD206)),0),AD87*$BI87),AD87*$BI87),0)</f>
        <v>0</v>
      </c>
      <c r="CH87" s="311">
        <f>IF($BI87&lt;&gt;"",IF('Capacity summary'!$D$14="Yes",IF(COUNTBLANK('Capacity summary'!$H206:$BG206)&lt;52,IF('Capacity summary'!AE206&lt;&gt;"",IF(LOWER('Capacity summary'!AE206)="x",$BI87*AE87,VALUE('Capacity summary'!AE206)),0),AE87*$BI87),AE87*$BI87),0)</f>
        <v>0</v>
      </c>
      <c r="CI87" s="311">
        <f>IF($BI87&lt;&gt;"",IF('Capacity summary'!$D$14="Yes",IF(COUNTBLANK('Capacity summary'!$H206:$BG206)&lt;52,IF('Capacity summary'!AF206&lt;&gt;"",IF(LOWER('Capacity summary'!AF206)="x",$BI87*AF87,VALUE('Capacity summary'!AF206)),0),AF87*$BI87),AF87*$BI87),0)</f>
        <v>0</v>
      </c>
      <c r="CJ87" s="311">
        <f>IF($BI87&lt;&gt;"",IF('Capacity summary'!$D$14="Yes",IF(COUNTBLANK('Capacity summary'!$H206:$BG206)&lt;52,IF('Capacity summary'!AG206&lt;&gt;"",IF(LOWER('Capacity summary'!AG206)="x",$BI87*AG87,VALUE('Capacity summary'!AG206)),0),AG87*$BI87),AG87*$BI87),0)</f>
        <v>0</v>
      </c>
      <c r="CK87" s="311">
        <f>IF($BI87&lt;&gt;"",IF('Capacity summary'!$D$14="Yes",IF(COUNTBLANK('Capacity summary'!$H206:$BG206)&lt;52,IF('Capacity summary'!AH206&lt;&gt;"",IF(LOWER('Capacity summary'!AH206)="x",$BI87*AH87,VALUE('Capacity summary'!AH206)),0),AH87*$BI87),AH87*$BI87),0)</f>
        <v>0</v>
      </c>
      <c r="CL87" s="311">
        <f>IF($BI87&lt;&gt;"",IF('Capacity summary'!$D$14="Yes",IF(COUNTBLANK('Capacity summary'!$H206:$BG206)&lt;52,IF('Capacity summary'!AI206&lt;&gt;"",IF(LOWER('Capacity summary'!AI206)="x",$BI87*AI87,VALUE('Capacity summary'!AI206)),0),AI87*$BI87),AI87*$BI87),0)</f>
        <v>0</v>
      </c>
      <c r="CM87" s="311">
        <f>IF($BI87&lt;&gt;"",IF('Capacity summary'!$D$14="Yes",IF(COUNTBLANK('Capacity summary'!$H206:$BG206)&lt;52,IF('Capacity summary'!AJ206&lt;&gt;"",IF(LOWER('Capacity summary'!AJ206)="x",$BI87*AJ87,VALUE('Capacity summary'!AJ206)),0),AJ87*$BI87),AJ87*$BI87),0)</f>
        <v>0</v>
      </c>
      <c r="CN87" s="311">
        <f>IF($BI87&lt;&gt;"",IF('Capacity summary'!$D$14="Yes",IF(COUNTBLANK('Capacity summary'!$H206:$BG206)&lt;52,IF('Capacity summary'!AK206&lt;&gt;"",IF(LOWER('Capacity summary'!AK206)="x",$BI87*AK87,VALUE('Capacity summary'!AK206)),0),AK87*$BI87),AK87*$BI87),0)</f>
        <v>0</v>
      </c>
      <c r="CO87" s="311">
        <f>IF($BI87&lt;&gt;"",IF('Capacity summary'!$D$14="Yes",IF(COUNTBLANK('Capacity summary'!$H206:$BG206)&lt;52,IF('Capacity summary'!AL206&lt;&gt;"",IF(LOWER('Capacity summary'!AL206)="x",$BI87*AL87,VALUE('Capacity summary'!AL206)),0),AL87*$BI87),AL87*$BI87),0)</f>
        <v>0</v>
      </c>
      <c r="CP87" s="311">
        <f>IF($BI87&lt;&gt;"",IF('Capacity summary'!$D$14="Yes",IF(COUNTBLANK('Capacity summary'!$H206:$BG206)&lt;52,IF('Capacity summary'!AM206&lt;&gt;"",IF(LOWER('Capacity summary'!AM206)="x",$BI87*AM87,VALUE('Capacity summary'!AM206)),0),AM87*$BI87),AM87*$BI87),0)</f>
        <v>0</v>
      </c>
      <c r="CQ87" s="311">
        <f>IF($BI87&lt;&gt;"",IF('Capacity summary'!$D$14="Yes",IF(COUNTBLANK('Capacity summary'!$H206:$BG206)&lt;52,IF('Capacity summary'!AN206&lt;&gt;"",IF(LOWER('Capacity summary'!AN206)="x",$BI87*AN87,VALUE('Capacity summary'!AN206)),0),AN87*$BI87),AN87*$BI87),0)</f>
        <v>0</v>
      </c>
      <c r="CR87" s="311">
        <f>IF($BI87&lt;&gt;"",IF('Capacity summary'!$D$14="Yes",IF(COUNTBLANK('Capacity summary'!$H206:$BG206)&lt;52,IF('Capacity summary'!AO206&lt;&gt;"",IF(LOWER('Capacity summary'!AO206)="x",$BI87*AO87,VALUE('Capacity summary'!AO206)),0),AO87*$BI87),AO87*$BI87),0)</f>
        <v>0</v>
      </c>
      <c r="CS87" s="311">
        <f>IF($BI87&lt;&gt;"",IF('Capacity summary'!$D$14="Yes",IF(COUNTBLANK('Capacity summary'!$H206:$BG206)&lt;52,IF('Capacity summary'!AP206&lt;&gt;"",IF(LOWER('Capacity summary'!AP206)="x",$BI87*AP87,VALUE('Capacity summary'!AP206)),0),AP87*$BI87),AP87*$BI87),0)</f>
        <v>0</v>
      </c>
      <c r="CT87" s="311">
        <f>IF($BI87&lt;&gt;"",IF('Capacity summary'!$D$14="Yes",IF(COUNTBLANK('Capacity summary'!$H206:$BG206)&lt;52,IF('Capacity summary'!AQ206&lt;&gt;"",IF(LOWER('Capacity summary'!AQ206)="x",$BI87*AQ87,VALUE('Capacity summary'!AQ206)),0),AQ87*$BI87),AQ87*$BI87),0)</f>
        <v>0</v>
      </c>
      <c r="CU87" s="311">
        <f>IF($BI87&lt;&gt;"",IF('Capacity summary'!$D$14="Yes",IF(COUNTBLANK('Capacity summary'!$H206:$BG206)&lt;52,IF('Capacity summary'!AR206&lt;&gt;"",IF(LOWER('Capacity summary'!AR206)="x",$BI87*AR87,VALUE('Capacity summary'!AR206)),0),AR87*$BI87),AR87*$BI87),0)</f>
        <v>0</v>
      </c>
      <c r="CV87" s="311">
        <f>IF($BI87&lt;&gt;"",IF('Capacity summary'!$D$14="Yes",IF(COUNTBLANK('Capacity summary'!$H206:$BG206)&lt;52,IF('Capacity summary'!AS206&lt;&gt;"",IF(LOWER('Capacity summary'!AS206)="x",$BI87*AS87,VALUE('Capacity summary'!AS206)),0),AS87*$BI87),AS87*$BI87),0)</f>
        <v>0</v>
      </c>
      <c r="CW87" s="311">
        <f>IF($BI87&lt;&gt;"",IF('Capacity summary'!$D$14="Yes",IF(COUNTBLANK('Capacity summary'!$H206:$BG206)&lt;52,IF('Capacity summary'!AT206&lt;&gt;"",IF(LOWER('Capacity summary'!AT206)="x",$BI87*AT87,VALUE('Capacity summary'!AT206)),0),AT87*$BI87),AT87*$BI87),0)</f>
        <v>0</v>
      </c>
      <c r="CX87" s="311">
        <f>IF($BI87&lt;&gt;"",IF('Capacity summary'!$D$14="Yes",IF(COUNTBLANK('Capacity summary'!$H206:$BG206)&lt;52,IF('Capacity summary'!AU206&lt;&gt;"",IF(LOWER('Capacity summary'!AU206)="x",$BI87*AU87,VALUE('Capacity summary'!AU206)),0),AU87*$BI87),AU87*$BI87),0)</f>
        <v>0</v>
      </c>
      <c r="CY87" s="311">
        <f>IF($BI87&lt;&gt;"",IF('Capacity summary'!$D$14="Yes",IF(COUNTBLANK('Capacity summary'!$H206:$BG206)&lt;52,IF('Capacity summary'!AV206&lt;&gt;"",IF(LOWER('Capacity summary'!AV206)="x",$BI87*AV87,VALUE('Capacity summary'!AV206)),0),AV87*$BI87),AV87*$BI87),0)</f>
        <v>0</v>
      </c>
      <c r="CZ87" s="311">
        <f>IF($BI87&lt;&gt;"",IF('Capacity summary'!$D$14="Yes",IF(COUNTBLANK('Capacity summary'!$H206:$BG206)&lt;52,IF('Capacity summary'!AW206&lt;&gt;"",IF(LOWER('Capacity summary'!AW206)="x",$BI87*AW87,VALUE('Capacity summary'!AW206)),0),AW87*$BI87),AW87*$BI87),0)</f>
        <v>0</v>
      </c>
      <c r="DA87" s="311">
        <f>IF($BI87&lt;&gt;"",IF('Capacity summary'!$D$14="Yes",IF(COUNTBLANK('Capacity summary'!$H206:$BG206)&lt;52,IF('Capacity summary'!AX206&lt;&gt;"",IF(LOWER('Capacity summary'!AX206)="x",$BI87*AX87,VALUE('Capacity summary'!AX206)),0),AX87*$BI87),AX87*$BI87),0)</f>
        <v>0</v>
      </c>
      <c r="DB87" s="311">
        <f>IF($BI87&lt;&gt;"",IF('Capacity summary'!$D$14="Yes",IF(COUNTBLANK('Capacity summary'!$H206:$BG206)&lt;52,IF('Capacity summary'!AY206&lt;&gt;"",IF(LOWER('Capacity summary'!AY206)="x",$BI87*AY87,VALUE('Capacity summary'!AY206)),0),AY87*$BI87),AY87*$BI87),0)</f>
        <v>0</v>
      </c>
      <c r="DC87" s="311">
        <f>IF($BI87&lt;&gt;"",IF('Capacity summary'!$D$14="Yes",IF(COUNTBLANK('Capacity summary'!$H206:$BG206)&lt;52,IF('Capacity summary'!AZ206&lt;&gt;"",IF(LOWER('Capacity summary'!AZ206)="x",$BI87*AZ87,VALUE('Capacity summary'!AZ206)),0),AZ87*$BI87),AZ87*$BI87),0)</f>
        <v>0</v>
      </c>
      <c r="DD87" s="311">
        <f>IF($BI87&lt;&gt;"",IF('Capacity summary'!$D$14="Yes",IF(COUNTBLANK('Capacity summary'!$H206:$BG206)&lt;52,IF('Capacity summary'!BA206&lt;&gt;"",IF(LOWER('Capacity summary'!BA206)="x",$BI87*BA87,VALUE('Capacity summary'!BA206)),0),BA87*$BI87),BA87*$BI87),0)</f>
        <v>0</v>
      </c>
      <c r="DE87" s="311">
        <f>IF($BI87&lt;&gt;"",IF('Capacity summary'!$D$14="Yes",IF(COUNTBLANK('Capacity summary'!$H206:$BG206)&lt;52,IF('Capacity summary'!BB206&lt;&gt;"",IF(LOWER('Capacity summary'!BB206)="x",$BI87*BB87,VALUE('Capacity summary'!BB206)),0),BB87*$BI87),BB87*$BI87),0)</f>
        <v>0</v>
      </c>
      <c r="DF87" s="311">
        <f>IF($BI87&lt;&gt;"",IF('Capacity summary'!$D$14="Yes",IF(COUNTBLANK('Capacity summary'!$H206:$BG206)&lt;52,IF('Capacity summary'!BC206&lt;&gt;"",IF(LOWER('Capacity summary'!BC206)="x",$BI87*BC87,VALUE('Capacity summary'!BC206)),0),BC87*$BI87),BC87*$BI87),0)</f>
        <v>0</v>
      </c>
      <c r="DG87" s="311">
        <f>IF($BI87&lt;&gt;"",IF('Capacity summary'!$D$14="Yes",IF(COUNTBLANK('Capacity summary'!$H206:$BG206)&lt;52,IF('Capacity summary'!BD206&lt;&gt;"",IF(LOWER('Capacity summary'!BD206)="x",$BI87*BD87,VALUE('Capacity summary'!BD206)),0),BD87*$BI87),BD87*$BI87),0)</f>
        <v>0</v>
      </c>
      <c r="DH87" s="311">
        <f>IF($BI87&lt;&gt;"",IF('Capacity summary'!$D$14="Yes",IF(COUNTBLANK('Capacity summary'!$H206:$BG206)&lt;52,IF('Capacity summary'!BE206&lt;&gt;"",IF(LOWER('Capacity summary'!BE206)="x",$BI87*BE87,VALUE('Capacity summary'!BE206)),0),BE87*$BI87),BE87*$BI87),0)</f>
        <v>0</v>
      </c>
      <c r="DI87" s="311">
        <f>IF($BI87&lt;&gt;"",IF('Capacity summary'!$D$14="Yes",IF(COUNTBLANK('Capacity summary'!$H206:$BG206)&lt;52,IF('Capacity summary'!BF206&lt;&gt;"",IF(LOWER('Capacity summary'!BF206)="x",$BI87*BF87,VALUE('Capacity summary'!BF206)),0),BF87*$BI87),BF87*$BI87),0)</f>
        <v>0</v>
      </c>
      <c r="DJ87" s="311">
        <f>IF($BI87&lt;&gt;"",IF('Capacity summary'!$D$14="Yes",IF(COUNTBLANK('Capacity summary'!$H206:$BG206)&lt;52,IF('Capacity summary'!BG206&lt;&gt;"",IF(LOWER('Capacity summary'!BG206)="x",$BI87*BG87,VALUE('Capacity summary'!BG206)),0),BG87*$BI87),BG87*$BI87),0)</f>
        <v>0</v>
      </c>
      <c r="DK87" s="391">
        <f t="shared" si="4"/>
        <v>0</v>
      </c>
      <c r="DL87" s="136">
        <f t="shared" si="5"/>
        <v>0</v>
      </c>
      <c r="DM87" s="311" t="str">
        <f>Capacity!H99</f>
        <v/>
      </c>
    </row>
    <row r="88" spans="1:117" x14ac:dyDescent="0.2">
      <c r="A88" s="67">
        <f>IF(Capacity!L100='Capacity summary'!BI207,1,0)</f>
        <v>1</v>
      </c>
      <c r="B88" s="67">
        <f>IF(Capacity!V100='Capacity summary'!BI107,1,0)</f>
        <v>1</v>
      </c>
      <c r="C88" s="67" t="str">
        <f>ROW(A84)&amp;". "&amp;Capacity!B100</f>
        <v xml:space="preserve">84. </v>
      </c>
      <c r="D88" s="67">
        <f>'Capacity setup'!C95</f>
        <v>0</v>
      </c>
      <c r="E88" s="67">
        <f>'Capacity setup'!D95</f>
        <v>0</v>
      </c>
      <c r="F88" s="67">
        <f>'Capacity setup'!E95</f>
        <v>0</v>
      </c>
      <c r="H88" s="67">
        <f ca="1">IF(LOWER(Capacity!$L100)="x",IF(AND(SUMIF(Capacity_Resource,$D88,'Critical resources (hide)'!U$6:U$105)+SUMIF(Capacity_Resource,$E88,'Critical resources (hide)'!U$6:U$105)+SUMIF(Capacity_Resource,$F88,'Critical resources (hide)'!U$6:U$105)&gt;0,$E$1=2),0,1),0)</f>
        <v>1</v>
      </c>
      <c r="I88" s="67">
        <f ca="1">IF(LOWER(Capacity!$L100)="x",IF(AND(SUMIF(Capacity_Resource,$D88,'Critical resources (hide)'!V$6:V$105)+SUMIF(Capacity_Resource,$E88,'Critical resources (hide)'!V$6:V$105)+SUMIF(Capacity_Resource,$F88,'Critical resources (hide)'!V$6:V$105)&gt;0,$E$1=2),0,1),0)</f>
        <v>1</v>
      </c>
      <c r="J88" s="67">
        <f ca="1">IF(LOWER(Capacity!$L100)="x",IF(AND(SUMIF(Capacity_Resource,$D88,'Critical resources (hide)'!W$6:W$105)+SUMIF(Capacity_Resource,$E88,'Critical resources (hide)'!W$6:W$105)+SUMIF(Capacity_Resource,$F88,'Critical resources (hide)'!W$6:W$105)&gt;0,$E$1=2),0,1),0)</f>
        <v>1</v>
      </c>
      <c r="K88" s="67">
        <f ca="1">IF(LOWER(Capacity!$L100)="x",IF(AND(SUMIF(Capacity_Resource,$D88,'Critical resources (hide)'!X$6:X$105)+SUMIF(Capacity_Resource,$E88,'Critical resources (hide)'!X$6:X$105)+SUMIF(Capacity_Resource,$F88,'Critical resources (hide)'!X$6:X$105)&gt;0,$E$1=2),0,1),0)</f>
        <v>1</v>
      </c>
      <c r="L88" s="67">
        <f ca="1">IF(LOWER(Capacity!$L100)="x",IF(AND(SUMIF(Capacity_Resource,$D88,'Critical resources (hide)'!Y$6:Y$105)+SUMIF(Capacity_Resource,$E88,'Critical resources (hide)'!Y$6:Y$105)+SUMIF(Capacity_Resource,$F88,'Critical resources (hide)'!Y$6:Y$105)&gt;0,$E$1=2),0,1),0)</f>
        <v>1</v>
      </c>
      <c r="M88" s="67">
        <f ca="1">IF(LOWER(Capacity!$L100)="x",IF(AND(SUMIF(Capacity_Resource,$D88,'Critical resources (hide)'!Z$6:Z$105)+SUMIF(Capacity_Resource,$E88,'Critical resources (hide)'!Z$6:Z$105)+SUMIF(Capacity_Resource,$F88,'Critical resources (hide)'!Z$6:Z$105)&gt;0,$E$1=2),0,1),0)</f>
        <v>1</v>
      </c>
      <c r="N88" s="67">
        <f ca="1">IF(LOWER(Capacity!$L100)="x",IF(AND(SUMIF(Capacity_Resource,$D88,'Critical resources (hide)'!AA$6:AA$105)+SUMIF(Capacity_Resource,$E88,'Critical resources (hide)'!AA$6:AA$105)+SUMIF(Capacity_Resource,$F88,'Critical resources (hide)'!AA$6:AA$105)&gt;0,$E$1=2),0,1),0)</f>
        <v>1</v>
      </c>
      <c r="O88" s="67">
        <f ca="1">IF(LOWER(Capacity!$L100)="x",IF(AND(SUMIF(Capacity_Resource,$D88,'Critical resources (hide)'!AB$6:AB$105)+SUMIF(Capacity_Resource,$E88,'Critical resources (hide)'!AB$6:AB$105)+SUMIF(Capacity_Resource,$F88,'Critical resources (hide)'!AB$6:AB$105)&gt;0,$E$1=2),0,1),0)</f>
        <v>1</v>
      </c>
      <c r="P88" s="67">
        <f ca="1">IF(LOWER(Capacity!$L100)="x",IF(AND(SUMIF(Capacity_Resource,$D88,'Critical resources (hide)'!AC$6:AC$105)+SUMIF(Capacity_Resource,$E88,'Critical resources (hide)'!AC$6:AC$105)+SUMIF(Capacity_Resource,$F88,'Critical resources (hide)'!AC$6:AC$105)&gt;0,$E$1=2),0,1),0)</f>
        <v>1</v>
      </c>
      <c r="Q88" s="67">
        <f ca="1">IF(LOWER(Capacity!$L100)="x",IF(AND(SUMIF(Capacity_Resource,$D88,'Critical resources (hide)'!AD$6:AD$105)+SUMIF(Capacity_Resource,$E88,'Critical resources (hide)'!AD$6:AD$105)+SUMIF(Capacity_Resource,$F88,'Critical resources (hide)'!AD$6:AD$105)&gt;0,$E$1=2),0,1),0)</f>
        <v>1</v>
      </c>
      <c r="R88" s="67">
        <f ca="1">IF(LOWER(Capacity!$L100)="x",IF(AND(SUMIF(Capacity_Resource,$D88,'Critical resources (hide)'!AE$6:AE$105)+SUMIF(Capacity_Resource,$E88,'Critical resources (hide)'!AE$6:AE$105)+SUMIF(Capacity_Resource,$F88,'Critical resources (hide)'!AE$6:AE$105)&gt;0,$E$1=2),0,1),0)</f>
        <v>1</v>
      </c>
      <c r="S88" s="67">
        <f ca="1">IF(LOWER(Capacity!$L100)="x",IF(AND(SUMIF(Capacity_Resource,$D88,'Critical resources (hide)'!AF$6:AF$105)+SUMIF(Capacity_Resource,$E88,'Critical resources (hide)'!AF$6:AF$105)+SUMIF(Capacity_Resource,$F88,'Critical resources (hide)'!AF$6:AF$105)&gt;0,$E$1=2),0,1),0)</f>
        <v>1</v>
      </c>
      <c r="T88" s="67">
        <f ca="1">IF(LOWER(Capacity!$L100)="x",IF(AND(SUMIF(Capacity_Resource,$D88,'Critical resources (hide)'!AG$6:AG$105)+SUMIF(Capacity_Resource,$E88,'Critical resources (hide)'!AG$6:AG$105)+SUMIF(Capacity_Resource,$F88,'Critical resources (hide)'!AG$6:AG$105)&gt;0,$E$1=2),0,1),0)</f>
        <v>1</v>
      </c>
      <c r="U88" s="67">
        <f ca="1">IF(LOWER(Capacity!$L100)="x",IF(AND(SUMIF(Capacity_Resource,$D88,'Critical resources (hide)'!AH$6:AH$105)+SUMIF(Capacity_Resource,$E88,'Critical resources (hide)'!AH$6:AH$105)+SUMIF(Capacity_Resource,$F88,'Critical resources (hide)'!AH$6:AH$105)&gt;0,$E$1=2),0,1),0)</f>
        <v>1</v>
      </c>
      <c r="V88" s="67">
        <f ca="1">IF(LOWER(Capacity!$L100)="x",IF(AND(SUMIF(Capacity_Resource,$D88,'Critical resources (hide)'!AI$6:AI$105)+SUMIF(Capacity_Resource,$E88,'Critical resources (hide)'!AI$6:AI$105)+SUMIF(Capacity_Resource,$F88,'Critical resources (hide)'!AI$6:AI$105)&gt;0,$E$1=2),0,1),0)</f>
        <v>1</v>
      </c>
      <c r="W88" s="67">
        <f ca="1">IF(LOWER(Capacity!$L100)="x",IF(AND(SUMIF(Capacity_Resource,$D88,'Critical resources (hide)'!AJ$6:AJ$105)+SUMIF(Capacity_Resource,$E88,'Critical resources (hide)'!AJ$6:AJ$105)+SUMIF(Capacity_Resource,$F88,'Critical resources (hide)'!AJ$6:AJ$105)&gt;0,$E$1=2),0,1),0)</f>
        <v>1</v>
      </c>
      <c r="X88" s="67">
        <f ca="1">IF(LOWER(Capacity!$L100)="x",IF(AND(SUMIF(Capacity_Resource,$D88,'Critical resources (hide)'!AK$6:AK$105)+SUMIF(Capacity_Resource,$E88,'Critical resources (hide)'!AK$6:AK$105)+SUMIF(Capacity_Resource,$F88,'Critical resources (hide)'!AK$6:AK$105)&gt;0,$E$1=2),0,1),0)</f>
        <v>1</v>
      </c>
      <c r="Y88" s="67">
        <f ca="1">IF(LOWER(Capacity!$L100)="x",IF(AND(SUMIF(Capacity_Resource,$D88,'Critical resources (hide)'!AL$6:AL$105)+SUMIF(Capacity_Resource,$E88,'Critical resources (hide)'!AL$6:AL$105)+SUMIF(Capacity_Resource,$F88,'Critical resources (hide)'!AL$6:AL$105)&gt;0,$E$1=2),0,1),0)</f>
        <v>1</v>
      </c>
      <c r="Z88" s="67">
        <f ca="1">IF(LOWER(Capacity!$L100)="x",IF(AND(SUMIF(Capacity_Resource,$D88,'Critical resources (hide)'!AM$6:AM$105)+SUMIF(Capacity_Resource,$E88,'Critical resources (hide)'!AM$6:AM$105)+SUMIF(Capacity_Resource,$F88,'Critical resources (hide)'!AM$6:AM$105)&gt;0,$E$1=2),0,1),0)</f>
        <v>1</v>
      </c>
      <c r="AA88" s="67">
        <f ca="1">IF(LOWER(Capacity!$L100)="x",IF(AND(SUMIF(Capacity_Resource,$D88,'Critical resources (hide)'!AN$6:AN$105)+SUMIF(Capacity_Resource,$E88,'Critical resources (hide)'!AN$6:AN$105)+SUMIF(Capacity_Resource,$F88,'Critical resources (hide)'!AN$6:AN$105)&gt;0,$E$1=2),0,1),0)</f>
        <v>1</v>
      </c>
      <c r="AB88" s="67">
        <f ca="1">IF(LOWER(Capacity!$L100)="x",IF(AND(SUMIF(Capacity_Resource,$D88,'Critical resources (hide)'!AO$6:AO$105)+SUMIF(Capacity_Resource,$E88,'Critical resources (hide)'!AO$6:AO$105)+SUMIF(Capacity_Resource,$F88,'Critical resources (hide)'!AO$6:AO$105)&gt;0,$E$1=2),0,1),0)</f>
        <v>1</v>
      </c>
      <c r="AC88" s="67">
        <f ca="1">IF(LOWER(Capacity!$L100)="x",IF(AND(SUMIF(Capacity_Resource,$D88,'Critical resources (hide)'!AP$6:AP$105)+SUMIF(Capacity_Resource,$E88,'Critical resources (hide)'!AP$6:AP$105)+SUMIF(Capacity_Resource,$F88,'Critical resources (hide)'!AP$6:AP$105)&gt;0,$E$1=2),0,1),0)</f>
        <v>1</v>
      </c>
      <c r="AD88" s="67">
        <f ca="1">IF(LOWER(Capacity!$L100)="x",IF(AND(SUMIF(Capacity_Resource,$D88,'Critical resources (hide)'!AQ$6:AQ$105)+SUMIF(Capacity_Resource,$E88,'Critical resources (hide)'!AQ$6:AQ$105)+SUMIF(Capacity_Resource,$F88,'Critical resources (hide)'!AQ$6:AQ$105)&gt;0,$E$1=2),0,1),0)</f>
        <v>1</v>
      </c>
      <c r="AE88" s="67">
        <f ca="1">IF(LOWER(Capacity!$L100)="x",IF(AND(SUMIF(Capacity_Resource,$D88,'Critical resources (hide)'!AR$6:AR$105)+SUMIF(Capacity_Resource,$E88,'Critical resources (hide)'!AR$6:AR$105)+SUMIF(Capacity_Resource,$F88,'Critical resources (hide)'!AR$6:AR$105)&gt;0,$E$1=2),0,1),0)</f>
        <v>1</v>
      </c>
      <c r="AF88" s="67">
        <f ca="1">IF(LOWER(Capacity!$L100)="x",IF(AND(SUMIF(Capacity_Resource,$D88,'Critical resources (hide)'!AS$6:AS$105)+SUMIF(Capacity_Resource,$E88,'Critical resources (hide)'!AS$6:AS$105)+SUMIF(Capacity_Resource,$F88,'Critical resources (hide)'!AS$6:AS$105)&gt;0,$E$1=2),0,1),0)</f>
        <v>1</v>
      </c>
      <c r="AG88" s="67">
        <f ca="1">IF(LOWER(Capacity!$L100)="x",IF(AND(SUMIF(Capacity_Resource,$D88,'Critical resources (hide)'!AT$6:AT$105)+SUMIF(Capacity_Resource,$E88,'Critical resources (hide)'!AT$6:AT$105)+SUMIF(Capacity_Resource,$F88,'Critical resources (hide)'!AT$6:AT$105)&gt;0,$E$1=2),0,1),0)</f>
        <v>1</v>
      </c>
      <c r="AH88" s="67">
        <f ca="1">IF(LOWER(Capacity!$L100)="x",IF(AND(SUMIF(Capacity_Resource,$D88,'Critical resources (hide)'!AU$6:AU$105)+SUMIF(Capacity_Resource,$E88,'Critical resources (hide)'!AU$6:AU$105)+SUMIF(Capacity_Resource,$F88,'Critical resources (hide)'!AU$6:AU$105)&gt;0,$E$1=2),0,1),0)</f>
        <v>1</v>
      </c>
      <c r="AI88" s="67">
        <f ca="1">IF(LOWER(Capacity!$L100)="x",IF(AND(SUMIF(Capacity_Resource,$D88,'Critical resources (hide)'!AV$6:AV$105)+SUMIF(Capacity_Resource,$E88,'Critical resources (hide)'!AV$6:AV$105)+SUMIF(Capacity_Resource,$F88,'Critical resources (hide)'!AV$6:AV$105)&gt;0,$E$1=2),0,1),0)</f>
        <v>1</v>
      </c>
      <c r="AJ88" s="67">
        <f ca="1">IF(LOWER(Capacity!$L100)="x",IF(AND(SUMIF(Capacity_Resource,$D88,'Critical resources (hide)'!AW$6:AW$105)+SUMIF(Capacity_Resource,$E88,'Critical resources (hide)'!AW$6:AW$105)+SUMIF(Capacity_Resource,$F88,'Critical resources (hide)'!AW$6:AW$105)&gt;0,$E$1=2),0,1),0)</f>
        <v>1</v>
      </c>
      <c r="AK88" s="67">
        <f ca="1">IF(LOWER(Capacity!$L100)="x",IF(AND(SUMIF(Capacity_Resource,$D88,'Critical resources (hide)'!AX$6:AX$105)+SUMIF(Capacity_Resource,$E88,'Critical resources (hide)'!AX$6:AX$105)+SUMIF(Capacity_Resource,$F88,'Critical resources (hide)'!AX$6:AX$105)&gt;0,$E$1=2),0,1),0)</f>
        <v>1</v>
      </c>
      <c r="AL88" s="67">
        <f ca="1">IF(LOWER(Capacity!$L100)="x",IF(AND(SUMIF(Capacity_Resource,$D88,'Critical resources (hide)'!AY$6:AY$105)+SUMIF(Capacity_Resource,$E88,'Critical resources (hide)'!AY$6:AY$105)+SUMIF(Capacity_Resource,$F88,'Critical resources (hide)'!AY$6:AY$105)&gt;0,$E$1=2),0,1),0)</f>
        <v>1</v>
      </c>
      <c r="AM88" s="67">
        <f ca="1">IF(LOWER(Capacity!$L100)="x",IF(AND(SUMIF(Capacity_Resource,$D88,'Critical resources (hide)'!AZ$6:AZ$105)+SUMIF(Capacity_Resource,$E88,'Critical resources (hide)'!AZ$6:AZ$105)+SUMIF(Capacity_Resource,$F88,'Critical resources (hide)'!AZ$6:AZ$105)&gt;0,$E$1=2),0,1),0)</f>
        <v>1</v>
      </c>
      <c r="AN88" s="67">
        <f ca="1">IF(LOWER(Capacity!$L100)="x",IF(AND(SUMIF(Capacity_Resource,$D88,'Critical resources (hide)'!BA$6:BA$105)+SUMIF(Capacity_Resource,$E88,'Critical resources (hide)'!BA$6:BA$105)+SUMIF(Capacity_Resource,$F88,'Critical resources (hide)'!BA$6:BA$105)&gt;0,$E$1=2),0,1),0)</f>
        <v>1</v>
      </c>
      <c r="AO88" s="67">
        <f ca="1">IF(LOWER(Capacity!$L100)="x",IF(AND(SUMIF(Capacity_Resource,$D88,'Critical resources (hide)'!BB$6:BB$105)+SUMIF(Capacity_Resource,$E88,'Critical resources (hide)'!BB$6:BB$105)+SUMIF(Capacity_Resource,$F88,'Critical resources (hide)'!BB$6:BB$105)&gt;0,$E$1=2),0,1),0)</f>
        <v>1</v>
      </c>
      <c r="AP88" s="67">
        <f ca="1">IF(LOWER(Capacity!$L100)="x",IF(AND(SUMIF(Capacity_Resource,$D88,'Critical resources (hide)'!BC$6:BC$105)+SUMIF(Capacity_Resource,$E88,'Critical resources (hide)'!BC$6:BC$105)+SUMIF(Capacity_Resource,$F88,'Critical resources (hide)'!BC$6:BC$105)&gt;0,$E$1=2),0,1),0)</f>
        <v>1</v>
      </c>
      <c r="AQ88" s="67">
        <f ca="1">IF(LOWER(Capacity!$L100)="x",IF(AND(SUMIF(Capacity_Resource,$D88,'Critical resources (hide)'!BD$6:BD$105)+SUMIF(Capacity_Resource,$E88,'Critical resources (hide)'!BD$6:BD$105)+SUMIF(Capacity_Resource,$F88,'Critical resources (hide)'!BD$6:BD$105)&gt;0,$E$1=2),0,1),0)</f>
        <v>1</v>
      </c>
      <c r="AR88" s="67">
        <f ca="1">IF(LOWER(Capacity!$L100)="x",IF(AND(SUMIF(Capacity_Resource,$D88,'Critical resources (hide)'!BE$6:BE$105)+SUMIF(Capacity_Resource,$E88,'Critical resources (hide)'!BE$6:BE$105)+SUMIF(Capacity_Resource,$F88,'Critical resources (hide)'!BE$6:BE$105)&gt;0,$E$1=2),0,1),0)</f>
        <v>1</v>
      </c>
      <c r="AS88" s="67">
        <f ca="1">IF(LOWER(Capacity!$L100)="x",IF(AND(SUMIF(Capacity_Resource,$D88,'Critical resources (hide)'!BF$6:BF$105)+SUMIF(Capacity_Resource,$E88,'Critical resources (hide)'!BF$6:BF$105)+SUMIF(Capacity_Resource,$F88,'Critical resources (hide)'!BF$6:BF$105)&gt;0,$E$1=2),0,1),0)</f>
        <v>1</v>
      </c>
      <c r="AT88" s="67">
        <f ca="1">IF(LOWER(Capacity!$L100)="x",IF(AND(SUMIF(Capacity_Resource,$D88,'Critical resources (hide)'!BG$6:BG$105)+SUMIF(Capacity_Resource,$E88,'Critical resources (hide)'!BG$6:BG$105)+SUMIF(Capacity_Resource,$F88,'Critical resources (hide)'!BG$6:BG$105)&gt;0,$E$1=2),0,1),0)</f>
        <v>1</v>
      </c>
      <c r="AU88" s="67">
        <f ca="1">IF(LOWER(Capacity!$L100)="x",IF(AND(SUMIF(Capacity_Resource,$D88,'Critical resources (hide)'!BH$6:BH$105)+SUMIF(Capacity_Resource,$E88,'Critical resources (hide)'!BH$6:BH$105)+SUMIF(Capacity_Resource,$F88,'Critical resources (hide)'!BH$6:BH$105)&gt;0,$E$1=2),0,1),0)</f>
        <v>1</v>
      </c>
      <c r="AV88" s="67">
        <f ca="1">IF(LOWER(Capacity!$L100)="x",IF(AND(SUMIF(Capacity_Resource,$D88,'Critical resources (hide)'!BI$6:BI$105)+SUMIF(Capacity_Resource,$E88,'Critical resources (hide)'!BI$6:BI$105)+SUMIF(Capacity_Resource,$F88,'Critical resources (hide)'!BI$6:BI$105)&gt;0,$E$1=2),0,1),0)</f>
        <v>1</v>
      </c>
      <c r="AW88" s="67">
        <f ca="1">IF(LOWER(Capacity!$L100)="x",IF(AND(SUMIF(Capacity_Resource,$D88,'Critical resources (hide)'!BJ$6:BJ$105)+SUMIF(Capacity_Resource,$E88,'Critical resources (hide)'!BJ$6:BJ$105)+SUMIF(Capacity_Resource,$F88,'Critical resources (hide)'!BJ$6:BJ$105)&gt;0,$E$1=2),0,1),0)</f>
        <v>1</v>
      </c>
      <c r="AX88" s="67">
        <f ca="1">IF(LOWER(Capacity!$L100)="x",IF(AND(SUMIF(Capacity_Resource,$D88,'Critical resources (hide)'!BK$6:BK$105)+SUMIF(Capacity_Resource,$E88,'Critical resources (hide)'!BK$6:BK$105)+SUMIF(Capacity_Resource,$F88,'Critical resources (hide)'!BK$6:BK$105)&gt;0,$E$1=2),0,1),0)</f>
        <v>1</v>
      </c>
      <c r="AY88" s="67">
        <f ca="1">IF(LOWER(Capacity!$L100)="x",IF(AND(SUMIF(Capacity_Resource,$D88,'Critical resources (hide)'!BL$6:BL$105)+SUMIF(Capacity_Resource,$E88,'Critical resources (hide)'!BL$6:BL$105)+SUMIF(Capacity_Resource,$F88,'Critical resources (hide)'!BL$6:BL$105)&gt;0,$E$1=2),0,1),0)</f>
        <v>1</v>
      </c>
      <c r="AZ88" s="67">
        <f ca="1">IF(LOWER(Capacity!$L100)="x",IF(AND(SUMIF(Capacity_Resource,$D88,'Critical resources (hide)'!BM$6:BM$105)+SUMIF(Capacity_Resource,$E88,'Critical resources (hide)'!BM$6:BM$105)+SUMIF(Capacity_Resource,$F88,'Critical resources (hide)'!BM$6:BM$105)&gt;0,$E$1=2),0,1),0)</f>
        <v>1</v>
      </c>
      <c r="BA88" s="67">
        <f ca="1">IF(LOWER(Capacity!$L100)="x",IF(AND(SUMIF(Capacity_Resource,$D88,'Critical resources (hide)'!BN$6:BN$105)+SUMIF(Capacity_Resource,$E88,'Critical resources (hide)'!BN$6:BN$105)+SUMIF(Capacity_Resource,$F88,'Critical resources (hide)'!BN$6:BN$105)&gt;0,$E$1=2),0,1),0)</f>
        <v>1</v>
      </c>
      <c r="BB88" s="67">
        <f ca="1">IF(LOWER(Capacity!$L100)="x",IF(AND(SUMIF(Capacity_Resource,$D88,'Critical resources (hide)'!BO$6:BO$105)+SUMIF(Capacity_Resource,$E88,'Critical resources (hide)'!BO$6:BO$105)+SUMIF(Capacity_Resource,$F88,'Critical resources (hide)'!BO$6:BO$105)&gt;0,$E$1=2),0,1),0)</f>
        <v>1</v>
      </c>
      <c r="BC88" s="67">
        <f ca="1">IF(LOWER(Capacity!$L100)="x",IF(AND(SUMIF(Capacity_Resource,$D88,'Critical resources (hide)'!BP$6:BP$105)+SUMIF(Capacity_Resource,$E88,'Critical resources (hide)'!BP$6:BP$105)+SUMIF(Capacity_Resource,$F88,'Critical resources (hide)'!BP$6:BP$105)&gt;0,$E$1=2),0,1),0)</f>
        <v>1</v>
      </c>
      <c r="BD88" s="67">
        <f ca="1">IF(LOWER(Capacity!$L100)="x",IF(AND(SUMIF(Capacity_Resource,$D88,'Critical resources (hide)'!BQ$6:BQ$105)+SUMIF(Capacity_Resource,$E88,'Critical resources (hide)'!BQ$6:BQ$105)+SUMIF(Capacity_Resource,$F88,'Critical resources (hide)'!BQ$6:BQ$105)&gt;0,$E$1=2),0,1),0)</f>
        <v>1</v>
      </c>
      <c r="BE88" s="67">
        <f ca="1">IF(LOWER(Capacity!$L100)="x",IF(AND(SUMIF(Capacity_Resource,$D88,'Critical resources (hide)'!BR$6:BR$105)+SUMIF(Capacity_Resource,$E88,'Critical resources (hide)'!BR$6:BR$105)+SUMIF(Capacity_Resource,$F88,'Critical resources (hide)'!BR$6:BR$105)&gt;0,$E$1=2),0,1),0)</f>
        <v>1</v>
      </c>
      <c r="BF88" s="67">
        <f ca="1">IF(LOWER(Capacity!$L100)="x",IF(AND(SUMIF(Capacity_Resource,$D88,'Critical resources (hide)'!BS$6:BS$105)+SUMIF(Capacity_Resource,$E88,'Critical resources (hide)'!BS$6:BS$105)+SUMIF(Capacity_Resource,$F88,'Critical resources (hide)'!BS$6:BS$105)&gt;0,$E$1=2),0,1),0)</f>
        <v>1</v>
      </c>
      <c r="BG88" s="67">
        <f ca="1">IF(LOWER(Capacity!$L100)="x",IF(AND(SUMIF(Capacity_Resource,$D88,'Critical resources (hide)'!BT$6:BT$105)+SUMIF(Capacity_Resource,$E88,'Critical resources (hide)'!BT$6:BT$105)+SUMIF(Capacity_Resource,$F88,'Critical resources (hide)'!BT$6:BT$105)&gt;0,$E$1=2),0,1),0)</f>
        <v>1</v>
      </c>
      <c r="BH88" s="67">
        <f>IF(ROW(C84)&lt;=Capacity!$A$16,IF('Capacity summary'!$D$14="No",SUM(H88:BG88),'Capacity summary'!$E207),0)</f>
        <v>0</v>
      </c>
      <c r="BI88" s="5" t="str">
        <f>IF(BH88&gt;0,IF(BH88&lt;Capacity!E100,Capacity!F100,Capacity!H100/'Capacity calculation (hide)'!BH88),"")</f>
        <v/>
      </c>
      <c r="BK88" s="311">
        <f>IF($BI88&lt;&gt;"",IF('Capacity summary'!$D$14="Yes",IF(COUNTBLANK('Capacity summary'!$H207:$BG207)&lt;52,IF('Capacity summary'!H207&lt;&gt;"",IF(LOWER('Capacity summary'!H207)="x",$BI88*H88,VALUE('Capacity summary'!H207)),0),H88*$BI88),H88*$BI88),0)</f>
        <v>0</v>
      </c>
      <c r="BL88" s="311">
        <f>IF($BI88&lt;&gt;"",IF('Capacity summary'!$D$14="Yes",IF(COUNTBLANK('Capacity summary'!$H207:$BG207)&lt;52,IF('Capacity summary'!I207&lt;&gt;"",IF(LOWER('Capacity summary'!I207)="x",$BI88*I88,VALUE('Capacity summary'!I207)),0),I88*$BI88),I88*$BI88),0)</f>
        <v>0</v>
      </c>
      <c r="BM88" s="311">
        <f>IF($BI88&lt;&gt;"",IF('Capacity summary'!$D$14="Yes",IF(COUNTBLANK('Capacity summary'!$H207:$BG207)&lt;52,IF('Capacity summary'!J207&lt;&gt;"",IF(LOWER('Capacity summary'!J207)="x",$BI88*J88,VALUE('Capacity summary'!J207)),0),J88*$BI88),J88*$BI88),0)</f>
        <v>0</v>
      </c>
      <c r="BN88" s="311">
        <f>IF($BI88&lt;&gt;"",IF('Capacity summary'!$D$14="Yes",IF(COUNTBLANK('Capacity summary'!$H207:$BG207)&lt;52,IF('Capacity summary'!K207&lt;&gt;"",IF(LOWER('Capacity summary'!K207)="x",$BI88*K88,VALUE('Capacity summary'!K207)),0),K88*$BI88),K88*$BI88),0)</f>
        <v>0</v>
      </c>
      <c r="BO88" s="311">
        <f>IF($BI88&lt;&gt;"",IF('Capacity summary'!$D$14="Yes",IF(COUNTBLANK('Capacity summary'!$H207:$BG207)&lt;52,IF('Capacity summary'!L207&lt;&gt;"",IF(LOWER('Capacity summary'!L207)="x",$BI88*L88,VALUE('Capacity summary'!L207)),0),L88*$BI88),L88*$BI88),0)</f>
        <v>0</v>
      </c>
      <c r="BP88" s="311">
        <f>IF($BI88&lt;&gt;"",IF('Capacity summary'!$D$14="Yes",IF(COUNTBLANK('Capacity summary'!$H207:$BG207)&lt;52,IF('Capacity summary'!M207&lt;&gt;"",IF(LOWER('Capacity summary'!M207)="x",$BI88*M88,VALUE('Capacity summary'!M207)),0),M88*$BI88),M88*$BI88),0)</f>
        <v>0</v>
      </c>
      <c r="BQ88" s="311">
        <f>IF($BI88&lt;&gt;"",IF('Capacity summary'!$D$14="Yes",IF(COUNTBLANK('Capacity summary'!$H207:$BG207)&lt;52,IF('Capacity summary'!N207&lt;&gt;"",IF(LOWER('Capacity summary'!N207)="x",$BI88*N88,VALUE('Capacity summary'!N207)),0),N88*$BI88),N88*$BI88),0)</f>
        <v>0</v>
      </c>
      <c r="BR88" s="311">
        <f>IF($BI88&lt;&gt;"",IF('Capacity summary'!$D$14="Yes",IF(COUNTBLANK('Capacity summary'!$H207:$BG207)&lt;52,IF('Capacity summary'!O207&lt;&gt;"",IF(LOWER('Capacity summary'!O207)="x",$BI88*O88,VALUE('Capacity summary'!O207)),0),O88*$BI88),O88*$BI88),0)</f>
        <v>0</v>
      </c>
      <c r="BS88" s="311">
        <f>IF($BI88&lt;&gt;"",IF('Capacity summary'!$D$14="Yes",IF(COUNTBLANK('Capacity summary'!$H207:$BG207)&lt;52,IF('Capacity summary'!P207&lt;&gt;"",IF(LOWER('Capacity summary'!P207)="x",$BI88*P88,VALUE('Capacity summary'!P207)),0),P88*$BI88),P88*$BI88),0)</f>
        <v>0</v>
      </c>
      <c r="BT88" s="311">
        <f>IF($BI88&lt;&gt;"",IF('Capacity summary'!$D$14="Yes",IF(COUNTBLANK('Capacity summary'!$H207:$BG207)&lt;52,IF('Capacity summary'!Q207&lt;&gt;"",IF(LOWER('Capacity summary'!Q207)="x",$BI88*Q88,VALUE('Capacity summary'!Q207)),0),Q88*$BI88),Q88*$BI88),0)</f>
        <v>0</v>
      </c>
      <c r="BU88" s="311">
        <f>IF($BI88&lt;&gt;"",IF('Capacity summary'!$D$14="Yes",IF(COUNTBLANK('Capacity summary'!$H207:$BG207)&lt;52,IF('Capacity summary'!R207&lt;&gt;"",IF(LOWER('Capacity summary'!R207)="x",$BI88*R88,VALUE('Capacity summary'!R207)),0),R88*$BI88),R88*$BI88),0)</f>
        <v>0</v>
      </c>
      <c r="BV88" s="311">
        <f>IF($BI88&lt;&gt;"",IF('Capacity summary'!$D$14="Yes",IF(COUNTBLANK('Capacity summary'!$H207:$BG207)&lt;52,IF('Capacity summary'!S207&lt;&gt;"",IF(LOWER('Capacity summary'!S207)="x",$BI88*S88,VALUE('Capacity summary'!S207)),0),S88*$BI88),S88*$BI88),0)</f>
        <v>0</v>
      </c>
      <c r="BW88" s="311">
        <f>IF($BI88&lt;&gt;"",IF('Capacity summary'!$D$14="Yes",IF(COUNTBLANK('Capacity summary'!$H207:$BG207)&lt;52,IF('Capacity summary'!T207&lt;&gt;"",IF(LOWER('Capacity summary'!T207)="x",$BI88*T88,VALUE('Capacity summary'!T207)),0),T88*$BI88),T88*$BI88),0)</f>
        <v>0</v>
      </c>
      <c r="BX88" s="311">
        <f>IF($BI88&lt;&gt;"",IF('Capacity summary'!$D$14="Yes",IF(COUNTBLANK('Capacity summary'!$H207:$BG207)&lt;52,IF('Capacity summary'!U207&lt;&gt;"",IF(LOWER('Capacity summary'!U207)="x",$BI88*U88,VALUE('Capacity summary'!U207)),0),U88*$BI88),U88*$BI88),0)</f>
        <v>0</v>
      </c>
      <c r="BY88" s="311">
        <f>IF($BI88&lt;&gt;"",IF('Capacity summary'!$D$14="Yes",IF(COUNTBLANK('Capacity summary'!$H207:$BG207)&lt;52,IF('Capacity summary'!V207&lt;&gt;"",IF(LOWER('Capacity summary'!V207)="x",$BI88*V88,VALUE('Capacity summary'!V207)),0),V88*$BI88),V88*$BI88),0)</f>
        <v>0</v>
      </c>
      <c r="BZ88" s="311">
        <f>IF($BI88&lt;&gt;"",IF('Capacity summary'!$D$14="Yes",IF(COUNTBLANK('Capacity summary'!$H207:$BG207)&lt;52,IF('Capacity summary'!W207&lt;&gt;"",IF(LOWER('Capacity summary'!W207)="x",$BI88*W88,VALUE('Capacity summary'!W207)),0),W88*$BI88),W88*$BI88),0)</f>
        <v>0</v>
      </c>
      <c r="CA88" s="311">
        <f>IF($BI88&lt;&gt;"",IF('Capacity summary'!$D$14="Yes",IF(COUNTBLANK('Capacity summary'!$H207:$BG207)&lt;52,IF('Capacity summary'!X207&lt;&gt;"",IF(LOWER('Capacity summary'!X207)="x",$BI88*X88,VALUE('Capacity summary'!X207)),0),X88*$BI88),X88*$BI88),0)</f>
        <v>0</v>
      </c>
      <c r="CB88" s="311">
        <f>IF($BI88&lt;&gt;"",IF('Capacity summary'!$D$14="Yes",IF(COUNTBLANK('Capacity summary'!$H207:$BG207)&lt;52,IF('Capacity summary'!Y207&lt;&gt;"",IF(LOWER('Capacity summary'!Y207)="x",$BI88*Y88,VALUE('Capacity summary'!Y207)),0),Y88*$BI88),Y88*$BI88),0)</f>
        <v>0</v>
      </c>
      <c r="CC88" s="311">
        <f>IF($BI88&lt;&gt;"",IF('Capacity summary'!$D$14="Yes",IF(COUNTBLANK('Capacity summary'!$H207:$BG207)&lt;52,IF('Capacity summary'!Z207&lt;&gt;"",IF(LOWER('Capacity summary'!Z207)="x",$BI88*Z88,VALUE('Capacity summary'!Z207)),0),Z88*$BI88),Z88*$BI88),0)</f>
        <v>0</v>
      </c>
      <c r="CD88" s="311">
        <f>IF($BI88&lt;&gt;"",IF('Capacity summary'!$D$14="Yes",IF(COUNTBLANK('Capacity summary'!$H207:$BG207)&lt;52,IF('Capacity summary'!AA207&lt;&gt;"",IF(LOWER('Capacity summary'!AA207)="x",$BI88*AA88,VALUE('Capacity summary'!AA207)),0),AA88*$BI88),AA88*$BI88),0)</f>
        <v>0</v>
      </c>
      <c r="CE88" s="311">
        <f>IF($BI88&lt;&gt;"",IF('Capacity summary'!$D$14="Yes",IF(COUNTBLANK('Capacity summary'!$H207:$BG207)&lt;52,IF('Capacity summary'!AB207&lt;&gt;"",IF(LOWER('Capacity summary'!AB207)="x",$BI88*AB88,VALUE('Capacity summary'!AB207)),0),AB88*$BI88),AB88*$BI88),0)</f>
        <v>0</v>
      </c>
      <c r="CF88" s="311">
        <f>IF($BI88&lt;&gt;"",IF('Capacity summary'!$D$14="Yes",IF(COUNTBLANK('Capacity summary'!$H207:$BG207)&lt;52,IF('Capacity summary'!AC207&lt;&gt;"",IF(LOWER('Capacity summary'!AC207)="x",$BI88*AC88,VALUE('Capacity summary'!AC207)),0),AC88*$BI88),AC88*$BI88),0)</f>
        <v>0</v>
      </c>
      <c r="CG88" s="311">
        <f>IF($BI88&lt;&gt;"",IF('Capacity summary'!$D$14="Yes",IF(COUNTBLANK('Capacity summary'!$H207:$BG207)&lt;52,IF('Capacity summary'!AD207&lt;&gt;"",IF(LOWER('Capacity summary'!AD207)="x",$BI88*AD88,VALUE('Capacity summary'!AD207)),0),AD88*$BI88),AD88*$BI88),0)</f>
        <v>0</v>
      </c>
      <c r="CH88" s="311">
        <f>IF($BI88&lt;&gt;"",IF('Capacity summary'!$D$14="Yes",IF(COUNTBLANK('Capacity summary'!$H207:$BG207)&lt;52,IF('Capacity summary'!AE207&lt;&gt;"",IF(LOWER('Capacity summary'!AE207)="x",$BI88*AE88,VALUE('Capacity summary'!AE207)),0),AE88*$BI88),AE88*$BI88),0)</f>
        <v>0</v>
      </c>
      <c r="CI88" s="311">
        <f>IF($BI88&lt;&gt;"",IF('Capacity summary'!$D$14="Yes",IF(COUNTBLANK('Capacity summary'!$H207:$BG207)&lt;52,IF('Capacity summary'!AF207&lt;&gt;"",IF(LOWER('Capacity summary'!AF207)="x",$BI88*AF88,VALUE('Capacity summary'!AF207)),0),AF88*$BI88),AF88*$BI88),0)</f>
        <v>0</v>
      </c>
      <c r="CJ88" s="311">
        <f>IF($BI88&lt;&gt;"",IF('Capacity summary'!$D$14="Yes",IF(COUNTBLANK('Capacity summary'!$H207:$BG207)&lt;52,IF('Capacity summary'!AG207&lt;&gt;"",IF(LOWER('Capacity summary'!AG207)="x",$BI88*AG88,VALUE('Capacity summary'!AG207)),0),AG88*$BI88),AG88*$BI88),0)</f>
        <v>0</v>
      </c>
      <c r="CK88" s="311">
        <f>IF($BI88&lt;&gt;"",IF('Capacity summary'!$D$14="Yes",IF(COUNTBLANK('Capacity summary'!$H207:$BG207)&lt;52,IF('Capacity summary'!AH207&lt;&gt;"",IF(LOWER('Capacity summary'!AH207)="x",$BI88*AH88,VALUE('Capacity summary'!AH207)),0),AH88*$BI88),AH88*$BI88),0)</f>
        <v>0</v>
      </c>
      <c r="CL88" s="311">
        <f>IF($BI88&lt;&gt;"",IF('Capacity summary'!$D$14="Yes",IF(COUNTBLANK('Capacity summary'!$H207:$BG207)&lt;52,IF('Capacity summary'!AI207&lt;&gt;"",IF(LOWER('Capacity summary'!AI207)="x",$BI88*AI88,VALUE('Capacity summary'!AI207)),0),AI88*$BI88),AI88*$BI88),0)</f>
        <v>0</v>
      </c>
      <c r="CM88" s="311">
        <f>IF($BI88&lt;&gt;"",IF('Capacity summary'!$D$14="Yes",IF(COUNTBLANK('Capacity summary'!$H207:$BG207)&lt;52,IF('Capacity summary'!AJ207&lt;&gt;"",IF(LOWER('Capacity summary'!AJ207)="x",$BI88*AJ88,VALUE('Capacity summary'!AJ207)),0),AJ88*$BI88),AJ88*$BI88),0)</f>
        <v>0</v>
      </c>
      <c r="CN88" s="311">
        <f>IF($BI88&lt;&gt;"",IF('Capacity summary'!$D$14="Yes",IF(COUNTBLANK('Capacity summary'!$H207:$BG207)&lt;52,IF('Capacity summary'!AK207&lt;&gt;"",IF(LOWER('Capacity summary'!AK207)="x",$BI88*AK88,VALUE('Capacity summary'!AK207)),0),AK88*$BI88),AK88*$BI88),0)</f>
        <v>0</v>
      </c>
      <c r="CO88" s="311">
        <f>IF($BI88&lt;&gt;"",IF('Capacity summary'!$D$14="Yes",IF(COUNTBLANK('Capacity summary'!$H207:$BG207)&lt;52,IF('Capacity summary'!AL207&lt;&gt;"",IF(LOWER('Capacity summary'!AL207)="x",$BI88*AL88,VALUE('Capacity summary'!AL207)),0),AL88*$BI88),AL88*$BI88),0)</f>
        <v>0</v>
      </c>
      <c r="CP88" s="311">
        <f>IF($BI88&lt;&gt;"",IF('Capacity summary'!$D$14="Yes",IF(COUNTBLANK('Capacity summary'!$H207:$BG207)&lt;52,IF('Capacity summary'!AM207&lt;&gt;"",IF(LOWER('Capacity summary'!AM207)="x",$BI88*AM88,VALUE('Capacity summary'!AM207)),0),AM88*$BI88),AM88*$BI88),0)</f>
        <v>0</v>
      </c>
      <c r="CQ88" s="311">
        <f>IF($BI88&lt;&gt;"",IF('Capacity summary'!$D$14="Yes",IF(COUNTBLANK('Capacity summary'!$H207:$BG207)&lt;52,IF('Capacity summary'!AN207&lt;&gt;"",IF(LOWER('Capacity summary'!AN207)="x",$BI88*AN88,VALUE('Capacity summary'!AN207)),0),AN88*$BI88),AN88*$BI88),0)</f>
        <v>0</v>
      </c>
      <c r="CR88" s="311">
        <f>IF($BI88&lt;&gt;"",IF('Capacity summary'!$D$14="Yes",IF(COUNTBLANK('Capacity summary'!$H207:$BG207)&lt;52,IF('Capacity summary'!AO207&lt;&gt;"",IF(LOWER('Capacity summary'!AO207)="x",$BI88*AO88,VALUE('Capacity summary'!AO207)),0),AO88*$BI88),AO88*$BI88),0)</f>
        <v>0</v>
      </c>
      <c r="CS88" s="311">
        <f>IF($BI88&lt;&gt;"",IF('Capacity summary'!$D$14="Yes",IF(COUNTBLANK('Capacity summary'!$H207:$BG207)&lt;52,IF('Capacity summary'!AP207&lt;&gt;"",IF(LOWER('Capacity summary'!AP207)="x",$BI88*AP88,VALUE('Capacity summary'!AP207)),0),AP88*$BI88),AP88*$BI88),0)</f>
        <v>0</v>
      </c>
      <c r="CT88" s="311">
        <f>IF($BI88&lt;&gt;"",IF('Capacity summary'!$D$14="Yes",IF(COUNTBLANK('Capacity summary'!$H207:$BG207)&lt;52,IF('Capacity summary'!AQ207&lt;&gt;"",IF(LOWER('Capacity summary'!AQ207)="x",$BI88*AQ88,VALUE('Capacity summary'!AQ207)),0),AQ88*$BI88),AQ88*$BI88),0)</f>
        <v>0</v>
      </c>
      <c r="CU88" s="311">
        <f>IF($BI88&lt;&gt;"",IF('Capacity summary'!$D$14="Yes",IF(COUNTBLANK('Capacity summary'!$H207:$BG207)&lt;52,IF('Capacity summary'!AR207&lt;&gt;"",IF(LOWER('Capacity summary'!AR207)="x",$BI88*AR88,VALUE('Capacity summary'!AR207)),0),AR88*$BI88),AR88*$BI88),0)</f>
        <v>0</v>
      </c>
      <c r="CV88" s="311">
        <f>IF($BI88&lt;&gt;"",IF('Capacity summary'!$D$14="Yes",IF(COUNTBLANK('Capacity summary'!$H207:$BG207)&lt;52,IF('Capacity summary'!AS207&lt;&gt;"",IF(LOWER('Capacity summary'!AS207)="x",$BI88*AS88,VALUE('Capacity summary'!AS207)),0),AS88*$BI88),AS88*$BI88),0)</f>
        <v>0</v>
      </c>
      <c r="CW88" s="311">
        <f>IF($BI88&lt;&gt;"",IF('Capacity summary'!$D$14="Yes",IF(COUNTBLANK('Capacity summary'!$H207:$BG207)&lt;52,IF('Capacity summary'!AT207&lt;&gt;"",IF(LOWER('Capacity summary'!AT207)="x",$BI88*AT88,VALUE('Capacity summary'!AT207)),0),AT88*$BI88),AT88*$BI88),0)</f>
        <v>0</v>
      </c>
      <c r="CX88" s="311">
        <f>IF($BI88&lt;&gt;"",IF('Capacity summary'!$D$14="Yes",IF(COUNTBLANK('Capacity summary'!$H207:$BG207)&lt;52,IF('Capacity summary'!AU207&lt;&gt;"",IF(LOWER('Capacity summary'!AU207)="x",$BI88*AU88,VALUE('Capacity summary'!AU207)),0),AU88*$BI88),AU88*$BI88),0)</f>
        <v>0</v>
      </c>
      <c r="CY88" s="311">
        <f>IF($BI88&lt;&gt;"",IF('Capacity summary'!$D$14="Yes",IF(COUNTBLANK('Capacity summary'!$H207:$BG207)&lt;52,IF('Capacity summary'!AV207&lt;&gt;"",IF(LOWER('Capacity summary'!AV207)="x",$BI88*AV88,VALUE('Capacity summary'!AV207)),0),AV88*$BI88),AV88*$BI88),0)</f>
        <v>0</v>
      </c>
      <c r="CZ88" s="311">
        <f>IF($BI88&lt;&gt;"",IF('Capacity summary'!$D$14="Yes",IF(COUNTBLANK('Capacity summary'!$H207:$BG207)&lt;52,IF('Capacity summary'!AW207&lt;&gt;"",IF(LOWER('Capacity summary'!AW207)="x",$BI88*AW88,VALUE('Capacity summary'!AW207)),0),AW88*$BI88),AW88*$BI88),0)</f>
        <v>0</v>
      </c>
      <c r="DA88" s="311">
        <f>IF($BI88&lt;&gt;"",IF('Capacity summary'!$D$14="Yes",IF(COUNTBLANK('Capacity summary'!$H207:$BG207)&lt;52,IF('Capacity summary'!AX207&lt;&gt;"",IF(LOWER('Capacity summary'!AX207)="x",$BI88*AX88,VALUE('Capacity summary'!AX207)),0),AX88*$BI88),AX88*$BI88),0)</f>
        <v>0</v>
      </c>
      <c r="DB88" s="311">
        <f>IF($BI88&lt;&gt;"",IF('Capacity summary'!$D$14="Yes",IF(COUNTBLANK('Capacity summary'!$H207:$BG207)&lt;52,IF('Capacity summary'!AY207&lt;&gt;"",IF(LOWER('Capacity summary'!AY207)="x",$BI88*AY88,VALUE('Capacity summary'!AY207)),0),AY88*$BI88),AY88*$BI88),0)</f>
        <v>0</v>
      </c>
      <c r="DC88" s="311">
        <f>IF($BI88&lt;&gt;"",IF('Capacity summary'!$D$14="Yes",IF(COUNTBLANK('Capacity summary'!$H207:$BG207)&lt;52,IF('Capacity summary'!AZ207&lt;&gt;"",IF(LOWER('Capacity summary'!AZ207)="x",$BI88*AZ88,VALUE('Capacity summary'!AZ207)),0),AZ88*$BI88),AZ88*$BI88),0)</f>
        <v>0</v>
      </c>
      <c r="DD88" s="311">
        <f>IF($BI88&lt;&gt;"",IF('Capacity summary'!$D$14="Yes",IF(COUNTBLANK('Capacity summary'!$H207:$BG207)&lt;52,IF('Capacity summary'!BA207&lt;&gt;"",IF(LOWER('Capacity summary'!BA207)="x",$BI88*BA88,VALUE('Capacity summary'!BA207)),0),BA88*$BI88),BA88*$BI88),0)</f>
        <v>0</v>
      </c>
      <c r="DE88" s="311">
        <f>IF($BI88&lt;&gt;"",IF('Capacity summary'!$D$14="Yes",IF(COUNTBLANK('Capacity summary'!$H207:$BG207)&lt;52,IF('Capacity summary'!BB207&lt;&gt;"",IF(LOWER('Capacity summary'!BB207)="x",$BI88*BB88,VALUE('Capacity summary'!BB207)),0),BB88*$BI88),BB88*$BI88),0)</f>
        <v>0</v>
      </c>
      <c r="DF88" s="311">
        <f>IF($BI88&lt;&gt;"",IF('Capacity summary'!$D$14="Yes",IF(COUNTBLANK('Capacity summary'!$H207:$BG207)&lt;52,IF('Capacity summary'!BC207&lt;&gt;"",IF(LOWER('Capacity summary'!BC207)="x",$BI88*BC88,VALUE('Capacity summary'!BC207)),0),BC88*$BI88),BC88*$BI88),0)</f>
        <v>0</v>
      </c>
      <c r="DG88" s="311">
        <f>IF($BI88&lt;&gt;"",IF('Capacity summary'!$D$14="Yes",IF(COUNTBLANK('Capacity summary'!$H207:$BG207)&lt;52,IF('Capacity summary'!BD207&lt;&gt;"",IF(LOWER('Capacity summary'!BD207)="x",$BI88*BD88,VALUE('Capacity summary'!BD207)),0),BD88*$BI88),BD88*$BI88),0)</f>
        <v>0</v>
      </c>
      <c r="DH88" s="311">
        <f>IF($BI88&lt;&gt;"",IF('Capacity summary'!$D$14="Yes",IF(COUNTBLANK('Capacity summary'!$H207:$BG207)&lt;52,IF('Capacity summary'!BE207&lt;&gt;"",IF(LOWER('Capacity summary'!BE207)="x",$BI88*BE88,VALUE('Capacity summary'!BE207)),0),BE88*$BI88),BE88*$BI88),0)</f>
        <v>0</v>
      </c>
      <c r="DI88" s="311">
        <f>IF($BI88&lt;&gt;"",IF('Capacity summary'!$D$14="Yes",IF(COUNTBLANK('Capacity summary'!$H207:$BG207)&lt;52,IF('Capacity summary'!BF207&lt;&gt;"",IF(LOWER('Capacity summary'!BF207)="x",$BI88*BF88,VALUE('Capacity summary'!BF207)),0),BF88*$BI88),BF88*$BI88),0)</f>
        <v>0</v>
      </c>
      <c r="DJ88" s="311">
        <f>IF($BI88&lt;&gt;"",IF('Capacity summary'!$D$14="Yes",IF(COUNTBLANK('Capacity summary'!$H207:$BG207)&lt;52,IF('Capacity summary'!BG207&lt;&gt;"",IF(LOWER('Capacity summary'!BG207)="x",$BI88*BG88,VALUE('Capacity summary'!BG207)),0),BG88*$BI88),BG88*$BI88),0)</f>
        <v>0</v>
      </c>
      <c r="DK88" s="391">
        <f t="shared" si="4"/>
        <v>0</v>
      </c>
      <c r="DL88" s="136">
        <f t="shared" si="5"/>
        <v>0</v>
      </c>
      <c r="DM88" s="311" t="str">
        <f>Capacity!H100</f>
        <v/>
      </c>
    </row>
    <row r="89" spans="1:117" x14ac:dyDescent="0.2">
      <c r="A89" s="67">
        <f>IF(Capacity!L101='Capacity summary'!BI208,1,0)</f>
        <v>1</v>
      </c>
      <c r="B89" s="67">
        <f>IF(Capacity!V101='Capacity summary'!BI108,1,0)</f>
        <v>1</v>
      </c>
      <c r="C89" s="67" t="str">
        <f>ROW(A85)&amp;". "&amp;Capacity!B101</f>
        <v xml:space="preserve">85. </v>
      </c>
      <c r="D89" s="67">
        <f>'Capacity setup'!C96</f>
        <v>0</v>
      </c>
      <c r="E89" s="67">
        <f>'Capacity setup'!D96</f>
        <v>0</v>
      </c>
      <c r="F89" s="67">
        <f>'Capacity setup'!E96</f>
        <v>0</v>
      </c>
      <c r="H89" s="67">
        <f ca="1">IF(LOWER(Capacity!$L101)="x",IF(AND(SUMIF(Capacity_Resource,$D89,'Critical resources (hide)'!U$6:U$105)+SUMIF(Capacity_Resource,$E89,'Critical resources (hide)'!U$6:U$105)+SUMIF(Capacity_Resource,$F89,'Critical resources (hide)'!U$6:U$105)&gt;0,$E$1=2),0,1),0)</f>
        <v>1</v>
      </c>
      <c r="I89" s="67">
        <f ca="1">IF(LOWER(Capacity!$L101)="x",IF(AND(SUMIF(Capacity_Resource,$D89,'Critical resources (hide)'!V$6:V$105)+SUMIF(Capacity_Resource,$E89,'Critical resources (hide)'!V$6:V$105)+SUMIF(Capacity_Resource,$F89,'Critical resources (hide)'!V$6:V$105)&gt;0,$E$1=2),0,1),0)</f>
        <v>1</v>
      </c>
      <c r="J89" s="67">
        <f ca="1">IF(LOWER(Capacity!$L101)="x",IF(AND(SUMIF(Capacity_Resource,$D89,'Critical resources (hide)'!W$6:W$105)+SUMIF(Capacity_Resource,$E89,'Critical resources (hide)'!W$6:W$105)+SUMIF(Capacity_Resource,$F89,'Critical resources (hide)'!W$6:W$105)&gt;0,$E$1=2),0,1),0)</f>
        <v>1</v>
      </c>
      <c r="K89" s="67">
        <f ca="1">IF(LOWER(Capacity!$L101)="x",IF(AND(SUMIF(Capacity_Resource,$D89,'Critical resources (hide)'!X$6:X$105)+SUMIF(Capacity_Resource,$E89,'Critical resources (hide)'!X$6:X$105)+SUMIF(Capacity_Resource,$F89,'Critical resources (hide)'!X$6:X$105)&gt;0,$E$1=2),0,1),0)</f>
        <v>1</v>
      </c>
      <c r="L89" s="67">
        <f ca="1">IF(LOWER(Capacity!$L101)="x",IF(AND(SUMIF(Capacity_Resource,$D89,'Critical resources (hide)'!Y$6:Y$105)+SUMIF(Capacity_Resource,$E89,'Critical resources (hide)'!Y$6:Y$105)+SUMIF(Capacity_Resource,$F89,'Critical resources (hide)'!Y$6:Y$105)&gt;0,$E$1=2),0,1),0)</f>
        <v>1</v>
      </c>
      <c r="M89" s="67">
        <f ca="1">IF(LOWER(Capacity!$L101)="x",IF(AND(SUMIF(Capacity_Resource,$D89,'Critical resources (hide)'!Z$6:Z$105)+SUMIF(Capacity_Resource,$E89,'Critical resources (hide)'!Z$6:Z$105)+SUMIF(Capacity_Resource,$F89,'Critical resources (hide)'!Z$6:Z$105)&gt;0,$E$1=2),0,1),0)</f>
        <v>1</v>
      </c>
      <c r="N89" s="67">
        <f ca="1">IF(LOWER(Capacity!$L101)="x",IF(AND(SUMIF(Capacity_Resource,$D89,'Critical resources (hide)'!AA$6:AA$105)+SUMIF(Capacity_Resource,$E89,'Critical resources (hide)'!AA$6:AA$105)+SUMIF(Capacity_Resource,$F89,'Critical resources (hide)'!AA$6:AA$105)&gt;0,$E$1=2),0,1),0)</f>
        <v>1</v>
      </c>
      <c r="O89" s="67">
        <f ca="1">IF(LOWER(Capacity!$L101)="x",IF(AND(SUMIF(Capacity_Resource,$D89,'Critical resources (hide)'!AB$6:AB$105)+SUMIF(Capacity_Resource,$E89,'Critical resources (hide)'!AB$6:AB$105)+SUMIF(Capacity_Resource,$F89,'Critical resources (hide)'!AB$6:AB$105)&gt;0,$E$1=2),0,1),0)</f>
        <v>1</v>
      </c>
      <c r="P89" s="67">
        <f ca="1">IF(LOWER(Capacity!$L101)="x",IF(AND(SUMIF(Capacity_Resource,$D89,'Critical resources (hide)'!AC$6:AC$105)+SUMIF(Capacity_Resource,$E89,'Critical resources (hide)'!AC$6:AC$105)+SUMIF(Capacity_Resource,$F89,'Critical resources (hide)'!AC$6:AC$105)&gt;0,$E$1=2),0,1),0)</f>
        <v>1</v>
      </c>
      <c r="Q89" s="67">
        <f ca="1">IF(LOWER(Capacity!$L101)="x",IF(AND(SUMIF(Capacity_Resource,$D89,'Critical resources (hide)'!AD$6:AD$105)+SUMIF(Capacity_Resource,$E89,'Critical resources (hide)'!AD$6:AD$105)+SUMIF(Capacity_Resource,$F89,'Critical resources (hide)'!AD$6:AD$105)&gt;0,$E$1=2),0,1),0)</f>
        <v>1</v>
      </c>
      <c r="R89" s="67">
        <f ca="1">IF(LOWER(Capacity!$L101)="x",IF(AND(SUMIF(Capacity_Resource,$D89,'Critical resources (hide)'!AE$6:AE$105)+SUMIF(Capacity_Resource,$E89,'Critical resources (hide)'!AE$6:AE$105)+SUMIF(Capacity_Resource,$F89,'Critical resources (hide)'!AE$6:AE$105)&gt;0,$E$1=2),0,1),0)</f>
        <v>1</v>
      </c>
      <c r="S89" s="67">
        <f ca="1">IF(LOWER(Capacity!$L101)="x",IF(AND(SUMIF(Capacity_Resource,$D89,'Critical resources (hide)'!AF$6:AF$105)+SUMIF(Capacity_Resource,$E89,'Critical resources (hide)'!AF$6:AF$105)+SUMIF(Capacity_Resource,$F89,'Critical resources (hide)'!AF$6:AF$105)&gt;0,$E$1=2),0,1),0)</f>
        <v>1</v>
      </c>
      <c r="T89" s="67">
        <f ca="1">IF(LOWER(Capacity!$L101)="x",IF(AND(SUMIF(Capacity_Resource,$D89,'Critical resources (hide)'!AG$6:AG$105)+SUMIF(Capacity_Resource,$E89,'Critical resources (hide)'!AG$6:AG$105)+SUMIF(Capacity_Resource,$F89,'Critical resources (hide)'!AG$6:AG$105)&gt;0,$E$1=2),0,1),0)</f>
        <v>1</v>
      </c>
      <c r="U89" s="67">
        <f ca="1">IF(LOWER(Capacity!$L101)="x",IF(AND(SUMIF(Capacity_Resource,$D89,'Critical resources (hide)'!AH$6:AH$105)+SUMIF(Capacity_Resource,$E89,'Critical resources (hide)'!AH$6:AH$105)+SUMIF(Capacity_Resource,$F89,'Critical resources (hide)'!AH$6:AH$105)&gt;0,$E$1=2),0,1),0)</f>
        <v>1</v>
      </c>
      <c r="V89" s="67">
        <f ca="1">IF(LOWER(Capacity!$L101)="x",IF(AND(SUMIF(Capacity_Resource,$D89,'Critical resources (hide)'!AI$6:AI$105)+SUMIF(Capacity_Resource,$E89,'Critical resources (hide)'!AI$6:AI$105)+SUMIF(Capacity_Resource,$F89,'Critical resources (hide)'!AI$6:AI$105)&gt;0,$E$1=2),0,1),0)</f>
        <v>1</v>
      </c>
      <c r="W89" s="67">
        <f ca="1">IF(LOWER(Capacity!$L101)="x",IF(AND(SUMIF(Capacity_Resource,$D89,'Critical resources (hide)'!AJ$6:AJ$105)+SUMIF(Capacity_Resource,$E89,'Critical resources (hide)'!AJ$6:AJ$105)+SUMIF(Capacity_Resource,$F89,'Critical resources (hide)'!AJ$6:AJ$105)&gt;0,$E$1=2),0,1),0)</f>
        <v>1</v>
      </c>
      <c r="X89" s="67">
        <f ca="1">IF(LOWER(Capacity!$L101)="x",IF(AND(SUMIF(Capacity_Resource,$D89,'Critical resources (hide)'!AK$6:AK$105)+SUMIF(Capacity_Resource,$E89,'Critical resources (hide)'!AK$6:AK$105)+SUMIF(Capacity_Resource,$F89,'Critical resources (hide)'!AK$6:AK$105)&gt;0,$E$1=2),0,1),0)</f>
        <v>1</v>
      </c>
      <c r="Y89" s="67">
        <f ca="1">IF(LOWER(Capacity!$L101)="x",IF(AND(SUMIF(Capacity_Resource,$D89,'Critical resources (hide)'!AL$6:AL$105)+SUMIF(Capacity_Resource,$E89,'Critical resources (hide)'!AL$6:AL$105)+SUMIF(Capacity_Resource,$F89,'Critical resources (hide)'!AL$6:AL$105)&gt;0,$E$1=2),0,1),0)</f>
        <v>1</v>
      </c>
      <c r="Z89" s="67">
        <f ca="1">IF(LOWER(Capacity!$L101)="x",IF(AND(SUMIF(Capacity_Resource,$D89,'Critical resources (hide)'!AM$6:AM$105)+SUMIF(Capacity_Resource,$E89,'Critical resources (hide)'!AM$6:AM$105)+SUMIF(Capacity_Resource,$F89,'Critical resources (hide)'!AM$6:AM$105)&gt;0,$E$1=2),0,1),0)</f>
        <v>1</v>
      </c>
      <c r="AA89" s="67">
        <f ca="1">IF(LOWER(Capacity!$L101)="x",IF(AND(SUMIF(Capacity_Resource,$D89,'Critical resources (hide)'!AN$6:AN$105)+SUMIF(Capacity_Resource,$E89,'Critical resources (hide)'!AN$6:AN$105)+SUMIF(Capacity_Resource,$F89,'Critical resources (hide)'!AN$6:AN$105)&gt;0,$E$1=2),0,1),0)</f>
        <v>1</v>
      </c>
      <c r="AB89" s="67">
        <f ca="1">IF(LOWER(Capacity!$L101)="x",IF(AND(SUMIF(Capacity_Resource,$D89,'Critical resources (hide)'!AO$6:AO$105)+SUMIF(Capacity_Resource,$E89,'Critical resources (hide)'!AO$6:AO$105)+SUMIF(Capacity_Resource,$F89,'Critical resources (hide)'!AO$6:AO$105)&gt;0,$E$1=2),0,1),0)</f>
        <v>1</v>
      </c>
      <c r="AC89" s="67">
        <f ca="1">IF(LOWER(Capacity!$L101)="x",IF(AND(SUMIF(Capacity_Resource,$D89,'Critical resources (hide)'!AP$6:AP$105)+SUMIF(Capacity_Resource,$E89,'Critical resources (hide)'!AP$6:AP$105)+SUMIF(Capacity_Resource,$F89,'Critical resources (hide)'!AP$6:AP$105)&gt;0,$E$1=2),0,1),0)</f>
        <v>1</v>
      </c>
      <c r="AD89" s="67">
        <f ca="1">IF(LOWER(Capacity!$L101)="x",IF(AND(SUMIF(Capacity_Resource,$D89,'Critical resources (hide)'!AQ$6:AQ$105)+SUMIF(Capacity_Resource,$E89,'Critical resources (hide)'!AQ$6:AQ$105)+SUMIF(Capacity_Resource,$F89,'Critical resources (hide)'!AQ$6:AQ$105)&gt;0,$E$1=2),0,1),0)</f>
        <v>1</v>
      </c>
      <c r="AE89" s="67">
        <f ca="1">IF(LOWER(Capacity!$L101)="x",IF(AND(SUMIF(Capacity_Resource,$D89,'Critical resources (hide)'!AR$6:AR$105)+SUMIF(Capacity_Resource,$E89,'Critical resources (hide)'!AR$6:AR$105)+SUMIF(Capacity_Resource,$F89,'Critical resources (hide)'!AR$6:AR$105)&gt;0,$E$1=2),0,1),0)</f>
        <v>1</v>
      </c>
      <c r="AF89" s="67">
        <f ca="1">IF(LOWER(Capacity!$L101)="x",IF(AND(SUMIF(Capacity_Resource,$D89,'Critical resources (hide)'!AS$6:AS$105)+SUMIF(Capacity_Resource,$E89,'Critical resources (hide)'!AS$6:AS$105)+SUMIF(Capacity_Resource,$F89,'Critical resources (hide)'!AS$6:AS$105)&gt;0,$E$1=2),0,1),0)</f>
        <v>1</v>
      </c>
      <c r="AG89" s="67">
        <f ca="1">IF(LOWER(Capacity!$L101)="x",IF(AND(SUMIF(Capacity_Resource,$D89,'Critical resources (hide)'!AT$6:AT$105)+SUMIF(Capacity_Resource,$E89,'Critical resources (hide)'!AT$6:AT$105)+SUMIF(Capacity_Resource,$F89,'Critical resources (hide)'!AT$6:AT$105)&gt;0,$E$1=2),0,1),0)</f>
        <v>1</v>
      </c>
      <c r="AH89" s="67">
        <f ca="1">IF(LOWER(Capacity!$L101)="x",IF(AND(SUMIF(Capacity_Resource,$D89,'Critical resources (hide)'!AU$6:AU$105)+SUMIF(Capacity_Resource,$E89,'Critical resources (hide)'!AU$6:AU$105)+SUMIF(Capacity_Resource,$F89,'Critical resources (hide)'!AU$6:AU$105)&gt;0,$E$1=2),0,1),0)</f>
        <v>1</v>
      </c>
      <c r="AI89" s="67">
        <f ca="1">IF(LOWER(Capacity!$L101)="x",IF(AND(SUMIF(Capacity_Resource,$D89,'Critical resources (hide)'!AV$6:AV$105)+SUMIF(Capacity_Resource,$E89,'Critical resources (hide)'!AV$6:AV$105)+SUMIF(Capacity_Resource,$F89,'Critical resources (hide)'!AV$6:AV$105)&gt;0,$E$1=2),0,1),0)</f>
        <v>1</v>
      </c>
      <c r="AJ89" s="67">
        <f ca="1">IF(LOWER(Capacity!$L101)="x",IF(AND(SUMIF(Capacity_Resource,$D89,'Critical resources (hide)'!AW$6:AW$105)+SUMIF(Capacity_Resource,$E89,'Critical resources (hide)'!AW$6:AW$105)+SUMIF(Capacity_Resource,$F89,'Critical resources (hide)'!AW$6:AW$105)&gt;0,$E$1=2),0,1),0)</f>
        <v>1</v>
      </c>
      <c r="AK89" s="67">
        <f ca="1">IF(LOWER(Capacity!$L101)="x",IF(AND(SUMIF(Capacity_Resource,$D89,'Critical resources (hide)'!AX$6:AX$105)+SUMIF(Capacity_Resource,$E89,'Critical resources (hide)'!AX$6:AX$105)+SUMIF(Capacity_Resource,$F89,'Critical resources (hide)'!AX$6:AX$105)&gt;0,$E$1=2),0,1),0)</f>
        <v>1</v>
      </c>
      <c r="AL89" s="67">
        <f ca="1">IF(LOWER(Capacity!$L101)="x",IF(AND(SUMIF(Capacity_Resource,$D89,'Critical resources (hide)'!AY$6:AY$105)+SUMIF(Capacity_Resource,$E89,'Critical resources (hide)'!AY$6:AY$105)+SUMIF(Capacity_Resource,$F89,'Critical resources (hide)'!AY$6:AY$105)&gt;0,$E$1=2),0,1),0)</f>
        <v>1</v>
      </c>
      <c r="AM89" s="67">
        <f ca="1">IF(LOWER(Capacity!$L101)="x",IF(AND(SUMIF(Capacity_Resource,$D89,'Critical resources (hide)'!AZ$6:AZ$105)+SUMIF(Capacity_Resource,$E89,'Critical resources (hide)'!AZ$6:AZ$105)+SUMIF(Capacity_Resource,$F89,'Critical resources (hide)'!AZ$6:AZ$105)&gt;0,$E$1=2),0,1),0)</f>
        <v>1</v>
      </c>
      <c r="AN89" s="67">
        <f ca="1">IF(LOWER(Capacity!$L101)="x",IF(AND(SUMIF(Capacity_Resource,$D89,'Critical resources (hide)'!BA$6:BA$105)+SUMIF(Capacity_Resource,$E89,'Critical resources (hide)'!BA$6:BA$105)+SUMIF(Capacity_Resource,$F89,'Critical resources (hide)'!BA$6:BA$105)&gt;0,$E$1=2),0,1),0)</f>
        <v>1</v>
      </c>
      <c r="AO89" s="67">
        <f ca="1">IF(LOWER(Capacity!$L101)="x",IF(AND(SUMIF(Capacity_Resource,$D89,'Critical resources (hide)'!BB$6:BB$105)+SUMIF(Capacity_Resource,$E89,'Critical resources (hide)'!BB$6:BB$105)+SUMIF(Capacity_Resource,$F89,'Critical resources (hide)'!BB$6:BB$105)&gt;0,$E$1=2),0,1),0)</f>
        <v>1</v>
      </c>
      <c r="AP89" s="67">
        <f ca="1">IF(LOWER(Capacity!$L101)="x",IF(AND(SUMIF(Capacity_Resource,$D89,'Critical resources (hide)'!BC$6:BC$105)+SUMIF(Capacity_Resource,$E89,'Critical resources (hide)'!BC$6:BC$105)+SUMIF(Capacity_Resource,$F89,'Critical resources (hide)'!BC$6:BC$105)&gt;0,$E$1=2),0,1),0)</f>
        <v>1</v>
      </c>
      <c r="AQ89" s="67">
        <f ca="1">IF(LOWER(Capacity!$L101)="x",IF(AND(SUMIF(Capacity_Resource,$D89,'Critical resources (hide)'!BD$6:BD$105)+SUMIF(Capacity_Resource,$E89,'Critical resources (hide)'!BD$6:BD$105)+SUMIF(Capacity_Resource,$F89,'Critical resources (hide)'!BD$6:BD$105)&gt;0,$E$1=2),0,1),0)</f>
        <v>1</v>
      </c>
      <c r="AR89" s="67">
        <f ca="1">IF(LOWER(Capacity!$L101)="x",IF(AND(SUMIF(Capacity_Resource,$D89,'Critical resources (hide)'!BE$6:BE$105)+SUMIF(Capacity_Resource,$E89,'Critical resources (hide)'!BE$6:BE$105)+SUMIF(Capacity_Resource,$F89,'Critical resources (hide)'!BE$6:BE$105)&gt;0,$E$1=2),0,1),0)</f>
        <v>1</v>
      </c>
      <c r="AS89" s="67">
        <f ca="1">IF(LOWER(Capacity!$L101)="x",IF(AND(SUMIF(Capacity_Resource,$D89,'Critical resources (hide)'!BF$6:BF$105)+SUMIF(Capacity_Resource,$E89,'Critical resources (hide)'!BF$6:BF$105)+SUMIF(Capacity_Resource,$F89,'Critical resources (hide)'!BF$6:BF$105)&gt;0,$E$1=2),0,1),0)</f>
        <v>1</v>
      </c>
      <c r="AT89" s="67">
        <f ca="1">IF(LOWER(Capacity!$L101)="x",IF(AND(SUMIF(Capacity_Resource,$D89,'Critical resources (hide)'!BG$6:BG$105)+SUMIF(Capacity_Resource,$E89,'Critical resources (hide)'!BG$6:BG$105)+SUMIF(Capacity_Resource,$F89,'Critical resources (hide)'!BG$6:BG$105)&gt;0,$E$1=2),0,1),0)</f>
        <v>1</v>
      </c>
      <c r="AU89" s="67">
        <f ca="1">IF(LOWER(Capacity!$L101)="x",IF(AND(SUMIF(Capacity_Resource,$D89,'Critical resources (hide)'!BH$6:BH$105)+SUMIF(Capacity_Resource,$E89,'Critical resources (hide)'!BH$6:BH$105)+SUMIF(Capacity_Resource,$F89,'Critical resources (hide)'!BH$6:BH$105)&gt;0,$E$1=2),0,1),0)</f>
        <v>1</v>
      </c>
      <c r="AV89" s="67">
        <f ca="1">IF(LOWER(Capacity!$L101)="x",IF(AND(SUMIF(Capacity_Resource,$D89,'Critical resources (hide)'!BI$6:BI$105)+SUMIF(Capacity_Resource,$E89,'Critical resources (hide)'!BI$6:BI$105)+SUMIF(Capacity_Resource,$F89,'Critical resources (hide)'!BI$6:BI$105)&gt;0,$E$1=2),0,1),0)</f>
        <v>1</v>
      </c>
      <c r="AW89" s="67">
        <f ca="1">IF(LOWER(Capacity!$L101)="x",IF(AND(SUMIF(Capacity_Resource,$D89,'Critical resources (hide)'!BJ$6:BJ$105)+SUMIF(Capacity_Resource,$E89,'Critical resources (hide)'!BJ$6:BJ$105)+SUMIF(Capacity_Resource,$F89,'Critical resources (hide)'!BJ$6:BJ$105)&gt;0,$E$1=2),0,1),0)</f>
        <v>1</v>
      </c>
      <c r="AX89" s="67">
        <f ca="1">IF(LOWER(Capacity!$L101)="x",IF(AND(SUMIF(Capacity_Resource,$D89,'Critical resources (hide)'!BK$6:BK$105)+SUMIF(Capacity_Resource,$E89,'Critical resources (hide)'!BK$6:BK$105)+SUMIF(Capacity_Resource,$F89,'Critical resources (hide)'!BK$6:BK$105)&gt;0,$E$1=2),0,1),0)</f>
        <v>1</v>
      </c>
      <c r="AY89" s="67">
        <f ca="1">IF(LOWER(Capacity!$L101)="x",IF(AND(SUMIF(Capacity_Resource,$D89,'Critical resources (hide)'!BL$6:BL$105)+SUMIF(Capacity_Resource,$E89,'Critical resources (hide)'!BL$6:BL$105)+SUMIF(Capacity_Resource,$F89,'Critical resources (hide)'!BL$6:BL$105)&gt;0,$E$1=2),0,1),0)</f>
        <v>1</v>
      </c>
      <c r="AZ89" s="67">
        <f ca="1">IF(LOWER(Capacity!$L101)="x",IF(AND(SUMIF(Capacity_Resource,$D89,'Critical resources (hide)'!BM$6:BM$105)+SUMIF(Capacity_Resource,$E89,'Critical resources (hide)'!BM$6:BM$105)+SUMIF(Capacity_Resource,$F89,'Critical resources (hide)'!BM$6:BM$105)&gt;0,$E$1=2),0,1),0)</f>
        <v>1</v>
      </c>
      <c r="BA89" s="67">
        <f ca="1">IF(LOWER(Capacity!$L101)="x",IF(AND(SUMIF(Capacity_Resource,$D89,'Critical resources (hide)'!BN$6:BN$105)+SUMIF(Capacity_Resource,$E89,'Critical resources (hide)'!BN$6:BN$105)+SUMIF(Capacity_Resource,$F89,'Critical resources (hide)'!BN$6:BN$105)&gt;0,$E$1=2),0,1),0)</f>
        <v>1</v>
      </c>
      <c r="BB89" s="67">
        <f ca="1">IF(LOWER(Capacity!$L101)="x",IF(AND(SUMIF(Capacity_Resource,$D89,'Critical resources (hide)'!BO$6:BO$105)+SUMIF(Capacity_Resource,$E89,'Critical resources (hide)'!BO$6:BO$105)+SUMIF(Capacity_Resource,$F89,'Critical resources (hide)'!BO$6:BO$105)&gt;0,$E$1=2),0,1),0)</f>
        <v>1</v>
      </c>
      <c r="BC89" s="67">
        <f ca="1">IF(LOWER(Capacity!$L101)="x",IF(AND(SUMIF(Capacity_Resource,$D89,'Critical resources (hide)'!BP$6:BP$105)+SUMIF(Capacity_Resource,$E89,'Critical resources (hide)'!BP$6:BP$105)+SUMIF(Capacity_Resource,$F89,'Critical resources (hide)'!BP$6:BP$105)&gt;0,$E$1=2),0,1),0)</f>
        <v>1</v>
      </c>
      <c r="BD89" s="67">
        <f ca="1">IF(LOWER(Capacity!$L101)="x",IF(AND(SUMIF(Capacity_Resource,$D89,'Critical resources (hide)'!BQ$6:BQ$105)+SUMIF(Capacity_Resource,$E89,'Critical resources (hide)'!BQ$6:BQ$105)+SUMIF(Capacity_Resource,$F89,'Critical resources (hide)'!BQ$6:BQ$105)&gt;0,$E$1=2),0,1),0)</f>
        <v>1</v>
      </c>
      <c r="BE89" s="67">
        <f ca="1">IF(LOWER(Capacity!$L101)="x",IF(AND(SUMIF(Capacity_Resource,$D89,'Critical resources (hide)'!BR$6:BR$105)+SUMIF(Capacity_Resource,$E89,'Critical resources (hide)'!BR$6:BR$105)+SUMIF(Capacity_Resource,$F89,'Critical resources (hide)'!BR$6:BR$105)&gt;0,$E$1=2),0,1),0)</f>
        <v>1</v>
      </c>
      <c r="BF89" s="67">
        <f ca="1">IF(LOWER(Capacity!$L101)="x",IF(AND(SUMIF(Capacity_Resource,$D89,'Critical resources (hide)'!BS$6:BS$105)+SUMIF(Capacity_Resource,$E89,'Critical resources (hide)'!BS$6:BS$105)+SUMIF(Capacity_Resource,$F89,'Critical resources (hide)'!BS$6:BS$105)&gt;0,$E$1=2),0,1),0)</f>
        <v>1</v>
      </c>
      <c r="BG89" s="67">
        <f ca="1">IF(LOWER(Capacity!$L101)="x",IF(AND(SUMIF(Capacity_Resource,$D89,'Critical resources (hide)'!BT$6:BT$105)+SUMIF(Capacity_Resource,$E89,'Critical resources (hide)'!BT$6:BT$105)+SUMIF(Capacity_Resource,$F89,'Critical resources (hide)'!BT$6:BT$105)&gt;0,$E$1=2),0,1),0)</f>
        <v>1</v>
      </c>
      <c r="BH89" s="67">
        <f>IF(ROW(C85)&lt;=Capacity!$A$16,IF('Capacity summary'!$D$14="No",SUM(H89:BG89),'Capacity summary'!$E208),0)</f>
        <v>0</v>
      </c>
      <c r="BI89" s="5" t="str">
        <f>IF(BH89&gt;0,IF(BH89&lt;Capacity!E101,Capacity!F101,Capacity!H101/'Capacity calculation (hide)'!BH89),"")</f>
        <v/>
      </c>
      <c r="BK89" s="311">
        <f>IF($BI89&lt;&gt;"",IF('Capacity summary'!$D$14="Yes",IF(COUNTBLANK('Capacity summary'!$H208:$BG208)&lt;52,IF('Capacity summary'!H208&lt;&gt;"",IF(LOWER('Capacity summary'!H208)="x",$BI89*H89,VALUE('Capacity summary'!H208)),0),H89*$BI89),H89*$BI89),0)</f>
        <v>0</v>
      </c>
      <c r="BL89" s="311">
        <f>IF($BI89&lt;&gt;"",IF('Capacity summary'!$D$14="Yes",IF(COUNTBLANK('Capacity summary'!$H208:$BG208)&lt;52,IF('Capacity summary'!I208&lt;&gt;"",IF(LOWER('Capacity summary'!I208)="x",$BI89*I89,VALUE('Capacity summary'!I208)),0),I89*$BI89),I89*$BI89),0)</f>
        <v>0</v>
      </c>
      <c r="BM89" s="311">
        <f>IF($BI89&lt;&gt;"",IF('Capacity summary'!$D$14="Yes",IF(COUNTBLANK('Capacity summary'!$H208:$BG208)&lt;52,IF('Capacity summary'!J208&lt;&gt;"",IF(LOWER('Capacity summary'!J208)="x",$BI89*J89,VALUE('Capacity summary'!J208)),0),J89*$BI89),J89*$BI89),0)</f>
        <v>0</v>
      </c>
      <c r="BN89" s="311">
        <f>IF($BI89&lt;&gt;"",IF('Capacity summary'!$D$14="Yes",IF(COUNTBLANK('Capacity summary'!$H208:$BG208)&lt;52,IF('Capacity summary'!K208&lt;&gt;"",IF(LOWER('Capacity summary'!K208)="x",$BI89*K89,VALUE('Capacity summary'!K208)),0),K89*$BI89),K89*$BI89),0)</f>
        <v>0</v>
      </c>
      <c r="BO89" s="311">
        <f>IF($BI89&lt;&gt;"",IF('Capacity summary'!$D$14="Yes",IF(COUNTBLANK('Capacity summary'!$H208:$BG208)&lt;52,IF('Capacity summary'!L208&lt;&gt;"",IF(LOWER('Capacity summary'!L208)="x",$BI89*L89,VALUE('Capacity summary'!L208)),0),L89*$BI89),L89*$BI89),0)</f>
        <v>0</v>
      </c>
      <c r="BP89" s="311">
        <f>IF($BI89&lt;&gt;"",IF('Capacity summary'!$D$14="Yes",IF(COUNTBLANK('Capacity summary'!$H208:$BG208)&lt;52,IF('Capacity summary'!M208&lt;&gt;"",IF(LOWER('Capacity summary'!M208)="x",$BI89*M89,VALUE('Capacity summary'!M208)),0),M89*$BI89),M89*$BI89),0)</f>
        <v>0</v>
      </c>
      <c r="BQ89" s="311">
        <f>IF($BI89&lt;&gt;"",IF('Capacity summary'!$D$14="Yes",IF(COUNTBLANK('Capacity summary'!$H208:$BG208)&lt;52,IF('Capacity summary'!N208&lt;&gt;"",IF(LOWER('Capacity summary'!N208)="x",$BI89*N89,VALUE('Capacity summary'!N208)),0),N89*$BI89),N89*$BI89),0)</f>
        <v>0</v>
      </c>
      <c r="BR89" s="311">
        <f>IF($BI89&lt;&gt;"",IF('Capacity summary'!$D$14="Yes",IF(COUNTBLANK('Capacity summary'!$H208:$BG208)&lt;52,IF('Capacity summary'!O208&lt;&gt;"",IF(LOWER('Capacity summary'!O208)="x",$BI89*O89,VALUE('Capacity summary'!O208)),0),O89*$BI89),O89*$BI89),0)</f>
        <v>0</v>
      </c>
      <c r="BS89" s="311">
        <f>IF($BI89&lt;&gt;"",IF('Capacity summary'!$D$14="Yes",IF(COUNTBLANK('Capacity summary'!$H208:$BG208)&lt;52,IF('Capacity summary'!P208&lt;&gt;"",IF(LOWER('Capacity summary'!P208)="x",$BI89*P89,VALUE('Capacity summary'!P208)),0),P89*$BI89),P89*$BI89),0)</f>
        <v>0</v>
      </c>
      <c r="BT89" s="311">
        <f>IF($BI89&lt;&gt;"",IF('Capacity summary'!$D$14="Yes",IF(COUNTBLANK('Capacity summary'!$H208:$BG208)&lt;52,IF('Capacity summary'!Q208&lt;&gt;"",IF(LOWER('Capacity summary'!Q208)="x",$BI89*Q89,VALUE('Capacity summary'!Q208)),0),Q89*$BI89),Q89*$BI89),0)</f>
        <v>0</v>
      </c>
      <c r="BU89" s="311">
        <f>IF($BI89&lt;&gt;"",IF('Capacity summary'!$D$14="Yes",IF(COUNTBLANK('Capacity summary'!$H208:$BG208)&lt;52,IF('Capacity summary'!R208&lt;&gt;"",IF(LOWER('Capacity summary'!R208)="x",$BI89*R89,VALUE('Capacity summary'!R208)),0),R89*$BI89),R89*$BI89),0)</f>
        <v>0</v>
      </c>
      <c r="BV89" s="311">
        <f>IF($BI89&lt;&gt;"",IF('Capacity summary'!$D$14="Yes",IF(COUNTBLANK('Capacity summary'!$H208:$BG208)&lt;52,IF('Capacity summary'!S208&lt;&gt;"",IF(LOWER('Capacity summary'!S208)="x",$BI89*S89,VALUE('Capacity summary'!S208)),0),S89*$BI89),S89*$BI89),0)</f>
        <v>0</v>
      </c>
      <c r="BW89" s="311">
        <f>IF($BI89&lt;&gt;"",IF('Capacity summary'!$D$14="Yes",IF(COUNTBLANK('Capacity summary'!$H208:$BG208)&lt;52,IF('Capacity summary'!T208&lt;&gt;"",IF(LOWER('Capacity summary'!T208)="x",$BI89*T89,VALUE('Capacity summary'!T208)),0),T89*$BI89),T89*$BI89),0)</f>
        <v>0</v>
      </c>
      <c r="BX89" s="311">
        <f>IF($BI89&lt;&gt;"",IF('Capacity summary'!$D$14="Yes",IF(COUNTBLANK('Capacity summary'!$H208:$BG208)&lt;52,IF('Capacity summary'!U208&lt;&gt;"",IF(LOWER('Capacity summary'!U208)="x",$BI89*U89,VALUE('Capacity summary'!U208)),0),U89*$BI89),U89*$BI89),0)</f>
        <v>0</v>
      </c>
      <c r="BY89" s="311">
        <f>IF($BI89&lt;&gt;"",IF('Capacity summary'!$D$14="Yes",IF(COUNTBLANK('Capacity summary'!$H208:$BG208)&lt;52,IF('Capacity summary'!V208&lt;&gt;"",IF(LOWER('Capacity summary'!V208)="x",$BI89*V89,VALUE('Capacity summary'!V208)),0),V89*$BI89),V89*$BI89),0)</f>
        <v>0</v>
      </c>
      <c r="BZ89" s="311">
        <f>IF($BI89&lt;&gt;"",IF('Capacity summary'!$D$14="Yes",IF(COUNTBLANK('Capacity summary'!$H208:$BG208)&lt;52,IF('Capacity summary'!W208&lt;&gt;"",IF(LOWER('Capacity summary'!W208)="x",$BI89*W89,VALUE('Capacity summary'!W208)),0),W89*$BI89),W89*$BI89),0)</f>
        <v>0</v>
      </c>
      <c r="CA89" s="311">
        <f>IF($BI89&lt;&gt;"",IF('Capacity summary'!$D$14="Yes",IF(COUNTBLANK('Capacity summary'!$H208:$BG208)&lt;52,IF('Capacity summary'!X208&lt;&gt;"",IF(LOWER('Capacity summary'!X208)="x",$BI89*X89,VALUE('Capacity summary'!X208)),0),X89*$BI89),X89*$BI89),0)</f>
        <v>0</v>
      </c>
      <c r="CB89" s="311">
        <f>IF($BI89&lt;&gt;"",IF('Capacity summary'!$D$14="Yes",IF(COUNTBLANK('Capacity summary'!$H208:$BG208)&lt;52,IF('Capacity summary'!Y208&lt;&gt;"",IF(LOWER('Capacity summary'!Y208)="x",$BI89*Y89,VALUE('Capacity summary'!Y208)),0),Y89*$BI89),Y89*$BI89),0)</f>
        <v>0</v>
      </c>
      <c r="CC89" s="311">
        <f>IF($BI89&lt;&gt;"",IF('Capacity summary'!$D$14="Yes",IF(COUNTBLANK('Capacity summary'!$H208:$BG208)&lt;52,IF('Capacity summary'!Z208&lt;&gt;"",IF(LOWER('Capacity summary'!Z208)="x",$BI89*Z89,VALUE('Capacity summary'!Z208)),0),Z89*$BI89),Z89*$BI89),0)</f>
        <v>0</v>
      </c>
      <c r="CD89" s="311">
        <f>IF($BI89&lt;&gt;"",IF('Capacity summary'!$D$14="Yes",IF(COUNTBLANK('Capacity summary'!$H208:$BG208)&lt;52,IF('Capacity summary'!AA208&lt;&gt;"",IF(LOWER('Capacity summary'!AA208)="x",$BI89*AA89,VALUE('Capacity summary'!AA208)),0),AA89*$BI89),AA89*$BI89),0)</f>
        <v>0</v>
      </c>
      <c r="CE89" s="311">
        <f>IF($BI89&lt;&gt;"",IF('Capacity summary'!$D$14="Yes",IF(COUNTBLANK('Capacity summary'!$H208:$BG208)&lt;52,IF('Capacity summary'!AB208&lt;&gt;"",IF(LOWER('Capacity summary'!AB208)="x",$BI89*AB89,VALUE('Capacity summary'!AB208)),0),AB89*$BI89),AB89*$BI89),0)</f>
        <v>0</v>
      </c>
      <c r="CF89" s="311">
        <f>IF($BI89&lt;&gt;"",IF('Capacity summary'!$D$14="Yes",IF(COUNTBLANK('Capacity summary'!$H208:$BG208)&lt;52,IF('Capacity summary'!AC208&lt;&gt;"",IF(LOWER('Capacity summary'!AC208)="x",$BI89*AC89,VALUE('Capacity summary'!AC208)),0),AC89*$BI89),AC89*$BI89),0)</f>
        <v>0</v>
      </c>
      <c r="CG89" s="311">
        <f>IF($BI89&lt;&gt;"",IF('Capacity summary'!$D$14="Yes",IF(COUNTBLANK('Capacity summary'!$H208:$BG208)&lt;52,IF('Capacity summary'!AD208&lt;&gt;"",IF(LOWER('Capacity summary'!AD208)="x",$BI89*AD89,VALUE('Capacity summary'!AD208)),0),AD89*$BI89),AD89*$BI89),0)</f>
        <v>0</v>
      </c>
      <c r="CH89" s="311">
        <f>IF($BI89&lt;&gt;"",IF('Capacity summary'!$D$14="Yes",IF(COUNTBLANK('Capacity summary'!$H208:$BG208)&lt;52,IF('Capacity summary'!AE208&lt;&gt;"",IF(LOWER('Capacity summary'!AE208)="x",$BI89*AE89,VALUE('Capacity summary'!AE208)),0),AE89*$BI89),AE89*$BI89),0)</f>
        <v>0</v>
      </c>
      <c r="CI89" s="311">
        <f>IF($BI89&lt;&gt;"",IF('Capacity summary'!$D$14="Yes",IF(COUNTBLANK('Capacity summary'!$H208:$BG208)&lt;52,IF('Capacity summary'!AF208&lt;&gt;"",IF(LOWER('Capacity summary'!AF208)="x",$BI89*AF89,VALUE('Capacity summary'!AF208)),0),AF89*$BI89),AF89*$BI89),0)</f>
        <v>0</v>
      </c>
      <c r="CJ89" s="311">
        <f>IF($BI89&lt;&gt;"",IF('Capacity summary'!$D$14="Yes",IF(COUNTBLANK('Capacity summary'!$H208:$BG208)&lt;52,IF('Capacity summary'!AG208&lt;&gt;"",IF(LOWER('Capacity summary'!AG208)="x",$BI89*AG89,VALUE('Capacity summary'!AG208)),0),AG89*$BI89),AG89*$BI89),0)</f>
        <v>0</v>
      </c>
      <c r="CK89" s="311">
        <f>IF($BI89&lt;&gt;"",IF('Capacity summary'!$D$14="Yes",IF(COUNTBLANK('Capacity summary'!$H208:$BG208)&lt;52,IF('Capacity summary'!AH208&lt;&gt;"",IF(LOWER('Capacity summary'!AH208)="x",$BI89*AH89,VALUE('Capacity summary'!AH208)),0),AH89*$BI89),AH89*$BI89),0)</f>
        <v>0</v>
      </c>
      <c r="CL89" s="311">
        <f>IF($BI89&lt;&gt;"",IF('Capacity summary'!$D$14="Yes",IF(COUNTBLANK('Capacity summary'!$H208:$BG208)&lt;52,IF('Capacity summary'!AI208&lt;&gt;"",IF(LOWER('Capacity summary'!AI208)="x",$BI89*AI89,VALUE('Capacity summary'!AI208)),0),AI89*$BI89),AI89*$BI89),0)</f>
        <v>0</v>
      </c>
      <c r="CM89" s="311">
        <f>IF($BI89&lt;&gt;"",IF('Capacity summary'!$D$14="Yes",IF(COUNTBLANK('Capacity summary'!$H208:$BG208)&lt;52,IF('Capacity summary'!AJ208&lt;&gt;"",IF(LOWER('Capacity summary'!AJ208)="x",$BI89*AJ89,VALUE('Capacity summary'!AJ208)),0),AJ89*$BI89),AJ89*$BI89),0)</f>
        <v>0</v>
      </c>
      <c r="CN89" s="311">
        <f>IF($BI89&lt;&gt;"",IF('Capacity summary'!$D$14="Yes",IF(COUNTBLANK('Capacity summary'!$H208:$BG208)&lt;52,IF('Capacity summary'!AK208&lt;&gt;"",IF(LOWER('Capacity summary'!AK208)="x",$BI89*AK89,VALUE('Capacity summary'!AK208)),0),AK89*$BI89),AK89*$BI89),0)</f>
        <v>0</v>
      </c>
      <c r="CO89" s="311">
        <f>IF($BI89&lt;&gt;"",IF('Capacity summary'!$D$14="Yes",IF(COUNTBLANK('Capacity summary'!$H208:$BG208)&lt;52,IF('Capacity summary'!AL208&lt;&gt;"",IF(LOWER('Capacity summary'!AL208)="x",$BI89*AL89,VALUE('Capacity summary'!AL208)),0),AL89*$BI89),AL89*$BI89),0)</f>
        <v>0</v>
      </c>
      <c r="CP89" s="311">
        <f>IF($BI89&lt;&gt;"",IF('Capacity summary'!$D$14="Yes",IF(COUNTBLANK('Capacity summary'!$H208:$BG208)&lt;52,IF('Capacity summary'!AM208&lt;&gt;"",IF(LOWER('Capacity summary'!AM208)="x",$BI89*AM89,VALUE('Capacity summary'!AM208)),0),AM89*$BI89),AM89*$BI89),0)</f>
        <v>0</v>
      </c>
      <c r="CQ89" s="311">
        <f>IF($BI89&lt;&gt;"",IF('Capacity summary'!$D$14="Yes",IF(COUNTBLANK('Capacity summary'!$H208:$BG208)&lt;52,IF('Capacity summary'!AN208&lt;&gt;"",IF(LOWER('Capacity summary'!AN208)="x",$BI89*AN89,VALUE('Capacity summary'!AN208)),0),AN89*$BI89),AN89*$BI89),0)</f>
        <v>0</v>
      </c>
      <c r="CR89" s="311">
        <f>IF($BI89&lt;&gt;"",IF('Capacity summary'!$D$14="Yes",IF(COUNTBLANK('Capacity summary'!$H208:$BG208)&lt;52,IF('Capacity summary'!AO208&lt;&gt;"",IF(LOWER('Capacity summary'!AO208)="x",$BI89*AO89,VALUE('Capacity summary'!AO208)),0),AO89*$BI89),AO89*$BI89),0)</f>
        <v>0</v>
      </c>
      <c r="CS89" s="311">
        <f>IF($BI89&lt;&gt;"",IF('Capacity summary'!$D$14="Yes",IF(COUNTBLANK('Capacity summary'!$H208:$BG208)&lt;52,IF('Capacity summary'!AP208&lt;&gt;"",IF(LOWER('Capacity summary'!AP208)="x",$BI89*AP89,VALUE('Capacity summary'!AP208)),0),AP89*$BI89),AP89*$BI89),0)</f>
        <v>0</v>
      </c>
      <c r="CT89" s="311">
        <f>IF($BI89&lt;&gt;"",IF('Capacity summary'!$D$14="Yes",IF(COUNTBLANK('Capacity summary'!$H208:$BG208)&lt;52,IF('Capacity summary'!AQ208&lt;&gt;"",IF(LOWER('Capacity summary'!AQ208)="x",$BI89*AQ89,VALUE('Capacity summary'!AQ208)),0),AQ89*$BI89),AQ89*$BI89),0)</f>
        <v>0</v>
      </c>
      <c r="CU89" s="311">
        <f>IF($BI89&lt;&gt;"",IF('Capacity summary'!$D$14="Yes",IF(COUNTBLANK('Capacity summary'!$H208:$BG208)&lt;52,IF('Capacity summary'!AR208&lt;&gt;"",IF(LOWER('Capacity summary'!AR208)="x",$BI89*AR89,VALUE('Capacity summary'!AR208)),0),AR89*$BI89),AR89*$BI89),0)</f>
        <v>0</v>
      </c>
      <c r="CV89" s="311">
        <f>IF($BI89&lt;&gt;"",IF('Capacity summary'!$D$14="Yes",IF(COUNTBLANK('Capacity summary'!$H208:$BG208)&lt;52,IF('Capacity summary'!AS208&lt;&gt;"",IF(LOWER('Capacity summary'!AS208)="x",$BI89*AS89,VALUE('Capacity summary'!AS208)),0),AS89*$BI89),AS89*$BI89),0)</f>
        <v>0</v>
      </c>
      <c r="CW89" s="311">
        <f>IF($BI89&lt;&gt;"",IF('Capacity summary'!$D$14="Yes",IF(COUNTBLANK('Capacity summary'!$H208:$BG208)&lt;52,IF('Capacity summary'!AT208&lt;&gt;"",IF(LOWER('Capacity summary'!AT208)="x",$BI89*AT89,VALUE('Capacity summary'!AT208)),0),AT89*$BI89),AT89*$BI89),0)</f>
        <v>0</v>
      </c>
      <c r="CX89" s="311">
        <f>IF($BI89&lt;&gt;"",IF('Capacity summary'!$D$14="Yes",IF(COUNTBLANK('Capacity summary'!$H208:$BG208)&lt;52,IF('Capacity summary'!AU208&lt;&gt;"",IF(LOWER('Capacity summary'!AU208)="x",$BI89*AU89,VALUE('Capacity summary'!AU208)),0),AU89*$BI89),AU89*$BI89),0)</f>
        <v>0</v>
      </c>
      <c r="CY89" s="311">
        <f>IF($BI89&lt;&gt;"",IF('Capacity summary'!$D$14="Yes",IF(COUNTBLANK('Capacity summary'!$H208:$BG208)&lt;52,IF('Capacity summary'!AV208&lt;&gt;"",IF(LOWER('Capacity summary'!AV208)="x",$BI89*AV89,VALUE('Capacity summary'!AV208)),0),AV89*$BI89),AV89*$BI89),0)</f>
        <v>0</v>
      </c>
      <c r="CZ89" s="311">
        <f>IF($BI89&lt;&gt;"",IF('Capacity summary'!$D$14="Yes",IF(COUNTBLANK('Capacity summary'!$H208:$BG208)&lt;52,IF('Capacity summary'!AW208&lt;&gt;"",IF(LOWER('Capacity summary'!AW208)="x",$BI89*AW89,VALUE('Capacity summary'!AW208)),0),AW89*$BI89),AW89*$BI89),0)</f>
        <v>0</v>
      </c>
      <c r="DA89" s="311">
        <f>IF($BI89&lt;&gt;"",IF('Capacity summary'!$D$14="Yes",IF(COUNTBLANK('Capacity summary'!$H208:$BG208)&lt;52,IF('Capacity summary'!AX208&lt;&gt;"",IF(LOWER('Capacity summary'!AX208)="x",$BI89*AX89,VALUE('Capacity summary'!AX208)),0),AX89*$BI89),AX89*$BI89),0)</f>
        <v>0</v>
      </c>
      <c r="DB89" s="311">
        <f>IF($BI89&lt;&gt;"",IF('Capacity summary'!$D$14="Yes",IF(COUNTBLANK('Capacity summary'!$H208:$BG208)&lt;52,IF('Capacity summary'!AY208&lt;&gt;"",IF(LOWER('Capacity summary'!AY208)="x",$BI89*AY89,VALUE('Capacity summary'!AY208)),0),AY89*$BI89),AY89*$BI89),0)</f>
        <v>0</v>
      </c>
      <c r="DC89" s="311">
        <f>IF($BI89&lt;&gt;"",IF('Capacity summary'!$D$14="Yes",IF(COUNTBLANK('Capacity summary'!$H208:$BG208)&lt;52,IF('Capacity summary'!AZ208&lt;&gt;"",IF(LOWER('Capacity summary'!AZ208)="x",$BI89*AZ89,VALUE('Capacity summary'!AZ208)),0),AZ89*$BI89),AZ89*$BI89),0)</f>
        <v>0</v>
      </c>
      <c r="DD89" s="311">
        <f>IF($BI89&lt;&gt;"",IF('Capacity summary'!$D$14="Yes",IF(COUNTBLANK('Capacity summary'!$H208:$BG208)&lt;52,IF('Capacity summary'!BA208&lt;&gt;"",IF(LOWER('Capacity summary'!BA208)="x",$BI89*BA89,VALUE('Capacity summary'!BA208)),0),BA89*$BI89),BA89*$BI89),0)</f>
        <v>0</v>
      </c>
      <c r="DE89" s="311">
        <f>IF($BI89&lt;&gt;"",IF('Capacity summary'!$D$14="Yes",IF(COUNTBLANK('Capacity summary'!$H208:$BG208)&lt;52,IF('Capacity summary'!BB208&lt;&gt;"",IF(LOWER('Capacity summary'!BB208)="x",$BI89*BB89,VALUE('Capacity summary'!BB208)),0),BB89*$BI89),BB89*$BI89),0)</f>
        <v>0</v>
      </c>
      <c r="DF89" s="311">
        <f>IF($BI89&lt;&gt;"",IF('Capacity summary'!$D$14="Yes",IF(COUNTBLANK('Capacity summary'!$H208:$BG208)&lt;52,IF('Capacity summary'!BC208&lt;&gt;"",IF(LOWER('Capacity summary'!BC208)="x",$BI89*BC89,VALUE('Capacity summary'!BC208)),0),BC89*$BI89),BC89*$BI89),0)</f>
        <v>0</v>
      </c>
      <c r="DG89" s="311">
        <f>IF($BI89&lt;&gt;"",IF('Capacity summary'!$D$14="Yes",IF(COUNTBLANK('Capacity summary'!$H208:$BG208)&lt;52,IF('Capacity summary'!BD208&lt;&gt;"",IF(LOWER('Capacity summary'!BD208)="x",$BI89*BD89,VALUE('Capacity summary'!BD208)),0),BD89*$BI89),BD89*$BI89),0)</f>
        <v>0</v>
      </c>
      <c r="DH89" s="311">
        <f>IF($BI89&lt;&gt;"",IF('Capacity summary'!$D$14="Yes",IF(COUNTBLANK('Capacity summary'!$H208:$BG208)&lt;52,IF('Capacity summary'!BE208&lt;&gt;"",IF(LOWER('Capacity summary'!BE208)="x",$BI89*BE89,VALUE('Capacity summary'!BE208)),0),BE89*$BI89),BE89*$BI89),0)</f>
        <v>0</v>
      </c>
      <c r="DI89" s="311">
        <f>IF($BI89&lt;&gt;"",IF('Capacity summary'!$D$14="Yes",IF(COUNTBLANK('Capacity summary'!$H208:$BG208)&lt;52,IF('Capacity summary'!BF208&lt;&gt;"",IF(LOWER('Capacity summary'!BF208)="x",$BI89*BF89,VALUE('Capacity summary'!BF208)),0),BF89*$BI89),BF89*$BI89),0)</f>
        <v>0</v>
      </c>
      <c r="DJ89" s="311">
        <f>IF($BI89&lt;&gt;"",IF('Capacity summary'!$D$14="Yes",IF(COUNTBLANK('Capacity summary'!$H208:$BG208)&lt;52,IF('Capacity summary'!BG208&lt;&gt;"",IF(LOWER('Capacity summary'!BG208)="x",$BI89*BG89,VALUE('Capacity summary'!BG208)),0),BG89*$BI89),BG89*$BI89),0)</f>
        <v>0</v>
      </c>
      <c r="DK89" s="391">
        <f t="shared" si="4"/>
        <v>0</v>
      </c>
      <c r="DL89" s="136">
        <f t="shared" si="5"/>
        <v>0</v>
      </c>
      <c r="DM89" s="311" t="str">
        <f>Capacity!H101</f>
        <v/>
      </c>
    </row>
    <row r="90" spans="1:117" x14ac:dyDescent="0.2">
      <c r="A90" s="67">
        <f>IF(Capacity!L102='Capacity summary'!BI209,1,0)</f>
        <v>1</v>
      </c>
      <c r="B90" s="67">
        <f>IF(Capacity!V102='Capacity summary'!BI109,1,0)</f>
        <v>1</v>
      </c>
      <c r="C90" s="67" t="str">
        <f>ROW(A86)&amp;". "&amp;Capacity!B102</f>
        <v xml:space="preserve">86. </v>
      </c>
      <c r="D90" s="67">
        <f>'Capacity setup'!C97</f>
        <v>0</v>
      </c>
      <c r="E90" s="67">
        <f>'Capacity setup'!D97</f>
        <v>0</v>
      </c>
      <c r="F90" s="67">
        <f>'Capacity setup'!E97</f>
        <v>0</v>
      </c>
      <c r="H90" s="67">
        <f ca="1">IF(LOWER(Capacity!$L102)="x",IF(AND(SUMIF(Capacity_Resource,$D90,'Critical resources (hide)'!U$6:U$105)+SUMIF(Capacity_Resource,$E90,'Critical resources (hide)'!U$6:U$105)+SUMIF(Capacity_Resource,$F90,'Critical resources (hide)'!U$6:U$105)&gt;0,$E$1=2),0,1),0)</f>
        <v>1</v>
      </c>
      <c r="I90" s="67">
        <f ca="1">IF(LOWER(Capacity!$L102)="x",IF(AND(SUMIF(Capacity_Resource,$D90,'Critical resources (hide)'!V$6:V$105)+SUMIF(Capacity_Resource,$E90,'Critical resources (hide)'!V$6:V$105)+SUMIF(Capacity_Resource,$F90,'Critical resources (hide)'!V$6:V$105)&gt;0,$E$1=2),0,1),0)</f>
        <v>1</v>
      </c>
      <c r="J90" s="67">
        <f ca="1">IF(LOWER(Capacity!$L102)="x",IF(AND(SUMIF(Capacity_Resource,$D90,'Critical resources (hide)'!W$6:W$105)+SUMIF(Capacity_Resource,$E90,'Critical resources (hide)'!W$6:W$105)+SUMIF(Capacity_Resource,$F90,'Critical resources (hide)'!W$6:W$105)&gt;0,$E$1=2),0,1),0)</f>
        <v>1</v>
      </c>
      <c r="K90" s="67">
        <f ca="1">IF(LOWER(Capacity!$L102)="x",IF(AND(SUMIF(Capacity_Resource,$D90,'Critical resources (hide)'!X$6:X$105)+SUMIF(Capacity_Resource,$E90,'Critical resources (hide)'!X$6:X$105)+SUMIF(Capacity_Resource,$F90,'Critical resources (hide)'!X$6:X$105)&gt;0,$E$1=2),0,1),0)</f>
        <v>1</v>
      </c>
      <c r="L90" s="67">
        <f ca="1">IF(LOWER(Capacity!$L102)="x",IF(AND(SUMIF(Capacity_Resource,$D90,'Critical resources (hide)'!Y$6:Y$105)+SUMIF(Capacity_Resource,$E90,'Critical resources (hide)'!Y$6:Y$105)+SUMIF(Capacity_Resource,$F90,'Critical resources (hide)'!Y$6:Y$105)&gt;0,$E$1=2),0,1),0)</f>
        <v>1</v>
      </c>
      <c r="M90" s="67">
        <f ca="1">IF(LOWER(Capacity!$L102)="x",IF(AND(SUMIF(Capacity_Resource,$D90,'Critical resources (hide)'!Z$6:Z$105)+SUMIF(Capacity_Resource,$E90,'Critical resources (hide)'!Z$6:Z$105)+SUMIF(Capacity_Resource,$F90,'Critical resources (hide)'!Z$6:Z$105)&gt;0,$E$1=2),0,1),0)</f>
        <v>1</v>
      </c>
      <c r="N90" s="67">
        <f ca="1">IF(LOWER(Capacity!$L102)="x",IF(AND(SUMIF(Capacity_Resource,$D90,'Critical resources (hide)'!AA$6:AA$105)+SUMIF(Capacity_Resource,$E90,'Critical resources (hide)'!AA$6:AA$105)+SUMIF(Capacity_Resource,$F90,'Critical resources (hide)'!AA$6:AA$105)&gt;0,$E$1=2),0,1),0)</f>
        <v>1</v>
      </c>
      <c r="O90" s="67">
        <f ca="1">IF(LOWER(Capacity!$L102)="x",IF(AND(SUMIF(Capacity_Resource,$D90,'Critical resources (hide)'!AB$6:AB$105)+SUMIF(Capacity_Resource,$E90,'Critical resources (hide)'!AB$6:AB$105)+SUMIF(Capacity_Resource,$F90,'Critical resources (hide)'!AB$6:AB$105)&gt;0,$E$1=2),0,1),0)</f>
        <v>1</v>
      </c>
      <c r="P90" s="67">
        <f ca="1">IF(LOWER(Capacity!$L102)="x",IF(AND(SUMIF(Capacity_Resource,$D90,'Critical resources (hide)'!AC$6:AC$105)+SUMIF(Capacity_Resource,$E90,'Critical resources (hide)'!AC$6:AC$105)+SUMIF(Capacity_Resource,$F90,'Critical resources (hide)'!AC$6:AC$105)&gt;0,$E$1=2),0,1),0)</f>
        <v>1</v>
      </c>
      <c r="Q90" s="67">
        <f ca="1">IF(LOWER(Capacity!$L102)="x",IF(AND(SUMIF(Capacity_Resource,$D90,'Critical resources (hide)'!AD$6:AD$105)+SUMIF(Capacity_Resource,$E90,'Critical resources (hide)'!AD$6:AD$105)+SUMIF(Capacity_Resource,$F90,'Critical resources (hide)'!AD$6:AD$105)&gt;0,$E$1=2),0,1),0)</f>
        <v>1</v>
      </c>
      <c r="R90" s="67">
        <f ca="1">IF(LOWER(Capacity!$L102)="x",IF(AND(SUMIF(Capacity_Resource,$D90,'Critical resources (hide)'!AE$6:AE$105)+SUMIF(Capacity_Resource,$E90,'Critical resources (hide)'!AE$6:AE$105)+SUMIF(Capacity_Resource,$F90,'Critical resources (hide)'!AE$6:AE$105)&gt;0,$E$1=2),0,1),0)</f>
        <v>1</v>
      </c>
      <c r="S90" s="67">
        <f ca="1">IF(LOWER(Capacity!$L102)="x",IF(AND(SUMIF(Capacity_Resource,$D90,'Critical resources (hide)'!AF$6:AF$105)+SUMIF(Capacity_Resource,$E90,'Critical resources (hide)'!AF$6:AF$105)+SUMIF(Capacity_Resource,$F90,'Critical resources (hide)'!AF$6:AF$105)&gt;0,$E$1=2),0,1),0)</f>
        <v>1</v>
      </c>
      <c r="T90" s="67">
        <f ca="1">IF(LOWER(Capacity!$L102)="x",IF(AND(SUMIF(Capacity_Resource,$D90,'Critical resources (hide)'!AG$6:AG$105)+SUMIF(Capacity_Resource,$E90,'Critical resources (hide)'!AG$6:AG$105)+SUMIF(Capacity_Resource,$F90,'Critical resources (hide)'!AG$6:AG$105)&gt;0,$E$1=2),0,1),0)</f>
        <v>1</v>
      </c>
      <c r="U90" s="67">
        <f ca="1">IF(LOWER(Capacity!$L102)="x",IF(AND(SUMIF(Capacity_Resource,$D90,'Critical resources (hide)'!AH$6:AH$105)+SUMIF(Capacity_Resource,$E90,'Critical resources (hide)'!AH$6:AH$105)+SUMIF(Capacity_Resource,$F90,'Critical resources (hide)'!AH$6:AH$105)&gt;0,$E$1=2),0,1),0)</f>
        <v>1</v>
      </c>
      <c r="V90" s="67">
        <f ca="1">IF(LOWER(Capacity!$L102)="x",IF(AND(SUMIF(Capacity_Resource,$D90,'Critical resources (hide)'!AI$6:AI$105)+SUMIF(Capacity_Resource,$E90,'Critical resources (hide)'!AI$6:AI$105)+SUMIF(Capacity_Resource,$F90,'Critical resources (hide)'!AI$6:AI$105)&gt;0,$E$1=2),0,1),0)</f>
        <v>1</v>
      </c>
      <c r="W90" s="67">
        <f ca="1">IF(LOWER(Capacity!$L102)="x",IF(AND(SUMIF(Capacity_Resource,$D90,'Critical resources (hide)'!AJ$6:AJ$105)+SUMIF(Capacity_Resource,$E90,'Critical resources (hide)'!AJ$6:AJ$105)+SUMIF(Capacity_Resource,$F90,'Critical resources (hide)'!AJ$6:AJ$105)&gt;0,$E$1=2),0,1),0)</f>
        <v>1</v>
      </c>
      <c r="X90" s="67">
        <f ca="1">IF(LOWER(Capacity!$L102)="x",IF(AND(SUMIF(Capacity_Resource,$D90,'Critical resources (hide)'!AK$6:AK$105)+SUMIF(Capacity_Resource,$E90,'Critical resources (hide)'!AK$6:AK$105)+SUMIF(Capacity_Resource,$F90,'Critical resources (hide)'!AK$6:AK$105)&gt;0,$E$1=2),0,1),0)</f>
        <v>1</v>
      </c>
      <c r="Y90" s="67">
        <f ca="1">IF(LOWER(Capacity!$L102)="x",IF(AND(SUMIF(Capacity_Resource,$D90,'Critical resources (hide)'!AL$6:AL$105)+SUMIF(Capacity_Resource,$E90,'Critical resources (hide)'!AL$6:AL$105)+SUMIF(Capacity_Resource,$F90,'Critical resources (hide)'!AL$6:AL$105)&gt;0,$E$1=2),0,1),0)</f>
        <v>1</v>
      </c>
      <c r="Z90" s="67">
        <f ca="1">IF(LOWER(Capacity!$L102)="x",IF(AND(SUMIF(Capacity_Resource,$D90,'Critical resources (hide)'!AM$6:AM$105)+SUMIF(Capacity_Resource,$E90,'Critical resources (hide)'!AM$6:AM$105)+SUMIF(Capacity_Resource,$F90,'Critical resources (hide)'!AM$6:AM$105)&gt;0,$E$1=2),0,1),0)</f>
        <v>1</v>
      </c>
      <c r="AA90" s="67">
        <f ca="1">IF(LOWER(Capacity!$L102)="x",IF(AND(SUMIF(Capacity_Resource,$D90,'Critical resources (hide)'!AN$6:AN$105)+SUMIF(Capacity_Resource,$E90,'Critical resources (hide)'!AN$6:AN$105)+SUMIF(Capacity_Resource,$F90,'Critical resources (hide)'!AN$6:AN$105)&gt;0,$E$1=2),0,1),0)</f>
        <v>1</v>
      </c>
      <c r="AB90" s="67">
        <f ca="1">IF(LOWER(Capacity!$L102)="x",IF(AND(SUMIF(Capacity_Resource,$D90,'Critical resources (hide)'!AO$6:AO$105)+SUMIF(Capacity_Resource,$E90,'Critical resources (hide)'!AO$6:AO$105)+SUMIF(Capacity_Resource,$F90,'Critical resources (hide)'!AO$6:AO$105)&gt;0,$E$1=2),0,1),0)</f>
        <v>1</v>
      </c>
      <c r="AC90" s="67">
        <f ca="1">IF(LOWER(Capacity!$L102)="x",IF(AND(SUMIF(Capacity_Resource,$D90,'Critical resources (hide)'!AP$6:AP$105)+SUMIF(Capacity_Resource,$E90,'Critical resources (hide)'!AP$6:AP$105)+SUMIF(Capacity_Resource,$F90,'Critical resources (hide)'!AP$6:AP$105)&gt;0,$E$1=2),0,1),0)</f>
        <v>1</v>
      </c>
      <c r="AD90" s="67">
        <f ca="1">IF(LOWER(Capacity!$L102)="x",IF(AND(SUMIF(Capacity_Resource,$D90,'Critical resources (hide)'!AQ$6:AQ$105)+SUMIF(Capacity_Resource,$E90,'Critical resources (hide)'!AQ$6:AQ$105)+SUMIF(Capacity_Resource,$F90,'Critical resources (hide)'!AQ$6:AQ$105)&gt;0,$E$1=2),0,1),0)</f>
        <v>1</v>
      </c>
      <c r="AE90" s="67">
        <f ca="1">IF(LOWER(Capacity!$L102)="x",IF(AND(SUMIF(Capacity_Resource,$D90,'Critical resources (hide)'!AR$6:AR$105)+SUMIF(Capacity_Resource,$E90,'Critical resources (hide)'!AR$6:AR$105)+SUMIF(Capacity_Resource,$F90,'Critical resources (hide)'!AR$6:AR$105)&gt;0,$E$1=2),0,1),0)</f>
        <v>1</v>
      </c>
      <c r="AF90" s="67">
        <f ca="1">IF(LOWER(Capacity!$L102)="x",IF(AND(SUMIF(Capacity_Resource,$D90,'Critical resources (hide)'!AS$6:AS$105)+SUMIF(Capacity_Resource,$E90,'Critical resources (hide)'!AS$6:AS$105)+SUMIF(Capacity_Resource,$F90,'Critical resources (hide)'!AS$6:AS$105)&gt;0,$E$1=2),0,1),0)</f>
        <v>1</v>
      </c>
      <c r="AG90" s="67">
        <f ca="1">IF(LOWER(Capacity!$L102)="x",IF(AND(SUMIF(Capacity_Resource,$D90,'Critical resources (hide)'!AT$6:AT$105)+SUMIF(Capacity_Resource,$E90,'Critical resources (hide)'!AT$6:AT$105)+SUMIF(Capacity_Resource,$F90,'Critical resources (hide)'!AT$6:AT$105)&gt;0,$E$1=2),0,1),0)</f>
        <v>1</v>
      </c>
      <c r="AH90" s="67">
        <f ca="1">IF(LOWER(Capacity!$L102)="x",IF(AND(SUMIF(Capacity_Resource,$D90,'Critical resources (hide)'!AU$6:AU$105)+SUMIF(Capacity_Resource,$E90,'Critical resources (hide)'!AU$6:AU$105)+SUMIF(Capacity_Resource,$F90,'Critical resources (hide)'!AU$6:AU$105)&gt;0,$E$1=2),0,1),0)</f>
        <v>1</v>
      </c>
      <c r="AI90" s="67">
        <f ca="1">IF(LOWER(Capacity!$L102)="x",IF(AND(SUMIF(Capacity_Resource,$D90,'Critical resources (hide)'!AV$6:AV$105)+SUMIF(Capacity_Resource,$E90,'Critical resources (hide)'!AV$6:AV$105)+SUMIF(Capacity_Resource,$F90,'Critical resources (hide)'!AV$6:AV$105)&gt;0,$E$1=2),0,1),0)</f>
        <v>1</v>
      </c>
      <c r="AJ90" s="67">
        <f ca="1">IF(LOWER(Capacity!$L102)="x",IF(AND(SUMIF(Capacity_Resource,$D90,'Critical resources (hide)'!AW$6:AW$105)+SUMIF(Capacity_Resource,$E90,'Critical resources (hide)'!AW$6:AW$105)+SUMIF(Capacity_Resource,$F90,'Critical resources (hide)'!AW$6:AW$105)&gt;0,$E$1=2),0,1),0)</f>
        <v>1</v>
      </c>
      <c r="AK90" s="67">
        <f ca="1">IF(LOWER(Capacity!$L102)="x",IF(AND(SUMIF(Capacity_Resource,$D90,'Critical resources (hide)'!AX$6:AX$105)+SUMIF(Capacity_Resource,$E90,'Critical resources (hide)'!AX$6:AX$105)+SUMIF(Capacity_Resource,$F90,'Critical resources (hide)'!AX$6:AX$105)&gt;0,$E$1=2),0,1),0)</f>
        <v>1</v>
      </c>
      <c r="AL90" s="67">
        <f ca="1">IF(LOWER(Capacity!$L102)="x",IF(AND(SUMIF(Capacity_Resource,$D90,'Critical resources (hide)'!AY$6:AY$105)+SUMIF(Capacity_Resource,$E90,'Critical resources (hide)'!AY$6:AY$105)+SUMIF(Capacity_Resource,$F90,'Critical resources (hide)'!AY$6:AY$105)&gt;0,$E$1=2),0,1),0)</f>
        <v>1</v>
      </c>
      <c r="AM90" s="67">
        <f ca="1">IF(LOWER(Capacity!$L102)="x",IF(AND(SUMIF(Capacity_Resource,$D90,'Critical resources (hide)'!AZ$6:AZ$105)+SUMIF(Capacity_Resource,$E90,'Critical resources (hide)'!AZ$6:AZ$105)+SUMIF(Capacity_Resource,$F90,'Critical resources (hide)'!AZ$6:AZ$105)&gt;0,$E$1=2),0,1),0)</f>
        <v>1</v>
      </c>
      <c r="AN90" s="67">
        <f ca="1">IF(LOWER(Capacity!$L102)="x",IF(AND(SUMIF(Capacity_Resource,$D90,'Critical resources (hide)'!BA$6:BA$105)+SUMIF(Capacity_Resource,$E90,'Critical resources (hide)'!BA$6:BA$105)+SUMIF(Capacity_Resource,$F90,'Critical resources (hide)'!BA$6:BA$105)&gt;0,$E$1=2),0,1),0)</f>
        <v>1</v>
      </c>
      <c r="AO90" s="67">
        <f ca="1">IF(LOWER(Capacity!$L102)="x",IF(AND(SUMIF(Capacity_Resource,$D90,'Critical resources (hide)'!BB$6:BB$105)+SUMIF(Capacity_Resource,$E90,'Critical resources (hide)'!BB$6:BB$105)+SUMIF(Capacity_Resource,$F90,'Critical resources (hide)'!BB$6:BB$105)&gt;0,$E$1=2),0,1),0)</f>
        <v>1</v>
      </c>
      <c r="AP90" s="67">
        <f ca="1">IF(LOWER(Capacity!$L102)="x",IF(AND(SUMIF(Capacity_Resource,$D90,'Critical resources (hide)'!BC$6:BC$105)+SUMIF(Capacity_Resource,$E90,'Critical resources (hide)'!BC$6:BC$105)+SUMIF(Capacity_Resource,$F90,'Critical resources (hide)'!BC$6:BC$105)&gt;0,$E$1=2),0,1),0)</f>
        <v>1</v>
      </c>
      <c r="AQ90" s="67">
        <f ca="1">IF(LOWER(Capacity!$L102)="x",IF(AND(SUMIF(Capacity_Resource,$D90,'Critical resources (hide)'!BD$6:BD$105)+SUMIF(Capacity_Resource,$E90,'Critical resources (hide)'!BD$6:BD$105)+SUMIF(Capacity_Resource,$F90,'Critical resources (hide)'!BD$6:BD$105)&gt;0,$E$1=2),0,1),0)</f>
        <v>1</v>
      </c>
      <c r="AR90" s="67">
        <f ca="1">IF(LOWER(Capacity!$L102)="x",IF(AND(SUMIF(Capacity_Resource,$D90,'Critical resources (hide)'!BE$6:BE$105)+SUMIF(Capacity_Resource,$E90,'Critical resources (hide)'!BE$6:BE$105)+SUMIF(Capacity_Resource,$F90,'Critical resources (hide)'!BE$6:BE$105)&gt;0,$E$1=2),0,1),0)</f>
        <v>1</v>
      </c>
      <c r="AS90" s="67">
        <f ca="1">IF(LOWER(Capacity!$L102)="x",IF(AND(SUMIF(Capacity_Resource,$D90,'Critical resources (hide)'!BF$6:BF$105)+SUMIF(Capacity_Resource,$E90,'Critical resources (hide)'!BF$6:BF$105)+SUMIF(Capacity_Resource,$F90,'Critical resources (hide)'!BF$6:BF$105)&gt;0,$E$1=2),0,1),0)</f>
        <v>1</v>
      </c>
      <c r="AT90" s="67">
        <f ca="1">IF(LOWER(Capacity!$L102)="x",IF(AND(SUMIF(Capacity_Resource,$D90,'Critical resources (hide)'!BG$6:BG$105)+SUMIF(Capacity_Resource,$E90,'Critical resources (hide)'!BG$6:BG$105)+SUMIF(Capacity_Resource,$F90,'Critical resources (hide)'!BG$6:BG$105)&gt;0,$E$1=2),0,1),0)</f>
        <v>1</v>
      </c>
      <c r="AU90" s="67">
        <f ca="1">IF(LOWER(Capacity!$L102)="x",IF(AND(SUMIF(Capacity_Resource,$D90,'Critical resources (hide)'!BH$6:BH$105)+SUMIF(Capacity_Resource,$E90,'Critical resources (hide)'!BH$6:BH$105)+SUMIF(Capacity_Resource,$F90,'Critical resources (hide)'!BH$6:BH$105)&gt;0,$E$1=2),0,1),0)</f>
        <v>1</v>
      </c>
      <c r="AV90" s="67">
        <f ca="1">IF(LOWER(Capacity!$L102)="x",IF(AND(SUMIF(Capacity_Resource,$D90,'Critical resources (hide)'!BI$6:BI$105)+SUMIF(Capacity_Resource,$E90,'Critical resources (hide)'!BI$6:BI$105)+SUMIF(Capacity_Resource,$F90,'Critical resources (hide)'!BI$6:BI$105)&gt;0,$E$1=2),0,1),0)</f>
        <v>1</v>
      </c>
      <c r="AW90" s="67">
        <f ca="1">IF(LOWER(Capacity!$L102)="x",IF(AND(SUMIF(Capacity_Resource,$D90,'Critical resources (hide)'!BJ$6:BJ$105)+SUMIF(Capacity_Resource,$E90,'Critical resources (hide)'!BJ$6:BJ$105)+SUMIF(Capacity_Resource,$F90,'Critical resources (hide)'!BJ$6:BJ$105)&gt;0,$E$1=2),0,1),0)</f>
        <v>1</v>
      </c>
      <c r="AX90" s="67">
        <f ca="1">IF(LOWER(Capacity!$L102)="x",IF(AND(SUMIF(Capacity_Resource,$D90,'Critical resources (hide)'!BK$6:BK$105)+SUMIF(Capacity_Resource,$E90,'Critical resources (hide)'!BK$6:BK$105)+SUMIF(Capacity_Resource,$F90,'Critical resources (hide)'!BK$6:BK$105)&gt;0,$E$1=2),0,1),0)</f>
        <v>1</v>
      </c>
      <c r="AY90" s="67">
        <f ca="1">IF(LOWER(Capacity!$L102)="x",IF(AND(SUMIF(Capacity_Resource,$D90,'Critical resources (hide)'!BL$6:BL$105)+SUMIF(Capacity_Resource,$E90,'Critical resources (hide)'!BL$6:BL$105)+SUMIF(Capacity_Resource,$F90,'Critical resources (hide)'!BL$6:BL$105)&gt;0,$E$1=2),0,1),0)</f>
        <v>1</v>
      </c>
      <c r="AZ90" s="67">
        <f ca="1">IF(LOWER(Capacity!$L102)="x",IF(AND(SUMIF(Capacity_Resource,$D90,'Critical resources (hide)'!BM$6:BM$105)+SUMIF(Capacity_Resource,$E90,'Critical resources (hide)'!BM$6:BM$105)+SUMIF(Capacity_Resource,$F90,'Critical resources (hide)'!BM$6:BM$105)&gt;0,$E$1=2),0,1),0)</f>
        <v>1</v>
      </c>
      <c r="BA90" s="67">
        <f ca="1">IF(LOWER(Capacity!$L102)="x",IF(AND(SUMIF(Capacity_Resource,$D90,'Critical resources (hide)'!BN$6:BN$105)+SUMIF(Capacity_Resource,$E90,'Critical resources (hide)'!BN$6:BN$105)+SUMIF(Capacity_Resource,$F90,'Critical resources (hide)'!BN$6:BN$105)&gt;0,$E$1=2),0,1),0)</f>
        <v>1</v>
      </c>
      <c r="BB90" s="67">
        <f ca="1">IF(LOWER(Capacity!$L102)="x",IF(AND(SUMIF(Capacity_Resource,$D90,'Critical resources (hide)'!BO$6:BO$105)+SUMIF(Capacity_Resource,$E90,'Critical resources (hide)'!BO$6:BO$105)+SUMIF(Capacity_Resource,$F90,'Critical resources (hide)'!BO$6:BO$105)&gt;0,$E$1=2),0,1),0)</f>
        <v>1</v>
      </c>
      <c r="BC90" s="67">
        <f ca="1">IF(LOWER(Capacity!$L102)="x",IF(AND(SUMIF(Capacity_Resource,$D90,'Critical resources (hide)'!BP$6:BP$105)+SUMIF(Capacity_Resource,$E90,'Critical resources (hide)'!BP$6:BP$105)+SUMIF(Capacity_Resource,$F90,'Critical resources (hide)'!BP$6:BP$105)&gt;0,$E$1=2),0,1),0)</f>
        <v>1</v>
      </c>
      <c r="BD90" s="67">
        <f ca="1">IF(LOWER(Capacity!$L102)="x",IF(AND(SUMIF(Capacity_Resource,$D90,'Critical resources (hide)'!BQ$6:BQ$105)+SUMIF(Capacity_Resource,$E90,'Critical resources (hide)'!BQ$6:BQ$105)+SUMIF(Capacity_Resource,$F90,'Critical resources (hide)'!BQ$6:BQ$105)&gt;0,$E$1=2),0,1),0)</f>
        <v>1</v>
      </c>
      <c r="BE90" s="67">
        <f ca="1">IF(LOWER(Capacity!$L102)="x",IF(AND(SUMIF(Capacity_Resource,$D90,'Critical resources (hide)'!BR$6:BR$105)+SUMIF(Capacity_Resource,$E90,'Critical resources (hide)'!BR$6:BR$105)+SUMIF(Capacity_Resource,$F90,'Critical resources (hide)'!BR$6:BR$105)&gt;0,$E$1=2),0,1),0)</f>
        <v>1</v>
      </c>
      <c r="BF90" s="67">
        <f ca="1">IF(LOWER(Capacity!$L102)="x",IF(AND(SUMIF(Capacity_Resource,$D90,'Critical resources (hide)'!BS$6:BS$105)+SUMIF(Capacity_Resource,$E90,'Critical resources (hide)'!BS$6:BS$105)+SUMIF(Capacity_Resource,$F90,'Critical resources (hide)'!BS$6:BS$105)&gt;0,$E$1=2),0,1),0)</f>
        <v>1</v>
      </c>
      <c r="BG90" s="67">
        <f ca="1">IF(LOWER(Capacity!$L102)="x",IF(AND(SUMIF(Capacity_Resource,$D90,'Critical resources (hide)'!BT$6:BT$105)+SUMIF(Capacity_Resource,$E90,'Critical resources (hide)'!BT$6:BT$105)+SUMIF(Capacity_Resource,$F90,'Critical resources (hide)'!BT$6:BT$105)&gt;0,$E$1=2),0,1),0)</f>
        <v>1</v>
      </c>
      <c r="BH90" s="67">
        <f>IF(ROW(C86)&lt;=Capacity!$A$16,IF('Capacity summary'!$D$14="No",SUM(H90:BG90),'Capacity summary'!$E209),0)</f>
        <v>0</v>
      </c>
      <c r="BI90" s="5" t="str">
        <f>IF(BH90&gt;0,IF(BH90&lt;Capacity!E102,Capacity!F102,Capacity!H102/'Capacity calculation (hide)'!BH90),"")</f>
        <v/>
      </c>
      <c r="BK90" s="311">
        <f>IF($BI90&lt;&gt;"",IF('Capacity summary'!$D$14="Yes",IF(COUNTBLANK('Capacity summary'!$H209:$BG209)&lt;52,IF('Capacity summary'!H209&lt;&gt;"",IF(LOWER('Capacity summary'!H209)="x",$BI90*H90,VALUE('Capacity summary'!H209)),0),H90*$BI90),H90*$BI90),0)</f>
        <v>0</v>
      </c>
      <c r="BL90" s="311">
        <f>IF($BI90&lt;&gt;"",IF('Capacity summary'!$D$14="Yes",IF(COUNTBLANK('Capacity summary'!$H209:$BG209)&lt;52,IF('Capacity summary'!I209&lt;&gt;"",IF(LOWER('Capacity summary'!I209)="x",$BI90*I90,VALUE('Capacity summary'!I209)),0),I90*$BI90),I90*$BI90),0)</f>
        <v>0</v>
      </c>
      <c r="BM90" s="311">
        <f>IF($BI90&lt;&gt;"",IF('Capacity summary'!$D$14="Yes",IF(COUNTBLANK('Capacity summary'!$H209:$BG209)&lt;52,IF('Capacity summary'!J209&lt;&gt;"",IF(LOWER('Capacity summary'!J209)="x",$BI90*J90,VALUE('Capacity summary'!J209)),0),J90*$BI90),J90*$BI90),0)</f>
        <v>0</v>
      </c>
      <c r="BN90" s="311">
        <f>IF($BI90&lt;&gt;"",IF('Capacity summary'!$D$14="Yes",IF(COUNTBLANK('Capacity summary'!$H209:$BG209)&lt;52,IF('Capacity summary'!K209&lt;&gt;"",IF(LOWER('Capacity summary'!K209)="x",$BI90*K90,VALUE('Capacity summary'!K209)),0),K90*$BI90),K90*$BI90),0)</f>
        <v>0</v>
      </c>
      <c r="BO90" s="311">
        <f>IF($BI90&lt;&gt;"",IF('Capacity summary'!$D$14="Yes",IF(COUNTBLANK('Capacity summary'!$H209:$BG209)&lt;52,IF('Capacity summary'!L209&lt;&gt;"",IF(LOWER('Capacity summary'!L209)="x",$BI90*L90,VALUE('Capacity summary'!L209)),0),L90*$BI90),L90*$BI90),0)</f>
        <v>0</v>
      </c>
      <c r="BP90" s="311">
        <f>IF($BI90&lt;&gt;"",IF('Capacity summary'!$D$14="Yes",IF(COUNTBLANK('Capacity summary'!$H209:$BG209)&lt;52,IF('Capacity summary'!M209&lt;&gt;"",IF(LOWER('Capacity summary'!M209)="x",$BI90*M90,VALUE('Capacity summary'!M209)),0),M90*$BI90),M90*$BI90),0)</f>
        <v>0</v>
      </c>
      <c r="BQ90" s="311">
        <f>IF($BI90&lt;&gt;"",IF('Capacity summary'!$D$14="Yes",IF(COUNTBLANK('Capacity summary'!$H209:$BG209)&lt;52,IF('Capacity summary'!N209&lt;&gt;"",IF(LOWER('Capacity summary'!N209)="x",$BI90*N90,VALUE('Capacity summary'!N209)),0),N90*$BI90),N90*$BI90),0)</f>
        <v>0</v>
      </c>
      <c r="BR90" s="311">
        <f>IF($BI90&lt;&gt;"",IF('Capacity summary'!$D$14="Yes",IF(COUNTBLANK('Capacity summary'!$H209:$BG209)&lt;52,IF('Capacity summary'!O209&lt;&gt;"",IF(LOWER('Capacity summary'!O209)="x",$BI90*O90,VALUE('Capacity summary'!O209)),0),O90*$BI90),O90*$BI90),0)</f>
        <v>0</v>
      </c>
      <c r="BS90" s="311">
        <f>IF($BI90&lt;&gt;"",IF('Capacity summary'!$D$14="Yes",IF(COUNTBLANK('Capacity summary'!$H209:$BG209)&lt;52,IF('Capacity summary'!P209&lt;&gt;"",IF(LOWER('Capacity summary'!P209)="x",$BI90*P90,VALUE('Capacity summary'!P209)),0),P90*$BI90),P90*$BI90),0)</f>
        <v>0</v>
      </c>
      <c r="BT90" s="311">
        <f>IF($BI90&lt;&gt;"",IF('Capacity summary'!$D$14="Yes",IF(COUNTBLANK('Capacity summary'!$H209:$BG209)&lt;52,IF('Capacity summary'!Q209&lt;&gt;"",IF(LOWER('Capacity summary'!Q209)="x",$BI90*Q90,VALUE('Capacity summary'!Q209)),0),Q90*$BI90),Q90*$BI90),0)</f>
        <v>0</v>
      </c>
      <c r="BU90" s="311">
        <f>IF($BI90&lt;&gt;"",IF('Capacity summary'!$D$14="Yes",IF(COUNTBLANK('Capacity summary'!$H209:$BG209)&lt;52,IF('Capacity summary'!R209&lt;&gt;"",IF(LOWER('Capacity summary'!R209)="x",$BI90*R90,VALUE('Capacity summary'!R209)),0),R90*$BI90),R90*$BI90),0)</f>
        <v>0</v>
      </c>
      <c r="BV90" s="311">
        <f>IF($BI90&lt;&gt;"",IF('Capacity summary'!$D$14="Yes",IF(COUNTBLANK('Capacity summary'!$H209:$BG209)&lt;52,IF('Capacity summary'!S209&lt;&gt;"",IF(LOWER('Capacity summary'!S209)="x",$BI90*S90,VALUE('Capacity summary'!S209)),0),S90*$BI90),S90*$BI90),0)</f>
        <v>0</v>
      </c>
      <c r="BW90" s="311">
        <f>IF($BI90&lt;&gt;"",IF('Capacity summary'!$D$14="Yes",IF(COUNTBLANK('Capacity summary'!$H209:$BG209)&lt;52,IF('Capacity summary'!T209&lt;&gt;"",IF(LOWER('Capacity summary'!T209)="x",$BI90*T90,VALUE('Capacity summary'!T209)),0),T90*$BI90),T90*$BI90),0)</f>
        <v>0</v>
      </c>
      <c r="BX90" s="311">
        <f>IF($BI90&lt;&gt;"",IF('Capacity summary'!$D$14="Yes",IF(COUNTBLANK('Capacity summary'!$H209:$BG209)&lt;52,IF('Capacity summary'!U209&lt;&gt;"",IF(LOWER('Capacity summary'!U209)="x",$BI90*U90,VALUE('Capacity summary'!U209)),0),U90*$BI90),U90*$BI90),0)</f>
        <v>0</v>
      </c>
      <c r="BY90" s="311">
        <f>IF($BI90&lt;&gt;"",IF('Capacity summary'!$D$14="Yes",IF(COUNTBLANK('Capacity summary'!$H209:$BG209)&lt;52,IF('Capacity summary'!V209&lt;&gt;"",IF(LOWER('Capacity summary'!V209)="x",$BI90*V90,VALUE('Capacity summary'!V209)),0),V90*$BI90),V90*$BI90),0)</f>
        <v>0</v>
      </c>
      <c r="BZ90" s="311">
        <f>IF($BI90&lt;&gt;"",IF('Capacity summary'!$D$14="Yes",IF(COUNTBLANK('Capacity summary'!$H209:$BG209)&lt;52,IF('Capacity summary'!W209&lt;&gt;"",IF(LOWER('Capacity summary'!W209)="x",$BI90*W90,VALUE('Capacity summary'!W209)),0),W90*$BI90),W90*$BI90),0)</f>
        <v>0</v>
      </c>
      <c r="CA90" s="311">
        <f>IF($BI90&lt;&gt;"",IF('Capacity summary'!$D$14="Yes",IF(COUNTBLANK('Capacity summary'!$H209:$BG209)&lt;52,IF('Capacity summary'!X209&lt;&gt;"",IF(LOWER('Capacity summary'!X209)="x",$BI90*X90,VALUE('Capacity summary'!X209)),0),X90*$BI90),X90*$BI90),0)</f>
        <v>0</v>
      </c>
      <c r="CB90" s="311">
        <f>IF($BI90&lt;&gt;"",IF('Capacity summary'!$D$14="Yes",IF(COUNTBLANK('Capacity summary'!$H209:$BG209)&lt;52,IF('Capacity summary'!Y209&lt;&gt;"",IF(LOWER('Capacity summary'!Y209)="x",$BI90*Y90,VALUE('Capacity summary'!Y209)),0),Y90*$BI90),Y90*$BI90),0)</f>
        <v>0</v>
      </c>
      <c r="CC90" s="311">
        <f>IF($BI90&lt;&gt;"",IF('Capacity summary'!$D$14="Yes",IF(COUNTBLANK('Capacity summary'!$H209:$BG209)&lt;52,IF('Capacity summary'!Z209&lt;&gt;"",IF(LOWER('Capacity summary'!Z209)="x",$BI90*Z90,VALUE('Capacity summary'!Z209)),0),Z90*$BI90),Z90*$BI90),0)</f>
        <v>0</v>
      </c>
      <c r="CD90" s="311">
        <f>IF($BI90&lt;&gt;"",IF('Capacity summary'!$D$14="Yes",IF(COUNTBLANK('Capacity summary'!$H209:$BG209)&lt;52,IF('Capacity summary'!AA209&lt;&gt;"",IF(LOWER('Capacity summary'!AA209)="x",$BI90*AA90,VALUE('Capacity summary'!AA209)),0),AA90*$BI90),AA90*$BI90),0)</f>
        <v>0</v>
      </c>
      <c r="CE90" s="311">
        <f>IF($BI90&lt;&gt;"",IF('Capacity summary'!$D$14="Yes",IF(COUNTBLANK('Capacity summary'!$H209:$BG209)&lt;52,IF('Capacity summary'!AB209&lt;&gt;"",IF(LOWER('Capacity summary'!AB209)="x",$BI90*AB90,VALUE('Capacity summary'!AB209)),0),AB90*$BI90),AB90*$BI90),0)</f>
        <v>0</v>
      </c>
      <c r="CF90" s="311">
        <f>IF($BI90&lt;&gt;"",IF('Capacity summary'!$D$14="Yes",IF(COUNTBLANK('Capacity summary'!$H209:$BG209)&lt;52,IF('Capacity summary'!AC209&lt;&gt;"",IF(LOWER('Capacity summary'!AC209)="x",$BI90*AC90,VALUE('Capacity summary'!AC209)),0),AC90*$BI90),AC90*$BI90),0)</f>
        <v>0</v>
      </c>
      <c r="CG90" s="311">
        <f>IF($BI90&lt;&gt;"",IF('Capacity summary'!$D$14="Yes",IF(COUNTBLANK('Capacity summary'!$H209:$BG209)&lt;52,IF('Capacity summary'!AD209&lt;&gt;"",IF(LOWER('Capacity summary'!AD209)="x",$BI90*AD90,VALUE('Capacity summary'!AD209)),0),AD90*$BI90),AD90*$BI90),0)</f>
        <v>0</v>
      </c>
      <c r="CH90" s="311">
        <f>IF($BI90&lt;&gt;"",IF('Capacity summary'!$D$14="Yes",IF(COUNTBLANK('Capacity summary'!$H209:$BG209)&lt;52,IF('Capacity summary'!AE209&lt;&gt;"",IF(LOWER('Capacity summary'!AE209)="x",$BI90*AE90,VALUE('Capacity summary'!AE209)),0),AE90*$BI90),AE90*$BI90),0)</f>
        <v>0</v>
      </c>
      <c r="CI90" s="311">
        <f>IF($BI90&lt;&gt;"",IF('Capacity summary'!$D$14="Yes",IF(COUNTBLANK('Capacity summary'!$H209:$BG209)&lt;52,IF('Capacity summary'!AF209&lt;&gt;"",IF(LOWER('Capacity summary'!AF209)="x",$BI90*AF90,VALUE('Capacity summary'!AF209)),0),AF90*$BI90),AF90*$BI90),0)</f>
        <v>0</v>
      </c>
      <c r="CJ90" s="311">
        <f>IF($BI90&lt;&gt;"",IF('Capacity summary'!$D$14="Yes",IF(COUNTBLANK('Capacity summary'!$H209:$BG209)&lt;52,IF('Capacity summary'!AG209&lt;&gt;"",IF(LOWER('Capacity summary'!AG209)="x",$BI90*AG90,VALUE('Capacity summary'!AG209)),0),AG90*$BI90),AG90*$BI90),0)</f>
        <v>0</v>
      </c>
      <c r="CK90" s="311">
        <f>IF($BI90&lt;&gt;"",IF('Capacity summary'!$D$14="Yes",IF(COUNTBLANK('Capacity summary'!$H209:$BG209)&lt;52,IF('Capacity summary'!AH209&lt;&gt;"",IF(LOWER('Capacity summary'!AH209)="x",$BI90*AH90,VALUE('Capacity summary'!AH209)),0),AH90*$BI90),AH90*$BI90),0)</f>
        <v>0</v>
      </c>
      <c r="CL90" s="311">
        <f>IF($BI90&lt;&gt;"",IF('Capacity summary'!$D$14="Yes",IF(COUNTBLANK('Capacity summary'!$H209:$BG209)&lt;52,IF('Capacity summary'!AI209&lt;&gt;"",IF(LOWER('Capacity summary'!AI209)="x",$BI90*AI90,VALUE('Capacity summary'!AI209)),0),AI90*$BI90),AI90*$BI90),0)</f>
        <v>0</v>
      </c>
      <c r="CM90" s="311">
        <f>IF($BI90&lt;&gt;"",IF('Capacity summary'!$D$14="Yes",IF(COUNTBLANK('Capacity summary'!$H209:$BG209)&lt;52,IF('Capacity summary'!AJ209&lt;&gt;"",IF(LOWER('Capacity summary'!AJ209)="x",$BI90*AJ90,VALUE('Capacity summary'!AJ209)),0),AJ90*$BI90),AJ90*$BI90),0)</f>
        <v>0</v>
      </c>
      <c r="CN90" s="311">
        <f>IF($BI90&lt;&gt;"",IF('Capacity summary'!$D$14="Yes",IF(COUNTBLANK('Capacity summary'!$H209:$BG209)&lt;52,IF('Capacity summary'!AK209&lt;&gt;"",IF(LOWER('Capacity summary'!AK209)="x",$BI90*AK90,VALUE('Capacity summary'!AK209)),0),AK90*$BI90),AK90*$BI90),0)</f>
        <v>0</v>
      </c>
      <c r="CO90" s="311">
        <f>IF($BI90&lt;&gt;"",IF('Capacity summary'!$D$14="Yes",IF(COUNTBLANK('Capacity summary'!$H209:$BG209)&lt;52,IF('Capacity summary'!AL209&lt;&gt;"",IF(LOWER('Capacity summary'!AL209)="x",$BI90*AL90,VALUE('Capacity summary'!AL209)),0),AL90*$BI90),AL90*$BI90),0)</f>
        <v>0</v>
      </c>
      <c r="CP90" s="311">
        <f>IF($BI90&lt;&gt;"",IF('Capacity summary'!$D$14="Yes",IF(COUNTBLANK('Capacity summary'!$H209:$BG209)&lt;52,IF('Capacity summary'!AM209&lt;&gt;"",IF(LOWER('Capacity summary'!AM209)="x",$BI90*AM90,VALUE('Capacity summary'!AM209)),0),AM90*$BI90),AM90*$BI90),0)</f>
        <v>0</v>
      </c>
      <c r="CQ90" s="311">
        <f>IF($BI90&lt;&gt;"",IF('Capacity summary'!$D$14="Yes",IF(COUNTBLANK('Capacity summary'!$H209:$BG209)&lt;52,IF('Capacity summary'!AN209&lt;&gt;"",IF(LOWER('Capacity summary'!AN209)="x",$BI90*AN90,VALUE('Capacity summary'!AN209)),0),AN90*$BI90),AN90*$BI90),0)</f>
        <v>0</v>
      </c>
      <c r="CR90" s="311">
        <f>IF($BI90&lt;&gt;"",IF('Capacity summary'!$D$14="Yes",IF(COUNTBLANK('Capacity summary'!$H209:$BG209)&lt;52,IF('Capacity summary'!AO209&lt;&gt;"",IF(LOWER('Capacity summary'!AO209)="x",$BI90*AO90,VALUE('Capacity summary'!AO209)),0),AO90*$BI90),AO90*$BI90),0)</f>
        <v>0</v>
      </c>
      <c r="CS90" s="311">
        <f>IF($BI90&lt;&gt;"",IF('Capacity summary'!$D$14="Yes",IF(COUNTBLANK('Capacity summary'!$H209:$BG209)&lt;52,IF('Capacity summary'!AP209&lt;&gt;"",IF(LOWER('Capacity summary'!AP209)="x",$BI90*AP90,VALUE('Capacity summary'!AP209)),0),AP90*$BI90),AP90*$BI90),0)</f>
        <v>0</v>
      </c>
      <c r="CT90" s="311">
        <f>IF($BI90&lt;&gt;"",IF('Capacity summary'!$D$14="Yes",IF(COUNTBLANK('Capacity summary'!$H209:$BG209)&lt;52,IF('Capacity summary'!AQ209&lt;&gt;"",IF(LOWER('Capacity summary'!AQ209)="x",$BI90*AQ90,VALUE('Capacity summary'!AQ209)),0),AQ90*$BI90),AQ90*$BI90),0)</f>
        <v>0</v>
      </c>
      <c r="CU90" s="311">
        <f>IF($BI90&lt;&gt;"",IF('Capacity summary'!$D$14="Yes",IF(COUNTBLANK('Capacity summary'!$H209:$BG209)&lt;52,IF('Capacity summary'!AR209&lt;&gt;"",IF(LOWER('Capacity summary'!AR209)="x",$BI90*AR90,VALUE('Capacity summary'!AR209)),0),AR90*$BI90),AR90*$BI90),0)</f>
        <v>0</v>
      </c>
      <c r="CV90" s="311">
        <f>IF($BI90&lt;&gt;"",IF('Capacity summary'!$D$14="Yes",IF(COUNTBLANK('Capacity summary'!$H209:$BG209)&lt;52,IF('Capacity summary'!AS209&lt;&gt;"",IF(LOWER('Capacity summary'!AS209)="x",$BI90*AS90,VALUE('Capacity summary'!AS209)),0),AS90*$BI90),AS90*$BI90),0)</f>
        <v>0</v>
      </c>
      <c r="CW90" s="311">
        <f>IF($BI90&lt;&gt;"",IF('Capacity summary'!$D$14="Yes",IF(COUNTBLANK('Capacity summary'!$H209:$BG209)&lt;52,IF('Capacity summary'!AT209&lt;&gt;"",IF(LOWER('Capacity summary'!AT209)="x",$BI90*AT90,VALUE('Capacity summary'!AT209)),0),AT90*$BI90),AT90*$BI90),0)</f>
        <v>0</v>
      </c>
      <c r="CX90" s="311">
        <f>IF($BI90&lt;&gt;"",IF('Capacity summary'!$D$14="Yes",IF(COUNTBLANK('Capacity summary'!$H209:$BG209)&lt;52,IF('Capacity summary'!AU209&lt;&gt;"",IF(LOWER('Capacity summary'!AU209)="x",$BI90*AU90,VALUE('Capacity summary'!AU209)),0),AU90*$BI90),AU90*$BI90),0)</f>
        <v>0</v>
      </c>
      <c r="CY90" s="311">
        <f>IF($BI90&lt;&gt;"",IF('Capacity summary'!$D$14="Yes",IF(COUNTBLANK('Capacity summary'!$H209:$BG209)&lt;52,IF('Capacity summary'!AV209&lt;&gt;"",IF(LOWER('Capacity summary'!AV209)="x",$BI90*AV90,VALUE('Capacity summary'!AV209)),0),AV90*$BI90),AV90*$BI90),0)</f>
        <v>0</v>
      </c>
      <c r="CZ90" s="311">
        <f>IF($BI90&lt;&gt;"",IF('Capacity summary'!$D$14="Yes",IF(COUNTBLANK('Capacity summary'!$H209:$BG209)&lt;52,IF('Capacity summary'!AW209&lt;&gt;"",IF(LOWER('Capacity summary'!AW209)="x",$BI90*AW90,VALUE('Capacity summary'!AW209)),0),AW90*$BI90),AW90*$BI90),0)</f>
        <v>0</v>
      </c>
      <c r="DA90" s="311">
        <f>IF($BI90&lt;&gt;"",IF('Capacity summary'!$D$14="Yes",IF(COUNTBLANK('Capacity summary'!$H209:$BG209)&lt;52,IF('Capacity summary'!AX209&lt;&gt;"",IF(LOWER('Capacity summary'!AX209)="x",$BI90*AX90,VALUE('Capacity summary'!AX209)),0),AX90*$BI90),AX90*$BI90),0)</f>
        <v>0</v>
      </c>
      <c r="DB90" s="311">
        <f>IF($BI90&lt;&gt;"",IF('Capacity summary'!$D$14="Yes",IF(COUNTBLANK('Capacity summary'!$H209:$BG209)&lt;52,IF('Capacity summary'!AY209&lt;&gt;"",IF(LOWER('Capacity summary'!AY209)="x",$BI90*AY90,VALUE('Capacity summary'!AY209)),0),AY90*$BI90),AY90*$BI90),0)</f>
        <v>0</v>
      </c>
      <c r="DC90" s="311">
        <f>IF($BI90&lt;&gt;"",IF('Capacity summary'!$D$14="Yes",IF(COUNTBLANK('Capacity summary'!$H209:$BG209)&lt;52,IF('Capacity summary'!AZ209&lt;&gt;"",IF(LOWER('Capacity summary'!AZ209)="x",$BI90*AZ90,VALUE('Capacity summary'!AZ209)),0),AZ90*$BI90),AZ90*$BI90),0)</f>
        <v>0</v>
      </c>
      <c r="DD90" s="311">
        <f>IF($BI90&lt;&gt;"",IF('Capacity summary'!$D$14="Yes",IF(COUNTBLANK('Capacity summary'!$H209:$BG209)&lt;52,IF('Capacity summary'!BA209&lt;&gt;"",IF(LOWER('Capacity summary'!BA209)="x",$BI90*BA90,VALUE('Capacity summary'!BA209)),0),BA90*$BI90),BA90*$BI90),0)</f>
        <v>0</v>
      </c>
      <c r="DE90" s="311">
        <f>IF($BI90&lt;&gt;"",IF('Capacity summary'!$D$14="Yes",IF(COUNTBLANK('Capacity summary'!$H209:$BG209)&lt;52,IF('Capacity summary'!BB209&lt;&gt;"",IF(LOWER('Capacity summary'!BB209)="x",$BI90*BB90,VALUE('Capacity summary'!BB209)),0),BB90*$BI90),BB90*$BI90),0)</f>
        <v>0</v>
      </c>
      <c r="DF90" s="311">
        <f>IF($BI90&lt;&gt;"",IF('Capacity summary'!$D$14="Yes",IF(COUNTBLANK('Capacity summary'!$H209:$BG209)&lt;52,IF('Capacity summary'!BC209&lt;&gt;"",IF(LOWER('Capacity summary'!BC209)="x",$BI90*BC90,VALUE('Capacity summary'!BC209)),0),BC90*$BI90),BC90*$BI90),0)</f>
        <v>0</v>
      </c>
      <c r="DG90" s="311">
        <f>IF($BI90&lt;&gt;"",IF('Capacity summary'!$D$14="Yes",IF(COUNTBLANK('Capacity summary'!$H209:$BG209)&lt;52,IF('Capacity summary'!BD209&lt;&gt;"",IF(LOWER('Capacity summary'!BD209)="x",$BI90*BD90,VALUE('Capacity summary'!BD209)),0),BD90*$BI90),BD90*$BI90),0)</f>
        <v>0</v>
      </c>
      <c r="DH90" s="311">
        <f>IF($BI90&lt;&gt;"",IF('Capacity summary'!$D$14="Yes",IF(COUNTBLANK('Capacity summary'!$H209:$BG209)&lt;52,IF('Capacity summary'!BE209&lt;&gt;"",IF(LOWER('Capacity summary'!BE209)="x",$BI90*BE90,VALUE('Capacity summary'!BE209)),0),BE90*$BI90),BE90*$BI90),0)</f>
        <v>0</v>
      </c>
      <c r="DI90" s="311">
        <f>IF($BI90&lt;&gt;"",IF('Capacity summary'!$D$14="Yes",IF(COUNTBLANK('Capacity summary'!$H209:$BG209)&lt;52,IF('Capacity summary'!BF209&lt;&gt;"",IF(LOWER('Capacity summary'!BF209)="x",$BI90*BF90,VALUE('Capacity summary'!BF209)),0),BF90*$BI90),BF90*$BI90),0)</f>
        <v>0</v>
      </c>
      <c r="DJ90" s="311">
        <f>IF($BI90&lt;&gt;"",IF('Capacity summary'!$D$14="Yes",IF(COUNTBLANK('Capacity summary'!$H209:$BG209)&lt;52,IF('Capacity summary'!BG209&lt;&gt;"",IF(LOWER('Capacity summary'!BG209)="x",$BI90*BG90,VALUE('Capacity summary'!BG209)),0),BG90*$BI90),BG90*$BI90),0)</f>
        <v>0</v>
      </c>
      <c r="DK90" s="391">
        <f t="shared" si="4"/>
        <v>0</v>
      </c>
      <c r="DL90" s="136">
        <f t="shared" si="5"/>
        <v>0</v>
      </c>
      <c r="DM90" s="311" t="str">
        <f>Capacity!H102</f>
        <v/>
      </c>
    </row>
    <row r="91" spans="1:117" x14ac:dyDescent="0.2">
      <c r="A91" s="67">
        <f>IF(Capacity!L103='Capacity summary'!BI210,1,0)</f>
        <v>1</v>
      </c>
      <c r="B91" s="67">
        <f>IF(Capacity!V103='Capacity summary'!BI110,1,0)</f>
        <v>1</v>
      </c>
      <c r="C91" s="67" t="str">
        <f>ROW(A87)&amp;". "&amp;Capacity!B103</f>
        <v xml:space="preserve">87. </v>
      </c>
      <c r="D91" s="67">
        <f>'Capacity setup'!C98</f>
        <v>0</v>
      </c>
      <c r="E91" s="67">
        <f>'Capacity setup'!D98</f>
        <v>0</v>
      </c>
      <c r="F91" s="67">
        <f>'Capacity setup'!E98</f>
        <v>0</v>
      </c>
      <c r="H91" s="67">
        <f ca="1">IF(LOWER(Capacity!$L103)="x",IF(AND(SUMIF(Capacity_Resource,$D91,'Critical resources (hide)'!U$6:U$105)+SUMIF(Capacity_Resource,$E91,'Critical resources (hide)'!U$6:U$105)+SUMIF(Capacity_Resource,$F91,'Critical resources (hide)'!U$6:U$105)&gt;0,$E$1=2),0,1),0)</f>
        <v>1</v>
      </c>
      <c r="I91" s="67">
        <f ca="1">IF(LOWER(Capacity!$L103)="x",IF(AND(SUMIF(Capacity_Resource,$D91,'Critical resources (hide)'!V$6:V$105)+SUMIF(Capacity_Resource,$E91,'Critical resources (hide)'!V$6:V$105)+SUMIF(Capacity_Resource,$F91,'Critical resources (hide)'!V$6:V$105)&gt;0,$E$1=2),0,1),0)</f>
        <v>1</v>
      </c>
      <c r="J91" s="67">
        <f ca="1">IF(LOWER(Capacity!$L103)="x",IF(AND(SUMIF(Capacity_Resource,$D91,'Critical resources (hide)'!W$6:W$105)+SUMIF(Capacity_Resource,$E91,'Critical resources (hide)'!W$6:W$105)+SUMIF(Capacity_Resource,$F91,'Critical resources (hide)'!W$6:W$105)&gt;0,$E$1=2),0,1),0)</f>
        <v>1</v>
      </c>
      <c r="K91" s="67">
        <f ca="1">IF(LOWER(Capacity!$L103)="x",IF(AND(SUMIF(Capacity_Resource,$D91,'Critical resources (hide)'!X$6:X$105)+SUMIF(Capacity_Resource,$E91,'Critical resources (hide)'!X$6:X$105)+SUMIF(Capacity_Resource,$F91,'Critical resources (hide)'!X$6:X$105)&gt;0,$E$1=2),0,1),0)</f>
        <v>1</v>
      </c>
      <c r="L91" s="67">
        <f ca="1">IF(LOWER(Capacity!$L103)="x",IF(AND(SUMIF(Capacity_Resource,$D91,'Critical resources (hide)'!Y$6:Y$105)+SUMIF(Capacity_Resource,$E91,'Critical resources (hide)'!Y$6:Y$105)+SUMIF(Capacity_Resource,$F91,'Critical resources (hide)'!Y$6:Y$105)&gt;0,$E$1=2),0,1),0)</f>
        <v>1</v>
      </c>
      <c r="M91" s="67">
        <f ca="1">IF(LOWER(Capacity!$L103)="x",IF(AND(SUMIF(Capacity_Resource,$D91,'Critical resources (hide)'!Z$6:Z$105)+SUMIF(Capacity_Resource,$E91,'Critical resources (hide)'!Z$6:Z$105)+SUMIF(Capacity_Resource,$F91,'Critical resources (hide)'!Z$6:Z$105)&gt;0,$E$1=2),0,1),0)</f>
        <v>1</v>
      </c>
      <c r="N91" s="67">
        <f ca="1">IF(LOWER(Capacity!$L103)="x",IF(AND(SUMIF(Capacity_Resource,$D91,'Critical resources (hide)'!AA$6:AA$105)+SUMIF(Capacity_Resource,$E91,'Critical resources (hide)'!AA$6:AA$105)+SUMIF(Capacity_Resource,$F91,'Critical resources (hide)'!AA$6:AA$105)&gt;0,$E$1=2),0,1),0)</f>
        <v>1</v>
      </c>
      <c r="O91" s="67">
        <f ca="1">IF(LOWER(Capacity!$L103)="x",IF(AND(SUMIF(Capacity_Resource,$D91,'Critical resources (hide)'!AB$6:AB$105)+SUMIF(Capacity_Resource,$E91,'Critical resources (hide)'!AB$6:AB$105)+SUMIF(Capacity_Resource,$F91,'Critical resources (hide)'!AB$6:AB$105)&gt;0,$E$1=2),0,1),0)</f>
        <v>1</v>
      </c>
      <c r="P91" s="67">
        <f ca="1">IF(LOWER(Capacity!$L103)="x",IF(AND(SUMIF(Capacity_Resource,$D91,'Critical resources (hide)'!AC$6:AC$105)+SUMIF(Capacity_Resource,$E91,'Critical resources (hide)'!AC$6:AC$105)+SUMIF(Capacity_Resource,$F91,'Critical resources (hide)'!AC$6:AC$105)&gt;0,$E$1=2),0,1),0)</f>
        <v>1</v>
      </c>
      <c r="Q91" s="67">
        <f ca="1">IF(LOWER(Capacity!$L103)="x",IF(AND(SUMIF(Capacity_Resource,$D91,'Critical resources (hide)'!AD$6:AD$105)+SUMIF(Capacity_Resource,$E91,'Critical resources (hide)'!AD$6:AD$105)+SUMIF(Capacity_Resource,$F91,'Critical resources (hide)'!AD$6:AD$105)&gt;0,$E$1=2),0,1),0)</f>
        <v>1</v>
      </c>
      <c r="R91" s="67">
        <f ca="1">IF(LOWER(Capacity!$L103)="x",IF(AND(SUMIF(Capacity_Resource,$D91,'Critical resources (hide)'!AE$6:AE$105)+SUMIF(Capacity_Resource,$E91,'Critical resources (hide)'!AE$6:AE$105)+SUMIF(Capacity_Resource,$F91,'Critical resources (hide)'!AE$6:AE$105)&gt;0,$E$1=2),0,1),0)</f>
        <v>1</v>
      </c>
      <c r="S91" s="67">
        <f ca="1">IF(LOWER(Capacity!$L103)="x",IF(AND(SUMIF(Capacity_Resource,$D91,'Critical resources (hide)'!AF$6:AF$105)+SUMIF(Capacity_Resource,$E91,'Critical resources (hide)'!AF$6:AF$105)+SUMIF(Capacity_Resource,$F91,'Critical resources (hide)'!AF$6:AF$105)&gt;0,$E$1=2),0,1),0)</f>
        <v>1</v>
      </c>
      <c r="T91" s="67">
        <f ca="1">IF(LOWER(Capacity!$L103)="x",IF(AND(SUMIF(Capacity_Resource,$D91,'Critical resources (hide)'!AG$6:AG$105)+SUMIF(Capacity_Resource,$E91,'Critical resources (hide)'!AG$6:AG$105)+SUMIF(Capacity_Resource,$F91,'Critical resources (hide)'!AG$6:AG$105)&gt;0,$E$1=2),0,1),0)</f>
        <v>1</v>
      </c>
      <c r="U91" s="67">
        <f ca="1">IF(LOWER(Capacity!$L103)="x",IF(AND(SUMIF(Capacity_Resource,$D91,'Critical resources (hide)'!AH$6:AH$105)+SUMIF(Capacity_Resource,$E91,'Critical resources (hide)'!AH$6:AH$105)+SUMIF(Capacity_Resource,$F91,'Critical resources (hide)'!AH$6:AH$105)&gt;0,$E$1=2),0,1),0)</f>
        <v>1</v>
      </c>
      <c r="V91" s="67">
        <f ca="1">IF(LOWER(Capacity!$L103)="x",IF(AND(SUMIF(Capacity_Resource,$D91,'Critical resources (hide)'!AI$6:AI$105)+SUMIF(Capacity_Resource,$E91,'Critical resources (hide)'!AI$6:AI$105)+SUMIF(Capacity_Resource,$F91,'Critical resources (hide)'!AI$6:AI$105)&gt;0,$E$1=2),0,1),0)</f>
        <v>1</v>
      </c>
      <c r="W91" s="67">
        <f ca="1">IF(LOWER(Capacity!$L103)="x",IF(AND(SUMIF(Capacity_Resource,$D91,'Critical resources (hide)'!AJ$6:AJ$105)+SUMIF(Capacity_Resource,$E91,'Critical resources (hide)'!AJ$6:AJ$105)+SUMIF(Capacity_Resource,$F91,'Critical resources (hide)'!AJ$6:AJ$105)&gt;0,$E$1=2),0,1),0)</f>
        <v>1</v>
      </c>
      <c r="X91" s="67">
        <f ca="1">IF(LOWER(Capacity!$L103)="x",IF(AND(SUMIF(Capacity_Resource,$D91,'Critical resources (hide)'!AK$6:AK$105)+SUMIF(Capacity_Resource,$E91,'Critical resources (hide)'!AK$6:AK$105)+SUMIF(Capacity_Resource,$F91,'Critical resources (hide)'!AK$6:AK$105)&gt;0,$E$1=2),0,1),0)</f>
        <v>1</v>
      </c>
      <c r="Y91" s="67">
        <f ca="1">IF(LOWER(Capacity!$L103)="x",IF(AND(SUMIF(Capacity_Resource,$D91,'Critical resources (hide)'!AL$6:AL$105)+SUMIF(Capacity_Resource,$E91,'Critical resources (hide)'!AL$6:AL$105)+SUMIF(Capacity_Resource,$F91,'Critical resources (hide)'!AL$6:AL$105)&gt;0,$E$1=2),0,1),0)</f>
        <v>1</v>
      </c>
      <c r="Z91" s="67">
        <f ca="1">IF(LOWER(Capacity!$L103)="x",IF(AND(SUMIF(Capacity_Resource,$D91,'Critical resources (hide)'!AM$6:AM$105)+SUMIF(Capacity_Resource,$E91,'Critical resources (hide)'!AM$6:AM$105)+SUMIF(Capacity_Resource,$F91,'Critical resources (hide)'!AM$6:AM$105)&gt;0,$E$1=2),0,1),0)</f>
        <v>1</v>
      </c>
      <c r="AA91" s="67">
        <f ca="1">IF(LOWER(Capacity!$L103)="x",IF(AND(SUMIF(Capacity_Resource,$D91,'Critical resources (hide)'!AN$6:AN$105)+SUMIF(Capacity_Resource,$E91,'Critical resources (hide)'!AN$6:AN$105)+SUMIF(Capacity_Resource,$F91,'Critical resources (hide)'!AN$6:AN$105)&gt;0,$E$1=2),0,1),0)</f>
        <v>1</v>
      </c>
      <c r="AB91" s="67">
        <f ca="1">IF(LOWER(Capacity!$L103)="x",IF(AND(SUMIF(Capacity_Resource,$D91,'Critical resources (hide)'!AO$6:AO$105)+SUMIF(Capacity_Resource,$E91,'Critical resources (hide)'!AO$6:AO$105)+SUMIF(Capacity_Resource,$F91,'Critical resources (hide)'!AO$6:AO$105)&gt;0,$E$1=2),0,1),0)</f>
        <v>1</v>
      </c>
      <c r="AC91" s="67">
        <f ca="1">IF(LOWER(Capacity!$L103)="x",IF(AND(SUMIF(Capacity_Resource,$D91,'Critical resources (hide)'!AP$6:AP$105)+SUMIF(Capacity_Resource,$E91,'Critical resources (hide)'!AP$6:AP$105)+SUMIF(Capacity_Resource,$F91,'Critical resources (hide)'!AP$6:AP$105)&gt;0,$E$1=2),0,1),0)</f>
        <v>1</v>
      </c>
      <c r="AD91" s="67">
        <f ca="1">IF(LOWER(Capacity!$L103)="x",IF(AND(SUMIF(Capacity_Resource,$D91,'Critical resources (hide)'!AQ$6:AQ$105)+SUMIF(Capacity_Resource,$E91,'Critical resources (hide)'!AQ$6:AQ$105)+SUMIF(Capacity_Resource,$F91,'Critical resources (hide)'!AQ$6:AQ$105)&gt;0,$E$1=2),0,1),0)</f>
        <v>1</v>
      </c>
      <c r="AE91" s="67">
        <f ca="1">IF(LOWER(Capacity!$L103)="x",IF(AND(SUMIF(Capacity_Resource,$D91,'Critical resources (hide)'!AR$6:AR$105)+SUMIF(Capacity_Resource,$E91,'Critical resources (hide)'!AR$6:AR$105)+SUMIF(Capacity_Resource,$F91,'Critical resources (hide)'!AR$6:AR$105)&gt;0,$E$1=2),0,1),0)</f>
        <v>1</v>
      </c>
      <c r="AF91" s="67">
        <f ca="1">IF(LOWER(Capacity!$L103)="x",IF(AND(SUMIF(Capacity_Resource,$D91,'Critical resources (hide)'!AS$6:AS$105)+SUMIF(Capacity_Resource,$E91,'Critical resources (hide)'!AS$6:AS$105)+SUMIF(Capacity_Resource,$F91,'Critical resources (hide)'!AS$6:AS$105)&gt;0,$E$1=2),0,1),0)</f>
        <v>1</v>
      </c>
      <c r="AG91" s="67">
        <f ca="1">IF(LOWER(Capacity!$L103)="x",IF(AND(SUMIF(Capacity_Resource,$D91,'Critical resources (hide)'!AT$6:AT$105)+SUMIF(Capacity_Resource,$E91,'Critical resources (hide)'!AT$6:AT$105)+SUMIF(Capacity_Resource,$F91,'Critical resources (hide)'!AT$6:AT$105)&gt;0,$E$1=2),0,1),0)</f>
        <v>1</v>
      </c>
      <c r="AH91" s="67">
        <f ca="1">IF(LOWER(Capacity!$L103)="x",IF(AND(SUMIF(Capacity_Resource,$D91,'Critical resources (hide)'!AU$6:AU$105)+SUMIF(Capacity_Resource,$E91,'Critical resources (hide)'!AU$6:AU$105)+SUMIF(Capacity_Resource,$F91,'Critical resources (hide)'!AU$6:AU$105)&gt;0,$E$1=2),0,1),0)</f>
        <v>1</v>
      </c>
      <c r="AI91" s="67">
        <f ca="1">IF(LOWER(Capacity!$L103)="x",IF(AND(SUMIF(Capacity_Resource,$D91,'Critical resources (hide)'!AV$6:AV$105)+SUMIF(Capacity_Resource,$E91,'Critical resources (hide)'!AV$6:AV$105)+SUMIF(Capacity_Resource,$F91,'Critical resources (hide)'!AV$6:AV$105)&gt;0,$E$1=2),0,1),0)</f>
        <v>1</v>
      </c>
      <c r="AJ91" s="67">
        <f ca="1">IF(LOWER(Capacity!$L103)="x",IF(AND(SUMIF(Capacity_Resource,$D91,'Critical resources (hide)'!AW$6:AW$105)+SUMIF(Capacity_Resource,$E91,'Critical resources (hide)'!AW$6:AW$105)+SUMIF(Capacity_Resource,$F91,'Critical resources (hide)'!AW$6:AW$105)&gt;0,$E$1=2),0,1),0)</f>
        <v>1</v>
      </c>
      <c r="AK91" s="67">
        <f ca="1">IF(LOWER(Capacity!$L103)="x",IF(AND(SUMIF(Capacity_Resource,$D91,'Critical resources (hide)'!AX$6:AX$105)+SUMIF(Capacity_Resource,$E91,'Critical resources (hide)'!AX$6:AX$105)+SUMIF(Capacity_Resource,$F91,'Critical resources (hide)'!AX$6:AX$105)&gt;0,$E$1=2),0,1),0)</f>
        <v>1</v>
      </c>
      <c r="AL91" s="67">
        <f ca="1">IF(LOWER(Capacity!$L103)="x",IF(AND(SUMIF(Capacity_Resource,$D91,'Critical resources (hide)'!AY$6:AY$105)+SUMIF(Capacity_Resource,$E91,'Critical resources (hide)'!AY$6:AY$105)+SUMIF(Capacity_Resource,$F91,'Critical resources (hide)'!AY$6:AY$105)&gt;0,$E$1=2),0,1),0)</f>
        <v>1</v>
      </c>
      <c r="AM91" s="67">
        <f ca="1">IF(LOWER(Capacity!$L103)="x",IF(AND(SUMIF(Capacity_Resource,$D91,'Critical resources (hide)'!AZ$6:AZ$105)+SUMIF(Capacity_Resource,$E91,'Critical resources (hide)'!AZ$6:AZ$105)+SUMIF(Capacity_Resource,$F91,'Critical resources (hide)'!AZ$6:AZ$105)&gt;0,$E$1=2),0,1),0)</f>
        <v>1</v>
      </c>
      <c r="AN91" s="67">
        <f ca="1">IF(LOWER(Capacity!$L103)="x",IF(AND(SUMIF(Capacity_Resource,$D91,'Critical resources (hide)'!BA$6:BA$105)+SUMIF(Capacity_Resource,$E91,'Critical resources (hide)'!BA$6:BA$105)+SUMIF(Capacity_Resource,$F91,'Critical resources (hide)'!BA$6:BA$105)&gt;0,$E$1=2),0,1),0)</f>
        <v>1</v>
      </c>
      <c r="AO91" s="67">
        <f ca="1">IF(LOWER(Capacity!$L103)="x",IF(AND(SUMIF(Capacity_Resource,$D91,'Critical resources (hide)'!BB$6:BB$105)+SUMIF(Capacity_Resource,$E91,'Critical resources (hide)'!BB$6:BB$105)+SUMIF(Capacity_Resource,$F91,'Critical resources (hide)'!BB$6:BB$105)&gt;0,$E$1=2),0,1),0)</f>
        <v>1</v>
      </c>
      <c r="AP91" s="67">
        <f ca="1">IF(LOWER(Capacity!$L103)="x",IF(AND(SUMIF(Capacity_Resource,$D91,'Critical resources (hide)'!BC$6:BC$105)+SUMIF(Capacity_Resource,$E91,'Critical resources (hide)'!BC$6:BC$105)+SUMIF(Capacity_Resource,$F91,'Critical resources (hide)'!BC$6:BC$105)&gt;0,$E$1=2),0,1),0)</f>
        <v>1</v>
      </c>
      <c r="AQ91" s="67">
        <f ca="1">IF(LOWER(Capacity!$L103)="x",IF(AND(SUMIF(Capacity_Resource,$D91,'Critical resources (hide)'!BD$6:BD$105)+SUMIF(Capacity_Resource,$E91,'Critical resources (hide)'!BD$6:BD$105)+SUMIF(Capacity_Resource,$F91,'Critical resources (hide)'!BD$6:BD$105)&gt;0,$E$1=2),0,1),0)</f>
        <v>1</v>
      </c>
      <c r="AR91" s="67">
        <f ca="1">IF(LOWER(Capacity!$L103)="x",IF(AND(SUMIF(Capacity_Resource,$D91,'Critical resources (hide)'!BE$6:BE$105)+SUMIF(Capacity_Resource,$E91,'Critical resources (hide)'!BE$6:BE$105)+SUMIF(Capacity_Resource,$F91,'Critical resources (hide)'!BE$6:BE$105)&gt;0,$E$1=2),0,1),0)</f>
        <v>1</v>
      </c>
      <c r="AS91" s="67">
        <f ca="1">IF(LOWER(Capacity!$L103)="x",IF(AND(SUMIF(Capacity_Resource,$D91,'Critical resources (hide)'!BF$6:BF$105)+SUMIF(Capacity_Resource,$E91,'Critical resources (hide)'!BF$6:BF$105)+SUMIF(Capacity_Resource,$F91,'Critical resources (hide)'!BF$6:BF$105)&gt;0,$E$1=2),0,1),0)</f>
        <v>1</v>
      </c>
      <c r="AT91" s="67">
        <f ca="1">IF(LOWER(Capacity!$L103)="x",IF(AND(SUMIF(Capacity_Resource,$D91,'Critical resources (hide)'!BG$6:BG$105)+SUMIF(Capacity_Resource,$E91,'Critical resources (hide)'!BG$6:BG$105)+SUMIF(Capacity_Resource,$F91,'Critical resources (hide)'!BG$6:BG$105)&gt;0,$E$1=2),0,1),0)</f>
        <v>1</v>
      </c>
      <c r="AU91" s="67">
        <f ca="1">IF(LOWER(Capacity!$L103)="x",IF(AND(SUMIF(Capacity_Resource,$D91,'Critical resources (hide)'!BH$6:BH$105)+SUMIF(Capacity_Resource,$E91,'Critical resources (hide)'!BH$6:BH$105)+SUMIF(Capacity_Resource,$F91,'Critical resources (hide)'!BH$6:BH$105)&gt;0,$E$1=2),0,1),0)</f>
        <v>1</v>
      </c>
      <c r="AV91" s="67">
        <f ca="1">IF(LOWER(Capacity!$L103)="x",IF(AND(SUMIF(Capacity_Resource,$D91,'Critical resources (hide)'!BI$6:BI$105)+SUMIF(Capacity_Resource,$E91,'Critical resources (hide)'!BI$6:BI$105)+SUMIF(Capacity_Resource,$F91,'Critical resources (hide)'!BI$6:BI$105)&gt;0,$E$1=2),0,1),0)</f>
        <v>1</v>
      </c>
      <c r="AW91" s="67">
        <f ca="1">IF(LOWER(Capacity!$L103)="x",IF(AND(SUMIF(Capacity_Resource,$D91,'Critical resources (hide)'!BJ$6:BJ$105)+SUMIF(Capacity_Resource,$E91,'Critical resources (hide)'!BJ$6:BJ$105)+SUMIF(Capacity_Resource,$F91,'Critical resources (hide)'!BJ$6:BJ$105)&gt;0,$E$1=2),0,1),0)</f>
        <v>1</v>
      </c>
      <c r="AX91" s="67">
        <f ca="1">IF(LOWER(Capacity!$L103)="x",IF(AND(SUMIF(Capacity_Resource,$D91,'Critical resources (hide)'!BK$6:BK$105)+SUMIF(Capacity_Resource,$E91,'Critical resources (hide)'!BK$6:BK$105)+SUMIF(Capacity_Resource,$F91,'Critical resources (hide)'!BK$6:BK$105)&gt;0,$E$1=2),0,1),0)</f>
        <v>1</v>
      </c>
      <c r="AY91" s="67">
        <f ca="1">IF(LOWER(Capacity!$L103)="x",IF(AND(SUMIF(Capacity_Resource,$D91,'Critical resources (hide)'!BL$6:BL$105)+SUMIF(Capacity_Resource,$E91,'Critical resources (hide)'!BL$6:BL$105)+SUMIF(Capacity_Resource,$F91,'Critical resources (hide)'!BL$6:BL$105)&gt;0,$E$1=2),0,1),0)</f>
        <v>1</v>
      </c>
      <c r="AZ91" s="67">
        <f ca="1">IF(LOWER(Capacity!$L103)="x",IF(AND(SUMIF(Capacity_Resource,$D91,'Critical resources (hide)'!BM$6:BM$105)+SUMIF(Capacity_Resource,$E91,'Critical resources (hide)'!BM$6:BM$105)+SUMIF(Capacity_Resource,$F91,'Critical resources (hide)'!BM$6:BM$105)&gt;0,$E$1=2),0,1),0)</f>
        <v>1</v>
      </c>
      <c r="BA91" s="67">
        <f ca="1">IF(LOWER(Capacity!$L103)="x",IF(AND(SUMIF(Capacity_Resource,$D91,'Critical resources (hide)'!BN$6:BN$105)+SUMIF(Capacity_Resource,$E91,'Critical resources (hide)'!BN$6:BN$105)+SUMIF(Capacity_Resource,$F91,'Critical resources (hide)'!BN$6:BN$105)&gt;0,$E$1=2),0,1),0)</f>
        <v>1</v>
      </c>
      <c r="BB91" s="67">
        <f ca="1">IF(LOWER(Capacity!$L103)="x",IF(AND(SUMIF(Capacity_Resource,$D91,'Critical resources (hide)'!BO$6:BO$105)+SUMIF(Capacity_Resource,$E91,'Critical resources (hide)'!BO$6:BO$105)+SUMIF(Capacity_Resource,$F91,'Critical resources (hide)'!BO$6:BO$105)&gt;0,$E$1=2),0,1),0)</f>
        <v>1</v>
      </c>
      <c r="BC91" s="67">
        <f ca="1">IF(LOWER(Capacity!$L103)="x",IF(AND(SUMIF(Capacity_Resource,$D91,'Critical resources (hide)'!BP$6:BP$105)+SUMIF(Capacity_Resource,$E91,'Critical resources (hide)'!BP$6:BP$105)+SUMIF(Capacity_Resource,$F91,'Critical resources (hide)'!BP$6:BP$105)&gt;0,$E$1=2),0,1),0)</f>
        <v>1</v>
      </c>
      <c r="BD91" s="67">
        <f ca="1">IF(LOWER(Capacity!$L103)="x",IF(AND(SUMIF(Capacity_Resource,$D91,'Critical resources (hide)'!BQ$6:BQ$105)+SUMIF(Capacity_Resource,$E91,'Critical resources (hide)'!BQ$6:BQ$105)+SUMIF(Capacity_Resource,$F91,'Critical resources (hide)'!BQ$6:BQ$105)&gt;0,$E$1=2),0,1),0)</f>
        <v>1</v>
      </c>
      <c r="BE91" s="67">
        <f ca="1">IF(LOWER(Capacity!$L103)="x",IF(AND(SUMIF(Capacity_Resource,$D91,'Critical resources (hide)'!BR$6:BR$105)+SUMIF(Capacity_Resource,$E91,'Critical resources (hide)'!BR$6:BR$105)+SUMIF(Capacity_Resource,$F91,'Critical resources (hide)'!BR$6:BR$105)&gt;0,$E$1=2),0,1),0)</f>
        <v>1</v>
      </c>
      <c r="BF91" s="67">
        <f ca="1">IF(LOWER(Capacity!$L103)="x",IF(AND(SUMIF(Capacity_Resource,$D91,'Critical resources (hide)'!BS$6:BS$105)+SUMIF(Capacity_Resource,$E91,'Critical resources (hide)'!BS$6:BS$105)+SUMIF(Capacity_Resource,$F91,'Critical resources (hide)'!BS$6:BS$105)&gt;0,$E$1=2),0,1),0)</f>
        <v>1</v>
      </c>
      <c r="BG91" s="67">
        <f ca="1">IF(LOWER(Capacity!$L103)="x",IF(AND(SUMIF(Capacity_Resource,$D91,'Critical resources (hide)'!BT$6:BT$105)+SUMIF(Capacity_Resource,$E91,'Critical resources (hide)'!BT$6:BT$105)+SUMIF(Capacity_Resource,$F91,'Critical resources (hide)'!BT$6:BT$105)&gt;0,$E$1=2),0,1),0)</f>
        <v>1</v>
      </c>
      <c r="BH91" s="67">
        <f>IF(ROW(C87)&lt;=Capacity!$A$16,IF('Capacity summary'!$D$14="No",SUM(H91:BG91),'Capacity summary'!$E210),0)</f>
        <v>0</v>
      </c>
      <c r="BI91" s="5" t="str">
        <f>IF(BH91&gt;0,IF(BH91&lt;Capacity!E103,Capacity!F103,Capacity!H103/'Capacity calculation (hide)'!BH91),"")</f>
        <v/>
      </c>
      <c r="BK91" s="311">
        <f>IF($BI91&lt;&gt;"",IF('Capacity summary'!$D$14="Yes",IF(COUNTBLANK('Capacity summary'!$H210:$BG210)&lt;52,IF('Capacity summary'!H210&lt;&gt;"",IF(LOWER('Capacity summary'!H210)="x",$BI91*H91,VALUE('Capacity summary'!H210)),0),H91*$BI91),H91*$BI91),0)</f>
        <v>0</v>
      </c>
      <c r="BL91" s="311">
        <f>IF($BI91&lt;&gt;"",IF('Capacity summary'!$D$14="Yes",IF(COUNTBLANK('Capacity summary'!$H210:$BG210)&lt;52,IF('Capacity summary'!I210&lt;&gt;"",IF(LOWER('Capacity summary'!I210)="x",$BI91*I91,VALUE('Capacity summary'!I210)),0),I91*$BI91),I91*$BI91),0)</f>
        <v>0</v>
      </c>
      <c r="BM91" s="311">
        <f>IF($BI91&lt;&gt;"",IF('Capacity summary'!$D$14="Yes",IF(COUNTBLANK('Capacity summary'!$H210:$BG210)&lt;52,IF('Capacity summary'!J210&lt;&gt;"",IF(LOWER('Capacity summary'!J210)="x",$BI91*J91,VALUE('Capacity summary'!J210)),0),J91*$BI91),J91*$BI91),0)</f>
        <v>0</v>
      </c>
      <c r="BN91" s="311">
        <f>IF($BI91&lt;&gt;"",IF('Capacity summary'!$D$14="Yes",IF(COUNTBLANK('Capacity summary'!$H210:$BG210)&lt;52,IF('Capacity summary'!K210&lt;&gt;"",IF(LOWER('Capacity summary'!K210)="x",$BI91*K91,VALUE('Capacity summary'!K210)),0),K91*$BI91),K91*$BI91),0)</f>
        <v>0</v>
      </c>
      <c r="BO91" s="311">
        <f>IF($BI91&lt;&gt;"",IF('Capacity summary'!$D$14="Yes",IF(COUNTBLANK('Capacity summary'!$H210:$BG210)&lt;52,IF('Capacity summary'!L210&lt;&gt;"",IF(LOWER('Capacity summary'!L210)="x",$BI91*L91,VALUE('Capacity summary'!L210)),0),L91*$BI91),L91*$BI91),0)</f>
        <v>0</v>
      </c>
      <c r="BP91" s="311">
        <f>IF($BI91&lt;&gt;"",IF('Capacity summary'!$D$14="Yes",IF(COUNTBLANK('Capacity summary'!$H210:$BG210)&lt;52,IF('Capacity summary'!M210&lt;&gt;"",IF(LOWER('Capacity summary'!M210)="x",$BI91*M91,VALUE('Capacity summary'!M210)),0),M91*$BI91),M91*$BI91),0)</f>
        <v>0</v>
      </c>
      <c r="BQ91" s="311">
        <f>IF($BI91&lt;&gt;"",IF('Capacity summary'!$D$14="Yes",IF(COUNTBLANK('Capacity summary'!$H210:$BG210)&lt;52,IF('Capacity summary'!N210&lt;&gt;"",IF(LOWER('Capacity summary'!N210)="x",$BI91*N91,VALUE('Capacity summary'!N210)),0),N91*$BI91),N91*$BI91),0)</f>
        <v>0</v>
      </c>
      <c r="BR91" s="311">
        <f>IF($BI91&lt;&gt;"",IF('Capacity summary'!$D$14="Yes",IF(COUNTBLANK('Capacity summary'!$H210:$BG210)&lt;52,IF('Capacity summary'!O210&lt;&gt;"",IF(LOWER('Capacity summary'!O210)="x",$BI91*O91,VALUE('Capacity summary'!O210)),0),O91*$BI91),O91*$BI91),0)</f>
        <v>0</v>
      </c>
      <c r="BS91" s="311">
        <f>IF($BI91&lt;&gt;"",IF('Capacity summary'!$D$14="Yes",IF(COUNTBLANK('Capacity summary'!$H210:$BG210)&lt;52,IF('Capacity summary'!P210&lt;&gt;"",IF(LOWER('Capacity summary'!P210)="x",$BI91*P91,VALUE('Capacity summary'!P210)),0),P91*$BI91),P91*$BI91),0)</f>
        <v>0</v>
      </c>
      <c r="BT91" s="311">
        <f>IF($BI91&lt;&gt;"",IF('Capacity summary'!$D$14="Yes",IF(COUNTBLANK('Capacity summary'!$H210:$BG210)&lt;52,IF('Capacity summary'!Q210&lt;&gt;"",IF(LOWER('Capacity summary'!Q210)="x",$BI91*Q91,VALUE('Capacity summary'!Q210)),0),Q91*$BI91),Q91*$BI91),0)</f>
        <v>0</v>
      </c>
      <c r="BU91" s="311">
        <f>IF($BI91&lt;&gt;"",IF('Capacity summary'!$D$14="Yes",IF(COUNTBLANK('Capacity summary'!$H210:$BG210)&lt;52,IF('Capacity summary'!R210&lt;&gt;"",IF(LOWER('Capacity summary'!R210)="x",$BI91*R91,VALUE('Capacity summary'!R210)),0),R91*$BI91),R91*$BI91),0)</f>
        <v>0</v>
      </c>
      <c r="BV91" s="311">
        <f>IF($BI91&lt;&gt;"",IF('Capacity summary'!$D$14="Yes",IF(COUNTBLANK('Capacity summary'!$H210:$BG210)&lt;52,IF('Capacity summary'!S210&lt;&gt;"",IF(LOWER('Capacity summary'!S210)="x",$BI91*S91,VALUE('Capacity summary'!S210)),0),S91*$BI91),S91*$BI91),0)</f>
        <v>0</v>
      </c>
      <c r="BW91" s="311">
        <f>IF($BI91&lt;&gt;"",IF('Capacity summary'!$D$14="Yes",IF(COUNTBLANK('Capacity summary'!$H210:$BG210)&lt;52,IF('Capacity summary'!T210&lt;&gt;"",IF(LOWER('Capacity summary'!T210)="x",$BI91*T91,VALUE('Capacity summary'!T210)),0),T91*$BI91),T91*$BI91),0)</f>
        <v>0</v>
      </c>
      <c r="BX91" s="311">
        <f>IF($BI91&lt;&gt;"",IF('Capacity summary'!$D$14="Yes",IF(COUNTBLANK('Capacity summary'!$H210:$BG210)&lt;52,IF('Capacity summary'!U210&lt;&gt;"",IF(LOWER('Capacity summary'!U210)="x",$BI91*U91,VALUE('Capacity summary'!U210)),0),U91*$BI91),U91*$BI91),0)</f>
        <v>0</v>
      </c>
      <c r="BY91" s="311">
        <f>IF($BI91&lt;&gt;"",IF('Capacity summary'!$D$14="Yes",IF(COUNTBLANK('Capacity summary'!$H210:$BG210)&lt;52,IF('Capacity summary'!V210&lt;&gt;"",IF(LOWER('Capacity summary'!V210)="x",$BI91*V91,VALUE('Capacity summary'!V210)),0),V91*$BI91),V91*$BI91),0)</f>
        <v>0</v>
      </c>
      <c r="BZ91" s="311">
        <f>IF($BI91&lt;&gt;"",IF('Capacity summary'!$D$14="Yes",IF(COUNTBLANK('Capacity summary'!$H210:$BG210)&lt;52,IF('Capacity summary'!W210&lt;&gt;"",IF(LOWER('Capacity summary'!W210)="x",$BI91*W91,VALUE('Capacity summary'!W210)),0),W91*$BI91),W91*$BI91),0)</f>
        <v>0</v>
      </c>
      <c r="CA91" s="311">
        <f>IF($BI91&lt;&gt;"",IF('Capacity summary'!$D$14="Yes",IF(COUNTBLANK('Capacity summary'!$H210:$BG210)&lt;52,IF('Capacity summary'!X210&lt;&gt;"",IF(LOWER('Capacity summary'!X210)="x",$BI91*X91,VALUE('Capacity summary'!X210)),0),X91*$BI91),X91*$BI91),0)</f>
        <v>0</v>
      </c>
      <c r="CB91" s="311">
        <f>IF($BI91&lt;&gt;"",IF('Capacity summary'!$D$14="Yes",IF(COUNTBLANK('Capacity summary'!$H210:$BG210)&lt;52,IF('Capacity summary'!Y210&lt;&gt;"",IF(LOWER('Capacity summary'!Y210)="x",$BI91*Y91,VALUE('Capacity summary'!Y210)),0),Y91*$BI91),Y91*$BI91),0)</f>
        <v>0</v>
      </c>
      <c r="CC91" s="311">
        <f>IF($BI91&lt;&gt;"",IF('Capacity summary'!$D$14="Yes",IF(COUNTBLANK('Capacity summary'!$H210:$BG210)&lt;52,IF('Capacity summary'!Z210&lt;&gt;"",IF(LOWER('Capacity summary'!Z210)="x",$BI91*Z91,VALUE('Capacity summary'!Z210)),0),Z91*$BI91),Z91*$BI91),0)</f>
        <v>0</v>
      </c>
      <c r="CD91" s="311">
        <f>IF($BI91&lt;&gt;"",IF('Capacity summary'!$D$14="Yes",IF(COUNTBLANK('Capacity summary'!$H210:$BG210)&lt;52,IF('Capacity summary'!AA210&lt;&gt;"",IF(LOWER('Capacity summary'!AA210)="x",$BI91*AA91,VALUE('Capacity summary'!AA210)),0),AA91*$BI91),AA91*$BI91),0)</f>
        <v>0</v>
      </c>
      <c r="CE91" s="311">
        <f>IF($BI91&lt;&gt;"",IF('Capacity summary'!$D$14="Yes",IF(COUNTBLANK('Capacity summary'!$H210:$BG210)&lt;52,IF('Capacity summary'!AB210&lt;&gt;"",IF(LOWER('Capacity summary'!AB210)="x",$BI91*AB91,VALUE('Capacity summary'!AB210)),0),AB91*$BI91),AB91*$BI91),0)</f>
        <v>0</v>
      </c>
      <c r="CF91" s="311">
        <f>IF($BI91&lt;&gt;"",IF('Capacity summary'!$D$14="Yes",IF(COUNTBLANK('Capacity summary'!$H210:$BG210)&lt;52,IF('Capacity summary'!AC210&lt;&gt;"",IF(LOWER('Capacity summary'!AC210)="x",$BI91*AC91,VALUE('Capacity summary'!AC210)),0),AC91*$BI91),AC91*$BI91),0)</f>
        <v>0</v>
      </c>
      <c r="CG91" s="311">
        <f>IF($BI91&lt;&gt;"",IF('Capacity summary'!$D$14="Yes",IF(COUNTBLANK('Capacity summary'!$H210:$BG210)&lt;52,IF('Capacity summary'!AD210&lt;&gt;"",IF(LOWER('Capacity summary'!AD210)="x",$BI91*AD91,VALUE('Capacity summary'!AD210)),0),AD91*$BI91),AD91*$BI91),0)</f>
        <v>0</v>
      </c>
      <c r="CH91" s="311">
        <f>IF($BI91&lt;&gt;"",IF('Capacity summary'!$D$14="Yes",IF(COUNTBLANK('Capacity summary'!$H210:$BG210)&lt;52,IF('Capacity summary'!AE210&lt;&gt;"",IF(LOWER('Capacity summary'!AE210)="x",$BI91*AE91,VALUE('Capacity summary'!AE210)),0),AE91*$BI91),AE91*$BI91),0)</f>
        <v>0</v>
      </c>
      <c r="CI91" s="311">
        <f>IF($BI91&lt;&gt;"",IF('Capacity summary'!$D$14="Yes",IF(COUNTBLANK('Capacity summary'!$H210:$BG210)&lt;52,IF('Capacity summary'!AF210&lt;&gt;"",IF(LOWER('Capacity summary'!AF210)="x",$BI91*AF91,VALUE('Capacity summary'!AF210)),0),AF91*$BI91),AF91*$BI91),0)</f>
        <v>0</v>
      </c>
      <c r="CJ91" s="311">
        <f>IF($BI91&lt;&gt;"",IF('Capacity summary'!$D$14="Yes",IF(COUNTBLANK('Capacity summary'!$H210:$BG210)&lt;52,IF('Capacity summary'!AG210&lt;&gt;"",IF(LOWER('Capacity summary'!AG210)="x",$BI91*AG91,VALUE('Capacity summary'!AG210)),0),AG91*$BI91),AG91*$BI91),0)</f>
        <v>0</v>
      </c>
      <c r="CK91" s="311">
        <f>IF($BI91&lt;&gt;"",IF('Capacity summary'!$D$14="Yes",IF(COUNTBLANK('Capacity summary'!$H210:$BG210)&lt;52,IF('Capacity summary'!AH210&lt;&gt;"",IF(LOWER('Capacity summary'!AH210)="x",$BI91*AH91,VALUE('Capacity summary'!AH210)),0),AH91*$BI91),AH91*$BI91),0)</f>
        <v>0</v>
      </c>
      <c r="CL91" s="311">
        <f>IF($BI91&lt;&gt;"",IF('Capacity summary'!$D$14="Yes",IF(COUNTBLANK('Capacity summary'!$H210:$BG210)&lt;52,IF('Capacity summary'!AI210&lt;&gt;"",IF(LOWER('Capacity summary'!AI210)="x",$BI91*AI91,VALUE('Capacity summary'!AI210)),0),AI91*$BI91),AI91*$BI91),0)</f>
        <v>0</v>
      </c>
      <c r="CM91" s="311">
        <f>IF($BI91&lt;&gt;"",IF('Capacity summary'!$D$14="Yes",IF(COUNTBLANK('Capacity summary'!$H210:$BG210)&lt;52,IF('Capacity summary'!AJ210&lt;&gt;"",IF(LOWER('Capacity summary'!AJ210)="x",$BI91*AJ91,VALUE('Capacity summary'!AJ210)),0),AJ91*$BI91),AJ91*$BI91),0)</f>
        <v>0</v>
      </c>
      <c r="CN91" s="311">
        <f>IF($BI91&lt;&gt;"",IF('Capacity summary'!$D$14="Yes",IF(COUNTBLANK('Capacity summary'!$H210:$BG210)&lt;52,IF('Capacity summary'!AK210&lt;&gt;"",IF(LOWER('Capacity summary'!AK210)="x",$BI91*AK91,VALUE('Capacity summary'!AK210)),0),AK91*$BI91),AK91*$BI91),0)</f>
        <v>0</v>
      </c>
      <c r="CO91" s="311">
        <f>IF($BI91&lt;&gt;"",IF('Capacity summary'!$D$14="Yes",IF(COUNTBLANK('Capacity summary'!$H210:$BG210)&lt;52,IF('Capacity summary'!AL210&lt;&gt;"",IF(LOWER('Capacity summary'!AL210)="x",$BI91*AL91,VALUE('Capacity summary'!AL210)),0),AL91*$BI91),AL91*$BI91),0)</f>
        <v>0</v>
      </c>
      <c r="CP91" s="311">
        <f>IF($BI91&lt;&gt;"",IF('Capacity summary'!$D$14="Yes",IF(COUNTBLANK('Capacity summary'!$H210:$BG210)&lt;52,IF('Capacity summary'!AM210&lt;&gt;"",IF(LOWER('Capacity summary'!AM210)="x",$BI91*AM91,VALUE('Capacity summary'!AM210)),0),AM91*$BI91),AM91*$BI91),0)</f>
        <v>0</v>
      </c>
      <c r="CQ91" s="311">
        <f>IF($BI91&lt;&gt;"",IF('Capacity summary'!$D$14="Yes",IF(COUNTBLANK('Capacity summary'!$H210:$BG210)&lt;52,IF('Capacity summary'!AN210&lt;&gt;"",IF(LOWER('Capacity summary'!AN210)="x",$BI91*AN91,VALUE('Capacity summary'!AN210)),0),AN91*$BI91),AN91*$BI91),0)</f>
        <v>0</v>
      </c>
      <c r="CR91" s="311">
        <f>IF($BI91&lt;&gt;"",IF('Capacity summary'!$D$14="Yes",IF(COUNTBLANK('Capacity summary'!$H210:$BG210)&lt;52,IF('Capacity summary'!AO210&lt;&gt;"",IF(LOWER('Capacity summary'!AO210)="x",$BI91*AO91,VALUE('Capacity summary'!AO210)),0),AO91*$BI91),AO91*$BI91),0)</f>
        <v>0</v>
      </c>
      <c r="CS91" s="311">
        <f>IF($BI91&lt;&gt;"",IF('Capacity summary'!$D$14="Yes",IF(COUNTBLANK('Capacity summary'!$H210:$BG210)&lt;52,IF('Capacity summary'!AP210&lt;&gt;"",IF(LOWER('Capacity summary'!AP210)="x",$BI91*AP91,VALUE('Capacity summary'!AP210)),0),AP91*$BI91),AP91*$BI91),0)</f>
        <v>0</v>
      </c>
      <c r="CT91" s="311">
        <f>IF($BI91&lt;&gt;"",IF('Capacity summary'!$D$14="Yes",IF(COUNTBLANK('Capacity summary'!$H210:$BG210)&lt;52,IF('Capacity summary'!AQ210&lt;&gt;"",IF(LOWER('Capacity summary'!AQ210)="x",$BI91*AQ91,VALUE('Capacity summary'!AQ210)),0),AQ91*$BI91),AQ91*$BI91),0)</f>
        <v>0</v>
      </c>
      <c r="CU91" s="311">
        <f>IF($BI91&lt;&gt;"",IF('Capacity summary'!$D$14="Yes",IF(COUNTBLANK('Capacity summary'!$H210:$BG210)&lt;52,IF('Capacity summary'!AR210&lt;&gt;"",IF(LOWER('Capacity summary'!AR210)="x",$BI91*AR91,VALUE('Capacity summary'!AR210)),0),AR91*$BI91),AR91*$BI91),0)</f>
        <v>0</v>
      </c>
      <c r="CV91" s="311">
        <f>IF($BI91&lt;&gt;"",IF('Capacity summary'!$D$14="Yes",IF(COUNTBLANK('Capacity summary'!$H210:$BG210)&lt;52,IF('Capacity summary'!AS210&lt;&gt;"",IF(LOWER('Capacity summary'!AS210)="x",$BI91*AS91,VALUE('Capacity summary'!AS210)),0),AS91*$BI91),AS91*$BI91),0)</f>
        <v>0</v>
      </c>
      <c r="CW91" s="311">
        <f>IF($BI91&lt;&gt;"",IF('Capacity summary'!$D$14="Yes",IF(COUNTBLANK('Capacity summary'!$H210:$BG210)&lt;52,IF('Capacity summary'!AT210&lt;&gt;"",IF(LOWER('Capacity summary'!AT210)="x",$BI91*AT91,VALUE('Capacity summary'!AT210)),0),AT91*$BI91),AT91*$BI91),0)</f>
        <v>0</v>
      </c>
      <c r="CX91" s="311">
        <f>IF($BI91&lt;&gt;"",IF('Capacity summary'!$D$14="Yes",IF(COUNTBLANK('Capacity summary'!$H210:$BG210)&lt;52,IF('Capacity summary'!AU210&lt;&gt;"",IF(LOWER('Capacity summary'!AU210)="x",$BI91*AU91,VALUE('Capacity summary'!AU210)),0),AU91*$BI91),AU91*$BI91),0)</f>
        <v>0</v>
      </c>
      <c r="CY91" s="311">
        <f>IF($BI91&lt;&gt;"",IF('Capacity summary'!$D$14="Yes",IF(COUNTBLANK('Capacity summary'!$H210:$BG210)&lt;52,IF('Capacity summary'!AV210&lt;&gt;"",IF(LOWER('Capacity summary'!AV210)="x",$BI91*AV91,VALUE('Capacity summary'!AV210)),0),AV91*$BI91),AV91*$BI91),0)</f>
        <v>0</v>
      </c>
      <c r="CZ91" s="311">
        <f>IF($BI91&lt;&gt;"",IF('Capacity summary'!$D$14="Yes",IF(COUNTBLANK('Capacity summary'!$H210:$BG210)&lt;52,IF('Capacity summary'!AW210&lt;&gt;"",IF(LOWER('Capacity summary'!AW210)="x",$BI91*AW91,VALUE('Capacity summary'!AW210)),0),AW91*$BI91),AW91*$BI91),0)</f>
        <v>0</v>
      </c>
      <c r="DA91" s="311">
        <f>IF($BI91&lt;&gt;"",IF('Capacity summary'!$D$14="Yes",IF(COUNTBLANK('Capacity summary'!$H210:$BG210)&lt;52,IF('Capacity summary'!AX210&lt;&gt;"",IF(LOWER('Capacity summary'!AX210)="x",$BI91*AX91,VALUE('Capacity summary'!AX210)),0),AX91*$BI91),AX91*$BI91),0)</f>
        <v>0</v>
      </c>
      <c r="DB91" s="311">
        <f>IF($BI91&lt;&gt;"",IF('Capacity summary'!$D$14="Yes",IF(COUNTBLANK('Capacity summary'!$H210:$BG210)&lt;52,IF('Capacity summary'!AY210&lt;&gt;"",IF(LOWER('Capacity summary'!AY210)="x",$BI91*AY91,VALUE('Capacity summary'!AY210)),0),AY91*$BI91),AY91*$BI91),0)</f>
        <v>0</v>
      </c>
      <c r="DC91" s="311">
        <f>IF($BI91&lt;&gt;"",IF('Capacity summary'!$D$14="Yes",IF(COUNTBLANK('Capacity summary'!$H210:$BG210)&lt;52,IF('Capacity summary'!AZ210&lt;&gt;"",IF(LOWER('Capacity summary'!AZ210)="x",$BI91*AZ91,VALUE('Capacity summary'!AZ210)),0),AZ91*$BI91),AZ91*$BI91),0)</f>
        <v>0</v>
      </c>
      <c r="DD91" s="311">
        <f>IF($BI91&lt;&gt;"",IF('Capacity summary'!$D$14="Yes",IF(COUNTBLANK('Capacity summary'!$H210:$BG210)&lt;52,IF('Capacity summary'!BA210&lt;&gt;"",IF(LOWER('Capacity summary'!BA210)="x",$BI91*BA91,VALUE('Capacity summary'!BA210)),0),BA91*$BI91),BA91*$BI91),0)</f>
        <v>0</v>
      </c>
      <c r="DE91" s="311">
        <f>IF($BI91&lt;&gt;"",IF('Capacity summary'!$D$14="Yes",IF(COUNTBLANK('Capacity summary'!$H210:$BG210)&lt;52,IF('Capacity summary'!BB210&lt;&gt;"",IF(LOWER('Capacity summary'!BB210)="x",$BI91*BB91,VALUE('Capacity summary'!BB210)),0),BB91*$BI91),BB91*$BI91),0)</f>
        <v>0</v>
      </c>
      <c r="DF91" s="311">
        <f>IF($BI91&lt;&gt;"",IF('Capacity summary'!$D$14="Yes",IF(COUNTBLANK('Capacity summary'!$H210:$BG210)&lt;52,IF('Capacity summary'!BC210&lt;&gt;"",IF(LOWER('Capacity summary'!BC210)="x",$BI91*BC91,VALUE('Capacity summary'!BC210)),0),BC91*$BI91),BC91*$BI91),0)</f>
        <v>0</v>
      </c>
      <c r="DG91" s="311">
        <f>IF($BI91&lt;&gt;"",IF('Capacity summary'!$D$14="Yes",IF(COUNTBLANK('Capacity summary'!$H210:$BG210)&lt;52,IF('Capacity summary'!BD210&lt;&gt;"",IF(LOWER('Capacity summary'!BD210)="x",$BI91*BD91,VALUE('Capacity summary'!BD210)),0),BD91*$BI91),BD91*$BI91),0)</f>
        <v>0</v>
      </c>
      <c r="DH91" s="311">
        <f>IF($BI91&lt;&gt;"",IF('Capacity summary'!$D$14="Yes",IF(COUNTBLANK('Capacity summary'!$H210:$BG210)&lt;52,IF('Capacity summary'!BE210&lt;&gt;"",IF(LOWER('Capacity summary'!BE210)="x",$BI91*BE91,VALUE('Capacity summary'!BE210)),0),BE91*$BI91),BE91*$BI91),0)</f>
        <v>0</v>
      </c>
      <c r="DI91" s="311">
        <f>IF($BI91&lt;&gt;"",IF('Capacity summary'!$D$14="Yes",IF(COUNTBLANK('Capacity summary'!$H210:$BG210)&lt;52,IF('Capacity summary'!BF210&lt;&gt;"",IF(LOWER('Capacity summary'!BF210)="x",$BI91*BF91,VALUE('Capacity summary'!BF210)),0),BF91*$BI91),BF91*$BI91),0)</f>
        <v>0</v>
      </c>
      <c r="DJ91" s="311">
        <f>IF($BI91&lt;&gt;"",IF('Capacity summary'!$D$14="Yes",IF(COUNTBLANK('Capacity summary'!$H210:$BG210)&lt;52,IF('Capacity summary'!BG210&lt;&gt;"",IF(LOWER('Capacity summary'!BG210)="x",$BI91*BG91,VALUE('Capacity summary'!BG210)),0),BG91*$BI91),BG91*$BI91),0)</f>
        <v>0</v>
      </c>
      <c r="DK91" s="391">
        <f t="shared" si="4"/>
        <v>0</v>
      </c>
      <c r="DL91" s="136">
        <f t="shared" si="5"/>
        <v>0</v>
      </c>
      <c r="DM91" s="311" t="str">
        <f>Capacity!H103</f>
        <v/>
      </c>
    </row>
    <row r="92" spans="1:117" x14ac:dyDescent="0.2">
      <c r="A92" s="67">
        <f>IF(Capacity!L104='Capacity summary'!BI211,1,0)</f>
        <v>1</v>
      </c>
      <c r="B92" s="67">
        <f>IF(Capacity!V104='Capacity summary'!BI111,1,0)</f>
        <v>1</v>
      </c>
      <c r="C92" s="67" t="str">
        <f>ROW(A88)&amp;". "&amp;Capacity!B104</f>
        <v xml:space="preserve">88. </v>
      </c>
      <c r="D92" s="67">
        <f>'Capacity setup'!C99</f>
        <v>0</v>
      </c>
      <c r="E92" s="67">
        <f>'Capacity setup'!D99</f>
        <v>0</v>
      </c>
      <c r="F92" s="67">
        <f>'Capacity setup'!E99</f>
        <v>0</v>
      </c>
      <c r="H92" s="67">
        <f ca="1">IF(LOWER(Capacity!$L104)="x",IF(AND(SUMIF(Capacity_Resource,$D92,'Critical resources (hide)'!U$6:U$105)+SUMIF(Capacity_Resource,$E92,'Critical resources (hide)'!U$6:U$105)+SUMIF(Capacity_Resource,$F92,'Critical resources (hide)'!U$6:U$105)&gt;0,$E$1=2),0,1),0)</f>
        <v>1</v>
      </c>
      <c r="I92" s="67">
        <f ca="1">IF(LOWER(Capacity!$L104)="x",IF(AND(SUMIF(Capacity_Resource,$D92,'Critical resources (hide)'!V$6:V$105)+SUMIF(Capacity_Resource,$E92,'Critical resources (hide)'!V$6:V$105)+SUMIF(Capacity_Resource,$F92,'Critical resources (hide)'!V$6:V$105)&gt;0,$E$1=2),0,1),0)</f>
        <v>1</v>
      </c>
      <c r="J92" s="67">
        <f ca="1">IF(LOWER(Capacity!$L104)="x",IF(AND(SUMIF(Capacity_Resource,$D92,'Critical resources (hide)'!W$6:W$105)+SUMIF(Capacity_Resource,$E92,'Critical resources (hide)'!W$6:W$105)+SUMIF(Capacity_Resource,$F92,'Critical resources (hide)'!W$6:W$105)&gt;0,$E$1=2),0,1),0)</f>
        <v>1</v>
      </c>
      <c r="K92" s="67">
        <f ca="1">IF(LOWER(Capacity!$L104)="x",IF(AND(SUMIF(Capacity_Resource,$D92,'Critical resources (hide)'!X$6:X$105)+SUMIF(Capacity_Resource,$E92,'Critical resources (hide)'!X$6:X$105)+SUMIF(Capacity_Resource,$F92,'Critical resources (hide)'!X$6:X$105)&gt;0,$E$1=2),0,1),0)</f>
        <v>1</v>
      </c>
      <c r="L92" s="67">
        <f ca="1">IF(LOWER(Capacity!$L104)="x",IF(AND(SUMIF(Capacity_Resource,$D92,'Critical resources (hide)'!Y$6:Y$105)+SUMIF(Capacity_Resource,$E92,'Critical resources (hide)'!Y$6:Y$105)+SUMIF(Capacity_Resource,$F92,'Critical resources (hide)'!Y$6:Y$105)&gt;0,$E$1=2),0,1),0)</f>
        <v>1</v>
      </c>
      <c r="M92" s="67">
        <f ca="1">IF(LOWER(Capacity!$L104)="x",IF(AND(SUMIF(Capacity_Resource,$D92,'Critical resources (hide)'!Z$6:Z$105)+SUMIF(Capacity_Resource,$E92,'Critical resources (hide)'!Z$6:Z$105)+SUMIF(Capacity_Resource,$F92,'Critical resources (hide)'!Z$6:Z$105)&gt;0,$E$1=2),0,1),0)</f>
        <v>1</v>
      </c>
      <c r="N92" s="67">
        <f ca="1">IF(LOWER(Capacity!$L104)="x",IF(AND(SUMIF(Capacity_Resource,$D92,'Critical resources (hide)'!AA$6:AA$105)+SUMIF(Capacity_Resource,$E92,'Critical resources (hide)'!AA$6:AA$105)+SUMIF(Capacity_Resource,$F92,'Critical resources (hide)'!AA$6:AA$105)&gt;0,$E$1=2),0,1),0)</f>
        <v>1</v>
      </c>
      <c r="O92" s="67">
        <f ca="1">IF(LOWER(Capacity!$L104)="x",IF(AND(SUMIF(Capacity_Resource,$D92,'Critical resources (hide)'!AB$6:AB$105)+SUMIF(Capacity_Resource,$E92,'Critical resources (hide)'!AB$6:AB$105)+SUMIF(Capacity_Resource,$F92,'Critical resources (hide)'!AB$6:AB$105)&gt;0,$E$1=2),0,1),0)</f>
        <v>1</v>
      </c>
      <c r="P92" s="67">
        <f ca="1">IF(LOWER(Capacity!$L104)="x",IF(AND(SUMIF(Capacity_Resource,$D92,'Critical resources (hide)'!AC$6:AC$105)+SUMIF(Capacity_Resource,$E92,'Critical resources (hide)'!AC$6:AC$105)+SUMIF(Capacity_Resource,$F92,'Critical resources (hide)'!AC$6:AC$105)&gt;0,$E$1=2),0,1),0)</f>
        <v>1</v>
      </c>
      <c r="Q92" s="67">
        <f ca="1">IF(LOWER(Capacity!$L104)="x",IF(AND(SUMIF(Capacity_Resource,$D92,'Critical resources (hide)'!AD$6:AD$105)+SUMIF(Capacity_Resource,$E92,'Critical resources (hide)'!AD$6:AD$105)+SUMIF(Capacity_Resource,$F92,'Critical resources (hide)'!AD$6:AD$105)&gt;0,$E$1=2),0,1),0)</f>
        <v>1</v>
      </c>
      <c r="R92" s="67">
        <f ca="1">IF(LOWER(Capacity!$L104)="x",IF(AND(SUMIF(Capacity_Resource,$D92,'Critical resources (hide)'!AE$6:AE$105)+SUMIF(Capacity_Resource,$E92,'Critical resources (hide)'!AE$6:AE$105)+SUMIF(Capacity_Resource,$F92,'Critical resources (hide)'!AE$6:AE$105)&gt;0,$E$1=2),0,1),0)</f>
        <v>1</v>
      </c>
      <c r="S92" s="67">
        <f ca="1">IF(LOWER(Capacity!$L104)="x",IF(AND(SUMIF(Capacity_Resource,$D92,'Critical resources (hide)'!AF$6:AF$105)+SUMIF(Capacity_Resource,$E92,'Critical resources (hide)'!AF$6:AF$105)+SUMIF(Capacity_Resource,$F92,'Critical resources (hide)'!AF$6:AF$105)&gt;0,$E$1=2),0,1),0)</f>
        <v>1</v>
      </c>
      <c r="T92" s="67">
        <f ca="1">IF(LOWER(Capacity!$L104)="x",IF(AND(SUMIF(Capacity_Resource,$D92,'Critical resources (hide)'!AG$6:AG$105)+SUMIF(Capacity_Resource,$E92,'Critical resources (hide)'!AG$6:AG$105)+SUMIF(Capacity_Resource,$F92,'Critical resources (hide)'!AG$6:AG$105)&gt;0,$E$1=2),0,1),0)</f>
        <v>1</v>
      </c>
      <c r="U92" s="67">
        <f ca="1">IF(LOWER(Capacity!$L104)="x",IF(AND(SUMIF(Capacity_Resource,$D92,'Critical resources (hide)'!AH$6:AH$105)+SUMIF(Capacity_Resource,$E92,'Critical resources (hide)'!AH$6:AH$105)+SUMIF(Capacity_Resource,$F92,'Critical resources (hide)'!AH$6:AH$105)&gt;0,$E$1=2),0,1),0)</f>
        <v>1</v>
      </c>
      <c r="V92" s="67">
        <f ca="1">IF(LOWER(Capacity!$L104)="x",IF(AND(SUMIF(Capacity_Resource,$D92,'Critical resources (hide)'!AI$6:AI$105)+SUMIF(Capacity_Resource,$E92,'Critical resources (hide)'!AI$6:AI$105)+SUMIF(Capacity_Resource,$F92,'Critical resources (hide)'!AI$6:AI$105)&gt;0,$E$1=2),0,1),0)</f>
        <v>1</v>
      </c>
      <c r="W92" s="67">
        <f ca="1">IF(LOWER(Capacity!$L104)="x",IF(AND(SUMIF(Capacity_Resource,$D92,'Critical resources (hide)'!AJ$6:AJ$105)+SUMIF(Capacity_Resource,$E92,'Critical resources (hide)'!AJ$6:AJ$105)+SUMIF(Capacity_Resource,$F92,'Critical resources (hide)'!AJ$6:AJ$105)&gt;0,$E$1=2),0,1),0)</f>
        <v>1</v>
      </c>
      <c r="X92" s="67">
        <f ca="1">IF(LOWER(Capacity!$L104)="x",IF(AND(SUMIF(Capacity_Resource,$D92,'Critical resources (hide)'!AK$6:AK$105)+SUMIF(Capacity_Resource,$E92,'Critical resources (hide)'!AK$6:AK$105)+SUMIF(Capacity_Resource,$F92,'Critical resources (hide)'!AK$6:AK$105)&gt;0,$E$1=2),0,1),0)</f>
        <v>1</v>
      </c>
      <c r="Y92" s="67">
        <f ca="1">IF(LOWER(Capacity!$L104)="x",IF(AND(SUMIF(Capacity_Resource,$D92,'Critical resources (hide)'!AL$6:AL$105)+SUMIF(Capacity_Resource,$E92,'Critical resources (hide)'!AL$6:AL$105)+SUMIF(Capacity_Resource,$F92,'Critical resources (hide)'!AL$6:AL$105)&gt;0,$E$1=2),0,1),0)</f>
        <v>1</v>
      </c>
      <c r="Z92" s="67">
        <f ca="1">IF(LOWER(Capacity!$L104)="x",IF(AND(SUMIF(Capacity_Resource,$D92,'Critical resources (hide)'!AM$6:AM$105)+SUMIF(Capacity_Resource,$E92,'Critical resources (hide)'!AM$6:AM$105)+SUMIF(Capacity_Resource,$F92,'Critical resources (hide)'!AM$6:AM$105)&gt;0,$E$1=2),0,1),0)</f>
        <v>1</v>
      </c>
      <c r="AA92" s="67">
        <f ca="1">IF(LOWER(Capacity!$L104)="x",IF(AND(SUMIF(Capacity_Resource,$D92,'Critical resources (hide)'!AN$6:AN$105)+SUMIF(Capacity_Resource,$E92,'Critical resources (hide)'!AN$6:AN$105)+SUMIF(Capacity_Resource,$F92,'Critical resources (hide)'!AN$6:AN$105)&gt;0,$E$1=2),0,1),0)</f>
        <v>1</v>
      </c>
      <c r="AB92" s="67">
        <f ca="1">IF(LOWER(Capacity!$L104)="x",IF(AND(SUMIF(Capacity_Resource,$D92,'Critical resources (hide)'!AO$6:AO$105)+SUMIF(Capacity_Resource,$E92,'Critical resources (hide)'!AO$6:AO$105)+SUMIF(Capacity_Resource,$F92,'Critical resources (hide)'!AO$6:AO$105)&gt;0,$E$1=2),0,1),0)</f>
        <v>1</v>
      </c>
      <c r="AC92" s="67">
        <f ca="1">IF(LOWER(Capacity!$L104)="x",IF(AND(SUMIF(Capacity_Resource,$D92,'Critical resources (hide)'!AP$6:AP$105)+SUMIF(Capacity_Resource,$E92,'Critical resources (hide)'!AP$6:AP$105)+SUMIF(Capacity_Resource,$F92,'Critical resources (hide)'!AP$6:AP$105)&gt;0,$E$1=2),0,1),0)</f>
        <v>1</v>
      </c>
      <c r="AD92" s="67">
        <f ca="1">IF(LOWER(Capacity!$L104)="x",IF(AND(SUMIF(Capacity_Resource,$D92,'Critical resources (hide)'!AQ$6:AQ$105)+SUMIF(Capacity_Resource,$E92,'Critical resources (hide)'!AQ$6:AQ$105)+SUMIF(Capacity_Resource,$F92,'Critical resources (hide)'!AQ$6:AQ$105)&gt;0,$E$1=2),0,1),0)</f>
        <v>1</v>
      </c>
      <c r="AE92" s="67">
        <f ca="1">IF(LOWER(Capacity!$L104)="x",IF(AND(SUMIF(Capacity_Resource,$D92,'Critical resources (hide)'!AR$6:AR$105)+SUMIF(Capacity_Resource,$E92,'Critical resources (hide)'!AR$6:AR$105)+SUMIF(Capacity_Resource,$F92,'Critical resources (hide)'!AR$6:AR$105)&gt;0,$E$1=2),0,1),0)</f>
        <v>1</v>
      </c>
      <c r="AF92" s="67">
        <f ca="1">IF(LOWER(Capacity!$L104)="x",IF(AND(SUMIF(Capacity_Resource,$D92,'Critical resources (hide)'!AS$6:AS$105)+SUMIF(Capacity_Resource,$E92,'Critical resources (hide)'!AS$6:AS$105)+SUMIF(Capacity_Resource,$F92,'Critical resources (hide)'!AS$6:AS$105)&gt;0,$E$1=2),0,1),0)</f>
        <v>1</v>
      </c>
      <c r="AG92" s="67">
        <f ca="1">IF(LOWER(Capacity!$L104)="x",IF(AND(SUMIF(Capacity_Resource,$D92,'Critical resources (hide)'!AT$6:AT$105)+SUMIF(Capacity_Resource,$E92,'Critical resources (hide)'!AT$6:AT$105)+SUMIF(Capacity_Resource,$F92,'Critical resources (hide)'!AT$6:AT$105)&gt;0,$E$1=2),0,1),0)</f>
        <v>1</v>
      </c>
      <c r="AH92" s="67">
        <f ca="1">IF(LOWER(Capacity!$L104)="x",IF(AND(SUMIF(Capacity_Resource,$D92,'Critical resources (hide)'!AU$6:AU$105)+SUMIF(Capacity_Resource,$E92,'Critical resources (hide)'!AU$6:AU$105)+SUMIF(Capacity_Resource,$F92,'Critical resources (hide)'!AU$6:AU$105)&gt;0,$E$1=2),0,1),0)</f>
        <v>1</v>
      </c>
      <c r="AI92" s="67">
        <f ca="1">IF(LOWER(Capacity!$L104)="x",IF(AND(SUMIF(Capacity_Resource,$D92,'Critical resources (hide)'!AV$6:AV$105)+SUMIF(Capacity_Resource,$E92,'Critical resources (hide)'!AV$6:AV$105)+SUMIF(Capacity_Resource,$F92,'Critical resources (hide)'!AV$6:AV$105)&gt;0,$E$1=2),0,1),0)</f>
        <v>1</v>
      </c>
      <c r="AJ92" s="67">
        <f ca="1">IF(LOWER(Capacity!$L104)="x",IF(AND(SUMIF(Capacity_Resource,$D92,'Critical resources (hide)'!AW$6:AW$105)+SUMIF(Capacity_Resource,$E92,'Critical resources (hide)'!AW$6:AW$105)+SUMIF(Capacity_Resource,$F92,'Critical resources (hide)'!AW$6:AW$105)&gt;0,$E$1=2),0,1),0)</f>
        <v>1</v>
      </c>
      <c r="AK92" s="67">
        <f ca="1">IF(LOWER(Capacity!$L104)="x",IF(AND(SUMIF(Capacity_Resource,$D92,'Critical resources (hide)'!AX$6:AX$105)+SUMIF(Capacity_Resource,$E92,'Critical resources (hide)'!AX$6:AX$105)+SUMIF(Capacity_Resource,$F92,'Critical resources (hide)'!AX$6:AX$105)&gt;0,$E$1=2),0,1),0)</f>
        <v>1</v>
      </c>
      <c r="AL92" s="67">
        <f ca="1">IF(LOWER(Capacity!$L104)="x",IF(AND(SUMIF(Capacity_Resource,$D92,'Critical resources (hide)'!AY$6:AY$105)+SUMIF(Capacity_Resource,$E92,'Critical resources (hide)'!AY$6:AY$105)+SUMIF(Capacity_Resource,$F92,'Critical resources (hide)'!AY$6:AY$105)&gt;0,$E$1=2),0,1),0)</f>
        <v>1</v>
      </c>
      <c r="AM92" s="67">
        <f ca="1">IF(LOWER(Capacity!$L104)="x",IF(AND(SUMIF(Capacity_Resource,$D92,'Critical resources (hide)'!AZ$6:AZ$105)+SUMIF(Capacity_Resource,$E92,'Critical resources (hide)'!AZ$6:AZ$105)+SUMIF(Capacity_Resource,$F92,'Critical resources (hide)'!AZ$6:AZ$105)&gt;0,$E$1=2),0,1),0)</f>
        <v>1</v>
      </c>
      <c r="AN92" s="67">
        <f ca="1">IF(LOWER(Capacity!$L104)="x",IF(AND(SUMIF(Capacity_Resource,$D92,'Critical resources (hide)'!BA$6:BA$105)+SUMIF(Capacity_Resource,$E92,'Critical resources (hide)'!BA$6:BA$105)+SUMIF(Capacity_Resource,$F92,'Critical resources (hide)'!BA$6:BA$105)&gt;0,$E$1=2),0,1),0)</f>
        <v>1</v>
      </c>
      <c r="AO92" s="67">
        <f ca="1">IF(LOWER(Capacity!$L104)="x",IF(AND(SUMIF(Capacity_Resource,$D92,'Critical resources (hide)'!BB$6:BB$105)+SUMIF(Capacity_Resource,$E92,'Critical resources (hide)'!BB$6:BB$105)+SUMIF(Capacity_Resource,$F92,'Critical resources (hide)'!BB$6:BB$105)&gt;0,$E$1=2),0,1),0)</f>
        <v>1</v>
      </c>
      <c r="AP92" s="67">
        <f ca="1">IF(LOWER(Capacity!$L104)="x",IF(AND(SUMIF(Capacity_Resource,$D92,'Critical resources (hide)'!BC$6:BC$105)+SUMIF(Capacity_Resource,$E92,'Critical resources (hide)'!BC$6:BC$105)+SUMIF(Capacity_Resource,$F92,'Critical resources (hide)'!BC$6:BC$105)&gt;0,$E$1=2),0,1),0)</f>
        <v>1</v>
      </c>
      <c r="AQ92" s="67">
        <f ca="1">IF(LOWER(Capacity!$L104)="x",IF(AND(SUMIF(Capacity_Resource,$D92,'Critical resources (hide)'!BD$6:BD$105)+SUMIF(Capacity_Resource,$E92,'Critical resources (hide)'!BD$6:BD$105)+SUMIF(Capacity_Resource,$F92,'Critical resources (hide)'!BD$6:BD$105)&gt;0,$E$1=2),0,1),0)</f>
        <v>1</v>
      </c>
      <c r="AR92" s="67">
        <f ca="1">IF(LOWER(Capacity!$L104)="x",IF(AND(SUMIF(Capacity_Resource,$D92,'Critical resources (hide)'!BE$6:BE$105)+SUMIF(Capacity_Resource,$E92,'Critical resources (hide)'!BE$6:BE$105)+SUMIF(Capacity_Resource,$F92,'Critical resources (hide)'!BE$6:BE$105)&gt;0,$E$1=2),0,1),0)</f>
        <v>1</v>
      </c>
      <c r="AS92" s="67">
        <f ca="1">IF(LOWER(Capacity!$L104)="x",IF(AND(SUMIF(Capacity_Resource,$D92,'Critical resources (hide)'!BF$6:BF$105)+SUMIF(Capacity_Resource,$E92,'Critical resources (hide)'!BF$6:BF$105)+SUMIF(Capacity_Resource,$F92,'Critical resources (hide)'!BF$6:BF$105)&gt;0,$E$1=2),0,1),0)</f>
        <v>1</v>
      </c>
      <c r="AT92" s="67">
        <f ca="1">IF(LOWER(Capacity!$L104)="x",IF(AND(SUMIF(Capacity_Resource,$D92,'Critical resources (hide)'!BG$6:BG$105)+SUMIF(Capacity_Resource,$E92,'Critical resources (hide)'!BG$6:BG$105)+SUMIF(Capacity_Resource,$F92,'Critical resources (hide)'!BG$6:BG$105)&gt;0,$E$1=2),0,1),0)</f>
        <v>1</v>
      </c>
      <c r="AU92" s="67">
        <f ca="1">IF(LOWER(Capacity!$L104)="x",IF(AND(SUMIF(Capacity_Resource,$D92,'Critical resources (hide)'!BH$6:BH$105)+SUMIF(Capacity_Resource,$E92,'Critical resources (hide)'!BH$6:BH$105)+SUMIF(Capacity_Resource,$F92,'Critical resources (hide)'!BH$6:BH$105)&gt;0,$E$1=2),0,1),0)</f>
        <v>1</v>
      </c>
      <c r="AV92" s="67">
        <f ca="1">IF(LOWER(Capacity!$L104)="x",IF(AND(SUMIF(Capacity_Resource,$D92,'Critical resources (hide)'!BI$6:BI$105)+SUMIF(Capacity_Resource,$E92,'Critical resources (hide)'!BI$6:BI$105)+SUMIF(Capacity_Resource,$F92,'Critical resources (hide)'!BI$6:BI$105)&gt;0,$E$1=2),0,1),0)</f>
        <v>1</v>
      </c>
      <c r="AW92" s="67">
        <f ca="1">IF(LOWER(Capacity!$L104)="x",IF(AND(SUMIF(Capacity_Resource,$D92,'Critical resources (hide)'!BJ$6:BJ$105)+SUMIF(Capacity_Resource,$E92,'Critical resources (hide)'!BJ$6:BJ$105)+SUMIF(Capacity_Resource,$F92,'Critical resources (hide)'!BJ$6:BJ$105)&gt;0,$E$1=2),0,1),0)</f>
        <v>1</v>
      </c>
      <c r="AX92" s="67">
        <f ca="1">IF(LOWER(Capacity!$L104)="x",IF(AND(SUMIF(Capacity_Resource,$D92,'Critical resources (hide)'!BK$6:BK$105)+SUMIF(Capacity_Resource,$E92,'Critical resources (hide)'!BK$6:BK$105)+SUMIF(Capacity_Resource,$F92,'Critical resources (hide)'!BK$6:BK$105)&gt;0,$E$1=2),0,1),0)</f>
        <v>1</v>
      </c>
      <c r="AY92" s="67">
        <f ca="1">IF(LOWER(Capacity!$L104)="x",IF(AND(SUMIF(Capacity_Resource,$D92,'Critical resources (hide)'!BL$6:BL$105)+SUMIF(Capacity_Resource,$E92,'Critical resources (hide)'!BL$6:BL$105)+SUMIF(Capacity_Resource,$F92,'Critical resources (hide)'!BL$6:BL$105)&gt;0,$E$1=2),0,1),0)</f>
        <v>1</v>
      </c>
      <c r="AZ92" s="67">
        <f ca="1">IF(LOWER(Capacity!$L104)="x",IF(AND(SUMIF(Capacity_Resource,$D92,'Critical resources (hide)'!BM$6:BM$105)+SUMIF(Capacity_Resource,$E92,'Critical resources (hide)'!BM$6:BM$105)+SUMIF(Capacity_Resource,$F92,'Critical resources (hide)'!BM$6:BM$105)&gt;0,$E$1=2),0,1),0)</f>
        <v>1</v>
      </c>
      <c r="BA92" s="67">
        <f ca="1">IF(LOWER(Capacity!$L104)="x",IF(AND(SUMIF(Capacity_Resource,$D92,'Critical resources (hide)'!BN$6:BN$105)+SUMIF(Capacity_Resource,$E92,'Critical resources (hide)'!BN$6:BN$105)+SUMIF(Capacity_Resource,$F92,'Critical resources (hide)'!BN$6:BN$105)&gt;0,$E$1=2),0,1),0)</f>
        <v>1</v>
      </c>
      <c r="BB92" s="67">
        <f ca="1">IF(LOWER(Capacity!$L104)="x",IF(AND(SUMIF(Capacity_Resource,$D92,'Critical resources (hide)'!BO$6:BO$105)+SUMIF(Capacity_Resource,$E92,'Critical resources (hide)'!BO$6:BO$105)+SUMIF(Capacity_Resource,$F92,'Critical resources (hide)'!BO$6:BO$105)&gt;0,$E$1=2),0,1),0)</f>
        <v>1</v>
      </c>
      <c r="BC92" s="67">
        <f ca="1">IF(LOWER(Capacity!$L104)="x",IF(AND(SUMIF(Capacity_Resource,$D92,'Critical resources (hide)'!BP$6:BP$105)+SUMIF(Capacity_Resource,$E92,'Critical resources (hide)'!BP$6:BP$105)+SUMIF(Capacity_Resource,$F92,'Critical resources (hide)'!BP$6:BP$105)&gt;0,$E$1=2),0,1),0)</f>
        <v>1</v>
      </c>
      <c r="BD92" s="67">
        <f ca="1">IF(LOWER(Capacity!$L104)="x",IF(AND(SUMIF(Capacity_Resource,$D92,'Critical resources (hide)'!BQ$6:BQ$105)+SUMIF(Capacity_Resource,$E92,'Critical resources (hide)'!BQ$6:BQ$105)+SUMIF(Capacity_Resource,$F92,'Critical resources (hide)'!BQ$6:BQ$105)&gt;0,$E$1=2),0,1),0)</f>
        <v>1</v>
      </c>
      <c r="BE92" s="67">
        <f ca="1">IF(LOWER(Capacity!$L104)="x",IF(AND(SUMIF(Capacity_Resource,$D92,'Critical resources (hide)'!BR$6:BR$105)+SUMIF(Capacity_Resource,$E92,'Critical resources (hide)'!BR$6:BR$105)+SUMIF(Capacity_Resource,$F92,'Critical resources (hide)'!BR$6:BR$105)&gt;0,$E$1=2),0,1),0)</f>
        <v>1</v>
      </c>
      <c r="BF92" s="67">
        <f ca="1">IF(LOWER(Capacity!$L104)="x",IF(AND(SUMIF(Capacity_Resource,$D92,'Critical resources (hide)'!BS$6:BS$105)+SUMIF(Capacity_Resource,$E92,'Critical resources (hide)'!BS$6:BS$105)+SUMIF(Capacity_Resource,$F92,'Critical resources (hide)'!BS$6:BS$105)&gt;0,$E$1=2),0,1),0)</f>
        <v>1</v>
      </c>
      <c r="BG92" s="67">
        <f ca="1">IF(LOWER(Capacity!$L104)="x",IF(AND(SUMIF(Capacity_Resource,$D92,'Critical resources (hide)'!BT$6:BT$105)+SUMIF(Capacity_Resource,$E92,'Critical resources (hide)'!BT$6:BT$105)+SUMIF(Capacity_Resource,$F92,'Critical resources (hide)'!BT$6:BT$105)&gt;0,$E$1=2),0,1),0)</f>
        <v>1</v>
      </c>
      <c r="BH92" s="67">
        <f>IF(ROW(C88)&lt;=Capacity!$A$16,IF('Capacity summary'!$D$14="No",SUM(H92:BG92),'Capacity summary'!$E211),0)</f>
        <v>0</v>
      </c>
      <c r="BI92" s="5" t="str">
        <f>IF(BH92&gt;0,IF(BH92&lt;Capacity!E104,Capacity!F104,Capacity!H104/'Capacity calculation (hide)'!BH92),"")</f>
        <v/>
      </c>
      <c r="BK92" s="311">
        <f>IF($BI92&lt;&gt;"",IF('Capacity summary'!$D$14="Yes",IF(COUNTBLANK('Capacity summary'!$H211:$BG211)&lt;52,IF('Capacity summary'!H211&lt;&gt;"",IF(LOWER('Capacity summary'!H211)="x",$BI92*H92,VALUE('Capacity summary'!H211)),0),H92*$BI92),H92*$BI92),0)</f>
        <v>0</v>
      </c>
      <c r="BL92" s="311">
        <f>IF($BI92&lt;&gt;"",IF('Capacity summary'!$D$14="Yes",IF(COUNTBLANK('Capacity summary'!$H211:$BG211)&lt;52,IF('Capacity summary'!I211&lt;&gt;"",IF(LOWER('Capacity summary'!I211)="x",$BI92*I92,VALUE('Capacity summary'!I211)),0),I92*$BI92),I92*$BI92),0)</f>
        <v>0</v>
      </c>
      <c r="BM92" s="311">
        <f>IF($BI92&lt;&gt;"",IF('Capacity summary'!$D$14="Yes",IF(COUNTBLANK('Capacity summary'!$H211:$BG211)&lt;52,IF('Capacity summary'!J211&lt;&gt;"",IF(LOWER('Capacity summary'!J211)="x",$BI92*J92,VALUE('Capacity summary'!J211)),0),J92*$BI92),J92*$BI92),0)</f>
        <v>0</v>
      </c>
      <c r="BN92" s="311">
        <f>IF($BI92&lt;&gt;"",IF('Capacity summary'!$D$14="Yes",IF(COUNTBLANK('Capacity summary'!$H211:$BG211)&lt;52,IF('Capacity summary'!K211&lt;&gt;"",IF(LOWER('Capacity summary'!K211)="x",$BI92*K92,VALUE('Capacity summary'!K211)),0),K92*$BI92),K92*$BI92),0)</f>
        <v>0</v>
      </c>
      <c r="BO92" s="311">
        <f>IF($BI92&lt;&gt;"",IF('Capacity summary'!$D$14="Yes",IF(COUNTBLANK('Capacity summary'!$H211:$BG211)&lt;52,IF('Capacity summary'!L211&lt;&gt;"",IF(LOWER('Capacity summary'!L211)="x",$BI92*L92,VALUE('Capacity summary'!L211)),0),L92*$BI92),L92*$BI92),0)</f>
        <v>0</v>
      </c>
      <c r="BP92" s="311">
        <f>IF($BI92&lt;&gt;"",IF('Capacity summary'!$D$14="Yes",IF(COUNTBLANK('Capacity summary'!$H211:$BG211)&lt;52,IF('Capacity summary'!M211&lt;&gt;"",IF(LOWER('Capacity summary'!M211)="x",$BI92*M92,VALUE('Capacity summary'!M211)),0),M92*$BI92),M92*$BI92),0)</f>
        <v>0</v>
      </c>
      <c r="BQ92" s="311">
        <f>IF($BI92&lt;&gt;"",IF('Capacity summary'!$D$14="Yes",IF(COUNTBLANK('Capacity summary'!$H211:$BG211)&lt;52,IF('Capacity summary'!N211&lt;&gt;"",IF(LOWER('Capacity summary'!N211)="x",$BI92*N92,VALUE('Capacity summary'!N211)),0),N92*$BI92),N92*$BI92),0)</f>
        <v>0</v>
      </c>
      <c r="BR92" s="311">
        <f>IF($BI92&lt;&gt;"",IF('Capacity summary'!$D$14="Yes",IF(COUNTBLANK('Capacity summary'!$H211:$BG211)&lt;52,IF('Capacity summary'!O211&lt;&gt;"",IF(LOWER('Capacity summary'!O211)="x",$BI92*O92,VALUE('Capacity summary'!O211)),0),O92*$BI92),O92*$BI92),0)</f>
        <v>0</v>
      </c>
      <c r="BS92" s="311">
        <f>IF($BI92&lt;&gt;"",IF('Capacity summary'!$D$14="Yes",IF(COUNTBLANK('Capacity summary'!$H211:$BG211)&lt;52,IF('Capacity summary'!P211&lt;&gt;"",IF(LOWER('Capacity summary'!P211)="x",$BI92*P92,VALUE('Capacity summary'!P211)),0),P92*$BI92),P92*$BI92),0)</f>
        <v>0</v>
      </c>
      <c r="BT92" s="311">
        <f>IF($BI92&lt;&gt;"",IF('Capacity summary'!$D$14="Yes",IF(COUNTBLANK('Capacity summary'!$H211:$BG211)&lt;52,IF('Capacity summary'!Q211&lt;&gt;"",IF(LOWER('Capacity summary'!Q211)="x",$BI92*Q92,VALUE('Capacity summary'!Q211)),0),Q92*$BI92),Q92*$BI92),0)</f>
        <v>0</v>
      </c>
      <c r="BU92" s="311">
        <f>IF($BI92&lt;&gt;"",IF('Capacity summary'!$D$14="Yes",IF(COUNTBLANK('Capacity summary'!$H211:$BG211)&lt;52,IF('Capacity summary'!R211&lt;&gt;"",IF(LOWER('Capacity summary'!R211)="x",$BI92*R92,VALUE('Capacity summary'!R211)),0),R92*$BI92),R92*$BI92),0)</f>
        <v>0</v>
      </c>
      <c r="BV92" s="311">
        <f>IF($BI92&lt;&gt;"",IF('Capacity summary'!$D$14="Yes",IF(COUNTBLANK('Capacity summary'!$H211:$BG211)&lt;52,IF('Capacity summary'!S211&lt;&gt;"",IF(LOWER('Capacity summary'!S211)="x",$BI92*S92,VALUE('Capacity summary'!S211)),0),S92*$BI92),S92*$BI92),0)</f>
        <v>0</v>
      </c>
      <c r="BW92" s="311">
        <f>IF($BI92&lt;&gt;"",IF('Capacity summary'!$D$14="Yes",IF(COUNTBLANK('Capacity summary'!$H211:$BG211)&lt;52,IF('Capacity summary'!T211&lt;&gt;"",IF(LOWER('Capacity summary'!T211)="x",$BI92*T92,VALUE('Capacity summary'!T211)),0),T92*$BI92),T92*$BI92),0)</f>
        <v>0</v>
      </c>
      <c r="BX92" s="311">
        <f>IF($BI92&lt;&gt;"",IF('Capacity summary'!$D$14="Yes",IF(COUNTBLANK('Capacity summary'!$H211:$BG211)&lt;52,IF('Capacity summary'!U211&lt;&gt;"",IF(LOWER('Capacity summary'!U211)="x",$BI92*U92,VALUE('Capacity summary'!U211)),0),U92*$BI92),U92*$BI92),0)</f>
        <v>0</v>
      </c>
      <c r="BY92" s="311">
        <f>IF($BI92&lt;&gt;"",IF('Capacity summary'!$D$14="Yes",IF(COUNTBLANK('Capacity summary'!$H211:$BG211)&lt;52,IF('Capacity summary'!V211&lt;&gt;"",IF(LOWER('Capacity summary'!V211)="x",$BI92*V92,VALUE('Capacity summary'!V211)),0),V92*$BI92),V92*$BI92),0)</f>
        <v>0</v>
      </c>
      <c r="BZ92" s="311">
        <f>IF($BI92&lt;&gt;"",IF('Capacity summary'!$D$14="Yes",IF(COUNTBLANK('Capacity summary'!$H211:$BG211)&lt;52,IF('Capacity summary'!W211&lt;&gt;"",IF(LOWER('Capacity summary'!W211)="x",$BI92*W92,VALUE('Capacity summary'!W211)),0),W92*$BI92),W92*$BI92),0)</f>
        <v>0</v>
      </c>
      <c r="CA92" s="311">
        <f>IF($BI92&lt;&gt;"",IF('Capacity summary'!$D$14="Yes",IF(COUNTBLANK('Capacity summary'!$H211:$BG211)&lt;52,IF('Capacity summary'!X211&lt;&gt;"",IF(LOWER('Capacity summary'!X211)="x",$BI92*X92,VALUE('Capacity summary'!X211)),0),X92*$BI92),X92*$BI92),0)</f>
        <v>0</v>
      </c>
      <c r="CB92" s="311">
        <f>IF($BI92&lt;&gt;"",IF('Capacity summary'!$D$14="Yes",IF(COUNTBLANK('Capacity summary'!$H211:$BG211)&lt;52,IF('Capacity summary'!Y211&lt;&gt;"",IF(LOWER('Capacity summary'!Y211)="x",$BI92*Y92,VALUE('Capacity summary'!Y211)),0),Y92*$BI92),Y92*$BI92),0)</f>
        <v>0</v>
      </c>
      <c r="CC92" s="311">
        <f>IF($BI92&lt;&gt;"",IF('Capacity summary'!$D$14="Yes",IF(COUNTBLANK('Capacity summary'!$H211:$BG211)&lt;52,IF('Capacity summary'!Z211&lt;&gt;"",IF(LOWER('Capacity summary'!Z211)="x",$BI92*Z92,VALUE('Capacity summary'!Z211)),0),Z92*$BI92),Z92*$BI92),0)</f>
        <v>0</v>
      </c>
      <c r="CD92" s="311">
        <f>IF($BI92&lt;&gt;"",IF('Capacity summary'!$D$14="Yes",IF(COUNTBLANK('Capacity summary'!$H211:$BG211)&lt;52,IF('Capacity summary'!AA211&lt;&gt;"",IF(LOWER('Capacity summary'!AA211)="x",$BI92*AA92,VALUE('Capacity summary'!AA211)),0),AA92*$BI92),AA92*$BI92),0)</f>
        <v>0</v>
      </c>
      <c r="CE92" s="311">
        <f>IF($BI92&lt;&gt;"",IF('Capacity summary'!$D$14="Yes",IF(COUNTBLANK('Capacity summary'!$H211:$BG211)&lt;52,IF('Capacity summary'!AB211&lt;&gt;"",IF(LOWER('Capacity summary'!AB211)="x",$BI92*AB92,VALUE('Capacity summary'!AB211)),0),AB92*$BI92),AB92*$BI92),0)</f>
        <v>0</v>
      </c>
      <c r="CF92" s="311">
        <f>IF($BI92&lt;&gt;"",IF('Capacity summary'!$D$14="Yes",IF(COUNTBLANK('Capacity summary'!$H211:$BG211)&lt;52,IF('Capacity summary'!AC211&lt;&gt;"",IF(LOWER('Capacity summary'!AC211)="x",$BI92*AC92,VALUE('Capacity summary'!AC211)),0),AC92*$BI92),AC92*$BI92),0)</f>
        <v>0</v>
      </c>
      <c r="CG92" s="311">
        <f>IF($BI92&lt;&gt;"",IF('Capacity summary'!$D$14="Yes",IF(COUNTBLANK('Capacity summary'!$H211:$BG211)&lt;52,IF('Capacity summary'!AD211&lt;&gt;"",IF(LOWER('Capacity summary'!AD211)="x",$BI92*AD92,VALUE('Capacity summary'!AD211)),0),AD92*$BI92),AD92*$BI92),0)</f>
        <v>0</v>
      </c>
      <c r="CH92" s="311">
        <f>IF($BI92&lt;&gt;"",IF('Capacity summary'!$D$14="Yes",IF(COUNTBLANK('Capacity summary'!$H211:$BG211)&lt;52,IF('Capacity summary'!AE211&lt;&gt;"",IF(LOWER('Capacity summary'!AE211)="x",$BI92*AE92,VALUE('Capacity summary'!AE211)),0),AE92*$BI92),AE92*$BI92),0)</f>
        <v>0</v>
      </c>
      <c r="CI92" s="311">
        <f>IF($BI92&lt;&gt;"",IF('Capacity summary'!$D$14="Yes",IF(COUNTBLANK('Capacity summary'!$H211:$BG211)&lt;52,IF('Capacity summary'!AF211&lt;&gt;"",IF(LOWER('Capacity summary'!AF211)="x",$BI92*AF92,VALUE('Capacity summary'!AF211)),0),AF92*$BI92),AF92*$BI92),0)</f>
        <v>0</v>
      </c>
      <c r="CJ92" s="311">
        <f>IF($BI92&lt;&gt;"",IF('Capacity summary'!$D$14="Yes",IF(COUNTBLANK('Capacity summary'!$H211:$BG211)&lt;52,IF('Capacity summary'!AG211&lt;&gt;"",IF(LOWER('Capacity summary'!AG211)="x",$BI92*AG92,VALUE('Capacity summary'!AG211)),0),AG92*$BI92),AG92*$BI92),0)</f>
        <v>0</v>
      </c>
      <c r="CK92" s="311">
        <f>IF($BI92&lt;&gt;"",IF('Capacity summary'!$D$14="Yes",IF(COUNTBLANK('Capacity summary'!$H211:$BG211)&lt;52,IF('Capacity summary'!AH211&lt;&gt;"",IF(LOWER('Capacity summary'!AH211)="x",$BI92*AH92,VALUE('Capacity summary'!AH211)),0),AH92*$BI92),AH92*$BI92),0)</f>
        <v>0</v>
      </c>
      <c r="CL92" s="311">
        <f>IF($BI92&lt;&gt;"",IF('Capacity summary'!$D$14="Yes",IF(COUNTBLANK('Capacity summary'!$H211:$BG211)&lt;52,IF('Capacity summary'!AI211&lt;&gt;"",IF(LOWER('Capacity summary'!AI211)="x",$BI92*AI92,VALUE('Capacity summary'!AI211)),0),AI92*$BI92),AI92*$BI92),0)</f>
        <v>0</v>
      </c>
      <c r="CM92" s="311">
        <f>IF($BI92&lt;&gt;"",IF('Capacity summary'!$D$14="Yes",IF(COUNTBLANK('Capacity summary'!$H211:$BG211)&lt;52,IF('Capacity summary'!AJ211&lt;&gt;"",IF(LOWER('Capacity summary'!AJ211)="x",$BI92*AJ92,VALUE('Capacity summary'!AJ211)),0),AJ92*$BI92),AJ92*$BI92),0)</f>
        <v>0</v>
      </c>
      <c r="CN92" s="311">
        <f>IF($BI92&lt;&gt;"",IF('Capacity summary'!$D$14="Yes",IF(COUNTBLANK('Capacity summary'!$H211:$BG211)&lt;52,IF('Capacity summary'!AK211&lt;&gt;"",IF(LOWER('Capacity summary'!AK211)="x",$BI92*AK92,VALUE('Capacity summary'!AK211)),0),AK92*$BI92),AK92*$BI92),0)</f>
        <v>0</v>
      </c>
      <c r="CO92" s="311">
        <f>IF($BI92&lt;&gt;"",IF('Capacity summary'!$D$14="Yes",IF(COUNTBLANK('Capacity summary'!$H211:$BG211)&lt;52,IF('Capacity summary'!AL211&lt;&gt;"",IF(LOWER('Capacity summary'!AL211)="x",$BI92*AL92,VALUE('Capacity summary'!AL211)),0),AL92*$BI92),AL92*$BI92),0)</f>
        <v>0</v>
      </c>
      <c r="CP92" s="311">
        <f>IF($BI92&lt;&gt;"",IF('Capacity summary'!$D$14="Yes",IF(COUNTBLANK('Capacity summary'!$H211:$BG211)&lt;52,IF('Capacity summary'!AM211&lt;&gt;"",IF(LOWER('Capacity summary'!AM211)="x",$BI92*AM92,VALUE('Capacity summary'!AM211)),0),AM92*$BI92),AM92*$BI92),0)</f>
        <v>0</v>
      </c>
      <c r="CQ92" s="311">
        <f>IF($BI92&lt;&gt;"",IF('Capacity summary'!$D$14="Yes",IF(COUNTBLANK('Capacity summary'!$H211:$BG211)&lt;52,IF('Capacity summary'!AN211&lt;&gt;"",IF(LOWER('Capacity summary'!AN211)="x",$BI92*AN92,VALUE('Capacity summary'!AN211)),0),AN92*$BI92),AN92*$BI92),0)</f>
        <v>0</v>
      </c>
      <c r="CR92" s="311">
        <f>IF($BI92&lt;&gt;"",IF('Capacity summary'!$D$14="Yes",IF(COUNTBLANK('Capacity summary'!$H211:$BG211)&lt;52,IF('Capacity summary'!AO211&lt;&gt;"",IF(LOWER('Capacity summary'!AO211)="x",$BI92*AO92,VALUE('Capacity summary'!AO211)),0),AO92*$BI92),AO92*$BI92),0)</f>
        <v>0</v>
      </c>
      <c r="CS92" s="311">
        <f>IF($BI92&lt;&gt;"",IF('Capacity summary'!$D$14="Yes",IF(COUNTBLANK('Capacity summary'!$H211:$BG211)&lt;52,IF('Capacity summary'!AP211&lt;&gt;"",IF(LOWER('Capacity summary'!AP211)="x",$BI92*AP92,VALUE('Capacity summary'!AP211)),0),AP92*$BI92),AP92*$BI92),0)</f>
        <v>0</v>
      </c>
      <c r="CT92" s="311">
        <f>IF($BI92&lt;&gt;"",IF('Capacity summary'!$D$14="Yes",IF(COUNTBLANK('Capacity summary'!$H211:$BG211)&lt;52,IF('Capacity summary'!AQ211&lt;&gt;"",IF(LOWER('Capacity summary'!AQ211)="x",$BI92*AQ92,VALUE('Capacity summary'!AQ211)),0),AQ92*$BI92),AQ92*$BI92),0)</f>
        <v>0</v>
      </c>
      <c r="CU92" s="311">
        <f>IF($BI92&lt;&gt;"",IF('Capacity summary'!$D$14="Yes",IF(COUNTBLANK('Capacity summary'!$H211:$BG211)&lt;52,IF('Capacity summary'!AR211&lt;&gt;"",IF(LOWER('Capacity summary'!AR211)="x",$BI92*AR92,VALUE('Capacity summary'!AR211)),0),AR92*$BI92),AR92*$BI92),0)</f>
        <v>0</v>
      </c>
      <c r="CV92" s="311">
        <f>IF($BI92&lt;&gt;"",IF('Capacity summary'!$D$14="Yes",IF(COUNTBLANK('Capacity summary'!$H211:$BG211)&lt;52,IF('Capacity summary'!AS211&lt;&gt;"",IF(LOWER('Capacity summary'!AS211)="x",$BI92*AS92,VALUE('Capacity summary'!AS211)),0),AS92*$BI92),AS92*$BI92),0)</f>
        <v>0</v>
      </c>
      <c r="CW92" s="311">
        <f>IF($BI92&lt;&gt;"",IF('Capacity summary'!$D$14="Yes",IF(COUNTBLANK('Capacity summary'!$H211:$BG211)&lt;52,IF('Capacity summary'!AT211&lt;&gt;"",IF(LOWER('Capacity summary'!AT211)="x",$BI92*AT92,VALUE('Capacity summary'!AT211)),0),AT92*$BI92),AT92*$BI92),0)</f>
        <v>0</v>
      </c>
      <c r="CX92" s="311">
        <f>IF($BI92&lt;&gt;"",IF('Capacity summary'!$D$14="Yes",IF(COUNTBLANK('Capacity summary'!$H211:$BG211)&lt;52,IF('Capacity summary'!AU211&lt;&gt;"",IF(LOWER('Capacity summary'!AU211)="x",$BI92*AU92,VALUE('Capacity summary'!AU211)),0),AU92*$BI92),AU92*$BI92),0)</f>
        <v>0</v>
      </c>
      <c r="CY92" s="311">
        <f>IF($BI92&lt;&gt;"",IF('Capacity summary'!$D$14="Yes",IF(COUNTBLANK('Capacity summary'!$H211:$BG211)&lt;52,IF('Capacity summary'!AV211&lt;&gt;"",IF(LOWER('Capacity summary'!AV211)="x",$BI92*AV92,VALUE('Capacity summary'!AV211)),0),AV92*$BI92),AV92*$BI92),0)</f>
        <v>0</v>
      </c>
      <c r="CZ92" s="311">
        <f>IF($BI92&lt;&gt;"",IF('Capacity summary'!$D$14="Yes",IF(COUNTBLANK('Capacity summary'!$H211:$BG211)&lt;52,IF('Capacity summary'!AW211&lt;&gt;"",IF(LOWER('Capacity summary'!AW211)="x",$BI92*AW92,VALUE('Capacity summary'!AW211)),0),AW92*$BI92),AW92*$BI92),0)</f>
        <v>0</v>
      </c>
      <c r="DA92" s="311">
        <f>IF($BI92&lt;&gt;"",IF('Capacity summary'!$D$14="Yes",IF(COUNTBLANK('Capacity summary'!$H211:$BG211)&lt;52,IF('Capacity summary'!AX211&lt;&gt;"",IF(LOWER('Capacity summary'!AX211)="x",$BI92*AX92,VALUE('Capacity summary'!AX211)),0),AX92*$BI92),AX92*$BI92),0)</f>
        <v>0</v>
      </c>
      <c r="DB92" s="311">
        <f>IF($BI92&lt;&gt;"",IF('Capacity summary'!$D$14="Yes",IF(COUNTBLANK('Capacity summary'!$H211:$BG211)&lt;52,IF('Capacity summary'!AY211&lt;&gt;"",IF(LOWER('Capacity summary'!AY211)="x",$BI92*AY92,VALUE('Capacity summary'!AY211)),0),AY92*$BI92),AY92*$BI92),0)</f>
        <v>0</v>
      </c>
      <c r="DC92" s="311">
        <f>IF($BI92&lt;&gt;"",IF('Capacity summary'!$D$14="Yes",IF(COUNTBLANK('Capacity summary'!$H211:$BG211)&lt;52,IF('Capacity summary'!AZ211&lt;&gt;"",IF(LOWER('Capacity summary'!AZ211)="x",$BI92*AZ92,VALUE('Capacity summary'!AZ211)),0),AZ92*$BI92),AZ92*$BI92),0)</f>
        <v>0</v>
      </c>
      <c r="DD92" s="311">
        <f>IF($BI92&lt;&gt;"",IF('Capacity summary'!$D$14="Yes",IF(COUNTBLANK('Capacity summary'!$H211:$BG211)&lt;52,IF('Capacity summary'!BA211&lt;&gt;"",IF(LOWER('Capacity summary'!BA211)="x",$BI92*BA92,VALUE('Capacity summary'!BA211)),0),BA92*$BI92),BA92*$BI92),0)</f>
        <v>0</v>
      </c>
      <c r="DE92" s="311">
        <f>IF($BI92&lt;&gt;"",IF('Capacity summary'!$D$14="Yes",IF(COUNTBLANK('Capacity summary'!$H211:$BG211)&lt;52,IF('Capacity summary'!BB211&lt;&gt;"",IF(LOWER('Capacity summary'!BB211)="x",$BI92*BB92,VALUE('Capacity summary'!BB211)),0),BB92*$BI92),BB92*$BI92),0)</f>
        <v>0</v>
      </c>
      <c r="DF92" s="311">
        <f>IF($BI92&lt;&gt;"",IF('Capacity summary'!$D$14="Yes",IF(COUNTBLANK('Capacity summary'!$H211:$BG211)&lt;52,IF('Capacity summary'!BC211&lt;&gt;"",IF(LOWER('Capacity summary'!BC211)="x",$BI92*BC92,VALUE('Capacity summary'!BC211)),0),BC92*$BI92),BC92*$BI92),0)</f>
        <v>0</v>
      </c>
      <c r="DG92" s="311">
        <f>IF($BI92&lt;&gt;"",IF('Capacity summary'!$D$14="Yes",IF(COUNTBLANK('Capacity summary'!$H211:$BG211)&lt;52,IF('Capacity summary'!BD211&lt;&gt;"",IF(LOWER('Capacity summary'!BD211)="x",$BI92*BD92,VALUE('Capacity summary'!BD211)),0),BD92*$BI92),BD92*$BI92),0)</f>
        <v>0</v>
      </c>
      <c r="DH92" s="311">
        <f>IF($BI92&lt;&gt;"",IF('Capacity summary'!$D$14="Yes",IF(COUNTBLANK('Capacity summary'!$H211:$BG211)&lt;52,IF('Capacity summary'!BE211&lt;&gt;"",IF(LOWER('Capacity summary'!BE211)="x",$BI92*BE92,VALUE('Capacity summary'!BE211)),0),BE92*$BI92),BE92*$BI92),0)</f>
        <v>0</v>
      </c>
      <c r="DI92" s="311">
        <f>IF($BI92&lt;&gt;"",IF('Capacity summary'!$D$14="Yes",IF(COUNTBLANK('Capacity summary'!$H211:$BG211)&lt;52,IF('Capacity summary'!BF211&lt;&gt;"",IF(LOWER('Capacity summary'!BF211)="x",$BI92*BF92,VALUE('Capacity summary'!BF211)),0),BF92*$BI92),BF92*$BI92),0)</f>
        <v>0</v>
      </c>
      <c r="DJ92" s="311">
        <f>IF($BI92&lt;&gt;"",IF('Capacity summary'!$D$14="Yes",IF(COUNTBLANK('Capacity summary'!$H211:$BG211)&lt;52,IF('Capacity summary'!BG211&lt;&gt;"",IF(LOWER('Capacity summary'!BG211)="x",$BI92*BG92,VALUE('Capacity summary'!BG211)),0),BG92*$BI92),BG92*$BI92),0)</f>
        <v>0</v>
      </c>
      <c r="DK92" s="391">
        <f t="shared" si="4"/>
        <v>0</v>
      </c>
      <c r="DL92" s="136">
        <f t="shared" si="5"/>
        <v>0</v>
      </c>
      <c r="DM92" s="311" t="str">
        <f>Capacity!H104</f>
        <v/>
      </c>
    </row>
    <row r="93" spans="1:117" x14ac:dyDescent="0.2">
      <c r="A93" s="67">
        <f>IF(Capacity!L105='Capacity summary'!BI212,1,0)</f>
        <v>1</v>
      </c>
      <c r="B93" s="67">
        <f>IF(Capacity!V105='Capacity summary'!BI112,1,0)</f>
        <v>1</v>
      </c>
      <c r="C93" s="67" t="str">
        <f>ROW(A89)&amp;". "&amp;Capacity!B105</f>
        <v xml:space="preserve">89. </v>
      </c>
      <c r="D93" s="67">
        <f>'Capacity setup'!C100</f>
        <v>0</v>
      </c>
      <c r="E93" s="67">
        <f>'Capacity setup'!D100</f>
        <v>0</v>
      </c>
      <c r="F93" s="67">
        <f>'Capacity setup'!E100</f>
        <v>0</v>
      </c>
      <c r="H93" s="67">
        <f ca="1">IF(LOWER(Capacity!$L105)="x",IF(AND(SUMIF(Capacity_Resource,$D93,'Critical resources (hide)'!U$6:U$105)+SUMIF(Capacity_Resource,$E93,'Critical resources (hide)'!U$6:U$105)+SUMIF(Capacity_Resource,$F93,'Critical resources (hide)'!U$6:U$105)&gt;0,$E$1=2),0,1),0)</f>
        <v>1</v>
      </c>
      <c r="I93" s="67">
        <f ca="1">IF(LOWER(Capacity!$L105)="x",IF(AND(SUMIF(Capacity_Resource,$D93,'Critical resources (hide)'!V$6:V$105)+SUMIF(Capacity_Resource,$E93,'Critical resources (hide)'!V$6:V$105)+SUMIF(Capacity_Resource,$F93,'Critical resources (hide)'!V$6:V$105)&gt;0,$E$1=2),0,1),0)</f>
        <v>1</v>
      </c>
      <c r="J93" s="67">
        <f ca="1">IF(LOWER(Capacity!$L105)="x",IF(AND(SUMIF(Capacity_Resource,$D93,'Critical resources (hide)'!W$6:W$105)+SUMIF(Capacity_Resource,$E93,'Critical resources (hide)'!W$6:W$105)+SUMIF(Capacity_Resource,$F93,'Critical resources (hide)'!W$6:W$105)&gt;0,$E$1=2),0,1),0)</f>
        <v>1</v>
      </c>
      <c r="K93" s="67">
        <f ca="1">IF(LOWER(Capacity!$L105)="x",IF(AND(SUMIF(Capacity_Resource,$D93,'Critical resources (hide)'!X$6:X$105)+SUMIF(Capacity_Resource,$E93,'Critical resources (hide)'!X$6:X$105)+SUMIF(Capacity_Resource,$F93,'Critical resources (hide)'!X$6:X$105)&gt;0,$E$1=2),0,1),0)</f>
        <v>1</v>
      </c>
      <c r="L93" s="67">
        <f ca="1">IF(LOWER(Capacity!$L105)="x",IF(AND(SUMIF(Capacity_Resource,$D93,'Critical resources (hide)'!Y$6:Y$105)+SUMIF(Capacity_Resource,$E93,'Critical resources (hide)'!Y$6:Y$105)+SUMIF(Capacity_Resource,$F93,'Critical resources (hide)'!Y$6:Y$105)&gt;0,$E$1=2),0,1),0)</f>
        <v>1</v>
      </c>
      <c r="M93" s="67">
        <f ca="1">IF(LOWER(Capacity!$L105)="x",IF(AND(SUMIF(Capacity_Resource,$D93,'Critical resources (hide)'!Z$6:Z$105)+SUMIF(Capacity_Resource,$E93,'Critical resources (hide)'!Z$6:Z$105)+SUMIF(Capacity_Resource,$F93,'Critical resources (hide)'!Z$6:Z$105)&gt;0,$E$1=2),0,1),0)</f>
        <v>1</v>
      </c>
      <c r="N93" s="67">
        <f ca="1">IF(LOWER(Capacity!$L105)="x",IF(AND(SUMIF(Capacity_Resource,$D93,'Critical resources (hide)'!AA$6:AA$105)+SUMIF(Capacity_Resource,$E93,'Critical resources (hide)'!AA$6:AA$105)+SUMIF(Capacity_Resource,$F93,'Critical resources (hide)'!AA$6:AA$105)&gt;0,$E$1=2),0,1),0)</f>
        <v>1</v>
      </c>
      <c r="O93" s="67">
        <f ca="1">IF(LOWER(Capacity!$L105)="x",IF(AND(SUMIF(Capacity_Resource,$D93,'Critical resources (hide)'!AB$6:AB$105)+SUMIF(Capacity_Resource,$E93,'Critical resources (hide)'!AB$6:AB$105)+SUMIF(Capacity_Resource,$F93,'Critical resources (hide)'!AB$6:AB$105)&gt;0,$E$1=2),0,1),0)</f>
        <v>1</v>
      </c>
      <c r="P93" s="67">
        <f ca="1">IF(LOWER(Capacity!$L105)="x",IF(AND(SUMIF(Capacity_Resource,$D93,'Critical resources (hide)'!AC$6:AC$105)+SUMIF(Capacity_Resource,$E93,'Critical resources (hide)'!AC$6:AC$105)+SUMIF(Capacity_Resource,$F93,'Critical resources (hide)'!AC$6:AC$105)&gt;0,$E$1=2),0,1),0)</f>
        <v>1</v>
      </c>
      <c r="Q93" s="67">
        <f ca="1">IF(LOWER(Capacity!$L105)="x",IF(AND(SUMIF(Capacity_Resource,$D93,'Critical resources (hide)'!AD$6:AD$105)+SUMIF(Capacity_Resource,$E93,'Critical resources (hide)'!AD$6:AD$105)+SUMIF(Capacity_Resource,$F93,'Critical resources (hide)'!AD$6:AD$105)&gt;0,$E$1=2),0,1),0)</f>
        <v>1</v>
      </c>
      <c r="R93" s="67">
        <f ca="1">IF(LOWER(Capacity!$L105)="x",IF(AND(SUMIF(Capacity_Resource,$D93,'Critical resources (hide)'!AE$6:AE$105)+SUMIF(Capacity_Resource,$E93,'Critical resources (hide)'!AE$6:AE$105)+SUMIF(Capacity_Resource,$F93,'Critical resources (hide)'!AE$6:AE$105)&gt;0,$E$1=2),0,1),0)</f>
        <v>1</v>
      </c>
      <c r="S93" s="67">
        <f ca="1">IF(LOWER(Capacity!$L105)="x",IF(AND(SUMIF(Capacity_Resource,$D93,'Critical resources (hide)'!AF$6:AF$105)+SUMIF(Capacity_Resource,$E93,'Critical resources (hide)'!AF$6:AF$105)+SUMIF(Capacity_Resource,$F93,'Critical resources (hide)'!AF$6:AF$105)&gt;0,$E$1=2),0,1),0)</f>
        <v>1</v>
      </c>
      <c r="T93" s="67">
        <f ca="1">IF(LOWER(Capacity!$L105)="x",IF(AND(SUMIF(Capacity_Resource,$D93,'Critical resources (hide)'!AG$6:AG$105)+SUMIF(Capacity_Resource,$E93,'Critical resources (hide)'!AG$6:AG$105)+SUMIF(Capacity_Resource,$F93,'Critical resources (hide)'!AG$6:AG$105)&gt;0,$E$1=2),0,1),0)</f>
        <v>1</v>
      </c>
      <c r="U93" s="67">
        <f ca="1">IF(LOWER(Capacity!$L105)="x",IF(AND(SUMIF(Capacity_Resource,$D93,'Critical resources (hide)'!AH$6:AH$105)+SUMIF(Capacity_Resource,$E93,'Critical resources (hide)'!AH$6:AH$105)+SUMIF(Capacity_Resource,$F93,'Critical resources (hide)'!AH$6:AH$105)&gt;0,$E$1=2),0,1),0)</f>
        <v>1</v>
      </c>
      <c r="V93" s="67">
        <f ca="1">IF(LOWER(Capacity!$L105)="x",IF(AND(SUMIF(Capacity_Resource,$D93,'Critical resources (hide)'!AI$6:AI$105)+SUMIF(Capacity_Resource,$E93,'Critical resources (hide)'!AI$6:AI$105)+SUMIF(Capacity_Resource,$F93,'Critical resources (hide)'!AI$6:AI$105)&gt;0,$E$1=2),0,1),0)</f>
        <v>1</v>
      </c>
      <c r="W93" s="67">
        <f ca="1">IF(LOWER(Capacity!$L105)="x",IF(AND(SUMIF(Capacity_Resource,$D93,'Critical resources (hide)'!AJ$6:AJ$105)+SUMIF(Capacity_Resource,$E93,'Critical resources (hide)'!AJ$6:AJ$105)+SUMIF(Capacity_Resource,$F93,'Critical resources (hide)'!AJ$6:AJ$105)&gt;0,$E$1=2),0,1),0)</f>
        <v>1</v>
      </c>
      <c r="X93" s="67">
        <f ca="1">IF(LOWER(Capacity!$L105)="x",IF(AND(SUMIF(Capacity_Resource,$D93,'Critical resources (hide)'!AK$6:AK$105)+SUMIF(Capacity_Resource,$E93,'Critical resources (hide)'!AK$6:AK$105)+SUMIF(Capacity_Resource,$F93,'Critical resources (hide)'!AK$6:AK$105)&gt;0,$E$1=2),0,1),0)</f>
        <v>1</v>
      </c>
      <c r="Y93" s="67">
        <f ca="1">IF(LOWER(Capacity!$L105)="x",IF(AND(SUMIF(Capacity_Resource,$D93,'Critical resources (hide)'!AL$6:AL$105)+SUMIF(Capacity_Resource,$E93,'Critical resources (hide)'!AL$6:AL$105)+SUMIF(Capacity_Resource,$F93,'Critical resources (hide)'!AL$6:AL$105)&gt;0,$E$1=2),0,1),0)</f>
        <v>1</v>
      </c>
      <c r="Z93" s="67">
        <f ca="1">IF(LOWER(Capacity!$L105)="x",IF(AND(SUMIF(Capacity_Resource,$D93,'Critical resources (hide)'!AM$6:AM$105)+SUMIF(Capacity_Resource,$E93,'Critical resources (hide)'!AM$6:AM$105)+SUMIF(Capacity_Resource,$F93,'Critical resources (hide)'!AM$6:AM$105)&gt;0,$E$1=2),0,1),0)</f>
        <v>1</v>
      </c>
      <c r="AA93" s="67">
        <f ca="1">IF(LOWER(Capacity!$L105)="x",IF(AND(SUMIF(Capacity_Resource,$D93,'Critical resources (hide)'!AN$6:AN$105)+SUMIF(Capacity_Resource,$E93,'Critical resources (hide)'!AN$6:AN$105)+SUMIF(Capacity_Resource,$F93,'Critical resources (hide)'!AN$6:AN$105)&gt;0,$E$1=2),0,1),0)</f>
        <v>1</v>
      </c>
      <c r="AB93" s="67">
        <f ca="1">IF(LOWER(Capacity!$L105)="x",IF(AND(SUMIF(Capacity_Resource,$D93,'Critical resources (hide)'!AO$6:AO$105)+SUMIF(Capacity_Resource,$E93,'Critical resources (hide)'!AO$6:AO$105)+SUMIF(Capacity_Resource,$F93,'Critical resources (hide)'!AO$6:AO$105)&gt;0,$E$1=2),0,1),0)</f>
        <v>1</v>
      </c>
      <c r="AC93" s="67">
        <f ca="1">IF(LOWER(Capacity!$L105)="x",IF(AND(SUMIF(Capacity_Resource,$D93,'Critical resources (hide)'!AP$6:AP$105)+SUMIF(Capacity_Resource,$E93,'Critical resources (hide)'!AP$6:AP$105)+SUMIF(Capacity_Resource,$F93,'Critical resources (hide)'!AP$6:AP$105)&gt;0,$E$1=2),0,1),0)</f>
        <v>1</v>
      </c>
      <c r="AD93" s="67">
        <f ca="1">IF(LOWER(Capacity!$L105)="x",IF(AND(SUMIF(Capacity_Resource,$D93,'Critical resources (hide)'!AQ$6:AQ$105)+SUMIF(Capacity_Resource,$E93,'Critical resources (hide)'!AQ$6:AQ$105)+SUMIF(Capacity_Resource,$F93,'Critical resources (hide)'!AQ$6:AQ$105)&gt;0,$E$1=2),0,1),0)</f>
        <v>1</v>
      </c>
      <c r="AE93" s="67">
        <f ca="1">IF(LOWER(Capacity!$L105)="x",IF(AND(SUMIF(Capacity_Resource,$D93,'Critical resources (hide)'!AR$6:AR$105)+SUMIF(Capacity_Resource,$E93,'Critical resources (hide)'!AR$6:AR$105)+SUMIF(Capacity_Resource,$F93,'Critical resources (hide)'!AR$6:AR$105)&gt;0,$E$1=2),0,1),0)</f>
        <v>1</v>
      </c>
      <c r="AF93" s="67">
        <f ca="1">IF(LOWER(Capacity!$L105)="x",IF(AND(SUMIF(Capacity_Resource,$D93,'Critical resources (hide)'!AS$6:AS$105)+SUMIF(Capacity_Resource,$E93,'Critical resources (hide)'!AS$6:AS$105)+SUMIF(Capacity_Resource,$F93,'Critical resources (hide)'!AS$6:AS$105)&gt;0,$E$1=2),0,1),0)</f>
        <v>1</v>
      </c>
      <c r="AG93" s="67">
        <f ca="1">IF(LOWER(Capacity!$L105)="x",IF(AND(SUMIF(Capacity_Resource,$D93,'Critical resources (hide)'!AT$6:AT$105)+SUMIF(Capacity_Resource,$E93,'Critical resources (hide)'!AT$6:AT$105)+SUMIF(Capacity_Resource,$F93,'Critical resources (hide)'!AT$6:AT$105)&gt;0,$E$1=2),0,1),0)</f>
        <v>1</v>
      </c>
      <c r="AH93" s="67">
        <f ca="1">IF(LOWER(Capacity!$L105)="x",IF(AND(SUMIF(Capacity_Resource,$D93,'Critical resources (hide)'!AU$6:AU$105)+SUMIF(Capacity_Resource,$E93,'Critical resources (hide)'!AU$6:AU$105)+SUMIF(Capacity_Resource,$F93,'Critical resources (hide)'!AU$6:AU$105)&gt;0,$E$1=2),0,1),0)</f>
        <v>1</v>
      </c>
      <c r="AI93" s="67">
        <f ca="1">IF(LOWER(Capacity!$L105)="x",IF(AND(SUMIF(Capacity_Resource,$D93,'Critical resources (hide)'!AV$6:AV$105)+SUMIF(Capacity_Resource,$E93,'Critical resources (hide)'!AV$6:AV$105)+SUMIF(Capacity_Resource,$F93,'Critical resources (hide)'!AV$6:AV$105)&gt;0,$E$1=2),0,1),0)</f>
        <v>1</v>
      </c>
      <c r="AJ93" s="67">
        <f ca="1">IF(LOWER(Capacity!$L105)="x",IF(AND(SUMIF(Capacity_Resource,$D93,'Critical resources (hide)'!AW$6:AW$105)+SUMIF(Capacity_Resource,$E93,'Critical resources (hide)'!AW$6:AW$105)+SUMIF(Capacity_Resource,$F93,'Critical resources (hide)'!AW$6:AW$105)&gt;0,$E$1=2),0,1),0)</f>
        <v>1</v>
      </c>
      <c r="AK93" s="67">
        <f ca="1">IF(LOWER(Capacity!$L105)="x",IF(AND(SUMIF(Capacity_Resource,$D93,'Critical resources (hide)'!AX$6:AX$105)+SUMIF(Capacity_Resource,$E93,'Critical resources (hide)'!AX$6:AX$105)+SUMIF(Capacity_Resource,$F93,'Critical resources (hide)'!AX$6:AX$105)&gt;0,$E$1=2),0,1),0)</f>
        <v>1</v>
      </c>
      <c r="AL93" s="67">
        <f ca="1">IF(LOWER(Capacity!$L105)="x",IF(AND(SUMIF(Capacity_Resource,$D93,'Critical resources (hide)'!AY$6:AY$105)+SUMIF(Capacity_Resource,$E93,'Critical resources (hide)'!AY$6:AY$105)+SUMIF(Capacity_Resource,$F93,'Critical resources (hide)'!AY$6:AY$105)&gt;0,$E$1=2),0,1),0)</f>
        <v>1</v>
      </c>
      <c r="AM93" s="67">
        <f ca="1">IF(LOWER(Capacity!$L105)="x",IF(AND(SUMIF(Capacity_Resource,$D93,'Critical resources (hide)'!AZ$6:AZ$105)+SUMIF(Capacity_Resource,$E93,'Critical resources (hide)'!AZ$6:AZ$105)+SUMIF(Capacity_Resource,$F93,'Critical resources (hide)'!AZ$6:AZ$105)&gt;0,$E$1=2),0,1),0)</f>
        <v>1</v>
      </c>
      <c r="AN93" s="67">
        <f ca="1">IF(LOWER(Capacity!$L105)="x",IF(AND(SUMIF(Capacity_Resource,$D93,'Critical resources (hide)'!BA$6:BA$105)+SUMIF(Capacity_Resource,$E93,'Critical resources (hide)'!BA$6:BA$105)+SUMIF(Capacity_Resource,$F93,'Critical resources (hide)'!BA$6:BA$105)&gt;0,$E$1=2),0,1),0)</f>
        <v>1</v>
      </c>
      <c r="AO93" s="67">
        <f ca="1">IF(LOWER(Capacity!$L105)="x",IF(AND(SUMIF(Capacity_Resource,$D93,'Critical resources (hide)'!BB$6:BB$105)+SUMIF(Capacity_Resource,$E93,'Critical resources (hide)'!BB$6:BB$105)+SUMIF(Capacity_Resource,$F93,'Critical resources (hide)'!BB$6:BB$105)&gt;0,$E$1=2),0,1),0)</f>
        <v>1</v>
      </c>
      <c r="AP93" s="67">
        <f ca="1">IF(LOWER(Capacity!$L105)="x",IF(AND(SUMIF(Capacity_Resource,$D93,'Critical resources (hide)'!BC$6:BC$105)+SUMIF(Capacity_Resource,$E93,'Critical resources (hide)'!BC$6:BC$105)+SUMIF(Capacity_Resource,$F93,'Critical resources (hide)'!BC$6:BC$105)&gt;0,$E$1=2),0,1),0)</f>
        <v>1</v>
      </c>
      <c r="AQ93" s="67">
        <f ca="1">IF(LOWER(Capacity!$L105)="x",IF(AND(SUMIF(Capacity_Resource,$D93,'Critical resources (hide)'!BD$6:BD$105)+SUMIF(Capacity_Resource,$E93,'Critical resources (hide)'!BD$6:BD$105)+SUMIF(Capacity_Resource,$F93,'Critical resources (hide)'!BD$6:BD$105)&gt;0,$E$1=2),0,1),0)</f>
        <v>1</v>
      </c>
      <c r="AR93" s="67">
        <f ca="1">IF(LOWER(Capacity!$L105)="x",IF(AND(SUMIF(Capacity_Resource,$D93,'Critical resources (hide)'!BE$6:BE$105)+SUMIF(Capacity_Resource,$E93,'Critical resources (hide)'!BE$6:BE$105)+SUMIF(Capacity_Resource,$F93,'Critical resources (hide)'!BE$6:BE$105)&gt;0,$E$1=2),0,1),0)</f>
        <v>1</v>
      </c>
      <c r="AS93" s="67">
        <f ca="1">IF(LOWER(Capacity!$L105)="x",IF(AND(SUMIF(Capacity_Resource,$D93,'Critical resources (hide)'!BF$6:BF$105)+SUMIF(Capacity_Resource,$E93,'Critical resources (hide)'!BF$6:BF$105)+SUMIF(Capacity_Resource,$F93,'Critical resources (hide)'!BF$6:BF$105)&gt;0,$E$1=2),0,1),0)</f>
        <v>1</v>
      </c>
      <c r="AT93" s="67">
        <f ca="1">IF(LOWER(Capacity!$L105)="x",IF(AND(SUMIF(Capacity_Resource,$D93,'Critical resources (hide)'!BG$6:BG$105)+SUMIF(Capacity_Resource,$E93,'Critical resources (hide)'!BG$6:BG$105)+SUMIF(Capacity_Resource,$F93,'Critical resources (hide)'!BG$6:BG$105)&gt;0,$E$1=2),0,1),0)</f>
        <v>1</v>
      </c>
      <c r="AU93" s="67">
        <f ca="1">IF(LOWER(Capacity!$L105)="x",IF(AND(SUMIF(Capacity_Resource,$D93,'Critical resources (hide)'!BH$6:BH$105)+SUMIF(Capacity_Resource,$E93,'Critical resources (hide)'!BH$6:BH$105)+SUMIF(Capacity_Resource,$F93,'Critical resources (hide)'!BH$6:BH$105)&gt;0,$E$1=2),0,1),0)</f>
        <v>1</v>
      </c>
      <c r="AV93" s="67">
        <f ca="1">IF(LOWER(Capacity!$L105)="x",IF(AND(SUMIF(Capacity_Resource,$D93,'Critical resources (hide)'!BI$6:BI$105)+SUMIF(Capacity_Resource,$E93,'Critical resources (hide)'!BI$6:BI$105)+SUMIF(Capacity_Resource,$F93,'Critical resources (hide)'!BI$6:BI$105)&gt;0,$E$1=2),0,1),0)</f>
        <v>1</v>
      </c>
      <c r="AW93" s="67">
        <f ca="1">IF(LOWER(Capacity!$L105)="x",IF(AND(SUMIF(Capacity_Resource,$D93,'Critical resources (hide)'!BJ$6:BJ$105)+SUMIF(Capacity_Resource,$E93,'Critical resources (hide)'!BJ$6:BJ$105)+SUMIF(Capacity_Resource,$F93,'Critical resources (hide)'!BJ$6:BJ$105)&gt;0,$E$1=2),0,1),0)</f>
        <v>1</v>
      </c>
      <c r="AX93" s="67">
        <f ca="1">IF(LOWER(Capacity!$L105)="x",IF(AND(SUMIF(Capacity_Resource,$D93,'Critical resources (hide)'!BK$6:BK$105)+SUMIF(Capacity_Resource,$E93,'Critical resources (hide)'!BK$6:BK$105)+SUMIF(Capacity_Resource,$F93,'Critical resources (hide)'!BK$6:BK$105)&gt;0,$E$1=2),0,1),0)</f>
        <v>1</v>
      </c>
      <c r="AY93" s="67">
        <f ca="1">IF(LOWER(Capacity!$L105)="x",IF(AND(SUMIF(Capacity_Resource,$D93,'Critical resources (hide)'!BL$6:BL$105)+SUMIF(Capacity_Resource,$E93,'Critical resources (hide)'!BL$6:BL$105)+SUMIF(Capacity_Resource,$F93,'Critical resources (hide)'!BL$6:BL$105)&gt;0,$E$1=2),0,1),0)</f>
        <v>1</v>
      </c>
      <c r="AZ93" s="67">
        <f ca="1">IF(LOWER(Capacity!$L105)="x",IF(AND(SUMIF(Capacity_Resource,$D93,'Critical resources (hide)'!BM$6:BM$105)+SUMIF(Capacity_Resource,$E93,'Critical resources (hide)'!BM$6:BM$105)+SUMIF(Capacity_Resource,$F93,'Critical resources (hide)'!BM$6:BM$105)&gt;0,$E$1=2),0,1),0)</f>
        <v>1</v>
      </c>
      <c r="BA93" s="67">
        <f ca="1">IF(LOWER(Capacity!$L105)="x",IF(AND(SUMIF(Capacity_Resource,$D93,'Critical resources (hide)'!BN$6:BN$105)+SUMIF(Capacity_Resource,$E93,'Critical resources (hide)'!BN$6:BN$105)+SUMIF(Capacity_Resource,$F93,'Critical resources (hide)'!BN$6:BN$105)&gt;0,$E$1=2),0,1),0)</f>
        <v>1</v>
      </c>
      <c r="BB93" s="67">
        <f ca="1">IF(LOWER(Capacity!$L105)="x",IF(AND(SUMIF(Capacity_Resource,$D93,'Critical resources (hide)'!BO$6:BO$105)+SUMIF(Capacity_Resource,$E93,'Critical resources (hide)'!BO$6:BO$105)+SUMIF(Capacity_Resource,$F93,'Critical resources (hide)'!BO$6:BO$105)&gt;0,$E$1=2),0,1),0)</f>
        <v>1</v>
      </c>
      <c r="BC93" s="67">
        <f ca="1">IF(LOWER(Capacity!$L105)="x",IF(AND(SUMIF(Capacity_Resource,$D93,'Critical resources (hide)'!BP$6:BP$105)+SUMIF(Capacity_Resource,$E93,'Critical resources (hide)'!BP$6:BP$105)+SUMIF(Capacity_Resource,$F93,'Critical resources (hide)'!BP$6:BP$105)&gt;0,$E$1=2),0,1),0)</f>
        <v>1</v>
      </c>
      <c r="BD93" s="67">
        <f ca="1">IF(LOWER(Capacity!$L105)="x",IF(AND(SUMIF(Capacity_Resource,$D93,'Critical resources (hide)'!BQ$6:BQ$105)+SUMIF(Capacity_Resource,$E93,'Critical resources (hide)'!BQ$6:BQ$105)+SUMIF(Capacity_Resource,$F93,'Critical resources (hide)'!BQ$6:BQ$105)&gt;0,$E$1=2),0,1),0)</f>
        <v>1</v>
      </c>
      <c r="BE93" s="67">
        <f ca="1">IF(LOWER(Capacity!$L105)="x",IF(AND(SUMIF(Capacity_Resource,$D93,'Critical resources (hide)'!BR$6:BR$105)+SUMIF(Capacity_Resource,$E93,'Critical resources (hide)'!BR$6:BR$105)+SUMIF(Capacity_Resource,$F93,'Critical resources (hide)'!BR$6:BR$105)&gt;0,$E$1=2),0,1),0)</f>
        <v>1</v>
      </c>
      <c r="BF93" s="67">
        <f ca="1">IF(LOWER(Capacity!$L105)="x",IF(AND(SUMIF(Capacity_Resource,$D93,'Critical resources (hide)'!BS$6:BS$105)+SUMIF(Capacity_Resource,$E93,'Critical resources (hide)'!BS$6:BS$105)+SUMIF(Capacity_Resource,$F93,'Critical resources (hide)'!BS$6:BS$105)&gt;0,$E$1=2),0,1),0)</f>
        <v>1</v>
      </c>
      <c r="BG93" s="67">
        <f ca="1">IF(LOWER(Capacity!$L105)="x",IF(AND(SUMIF(Capacity_Resource,$D93,'Critical resources (hide)'!BT$6:BT$105)+SUMIF(Capacity_Resource,$E93,'Critical resources (hide)'!BT$6:BT$105)+SUMIF(Capacity_Resource,$F93,'Critical resources (hide)'!BT$6:BT$105)&gt;0,$E$1=2),0,1),0)</f>
        <v>1</v>
      </c>
      <c r="BH93" s="67">
        <f>IF(ROW(C89)&lt;=Capacity!$A$16,IF('Capacity summary'!$D$14="No",SUM(H93:BG93),'Capacity summary'!$E212),0)</f>
        <v>0</v>
      </c>
      <c r="BI93" s="5" t="str">
        <f>IF(BH93&gt;0,IF(BH93&lt;Capacity!E105,Capacity!F105,Capacity!H105/'Capacity calculation (hide)'!BH93),"")</f>
        <v/>
      </c>
      <c r="BK93" s="311">
        <f>IF($BI93&lt;&gt;"",IF('Capacity summary'!$D$14="Yes",IF(COUNTBLANK('Capacity summary'!$H212:$BG212)&lt;52,IF('Capacity summary'!H212&lt;&gt;"",IF(LOWER('Capacity summary'!H212)="x",$BI93*H93,VALUE('Capacity summary'!H212)),0),H93*$BI93),H93*$BI93),0)</f>
        <v>0</v>
      </c>
      <c r="BL93" s="311">
        <f>IF($BI93&lt;&gt;"",IF('Capacity summary'!$D$14="Yes",IF(COUNTBLANK('Capacity summary'!$H212:$BG212)&lt;52,IF('Capacity summary'!I212&lt;&gt;"",IF(LOWER('Capacity summary'!I212)="x",$BI93*I93,VALUE('Capacity summary'!I212)),0),I93*$BI93),I93*$BI93),0)</f>
        <v>0</v>
      </c>
      <c r="BM93" s="311">
        <f>IF($BI93&lt;&gt;"",IF('Capacity summary'!$D$14="Yes",IF(COUNTBLANK('Capacity summary'!$H212:$BG212)&lt;52,IF('Capacity summary'!J212&lt;&gt;"",IF(LOWER('Capacity summary'!J212)="x",$BI93*J93,VALUE('Capacity summary'!J212)),0),J93*$BI93),J93*$BI93),0)</f>
        <v>0</v>
      </c>
      <c r="BN93" s="311">
        <f>IF($BI93&lt;&gt;"",IF('Capacity summary'!$D$14="Yes",IF(COUNTBLANK('Capacity summary'!$H212:$BG212)&lt;52,IF('Capacity summary'!K212&lt;&gt;"",IF(LOWER('Capacity summary'!K212)="x",$BI93*K93,VALUE('Capacity summary'!K212)),0),K93*$BI93),K93*$BI93),0)</f>
        <v>0</v>
      </c>
      <c r="BO93" s="311">
        <f>IF($BI93&lt;&gt;"",IF('Capacity summary'!$D$14="Yes",IF(COUNTBLANK('Capacity summary'!$H212:$BG212)&lt;52,IF('Capacity summary'!L212&lt;&gt;"",IF(LOWER('Capacity summary'!L212)="x",$BI93*L93,VALUE('Capacity summary'!L212)),0),L93*$BI93),L93*$BI93),0)</f>
        <v>0</v>
      </c>
      <c r="BP93" s="311">
        <f>IF($BI93&lt;&gt;"",IF('Capacity summary'!$D$14="Yes",IF(COUNTBLANK('Capacity summary'!$H212:$BG212)&lt;52,IF('Capacity summary'!M212&lt;&gt;"",IF(LOWER('Capacity summary'!M212)="x",$BI93*M93,VALUE('Capacity summary'!M212)),0),M93*$BI93),M93*$BI93),0)</f>
        <v>0</v>
      </c>
      <c r="BQ93" s="311">
        <f>IF($BI93&lt;&gt;"",IF('Capacity summary'!$D$14="Yes",IF(COUNTBLANK('Capacity summary'!$H212:$BG212)&lt;52,IF('Capacity summary'!N212&lt;&gt;"",IF(LOWER('Capacity summary'!N212)="x",$BI93*N93,VALUE('Capacity summary'!N212)),0),N93*$BI93),N93*$BI93),0)</f>
        <v>0</v>
      </c>
      <c r="BR93" s="311">
        <f>IF($BI93&lt;&gt;"",IF('Capacity summary'!$D$14="Yes",IF(COUNTBLANK('Capacity summary'!$H212:$BG212)&lt;52,IF('Capacity summary'!O212&lt;&gt;"",IF(LOWER('Capacity summary'!O212)="x",$BI93*O93,VALUE('Capacity summary'!O212)),0),O93*$BI93),O93*$BI93),0)</f>
        <v>0</v>
      </c>
      <c r="BS93" s="311">
        <f>IF($BI93&lt;&gt;"",IF('Capacity summary'!$D$14="Yes",IF(COUNTBLANK('Capacity summary'!$H212:$BG212)&lt;52,IF('Capacity summary'!P212&lt;&gt;"",IF(LOWER('Capacity summary'!P212)="x",$BI93*P93,VALUE('Capacity summary'!P212)),0),P93*$BI93),P93*$BI93),0)</f>
        <v>0</v>
      </c>
      <c r="BT93" s="311">
        <f>IF($BI93&lt;&gt;"",IF('Capacity summary'!$D$14="Yes",IF(COUNTBLANK('Capacity summary'!$H212:$BG212)&lt;52,IF('Capacity summary'!Q212&lt;&gt;"",IF(LOWER('Capacity summary'!Q212)="x",$BI93*Q93,VALUE('Capacity summary'!Q212)),0),Q93*$BI93),Q93*$BI93),0)</f>
        <v>0</v>
      </c>
      <c r="BU93" s="311">
        <f>IF($BI93&lt;&gt;"",IF('Capacity summary'!$D$14="Yes",IF(COUNTBLANK('Capacity summary'!$H212:$BG212)&lt;52,IF('Capacity summary'!R212&lt;&gt;"",IF(LOWER('Capacity summary'!R212)="x",$BI93*R93,VALUE('Capacity summary'!R212)),0),R93*$BI93),R93*$BI93),0)</f>
        <v>0</v>
      </c>
      <c r="BV93" s="311">
        <f>IF($BI93&lt;&gt;"",IF('Capacity summary'!$D$14="Yes",IF(COUNTBLANK('Capacity summary'!$H212:$BG212)&lt;52,IF('Capacity summary'!S212&lt;&gt;"",IF(LOWER('Capacity summary'!S212)="x",$BI93*S93,VALUE('Capacity summary'!S212)),0),S93*$BI93),S93*$BI93),0)</f>
        <v>0</v>
      </c>
      <c r="BW93" s="311">
        <f>IF($BI93&lt;&gt;"",IF('Capacity summary'!$D$14="Yes",IF(COUNTBLANK('Capacity summary'!$H212:$BG212)&lt;52,IF('Capacity summary'!T212&lt;&gt;"",IF(LOWER('Capacity summary'!T212)="x",$BI93*T93,VALUE('Capacity summary'!T212)),0),T93*$BI93),T93*$BI93),0)</f>
        <v>0</v>
      </c>
      <c r="BX93" s="311">
        <f>IF($BI93&lt;&gt;"",IF('Capacity summary'!$D$14="Yes",IF(COUNTBLANK('Capacity summary'!$H212:$BG212)&lt;52,IF('Capacity summary'!U212&lt;&gt;"",IF(LOWER('Capacity summary'!U212)="x",$BI93*U93,VALUE('Capacity summary'!U212)),0),U93*$BI93),U93*$BI93),0)</f>
        <v>0</v>
      </c>
      <c r="BY93" s="311">
        <f>IF($BI93&lt;&gt;"",IF('Capacity summary'!$D$14="Yes",IF(COUNTBLANK('Capacity summary'!$H212:$BG212)&lt;52,IF('Capacity summary'!V212&lt;&gt;"",IF(LOWER('Capacity summary'!V212)="x",$BI93*V93,VALUE('Capacity summary'!V212)),0),V93*$BI93),V93*$BI93),0)</f>
        <v>0</v>
      </c>
      <c r="BZ93" s="311">
        <f>IF($BI93&lt;&gt;"",IF('Capacity summary'!$D$14="Yes",IF(COUNTBLANK('Capacity summary'!$H212:$BG212)&lt;52,IF('Capacity summary'!W212&lt;&gt;"",IF(LOWER('Capacity summary'!W212)="x",$BI93*W93,VALUE('Capacity summary'!W212)),0),W93*$BI93),W93*$BI93),0)</f>
        <v>0</v>
      </c>
      <c r="CA93" s="311">
        <f>IF($BI93&lt;&gt;"",IF('Capacity summary'!$D$14="Yes",IF(COUNTBLANK('Capacity summary'!$H212:$BG212)&lt;52,IF('Capacity summary'!X212&lt;&gt;"",IF(LOWER('Capacity summary'!X212)="x",$BI93*X93,VALUE('Capacity summary'!X212)),0),X93*$BI93),X93*$BI93),0)</f>
        <v>0</v>
      </c>
      <c r="CB93" s="311">
        <f>IF($BI93&lt;&gt;"",IF('Capacity summary'!$D$14="Yes",IF(COUNTBLANK('Capacity summary'!$H212:$BG212)&lt;52,IF('Capacity summary'!Y212&lt;&gt;"",IF(LOWER('Capacity summary'!Y212)="x",$BI93*Y93,VALUE('Capacity summary'!Y212)),0),Y93*$BI93),Y93*$BI93),0)</f>
        <v>0</v>
      </c>
      <c r="CC93" s="311">
        <f>IF($BI93&lt;&gt;"",IF('Capacity summary'!$D$14="Yes",IF(COUNTBLANK('Capacity summary'!$H212:$BG212)&lt;52,IF('Capacity summary'!Z212&lt;&gt;"",IF(LOWER('Capacity summary'!Z212)="x",$BI93*Z93,VALUE('Capacity summary'!Z212)),0),Z93*$BI93),Z93*$BI93),0)</f>
        <v>0</v>
      </c>
      <c r="CD93" s="311">
        <f>IF($BI93&lt;&gt;"",IF('Capacity summary'!$D$14="Yes",IF(COUNTBLANK('Capacity summary'!$H212:$BG212)&lt;52,IF('Capacity summary'!AA212&lt;&gt;"",IF(LOWER('Capacity summary'!AA212)="x",$BI93*AA93,VALUE('Capacity summary'!AA212)),0),AA93*$BI93),AA93*$BI93),0)</f>
        <v>0</v>
      </c>
      <c r="CE93" s="311">
        <f>IF($BI93&lt;&gt;"",IF('Capacity summary'!$D$14="Yes",IF(COUNTBLANK('Capacity summary'!$H212:$BG212)&lt;52,IF('Capacity summary'!AB212&lt;&gt;"",IF(LOWER('Capacity summary'!AB212)="x",$BI93*AB93,VALUE('Capacity summary'!AB212)),0),AB93*$BI93),AB93*$BI93),0)</f>
        <v>0</v>
      </c>
      <c r="CF93" s="311">
        <f>IF($BI93&lt;&gt;"",IF('Capacity summary'!$D$14="Yes",IF(COUNTBLANK('Capacity summary'!$H212:$BG212)&lt;52,IF('Capacity summary'!AC212&lt;&gt;"",IF(LOWER('Capacity summary'!AC212)="x",$BI93*AC93,VALUE('Capacity summary'!AC212)),0),AC93*$BI93),AC93*$BI93),0)</f>
        <v>0</v>
      </c>
      <c r="CG93" s="311">
        <f>IF($BI93&lt;&gt;"",IF('Capacity summary'!$D$14="Yes",IF(COUNTBLANK('Capacity summary'!$H212:$BG212)&lt;52,IF('Capacity summary'!AD212&lt;&gt;"",IF(LOWER('Capacity summary'!AD212)="x",$BI93*AD93,VALUE('Capacity summary'!AD212)),0),AD93*$BI93),AD93*$BI93),0)</f>
        <v>0</v>
      </c>
      <c r="CH93" s="311">
        <f>IF($BI93&lt;&gt;"",IF('Capacity summary'!$D$14="Yes",IF(COUNTBLANK('Capacity summary'!$H212:$BG212)&lt;52,IF('Capacity summary'!AE212&lt;&gt;"",IF(LOWER('Capacity summary'!AE212)="x",$BI93*AE93,VALUE('Capacity summary'!AE212)),0),AE93*$BI93),AE93*$BI93),0)</f>
        <v>0</v>
      </c>
      <c r="CI93" s="311">
        <f>IF($BI93&lt;&gt;"",IF('Capacity summary'!$D$14="Yes",IF(COUNTBLANK('Capacity summary'!$H212:$BG212)&lt;52,IF('Capacity summary'!AF212&lt;&gt;"",IF(LOWER('Capacity summary'!AF212)="x",$BI93*AF93,VALUE('Capacity summary'!AF212)),0),AF93*$BI93),AF93*$BI93),0)</f>
        <v>0</v>
      </c>
      <c r="CJ93" s="311">
        <f>IF($BI93&lt;&gt;"",IF('Capacity summary'!$D$14="Yes",IF(COUNTBLANK('Capacity summary'!$H212:$BG212)&lt;52,IF('Capacity summary'!AG212&lt;&gt;"",IF(LOWER('Capacity summary'!AG212)="x",$BI93*AG93,VALUE('Capacity summary'!AG212)),0),AG93*$BI93),AG93*$BI93),0)</f>
        <v>0</v>
      </c>
      <c r="CK93" s="311">
        <f>IF($BI93&lt;&gt;"",IF('Capacity summary'!$D$14="Yes",IF(COUNTBLANK('Capacity summary'!$H212:$BG212)&lt;52,IF('Capacity summary'!AH212&lt;&gt;"",IF(LOWER('Capacity summary'!AH212)="x",$BI93*AH93,VALUE('Capacity summary'!AH212)),0),AH93*$BI93),AH93*$BI93),0)</f>
        <v>0</v>
      </c>
      <c r="CL93" s="311">
        <f>IF($BI93&lt;&gt;"",IF('Capacity summary'!$D$14="Yes",IF(COUNTBLANK('Capacity summary'!$H212:$BG212)&lt;52,IF('Capacity summary'!AI212&lt;&gt;"",IF(LOWER('Capacity summary'!AI212)="x",$BI93*AI93,VALUE('Capacity summary'!AI212)),0),AI93*$BI93),AI93*$BI93),0)</f>
        <v>0</v>
      </c>
      <c r="CM93" s="311">
        <f>IF($BI93&lt;&gt;"",IF('Capacity summary'!$D$14="Yes",IF(COUNTBLANK('Capacity summary'!$H212:$BG212)&lt;52,IF('Capacity summary'!AJ212&lt;&gt;"",IF(LOWER('Capacity summary'!AJ212)="x",$BI93*AJ93,VALUE('Capacity summary'!AJ212)),0),AJ93*$BI93),AJ93*$BI93),0)</f>
        <v>0</v>
      </c>
      <c r="CN93" s="311">
        <f>IF($BI93&lt;&gt;"",IF('Capacity summary'!$D$14="Yes",IF(COUNTBLANK('Capacity summary'!$H212:$BG212)&lt;52,IF('Capacity summary'!AK212&lt;&gt;"",IF(LOWER('Capacity summary'!AK212)="x",$BI93*AK93,VALUE('Capacity summary'!AK212)),0),AK93*$BI93),AK93*$BI93),0)</f>
        <v>0</v>
      </c>
      <c r="CO93" s="311">
        <f>IF($BI93&lt;&gt;"",IF('Capacity summary'!$D$14="Yes",IF(COUNTBLANK('Capacity summary'!$H212:$BG212)&lt;52,IF('Capacity summary'!AL212&lt;&gt;"",IF(LOWER('Capacity summary'!AL212)="x",$BI93*AL93,VALUE('Capacity summary'!AL212)),0),AL93*$BI93),AL93*$BI93),0)</f>
        <v>0</v>
      </c>
      <c r="CP93" s="311">
        <f>IF($BI93&lt;&gt;"",IF('Capacity summary'!$D$14="Yes",IF(COUNTBLANK('Capacity summary'!$H212:$BG212)&lt;52,IF('Capacity summary'!AM212&lt;&gt;"",IF(LOWER('Capacity summary'!AM212)="x",$BI93*AM93,VALUE('Capacity summary'!AM212)),0),AM93*$BI93),AM93*$BI93),0)</f>
        <v>0</v>
      </c>
      <c r="CQ93" s="311">
        <f>IF($BI93&lt;&gt;"",IF('Capacity summary'!$D$14="Yes",IF(COUNTBLANK('Capacity summary'!$H212:$BG212)&lt;52,IF('Capacity summary'!AN212&lt;&gt;"",IF(LOWER('Capacity summary'!AN212)="x",$BI93*AN93,VALUE('Capacity summary'!AN212)),0),AN93*$BI93),AN93*$BI93),0)</f>
        <v>0</v>
      </c>
      <c r="CR93" s="311">
        <f>IF($BI93&lt;&gt;"",IF('Capacity summary'!$D$14="Yes",IF(COUNTBLANK('Capacity summary'!$H212:$BG212)&lt;52,IF('Capacity summary'!AO212&lt;&gt;"",IF(LOWER('Capacity summary'!AO212)="x",$BI93*AO93,VALUE('Capacity summary'!AO212)),0),AO93*$BI93),AO93*$BI93),0)</f>
        <v>0</v>
      </c>
      <c r="CS93" s="311">
        <f>IF($BI93&lt;&gt;"",IF('Capacity summary'!$D$14="Yes",IF(COUNTBLANK('Capacity summary'!$H212:$BG212)&lt;52,IF('Capacity summary'!AP212&lt;&gt;"",IF(LOWER('Capacity summary'!AP212)="x",$BI93*AP93,VALUE('Capacity summary'!AP212)),0),AP93*$BI93),AP93*$BI93),0)</f>
        <v>0</v>
      </c>
      <c r="CT93" s="311">
        <f>IF($BI93&lt;&gt;"",IF('Capacity summary'!$D$14="Yes",IF(COUNTBLANK('Capacity summary'!$H212:$BG212)&lt;52,IF('Capacity summary'!AQ212&lt;&gt;"",IF(LOWER('Capacity summary'!AQ212)="x",$BI93*AQ93,VALUE('Capacity summary'!AQ212)),0),AQ93*$BI93),AQ93*$BI93),0)</f>
        <v>0</v>
      </c>
      <c r="CU93" s="311">
        <f>IF($BI93&lt;&gt;"",IF('Capacity summary'!$D$14="Yes",IF(COUNTBLANK('Capacity summary'!$H212:$BG212)&lt;52,IF('Capacity summary'!AR212&lt;&gt;"",IF(LOWER('Capacity summary'!AR212)="x",$BI93*AR93,VALUE('Capacity summary'!AR212)),0),AR93*$BI93),AR93*$BI93),0)</f>
        <v>0</v>
      </c>
      <c r="CV93" s="311">
        <f>IF($BI93&lt;&gt;"",IF('Capacity summary'!$D$14="Yes",IF(COUNTBLANK('Capacity summary'!$H212:$BG212)&lt;52,IF('Capacity summary'!AS212&lt;&gt;"",IF(LOWER('Capacity summary'!AS212)="x",$BI93*AS93,VALUE('Capacity summary'!AS212)),0),AS93*$BI93),AS93*$BI93),0)</f>
        <v>0</v>
      </c>
      <c r="CW93" s="311">
        <f>IF($BI93&lt;&gt;"",IF('Capacity summary'!$D$14="Yes",IF(COUNTBLANK('Capacity summary'!$H212:$BG212)&lt;52,IF('Capacity summary'!AT212&lt;&gt;"",IF(LOWER('Capacity summary'!AT212)="x",$BI93*AT93,VALUE('Capacity summary'!AT212)),0),AT93*$BI93),AT93*$BI93),0)</f>
        <v>0</v>
      </c>
      <c r="CX93" s="311">
        <f>IF($BI93&lt;&gt;"",IF('Capacity summary'!$D$14="Yes",IF(COUNTBLANK('Capacity summary'!$H212:$BG212)&lt;52,IF('Capacity summary'!AU212&lt;&gt;"",IF(LOWER('Capacity summary'!AU212)="x",$BI93*AU93,VALUE('Capacity summary'!AU212)),0),AU93*$BI93),AU93*$BI93),0)</f>
        <v>0</v>
      </c>
      <c r="CY93" s="311">
        <f>IF($BI93&lt;&gt;"",IF('Capacity summary'!$D$14="Yes",IF(COUNTBLANK('Capacity summary'!$H212:$BG212)&lt;52,IF('Capacity summary'!AV212&lt;&gt;"",IF(LOWER('Capacity summary'!AV212)="x",$BI93*AV93,VALUE('Capacity summary'!AV212)),0),AV93*$BI93),AV93*$BI93),0)</f>
        <v>0</v>
      </c>
      <c r="CZ93" s="311">
        <f>IF($BI93&lt;&gt;"",IF('Capacity summary'!$D$14="Yes",IF(COUNTBLANK('Capacity summary'!$H212:$BG212)&lt;52,IF('Capacity summary'!AW212&lt;&gt;"",IF(LOWER('Capacity summary'!AW212)="x",$BI93*AW93,VALUE('Capacity summary'!AW212)),0),AW93*$BI93),AW93*$BI93),0)</f>
        <v>0</v>
      </c>
      <c r="DA93" s="311">
        <f>IF($BI93&lt;&gt;"",IF('Capacity summary'!$D$14="Yes",IF(COUNTBLANK('Capacity summary'!$H212:$BG212)&lt;52,IF('Capacity summary'!AX212&lt;&gt;"",IF(LOWER('Capacity summary'!AX212)="x",$BI93*AX93,VALUE('Capacity summary'!AX212)),0),AX93*$BI93),AX93*$BI93),0)</f>
        <v>0</v>
      </c>
      <c r="DB93" s="311">
        <f>IF($BI93&lt;&gt;"",IF('Capacity summary'!$D$14="Yes",IF(COUNTBLANK('Capacity summary'!$H212:$BG212)&lt;52,IF('Capacity summary'!AY212&lt;&gt;"",IF(LOWER('Capacity summary'!AY212)="x",$BI93*AY93,VALUE('Capacity summary'!AY212)),0),AY93*$BI93),AY93*$BI93),0)</f>
        <v>0</v>
      </c>
      <c r="DC93" s="311">
        <f>IF($BI93&lt;&gt;"",IF('Capacity summary'!$D$14="Yes",IF(COUNTBLANK('Capacity summary'!$H212:$BG212)&lt;52,IF('Capacity summary'!AZ212&lt;&gt;"",IF(LOWER('Capacity summary'!AZ212)="x",$BI93*AZ93,VALUE('Capacity summary'!AZ212)),0),AZ93*$BI93),AZ93*$BI93),0)</f>
        <v>0</v>
      </c>
      <c r="DD93" s="311">
        <f>IF($BI93&lt;&gt;"",IF('Capacity summary'!$D$14="Yes",IF(COUNTBLANK('Capacity summary'!$H212:$BG212)&lt;52,IF('Capacity summary'!BA212&lt;&gt;"",IF(LOWER('Capacity summary'!BA212)="x",$BI93*BA93,VALUE('Capacity summary'!BA212)),0),BA93*$BI93),BA93*$BI93),0)</f>
        <v>0</v>
      </c>
      <c r="DE93" s="311">
        <f>IF($BI93&lt;&gt;"",IF('Capacity summary'!$D$14="Yes",IF(COUNTBLANK('Capacity summary'!$H212:$BG212)&lt;52,IF('Capacity summary'!BB212&lt;&gt;"",IF(LOWER('Capacity summary'!BB212)="x",$BI93*BB93,VALUE('Capacity summary'!BB212)),0),BB93*$BI93),BB93*$BI93),0)</f>
        <v>0</v>
      </c>
      <c r="DF93" s="311">
        <f>IF($BI93&lt;&gt;"",IF('Capacity summary'!$D$14="Yes",IF(COUNTBLANK('Capacity summary'!$H212:$BG212)&lt;52,IF('Capacity summary'!BC212&lt;&gt;"",IF(LOWER('Capacity summary'!BC212)="x",$BI93*BC93,VALUE('Capacity summary'!BC212)),0),BC93*$BI93),BC93*$BI93),0)</f>
        <v>0</v>
      </c>
      <c r="DG93" s="311">
        <f>IF($BI93&lt;&gt;"",IF('Capacity summary'!$D$14="Yes",IF(COUNTBLANK('Capacity summary'!$H212:$BG212)&lt;52,IF('Capacity summary'!BD212&lt;&gt;"",IF(LOWER('Capacity summary'!BD212)="x",$BI93*BD93,VALUE('Capacity summary'!BD212)),0),BD93*$BI93),BD93*$BI93),0)</f>
        <v>0</v>
      </c>
      <c r="DH93" s="311">
        <f>IF($BI93&lt;&gt;"",IF('Capacity summary'!$D$14="Yes",IF(COUNTBLANK('Capacity summary'!$H212:$BG212)&lt;52,IF('Capacity summary'!BE212&lt;&gt;"",IF(LOWER('Capacity summary'!BE212)="x",$BI93*BE93,VALUE('Capacity summary'!BE212)),0),BE93*$BI93),BE93*$BI93),0)</f>
        <v>0</v>
      </c>
      <c r="DI93" s="311">
        <f>IF($BI93&lt;&gt;"",IF('Capacity summary'!$D$14="Yes",IF(COUNTBLANK('Capacity summary'!$H212:$BG212)&lt;52,IF('Capacity summary'!BF212&lt;&gt;"",IF(LOWER('Capacity summary'!BF212)="x",$BI93*BF93,VALUE('Capacity summary'!BF212)),0),BF93*$BI93),BF93*$BI93),0)</f>
        <v>0</v>
      </c>
      <c r="DJ93" s="311">
        <f>IF($BI93&lt;&gt;"",IF('Capacity summary'!$D$14="Yes",IF(COUNTBLANK('Capacity summary'!$H212:$BG212)&lt;52,IF('Capacity summary'!BG212&lt;&gt;"",IF(LOWER('Capacity summary'!BG212)="x",$BI93*BG93,VALUE('Capacity summary'!BG212)),0),BG93*$BI93),BG93*$BI93),0)</f>
        <v>0</v>
      </c>
      <c r="DK93" s="391">
        <f t="shared" si="4"/>
        <v>0</v>
      </c>
      <c r="DL93" s="136">
        <f t="shared" si="5"/>
        <v>0</v>
      </c>
      <c r="DM93" s="311" t="str">
        <f>Capacity!H105</f>
        <v/>
      </c>
    </row>
    <row r="94" spans="1:117" x14ac:dyDescent="0.2">
      <c r="A94" s="67">
        <f>IF(Capacity!L106='Capacity summary'!BI213,1,0)</f>
        <v>1</v>
      </c>
      <c r="B94" s="67">
        <f>IF(Capacity!V106='Capacity summary'!BI113,1,0)</f>
        <v>1</v>
      </c>
      <c r="C94" s="67" t="str">
        <f>ROW(A90)&amp;". "&amp;Capacity!B106</f>
        <v xml:space="preserve">90. </v>
      </c>
      <c r="D94" s="67">
        <f>'Capacity setup'!C101</f>
        <v>0</v>
      </c>
      <c r="E94" s="67">
        <f>'Capacity setup'!D101</f>
        <v>0</v>
      </c>
      <c r="F94" s="67">
        <f>'Capacity setup'!E101</f>
        <v>0</v>
      </c>
      <c r="H94" s="67">
        <f ca="1">IF(LOWER(Capacity!$L106)="x",IF(AND(SUMIF(Capacity_Resource,$D94,'Critical resources (hide)'!U$6:U$105)+SUMIF(Capacity_Resource,$E94,'Critical resources (hide)'!U$6:U$105)+SUMIF(Capacity_Resource,$F94,'Critical resources (hide)'!U$6:U$105)&gt;0,$E$1=2),0,1),0)</f>
        <v>1</v>
      </c>
      <c r="I94" s="67">
        <f ca="1">IF(LOWER(Capacity!$L106)="x",IF(AND(SUMIF(Capacity_Resource,$D94,'Critical resources (hide)'!V$6:V$105)+SUMIF(Capacity_Resource,$E94,'Critical resources (hide)'!V$6:V$105)+SUMIF(Capacity_Resource,$F94,'Critical resources (hide)'!V$6:V$105)&gt;0,$E$1=2),0,1),0)</f>
        <v>1</v>
      </c>
      <c r="J94" s="67">
        <f ca="1">IF(LOWER(Capacity!$L106)="x",IF(AND(SUMIF(Capacity_Resource,$D94,'Critical resources (hide)'!W$6:W$105)+SUMIF(Capacity_Resource,$E94,'Critical resources (hide)'!W$6:W$105)+SUMIF(Capacity_Resource,$F94,'Critical resources (hide)'!W$6:W$105)&gt;0,$E$1=2),0,1),0)</f>
        <v>1</v>
      </c>
      <c r="K94" s="67">
        <f ca="1">IF(LOWER(Capacity!$L106)="x",IF(AND(SUMIF(Capacity_Resource,$D94,'Critical resources (hide)'!X$6:X$105)+SUMIF(Capacity_Resource,$E94,'Critical resources (hide)'!X$6:X$105)+SUMIF(Capacity_Resource,$F94,'Critical resources (hide)'!X$6:X$105)&gt;0,$E$1=2),0,1),0)</f>
        <v>1</v>
      </c>
      <c r="L94" s="67">
        <f ca="1">IF(LOWER(Capacity!$L106)="x",IF(AND(SUMIF(Capacity_Resource,$D94,'Critical resources (hide)'!Y$6:Y$105)+SUMIF(Capacity_Resource,$E94,'Critical resources (hide)'!Y$6:Y$105)+SUMIF(Capacity_Resource,$F94,'Critical resources (hide)'!Y$6:Y$105)&gt;0,$E$1=2),0,1),0)</f>
        <v>1</v>
      </c>
      <c r="M94" s="67">
        <f ca="1">IF(LOWER(Capacity!$L106)="x",IF(AND(SUMIF(Capacity_Resource,$D94,'Critical resources (hide)'!Z$6:Z$105)+SUMIF(Capacity_Resource,$E94,'Critical resources (hide)'!Z$6:Z$105)+SUMIF(Capacity_Resource,$F94,'Critical resources (hide)'!Z$6:Z$105)&gt;0,$E$1=2),0,1),0)</f>
        <v>1</v>
      </c>
      <c r="N94" s="67">
        <f ca="1">IF(LOWER(Capacity!$L106)="x",IF(AND(SUMIF(Capacity_Resource,$D94,'Critical resources (hide)'!AA$6:AA$105)+SUMIF(Capacity_Resource,$E94,'Critical resources (hide)'!AA$6:AA$105)+SUMIF(Capacity_Resource,$F94,'Critical resources (hide)'!AA$6:AA$105)&gt;0,$E$1=2),0,1),0)</f>
        <v>1</v>
      </c>
      <c r="O94" s="67">
        <f ca="1">IF(LOWER(Capacity!$L106)="x",IF(AND(SUMIF(Capacity_Resource,$D94,'Critical resources (hide)'!AB$6:AB$105)+SUMIF(Capacity_Resource,$E94,'Critical resources (hide)'!AB$6:AB$105)+SUMIF(Capacity_Resource,$F94,'Critical resources (hide)'!AB$6:AB$105)&gt;0,$E$1=2),0,1),0)</f>
        <v>1</v>
      </c>
      <c r="P94" s="67">
        <f ca="1">IF(LOWER(Capacity!$L106)="x",IF(AND(SUMIF(Capacity_Resource,$D94,'Critical resources (hide)'!AC$6:AC$105)+SUMIF(Capacity_Resource,$E94,'Critical resources (hide)'!AC$6:AC$105)+SUMIF(Capacity_Resource,$F94,'Critical resources (hide)'!AC$6:AC$105)&gt;0,$E$1=2),0,1),0)</f>
        <v>1</v>
      </c>
      <c r="Q94" s="67">
        <f ca="1">IF(LOWER(Capacity!$L106)="x",IF(AND(SUMIF(Capacity_Resource,$D94,'Critical resources (hide)'!AD$6:AD$105)+SUMIF(Capacity_Resource,$E94,'Critical resources (hide)'!AD$6:AD$105)+SUMIF(Capacity_Resource,$F94,'Critical resources (hide)'!AD$6:AD$105)&gt;0,$E$1=2),0,1),0)</f>
        <v>1</v>
      </c>
      <c r="R94" s="67">
        <f ca="1">IF(LOWER(Capacity!$L106)="x",IF(AND(SUMIF(Capacity_Resource,$D94,'Critical resources (hide)'!AE$6:AE$105)+SUMIF(Capacity_Resource,$E94,'Critical resources (hide)'!AE$6:AE$105)+SUMIF(Capacity_Resource,$F94,'Critical resources (hide)'!AE$6:AE$105)&gt;0,$E$1=2),0,1),0)</f>
        <v>1</v>
      </c>
      <c r="S94" s="67">
        <f ca="1">IF(LOWER(Capacity!$L106)="x",IF(AND(SUMIF(Capacity_Resource,$D94,'Critical resources (hide)'!AF$6:AF$105)+SUMIF(Capacity_Resource,$E94,'Critical resources (hide)'!AF$6:AF$105)+SUMIF(Capacity_Resource,$F94,'Critical resources (hide)'!AF$6:AF$105)&gt;0,$E$1=2),0,1),0)</f>
        <v>1</v>
      </c>
      <c r="T94" s="67">
        <f ca="1">IF(LOWER(Capacity!$L106)="x",IF(AND(SUMIF(Capacity_Resource,$D94,'Critical resources (hide)'!AG$6:AG$105)+SUMIF(Capacity_Resource,$E94,'Critical resources (hide)'!AG$6:AG$105)+SUMIF(Capacity_Resource,$F94,'Critical resources (hide)'!AG$6:AG$105)&gt;0,$E$1=2),0,1),0)</f>
        <v>1</v>
      </c>
      <c r="U94" s="67">
        <f ca="1">IF(LOWER(Capacity!$L106)="x",IF(AND(SUMIF(Capacity_Resource,$D94,'Critical resources (hide)'!AH$6:AH$105)+SUMIF(Capacity_Resource,$E94,'Critical resources (hide)'!AH$6:AH$105)+SUMIF(Capacity_Resource,$F94,'Critical resources (hide)'!AH$6:AH$105)&gt;0,$E$1=2),0,1),0)</f>
        <v>1</v>
      </c>
      <c r="V94" s="67">
        <f ca="1">IF(LOWER(Capacity!$L106)="x",IF(AND(SUMIF(Capacity_Resource,$D94,'Critical resources (hide)'!AI$6:AI$105)+SUMIF(Capacity_Resource,$E94,'Critical resources (hide)'!AI$6:AI$105)+SUMIF(Capacity_Resource,$F94,'Critical resources (hide)'!AI$6:AI$105)&gt;0,$E$1=2),0,1),0)</f>
        <v>1</v>
      </c>
      <c r="W94" s="67">
        <f ca="1">IF(LOWER(Capacity!$L106)="x",IF(AND(SUMIF(Capacity_Resource,$D94,'Critical resources (hide)'!AJ$6:AJ$105)+SUMIF(Capacity_Resource,$E94,'Critical resources (hide)'!AJ$6:AJ$105)+SUMIF(Capacity_Resource,$F94,'Critical resources (hide)'!AJ$6:AJ$105)&gt;0,$E$1=2),0,1),0)</f>
        <v>1</v>
      </c>
      <c r="X94" s="67">
        <f ca="1">IF(LOWER(Capacity!$L106)="x",IF(AND(SUMIF(Capacity_Resource,$D94,'Critical resources (hide)'!AK$6:AK$105)+SUMIF(Capacity_Resource,$E94,'Critical resources (hide)'!AK$6:AK$105)+SUMIF(Capacity_Resource,$F94,'Critical resources (hide)'!AK$6:AK$105)&gt;0,$E$1=2),0,1),0)</f>
        <v>1</v>
      </c>
      <c r="Y94" s="67">
        <f ca="1">IF(LOWER(Capacity!$L106)="x",IF(AND(SUMIF(Capacity_Resource,$D94,'Critical resources (hide)'!AL$6:AL$105)+SUMIF(Capacity_Resource,$E94,'Critical resources (hide)'!AL$6:AL$105)+SUMIF(Capacity_Resource,$F94,'Critical resources (hide)'!AL$6:AL$105)&gt;0,$E$1=2),0,1),0)</f>
        <v>1</v>
      </c>
      <c r="Z94" s="67">
        <f ca="1">IF(LOWER(Capacity!$L106)="x",IF(AND(SUMIF(Capacity_Resource,$D94,'Critical resources (hide)'!AM$6:AM$105)+SUMIF(Capacity_Resource,$E94,'Critical resources (hide)'!AM$6:AM$105)+SUMIF(Capacity_Resource,$F94,'Critical resources (hide)'!AM$6:AM$105)&gt;0,$E$1=2),0,1),0)</f>
        <v>1</v>
      </c>
      <c r="AA94" s="67">
        <f ca="1">IF(LOWER(Capacity!$L106)="x",IF(AND(SUMIF(Capacity_Resource,$D94,'Critical resources (hide)'!AN$6:AN$105)+SUMIF(Capacity_Resource,$E94,'Critical resources (hide)'!AN$6:AN$105)+SUMIF(Capacity_Resource,$F94,'Critical resources (hide)'!AN$6:AN$105)&gt;0,$E$1=2),0,1),0)</f>
        <v>1</v>
      </c>
      <c r="AB94" s="67">
        <f ca="1">IF(LOWER(Capacity!$L106)="x",IF(AND(SUMIF(Capacity_Resource,$D94,'Critical resources (hide)'!AO$6:AO$105)+SUMIF(Capacity_Resource,$E94,'Critical resources (hide)'!AO$6:AO$105)+SUMIF(Capacity_Resource,$F94,'Critical resources (hide)'!AO$6:AO$105)&gt;0,$E$1=2),0,1),0)</f>
        <v>1</v>
      </c>
      <c r="AC94" s="67">
        <f ca="1">IF(LOWER(Capacity!$L106)="x",IF(AND(SUMIF(Capacity_Resource,$D94,'Critical resources (hide)'!AP$6:AP$105)+SUMIF(Capacity_Resource,$E94,'Critical resources (hide)'!AP$6:AP$105)+SUMIF(Capacity_Resource,$F94,'Critical resources (hide)'!AP$6:AP$105)&gt;0,$E$1=2),0,1),0)</f>
        <v>1</v>
      </c>
      <c r="AD94" s="67">
        <f ca="1">IF(LOWER(Capacity!$L106)="x",IF(AND(SUMIF(Capacity_Resource,$D94,'Critical resources (hide)'!AQ$6:AQ$105)+SUMIF(Capacity_Resource,$E94,'Critical resources (hide)'!AQ$6:AQ$105)+SUMIF(Capacity_Resource,$F94,'Critical resources (hide)'!AQ$6:AQ$105)&gt;0,$E$1=2),0,1),0)</f>
        <v>1</v>
      </c>
      <c r="AE94" s="67">
        <f ca="1">IF(LOWER(Capacity!$L106)="x",IF(AND(SUMIF(Capacity_Resource,$D94,'Critical resources (hide)'!AR$6:AR$105)+SUMIF(Capacity_Resource,$E94,'Critical resources (hide)'!AR$6:AR$105)+SUMIF(Capacity_Resource,$F94,'Critical resources (hide)'!AR$6:AR$105)&gt;0,$E$1=2),0,1),0)</f>
        <v>1</v>
      </c>
      <c r="AF94" s="67">
        <f ca="1">IF(LOWER(Capacity!$L106)="x",IF(AND(SUMIF(Capacity_Resource,$D94,'Critical resources (hide)'!AS$6:AS$105)+SUMIF(Capacity_Resource,$E94,'Critical resources (hide)'!AS$6:AS$105)+SUMIF(Capacity_Resource,$F94,'Critical resources (hide)'!AS$6:AS$105)&gt;0,$E$1=2),0,1),0)</f>
        <v>1</v>
      </c>
      <c r="AG94" s="67">
        <f ca="1">IF(LOWER(Capacity!$L106)="x",IF(AND(SUMIF(Capacity_Resource,$D94,'Critical resources (hide)'!AT$6:AT$105)+SUMIF(Capacity_Resource,$E94,'Critical resources (hide)'!AT$6:AT$105)+SUMIF(Capacity_Resource,$F94,'Critical resources (hide)'!AT$6:AT$105)&gt;0,$E$1=2),0,1),0)</f>
        <v>1</v>
      </c>
      <c r="AH94" s="67">
        <f ca="1">IF(LOWER(Capacity!$L106)="x",IF(AND(SUMIF(Capacity_Resource,$D94,'Critical resources (hide)'!AU$6:AU$105)+SUMIF(Capacity_Resource,$E94,'Critical resources (hide)'!AU$6:AU$105)+SUMIF(Capacity_Resource,$F94,'Critical resources (hide)'!AU$6:AU$105)&gt;0,$E$1=2),0,1),0)</f>
        <v>1</v>
      </c>
      <c r="AI94" s="67">
        <f ca="1">IF(LOWER(Capacity!$L106)="x",IF(AND(SUMIF(Capacity_Resource,$D94,'Critical resources (hide)'!AV$6:AV$105)+SUMIF(Capacity_Resource,$E94,'Critical resources (hide)'!AV$6:AV$105)+SUMIF(Capacity_Resource,$F94,'Critical resources (hide)'!AV$6:AV$105)&gt;0,$E$1=2),0,1),0)</f>
        <v>1</v>
      </c>
      <c r="AJ94" s="67">
        <f ca="1">IF(LOWER(Capacity!$L106)="x",IF(AND(SUMIF(Capacity_Resource,$D94,'Critical resources (hide)'!AW$6:AW$105)+SUMIF(Capacity_Resource,$E94,'Critical resources (hide)'!AW$6:AW$105)+SUMIF(Capacity_Resource,$F94,'Critical resources (hide)'!AW$6:AW$105)&gt;0,$E$1=2),0,1),0)</f>
        <v>1</v>
      </c>
      <c r="AK94" s="67">
        <f ca="1">IF(LOWER(Capacity!$L106)="x",IF(AND(SUMIF(Capacity_Resource,$D94,'Critical resources (hide)'!AX$6:AX$105)+SUMIF(Capacity_Resource,$E94,'Critical resources (hide)'!AX$6:AX$105)+SUMIF(Capacity_Resource,$F94,'Critical resources (hide)'!AX$6:AX$105)&gt;0,$E$1=2),0,1),0)</f>
        <v>1</v>
      </c>
      <c r="AL94" s="67">
        <f ca="1">IF(LOWER(Capacity!$L106)="x",IF(AND(SUMIF(Capacity_Resource,$D94,'Critical resources (hide)'!AY$6:AY$105)+SUMIF(Capacity_Resource,$E94,'Critical resources (hide)'!AY$6:AY$105)+SUMIF(Capacity_Resource,$F94,'Critical resources (hide)'!AY$6:AY$105)&gt;0,$E$1=2),0,1),0)</f>
        <v>1</v>
      </c>
      <c r="AM94" s="67">
        <f ca="1">IF(LOWER(Capacity!$L106)="x",IF(AND(SUMIF(Capacity_Resource,$D94,'Critical resources (hide)'!AZ$6:AZ$105)+SUMIF(Capacity_Resource,$E94,'Critical resources (hide)'!AZ$6:AZ$105)+SUMIF(Capacity_Resource,$F94,'Critical resources (hide)'!AZ$6:AZ$105)&gt;0,$E$1=2),0,1),0)</f>
        <v>1</v>
      </c>
      <c r="AN94" s="67">
        <f ca="1">IF(LOWER(Capacity!$L106)="x",IF(AND(SUMIF(Capacity_Resource,$D94,'Critical resources (hide)'!BA$6:BA$105)+SUMIF(Capacity_Resource,$E94,'Critical resources (hide)'!BA$6:BA$105)+SUMIF(Capacity_Resource,$F94,'Critical resources (hide)'!BA$6:BA$105)&gt;0,$E$1=2),0,1),0)</f>
        <v>1</v>
      </c>
      <c r="AO94" s="67">
        <f ca="1">IF(LOWER(Capacity!$L106)="x",IF(AND(SUMIF(Capacity_Resource,$D94,'Critical resources (hide)'!BB$6:BB$105)+SUMIF(Capacity_Resource,$E94,'Critical resources (hide)'!BB$6:BB$105)+SUMIF(Capacity_Resource,$F94,'Critical resources (hide)'!BB$6:BB$105)&gt;0,$E$1=2),0,1),0)</f>
        <v>1</v>
      </c>
      <c r="AP94" s="67">
        <f ca="1">IF(LOWER(Capacity!$L106)="x",IF(AND(SUMIF(Capacity_Resource,$D94,'Critical resources (hide)'!BC$6:BC$105)+SUMIF(Capacity_Resource,$E94,'Critical resources (hide)'!BC$6:BC$105)+SUMIF(Capacity_Resource,$F94,'Critical resources (hide)'!BC$6:BC$105)&gt;0,$E$1=2),0,1),0)</f>
        <v>1</v>
      </c>
      <c r="AQ94" s="67">
        <f ca="1">IF(LOWER(Capacity!$L106)="x",IF(AND(SUMIF(Capacity_Resource,$D94,'Critical resources (hide)'!BD$6:BD$105)+SUMIF(Capacity_Resource,$E94,'Critical resources (hide)'!BD$6:BD$105)+SUMIF(Capacity_Resource,$F94,'Critical resources (hide)'!BD$6:BD$105)&gt;0,$E$1=2),0,1),0)</f>
        <v>1</v>
      </c>
      <c r="AR94" s="67">
        <f ca="1">IF(LOWER(Capacity!$L106)="x",IF(AND(SUMIF(Capacity_Resource,$D94,'Critical resources (hide)'!BE$6:BE$105)+SUMIF(Capacity_Resource,$E94,'Critical resources (hide)'!BE$6:BE$105)+SUMIF(Capacity_Resource,$F94,'Critical resources (hide)'!BE$6:BE$105)&gt;0,$E$1=2),0,1),0)</f>
        <v>1</v>
      </c>
      <c r="AS94" s="67">
        <f ca="1">IF(LOWER(Capacity!$L106)="x",IF(AND(SUMIF(Capacity_Resource,$D94,'Critical resources (hide)'!BF$6:BF$105)+SUMIF(Capacity_Resource,$E94,'Critical resources (hide)'!BF$6:BF$105)+SUMIF(Capacity_Resource,$F94,'Critical resources (hide)'!BF$6:BF$105)&gt;0,$E$1=2),0,1),0)</f>
        <v>1</v>
      </c>
      <c r="AT94" s="67">
        <f ca="1">IF(LOWER(Capacity!$L106)="x",IF(AND(SUMIF(Capacity_Resource,$D94,'Critical resources (hide)'!BG$6:BG$105)+SUMIF(Capacity_Resource,$E94,'Critical resources (hide)'!BG$6:BG$105)+SUMIF(Capacity_Resource,$F94,'Critical resources (hide)'!BG$6:BG$105)&gt;0,$E$1=2),0,1),0)</f>
        <v>1</v>
      </c>
      <c r="AU94" s="67">
        <f ca="1">IF(LOWER(Capacity!$L106)="x",IF(AND(SUMIF(Capacity_Resource,$D94,'Critical resources (hide)'!BH$6:BH$105)+SUMIF(Capacity_Resource,$E94,'Critical resources (hide)'!BH$6:BH$105)+SUMIF(Capacity_Resource,$F94,'Critical resources (hide)'!BH$6:BH$105)&gt;0,$E$1=2),0,1),0)</f>
        <v>1</v>
      </c>
      <c r="AV94" s="67">
        <f ca="1">IF(LOWER(Capacity!$L106)="x",IF(AND(SUMIF(Capacity_Resource,$D94,'Critical resources (hide)'!BI$6:BI$105)+SUMIF(Capacity_Resource,$E94,'Critical resources (hide)'!BI$6:BI$105)+SUMIF(Capacity_Resource,$F94,'Critical resources (hide)'!BI$6:BI$105)&gt;0,$E$1=2),0,1),0)</f>
        <v>1</v>
      </c>
      <c r="AW94" s="67">
        <f ca="1">IF(LOWER(Capacity!$L106)="x",IF(AND(SUMIF(Capacity_Resource,$D94,'Critical resources (hide)'!BJ$6:BJ$105)+SUMIF(Capacity_Resource,$E94,'Critical resources (hide)'!BJ$6:BJ$105)+SUMIF(Capacity_Resource,$F94,'Critical resources (hide)'!BJ$6:BJ$105)&gt;0,$E$1=2),0,1),0)</f>
        <v>1</v>
      </c>
      <c r="AX94" s="67">
        <f ca="1">IF(LOWER(Capacity!$L106)="x",IF(AND(SUMIF(Capacity_Resource,$D94,'Critical resources (hide)'!BK$6:BK$105)+SUMIF(Capacity_Resource,$E94,'Critical resources (hide)'!BK$6:BK$105)+SUMIF(Capacity_Resource,$F94,'Critical resources (hide)'!BK$6:BK$105)&gt;0,$E$1=2),0,1),0)</f>
        <v>1</v>
      </c>
      <c r="AY94" s="67">
        <f ca="1">IF(LOWER(Capacity!$L106)="x",IF(AND(SUMIF(Capacity_Resource,$D94,'Critical resources (hide)'!BL$6:BL$105)+SUMIF(Capacity_Resource,$E94,'Critical resources (hide)'!BL$6:BL$105)+SUMIF(Capacity_Resource,$F94,'Critical resources (hide)'!BL$6:BL$105)&gt;0,$E$1=2),0,1),0)</f>
        <v>1</v>
      </c>
      <c r="AZ94" s="67">
        <f ca="1">IF(LOWER(Capacity!$L106)="x",IF(AND(SUMIF(Capacity_Resource,$D94,'Critical resources (hide)'!BM$6:BM$105)+SUMIF(Capacity_Resource,$E94,'Critical resources (hide)'!BM$6:BM$105)+SUMIF(Capacity_Resource,$F94,'Critical resources (hide)'!BM$6:BM$105)&gt;0,$E$1=2),0,1),0)</f>
        <v>1</v>
      </c>
      <c r="BA94" s="67">
        <f ca="1">IF(LOWER(Capacity!$L106)="x",IF(AND(SUMIF(Capacity_Resource,$D94,'Critical resources (hide)'!BN$6:BN$105)+SUMIF(Capacity_Resource,$E94,'Critical resources (hide)'!BN$6:BN$105)+SUMIF(Capacity_Resource,$F94,'Critical resources (hide)'!BN$6:BN$105)&gt;0,$E$1=2),0,1),0)</f>
        <v>1</v>
      </c>
      <c r="BB94" s="67">
        <f ca="1">IF(LOWER(Capacity!$L106)="x",IF(AND(SUMIF(Capacity_Resource,$D94,'Critical resources (hide)'!BO$6:BO$105)+SUMIF(Capacity_Resource,$E94,'Critical resources (hide)'!BO$6:BO$105)+SUMIF(Capacity_Resource,$F94,'Critical resources (hide)'!BO$6:BO$105)&gt;0,$E$1=2),0,1),0)</f>
        <v>1</v>
      </c>
      <c r="BC94" s="67">
        <f ca="1">IF(LOWER(Capacity!$L106)="x",IF(AND(SUMIF(Capacity_Resource,$D94,'Critical resources (hide)'!BP$6:BP$105)+SUMIF(Capacity_Resource,$E94,'Critical resources (hide)'!BP$6:BP$105)+SUMIF(Capacity_Resource,$F94,'Critical resources (hide)'!BP$6:BP$105)&gt;0,$E$1=2),0,1),0)</f>
        <v>1</v>
      </c>
      <c r="BD94" s="67">
        <f ca="1">IF(LOWER(Capacity!$L106)="x",IF(AND(SUMIF(Capacity_Resource,$D94,'Critical resources (hide)'!BQ$6:BQ$105)+SUMIF(Capacity_Resource,$E94,'Critical resources (hide)'!BQ$6:BQ$105)+SUMIF(Capacity_Resource,$F94,'Critical resources (hide)'!BQ$6:BQ$105)&gt;0,$E$1=2),0,1),0)</f>
        <v>1</v>
      </c>
      <c r="BE94" s="67">
        <f ca="1">IF(LOWER(Capacity!$L106)="x",IF(AND(SUMIF(Capacity_Resource,$D94,'Critical resources (hide)'!BR$6:BR$105)+SUMIF(Capacity_Resource,$E94,'Critical resources (hide)'!BR$6:BR$105)+SUMIF(Capacity_Resource,$F94,'Critical resources (hide)'!BR$6:BR$105)&gt;0,$E$1=2),0,1),0)</f>
        <v>1</v>
      </c>
      <c r="BF94" s="67">
        <f ca="1">IF(LOWER(Capacity!$L106)="x",IF(AND(SUMIF(Capacity_Resource,$D94,'Critical resources (hide)'!BS$6:BS$105)+SUMIF(Capacity_Resource,$E94,'Critical resources (hide)'!BS$6:BS$105)+SUMIF(Capacity_Resource,$F94,'Critical resources (hide)'!BS$6:BS$105)&gt;0,$E$1=2),0,1),0)</f>
        <v>1</v>
      </c>
      <c r="BG94" s="67">
        <f ca="1">IF(LOWER(Capacity!$L106)="x",IF(AND(SUMIF(Capacity_Resource,$D94,'Critical resources (hide)'!BT$6:BT$105)+SUMIF(Capacity_Resource,$E94,'Critical resources (hide)'!BT$6:BT$105)+SUMIF(Capacity_Resource,$F94,'Critical resources (hide)'!BT$6:BT$105)&gt;0,$E$1=2),0,1),0)</f>
        <v>1</v>
      </c>
      <c r="BH94" s="67">
        <f>IF(ROW(C90)&lt;=Capacity!$A$16,IF('Capacity summary'!$D$14="No",SUM(H94:BG94),'Capacity summary'!$E213),0)</f>
        <v>0</v>
      </c>
      <c r="BI94" s="5" t="str">
        <f>IF(BH94&gt;0,IF(BH94&lt;Capacity!E106,Capacity!F106,Capacity!H106/'Capacity calculation (hide)'!BH94),"")</f>
        <v/>
      </c>
      <c r="BK94" s="311">
        <f>IF($BI94&lt;&gt;"",IF('Capacity summary'!$D$14="Yes",IF(COUNTBLANK('Capacity summary'!$H213:$BG213)&lt;52,IF('Capacity summary'!H213&lt;&gt;"",IF(LOWER('Capacity summary'!H213)="x",$BI94*H94,VALUE('Capacity summary'!H213)),0),H94*$BI94),H94*$BI94),0)</f>
        <v>0</v>
      </c>
      <c r="BL94" s="311">
        <f>IF($BI94&lt;&gt;"",IF('Capacity summary'!$D$14="Yes",IF(COUNTBLANK('Capacity summary'!$H213:$BG213)&lt;52,IF('Capacity summary'!I213&lt;&gt;"",IF(LOWER('Capacity summary'!I213)="x",$BI94*I94,VALUE('Capacity summary'!I213)),0),I94*$BI94),I94*$BI94),0)</f>
        <v>0</v>
      </c>
      <c r="BM94" s="311">
        <f>IF($BI94&lt;&gt;"",IF('Capacity summary'!$D$14="Yes",IF(COUNTBLANK('Capacity summary'!$H213:$BG213)&lt;52,IF('Capacity summary'!J213&lt;&gt;"",IF(LOWER('Capacity summary'!J213)="x",$BI94*J94,VALUE('Capacity summary'!J213)),0),J94*$BI94),J94*$BI94),0)</f>
        <v>0</v>
      </c>
      <c r="BN94" s="311">
        <f>IF($BI94&lt;&gt;"",IF('Capacity summary'!$D$14="Yes",IF(COUNTBLANK('Capacity summary'!$H213:$BG213)&lt;52,IF('Capacity summary'!K213&lt;&gt;"",IF(LOWER('Capacity summary'!K213)="x",$BI94*K94,VALUE('Capacity summary'!K213)),0),K94*$BI94),K94*$BI94),0)</f>
        <v>0</v>
      </c>
      <c r="BO94" s="311">
        <f>IF($BI94&lt;&gt;"",IF('Capacity summary'!$D$14="Yes",IF(COUNTBLANK('Capacity summary'!$H213:$BG213)&lt;52,IF('Capacity summary'!L213&lt;&gt;"",IF(LOWER('Capacity summary'!L213)="x",$BI94*L94,VALUE('Capacity summary'!L213)),0),L94*$BI94),L94*$BI94),0)</f>
        <v>0</v>
      </c>
      <c r="BP94" s="311">
        <f>IF($BI94&lt;&gt;"",IF('Capacity summary'!$D$14="Yes",IF(COUNTBLANK('Capacity summary'!$H213:$BG213)&lt;52,IF('Capacity summary'!M213&lt;&gt;"",IF(LOWER('Capacity summary'!M213)="x",$BI94*M94,VALUE('Capacity summary'!M213)),0),M94*$BI94),M94*$BI94),0)</f>
        <v>0</v>
      </c>
      <c r="BQ94" s="311">
        <f>IF($BI94&lt;&gt;"",IF('Capacity summary'!$D$14="Yes",IF(COUNTBLANK('Capacity summary'!$H213:$BG213)&lt;52,IF('Capacity summary'!N213&lt;&gt;"",IF(LOWER('Capacity summary'!N213)="x",$BI94*N94,VALUE('Capacity summary'!N213)),0),N94*$BI94),N94*$BI94),0)</f>
        <v>0</v>
      </c>
      <c r="BR94" s="311">
        <f>IF($BI94&lt;&gt;"",IF('Capacity summary'!$D$14="Yes",IF(COUNTBLANK('Capacity summary'!$H213:$BG213)&lt;52,IF('Capacity summary'!O213&lt;&gt;"",IF(LOWER('Capacity summary'!O213)="x",$BI94*O94,VALUE('Capacity summary'!O213)),0),O94*$BI94),O94*$BI94),0)</f>
        <v>0</v>
      </c>
      <c r="BS94" s="311">
        <f>IF($BI94&lt;&gt;"",IF('Capacity summary'!$D$14="Yes",IF(COUNTBLANK('Capacity summary'!$H213:$BG213)&lt;52,IF('Capacity summary'!P213&lt;&gt;"",IF(LOWER('Capacity summary'!P213)="x",$BI94*P94,VALUE('Capacity summary'!P213)),0),P94*$BI94),P94*$BI94),0)</f>
        <v>0</v>
      </c>
      <c r="BT94" s="311">
        <f>IF($BI94&lt;&gt;"",IF('Capacity summary'!$D$14="Yes",IF(COUNTBLANK('Capacity summary'!$H213:$BG213)&lt;52,IF('Capacity summary'!Q213&lt;&gt;"",IF(LOWER('Capacity summary'!Q213)="x",$BI94*Q94,VALUE('Capacity summary'!Q213)),0),Q94*$BI94),Q94*$BI94),0)</f>
        <v>0</v>
      </c>
      <c r="BU94" s="311">
        <f>IF($BI94&lt;&gt;"",IF('Capacity summary'!$D$14="Yes",IF(COUNTBLANK('Capacity summary'!$H213:$BG213)&lt;52,IF('Capacity summary'!R213&lt;&gt;"",IF(LOWER('Capacity summary'!R213)="x",$BI94*R94,VALUE('Capacity summary'!R213)),0),R94*$BI94),R94*$BI94),0)</f>
        <v>0</v>
      </c>
      <c r="BV94" s="311">
        <f>IF($BI94&lt;&gt;"",IF('Capacity summary'!$D$14="Yes",IF(COUNTBLANK('Capacity summary'!$H213:$BG213)&lt;52,IF('Capacity summary'!S213&lt;&gt;"",IF(LOWER('Capacity summary'!S213)="x",$BI94*S94,VALUE('Capacity summary'!S213)),0),S94*$BI94),S94*$BI94),0)</f>
        <v>0</v>
      </c>
      <c r="BW94" s="311">
        <f>IF($BI94&lt;&gt;"",IF('Capacity summary'!$D$14="Yes",IF(COUNTBLANK('Capacity summary'!$H213:$BG213)&lt;52,IF('Capacity summary'!T213&lt;&gt;"",IF(LOWER('Capacity summary'!T213)="x",$BI94*T94,VALUE('Capacity summary'!T213)),0),T94*$BI94),T94*$BI94),0)</f>
        <v>0</v>
      </c>
      <c r="BX94" s="311">
        <f>IF($BI94&lt;&gt;"",IF('Capacity summary'!$D$14="Yes",IF(COUNTBLANK('Capacity summary'!$H213:$BG213)&lt;52,IF('Capacity summary'!U213&lt;&gt;"",IF(LOWER('Capacity summary'!U213)="x",$BI94*U94,VALUE('Capacity summary'!U213)),0),U94*$BI94),U94*$BI94),0)</f>
        <v>0</v>
      </c>
      <c r="BY94" s="311">
        <f>IF($BI94&lt;&gt;"",IF('Capacity summary'!$D$14="Yes",IF(COUNTBLANK('Capacity summary'!$H213:$BG213)&lt;52,IF('Capacity summary'!V213&lt;&gt;"",IF(LOWER('Capacity summary'!V213)="x",$BI94*V94,VALUE('Capacity summary'!V213)),0),V94*$BI94),V94*$BI94),0)</f>
        <v>0</v>
      </c>
      <c r="BZ94" s="311">
        <f>IF($BI94&lt;&gt;"",IF('Capacity summary'!$D$14="Yes",IF(COUNTBLANK('Capacity summary'!$H213:$BG213)&lt;52,IF('Capacity summary'!W213&lt;&gt;"",IF(LOWER('Capacity summary'!W213)="x",$BI94*W94,VALUE('Capacity summary'!W213)),0),W94*$BI94),W94*$BI94),0)</f>
        <v>0</v>
      </c>
      <c r="CA94" s="311">
        <f>IF($BI94&lt;&gt;"",IF('Capacity summary'!$D$14="Yes",IF(COUNTBLANK('Capacity summary'!$H213:$BG213)&lt;52,IF('Capacity summary'!X213&lt;&gt;"",IF(LOWER('Capacity summary'!X213)="x",$BI94*X94,VALUE('Capacity summary'!X213)),0),X94*$BI94),X94*$BI94),0)</f>
        <v>0</v>
      </c>
      <c r="CB94" s="311">
        <f>IF($BI94&lt;&gt;"",IF('Capacity summary'!$D$14="Yes",IF(COUNTBLANK('Capacity summary'!$H213:$BG213)&lt;52,IF('Capacity summary'!Y213&lt;&gt;"",IF(LOWER('Capacity summary'!Y213)="x",$BI94*Y94,VALUE('Capacity summary'!Y213)),0),Y94*$BI94),Y94*$BI94),0)</f>
        <v>0</v>
      </c>
      <c r="CC94" s="311">
        <f>IF($BI94&lt;&gt;"",IF('Capacity summary'!$D$14="Yes",IF(COUNTBLANK('Capacity summary'!$H213:$BG213)&lt;52,IF('Capacity summary'!Z213&lt;&gt;"",IF(LOWER('Capacity summary'!Z213)="x",$BI94*Z94,VALUE('Capacity summary'!Z213)),0),Z94*$BI94),Z94*$BI94),0)</f>
        <v>0</v>
      </c>
      <c r="CD94" s="311">
        <f>IF($BI94&lt;&gt;"",IF('Capacity summary'!$D$14="Yes",IF(COUNTBLANK('Capacity summary'!$H213:$BG213)&lt;52,IF('Capacity summary'!AA213&lt;&gt;"",IF(LOWER('Capacity summary'!AA213)="x",$BI94*AA94,VALUE('Capacity summary'!AA213)),0),AA94*$BI94),AA94*$BI94),0)</f>
        <v>0</v>
      </c>
      <c r="CE94" s="311">
        <f>IF($BI94&lt;&gt;"",IF('Capacity summary'!$D$14="Yes",IF(COUNTBLANK('Capacity summary'!$H213:$BG213)&lt;52,IF('Capacity summary'!AB213&lt;&gt;"",IF(LOWER('Capacity summary'!AB213)="x",$BI94*AB94,VALUE('Capacity summary'!AB213)),0),AB94*$BI94),AB94*$BI94),0)</f>
        <v>0</v>
      </c>
      <c r="CF94" s="311">
        <f>IF($BI94&lt;&gt;"",IF('Capacity summary'!$D$14="Yes",IF(COUNTBLANK('Capacity summary'!$H213:$BG213)&lt;52,IF('Capacity summary'!AC213&lt;&gt;"",IF(LOWER('Capacity summary'!AC213)="x",$BI94*AC94,VALUE('Capacity summary'!AC213)),0),AC94*$BI94),AC94*$BI94),0)</f>
        <v>0</v>
      </c>
      <c r="CG94" s="311">
        <f>IF($BI94&lt;&gt;"",IF('Capacity summary'!$D$14="Yes",IF(COUNTBLANK('Capacity summary'!$H213:$BG213)&lt;52,IF('Capacity summary'!AD213&lt;&gt;"",IF(LOWER('Capacity summary'!AD213)="x",$BI94*AD94,VALUE('Capacity summary'!AD213)),0),AD94*$BI94),AD94*$BI94),0)</f>
        <v>0</v>
      </c>
      <c r="CH94" s="311">
        <f>IF($BI94&lt;&gt;"",IF('Capacity summary'!$D$14="Yes",IF(COUNTBLANK('Capacity summary'!$H213:$BG213)&lt;52,IF('Capacity summary'!AE213&lt;&gt;"",IF(LOWER('Capacity summary'!AE213)="x",$BI94*AE94,VALUE('Capacity summary'!AE213)),0),AE94*$BI94),AE94*$BI94),0)</f>
        <v>0</v>
      </c>
      <c r="CI94" s="311">
        <f>IF($BI94&lt;&gt;"",IF('Capacity summary'!$D$14="Yes",IF(COUNTBLANK('Capacity summary'!$H213:$BG213)&lt;52,IF('Capacity summary'!AF213&lt;&gt;"",IF(LOWER('Capacity summary'!AF213)="x",$BI94*AF94,VALUE('Capacity summary'!AF213)),0),AF94*$BI94),AF94*$BI94),0)</f>
        <v>0</v>
      </c>
      <c r="CJ94" s="311">
        <f>IF($BI94&lt;&gt;"",IF('Capacity summary'!$D$14="Yes",IF(COUNTBLANK('Capacity summary'!$H213:$BG213)&lt;52,IF('Capacity summary'!AG213&lt;&gt;"",IF(LOWER('Capacity summary'!AG213)="x",$BI94*AG94,VALUE('Capacity summary'!AG213)),0),AG94*$BI94),AG94*$BI94),0)</f>
        <v>0</v>
      </c>
      <c r="CK94" s="311">
        <f>IF($BI94&lt;&gt;"",IF('Capacity summary'!$D$14="Yes",IF(COUNTBLANK('Capacity summary'!$H213:$BG213)&lt;52,IF('Capacity summary'!AH213&lt;&gt;"",IF(LOWER('Capacity summary'!AH213)="x",$BI94*AH94,VALUE('Capacity summary'!AH213)),0),AH94*$BI94),AH94*$BI94),0)</f>
        <v>0</v>
      </c>
      <c r="CL94" s="311">
        <f>IF($BI94&lt;&gt;"",IF('Capacity summary'!$D$14="Yes",IF(COUNTBLANK('Capacity summary'!$H213:$BG213)&lt;52,IF('Capacity summary'!AI213&lt;&gt;"",IF(LOWER('Capacity summary'!AI213)="x",$BI94*AI94,VALUE('Capacity summary'!AI213)),0),AI94*$BI94),AI94*$BI94),0)</f>
        <v>0</v>
      </c>
      <c r="CM94" s="311">
        <f>IF($BI94&lt;&gt;"",IF('Capacity summary'!$D$14="Yes",IF(COUNTBLANK('Capacity summary'!$H213:$BG213)&lt;52,IF('Capacity summary'!AJ213&lt;&gt;"",IF(LOWER('Capacity summary'!AJ213)="x",$BI94*AJ94,VALUE('Capacity summary'!AJ213)),0),AJ94*$BI94),AJ94*$BI94),0)</f>
        <v>0</v>
      </c>
      <c r="CN94" s="311">
        <f>IF($BI94&lt;&gt;"",IF('Capacity summary'!$D$14="Yes",IF(COUNTBLANK('Capacity summary'!$H213:$BG213)&lt;52,IF('Capacity summary'!AK213&lt;&gt;"",IF(LOWER('Capacity summary'!AK213)="x",$BI94*AK94,VALUE('Capacity summary'!AK213)),0),AK94*$BI94),AK94*$BI94),0)</f>
        <v>0</v>
      </c>
      <c r="CO94" s="311">
        <f>IF($BI94&lt;&gt;"",IF('Capacity summary'!$D$14="Yes",IF(COUNTBLANK('Capacity summary'!$H213:$BG213)&lt;52,IF('Capacity summary'!AL213&lt;&gt;"",IF(LOWER('Capacity summary'!AL213)="x",$BI94*AL94,VALUE('Capacity summary'!AL213)),0),AL94*$BI94),AL94*$BI94),0)</f>
        <v>0</v>
      </c>
      <c r="CP94" s="311">
        <f>IF($BI94&lt;&gt;"",IF('Capacity summary'!$D$14="Yes",IF(COUNTBLANK('Capacity summary'!$H213:$BG213)&lt;52,IF('Capacity summary'!AM213&lt;&gt;"",IF(LOWER('Capacity summary'!AM213)="x",$BI94*AM94,VALUE('Capacity summary'!AM213)),0),AM94*$BI94),AM94*$BI94),0)</f>
        <v>0</v>
      </c>
      <c r="CQ94" s="311">
        <f>IF($BI94&lt;&gt;"",IF('Capacity summary'!$D$14="Yes",IF(COUNTBLANK('Capacity summary'!$H213:$BG213)&lt;52,IF('Capacity summary'!AN213&lt;&gt;"",IF(LOWER('Capacity summary'!AN213)="x",$BI94*AN94,VALUE('Capacity summary'!AN213)),0),AN94*$BI94),AN94*$BI94),0)</f>
        <v>0</v>
      </c>
      <c r="CR94" s="311">
        <f>IF($BI94&lt;&gt;"",IF('Capacity summary'!$D$14="Yes",IF(COUNTBLANK('Capacity summary'!$H213:$BG213)&lt;52,IF('Capacity summary'!AO213&lt;&gt;"",IF(LOWER('Capacity summary'!AO213)="x",$BI94*AO94,VALUE('Capacity summary'!AO213)),0),AO94*$BI94),AO94*$BI94),0)</f>
        <v>0</v>
      </c>
      <c r="CS94" s="311">
        <f>IF($BI94&lt;&gt;"",IF('Capacity summary'!$D$14="Yes",IF(COUNTBLANK('Capacity summary'!$H213:$BG213)&lt;52,IF('Capacity summary'!AP213&lt;&gt;"",IF(LOWER('Capacity summary'!AP213)="x",$BI94*AP94,VALUE('Capacity summary'!AP213)),0),AP94*$BI94),AP94*$BI94),0)</f>
        <v>0</v>
      </c>
      <c r="CT94" s="311">
        <f>IF($BI94&lt;&gt;"",IF('Capacity summary'!$D$14="Yes",IF(COUNTBLANK('Capacity summary'!$H213:$BG213)&lt;52,IF('Capacity summary'!AQ213&lt;&gt;"",IF(LOWER('Capacity summary'!AQ213)="x",$BI94*AQ94,VALUE('Capacity summary'!AQ213)),0),AQ94*$BI94),AQ94*$BI94),0)</f>
        <v>0</v>
      </c>
      <c r="CU94" s="311">
        <f>IF($BI94&lt;&gt;"",IF('Capacity summary'!$D$14="Yes",IF(COUNTBLANK('Capacity summary'!$H213:$BG213)&lt;52,IF('Capacity summary'!AR213&lt;&gt;"",IF(LOWER('Capacity summary'!AR213)="x",$BI94*AR94,VALUE('Capacity summary'!AR213)),0),AR94*$BI94),AR94*$BI94),0)</f>
        <v>0</v>
      </c>
      <c r="CV94" s="311">
        <f>IF($BI94&lt;&gt;"",IF('Capacity summary'!$D$14="Yes",IF(COUNTBLANK('Capacity summary'!$H213:$BG213)&lt;52,IF('Capacity summary'!AS213&lt;&gt;"",IF(LOWER('Capacity summary'!AS213)="x",$BI94*AS94,VALUE('Capacity summary'!AS213)),0),AS94*$BI94),AS94*$BI94),0)</f>
        <v>0</v>
      </c>
      <c r="CW94" s="311">
        <f>IF($BI94&lt;&gt;"",IF('Capacity summary'!$D$14="Yes",IF(COUNTBLANK('Capacity summary'!$H213:$BG213)&lt;52,IF('Capacity summary'!AT213&lt;&gt;"",IF(LOWER('Capacity summary'!AT213)="x",$BI94*AT94,VALUE('Capacity summary'!AT213)),0),AT94*$BI94),AT94*$BI94),0)</f>
        <v>0</v>
      </c>
      <c r="CX94" s="311">
        <f>IF($BI94&lt;&gt;"",IF('Capacity summary'!$D$14="Yes",IF(COUNTBLANK('Capacity summary'!$H213:$BG213)&lt;52,IF('Capacity summary'!AU213&lt;&gt;"",IF(LOWER('Capacity summary'!AU213)="x",$BI94*AU94,VALUE('Capacity summary'!AU213)),0),AU94*$BI94),AU94*$BI94),0)</f>
        <v>0</v>
      </c>
      <c r="CY94" s="311">
        <f>IF($BI94&lt;&gt;"",IF('Capacity summary'!$D$14="Yes",IF(COUNTBLANK('Capacity summary'!$H213:$BG213)&lt;52,IF('Capacity summary'!AV213&lt;&gt;"",IF(LOWER('Capacity summary'!AV213)="x",$BI94*AV94,VALUE('Capacity summary'!AV213)),0),AV94*$BI94),AV94*$BI94),0)</f>
        <v>0</v>
      </c>
      <c r="CZ94" s="311">
        <f>IF($BI94&lt;&gt;"",IF('Capacity summary'!$D$14="Yes",IF(COUNTBLANK('Capacity summary'!$H213:$BG213)&lt;52,IF('Capacity summary'!AW213&lt;&gt;"",IF(LOWER('Capacity summary'!AW213)="x",$BI94*AW94,VALUE('Capacity summary'!AW213)),0),AW94*$BI94),AW94*$BI94),0)</f>
        <v>0</v>
      </c>
      <c r="DA94" s="311">
        <f>IF($BI94&lt;&gt;"",IF('Capacity summary'!$D$14="Yes",IF(COUNTBLANK('Capacity summary'!$H213:$BG213)&lt;52,IF('Capacity summary'!AX213&lt;&gt;"",IF(LOWER('Capacity summary'!AX213)="x",$BI94*AX94,VALUE('Capacity summary'!AX213)),0),AX94*$BI94),AX94*$BI94),0)</f>
        <v>0</v>
      </c>
      <c r="DB94" s="311">
        <f>IF($BI94&lt;&gt;"",IF('Capacity summary'!$D$14="Yes",IF(COUNTBLANK('Capacity summary'!$H213:$BG213)&lt;52,IF('Capacity summary'!AY213&lt;&gt;"",IF(LOWER('Capacity summary'!AY213)="x",$BI94*AY94,VALUE('Capacity summary'!AY213)),0),AY94*$BI94),AY94*$BI94),0)</f>
        <v>0</v>
      </c>
      <c r="DC94" s="311">
        <f>IF($BI94&lt;&gt;"",IF('Capacity summary'!$D$14="Yes",IF(COUNTBLANK('Capacity summary'!$H213:$BG213)&lt;52,IF('Capacity summary'!AZ213&lt;&gt;"",IF(LOWER('Capacity summary'!AZ213)="x",$BI94*AZ94,VALUE('Capacity summary'!AZ213)),0),AZ94*$BI94),AZ94*$BI94),0)</f>
        <v>0</v>
      </c>
      <c r="DD94" s="311">
        <f>IF($BI94&lt;&gt;"",IF('Capacity summary'!$D$14="Yes",IF(COUNTBLANK('Capacity summary'!$H213:$BG213)&lt;52,IF('Capacity summary'!BA213&lt;&gt;"",IF(LOWER('Capacity summary'!BA213)="x",$BI94*BA94,VALUE('Capacity summary'!BA213)),0),BA94*$BI94),BA94*$BI94),0)</f>
        <v>0</v>
      </c>
      <c r="DE94" s="311">
        <f>IF($BI94&lt;&gt;"",IF('Capacity summary'!$D$14="Yes",IF(COUNTBLANK('Capacity summary'!$H213:$BG213)&lt;52,IF('Capacity summary'!BB213&lt;&gt;"",IF(LOWER('Capacity summary'!BB213)="x",$BI94*BB94,VALUE('Capacity summary'!BB213)),0),BB94*$BI94),BB94*$BI94),0)</f>
        <v>0</v>
      </c>
      <c r="DF94" s="311">
        <f>IF($BI94&lt;&gt;"",IF('Capacity summary'!$D$14="Yes",IF(COUNTBLANK('Capacity summary'!$H213:$BG213)&lt;52,IF('Capacity summary'!BC213&lt;&gt;"",IF(LOWER('Capacity summary'!BC213)="x",$BI94*BC94,VALUE('Capacity summary'!BC213)),0),BC94*$BI94),BC94*$BI94),0)</f>
        <v>0</v>
      </c>
      <c r="DG94" s="311">
        <f>IF($BI94&lt;&gt;"",IF('Capacity summary'!$D$14="Yes",IF(COUNTBLANK('Capacity summary'!$H213:$BG213)&lt;52,IF('Capacity summary'!BD213&lt;&gt;"",IF(LOWER('Capacity summary'!BD213)="x",$BI94*BD94,VALUE('Capacity summary'!BD213)),0),BD94*$BI94),BD94*$BI94),0)</f>
        <v>0</v>
      </c>
      <c r="DH94" s="311">
        <f>IF($BI94&lt;&gt;"",IF('Capacity summary'!$D$14="Yes",IF(COUNTBLANK('Capacity summary'!$H213:$BG213)&lt;52,IF('Capacity summary'!BE213&lt;&gt;"",IF(LOWER('Capacity summary'!BE213)="x",$BI94*BE94,VALUE('Capacity summary'!BE213)),0),BE94*$BI94),BE94*$BI94),0)</f>
        <v>0</v>
      </c>
      <c r="DI94" s="311">
        <f>IF($BI94&lt;&gt;"",IF('Capacity summary'!$D$14="Yes",IF(COUNTBLANK('Capacity summary'!$H213:$BG213)&lt;52,IF('Capacity summary'!BF213&lt;&gt;"",IF(LOWER('Capacity summary'!BF213)="x",$BI94*BF94,VALUE('Capacity summary'!BF213)),0),BF94*$BI94),BF94*$BI94),0)</f>
        <v>0</v>
      </c>
      <c r="DJ94" s="311">
        <f>IF($BI94&lt;&gt;"",IF('Capacity summary'!$D$14="Yes",IF(COUNTBLANK('Capacity summary'!$H213:$BG213)&lt;52,IF('Capacity summary'!BG213&lt;&gt;"",IF(LOWER('Capacity summary'!BG213)="x",$BI94*BG94,VALUE('Capacity summary'!BG213)),0),BG94*$BI94),BG94*$BI94),0)</f>
        <v>0</v>
      </c>
      <c r="DK94" s="391">
        <f t="shared" si="4"/>
        <v>0</v>
      </c>
      <c r="DL94" s="136">
        <f t="shared" si="5"/>
        <v>0</v>
      </c>
      <c r="DM94" s="311" t="str">
        <f>Capacity!H106</f>
        <v/>
      </c>
    </row>
    <row r="95" spans="1:117" x14ac:dyDescent="0.2">
      <c r="A95" s="67">
        <f>IF(Capacity!L107='Capacity summary'!BI214,1,0)</f>
        <v>1</v>
      </c>
      <c r="B95" s="67">
        <f>IF(Capacity!V107='Capacity summary'!BI114,1,0)</f>
        <v>1</v>
      </c>
      <c r="C95" s="67" t="str">
        <f>ROW(A91)&amp;". "&amp;Capacity!B107</f>
        <v xml:space="preserve">91. </v>
      </c>
      <c r="D95" s="67">
        <f>'Capacity setup'!C102</f>
        <v>0</v>
      </c>
      <c r="E95" s="67">
        <f>'Capacity setup'!D102</f>
        <v>0</v>
      </c>
      <c r="F95" s="67">
        <f>'Capacity setup'!E102</f>
        <v>0</v>
      </c>
      <c r="H95" s="67">
        <f ca="1">IF(LOWER(Capacity!$L107)="x",IF(AND(SUMIF(Capacity_Resource,$D95,'Critical resources (hide)'!U$6:U$105)+SUMIF(Capacity_Resource,$E95,'Critical resources (hide)'!U$6:U$105)+SUMIF(Capacity_Resource,$F95,'Critical resources (hide)'!U$6:U$105)&gt;0,$E$1=2),0,1),0)</f>
        <v>1</v>
      </c>
      <c r="I95" s="67">
        <f ca="1">IF(LOWER(Capacity!$L107)="x",IF(AND(SUMIF(Capacity_Resource,$D95,'Critical resources (hide)'!V$6:V$105)+SUMIF(Capacity_Resource,$E95,'Critical resources (hide)'!V$6:V$105)+SUMIF(Capacity_Resource,$F95,'Critical resources (hide)'!V$6:V$105)&gt;0,$E$1=2),0,1),0)</f>
        <v>1</v>
      </c>
      <c r="J95" s="67">
        <f ca="1">IF(LOWER(Capacity!$L107)="x",IF(AND(SUMIF(Capacity_Resource,$D95,'Critical resources (hide)'!W$6:W$105)+SUMIF(Capacity_Resource,$E95,'Critical resources (hide)'!W$6:W$105)+SUMIF(Capacity_Resource,$F95,'Critical resources (hide)'!W$6:W$105)&gt;0,$E$1=2),0,1),0)</f>
        <v>1</v>
      </c>
      <c r="K95" s="67">
        <f ca="1">IF(LOWER(Capacity!$L107)="x",IF(AND(SUMIF(Capacity_Resource,$D95,'Critical resources (hide)'!X$6:X$105)+SUMIF(Capacity_Resource,$E95,'Critical resources (hide)'!X$6:X$105)+SUMIF(Capacity_Resource,$F95,'Critical resources (hide)'!X$6:X$105)&gt;0,$E$1=2),0,1),0)</f>
        <v>1</v>
      </c>
      <c r="L95" s="67">
        <f ca="1">IF(LOWER(Capacity!$L107)="x",IF(AND(SUMIF(Capacity_Resource,$D95,'Critical resources (hide)'!Y$6:Y$105)+SUMIF(Capacity_Resource,$E95,'Critical resources (hide)'!Y$6:Y$105)+SUMIF(Capacity_Resource,$F95,'Critical resources (hide)'!Y$6:Y$105)&gt;0,$E$1=2),0,1),0)</f>
        <v>1</v>
      </c>
      <c r="M95" s="67">
        <f ca="1">IF(LOWER(Capacity!$L107)="x",IF(AND(SUMIF(Capacity_Resource,$D95,'Critical resources (hide)'!Z$6:Z$105)+SUMIF(Capacity_Resource,$E95,'Critical resources (hide)'!Z$6:Z$105)+SUMIF(Capacity_Resource,$F95,'Critical resources (hide)'!Z$6:Z$105)&gt;0,$E$1=2),0,1),0)</f>
        <v>1</v>
      </c>
      <c r="N95" s="67">
        <f ca="1">IF(LOWER(Capacity!$L107)="x",IF(AND(SUMIF(Capacity_Resource,$D95,'Critical resources (hide)'!AA$6:AA$105)+SUMIF(Capacity_Resource,$E95,'Critical resources (hide)'!AA$6:AA$105)+SUMIF(Capacity_Resource,$F95,'Critical resources (hide)'!AA$6:AA$105)&gt;0,$E$1=2),0,1),0)</f>
        <v>1</v>
      </c>
      <c r="O95" s="67">
        <f ca="1">IF(LOWER(Capacity!$L107)="x",IF(AND(SUMIF(Capacity_Resource,$D95,'Critical resources (hide)'!AB$6:AB$105)+SUMIF(Capacity_Resource,$E95,'Critical resources (hide)'!AB$6:AB$105)+SUMIF(Capacity_Resource,$F95,'Critical resources (hide)'!AB$6:AB$105)&gt;0,$E$1=2),0,1),0)</f>
        <v>1</v>
      </c>
      <c r="P95" s="67">
        <f ca="1">IF(LOWER(Capacity!$L107)="x",IF(AND(SUMIF(Capacity_Resource,$D95,'Critical resources (hide)'!AC$6:AC$105)+SUMIF(Capacity_Resource,$E95,'Critical resources (hide)'!AC$6:AC$105)+SUMIF(Capacity_Resource,$F95,'Critical resources (hide)'!AC$6:AC$105)&gt;0,$E$1=2),0,1),0)</f>
        <v>1</v>
      </c>
      <c r="Q95" s="67">
        <f ca="1">IF(LOWER(Capacity!$L107)="x",IF(AND(SUMIF(Capacity_Resource,$D95,'Critical resources (hide)'!AD$6:AD$105)+SUMIF(Capacity_Resource,$E95,'Critical resources (hide)'!AD$6:AD$105)+SUMIF(Capacity_Resource,$F95,'Critical resources (hide)'!AD$6:AD$105)&gt;0,$E$1=2),0,1),0)</f>
        <v>1</v>
      </c>
      <c r="R95" s="67">
        <f ca="1">IF(LOWER(Capacity!$L107)="x",IF(AND(SUMIF(Capacity_Resource,$D95,'Critical resources (hide)'!AE$6:AE$105)+SUMIF(Capacity_Resource,$E95,'Critical resources (hide)'!AE$6:AE$105)+SUMIF(Capacity_Resource,$F95,'Critical resources (hide)'!AE$6:AE$105)&gt;0,$E$1=2),0,1),0)</f>
        <v>1</v>
      </c>
      <c r="S95" s="67">
        <f ca="1">IF(LOWER(Capacity!$L107)="x",IF(AND(SUMIF(Capacity_Resource,$D95,'Critical resources (hide)'!AF$6:AF$105)+SUMIF(Capacity_Resource,$E95,'Critical resources (hide)'!AF$6:AF$105)+SUMIF(Capacity_Resource,$F95,'Critical resources (hide)'!AF$6:AF$105)&gt;0,$E$1=2),0,1),0)</f>
        <v>1</v>
      </c>
      <c r="T95" s="67">
        <f ca="1">IF(LOWER(Capacity!$L107)="x",IF(AND(SUMIF(Capacity_Resource,$D95,'Critical resources (hide)'!AG$6:AG$105)+SUMIF(Capacity_Resource,$E95,'Critical resources (hide)'!AG$6:AG$105)+SUMIF(Capacity_Resource,$F95,'Critical resources (hide)'!AG$6:AG$105)&gt;0,$E$1=2),0,1),0)</f>
        <v>1</v>
      </c>
      <c r="U95" s="67">
        <f ca="1">IF(LOWER(Capacity!$L107)="x",IF(AND(SUMIF(Capacity_Resource,$D95,'Critical resources (hide)'!AH$6:AH$105)+SUMIF(Capacity_Resource,$E95,'Critical resources (hide)'!AH$6:AH$105)+SUMIF(Capacity_Resource,$F95,'Critical resources (hide)'!AH$6:AH$105)&gt;0,$E$1=2),0,1),0)</f>
        <v>1</v>
      </c>
      <c r="V95" s="67">
        <f ca="1">IF(LOWER(Capacity!$L107)="x",IF(AND(SUMIF(Capacity_Resource,$D95,'Critical resources (hide)'!AI$6:AI$105)+SUMIF(Capacity_Resource,$E95,'Critical resources (hide)'!AI$6:AI$105)+SUMIF(Capacity_Resource,$F95,'Critical resources (hide)'!AI$6:AI$105)&gt;0,$E$1=2),0,1),0)</f>
        <v>1</v>
      </c>
      <c r="W95" s="67">
        <f ca="1">IF(LOWER(Capacity!$L107)="x",IF(AND(SUMIF(Capacity_Resource,$D95,'Critical resources (hide)'!AJ$6:AJ$105)+SUMIF(Capacity_Resource,$E95,'Critical resources (hide)'!AJ$6:AJ$105)+SUMIF(Capacity_Resource,$F95,'Critical resources (hide)'!AJ$6:AJ$105)&gt;0,$E$1=2),0,1),0)</f>
        <v>1</v>
      </c>
      <c r="X95" s="67">
        <f ca="1">IF(LOWER(Capacity!$L107)="x",IF(AND(SUMIF(Capacity_Resource,$D95,'Critical resources (hide)'!AK$6:AK$105)+SUMIF(Capacity_Resource,$E95,'Critical resources (hide)'!AK$6:AK$105)+SUMIF(Capacity_Resource,$F95,'Critical resources (hide)'!AK$6:AK$105)&gt;0,$E$1=2),0,1),0)</f>
        <v>1</v>
      </c>
      <c r="Y95" s="67">
        <f ca="1">IF(LOWER(Capacity!$L107)="x",IF(AND(SUMIF(Capacity_Resource,$D95,'Critical resources (hide)'!AL$6:AL$105)+SUMIF(Capacity_Resource,$E95,'Critical resources (hide)'!AL$6:AL$105)+SUMIF(Capacity_Resource,$F95,'Critical resources (hide)'!AL$6:AL$105)&gt;0,$E$1=2),0,1),0)</f>
        <v>1</v>
      </c>
      <c r="Z95" s="67">
        <f ca="1">IF(LOWER(Capacity!$L107)="x",IF(AND(SUMIF(Capacity_Resource,$D95,'Critical resources (hide)'!AM$6:AM$105)+SUMIF(Capacity_Resource,$E95,'Critical resources (hide)'!AM$6:AM$105)+SUMIF(Capacity_Resource,$F95,'Critical resources (hide)'!AM$6:AM$105)&gt;0,$E$1=2),0,1),0)</f>
        <v>1</v>
      </c>
      <c r="AA95" s="67">
        <f ca="1">IF(LOWER(Capacity!$L107)="x",IF(AND(SUMIF(Capacity_Resource,$D95,'Critical resources (hide)'!AN$6:AN$105)+SUMIF(Capacity_Resource,$E95,'Critical resources (hide)'!AN$6:AN$105)+SUMIF(Capacity_Resource,$F95,'Critical resources (hide)'!AN$6:AN$105)&gt;0,$E$1=2),0,1),0)</f>
        <v>1</v>
      </c>
      <c r="AB95" s="67">
        <f ca="1">IF(LOWER(Capacity!$L107)="x",IF(AND(SUMIF(Capacity_Resource,$D95,'Critical resources (hide)'!AO$6:AO$105)+SUMIF(Capacity_Resource,$E95,'Critical resources (hide)'!AO$6:AO$105)+SUMIF(Capacity_Resource,$F95,'Critical resources (hide)'!AO$6:AO$105)&gt;0,$E$1=2),0,1),0)</f>
        <v>1</v>
      </c>
      <c r="AC95" s="67">
        <f ca="1">IF(LOWER(Capacity!$L107)="x",IF(AND(SUMIF(Capacity_Resource,$D95,'Critical resources (hide)'!AP$6:AP$105)+SUMIF(Capacity_Resource,$E95,'Critical resources (hide)'!AP$6:AP$105)+SUMIF(Capacity_Resource,$F95,'Critical resources (hide)'!AP$6:AP$105)&gt;0,$E$1=2),0,1),0)</f>
        <v>1</v>
      </c>
      <c r="AD95" s="67">
        <f ca="1">IF(LOWER(Capacity!$L107)="x",IF(AND(SUMIF(Capacity_Resource,$D95,'Critical resources (hide)'!AQ$6:AQ$105)+SUMIF(Capacity_Resource,$E95,'Critical resources (hide)'!AQ$6:AQ$105)+SUMIF(Capacity_Resource,$F95,'Critical resources (hide)'!AQ$6:AQ$105)&gt;0,$E$1=2),0,1),0)</f>
        <v>1</v>
      </c>
      <c r="AE95" s="67">
        <f ca="1">IF(LOWER(Capacity!$L107)="x",IF(AND(SUMIF(Capacity_Resource,$D95,'Critical resources (hide)'!AR$6:AR$105)+SUMIF(Capacity_Resource,$E95,'Critical resources (hide)'!AR$6:AR$105)+SUMIF(Capacity_Resource,$F95,'Critical resources (hide)'!AR$6:AR$105)&gt;0,$E$1=2),0,1),0)</f>
        <v>1</v>
      </c>
      <c r="AF95" s="67">
        <f ca="1">IF(LOWER(Capacity!$L107)="x",IF(AND(SUMIF(Capacity_Resource,$D95,'Critical resources (hide)'!AS$6:AS$105)+SUMIF(Capacity_Resource,$E95,'Critical resources (hide)'!AS$6:AS$105)+SUMIF(Capacity_Resource,$F95,'Critical resources (hide)'!AS$6:AS$105)&gt;0,$E$1=2),0,1),0)</f>
        <v>1</v>
      </c>
      <c r="AG95" s="67">
        <f ca="1">IF(LOWER(Capacity!$L107)="x",IF(AND(SUMIF(Capacity_Resource,$D95,'Critical resources (hide)'!AT$6:AT$105)+SUMIF(Capacity_Resource,$E95,'Critical resources (hide)'!AT$6:AT$105)+SUMIF(Capacity_Resource,$F95,'Critical resources (hide)'!AT$6:AT$105)&gt;0,$E$1=2),0,1),0)</f>
        <v>1</v>
      </c>
      <c r="AH95" s="67">
        <f ca="1">IF(LOWER(Capacity!$L107)="x",IF(AND(SUMIF(Capacity_Resource,$D95,'Critical resources (hide)'!AU$6:AU$105)+SUMIF(Capacity_Resource,$E95,'Critical resources (hide)'!AU$6:AU$105)+SUMIF(Capacity_Resource,$F95,'Critical resources (hide)'!AU$6:AU$105)&gt;0,$E$1=2),0,1),0)</f>
        <v>1</v>
      </c>
      <c r="AI95" s="67">
        <f ca="1">IF(LOWER(Capacity!$L107)="x",IF(AND(SUMIF(Capacity_Resource,$D95,'Critical resources (hide)'!AV$6:AV$105)+SUMIF(Capacity_Resource,$E95,'Critical resources (hide)'!AV$6:AV$105)+SUMIF(Capacity_Resource,$F95,'Critical resources (hide)'!AV$6:AV$105)&gt;0,$E$1=2),0,1),0)</f>
        <v>1</v>
      </c>
      <c r="AJ95" s="67">
        <f ca="1">IF(LOWER(Capacity!$L107)="x",IF(AND(SUMIF(Capacity_Resource,$D95,'Critical resources (hide)'!AW$6:AW$105)+SUMIF(Capacity_Resource,$E95,'Critical resources (hide)'!AW$6:AW$105)+SUMIF(Capacity_Resource,$F95,'Critical resources (hide)'!AW$6:AW$105)&gt;0,$E$1=2),0,1),0)</f>
        <v>1</v>
      </c>
      <c r="AK95" s="67">
        <f ca="1">IF(LOWER(Capacity!$L107)="x",IF(AND(SUMIF(Capacity_Resource,$D95,'Critical resources (hide)'!AX$6:AX$105)+SUMIF(Capacity_Resource,$E95,'Critical resources (hide)'!AX$6:AX$105)+SUMIF(Capacity_Resource,$F95,'Critical resources (hide)'!AX$6:AX$105)&gt;0,$E$1=2),0,1),0)</f>
        <v>1</v>
      </c>
      <c r="AL95" s="67">
        <f ca="1">IF(LOWER(Capacity!$L107)="x",IF(AND(SUMIF(Capacity_Resource,$D95,'Critical resources (hide)'!AY$6:AY$105)+SUMIF(Capacity_Resource,$E95,'Critical resources (hide)'!AY$6:AY$105)+SUMIF(Capacity_Resource,$F95,'Critical resources (hide)'!AY$6:AY$105)&gt;0,$E$1=2),0,1),0)</f>
        <v>1</v>
      </c>
      <c r="AM95" s="67">
        <f ca="1">IF(LOWER(Capacity!$L107)="x",IF(AND(SUMIF(Capacity_Resource,$D95,'Critical resources (hide)'!AZ$6:AZ$105)+SUMIF(Capacity_Resource,$E95,'Critical resources (hide)'!AZ$6:AZ$105)+SUMIF(Capacity_Resource,$F95,'Critical resources (hide)'!AZ$6:AZ$105)&gt;0,$E$1=2),0,1),0)</f>
        <v>1</v>
      </c>
      <c r="AN95" s="67">
        <f ca="1">IF(LOWER(Capacity!$L107)="x",IF(AND(SUMIF(Capacity_Resource,$D95,'Critical resources (hide)'!BA$6:BA$105)+SUMIF(Capacity_Resource,$E95,'Critical resources (hide)'!BA$6:BA$105)+SUMIF(Capacity_Resource,$F95,'Critical resources (hide)'!BA$6:BA$105)&gt;0,$E$1=2),0,1),0)</f>
        <v>1</v>
      </c>
      <c r="AO95" s="67">
        <f ca="1">IF(LOWER(Capacity!$L107)="x",IF(AND(SUMIF(Capacity_Resource,$D95,'Critical resources (hide)'!BB$6:BB$105)+SUMIF(Capacity_Resource,$E95,'Critical resources (hide)'!BB$6:BB$105)+SUMIF(Capacity_Resource,$F95,'Critical resources (hide)'!BB$6:BB$105)&gt;0,$E$1=2),0,1),0)</f>
        <v>1</v>
      </c>
      <c r="AP95" s="67">
        <f ca="1">IF(LOWER(Capacity!$L107)="x",IF(AND(SUMIF(Capacity_Resource,$D95,'Critical resources (hide)'!BC$6:BC$105)+SUMIF(Capacity_Resource,$E95,'Critical resources (hide)'!BC$6:BC$105)+SUMIF(Capacity_Resource,$F95,'Critical resources (hide)'!BC$6:BC$105)&gt;0,$E$1=2),0,1),0)</f>
        <v>1</v>
      </c>
      <c r="AQ95" s="67">
        <f ca="1">IF(LOWER(Capacity!$L107)="x",IF(AND(SUMIF(Capacity_Resource,$D95,'Critical resources (hide)'!BD$6:BD$105)+SUMIF(Capacity_Resource,$E95,'Critical resources (hide)'!BD$6:BD$105)+SUMIF(Capacity_Resource,$F95,'Critical resources (hide)'!BD$6:BD$105)&gt;0,$E$1=2),0,1),0)</f>
        <v>1</v>
      </c>
      <c r="AR95" s="67">
        <f ca="1">IF(LOWER(Capacity!$L107)="x",IF(AND(SUMIF(Capacity_Resource,$D95,'Critical resources (hide)'!BE$6:BE$105)+SUMIF(Capacity_Resource,$E95,'Critical resources (hide)'!BE$6:BE$105)+SUMIF(Capacity_Resource,$F95,'Critical resources (hide)'!BE$6:BE$105)&gt;0,$E$1=2),0,1),0)</f>
        <v>1</v>
      </c>
      <c r="AS95" s="67">
        <f ca="1">IF(LOWER(Capacity!$L107)="x",IF(AND(SUMIF(Capacity_Resource,$D95,'Critical resources (hide)'!BF$6:BF$105)+SUMIF(Capacity_Resource,$E95,'Critical resources (hide)'!BF$6:BF$105)+SUMIF(Capacity_Resource,$F95,'Critical resources (hide)'!BF$6:BF$105)&gt;0,$E$1=2),0,1),0)</f>
        <v>1</v>
      </c>
      <c r="AT95" s="67">
        <f ca="1">IF(LOWER(Capacity!$L107)="x",IF(AND(SUMIF(Capacity_Resource,$D95,'Critical resources (hide)'!BG$6:BG$105)+SUMIF(Capacity_Resource,$E95,'Critical resources (hide)'!BG$6:BG$105)+SUMIF(Capacity_Resource,$F95,'Critical resources (hide)'!BG$6:BG$105)&gt;0,$E$1=2),0,1),0)</f>
        <v>1</v>
      </c>
      <c r="AU95" s="67">
        <f ca="1">IF(LOWER(Capacity!$L107)="x",IF(AND(SUMIF(Capacity_Resource,$D95,'Critical resources (hide)'!BH$6:BH$105)+SUMIF(Capacity_Resource,$E95,'Critical resources (hide)'!BH$6:BH$105)+SUMIF(Capacity_Resource,$F95,'Critical resources (hide)'!BH$6:BH$105)&gt;0,$E$1=2),0,1),0)</f>
        <v>1</v>
      </c>
      <c r="AV95" s="67">
        <f ca="1">IF(LOWER(Capacity!$L107)="x",IF(AND(SUMIF(Capacity_Resource,$D95,'Critical resources (hide)'!BI$6:BI$105)+SUMIF(Capacity_Resource,$E95,'Critical resources (hide)'!BI$6:BI$105)+SUMIF(Capacity_Resource,$F95,'Critical resources (hide)'!BI$6:BI$105)&gt;0,$E$1=2),0,1),0)</f>
        <v>1</v>
      </c>
      <c r="AW95" s="67">
        <f ca="1">IF(LOWER(Capacity!$L107)="x",IF(AND(SUMIF(Capacity_Resource,$D95,'Critical resources (hide)'!BJ$6:BJ$105)+SUMIF(Capacity_Resource,$E95,'Critical resources (hide)'!BJ$6:BJ$105)+SUMIF(Capacity_Resource,$F95,'Critical resources (hide)'!BJ$6:BJ$105)&gt;0,$E$1=2),0,1),0)</f>
        <v>1</v>
      </c>
      <c r="AX95" s="67">
        <f ca="1">IF(LOWER(Capacity!$L107)="x",IF(AND(SUMIF(Capacity_Resource,$D95,'Critical resources (hide)'!BK$6:BK$105)+SUMIF(Capacity_Resource,$E95,'Critical resources (hide)'!BK$6:BK$105)+SUMIF(Capacity_Resource,$F95,'Critical resources (hide)'!BK$6:BK$105)&gt;0,$E$1=2),0,1),0)</f>
        <v>1</v>
      </c>
      <c r="AY95" s="67">
        <f ca="1">IF(LOWER(Capacity!$L107)="x",IF(AND(SUMIF(Capacity_Resource,$D95,'Critical resources (hide)'!BL$6:BL$105)+SUMIF(Capacity_Resource,$E95,'Critical resources (hide)'!BL$6:BL$105)+SUMIF(Capacity_Resource,$F95,'Critical resources (hide)'!BL$6:BL$105)&gt;0,$E$1=2),0,1),0)</f>
        <v>1</v>
      </c>
      <c r="AZ95" s="67">
        <f ca="1">IF(LOWER(Capacity!$L107)="x",IF(AND(SUMIF(Capacity_Resource,$D95,'Critical resources (hide)'!BM$6:BM$105)+SUMIF(Capacity_Resource,$E95,'Critical resources (hide)'!BM$6:BM$105)+SUMIF(Capacity_Resource,$F95,'Critical resources (hide)'!BM$6:BM$105)&gt;0,$E$1=2),0,1),0)</f>
        <v>1</v>
      </c>
      <c r="BA95" s="67">
        <f ca="1">IF(LOWER(Capacity!$L107)="x",IF(AND(SUMIF(Capacity_Resource,$D95,'Critical resources (hide)'!BN$6:BN$105)+SUMIF(Capacity_Resource,$E95,'Critical resources (hide)'!BN$6:BN$105)+SUMIF(Capacity_Resource,$F95,'Critical resources (hide)'!BN$6:BN$105)&gt;0,$E$1=2),0,1),0)</f>
        <v>1</v>
      </c>
      <c r="BB95" s="67">
        <f ca="1">IF(LOWER(Capacity!$L107)="x",IF(AND(SUMIF(Capacity_Resource,$D95,'Critical resources (hide)'!BO$6:BO$105)+SUMIF(Capacity_Resource,$E95,'Critical resources (hide)'!BO$6:BO$105)+SUMIF(Capacity_Resource,$F95,'Critical resources (hide)'!BO$6:BO$105)&gt;0,$E$1=2),0,1),0)</f>
        <v>1</v>
      </c>
      <c r="BC95" s="67">
        <f ca="1">IF(LOWER(Capacity!$L107)="x",IF(AND(SUMIF(Capacity_Resource,$D95,'Critical resources (hide)'!BP$6:BP$105)+SUMIF(Capacity_Resource,$E95,'Critical resources (hide)'!BP$6:BP$105)+SUMIF(Capacity_Resource,$F95,'Critical resources (hide)'!BP$6:BP$105)&gt;0,$E$1=2),0,1),0)</f>
        <v>1</v>
      </c>
      <c r="BD95" s="67">
        <f ca="1">IF(LOWER(Capacity!$L107)="x",IF(AND(SUMIF(Capacity_Resource,$D95,'Critical resources (hide)'!BQ$6:BQ$105)+SUMIF(Capacity_Resource,$E95,'Critical resources (hide)'!BQ$6:BQ$105)+SUMIF(Capacity_Resource,$F95,'Critical resources (hide)'!BQ$6:BQ$105)&gt;0,$E$1=2),0,1),0)</f>
        <v>1</v>
      </c>
      <c r="BE95" s="67">
        <f ca="1">IF(LOWER(Capacity!$L107)="x",IF(AND(SUMIF(Capacity_Resource,$D95,'Critical resources (hide)'!BR$6:BR$105)+SUMIF(Capacity_Resource,$E95,'Critical resources (hide)'!BR$6:BR$105)+SUMIF(Capacity_Resource,$F95,'Critical resources (hide)'!BR$6:BR$105)&gt;0,$E$1=2),0,1),0)</f>
        <v>1</v>
      </c>
      <c r="BF95" s="67">
        <f ca="1">IF(LOWER(Capacity!$L107)="x",IF(AND(SUMIF(Capacity_Resource,$D95,'Critical resources (hide)'!BS$6:BS$105)+SUMIF(Capacity_Resource,$E95,'Critical resources (hide)'!BS$6:BS$105)+SUMIF(Capacity_Resource,$F95,'Critical resources (hide)'!BS$6:BS$105)&gt;0,$E$1=2),0,1),0)</f>
        <v>1</v>
      </c>
      <c r="BG95" s="67">
        <f ca="1">IF(LOWER(Capacity!$L107)="x",IF(AND(SUMIF(Capacity_Resource,$D95,'Critical resources (hide)'!BT$6:BT$105)+SUMIF(Capacity_Resource,$E95,'Critical resources (hide)'!BT$6:BT$105)+SUMIF(Capacity_Resource,$F95,'Critical resources (hide)'!BT$6:BT$105)&gt;0,$E$1=2),0,1),0)</f>
        <v>1</v>
      </c>
      <c r="BH95" s="67">
        <f>IF(ROW(C91)&lt;=Capacity!$A$16,IF('Capacity summary'!$D$14="No",SUM(H95:BG95),'Capacity summary'!$E214),0)</f>
        <v>0</v>
      </c>
      <c r="BI95" s="5" t="str">
        <f>IF(BH95&gt;0,IF(BH95&lt;Capacity!E107,Capacity!F107,Capacity!H107/'Capacity calculation (hide)'!BH95),"")</f>
        <v/>
      </c>
      <c r="BK95" s="311">
        <f>IF($BI95&lt;&gt;"",IF('Capacity summary'!$D$14="Yes",IF(COUNTBLANK('Capacity summary'!$H214:$BG214)&lt;52,IF('Capacity summary'!H214&lt;&gt;"",IF(LOWER('Capacity summary'!H214)="x",$BI95*H95,VALUE('Capacity summary'!H214)),0),H95*$BI95),H95*$BI95),0)</f>
        <v>0</v>
      </c>
      <c r="BL95" s="311">
        <f>IF($BI95&lt;&gt;"",IF('Capacity summary'!$D$14="Yes",IF(COUNTBLANK('Capacity summary'!$H214:$BG214)&lt;52,IF('Capacity summary'!I214&lt;&gt;"",IF(LOWER('Capacity summary'!I214)="x",$BI95*I95,VALUE('Capacity summary'!I214)),0),I95*$BI95),I95*$BI95),0)</f>
        <v>0</v>
      </c>
      <c r="BM95" s="311">
        <f>IF($BI95&lt;&gt;"",IF('Capacity summary'!$D$14="Yes",IF(COUNTBLANK('Capacity summary'!$H214:$BG214)&lt;52,IF('Capacity summary'!J214&lt;&gt;"",IF(LOWER('Capacity summary'!J214)="x",$BI95*J95,VALUE('Capacity summary'!J214)),0),J95*$BI95),J95*$BI95),0)</f>
        <v>0</v>
      </c>
      <c r="BN95" s="311">
        <f>IF($BI95&lt;&gt;"",IF('Capacity summary'!$D$14="Yes",IF(COUNTBLANK('Capacity summary'!$H214:$BG214)&lt;52,IF('Capacity summary'!K214&lt;&gt;"",IF(LOWER('Capacity summary'!K214)="x",$BI95*K95,VALUE('Capacity summary'!K214)),0),K95*$BI95),K95*$BI95),0)</f>
        <v>0</v>
      </c>
      <c r="BO95" s="311">
        <f>IF($BI95&lt;&gt;"",IF('Capacity summary'!$D$14="Yes",IF(COUNTBLANK('Capacity summary'!$H214:$BG214)&lt;52,IF('Capacity summary'!L214&lt;&gt;"",IF(LOWER('Capacity summary'!L214)="x",$BI95*L95,VALUE('Capacity summary'!L214)),0),L95*$BI95),L95*$BI95),0)</f>
        <v>0</v>
      </c>
      <c r="BP95" s="311">
        <f>IF($BI95&lt;&gt;"",IF('Capacity summary'!$D$14="Yes",IF(COUNTBLANK('Capacity summary'!$H214:$BG214)&lt;52,IF('Capacity summary'!M214&lt;&gt;"",IF(LOWER('Capacity summary'!M214)="x",$BI95*M95,VALUE('Capacity summary'!M214)),0),M95*$BI95),M95*$BI95),0)</f>
        <v>0</v>
      </c>
      <c r="BQ95" s="311">
        <f>IF($BI95&lt;&gt;"",IF('Capacity summary'!$D$14="Yes",IF(COUNTBLANK('Capacity summary'!$H214:$BG214)&lt;52,IF('Capacity summary'!N214&lt;&gt;"",IF(LOWER('Capacity summary'!N214)="x",$BI95*N95,VALUE('Capacity summary'!N214)),0),N95*$BI95),N95*$BI95),0)</f>
        <v>0</v>
      </c>
      <c r="BR95" s="311">
        <f>IF($BI95&lt;&gt;"",IF('Capacity summary'!$D$14="Yes",IF(COUNTBLANK('Capacity summary'!$H214:$BG214)&lt;52,IF('Capacity summary'!O214&lt;&gt;"",IF(LOWER('Capacity summary'!O214)="x",$BI95*O95,VALUE('Capacity summary'!O214)),0),O95*$BI95),O95*$BI95),0)</f>
        <v>0</v>
      </c>
      <c r="BS95" s="311">
        <f>IF($BI95&lt;&gt;"",IF('Capacity summary'!$D$14="Yes",IF(COUNTBLANK('Capacity summary'!$H214:$BG214)&lt;52,IF('Capacity summary'!P214&lt;&gt;"",IF(LOWER('Capacity summary'!P214)="x",$BI95*P95,VALUE('Capacity summary'!P214)),0),P95*$BI95),P95*$BI95),0)</f>
        <v>0</v>
      </c>
      <c r="BT95" s="311">
        <f>IF($BI95&lt;&gt;"",IF('Capacity summary'!$D$14="Yes",IF(COUNTBLANK('Capacity summary'!$H214:$BG214)&lt;52,IF('Capacity summary'!Q214&lt;&gt;"",IF(LOWER('Capacity summary'!Q214)="x",$BI95*Q95,VALUE('Capacity summary'!Q214)),0),Q95*$BI95),Q95*$BI95),0)</f>
        <v>0</v>
      </c>
      <c r="BU95" s="311">
        <f>IF($BI95&lt;&gt;"",IF('Capacity summary'!$D$14="Yes",IF(COUNTBLANK('Capacity summary'!$H214:$BG214)&lt;52,IF('Capacity summary'!R214&lt;&gt;"",IF(LOWER('Capacity summary'!R214)="x",$BI95*R95,VALUE('Capacity summary'!R214)),0),R95*$BI95),R95*$BI95),0)</f>
        <v>0</v>
      </c>
      <c r="BV95" s="311">
        <f>IF($BI95&lt;&gt;"",IF('Capacity summary'!$D$14="Yes",IF(COUNTBLANK('Capacity summary'!$H214:$BG214)&lt;52,IF('Capacity summary'!S214&lt;&gt;"",IF(LOWER('Capacity summary'!S214)="x",$BI95*S95,VALUE('Capacity summary'!S214)),0),S95*$BI95),S95*$BI95),0)</f>
        <v>0</v>
      </c>
      <c r="BW95" s="311">
        <f>IF($BI95&lt;&gt;"",IF('Capacity summary'!$D$14="Yes",IF(COUNTBLANK('Capacity summary'!$H214:$BG214)&lt;52,IF('Capacity summary'!T214&lt;&gt;"",IF(LOWER('Capacity summary'!T214)="x",$BI95*T95,VALUE('Capacity summary'!T214)),0),T95*$BI95),T95*$BI95),0)</f>
        <v>0</v>
      </c>
      <c r="BX95" s="311">
        <f>IF($BI95&lt;&gt;"",IF('Capacity summary'!$D$14="Yes",IF(COUNTBLANK('Capacity summary'!$H214:$BG214)&lt;52,IF('Capacity summary'!U214&lt;&gt;"",IF(LOWER('Capacity summary'!U214)="x",$BI95*U95,VALUE('Capacity summary'!U214)),0),U95*$BI95),U95*$BI95),0)</f>
        <v>0</v>
      </c>
      <c r="BY95" s="311">
        <f>IF($BI95&lt;&gt;"",IF('Capacity summary'!$D$14="Yes",IF(COUNTBLANK('Capacity summary'!$H214:$BG214)&lt;52,IF('Capacity summary'!V214&lt;&gt;"",IF(LOWER('Capacity summary'!V214)="x",$BI95*V95,VALUE('Capacity summary'!V214)),0),V95*$BI95),V95*$BI95),0)</f>
        <v>0</v>
      </c>
      <c r="BZ95" s="311">
        <f>IF($BI95&lt;&gt;"",IF('Capacity summary'!$D$14="Yes",IF(COUNTBLANK('Capacity summary'!$H214:$BG214)&lt;52,IF('Capacity summary'!W214&lt;&gt;"",IF(LOWER('Capacity summary'!W214)="x",$BI95*W95,VALUE('Capacity summary'!W214)),0),W95*$BI95),W95*$BI95),0)</f>
        <v>0</v>
      </c>
      <c r="CA95" s="311">
        <f>IF($BI95&lt;&gt;"",IF('Capacity summary'!$D$14="Yes",IF(COUNTBLANK('Capacity summary'!$H214:$BG214)&lt;52,IF('Capacity summary'!X214&lt;&gt;"",IF(LOWER('Capacity summary'!X214)="x",$BI95*X95,VALUE('Capacity summary'!X214)),0),X95*$BI95),X95*$BI95),0)</f>
        <v>0</v>
      </c>
      <c r="CB95" s="311">
        <f>IF($BI95&lt;&gt;"",IF('Capacity summary'!$D$14="Yes",IF(COUNTBLANK('Capacity summary'!$H214:$BG214)&lt;52,IF('Capacity summary'!Y214&lt;&gt;"",IF(LOWER('Capacity summary'!Y214)="x",$BI95*Y95,VALUE('Capacity summary'!Y214)),0),Y95*$BI95),Y95*$BI95),0)</f>
        <v>0</v>
      </c>
      <c r="CC95" s="311">
        <f>IF($BI95&lt;&gt;"",IF('Capacity summary'!$D$14="Yes",IF(COUNTBLANK('Capacity summary'!$H214:$BG214)&lt;52,IF('Capacity summary'!Z214&lt;&gt;"",IF(LOWER('Capacity summary'!Z214)="x",$BI95*Z95,VALUE('Capacity summary'!Z214)),0),Z95*$BI95),Z95*$BI95),0)</f>
        <v>0</v>
      </c>
      <c r="CD95" s="311">
        <f>IF($BI95&lt;&gt;"",IF('Capacity summary'!$D$14="Yes",IF(COUNTBLANK('Capacity summary'!$H214:$BG214)&lt;52,IF('Capacity summary'!AA214&lt;&gt;"",IF(LOWER('Capacity summary'!AA214)="x",$BI95*AA95,VALUE('Capacity summary'!AA214)),0),AA95*$BI95),AA95*$BI95),0)</f>
        <v>0</v>
      </c>
      <c r="CE95" s="311">
        <f>IF($BI95&lt;&gt;"",IF('Capacity summary'!$D$14="Yes",IF(COUNTBLANK('Capacity summary'!$H214:$BG214)&lt;52,IF('Capacity summary'!AB214&lt;&gt;"",IF(LOWER('Capacity summary'!AB214)="x",$BI95*AB95,VALUE('Capacity summary'!AB214)),0),AB95*$BI95),AB95*$BI95),0)</f>
        <v>0</v>
      </c>
      <c r="CF95" s="311">
        <f>IF($BI95&lt;&gt;"",IF('Capacity summary'!$D$14="Yes",IF(COUNTBLANK('Capacity summary'!$H214:$BG214)&lt;52,IF('Capacity summary'!AC214&lt;&gt;"",IF(LOWER('Capacity summary'!AC214)="x",$BI95*AC95,VALUE('Capacity summary'!AC214)),0),AC95*$BI95),AC95*$BI95),0)</f>
        <v>0</v>
      </c>
      <c r="CG95" s="311">
        <f>IF($BI95&lt;&gt;"",IF('Capacity summary'!$D$14="Yes",IF(COUNTBLANK('Capacity summary'!$H214:$BG214)&lt;52,IF('Capacity summary'!AD214&lt;&gt;"",IF(LOWER('Capacity summary'!AD214)="x",$BI95*AD95,VALUE('Capacity summary'!AD214)),0),AD95*$BI95),AD95*$BI95),0)</f>
        <v>0</v>
      </c>
      <c r="CH95" s="311">
        <f>IF($BI95&lt;&gt;"",IF('Capacity summary'!$D$14="Yes",IF(COUNTBLANK('Capacity summary'!$H214:$BG214)&lt;52,IF('Capacity summary'!AE214&lt;&gt;"",IF(LOWER('Capacity summary'!AE214)="x",$BI95*AE95,VALUE('Capacity summary'!AE214)),0),AE95*$BI95),AE95*$BI95),0)</f>
        <v>0</v>
      </c>
      <c r="CI95" s="311">
        <f>IF($BI95&lt;&gt;"",IF('Capacity summary'!$D$14="Yes",IF(COUNTBLANK('Capacity summary'!$H214:$BG214)&lt;52,IF('Capacity summary'!AF214&lt;&gt;"",IF(LOWER('Capacity summary'!AF214)="x",$BI95*AF95,VALUE('Capacity summary'!AF214)),0),AF95*$BI95),AF95*$BI95),0)</f>
        <v>0</v>
      </c>
      <c r="CJ95" s="311">
        <f>IF($BI95&lt;&gt;"",IF('Capacity summary'!$D$14="Yes",IF(COUNTBLANK('Capacity summary'!$H214:$BG214)&lt;52,IF('Capacity summary'!AG214&lt;&gt;"",IF(LOWER('Capacity summary'!AG214)="x",$BI95*AG95,VALUE('Capacity summary'!AG214)),0),AG95*$BI95),AG95*$BI95),0)</f>
        <v>0</v>
      </c>
      <c r="CK95" s="311">
        <f>IF($BI95&lt;&gt;"",IF('Capacity summary'!$D$14="Yes",IF(COUNTBLANK('Capacity summary'!$H214:$BG214)&lt;52,IF('Capacity summary'!AH214&lt;&gt;"",IF(LOWER('Capacity summary'!AH214)="x",$BI95*AH95,VALUE('Capacity summary'!AH214)),0),AH95*$BI95),AH95*$BI95),0)</f>
        <v>0</v>
      </c>
      <c r="CL95" s="311">
        <f>IF($BI95&lt;&gt;"",IF('Capacity summary'!$D$14="Yes",IF(COUNTBLANK('Capacity summary'!$H214:$BG214)&lt;52,IF('Capacity summary'!AI214&lt;&gt;"",IF(LOWER('Capacity summary'!AI214)="x",$BI95*AI95,VALUE('Capacity summary'!AI214)),0),AI95*$BI95),AI95*$BI95),0)</f>
        <v>0</v>
      </c>
      <c r="CM95" s="311">
        <f>IF($BI95&lt;&gt;"",IF('Capacity summary'!$D$14="Yes",IF(COUNTBLANK('Capacity summary'!$H214:$BG214)&lt;52,IF('Capacity summary'!AJ214&lt;&gt;"",IF(LOWER('Capacity summary'!AJ214)="x",$BI95*AJ95,VALUE('Capacity summary'!AJ214)),0),AJ95*$BI95),AJ95*$BI95),0)</f>
        <v>0</v>
      </c>
      <c r="CN95" s="311">
        <f>IF($BI95&lt;&gt;"",IF('Capacity summary'!$D$14="Yes",IF(COUNTBLANK('Capacity summary'!$H214:$BG214)&lt;52,IF('Capacity summary'!AK214&lt;&gt;"",IF(LOWER('Capacity summary'!AK214)="x",$BI95*AK95,VALUE('Capacity summary'!AK214)),0),AK95*$BI95),AK95*$BI95),0)</f>
        <v>0</v>
      </c>
      <c r="CO95" s="311">
        <f>IF($BI95&lt;&gt;"",IF('Capacity summary'!$D$14="Yes",IF(COUNTBLANK('Capacity summary'!$H214:$BG214)&lt;52,IF('Capacity summary'!AL214&lt;&gt;"",IF(LOWER('Capacity summary'!AL214)="x",$BI95*AL95,VALUE('Capacity summary'!AL214)),0),AL95*$BI95),AL95*$BI95),0)</f>
        <v>0</v>
      </c>
      <c r="CP95" s="311">
        <f>IF($BI95&lt;&gt;"",IF('Capacity summary'!$D$14="Yes",IF(COUNTBLANK('Capacity summary'!$H214:$BG214)&lt;52,IF('Capacity summary'!AM214&lt;&gt;"",IF(LOWER('Capacity summary'!AM214)="x",$BI95*AM95,VALUE('Capacity summary'!AM214)),0),AM95*$BI95),AM95*$BI95),0)</f>
        <v>0</v>
      </c>
      <c r="CQ95" s="311">
        <f>IF($BI95&lt;&gt;"",IF('Capacity summary'!$D$14="Yes",IF(COUNTBLANK('Capacity summary'!$H214:$BG214)&lt;52,IF('Capacity summary'!AN214&lt;&gt;"",IF(LOWER('Capacity summary'!AN214)="x",$BI95*AN95,VALUE('Capacity summary'!AN214)),0),AN95*$BI95),AN95*$BI95),0)</f>
        <v>0</v>
      </c>
      <c r="CR95" s="311">
        <f>IF($BI95&lt;&gt;"",IF('Capacity summary'!$D$14="Yes",IF(COUNTBLANK('Capacity summary'!$H214:$BG214)&lt;52,IF('Capacity summary'!AO214&lt;&gt;"",IF(LOWER('Capacity summary'!AO214)="x",$BI95*AO95,VALUE('Capacity summary'!AO214)),0),AO95*$BI95),AO95*$BI95),0)</f>
        <v>0</v>
      </c>
      <c r="CS95" s="311">
        <f>IF($BI95&lt;&gt;"",IF('Capacity summary'!$D$14="Yes",IF(COUNTBLANK('Capacity summary'!$H214:$BG214)&lt;52,IF('Capacity summary'!AP214&lt;&gt;"",IF(LOWER('Capacity summary'!AP214)="x",$BI95*AP95,VALUE('Capacity summary'!AP214)),0),AP95*$BI95),AP95*$BI95),0)</f>
        <v>0</v>
      </c>
      <c r="CT95" s="311">
        <f>IF($BI95&lt;&gt;"",IF('Capacity summary'!$D$14="Yes",IF(COUNTBLANK('Capacity summary'!$H214:$BG214)&lt;52,IF('Capacity summary'!AQ214&lt;&gt;"",IF(LOWER('Capacity summary'!AQ214)="x",$BI95*AQ95,VALUE('Capacity summary'!AQ214)),0),AQ95*$BI95),AQ95*$BI95),0)</f>
        <v>0</v>
      </c>
      <c r="CU95" s="311">
        <f>IF($BI95&lt;&gt;"",IF('Capacity summary'!$D$14="Yes",IF(COUNTBLANK('Capacity summary'!$H214:$BG214)&lt;52,IF('Capacity summary'!AR214&lt;&gt;"",IF(LOWER('Capacity summary'!AR214)="x",$BI95*AR95,VALUE('Capacity summary'!AR214)),0),AR95*$BI95),AR95*$BI95),0)</f>
        <v>0</v>
      </c>
      <c r="CV95" s="311">
        <f>IF($BI95&lt;&gt;"",IF('Capacity summary'!$D$14="Yes",IF(COUNTBLANK('Capacity summary'!$H214:$BG214)&lt;52,IF('Capacity summary'!AS214&lt;&gt;"",IF(LOWER('Capacity summary'!AS214)="x",$BI95*AS95,VALUE('Capacity summary'!AS214)),0),AS95*$BI95),AS95*$BI95),0)</f>
        <v>0</v>
      </c>
      <c r="CW95" s="311">
        <f>IF($BI95&lt;&gt;"",IF('Capacity summary'!$D$14="Yes",IF(COUNTBLANK('Capacity summary'!$H214:$BG214)&lt;52,IF('Capacity summary'!AT214&lt;&gt;"",IF(LOWER('Capacity summary'!AT214)="x",$BI95*AT95,VALUE('Capacity summary'!AT214)),0),AT95*$BI95),AT95*$BI95),0)</f>
        <v>0</v>
      </c>
      <c r="CX95" s="311">
        <f>IF($BI95&lt;&gt;"",IF('Capacity summary'!$D$14="Yes",IF(COUNTBLANK('Capacity summary'!$H214:$BG214)&lt;52,IF('Capacity summary'!AU214&lt;&gt;"",IF(LOWER('Capacity summary'!AU214)="x",$BI95*AU95,VALUE('Capacity summary'!AU214)),0),AU95*$BI95),AU95*$BI95),0)</f>
        <v>0</v>
      </c>
      <c r="CY95" s="311">
        <f>IF($BI95&lt;&gt;"",IF('Capacity summary'!$D$14="Yes",IF(COUNTBLANK('Capacity summary'!$H214:$BG214)&lt;52,IF('Capacity summary'!AV214&lt;&gt;"",IF(LOWER('Capacity summary'!AV214)="x",$BI95*AV95,VALUE('Capacity summary'!AV214)),0),AV95*$BI95),AV95*$BI95),0)</f>
        <v>0</v>
      </c>
      <c r="CZ95" s="311">
        <f>IF($BI95&lt;&gt;"",IF('Capacity summary'!$D$14="Yes",IF(COUNTBLANK('Capacity summary'!$H214:$BG214)&lt;52,IF('Capacity summary'!AW214&lt;&gt;"",IF(LOWER('Capacity summary'!AW214)="x",$BI95*AW95,VALUE('Capacity summary'!AW214)),0),AW95*$BI95),AW95*$BI95),0)</f>
        <v>0</v>
      </c>
      <c r="DA95" s="311">
        <f>IF($BI95&lt;&gt;"",IF('Capacity summary'!$D$14="Yes",IF(COUNTBLANK('Capacity summary'!$H214:$BG214)&lt;52,IF('Capacity summary'!AX214&lt;&gt;"",IF(LOWER('Capacity summary'!AX214)="x",$BI95*AX95,VALUE('Capacity summary'!AX214)),0),AX95*$BI95),AX95*$BI95),0)</f>
        <v>0</v>
      </c>
      <c r="DB95" s="311">
        <f>IF($BI95&lt;&gt;"",IF('Capacity summary'!$D$14="Yes",IF(COUNTBLANK('Capacity summary'!$H214:$BG214)&lt;52,IF('Capacity summary'!AY214&lt;&gt;"",IF(LOWER('Capacity summary'!AY214)="x",$BI95*AY95,VALUE('Capacity summary'!AY214)),0),AY95*$BI95),AY95*$BI95),0)</f>
        <v>0</v>
      </c>
      <c r="DC95" s="311">
        <f>IF($BI95&lt;&gt;"",IF('Capacity summary'!$D$14="Yes",IF(COUNTBLANK('Capacity summary'!$H214:$BG214)&lt;52,IF('Capacity summary'!AZ214&lt;&gt;"",IF(LOWER('Capacity summary'!AZ214)="x",$BI95*AZ95,VALUE('Capacity summary'!AZ214)),0),AZ95*$BI95),AZ95*$BI95),0)</f>
        <v>0</v>
      </c>
      <c r="DD95" s="311">
        <f>IF($BI95&lt;&gt;"",IF('Capacity summary'!$D$14="Yes",IF(COUNTBLANK('Capacity summary'!$H214:$BG214)&lt;52,IF('Capacity summary'!BA214&lt;&gt;"",IF(LOWER('Capacity summary'!BA214)="x",$BI95*BA95,VALUE('Capacity summary'!BA214)),0),BA95*$BI95),BA95*$BI95),0)</f>
        <v>0</v>
      </c>
      <c r="DE95" s="311">
        <f>IF($BI95&lt;&gt;"",IF('Capacity summary'!$D$14="Yes",IF(COUNTBLANK('Capacity summary'!$H214:$BG214)&lt;52,IF('Capacity summary'!BB214&lt;&gt;"",IF(LOWER('Capacity summary'!BB214)="x",$BI95*BB95,VALUE('Capacity summary'!BB214)),0),BB95*$BI95),BB95*$BI95),0)</f>
        <v>0</v>
      </c>
      <c r="DF95" s="311">
        <f>IF($BI95&lt;&gt;"",IF('Capacity summary'!$D$14="Yes",IF(COUNTBLANK('Capacity summary'!$H214:$BG214)&lt;52,IF('Capacity summary'!BC214&lt;&gt;"",IF(LOWER('Capacity summary'!BC214)="x",$BI95*BC95,VALUE('Capacity summary'!BC214)),0),BC95*$BI95),BC95*$BI95),0)</f>
        <v>0</v>
      </c>
      <c r="DG95" s="311">
        <f>IF($BI95&lt;&gt;"",IF('Capacity summary'!$D$14="Yes",IF(COUNTBLANK('Capacity summary'!$H214:$BG214)&lt;52,IF('Capacity summary'!BD214&lt;&gt;"",IF(LOWER('Capacity summary'!BD214)="x",$BI95*BD95,VALUE('Capacity summary'!BD214)),0),BD95*$BI95),BD95*$BI95),0)</f>
        <v>0</v>
      </c>
      <c r="DH95" s="311">
        <f>IF($BI95&lt;&gt;"",IF('Capacity summary'!$D$14="Yes",IF(COUNTBLANK('Capacity summary'!$H214:$BG214)&lt;52,IF('Capacity summary'!BE214&lt;&gt;"",IF(LOWER('Capacity summary'!BE214)="x",$BI95*BE95,VALUE('Capacity summary'!BE214)),0),BE95*$BI95),BE95*$BI95),0)</f>
        <v>0</v>
      </c>
      <c r="DI95" s="311">
        <f>IF($BI95&lt;&gt;"",IF('Capacity summary'!$D$14="Yes",IF(COUNTBLANK('Capacity summary'!$H214:$BG214)&lt;52,IF('Capacity summary'!BF214&lt;&gt;"",IF(LOWER('Capacity summary'!BF214)="x",$BI95*BF95,VALUE('Capacity summary'!BF214)),0),BF95*$BI95),BF95*$BI95),0)</f>
        <v>0</v>
      </c>
      <c r="DJ95" s="311">
        <f>IF($BI95&lt;&gt;"",IF('Capacity summary'!$D$14="Yes",IF(COUNTBLANK('Capacity summary'!$H214:$BG214)&lt;52,IF('Capacity summary'!BG214&lt;&gt;"",IF(LOWER('Capacity summary'!BG214)="x",$BI95*BG95,VALUE('Capacity summary'!BG214)),0),BG95*$BI95),BG95*$BI95),0)</f>
        <v>0</v>
      </c>
      <c r="DK95" s="391">
        <f t="shared" si="4"/>
        <v>0</v>
      </c>
      <c r="DL95" s="136">
        <f t="shared" si="5"/>
        <v>0</v>
      </c>
      <c r="DM95" s="311" t="str">
        <f>Capacity!H107</f>
        <v/>
      </c>
    </row>
    <row r="96" spans="1:117" x14ac:dyDescent="0.2">
      <c r="A96" s="67">
        <f>IF(Capacity!L108='Capacity summary'!BI215,1,0)</f>
        <v>1</v>
      </c>
      <c r="B96" s="67">
        <f>IF(Capacity!V108='Capacity summary'!BI115,1,0)</f>
        <v>1</v>
      </c>
      <c r="C96" s="67" t="str">
        <f>ROW(A92)&amp;". "&amp;Capacity!B108</f>
        <v xml:space="preserve">92. </v>
      </c>
      <c r="D96" s="67">
        <f>'Capacity setup'!C103</f>
        <v>0</v>
      </c>
      <c r="E96" s="67">
        <f>'Capacity setup'!D103</f>
        <v>0</v>
      </c>
      <c r="F96" s="67">
        <f>'Capacity setup'!E103</f>
        <v>0</v>
      </c>
      <c r="H96" s="67">
        <f ca="1">IF(LOWER(Capacity!$L108)="x",IF(AND(SUMIF(Capacity_Resource,$D96,'Critical resources (hide)'!U$6:U$105)+SUMIF(Capacity_Resource,$E96,'Critical resources (hide)'!U$6:U$105)+SUMIF(Capacity_Resource,$F96,'Critical resources (hide)'!U$6:U$105)&gt;0,$E$1=2),0,1),0)</f>
        <v>1</v>
      </c>
      <c r="I96" s="67">
        <f ca="1">IF(LOWER(Capacity!$L108)="x",IF(AND(SUMIF(Capacity_Resource,$D96,'Critical resources (hide)'!V$6:V$105)+SUMIF(Capacity_Resource,$E96,'Critical resources (hide)'!V$6:V$105)+SUMIF(Capacity_Resource,$F96,'Critical resources (hide)'!V$6:V$105)&gt;0,$E$1=2),0,1),0)</f>
        <v>1</v>
      </c>
      <c r="J96" s="67">
        <f ca="1">IF(LOWER(Capacity!$L108)="x",IF(AND(SUMIF(Capacity_Resource,$D96,'Critical resources (hide)'!W$6:W$105)+SUMIF(Capacity_Resource,$E96,'Critical resources (hide)'!W$6:W$105)+SUMIF(Capacity_Resource,$F96,'Critical resources (hide)'!W$6:W$105)&gt;0,$E$1=2),0,1),0)</f>
        <v>1</v>
      </c>
      <c r="K96" s="67">
        <f ca="1">IF(LOWER(Capacity!$L108)="x",IF(AND(SUMIF(Capacity_Resource,$D96,'Critical resources (hide)'!X$6:X$105)+SUMIF(Capacity_Resource,$E96,'Critical resources (hide)'!X$6:X$105)+SUMIF(Capacity_Resource,$F96,'Critical resources (hide)'!X$6:X$105)&gt;0,$E$1=2),0,1),0)</f>
        <v>1</v>
      </c>
      <c r="L96" s="67">
        <f ca="1">IF(LOWER(Capacity!$L108)="x",IF(AND(SUMIF(Capacity_Resource,$D96,'Critical resources (hide)'!Y$6:Y$105)+SUMIF(Capacity_Resource,$E96,'Critical resources (hide)'!Y$6:Y$105)+SUMIF(Capacity_Resource,$F96,'Critical resources (hide)'!Y$6:Y$105)&gt;0,$E$1=2),0,1),0)</f>
        <v>1</v>
      </c>
      <c r="M96" s="67">
        <f ca="1">IF(LOWER(Capacity!$L108)="x",IF(AND(SUMIF(Capacity_Resource,$D96,'Critical resources (hide)'!Z$6:Z$105)+SUMIF(Capacity_Resource,$E96,'Critical resources (hide)'!Z$6:Z$105)+SUMIF(Capacity_Resource,$F96,'Critical resources (hide)'!Z$6:Z$105)&gt;0,$E$1=2),0,1),0)</f>
        <v>1</v>
      </c>
      <c r="N96" s="67">
        <f ca="1">IF(LOWER(Capacity!$L108)="x",IF(AND(SUMIF(Capacity_Resource,$D96,'Critical resources (hide)'!AA$6:AA$105)+SUMIF(Capacity_Resource,$E96,'Critical resources (hide)'!AA$6:AA$105)+SUMIF(Capacity_Resource,$F96,'Critical resources (hide)'!AA$6:AA$105)&gt;0,$E$1=2),0,1),0)</f>
        <v>1</v>
      </c>
      <c r="O96" s="67">
        <f ca="1">IF(LOWER(Capacity!$L108)="x",IF(AND(SUMIF(Capacity_Resource,$D96,'Critical resources (hide)'!AB$6:AB$105)+SUMIF(Capacity_Resource,$E96,'Critical resources (hide)'!AB$6:AB$105)+SUMIF(Capacity_Resource,$F96,'Critical resources (hide)'!AB$6:AB$105)&gt;0,$E$1=2),0,1),0)</f>
        <v>1</v>
      </c>
      <c r="P96" s="67">
        <f ca="1">IF(LOWER(Capacity!$L108)="x",IF(AND(SUMIF(Capacity_Resource,$D96,'Critical resources (hide)'!AC$6:AC$105)+SUMIF(Capacity_Resource,$E96,'Critical resources (hide)'!AC$6:AC$105)+SUMIF(Capacity_Resource,$F96,'Critical resources (hide)'!AC$6:AC$105)&gt;0,$E$1=2),0,1),0)</f>
        <v>1</v>
      </c>
      <c r="Q96" s="67">
        <f ca="1">IF(LOWER(Capacity!$L108)="x",IF(AND(SUMIF(Capacity_Resource,$D96,'Critical resources (hide)'!AD$6:AD$105)+SUMIF(Capacity_Resource,$E96,'Critical resources (hide)'!AD$6:AD$105)+SUMIF(Capacity_Resource,$F96,'Critical resources (hide)'!AD$6:AD$105)&gt;0,$E$1=2),0,1),0)</f>
        <v>1</v>
      </c>
      <c r="R96" s="67">
        <f ca="1">IF(LOWER(Capacity!$L108)="x",IF(AND(SUMIF(Capacity_Resource,$D96,'Critical resources (hide)'!AE$6:AE$105)+SUMIF(Capacity_Resource,$E96,'Critical resources (hide)'!AE$6:AE$105)+SUMIF(Capacity_Resource,$F96,'Critical resources (hide)'!AE$6:AE$105)&gt;0,$E$1=2),0,1),0)</f>
        <v>1</v>
      </c>
      <c r="S96" s="67">
        <f ca="1">IF(LOWER(Capacity!$L108)="x",IF(AND(SUMIF(Capacity_Resource,$D96,'Critical resources (hide)'!AF$6:AF$105)+SUMIF(Capacity_Resource,$E96,'Critical resources (hide)'!AF$6:AF$105)+SUMIF(Capacity_Resource,$F96,'Critical resources (hide)'!AF$6:AF$105)&gt;0,$E$1=2),0,1),0)</f>
        <v>1</v>
      </c>
      <c r="T96" s="67">
        <f ca="1">IF(LOWER(Capacity!$L108)="x",IF(AND(SUMIF(Capacity_Resource,$D96,'Critical resources (hide)'!AG$6:AG$105)+SUMIF(Capacity_Resource,$E96,'Critical resources (hide)'!AG$6:AG$105)+SUMIF(Capacity_Resource,$F96,'Critical resources (hide)'!AG$6:AG$105)&gt;0,$E$1=2),0,1),0)</f>
        <v>1</v>
      </c>
      <c r="U96" s="67">
        <f ca="1">IF(LOWER(Capacity!$L108)="x",IF(AND(SUMIF(Capacity_Resource,$D96,'Critical resources (hide)'!AH$6:AH$105)+SUMIF(Capacity_Resource,$E96,'Critical resources (hide)'!AH$6:AH$105)+SUMIF(Capacity_Resource,$F96,'Critical resources (hide)'!AH$6:AH$105)&gt;0,$E$1=2),0,1),0)</f>
        <v>1</v>
      </c>
      <c r="V96" s="67">
        <f ca="1">IF(LOWER(Capacity!$L108)="x",IF(AND(SUMIF(Capacity_Resource,$D96,'Critical resources (hide)'!AI$6:AI$105)+SUMIF(Capacity_Resource,$E96,'Critical resources (hide)'!AI$6:AI$105)+SUMIF(Capacity_Resource,$F96,'Critical resources (hide)'!AI$6:AI$105)&gt;0,$E$1=2),0,1),0)</f>
        <v>1</v>
      </c>
      <c r="W96" s="67">
        <f ca="1">IF(LOWER(Capacity!$L108)="x",IF(AND(SUMIF(Capacity_Resource,$D96,'Critical resources (hide)'!AJ$6:AJ$105)+SUMIF(Capacity_Resource,$E96,'Critical resources (hide)'!AJ$6:AJ$105)+SUMIF(Capacity_Resource,$F96,'Critical resources (hide)'!AJ$6:AJ$105)&gt;0,$E$1=2),0,1),0)</f>
        <v>1</v>
      </c>
      <c r="X96" s="67">
        <f ca="1">IF(LOWER(Capacity!$L108)="x",IF(AND(SUMIF(Capacity_Resource,$D96,'Critical resources (hide)'!AK$6:AK$105)+SUMIF(Capacity_Resource,$E96,'Critical resources (hide)'!AK$6:AK$105)+SUMIF(Capacity_Resource,$F96,'Critical resources (hide)'!AK$6:AK$105)&gt;0,$E$1=2),0,1),0)</f>
        <v>1</v>
      </c>
      <c r="Y96" s="67">
        <f ca="1">IF(LOWER(Capacity!$L108)="x",IF(AND(SUMIF(Capacity_Resource,$D96,'Critical resources (hide)'!AL$6:AL$105)+SUMIF(Capacity_Resource,$E96,'Critical resources (hide)'!AL$6:AL$105)+SUMIF(Capacity_Resource,$F96,'Critical resources (hide)'!AL$6:AL$105)&gt;0,$E$1=2),0,1),0)</f>
        <v>1</v>
      </c>
      <c r="Z96" s="67">
        <f ca="1">IF(LOWER(Capacity!$L108)="x",IF(AND(SUMIF(Capacity_Resource,$D96,'Critical resources (hide)'!AM$6:AM$105)+SUMIF(Capacity_Resource,$E96,'Critical resources (hide)'!AM$6:AM$105)+SUMIF(Capacity_Resource,$F96,'Critical resources (hide)'!AM$6:AM$105)&gt;0,$E$1=2),0,1),0)</f>
        <v>1</v>
      </c>
      <c r="AA96" s="67">
        <f ca="1">IF(LOWER(Capacity!$L108)="x",IF(AND(SUMIF(Capacity_Resource,$D96,'Critical resources (hide)'!AN$6:AN$105)+SUMIF(Capacity_Resource,$E96,'Critical resources (hide)'!AN$6:AN$105)+SUMIF(Capacity_Resource,$F96,'Critical resources (hide)'!AN$6:AN$105)&gt;0,$E$1=2),0,1),0)</f>
        <v>1</v>
      </c>
      <c r="AB96" s="67">
        <f ca="1">IF(LOWER(Capacity!$L108)="x",IF(AND(SUMIF(Capacity_Resource,$D96,'Critical resources (hide)'!AO$6:AO$105)+SUMIF(Capacity_Resource,$E96,'Critical resources (hide)'!AO$6:AO$105)+SUMIF(Capacity_Resource,$F96,'Critical resources (hide)'!AO$6:AO$105)&gt;0,$E$1=2),0,1),0)</f>
        <v>1</v>
      </c>
      <c r="AC96" s="67">
        <f ca="1">IF(LOWER(Capacity!$L108)="x",IF(AND(SUMIF(Capacity_Resource,$D96,'Critical resources (hide)'!AP$6:AP$105)+SUMIF(Capacity_Resource,$E96,'Critical resources (hide)'!AP$6:AP$105)+SUMIF(Capacity_Resource,$F96,'Critical resources (hide)'!AP$6:AP$105)&gt;0,$E$1=2),0,1),0)</f>
        <v>1</v>
      </c>
      <c r="AD96" s="67">
        <f ca="1">IF(LOWER(Capacity!$L108)="x",IF(AND(SUMIF(Capacity_Resource,$D96,'Critical resources (hide)'!AQ$6:AQ$105)+SUMIF(Capacity_Resource,$E96,'Critical resources (hide)'!AQ$6:AQ$105)+SUMIF(Capacity_Resource,$F96,'Critical resources (hide)'!AQ$6:AQ$105)&gt;0,$E$1=2),0,1),0)</f>
        <v>1</v>
      </c>
      <c r="AE96" s="67">
        <f ca="1">IF(LOWER(Capacity!$L108)="x",IF(AND(SUMIF(Capacity_Resource,$D96,'Critical resources (hide)'!AR$6:AR$105)+SUMIF(Capacity_Resource,$E96,'Critical resources (hide)'!AR$6:AR$105)+SUMIF(Capacity_Resource,$F96,'Critical resources (hide)'!AR$6:AR$105)&gt;0,$E$1=2),0,1),0)</f>
        <v>1</v>
      </c>
      <c r="AF96" s="67">
        <f ca="1">IF(LOWER(Capacity!$L108)="x",IF(AND(SUMIF(Capacity_Resource,$D96,'Critical resources (hide)'!AS$6:AS$105)+SUMIF(Capacity_Resource,$E96,'Critical resources (hide)'!AS$6:AS$105)+SUMIF(Capacity_Resource,$F96,'Critical resources (hide)'!AS$6:AS$105)&gt;0,$E$1=2),0,1),0)</f>
        <v>1</v>
      </c>
      <c r="AG96" s="67">
        <f ca="1">IF(LOWER(Capacity!$L108)="x",IF(AND(SUMIF(Capacity_Resource,$D96,'Critical resources (hide)'!AT$6:AT$105)+SUMIF(Capacity_Resource,$E96,'Critical resources (hide)'!AT$6:AT$105)+SUMIF(Capacity_Resource,$F96,'Critical resources (hide)'!AT$6:AT$105)&gt;0,$E$1=2),0,1),0)</f>
        <v>1</v>
      </c>
      <c r="AH96" s="67">
        <f ca="1">IF(LOWER(Capacity!$L108)="x",IF(AND(SUMIF(Capacity_Resource,$D96,'Critical resources (hide)'!AU$6:AU$105)+SUMIF(Capacity_Resource,$E96,'Critical resources (hide)'!AU$6:AU$105)+SUMIF(Capacity_Resource,$F96,'Critical resources (hide)'!AU$6:AU$105)&gt;0,$E$1=2),0,1),0)</f>
        <v>1</v>
      </c>
      <c r="AI96" s="67">
        <f ca="1">IF(LOWER(Capacity!$L108)="x",IF(AND(SUMIF(Capacity_Resource,$D96,'Critical resources (hide)'!AV$6:AV$105)+SUMIF(Capacity_Resource,$E96,'Critical resources (hide)'!AV$6:AV$105)+SUMIF(Capacity_Resource,$F96,'Critical resources (hide)'!AV$6:AV$105)&gt;0,$E$1=2),0,1),0)</f>
        <v>1</v>
      </c>
      <c r="AJ96" s="67">
        <f ca="1">IF(LOWER(Capacity!$L108)="x",IF(AND(SUMIF(Capacity_Resource,$D96,'Critical resources (hide)'!AW$6:AW$105)+SUMIF(Capacity_Resource,$E96,'Critical resources (hide)'!AW$6:AW$105)+SUMIF(Capacity_Resource,$F96,'Critical resources (hide)'!AW$6:AW$105)&gt;0,$E$1=2),0,1),0)</f>
        <v>1</v>
      </c>
      <c r="AK96" s="67">
        <f ca="1">IF(LOWER(Capacity!$L108)="x",IF(AND(SUMIF(Capacity_Resource,$D96,'Critical resources (hide)'!AX$6:AX$105)+SUMIF(Capacity_Resource,$E96,'Critical resources (hide)'!AX$6:AX$105)+SUMIF(Capacity_Resource,$F96,'Critical resources (hide)'!AX$6:AX$105)&gt;0,$E$1=2),0,1),0)</f>
        <v>1</v>
      </c>
      <c r="AL96" s="67">
        <f ca="1">IF(LOWER(Capacity!$L108)="x",IF(AND(SUMIF(Capacity_Resource,$D96,'Critical resources (hide)'!AY$6:AY$105)+SUMIF(Capacity_Resource,$E96,'Critical resources (hide)'!AY$6:AY$105)+SUMIF(Capacity_Resource,$F96,'Critical resources (hide)'!AY$6:AY$105)&gt;0,$E$1=2),0,1),0)</f>
        <v>1</v>
      </c>
      <c r="AM96" s="67">
        <f ca="1">IF(LOWER(Capacity!$L108)="x",IF(AND(SUMIF(Capacity_Resource,$D96,'Critical resources (hide)'!AZ$6:AZ$105)+SUMIF(Capacity_Resource,$E96,'Critical resources (hide)'!AZ$6:AZ$105)+SUMIF(Capacity_Resource,$F96,'Critical resources (hide)'!AZ$6:AZ$105)&gt;0,$E$1=2),0,1),0)</f>
        <v>1</v>
      </c>
      <c r="AN96" s="67">
        <f ca="1">IF(LOWER(Capacity!$L108)="x",IF(AND(SUMIF(Capacity_Resource,$D96,'Critical resources (hide)'!BA$6:BA$105)+SUMIF(Capacity_Resource,$E96,'Critical resources (hide)'!BA$6:BA$105)+SUMIF(Capacity_Resource,$F96,'Critical resources (hide)'!BA$6:BA$105)&gt;0,$E$1=2),0,1),0)</f>
        <v>1</v>
      </c>
      <c r="AO96" s="67">
        <f ca="1">IF(LOWER(Capacity!$L108)="x",IF(AND(SUMIF(Capacity_Resource,$D96,'Critical resources (hide)'!BB$6:BB$105)+SUMIF(Capacity_Resource,$E96,'Critical resources (hide)'!BB$6:BB$105)+SUMIF(Capacity_Resource,$F96,'Critical resources (hide)'!BB$6:BB$105)&gt;0,$E$1=2),0,1),0)</f>
        <v>1</v>
      </c>
      <c r="AP96" s="67">
        <f ca="1">IF(LOWER(Capacity!$L108)="x",IF(AND(SUMIF(Capacity_Resource,$D96,'Critical resources (hide)'!BC$6:BC$105)+SUMIF(Capacity_Resource,$E96,'Critical resources (hide)'!BC$6:BC$105)+SUMIF(Capacity_Resource,$F96,'Critical resources (hide)'!BC$6:BC$105)&gt;0,$E$1=2),0,1),0)</f>
        <v>1</v>
      </c>
      <c r="AQ96" s="67">
        <f ca="1">IF(LOWER(Capacity!$L108)="x",IF(AND(SUMIF(Capacity_Resource,$D96,'Critical resources (hide)'!BD$6:BD$105)+SUMIF(Capacity_Resource,$E96,'Critical resources (hide)'!BD$6:BD$105)+SUMIF(Capacity_Resource,$F96,'Critical resources (hide)'!BD$6:BD$105)&gt;0,$E$1=2),0,1),0)</f>
        <v>1</v>
      </c>
      <c r="AR96" s="67">
        <f ca="1">IF(LOWER(Capacity!$L108)="x",IF(AND(SUMIF(Capacity_Resource,$D96,'Critical resources (hide)'!BE$6:BE$105)+SUMIF(Capacity_Resource,$E96,'Critical resources (hide)'!BE$6:BE$105)+SUMIF(Capacity_Resource,$F96,'Critical resources (hide)'!BE$6:BE$105)&gt;0,$E$1=2),0,1),0)</f>
        <v>1</v>
      </c>
      <c r="AS96" s="67">
        <f ca="1">IF(LOWER(Capacity!$L108)="x",IF(AND(SUMIF(Capacity_Resource,$D96,'Critical resources (hide)'!BF$6:BF$105)+SUMIF(Capacity_Resource,$E96,'Critical resources (hide)'!BF$6:BF$105)+SUMIF(Capacity_Resource,$F96,'Critical resources (hide)'!BF$6:BF$105)&gt;0,$E$1=2),0,1),0)</f>
        <v>1</v>
      </c>
      <c r="AT96" s="67">
        <f ca="1">IF(LOWER(Capacity!$L108)="x",IF(AND(SUMIF(Capacity_Resource,$D96,'Critical resources (hide)'!BG$6:BG$105)+SUMIF(Capacity_Resource,$E96,'Critical resources (hide)'!BG$6:BG$105)+SUMIF(Capacity_Resource,$F96,'Critical resources (hide)'!BG$6:BG$105)&gt;0,$E$1=2),0,1),0)</f>
        <v>1</v>
      </c>
      <c r="AU96" s="67">
        <f ca="1">IF(LOWER(Capacity!$L108)="x",IF(AND(SUMIF(Capacity_Resource,$D96,'Critical resources (hide)'!BH$6:BH$105)+SUMIF(Capacity_Resource,$E96,'Critical resources (hide)'!BH$6:BH$105)+SUMIF(Capacity_Resource,$F96,'Critical resources (hide)'!BH$6:BH$105)&gt;0,$E$1=2),0,1),0)</f>
        <v>1</v>
      </c>
      <c r="AV96" s="67">
        <f ca="1">IF(LOWER(Capacity!$L108)="x",IF(AND(SUMIF(Capacity_Resource,$D96,'Critical resources (hide)'!BI$6:BI$105)+SUMIF(Capacity_Resource,$E96,'Critical resources (hide)'!BI$6:BI$105)+SUMIF(Capacity_Resource,$F96,'Critical resources (hide)'!BI$6:BI$105)&gt;0,$E$1=2),0,1),0)</f>
        <v>1</v>
      </c>
      <c r="AW96" s="67">
        <f ca="1">IF(LOWER(Capacity!$L108)="x",IF(AND(SUMIF(Capacity_Resource,$D96,'Critical resources (hide)'!BJ$6:BJ$105)+SUMIF(Capacity_Resource,$E96,'Critical resources (hide)'!BJ$6:BJ$105)+SUMIF(Capacity_Resource,$F96,'Critical resources (hide)'!BJ$6:BJ$105)&gt;0,$E$1=2),0,1),0)</f>
        <v>1</v>
      </c>
      <c r="AX96" s="67">
        <f ca="1">IF(LOWER(Capacity!$L108)="x",IF(AND(SUMIF(Capacity_Resource,$D96,'Critical resources (hide)'!BK$6:BK$105)+SUMIF(Capacity_Resource,$E96,'Critical resources (hide)'!BK$6:BK$105)+SUMIF(Capacity_Resource,$F96,'Critical resources (hide)'!BK$6:BK$105)&gt;0,$E$1=2),0,1),0)</f>
        <v>1</v>
      </c>
      <c r="AY96" s="67">
        <f ca="1">IF(LOWER(Capacity!$L108)="x",IF(AND(SUMIF(Capacity_Resource,$D96,'Critical resources (hide)'!BL$6:BL$105)+SUMIF(Capacity_Resource,$E96,'Critical resources (hide)'!BL$6:BL$105)+SUMIF(Capacity_Resource,$F96,'Critical resources (hide)'!BL$6:BL$105)&gt;0,$E$1=2),0,1),0)</f>
        <v>1</v>
      </c>
      <c r="AZ96" s="67">
        <f ca="1">IF(LOWER(Capacity!$L108)="x",IF(AND(SUMIF(Capacity_Resource,$D96,'Critical resources (hide)'!BM$6:BM$105)+SUMIF(Capacity_Resource,$E96,'Critical resources (hide)'!BM$6:BM$105)+SUMIF(Capacity_Resource,$F96,'Critical resources (hide)'!BM$6:BM$105)&gt;0,$E$1=2),0,1),0)</f>
        <v>1</v>
      </c>
      <c r="BA96" s="67">
        <f ca="1">IF(LOWER(Capacity!$L108)="x",IF(AND(SUMIF(Capacity_Resource,$D96,'Critical resources (hide)'!BN$6:BN$105)+SUMIF(Capacity_Resource,$E96,'Critical resources (hide)'!BN$6:BN$105)+SUMIF(Capacity_Resource,$F96,'Critical resources (hide)'!BN$6:BN$105)&gt;0,$E$1=2),0,1),0)</f>
        <v>1</v>
      </c>
      <c r="BB96" s="67">
        <f ca="1">IF(LOWER(Capacity!$L108)="x",IF(AND(SUMIF(Capacity_Resource,$D96,'Critical resources (hide)'!BO$6:BO$105)+SUMIF(Capacity_Resource,$E96,'Critical resources (hide)'!BO$6:BO$105)+SUMIF(Capacity_Resource,$F96,'Critical resources (hide)'!BO$6:BO$105)&gt;0,$E$1=2),0,1),0)</f>
        <v>1</v>
      </c>
      <c r="BC96" s="67">
        <f ca="1">IF(LOWER(Capacity!$L108)="x",IF(AND(SUMIF(Capacity_Resource,$D96,'Critical resources (hide)'!BP$6:BP$105)+SUMIF(Capacity_Resource,$E96,'Critical resources (hide)'!BP$6:BP$105)+SUMIF(Capacity_Resource,$F96,'Critical resources (hide)'!BP$6:BP$105)&gt;0,$E$1=2),0,1),0)</f>
        <v>1</v>
      </c>
      <c r="BD96" s="67">
        <f ca="1">IF(LOWER(Capacity!$L108)="x",IF(AND(SUMIF(Capacity_Resource,$D96,'Critical resources (hide)'!BQ$6:BQ$105)+SUMIF(Capacity_Resource,$E96,'Critical resources (hide)'!BQ$6:BQ$105)+SUMIF(Capacity_Resource,$F96,'Critical resources (hide)'!BQ$6:BQ$105)&gt;0,$E$1=2),0,1),0)</f>
        <v>1</v>
      </c>
      <c r="BE96" s="67">
        <f ca="1">IF(LOWER(Capacity!$L108)="x",IF(AND(SUMIF(Capacity_Resource,$D96,'Critical resources (hide)'!BR$6:BR$105)+SUMIF(Capacity_Resource,$E96,'Critical resources (hide)'!BR$6:BR$105)+SUMIF(Capacity_Resource,$F96,'Critical resources (hide)'!BR$6:BR$105)&gt;0,$E$1=2),0,1),0)</f>
        <v>1</v>
      </c>
      <c r="BF96" s="67">
        <f ca="1">IF(LOWER(Capacity!$L108)="x",IF(AND(SUMIF(Capacity_Resource,$D96,'Critical resources (hide)'!BS$6:BS$105)+SUMIF(Capacity_Resource,$E96,'Critical resources (hide)'!BS$6:BS$105)+SUMIF(Capacity_Resource,$F96,'Critical resources (hide)'!BS$6:BS$105)&gt;0,$E$1=2),0,1),0)</f>
        <v>1</v>
      </c>
      <c r="BG96" s="67">
        <f ca="1">IF(LOWER(Capacity!$L108)="x",IF(AND(SUMIF(Capacity_Resource,$D96,'Critical resources (hide)'!BT$6:BT$105)+SUMIF(Capacity_Resource,$E96,'Critical resources (hide)'!BT$6:BT$105)+SUMIF(Capacity_Resource,$F96,'Critical resources (hide)'!BT$6:BT$105)&gt;0,$E$1=2),0,1),0)</f>
        <v>1</v>
      </c>
      <c r="BH96" s="67">
        <f>IF(ROW(C92)&lt;=Capacity!$A$16,IF('Capacity summary'!$D$14="No",SUM(H96:BG96),'Capacity summary'!$E215),0)</f>
        <v>0</v>
      </c>
      <c r="BI96" s="5" t="str">
        <f>IF(BH96&gt;0,IF(BH96&lt;Capacity!E108,Capacity!F108,Capacity!H108/'Capacity calculation (hide)'!BH96),"")</f>
        <v/>
      </c>
      <c r="BK96" s="311">
        <f>IF($BI96&lt;&gt;"",IF('Capacity summary'!$D$14="Yes",IF(COUNTBLANK('Capacity summary'!$H215:$BG215)&lt;52,IF('Capacity summary'!H215&lt;&gt;"",IF(LOWER('Capacity summary'!H215)="x",$BI96*H96,VALUE('Capacity summary'!H215)),0),H96*$BI96),H96*$BI96),0)</f>
        <v>0</v>
      </c>
      <c r="BL96" s="311">
        <f>IF($BI96&lt;&gt;"",IF('Capacity summary'!$D$14="Yes",IF(COUNTBLANK('Capacity summary'!$H215:$BG215)&lt;52,IF('Capacity summary'!I215&lt;&gt;"",IF(LOWER('Capacity summary'!I215)="x",$BI96*I96,VALUE('Capacity summary'!I215)),0),I96*$BI96),I96*$BI96),0)</f>
        <v>0</v>
      </c>
      <c r="BM96" s="311">
        <f>IF($BI96&lt;&gt;"",IF('Capacity summary'!$D$14="Yes",IF(COUNTBLANK('Capacity summary'!$H215:$BG215)&lt;52,IF('Capacity summary'!J215&lt;&gt;"",IF(LOWER('Capacity summary'!J215)="x",$BI96*J96,VALUE('Capacity summary'!J215)),0),J96*$BI96),J96*$BI96),0)</f>
        <v>0</v>
      </c>
      <c r="BN96" s="311">
        <f>IF($BI96&lt;&gt;"",IF('Capacity summary'!$D$14="Yes",IF(COUNTBLANK('Capacity summary'!$H215:$BG215)&lt;52,IF('Capacity summary'!K215&lt;&gt;"",IF(LOWER('Capacity summary'!K215)="x",$BI96*K96,VALUE('Capacity summary'!K215)),0),K96*$BI96),K96*$BI96),0)</f>
        <v>0</v>
      </c>
      <c r="BO96" s="311">
        <f>IF($BI96&lt;&gt;"",IF('Capacity summary'!$D$14="Yes",IF(COUNTBLANK('Capacity summary'!$H215:$BG215)&lt;52,IF('Capacity summary'!L215&lt;&gt;"",IF(LOWER('Capacity summary'!L215)="x",$BI96*L96,VALUE('Capacity summary'!L215)),0),L96*$BI96),L96*$BI96),0)</f>
        <v>0</v>
      </c>
      <c r="BP96" s="311">
        <f>IF($BI96&lt;&gt;"",IF('Capacity summary'!$D$14="Yes",IF(COUNTBLANK('Capacity summary'!$H215:$BG215)&lt;52,IF('Capacity summary'!M215&lt;&gt;"",IF(LOWER('Capacity summary'!M215)="x",$BI96*M96,VALUE('Capacity summary'!M215)),0),M96*$BI96),M96*$BI96),0)</f>
        <v>0</v>
      </c>
      <c r="BQ96" s="311">
        <f>IF($BI96&lt;&gt;"",IF('Capacity summary'!$D$14="Yes",IF(COUNTBLANK('Capacity summary'!$H215:$BG215)&lt;52,IF('Capacity summary'!N215&lt;&gt;"",IF(LOWER('Capacity summary'!N215)="x",$BI96*N96,VALUE('Capacity summary'!N215)),0),N96*$BI96),N96*$BI96),0)</f>
        <v>0</v>
      </c>
      <c r="BR96" s="311">
        <f>IF($BI96&lt;&gt;"",IF('Capacity summary'!$D$14="Yes",IF(COUNTBLANK('Capacity summary'!$H215:$BG215)&lt;52,IF('Capacity summary'!O215&lt;&gt;"",IF(LOWER('Capacity summary'!O215)="x",$BI96*O96,VALUE('Capacity summary'!O215)),0),O96*$BI96),O96*$BI96),0)</f>
        <v>0</v>
      </c>
      <c r="BS96" s="311">
        <f>IF($BI96&lt;&gt;"",IF('Capacity summary'!$D$14="Yes",IF(COUNTBLANK('Capacity summary'!$H215:$BG215)&lt;52,IF('Capacity summary'!P215&lt;&gt;"",IF(LOWER('Capacity summary'!P215)="x",$BI96*P96,VALUE('Capacity summary'!P215)),0),P96*$BI96),P96*$BI96),0)</f>
        <v>0</v>
      </c>
      <c r="BT96" s="311">
        <f>IF($BI96&lt;&gt;"",IF('Capacity summary'!$D$14="Yes",IF(COUNTBLANK('Capacity summary'!$H215:$BG215)&lt;52,IF('Capacity summary'!Q215&lt;&gt;"",IF(LOWER('Capacity summary'!Q215)="x",$BI96*Q96,VALUE('Capacity summary'!Q215)),0),Q96*$BI96),Q96*$BI96),0)</f>
        <v>0</v>
      </c>
      <c r="BU96" s="311">
        <f>IF($BI96&lt;&gt;"",IF('Capacity summary'!$D$14="Yes",IF(COUNTBLANK('Capacity summary'!$H215:$BG215)&lt;52,IF('Capacity summary'!R215&lt;&gt;"",IF(LOWER('Capacity summary'!R215)="x",$BI96*R96,VALUE('Capacity summary'!R215)),0),R96*$BI96),R96*$BI96),0)</f>
        <v>0</v>
      </c>
      <c r="BV96" s="311">
        <f>IF($BI96&lt;&gt;"",IF('Capacity summary'!$D$14="Yes",IF(COUNTBLANK('Capacity summary'!$H215:$BG215)&lt;52,IF('Capacity summary'!S215&lt;&gt;"",IF(LOWER('Capacity summary'!S215)="x",$BI96*S96,VALUE('Capacity summary'!S215)),0),S96*$BI96),S96*$BI96),0)</f>
        <v>0</v>
      </c>
      <c r="BW96" s="311">
        <f>IF($BI96&lt;&gt;"",IF('Capacity summary'!$D$14="Yes",IF(COUNTBLANK('Capacity summary'!$H215:$BG215)&lt;52,IF('Capacity summary'!T215&lt;&gt;"",IF(LOWER('Capacity summary'!T215)="x",$BI96*T96,VALUE('Capacity summary'!T215)),0),T96*$BI96),T96*$BI96),0)</f>
        <v>0</v>
      </c>
      <c r="BX96" s="311">
        <f>IF($BI96&lt;&gt;"",IF('Capacity summary'!$D$14="Yes",IF(COUNTBLANK('Capacity summary'!$H215:$BG215)&lt;52,IF('Capacity summary'!U215&lt;&gt;"",IF(LOWER('Capacity summary'!U215)="x",$BI96*U96,VALUE('Capacity summary'!U215)),0),U96*$BI96),U96*$BI96),0)</f>
        <v>0</v>
      </c>
      <c r="BY96" s="311">
        <f>IF($BI96&lt;&gt;"",IF('Capacity summary'!$D$14="Yes",IF(COUNTBLANK('Capacity summary'!$H215:$BG215)&lt;52,IF('Capacity summary'!V215&lt;&gt;"",IF(LOWER('Capacity summary'!V215)="x",$BI96*V96,VALUE('Capacity summary'!V215)),0),V96*$BI96),V96*$BI96),0)</f>
        <v>0</v>
      </c>
      <c r="BZ96" s="311">
        <f>IF($BI96&lt;&gt;"",IF('Capacity summary'!$D$14="Yes",IF(COUNTBLANK('Capacity summary'!$H215:$BG215)&lt;52,IF('Capacity summary'!W215&lt;&gt;"",IF(LOWER('Capacity summary'!W215)="x",$BI96*W96,VALUE('Capacity summary'!W215)),0),W96*$BI96),W96*$BI96),0)</f>
        <v>0</v>
      </c>
      <c r="CA96" s="311">
        <f>IF($BI96&lt;&gt;"",IF('Capacity summary'!$D$14="Yes",IF(COUNTBLANK('Capacity summary'!$H215:$BG215)&lt;52,IF('Capacity summary'!X215&lt;&gt;"",IF(LOWER('Capacity summary'!X215)="x",$BI96*X96,VALUE('Capacity summary'!X215)),0),X96*$BI96),X96*$BI96),0)</f>
        <v>0</v>
      </c>
      <c r="CB96" s="311">
        <f>IF($BI96&lt;&gt;"",IF('Capacity summary'!$D$14="Yes",IF(COUNTBLANK('Capacity summary'!$H215:$BG215)&lt;52,IF('Capacity summary'!Y215&lt;&gt;"",IF(LOWER('Capacity summary'!Y215)="x",$BI96*Y96,VALUE('Capacity summary'!Y215)),0),Y96*$BI96),Y96*$BI96),0)</f>
        <v>0</v>
      </c>
      <c r="CC96" s="311">
        <f>IF($BI96&lt;&gt;"",IF('Capacity summary'!$D$14="Yes",IF(COUNTBLANK('Capacity summary'!$H215:$BG215)&lt;52,IF('Capacity summary'!Z215&lt;&gt;"",IF(LOWER('Capacity summary'!Z215)="x",$BI96*Z96,VALUE('Capacity summary'!Z215)),0),Z96*$BI96),Z96*$BI96),0)</f>
        <v>0</v>
      </c>
      <c r="CD96" s="311">
        <f>IF($BI96&lt;&gt;"",IF('Capacity summary'!$D$14="Yes",IF(COUNTBLANK('Capacity summary'!$H215:$BG215)&lt;52,IF('Capacity summary'!AA215&lt;&gt;"",IF(LOWER('Capacity summary'!AA215)="x",$BI96*AA96,VALUE('Capacity summary'!AA215)),0),AA96*$BI96),AA96*$BI96),0)</f>
        <v>0</v>
      </c>
      <c r="CE96" s="311">
        <f>IF($BI96&lt;&gt;"",IF('Capacity summary'!$D$14="Yes",IF(COUNTBLANK('Capacity summary'!$H215:$BG215)&lt;52,IF('Capacity summary'!AB215&lt;&gt;"",IF(LOWER('Capacity summary'!AB215)="x",$BI96*AB96,VALUE('Capacity summary'!AB215)),0),AB96*$BI96),AB96*$BI96),0)</f>
        <v>0</v>
      </c>
      <c r="CF96" s="311">
        <f>IF($BI96&lt;&gt;"",IF('Capacity summary'!$D$14="Yes",IF(COUNTBLANK('Capacity summary'!$H215:$BG215)&lt;52,IF('Capacity summary'!AC215&lt;&gt;"",IF(LOWER('Capacity summary'!AC215)="x",$BI96*AC96,VALUE('Capacity summary'!AC215)),0),AC96*$BI96),AC96*$BI96),0)</f>
        <v>0</v>
      </c>
      <c r="CG96" s="311">
        <f>IF($BI96&lt;&gt;"",IF('Capacity summary'!$D$14="Yes",IF(COUNTBLANK('Capacity summary'!$H215:$BG215)&lt;52,IF('Capacity summary'!AD215&lt;&gt;"",IF(LOWER('Capacity summary'!AD215)="x",$BI96*AD96,VALUE('Capacity summary'!AD215)),0),AD96*$BI96),AD96*$BI96),0)</f>
        <v>0</v>
      </c>
      <c r="CH96" s="311">
        <f>IF($BI96&lt;&gt;"",IF('Capacity summary'!$D$14="Yes",IF(COUNTBLANK('Capacity summary'!$H215:$BG215)&lt;52,IF('Capacity summary'!AE215&lt;&gt;"",IF(LOWER('Capacity summary'!AE215)="x",$BI96*AE96,VALUE('Capacity summary'!AE215)),0),AE96*$BI96),AE96*$BI96),0)</f>
        <v>0</v>
      </c>
      <c r="CI96" s="311">
        <f>IF($BI96&lt;&gt;"",IF('Capacity summary'!$D$14="Yes",IF(COUNTBLANK('Capacity summary'!$H215:$BG215)&lt;52,IF('Capacity summary'!AF215&lt;&gt;"",IF(LOWER('Capacity summary'!AF215)="x",$BI96*AF96,VALUE('Capacity summary'!AF215)),0),AF96*$BI96),AF96*$BI96),0)</f>
        <v>0</v>
      </c>
      <c r="CJ96" s="311">
        <f>IF($BI96&lt;&gt;"",IF('Capacity summary'!$D$14="Yes",IF(COUNTBLANK('Capacity summary'!$H215:$BG215)&lt;52,IF('Capacity summary'!AG215&lt;&gt;"",IF(LOWER('Capacity summary'!AG215)="x",$BI96*AG96,VALUE('Capacity summary'!AG215)),0),AG96*$BI96),AG96*$BI96),0)</f>
        <v>0</v>
      </c>
      <c r="CK96" s="311">
        <f>IF($BI96&lt;&gt;"",IF('Capacity summary'!$D$14="Yes",IF(COUNTBLANK('Capacity summary'!$H215:$BG215)&lt;52,IF('Capacity summary'!AH215&lt;&gt;"",IF(LOWER('Capacity summary'!AH215)="x",$BI96*AH96,VALUE('Capacity summary'!AH215)),0),AH96*$BI96),AH96*$BI96),0)</f>
        <v>0</v>
      </c>
      <c r="CL96" s="311">
        <f>IF($BI96&lt;&gt;"",IF('Capacity summary'!$D$14="Yes",IF(COUNTBLANK('Capacity summary'!$H215:$BG215)&lt;52,IF('Capacity summary'!AI215&lt;&gt;"",IF(LOWER('Capacity summary'!AI215)="x",$BI96*AI96,VALUE('Capacity summary'!AI215)),0),AI96*$BI96),AI96*$BI96),0)</f>
        <v>0</v>
      </c>
      <c r="CM96" s="311">
        <f>IF($BI96&lt;&gt;"",IF('Capacity summary'!$D$14="Yes",IF(COUNTBLANK('Capacity summary'!$H215:$BG215)&lt;52,IF('Capacity summary'!AJ215&lt;&gt;"",IF(LOWER('Capacity summary'!AJ215)="x",$BI96*AJ96,VALUE('Capacity summary'!AJ215)),0),AJ96*$BI96),AJ96*$BI96),0)</f>
        <v>0</v>
      </c>
      <c r="CN96" s="311">
        <f>IF($BI96&lt;&gt;"",IF('Capacity summary'!$D$14="Yes",IF(COUNTBLANK('Capacity summary'!$H215:$BG215)&lt;52,IF('Capacity summary'!AK215&lt;&gt;"",IF(LOWER('Capacity summary'!AK215)="x",$BI96*AK96,VALUE('Capacity summary'!AK215)),0),AK96*$BI96),AK96*$BI96),0)</f>
        <v>0</v>
      </c>
      <c r="CO96" s="311">
        <f>IF($BI96&lt;&gt;"",IF('Capacity summary'!$D$14="Yes",IF(COUNTBLANK('Capacity summary'!$H215:$BG215)&lt;52,IF('Capacity summary'!AL215&lt;&gt;"",IF(LOWER('Capacity summary'!AL215)="x",$BI96*AL96,VALUE('Capacity summary'!AL215)),0),AL96*$BI96),AL96*$BI96),0)</f>
        <v>0</v>
      </c>
      <c r="CP96" s="311">
        <f>IF($BI96&lt;&gt;"",IF('Capacity summary'!$D$14="Yes",IF(COUNTBLANK('Capacity summary'!$H215:$BG215)&lt;52,IF('Capacity summary'!AM215&lt;&gt;"",IF(LOWER('Capacity summary'!AM215)="x",$BI96*AM96,VALUE('Capacity summary'!AM215)),0),AM96*$BI96),AM96*$BI96),0)</f>
        <v>0</v>
      </c>
      <c r="CQ96" s="311">
        <f>IF($BI96&lt;&gt;"",IF('Capacity summary'!$D$14="Yes",IF(COUNTBLANK('Capacity summary'!$H215:$BG215)&lt;52,IF('Capacity summary'!AN215&lt;&gt;"",IF(LOWER('Capacity summary'!AN215)="x",$BI96*AN96,VALUE('Capacity summary'!AN215)),0),AN96*$BI96),AN96*$BI96),0)</f>
        <v>0</v>
      </c>
      <c r="CR96" s="311">
        <f>IF($BI96&lt;&gt;"",IF('Capacity summary'!$D$14="Yes",IF(COUNTBLANK('Capacity summary'!$H215:$BG215)&lt;52,IF('Capacity summary'!AO215&lt;&gt;"",IF(LOWER('Capacity summary'!AO215)="x",$BI96*AO96,VALUE('Capacity summary'!AO215)),0),AO96*$BI96),AO96*$BI96),0)</f>
        <v>0</v>
      </c>
      <c r="CS96" s="311">
        <f>IF($BI96&lt;&gt;"",IF('Capacity summary'!$D$14="Yes",IF(COUNTBLANK('Capacity summary'!$H215:$BG215)&lt;52,IF('Capacity summary'!AP215&lt;&gt;"",IF(LOWER('Capacity summary'!AP215)="x",$BI96*AP96,VALUE('Capacity summary'!AP215)),0),AP96*$BI96),AP96*$BI96),0)</f>
        <v>0</v>
      </c>
      <c r="CT96" s="311">
        <f>IF($BI96&lt;&gt;"",IF('Capacity summary'!$D$14="Yes",IF(COUNTBLANK('Capacity summary'!$H215:$BG215)&lt;52,IF('Capacity summary'!AQ215&lt;&gt;"",IF(LOWER('Capacity summary'!AQ215)="x",$BI96*AQ96,VALUE('Capacity summary'!AQ215)),0),AQ96*$BI96),AQ96*$BI96),0)</f>
        <v>0</v>
      </c>
      <c r="CU96" s="311">
        <f>IF($BI96&lt;&gt;"",IF('Capacity summary'!$D$14="Yes",IF(COUNTBLANK('Capacity summary'!$H215:$BG215)&lt;52,IF('Capacity summary'!AR215&lt;&gt;"",IF(LOWER('Capacity summary'!AR215)="x",$BI96*AR96,VALUE('Capacity summary'!AR215)),0),AR96*$BI96),AR96*$BI96),0)</f>
        <v>0</v>
      </c>
      <c r="CV96" s="311">
        <f>IF($BI96&lt;&gt;"",IF('Capacity summary'!$D$14="Yes",IF(COUNTBLANK('Capacity summary'!$H215:$BG215)&lt;52,IF('Capacity summary'!AS215&lt;&gt;"",IF(LOWER('Capacity summary'!AS215)="x",$BI96*AS96,VALUE('Capacity summary'!AS215)),0),AS96*$BI96),AS96*$BI96),0)</f>
        <v>0</v>
      </c>
      <c r="CW96" s="311">
        <f>IF($BI96&lt;&gt;"",IF('Capacity summary'!$D$14="Yes",IF(COUNTBLANK('Capacity summary'!$H215:$BG215)&lt;52,IF('Capacity summary'!AT215&lt;&gt;"",IF(LOWER('Capacity summary'!AT215)="x",$BI96*AT96,VALUE('Capacity summary'!AT215)),0),AT96*$BI96),AT96*$BI96),0)</f>
        <v>0</v>
      </c>
      <c r="CX96" s="311">
        <f>IF($BI96&lt;&gt;"",IF('Capacity summary'!$D$14="Yes",IF(COUNTBLANK('Capacity summary'!$H215:$BG215)&lt;52,IF('Capacity summary'!AU215&lt;&gt;"",IF(LOWER('Capacity summary'!AU215)="x",$BI96*AU96,VALUE('Capacity summary'!AU215)),0),AU96*$BI96),AU96*$BI96),0)</f>
        <v>0</v>
      </c>
      <c r="CY96" s="311">
        <f>IF($BI96&lt;&gt;"",IF('Capacity summary'!$D$14="Yes",IF(COUNTBLANK('Capacity summary'!$H215:$BG215)&lt;52,IF('Capacity summary'!AV215&lt;&gt;"",IF(LOWER('Capacity summary'!AV215)="x",$BI96*AV96,VALUE('Capacity summary'!AV215)),0),AV96*$BI96),AV96*$BI96),0)</f>
        <v>0</v>
      </c>
      <c r="CZ96" s="311">
        <f>IF($BI96&lt;&gt;"",IF('Capacity summary'!$D$14="Yes",IF(COUNTBLANK('Capacity summary'!$H215:$BG215)&lt;52,IF('Capacity summary'!AW215&lt;&gt;"",IF(LOWER('Capacity summary'!AW215)="x",$BI96*AW96,VALUE('Capacity summary'!AW215)),0),AW96*$BI96),AW96*$BI96),0)</f>
        <v>0</v>
      </c>
      <c r="DA96" s="311">
        <f>IF($BI96&lt;&gt;"",IF('Capacity summary'!$D$14="Yes",IF(COUNTBLANK('Capacity summary'!$H215:$BG215)&lt;52,IF('Capacity summary'!AX215&lt;&gt;"",IF(LOWER('Capacity summary'!AX215)="x",$BI96*AX96,VALUE('Capacity summary'!AX215)),0),AX96*$BI96),AX96*$BI96),0)</f>
        <v>0</v>
      </c>
      <c r="DB96" s="311">
        <f>IF($BI96&lt;&gt;"",IF('Capacity summary'!$D$14="Yes",IF(COUNTBLANK('Capacity summary'!$H215:$BG215)&lt;52,IF('Capacity summary'!AY215&lt;&gt;"",IF(LOWER('Capacity summary'!AY215)="x",$BI96*AY96,VALUE('Capacity summary'!AY215)),0),AY96*$BI96),AY96*$BI96),0)</f>
        <v>0</v>
      </c>
      <c r="DC96" s="311">
        <f>IF($BI96&lt;&gt;"",IF('Capacity summary'!$D$14="Yes",IF(COUNTBLANK('Capacity summary'!$H215:$BG215)&lt;52,IF('Capacity summary'!AZ215&lt;&gt;"",IF(LOWER('Capacity summary'!AZ215)="x",$BI96*AZ96,VALUE('Capacity summary'!AZ215)),0),AZ96*$BI96),AZ96*$BI96),0)</f>
        <v>0</v>
      </c>
      <c r="DD96" s="311">
        <f>IF($BI96&lt;&gt;"",IF('Capacity summary'!$D$14="Yes",IF(COUNTBLANK('Capacity summary'!$H215:$BG215)&lt;52,IF('Capacity summary'!BA215&lt;&gt;"",IF(LOWER('Capacity summary'!BA215)="x",$BI96*BA96,VALUE('Capacity summary'!BA215)),0),BA96*$BI96),BA96*$BI96),0)</f>
        <v>0</v>
      </c>
      <c r="DE96" s="311">
        <f>IF($BI96&lt;&gt;"",IF('Capacity summary'!$D$14="Yes",IF(COUNTBLANK('Capacity summary'!$H215:$BG215)&lt;52,IF('Capacity summary'!BB215&lt;&gt;"",IF(LOWER('Capacity summary'!BB215)="x",$BI96*BB96,VALUE('Capacity summary'!BB215)),0),BB96*$BI96),BB96*$BI96),0)</f>
        <v>0</v>
      </c>
      <c r="DF96" s="311">
        <f>IF($BI96&lt;&gt;"",IF('Capacity summary'!$D$14="Yes",IF(COUNTBLANK('Capacity summary'!$H215:$BG215)&lt;52,IF('Capacity summary'!BC215&lt;&gt;"",IF(LOWER('Capacity summary'!BC215)="x",$BI96*BC96,VALUE('Capacity summary'!BC215)),0),BC96*$BI96),BC96*$BI96),0)</f>
        <v>0</v>
      </c>
      <c r="DG96" s="311">
        <f>IF($BI96&lt;&gt;"",IF('Capacity summary'!$D$14="Yes",IF(COUNTBLANK('Capacity summary'!$H215:$BG215)&lt;52,IF('Capacity summary'!BD215&lt;&gt;"",IF(LOWER('Capacity summary'!BD215)="x",$BI96*BD96,VALUE('Capacity summary'!BD215)),0),BD96*$BI96),BD96*$BI96),0)</f>
        <v>0</v>
      </c>
      <c r="DH96" s="311">
        <f>IF($BI96&lt;&gt;"",IF('Capacity summary'!$D$14="Yes",IF(COUNTBLANK('Capacity summary'!$H215:$BG215)&lt;52,IF('Capacity summary'!BE215&lt;&gt;"",IF(LOWER('Capacity summary'!BE215)="x",$BI96*BE96,VALUE('Capacity summary'!BE215)),0),BE96*$BI96),BE96*$BI96),0)</f>
        <v>0</v>
      </c>
      <c r="DI96" s="311">
        <f>IF($BI96&lt;&gt;"",IF('Capacity summary'!$D$14="Yes",IF(COUNTBLANK('Capacity summary'!$H215:$BG215)&lt;52,IF('Capacity summary'!BF215&lt;&gt;"",IF(LOWER('Capacity summary'!BF215)="x",$BI96*BF96,VALUE('Capacity summary'!BF215)),0),BF96*$BI96),BF96*$BI96),0)</f>
        <v>0</v>
      </c>
      <c r="DJ96" s="311">
        <f>IF($BI96&lt;&gt;"",IF('Capacity summary'!$D$14="Yes",IF(COUNTBLANK('Capacity summary'!$H215:$BG215)&lt;52,IF('Capacity summary'!BG215&lt;&gt;"",IF(LOWER('Capacity summary'!BG215)="x",$BI96*BG96,VALUE('Capacity summary'!BG215)),0),BG96*$BI96),BG96*$BI96),0)</f>
        <v>0</v>
      </c>
      <c r="DK96" s="391">
        <f t="shared" si="4"/>
        <v>0</v>
      </c>
      <c r="DL96" s="136">
        <f t="shared" si="5"/>
        <v>0</v>
      </c>
      <c r="DM96" s="311" t="str">
        <f>Capacity!H108</f>
        <v/>
      </c>
    </row>
    <row r="97" spans="1:117" x14ac:dyDescent="0.2">
      <c r="A97" s="67">
        <f>IF(Capacity!L109='Capacity summary'!BI216,1,0)</f>
        <v>1</v>
      </c>
      <c r="B97" s="67">
        <f>IF(Capacity!V109='Capacity summary'!BI116,1,0)</f>
        <v>1</v>
      </c>
      <c r="C97" s="67" t="str">
        <f>ROW(A93)&amp;". "&amp;Capacity!B109</f>
        <v xml:space="preserve">93. </v>
      </c>
      <c r="D97" s="67">
        <f>'Capacity setup'!C104</f>
        <v>0</v>
      </c>
      <c r="E97" s="67">
        <f>'Capacity setup'!D104</f>
        <v>0</v>
      </c>
      <c r="F97" s="67">
        <f>'Capacity setup'!E104</f>
        <v>0</v>
      </c>
      <c r="H97" s="67">
        <f ca="1">IF(LOWER(Capacity!$L109)="x",IF(AND(SUMIF(Capacity_Resource,$D97,'Critical resources (hide)'!U$6:U$105)+SUMIF(Capacity_Resource,$E97,'Critical resources (hide)'!U$6:U$105)+SUMIF(Capacity_Resource,$F97,'Critical resources (hide)'!U$6:U$105)&gt;0,$E$1=2),0,1),0)</f>
        <v>1</v>
      </c>
      <c r="I97" s="67">
        <f ca="1">IF(LOWER(Capacity!$L109)="x",IF(AND(SUMIF(Capacity_Resource,$D97,'Critical resources (hide)'!V$6:V$105)+SUMIF(Capacity_Resource,$E97,'Critical resources (hide)'!V$6:V$105)+SUMIF(Capacity_Resource,$F97,'Critical resources (hide)'!V$6:V$105)&gt;0,$E$1=2),0,1),0)</f>
        <v>1</v>
      </c>
      <c r="J97" s="67">
        <f ca="1">IF(LOWER(Capacity!$L109)="x",IF(AND(SUMIF(Capacity_Resource,$D97,'Critical resources (hide)'!W$6:W$105)+SUMIF(Capacity_Resource,$E97,'Critical resources (hide)'!W$6:W$105)+SUMIF(Capacity_Resource,$F97,'Critical resources (hide)'!W$6:W$105)&gt;0,$E$1=2),0,1),0)</f>
        <v>1</v>
      </c>
      <c r="K97" s="67">
        <f ca="1">IF(LOWER(Capacity!$L109)="x",IF(AND(SUMIF(Capacity_Resource,$D97,'Critical resources (hide)'!X$6:X$105)+SUMIF(Capacity_Resource,$E97,'Critical resources (hide)'!X$6:X$105)+SUMIF(Capacity_Resource,$F97,'Critical resources (hide)'!X$6:X$105)&gt;0,$E$1=2),0,1),0)</f>
        <v>1</v>
      </c>
      <c r="L97" s="67">
        <f ca="1">IF(LOWER(Capacity!$L109)="x",IF(AND(SUMIF(Capacity_Resource,$D97,'Critical resources (hide)'!Y$6:Y$105)+SUMIF(Capacity_Resource,$E97,'Critical resources (hide)'!Y$6:Y$105)+SUMIF(Capacity_Resource,$F97,'Critical resources (hide)'!Y$6:Y$105)&gt;0,$E$1=2),0,1),0)</f>
        <v>1</v>
      </c>
      <c r="M97" s="67">
        <f ca="1">IF(LOWER(Capacity!$L109)="x",IF(AND(SUMIF(Capacity_Resource,$D97,'Critical resources (hide)'!Z$6:Z$105)+SUMIF(Capacity_Resource,$E97,'Critical resources (hide)'!Z$6:Z$105)+SUMIF(Capacity_Resource,$F97,'Critical resources (hide)'!Z$6:Z$105)&gt;0,$E$1=2),0,1),0)</f>
        <v>1</v>
      </c>
      <c r="N97" s="67">
        <f ca="1">IF(LOWER(Capacity!$L109)="x",IF(AND(SUMIF(Capacity_Resource,$D97,'Critical resources (hide)'!AA$6:AA$105)+SUMIF(Capacity_Resource,$E97,'Critical resources (hide)'!AA$6:AA$105)+SUMIF(Capacity_Resource,$F97,'Critical resources (hide)'!AA$6:AA$105)&gt;0,$E$1=2),0,1),0)</f>
        <v>1</v>
      </c>
      <c r="O97" s="67">
        <f ca="1">IF(LOWER(Capacity!$L109)="x",IF(AND(SUMIF(Capacity_Resource,$D97,'Critical resources (hide)'!AB$6:AB$105)+SUMIF(Capacity_Resource,$E97,'Critical resources (hide)'!AB$6:AB$105)+SUMIF(Capacity_Resource,$F97,'Critical resources (hide)'!AB$6:AB$105)&gt;0,$E$1=2),0,1),0)</f>
        <v>1</v>
      </c>
      <c r="P97" s="67">
        <f ca="1">IF(LOWER(Capacity!$L109)="x",IF(AND(SUMIF(Capacity_Resource,$D97,'Critical resources (hide)'!AC$6:AC$105)+SUMIF(Capacity_Resource,$E97,'Critical resources (hide)'!AC$6:AC$105)+SUMIF(Capacity_Resource,$F97,'Critical resources (hide)'!AC$6:AC$105)&gt;0,$E$1=2),0,1),0)</f>
        <v>1</v>
      </c>
      <c r="Q97" s="67">
        <f ca="1">IF(LOWER(Capacity!$L109)="x",IF(AND(SUMIF(Capacity_Resource,$D97,'Critical resources (hide)'!AD$6:AD$105)+SUMIF(Capacity_Resource,$E97,'Critical resources (hide)'!AD$6:AD$105)+SUMIF(Capacity_Resource,$F97,'Critical resources (hide)'!AD$6:AD$105)&gt;0,$E$1=2),0,1),0)</f>
        <v>1</v>
      </c>
      <c r="R97" s="67">
        <f ca="1">IF(LOWER(Capacity!$L109)="x",IF(AND(SUMIF(Capacity_Resource,$D97,'Critical resources (hide)'!AE$6:AE$105)+SUMIF(Capacity_Resource,$E97,'Critical resources (hide)'!AE$6:AE$105)+SUMIF(Capacity_Resource,$F97,'Critical resources (hide)'!AE$6:AE$105)&gt;0,$E$1=2),0,1),0)</f>
        <v>1</v>
      </c>
      <c r="S97" s="67">
        <f ca="1">IF(LOWER(Capacity!$L109)="x",IF(AND(SUMIF(Capacity_Resource,$D97,'Critical resources (hide)'!AF$6:AF$105)+SUMIF(Capacity_Resource,$E97,'Critical resources (hide)'!AF$6:AF$105)+SUMIF(Capacity_Resource,$F97,'Critical resources (hide)'!AF$6:AF$105)&gt;0,$E$1=2),0,1),0)</f>
        <v>1</v>
      </c>
      <c r="T97" s="67">
        <f ca="1">IF(LOWER(Capacity!$L109)="x",IF(AND(SUMIF(Capacity_Resource,$D97,'Critical resources (hide)'!AG$6:AG$105)+SUMIF(Capacity_Resource,$E97,'Critical resources (hide)'!AG$6:AG$105)+SUMIF(Capacity_Resource,$F97,'Critical resources (hide)'!AG$6:AG$105)&gt;0,$E$1=2),0,1),0)</f>
        <v>1</v>
      </c>
      <c r="U97" s="67">
        <f ca="1">IF(LOWER(Capacity!$L109)="x",IF(AND(SUMIF(Capacity_Resource,$D97,'Critical resources (hide)'!AH$6:AH$105)+SUMIF(Capacity_Resource,$E97,'Critical resources (hide)'!AH$6:AH$105)+SUMIF(Capacity_Resource,$F97,'Critical resources (hide)'!AH$6:AH$105)&gt;0,$E$1=2),0,1),0)</f>
        <v>1</v>
      </c>
      <c r="V97" s="67">
        <f ca="1">IF(LOWER(Capacity!$L109)="x",IF(AND(SUMIF(Capacity_Resource,$D97,'Critical resources (hide)'!AI$6:AI$105)+SUMIF(Capacity_Resource,$E97,'Critical resources (hide)'!AI$6:AI$105)+SUMIF(Capacity_Resource,$F97,'Critical resources (hide)'!AI$6:AI$105)&gt;0,$E$1=2),0,1),0)</f>
        <v>1</v>
      </c>
      <c r="W97" s="67">
        <f ca="1">IF(LOWER(Capacity!$L109)="x",IF(AND(SUMIF(Capacity_Resource,$D97,'Critical resources (hide)'!AJ$6:AJ$105)+SUMIF(Capacity_Resource,$E97,'Critical resources (hide)'!AJ$6:AJ$105)+SUMIF(Capacity_Resource,$F97,'Critical resources (hide)'!AJ$6:AJ$105)&gt;0,$E$1=2),0,1),0)</f>
        <v>1</v>
      </c>
      <c r="X97" s="67">
        <f ca="1">IF(LOWER(Capacity!$L109)="x",IF(AND(SUMIF(Capacity_Resource,$D97,'Critical resources (hide)'!AK$6:AK$105)+SUMIF(Capacity_Resource,$E97,'Critical resources (hide)'!AK$6:AK$105)+SUMIF(Capacity_Resource,$F97,'Critical resources (hide)'!AK$6:AK$105)&gt;0,$E$1=2),0,1),0)</f>
        <v>1</v>
      </c>
      <c r="Y97" s="67">
        <f ca="1">IF(LOWER(Capacity!$L109)="x",IF(AND(SUMIF(Capacity_Resource,$D97,'Critical resources (hide)'!AL$6:AL$105)+SUMIF(Capacity_Resource,$E97,'Critical resources (hide)'!AL$6:AL$105)+SUMIF(Capacity_Resource,$F97,'Critical resources (hide)'!AL$6:AL$105)&gt;0,$E$1=2),0,1),0)</f>
        <v>1</v>
      </c>
      <c r="Z97" s="67">
        <f ca="1">IF(LOWER(Capacity!$L109)="x",IF(AND(SUMIF(Capacity_Resource,$D97,'Critical resources (hide)'!AM$6:AM$105)+SUMIF(Capacity_Resource,$E97,'Critical resources (hide)'!AM$6:AM$105)+SUMIF(Capacity_Resource,$F97,'Critical resources (hide)'!AM$6:AM$105)&gt;0,$E$1=2),0,1),0)</f>
        <v>1</v>
      </c>
      <c r="AA97" s="67">
        <f ca="1">IF(LOWER(Capacity!$L109)="x",IF(AND(SUMIF(Capacity_Resource,$D97,'Critical resources (hide)'!AN$6:AN$105)+SUMIF(Capacity_Resource,$E97,'Critical resources (hide)'!AN$6:AN$105)+SUMIF(Capacity_Resource,$F97,'Critical resources (hide)'!AN$6:AN$105)&gt;0,$E$1=2),0,1),0)</f>
        <v>1</v>
      </c>
      <c r="AB97" s="67">
        <f ca="1">IF(LOWER(Capacity!$L109)="x",IF(AND(SUMIF(Capacity_Resource,$D97,'Critical resources (hide)'!AO$6:AO$105)+SUMIF(Capacity_Resource,$E97,'Critical resources (hide)'!AO$6:AO$105)+SUMIF(Capacity_Resource,$F97,'Critical resources (hide)'!AO$6:AO$105)&gt;0,$E$1=2),0,1),0)</f>
        <v>1</v>
      </c>
      <c r="AC97" s="67">
        <f ca="1">IF(LOWER(Capacity!$L109)="x",IF(AND(SUMIF(Capacity_Resource,$D97,'Critical resources (hide)'!AP$6:AP$105)+SUMIF(Capacity_Resource,$E97,'Critical resources (hide)'!AP$6:AP$105)+SUMIF(Capacity_Resource,$F97,'Critical resources (hide)'!AP$6:AP$105)&gt;0,$E$1=2),0,1),0)</f>
        <v>1</v>
      </c>
      <c r="AD97" s="67">
        <f ca="1">IF(LOWER(Capacity!$L109)="x",IF(AND(SUMIF(Capacity_Resource,$D97,'Critical resources (hide)'!AQ$6:AQ$105)+SUMIF(Capacity_Resource,$E97,'Critical resources (hide)'!AQ$6:AQ$105)+SUMIF(Capacity_Resource,$F97,'Critical resources (hide)'!AQ$6:AQ$105)&gt;0,$E$1=2),0,1),0)</f>
        <v>1</v>
      </c>
      <c r="AE97" s="67">
        <f ca="1">IF(LOWER(Capacity!$L109)="x",IF(AND(SUMIF(Capacity_Resource,$D97,'Critical resources (hide)'!AR$6:AR$105)+SUMIF(Capacity_Resource,$E97,'Critical resources (hide)'!AR$6:AR$105)+SUMIF(Capacity_Resource,$F97,'Critical resources (hide)'!AR$6:AR$105)&gt;0,$E$1=2),0,1),0)</f>
        <v>1</v>
      </c>
      <c r="AF97" s="67">
        <f ca="1">IF(LOWER(Capacity!$L109)="x",IF(AND(SUMIF(Capacity_Resource,$D97,'Critical resources (hide)'!AS$6:AS$105)+SUMIF(Capacity_Resource,$E97,'Critical resources (hide)'!AS$6:AS$105)+SUMIF(Capacity_Resource,$F97,'Critical resources (hide)'!AS$6:AS$105)&gt;0,$E$1=2),0,1),0)</f>
        <v>1</v>
      </c>
      <c r="AG97" s="67">
        <f ca="1">IF(LOWER(Capacity!$L109)="x",IF(AND(SUMIF(Capacity_Resource,$D97,'Critical resources (hide)'!AT$6:AT$105)+SUMIF(Capacity_Resource,$E97,'Critical resources (hide)'!AT$6:AT$105)+SUMIF(Capacity_Resource,$F97,'Critical resources (hide)'!AT$6:AT$105)&gt;0,$E$1=2),0,1),0)</f>
        <v>1</v>
      </c>
      <c r="AH97" s="67">
        <f ca="1">IF(LOWER(Capacity!$L109)="x",IF(AND(SUMIF(Capacity_Resource,$D97,'Critical resources (hide)'!AU$6:AU$105)+SUMIF(Capacity_Resource,$E97,'Critical resources (hide)'!AU$6:AU$105)+SUMIF(Capacity_Resource,$F97,'Critical resources (hide)'!AU$6:AU$105)&gt;0,$E$1=2),0,1),0)</f>
        <v>1</v>
      </c>
      <c r="AI97" s="67">
        <f ca="1">IF(LOWER(Capacity!$L109)="x",IF(AND(SUMIF(Capacity_Resource,$D97,'Critical resources (hide)'!AV$6:AV$105)+SUMIF(Capacity_Resource,$E97,'Critical resources (hide)'!AV$6:AV$105)+SUMIF(Capacity_Resource,$F97,'Critical resources (hide)'!AV$6:AV$105)&gt;0,$E$1=2),0,1),0)</f>
        <v>1</v>
      </c>
      <c r="AJ97" s="67">
        <f ca="1">IF(LOWER(Capacity!$L109)="x",IF(AND(SUMIF(Capacity_Resource,$D97,'Critical resources (hide)'!AW$6:AW$105)+SUMIF(Capacity_Resource,$E97,'Critical resources (hide)'!AW$6:AW$105)+SUMIF(Capacity_Resource,$F97,'Critical resources (hide)'!AW$6:AW$105)&gt;0,$E$1=2),0,1),0)</f>
        <v>1</v>
      </c>
      <c r="AK97" s="67">
        <f ca="1">IF(LOWER(Capacity!$L109)="x",IF(AND(SUMIF(Capacity_Resource,$D97,'Critical resources (hide)'!AX$6:AX$105)+SUMIF(Capacity_Resource,$E97,'Critical resources (hide)'!AX$6:AX$105)+SUMIF(Capacity_Resource,$F97,'Critical resources (hide)'!AX$6:AX$105)&gt;0,$E$1=2),0,1),0)</f>
        <v>1</v>
      </c>
      <c r="AL97" s="67">
        <f ca="1">IF(LOWER(Capacity!$L109)="x",IF(AND(SUMIF(Capacity_Resource,$D97,'Critical resources (hide)'!AY$6:AY$105)+SUMIF(Capacity_Resource,$E97,'Critical resources (hide)'!AY$6:AY$105)+SUMIF(Capacity_Resource,$F97,'Critical resources (hide)'!AY$6:AY$105)&gt;0,$E$1=2),0,1),0)</f>
        <v>1</v>
      </c>
      <c r="AM97" s="67">
        <f ca="1">IF(LOWER(Capacity!$L109)="x",IF(AND(SUMIF(Capacity_Resource,$D97,'Critical resources (hide)'!AZ$6:AZ$105)+SUMIF(Capacity_Resource,$E97,'Critical resources (hide)'!AZ$6:AZ$105)+SUMIF(Capacity_Resource,$F97,'Critical resources (hide)'!AZ$6:AZ$105)&gt;0,$E$1=2),0,1),0)</f>
        <v>1</v>
      </c>
      <c r="AN97" s="67">
        <f ca="1">IF(LOWER(Capacity!$L109)="x",IF(AND(SUMIF(Capacity_Resource,$D97,'Critical resources (hide)'!BA$6:BA$105)+SUMIF(Capacity_Resource,$E97,'Critical resources (hide)'!BA$6:BA$105)+SUMIF(Capacity_Resource,$F97,'Critical resources (hide)'!BA$6:BA$105)&gt;0,$E$1=2),0,1),0)</f>
        <v>1</v>
      </c>
      <c r="AO97" s="67">
        <f ca="1">IF(LOWER(Capacity!$L109)="x",IF(AND(SUMIF(Capacity_Resource,$D97,'Critical resources (hide)'!BB$6:BB$105)+SUMIF(Capacity_Resource,$E97,'Critical resources (hide)'!BB$6:BB$105)+SUMIF(Capacity_Resource,$F97,'Critical resources (hide)'!BB$6:BB$105)&gt;0,$E$1=2),0,1),0)</f>
        <v>1</v>
      </c>
      <c r="AP97" s="67">
        <f ca="1">IF(LOWER(Capacity!$L109)="x",IF(AND(SUMIF(Capacity_Resource,$D97,'Critical resources (hide)'!BC$6:BC$105)+SUMIF(Capacity_Resource,$E97,'Critical resources (hide)'!BC$6:BC$105)+SUMIF(Capacity_Resource,$F97,'Critical resources (hide)'!BC$6:BC$105)&gt;0,$E$1=2),0,1),0)</f>
        <v>1</v>
      </c>
      <c r="AQ97" s="67">
        <f ca="1">IF(LOWER(Capacity!$L109)="x",IF(AND(SUMIF(Capacity_Resource,$D97,'Critical resources (hide)'!BD$6:BD$105)+SUMIF(Capacity_Resource,$E97,'Critical resources (hide)'!BD$6:BD$105)+SUMIF(Capacity_Resource,$F97,'Critical resources (hide)'!BD$6:BD$105)&gt;0,$E$1=2),0,1),0)</f>
        <v>1</v>
      </c>
      <c r="AR97" s="67">
        <f ca="1">IF(LOWER(Capacity!$L109)="x",IF(AND(SUMIF(Capacity_Resource,$D97,'Critical resources (hide)'!BE$6:BE$105)+SUMIF(Capacity_Resource,$E97,'Critical resources (hide)'!BE$6:BE$105)+SUMIF(Capacity_Resource,$F97,'Critical resources (hide)'!BE$6:BE$105)&gt;0,$E$1=2),0,1),0)</f>
        <v>1</v>
      </c>
      <c r="AS97" s="67">
        <f ca="1">IF(LOWER(Capacity!$L109)="x",IF(AND(SUMIF(Capacity_Resource,$D97,'Critical resources (hide)'!BF$6:BF$105)+SUMIF(Capacity_Resource,$E97,'Critical resources (hide)'!BF$6:BF$105)+SUMIF(Capacity_Resource,$F97,'Critical resources (hide)'!BF$6:BF$105)&gt;0,$E$1=2),0,1),0)</f>
        <v>1</v>
      </c>
      <c r="AT97" s="67">
        <f ca="1">IF(LOWER(Capacity!$L109)="x",IF(AND(SUMIF(Capacity_Resource,$D97,'Critical resources (hide)'!BG$6:BG$105)+SUMIF(Capacity_Resource,$E97,'Critical resources (hide)'!BG$6:BG$105)+SUMIF(Capacity_Resource,$F97,'Critical resources (hide)'!BG$6:BG$105)&gt;0,$E$1=2),0,1),0)</f>
        <v>1</v>
      </c>
      <c r="AU97" s="67">
        <f ca="1">IF(LOWER(Capacity!$L109)="x",IF(AND(SUMIF(Capacity_Resource,$D97,'Critical resources (hide)'!BH$6:BH$105)+SUMIF(Capacity_Resource,$E97,'Critical resources (hide)'!BH$6:BH$105)+SUMIF(Capacity_Resource,$F97,'Critical resources (hide)'!BH$6:BH$105)&gt;0,$E$1=2),0,1),0)</f>
        <v>1</v>
      </c>
      <c r="AV97" s="67">
        <f ca="1">IF(LOWER(Capacity!$L109)="x",IF(AND(SUMIF(Capacity_Resource,$D97,'Critical resources (hide)'!BI$6:BI$105)+SUMIF(Capacity_Resource,$E97,'Critical resources (hide)'!BI$6:BI$105)+SUMIF(Capacity_Resource,$F97,'Critical resources (hide)'!BI$6:BI$105)&gt;0,$E$1=2),0,1),0)</f>
        <v>1</v>
      </c>
      <c r="AW97" s="67">
        <f ca="1">IF(LOWER(Capacity!$L109)="x",IF(AND(SUMIF(Capacity_Resource,$D97,'Critical resources (hide)'!BJ$6:BJ$105)+SUMIF(Capacity_Resource,$E97,'Critical resources (hide)'!BJ$6:BJ$105)+SUMIF(Capacity_Resource,$F97,'Critical resources (hide)'!BJ$6:BJ$105)&gt;0,$E$1=2),0,1),0)</f>
        <v>1</v>
      </c>
      <c r="AX97" s="67">
        <f ca="1">IF(LOWER(Capacity!$L109)="x",IF(AND(SUMIF(Capacity_Resource,$D97,'Critical resources (hide)'!BK$6:BK$105)+SUMIF(Capacity_Resource,$E97,'Critical resources (hide)'!BK$6:BK$105)+SUMIF(Capacity_Resource,$F97,'Critical resources (hide)'!BK$6:BK$105)&gt;0,$E$1=2),0,1),0)</f>
        <v>1</v>
      </c>
      <c r="AY97" s="67">
        <f ca="1">IF(LOWER(Capacity!$L109)="x",IF(AND(SUMIF(Capacity_Resource,$D97,'Critical resources (hide)'!BL$6:BL$105)+SUMIF(Capacity_Resource,$E97,'Critical resources (hide)'!BL$6:BL$105)+SUMIF(Capacity_Resource,$F97,'Critical resources (hide)'!BL$6:BL$105)&gt;0,$E$1=2),0,1),0)</f>
        <v>1</v>
      </c>
      <c r="AZ97" s="67">
        <f ca="1">IF(LOWER(Capacity!$L109)="x",IF(AND(SUMIF(Capacity_Resource,$D97,'Critical resources (hide)'!BM$6:BM$105)+SUMIF(Capacity_Resource,$E97,'Critical resources (hide)'!BM$6:BM$105)+SUMIF(Capacity_Resource,$F97,'Critical resources (hide)'!BM$6:BM$105)&gt;0,$E$1=2),0,1),0)</f>
        <v>1</v>
      </c>
      <c r="BA97" s="67">
        <f ca="1">IF(LOWER(Capacity!$L109)="x",IF(AND(SUMIF(Capacity_Resource,$D97,'Critical resources (hide)'!BN$6:BN$105)+SUMIF(Capacity_Resource,$E97,'Critical resources (hide)'!BN$6:BN$105)+SUMIF(Capacity_Resource,$F97,'Critical resources (hide)'!BN$6:BN$105)&gt;0,$E$1=2),0,1),0)</f>
        <v>1</v>
      </c>
      <c r="BB97" s="67">
        <f ca="1">IF(LOWER(Capacity!$L109)="x",IF(AND(SUMIF(Capacity_Resource,$D97,'Critical resources (hide)'!BO$6:BO$105)+SUMIF(Capacity_Resource,$E97,'Critical resources (hide)'!BO$6:BO$105)+SUMIF(Capacity_Resource,$F97,'Critical resources (hide)'!BO$6:BO$105)&gt;0,$E$1=2),0,1),0)</f>
        <v>1</v>
      </c>
      <c r="BC97" s="67">
        <f ca="1">IF(LOWER(Capacity!$L109)="x",IF(AND(SUMIF(Capacity_Resource,$D97,'Critical resources (hide)'!BP$6:BP$105)+SUMIF(Capacity_Resource,$E97,'Critical resources (hide)'!BP$6:BP$105)+SUMIF(Capacity_Resource,$F97,'Critical resources (hide)'!BP$6:BP$105)&gt;0,$E$1=2),0,1),0)</f>
        <v>1</v>
      </c>
      <c r="BD97" s="67">
        <f ca="1">IF(LOWER(Capacity!$L109)="x",IF(AND(SUMIF(Capacity_Resource,$D97,'Critical resources (hide)'!BQ$6:BQ$105)+SUMIF(Capacity_Resource,$E97,'Critical resources (hide)'!BQ$6:BQ$105)+SUMIF(Capacity_Resource,$F97,'Critical resources (hide)'!BQ$6:BQ$105)&gt;0,$E$1=2),0,1),0)</f>
        <v>1</v>
      </c>
      <c r="BE97" s="67">
        <f ca="1">IF(LOWER(Capacity!$L109)="x",IF(AND(SUMIF(Capacity_Resource,$D97,'Critical resources (hide)'!BR$6:BR$105)+SUMIF(Capacity_Resource,$E97,'Critical resources (hide)'!BR$6:BR$105)+SUMIF(Capacity_Resource,$F97,'Critical resources (hide)'!BR$6:BR$105)&gt;0,$E$1=2),0,1),0)</f>
        <v>1</v>
      </c>
      <c r="BF97" s="67">
        <f ca="1">IF(LOWER(Capacity!$L109)="x",IF(AND(SUMIF(Capacity_Resource,$D97,'Critical resources (hide)'!BS$6:BS$105)+SUMIF(Capacity_Resource,$E97,'Critical resources (hide)'!BS$6:BS$105)+SUMIF(Capacity_Resource,$F97,'Critical resources (hide)'!BS$6:BS$105)&gt;0,$E$1=2),0,1),0)</f>
        <v>1</v>
      </c>
      <c r="BG97" s="67">
        <f ca="1">IF(LOWER(Capacity!$L109)="x",IF(AND(SUMIF(Capacity_Resource,$D97,'Critical resources (hide)'!BT$6:BT$105)+SUMIF(Capacity_Resource,$E97,'Critical resources (hide)'!BT$6:BT$105)+SUMIF(Capacity_Resource,$F97,'Critical resources (hide)'!BT$6:BT$105)&gt;0,$E$1=2),0,1),0)</f>
        <v>1</v>
      </c>
      <c r="BH97" s="67">
        <f>IF(ROW(C93)&lt;=Capacity!$A$16,IF('Capacity summary'!$D$14="No",SUM(H97:BG97),'Capacity summary'!$E216),0)</f>
        <v>0</v>
      </c>
      <c r="BI97" s="5" t="str">
        <f>IF(BH97&gt;0,IF(BH97&lt;Capacity!E109,Capacity!F109,Capacity!H109/'Capacity calculation (hide)'!BH97),"")</f>
        <v/>
      </c>
      <c r="BK97" s="311">
        <f>IF($BI97&lt;&gt;"",IF('Capacity summary'!$D$14="Yes",IF(COUNTBLANK('Capacity summary'!$H216:$BG216)&lt;52,IF('Capacity summary'!H216&lt;&gt;"",IF(LOWER('Capacity summary'!H216)="x",$BI97*H97,VALUE('Capacity summary'!H216)),0),H97*$BI97),H97*$BI97),0)</f>
        <v>0</v>
      </c>
      <c r="BL97" s="311">
        <f>IF($BI97&lt;&gt;"",IF('Capacity summary'!$D$14="Yes",IF(COUNTBLANK('Capacity summary'!$H216:$BG216)&lt;52,IF('Capacity summary'!I216&lt;&gt;"",IF(LOWER('Capacity summary'!I216)="x",$BI97*I97,VALUE('Capacity summary'!I216)),0),I97*$BI97),I97*$BI97),0)</f>
        <v>0</v>
      </c>
      <c r="BM97" s="311">
        <f>IF($BI97&lt;&gt;"",IF('Capacity summary'!$D$14="Yes",IF(COUNTBLANK('Capacity summary'!$H216:$BG216)&lt;52,IF('Capacity summary'!J216&lt;&gt;"",IF(LOWER('Capacity summary'!J216)="x",$BI97*J97,VALUE('Capacity summary'!J216)),0),J97*$BI97),J97*$BI97),0)</f>
        <v>0</v>
      </c>
      <c r="BN97" s="311">
        <f>IF($BI97&lt;&gt;"",IF('Capacity summary'!$D$14="Yes",IF(COUNTBLANK('Capacity summary'!$H216:$BG216)&lt;52,IF('Capacity summary'!K216&lt;&gt;"",IF(LOWER('Capacity summary'!K216)="x",$BI97*K97,VALUE('Capacity summary'!K216)),0),K97*$BI97),K97*$BI97),0)</f>
        <v>0</v>
      </c>
      <c r="BO97" s="311">
        <f>IF($BI97&lt;&gt;"",IF('Capacity summary'!$D$14="Yes",IF(COUNTBLANK('Capacity summary'!$H216:$BG216)&lt;52,IF('Capacity summary'!L216&lt;&gt;"",IF(LOWER('Capacity summary'!L216)="x",$BI97*L97,VALUE('Capacity summary'!L216)),0),L97*$BI97),L97*$BI97),0)</f>
        <v>0</v>
      </c>
      <c r="BP97" s="311">
        <f>IF($BI97&lt;&gt;"",IF('Capacity summary'!$D$14="Yes",IF(COUNTBLANK('Capacity summary'!$H216:$BG216)&lt;52,IF('Capacity summary'!M216&lt;&gt;"",IF(LOWER('Capacity summary'!M216)="x",$BI97*M97,VALUE('Capacity summary'!M216)),0),M97*$BI97),M97*$BI97),0)</f>
        <v>0</v>
      </c>
      <c r="BQ97" s="311">
        <f>IF($BI97&lt;&gt;"",IF('Capacity summary'!$D$14="Yes",IF(COUNTBLANK('Capacity summary'!$H216:$BG216)&lt;52,IF('Capacity summary'!N216&lt;&gt;"",IF(LOWER('Capacity summary'!N216)="x",$BI97*N97,VALUE('Capacity summary'!N216)),0),N97*$BI97),N97*$BI97),0)</f>
        <v>0</v>
      </c>
      <c r="BR97" s="311">
        <f>IF($BI97&lt;&gt;"",IF('Capacity summary'!$D$14="Yes",IF(COUNTBLANK('Capacity summary'!$H216:$BG216)&lt;52,IF('Capacity summary'!O216&lt;&gt;"",IF(LOWER('Capacity summary'!O216)="x",$BI97*O97,VALUE('Capacity summary'!O216)),0),O97*$BI97),O97*$BI97),0)</f>
        <v>0</v>
      </c>
      <c r="BS97" s="311">
        <f>IF($BI97&lt;&gt;"",IF('Capacity summary'!$D$14="Yes",IF(COUNTBLANK('Capacity summary'!$H216:$BG216)&lt;52,IF('Capacity summary'!P216&lt;&gt;"",IF(LOWER('Capacity summary'!P216)="x",$BI97*P97,VALUE('Capacity summary'!P216)),0),P97*$BI97),P97*$BI97),0)</f>
        <v>0</v>
      </c>
      <c r="BT97" s="311">
        <f>IF($BI97&lt;&gt;"",IF('Capacity summary'!$D$14="Yes",IF(COUNTBLANK('Capacity summary'!$H216:$BG216)&lt;52,IF('Capacity summary'!Q216&lt;&gt;"",IF(LOWER('Capacity summary'!Q216)="x",$BI97*Q97,VALUE('Capacity summary'!Q216)),0),Q97*$BI97),Q97*$BI97),0)</f>
        <v>0</v>
      </c>
      <c r="BU97" s="311">
        <f>IF($BI97&lt;&gt;"",IF('Capacity summary'!$D$14="Yes",IF(COUNTBLANK('Capacity summary'!$H216:$BG216)&lt;52,IF('Capacity summary'!R216&lt;&gt;"",IF(LOWER('Capacity summary'!R216)="x",$BI97*R97,VALUE('Capacity summary'!R216)),0),R97*$BI97),R97*$BI97),0)</f>
        <v>0</v>
      </c>
      <c r="BV97" s="311">
        <f>IF($BI97&lt;&gt;"",IF('Capacity summary'!$D$14="Yes",IF(COUNTBLANK('Capacity summary'!$H216:$BG216)&lt;52,IF('Capacity summary'!S216&lt;&gt;"",IF(LOWER('Capacity summary'!S216)="x",$BI97*S97,VALUE('Capacity summary'!S216)),0),S97*$BI97),S97*$BI97),0)</f>
        <v>0</v>
      </c>
      <c r="BW97" s="311">
        <f>IF($BI97&lt;&gt;"",IF('Capacity summary'!$D$14="Yes",IF(COUNTBLANK('Capacity summary'!$H216:$BG216)&lt;52,IF('Capacity summary'!T216&lt;&gt;"",IF(LOWER('Capacity summary'!T216)="x",$BI97*T97,VALUE('Capacity summary'!T216)),0),T97*$BI97),T97*$BI97),0)</f>
        <v>0</v>
      </c>
      <c r="BX97" s="311">
        <f>IF($BI97&lt;&gt;"",IF('Capacity summary'!$D$14="Yes",IF(COUNTBLANK('Capacity summary'!$H216:$BG216)&lt;52,IF('Capacity summary'!U216&lt;&gt;"",IF(LOWER('Capacity summary'!U216)="x",$BI97*U97,VALUE('Capacity summary'!U216)),0),U97*$BI97),U97*$BI97),0)</f>
        <v>0</v>
      </c>
      <c r="BY97" s="311">
        <f>IF($BI97&lt;&gt;"",IF('Capacity summary'!$D$14="Yes",IF(COUNTBLANK('Capacity summary'!$H216:$BG216)&lt;52,IF('Capacity summary'!V216&lt;&gt;"",IF(LOWER('Capacity summary'!V216)="x",$BI97*V97,VALUE('Capacity summary'!V216)),0),V97*$BI97),V97*$BI97),0)</f>
        <v>0</v>
      </c>
      <c r="BZ97" s="311">
        <f>IF($BI97&lt;&gt;"",IF('Capacity summary'!$D$14="Yes",IF(COUNTBLANK('Capacity summary'!$H216:$BG216)&lt;52,IF('Capacity summary'!W216&lt;&gt;"",IF(LOWER('Capacity summary'!W216)="x",$BI97*W97,VALUE('Capacity summary'!W216)),0),W97*$BI97),W97*$BI97),0)</f>
        <v>0</v>
      </c>
      <c r="CA97" s="311">
        <f>IF($BI97&lt;&gt;"",IF('Capacity summary'!$D$14="Yes",IF(COUNTBLANK('Capacity summary'!$H216:$BG216)&lt;52,IF('Capacity summary'!X216&lt;&gt;"",IF(LOWER('Capacity summary'!X216)="x",$BI97*X97,VALUE('Capacity summary'!X216)),0),X97*$BI97),X97*$BI97),0)</f>
        <v>0</v>
      </c>
      <c r="CB97" s="311">
        <f>IF($BI97&lt;&gt;"",IF('Capacity summary'!$D$14="Yes",IF(COUNTBLANK('Capacity summary'!$H216:$BG216)&lt;52,IF('Capacity summary'!Y216&lt;&gt;"",IF(LOWER('Capacity summary'!Y216)="x",$BI97*Y97,VALUE('Capacity summary'!Y216)),0),Y97*$BI97),Y97*$BI97),0)</f>
        <v>0</v>
      </c>
      <c r="CC97" s="311">
        <f>IF($BI97&lt;&gt;"",IF('Capacity summary'!$D$14="Yes",IF(COUNTBLANK('Capacity summary'!$H216:$BG216)&lt;52,IF('Capacity summary'!Z216&lt;&gt;"",IF(LOWER('Capacity summary'!Z216)="x",$BI97*Z97,VALUE('Capacity summary'!Z216)),0),Z97*$BI97),Z97*$BI97),0)</f>
        <v>0</v>
      </c>
      <c r="CD97" s="311">
        <f>IF($BI97&lt;&gt;"",IF('Capacity summary'!$D$14="Yes",IF(COUNTBLANK('Capacity summary'!$H216:$BG216)&lt;52,IF('Capacity summary'!AA216&lt;&gt;"",IF(LOWER('Capacity summary'!AA216)="x",$BI97*AA97,VALUE('Capacity summary'!AA216)),0),AA97*$BI97),AA97*$BI97),0)</f>
        <v>0</v>
      </c>
      <c r="CE97" s="311">
        <f>IF($BI97&lt;&gt;"",IF('Capacity summary'!$D$14="Yes",IF(COUNTBLANK('Capacity summary'!$H216:$BG216)&lt;52,IF('Capacity summary'!AB216&lt;&gt;"",IF(LOWER('Capacity summary'!AB216)="x",$BI97*AB97,VALUE('Capacity summary'!AB216)),0),AB97*$BI97),AB97*$BI97),0)</f>
        <v>0</v>
      </c>
      <c r="CF97" s="311">
        <f>IF($BI97&lt;&gt;"",IF('Capacity summary'!$D$14="Yes",IF(COUNTBLANK('Capacity summary'!$H216:$BG216)&lt;52,IF('Capacity summary'!AC216&lt;&gt;"",IF(LOWER('Capacity summary'!AC216)="x",$BI97*AC97,VALUE('Capacity summary'!AC216)),0),AC97*$BI97),AC97*$BI97),0)</f>
        <v>0</v>
      </c>
      <c r="CG97" s="311">
        <f>IF($BI97&lt;&gt;"",IF('Capacity summary'!$D$14="Yes",IF(COUNTBLANK('Capacity summary'!$H216:$BG216)&lt;52,IF('Capacity summary'!AD216&lt;&gt;"",IF(LOWER('Capacity summary'!AD216)="x",$BI97*AD97,VALUE('Capacity summary'!AD216)),0),AD97*$BI97),AD97*$BI97),0)</f>
        <v>0</v>
      </c>
      <c r="CH97" s="311">
        <f>IF($BI97&lt;&gt;"",IF('Capacity summary'!$D$14="Yes",IF(COUNTBLANK('Capacity summary'!$H216:$BG216)&lt;52,IF('Capacity summary'!AE216&lt;&gt;"",IF(LOWER('Capacity summary'!AE216)="x",$BI97*AE97,VALUE('Capacity summary'!AE216)),0),AE97*$BI97),AE97*$BI97),0)</f>
        <v>0</v>
      </c>
      <c r="CI97" s="311">
        <f>IF($BI97&lt;&gt;"",IF('Capacity summary'!$D$14="Yes",IF(COUNTBLANK('Capacity summary'!$H216:$BG216)&lt;52,IF('Capacity summary'!AF216&lt;&gt;"",IF(LOWER('Capacity summary'!AF216)="x",$BI97*AF97,VALUE('Capacity summary'!AF216)),0),AF97*$BI97),AF97*$BI97),0)</f>
        <v>0</v>
      </c>
      <c r="CJ97" s="311">
        <f>IF($BI97&lt;&gt;"",IF('Capacity summary'!$D$14="Yes",IF(COUNTBLANK('Capacity summary'!$H216:$BG216)&lt;52,IF('Capacity summary'!AG216&lt;&gt;"",IF(LOWER('Capacity summary'!AG216)="x",$BI97*AG97,VALUE('Capacity summary'!AG216)),0),AG97*$BI97),AG97*$BI97),0)</f>
        <v>0</v>
      </c>
      <c r="CK97" s="311">
        <f>IF($BI97&lt;&gt;"",IF('Capacity summary'!$D$14="Yes",IF(COUNTBLANK('Capacity summary'!$H216:$BG216)&lt;52,IF('Capacity summary'!AH216&lt;&gt;"",IF(LOWER('Capacity summary'!AH216)="x",$BI97*AH97,VALUE('Capacity summary'!AH216)),0),AH97*$BI97),AH97*$BI97),0)</f>
        <v>0</v>
      </c>
      <c r="CL97" s="311">
        <f>IF($BI97&lt;&gt;"",IF('Capacity summary'!$D$14="Yes",IF(COUNTBLANK('Capacity summary'!$H216:$BG216)&lt;52,IF('Capacity summary'!AI216&lt;&gt;"",IF(LOWER('Capacity summary'!AI216)="x",$BI97*AI97,VALUE('Capacity summary'!AI216)),0),AI97*$BI97),AI97*$BI97),0)</f>
        <v>0</v>
      </c>
      <c r="CM97" s="311">
        <f>IF($BI97&lt;&gt;"",IF('Capacity summary'!$D$14="Yes",IF(COUNTBLANK('Capacity summary'!$H216:$BG216)&lt;52,IF('Capacity summary'!AJ216&lt;&gt;"",IF(LOWER('Capacity summary'!AJ216)="x",$BI97*AJ97,VALUE('Capacity summary'!AJ216)),0),AJ97*$BI97),AJ97*$BI97),0)</f>
        <v>0</v>
      </c>
      <c r="CN97" s="311">
        <f>IF($BI97&lt;&gt;"",IF('Capacity summary'!$D$14="Yes",IF(COUNTBLANK('Capacity summary'!$H216:$BG216)&lt;52,IF('Capacity summary'!AK216&lt;&gt;"",IF(LOWER('Capacity summary'!AK216)="x",$BI97*AK97,VALUE('Capacity summary'!AK216)),0),AK97*$BI97),AK97*$BI97),0)</f>
        <v>0</v>
      </c>
      <c r="CO97" s="311">
        <f>IF($BI97&lt;&gt;"",IF('Capacity summary'!$D$14="Yes",IF(COUNTBLANK('Capacity summary'!$H216:$BG216)&lt;52,IF('Capacity summary'!AL216&lt;&gt;"",IF(LOWER('Capacity summary'!AL216)="x",$BI97*AL97,VALUE('Capacity summary'!AL216)),0),AL97*$BI97),AL97*$BI97),0)</f>
        <v>0</v>
      </c>
      <c r="CP97" s="311">
        <f>IF($BI97&lt;&gt;"",IF('Capacity summary'!$D$14="Yes",IF(COUNTBLANK('Capacity summary'!$H216:$BG216)&lt;52,IF('Capacity summary'!AM216&lt;&gt;"",IF(LOWER('Capacity summary'!AM216)="x",$BI97*AM97,VALUE('Capacity summary'!AM216)),0),AM97*$BI97),AM97*$BI97),0)</f>
        <v>0</v>
      </c>
      <c r="CQ97" s="311">
        <f>IF($BI97&lt;&gt;"",IF('Capacity summary'!$D$14="Yes",IF(COUNTBLANK('Capacity summary'!$H216:$BG216)&lt;52,IF('Capacity summary'!AN216&lt;&gt;"",IF(LOWER('Capacity summary'!AN216)="x",$BI97*AN97,VALUE('Capacity summary'!AN216)),0),AN97*$BI97),AN97*$BI97),0)</f>
        <v>0</v>
      </c>
      <c r="CR97" s="311">
        <f>IF($BI97&lt;&gt;"",IF('Capacity summary'!$D$14="Yes",IF(COUNTBLANK('Capacity summary'!$H216:$BG216)&lt;52,IF('Capacity summary'!AO216&lt;&gt;"",IF(LOWER('Capacity summary'!AO216)="x",$BI97*AO97,VALUE('Capacity summary'!AO216)),0),AO97*$BI97),AO97*$BI97),0)</f>
        <v>0</v>
      </c>
      <c r="CS97" s="311">
        <f>IF($BI97&lt;&gt;"",IF('Capacity summary'!$D$14="Yes",IF(COUNTBLANK('Capacity summary'!$H216:$BG216)&lt;52,IF('Capacity summary'!AP216&lt;&gt;"",IF(LOWER('Capacity summary'!AP216)="x",$BI97*AP97,VALUE('Capacity summary'!AP216)),0),AP97*$BI97),AP97*$BI97),0)</f>
        <v>0</v>
      </c>
      <c r="CT97" s="311">
        <f>IF($BI97&lt;&gt;"",IF('Capacity summary'!$D$14="Yes",IF(COUNTBLANK('Capacity summary'!$H216:$BG216)&lt;52,IF('Capacity summary'!AQ216&lt;&gt;"",IF(LOWER('Capacity summary'!AQ216)="x",$BI97*AQ97,VALUE('Capacity summary'!AQ216)),0),AQ97*$BI97),AQ97*$BI97),0)</f>
        <v>0</v>
      </c>
      <c r="CU97" s="311">
        <f>IF($BI97&lt;&gt;"",IF('Capacity summary'!$D$14="Yes",IF(COUNTBLANK('Capacity summary'!$H216:$BG216)&lt;52,IF('Capacity summary'!AR216&lt;&gt;"",IF(LOWER('Capacity summary'!AR216)="x",$BI97*AR97,VALUE('Capacity summary'!AR216)),0),AR97*$BI97),AR97*$BI97),0)</f>
        <v>0</v>
      </c>
      <c r="CV97" s="311">
        <f>IF($BI97&lt;&gt;"",IF('Capacity summary'!$D$14="Yes",IF(COUNTBLANK('Capacity summary'!$H216:$BG216)&lt;52,IF('Capacity summary'!AS216&lt;&gt;"",IF(LOWER('Capacity summary'!AS216)="x",$BI97*AS97,VALUE('Capacity summary'!AS216)),0),AS97*$BI97),AS97*$BI97),0)</f>
        <v>0</v>
      </c>
      <c r="CW97" s="311">
        <f>IF($BI97&lt;&gt;"",IF('Capacity summary'!$D$14="Yes",IF(COUNTBLANK('Capacity summary'!$H216:$BG216)&lt;52,IF('Capacity summary'!AT216&lt;&gt;"",IF(LOWER('Capacity summary'!AT216)="x",$BI97*AT97,VALUE('Capacity summary'!AT216)),0),AT97*$BI97),AT97*$BI97),0)</f>
        <v>0</v>
      </c>
      <c r="CX97" s="311">
        <f>IF($BI97&lt;&gt;"",IF('Capacity summary'!$D$14="Yes",IF(COUNTBLANK('Capacity summary'!$H216:$BG216)&lt;52,IF('Capacity summary'!AU216&lt;&gt;"",IF(LOWER('Capacity summary'!AU216)="x",$BI97*AU97,VALUE('Capacity summary'!AU216)),0),AU97*$BI97),AU97*$BI97),0)</f>
        <v>0</v>
      </c>
      <c r="CY97" s="311">
        <f>IF($BI97&lt;&gt;"",IF('Capacity summary'!$D$14="Yes",IF(COUNTBLANK('Capacity summary'!$H216:$BG216)&lt;52,IF('Capacity summary'!AV216&lt;&gt;"",IF(LOWER('Capacity summary'!AV216)="x",$BI97*AV97,VALUE('Capacity summary'!AV216)),0),AV97*$BI97),AV97*$BI97),0)</f>
        <v>0</v>
      </c>
      <c r="CZ97" s="311">
        <f>IF($BI97&lt;&gt;"",IF('Capacity summary'!$D$14="Yes",IF(COUNTBLANK('Capacity summary'!$H216:$BG216)&lt;52,IF('Capacity summary'!AW216&lt;&gt;"",IF(LOWER('Capacity summary'!AW216)="x",$BI97*AW97,VALUE('Capacity summary'!AW216)),0),AW97*$BI97),AW97*$BI97),0)</f>
        <v>0</v>
      </c>
      <c r="DA97" s="311">
        <f>IF($BI97&lt;&gt;"",IF('Capacity summary'!$D$14="Yes",IF(COUNTBLANK('Capacity summary'!$H216:$BG216)&lt;52,IF('Capacity summary'!AX216&lt;&gt;"",IF(LOWER('Capacity summary'!AX216)="x",$BI97*AX97,VALUE('Capacity summary'!AX216)),0),AX97*$BI97),AX97*$BI97),0)</f>
        <v>0</v>
      </c>
      <c r="DB97" s="311">
        <f>IF($BI97&lt;&gt;"",IF('Capacity summary'!$D$14="Yes",IF(COUNTBLANK('Capacity summary'!$H216:$BG216)&lt;52,IF('Capacity summary'!AY216&lt;&gt;"",IF(LOWER('Capacity summary'!AY216)="x",$BI97*AY97,VALUE('Capacity summary'!AY216)),0),AY97*$BI97),AY97*$BI97),0)</f>
        <v>0</v>
      </c>
      <c r="DC97" s="311">
        <f>IF($BI97&lt;&gt;"",IF('Capacity summary'!$D$14="Yes",IF(COUNTBLANK('Capacity summary'!$H216:$BG216)&lt;52,IF('Capacity summary'!AZ216&lt;&gt;"",IF(LOWER('Capacity summary'!AZ216)="x",$BI97*AZ97,VALUE('Capacity summary'!AZ216)),0),AZ97*$BI97),AZ97*$BI97),0)</f>
        <v>0</v>
      </c>
      <c r="DD97" s="311">
        <f>IF($BI97&lt;&gt;"",IF('Capacity summary'!$D$14="Yes",IF(COUNTBLANK('Capacity summary'!$H216:$BG216)&lt;52,IF('Capacity summary'!BA216&lt;&gt;"",IF(LOWER('Capacity summary'!BA216)="x",$BI97*BA97,VALUE('Capacity summary'!BA216)),0),BA97*$BI97),BA97*$BI97),0)</f>
        <v>0</v>
      </c>
      <c r="DE97" s="311">
        <f>IF($BI97&lt;&gt;"",IF('Capacity summary'!$D$14="Yes",IF(COUNTBLANK('Capacity summary'!$H216:$BG216)&lt;52,IF('Capacity summary'!BB216&lt;&gt;"",IF(LOWER('Capacity summary'!BB216)="x",$BI97*BB97,VALUE('Capacity summary'!BB216)),0),BB97*$BI97),BB97*$BI97),0)</f>
        <v>0</v>
      </c>
      <c r="DF97" s="311">
        <f>IF($BI97&lt;&gt;"",IF('Capacity summary'!$D$14="Yes",IF(COUNTBLANK('Capacity summary'!$H216:$BG216)&lt;52,IF('Capacity summary'!BC216&lt;&gt;"",IF(LOWER('Capacity summary'!BC216)="x",$BI97*BC97,VALUE('Capacity summary'!BC216)),0),BC97*$BI97),BC97*$BI97),0)</f>
        <v>0</v>
      </c>
      <c r="DG97" s="311">
        <f>IF($BI97&lt;&gt;"",IF('Capacity summary'!$D$14="Yes",IF(COUNTBLANK('Capacity summary'!$H216:$BG216)&lt;52,IF('Capacity summary'!BD216&lt;&gt;"",IF(LOWER('Capacity summary'!BD216)="x",$BI97*BD97,VALUE('Capacity summary'!BD216)),0),BD97*$BI97),BD97*$BI97),0)</f>
        <v>0</v>
      </c>
      <c r="DH97" s="311">
        <f>IF($BI97&lt;&gt;"",IF('Capacity summary'!$D$14="Yes",IF(COUNTBLANK('Capacity summary'!$H216:$BG216)&lt;52,IF('Capacity summary'!BE216&lt;&gt;"",IF(LOWER('Capacity summary'!BE216)="x",$BI97*BE97,VALUE('Capacity summary'!BE216)),0),BE97*$BI97),BE97*$BI97),0)</f>
        <v>0</v>
      </c>
      <c r="DI97" s="311">
        <f>IF($BI97&lt;&gt;"",IF('Capacity summary'!$D$14="Yes",IF(COUNTBLANK('Capacity summary'!$H216:$BG216)&lt;52,IF('Capacity summary'!BF216&lt;&gt;"",IF(LOWER('Capacity summary'!BF216)="x",$BI97*BF97,VALUE('Capacity summary'!BF216)),0),BF97*$BI97),BF97*$BI97),0)</f>
        <v>0</v>
      </c>
      <c r="DJ97" s="311">
        <f>IF($BI97&lt;&gt;"",IF('Capacity summary'!$D$14="Yes",IF(COUNTBLANK('Capacity summary'!$H216:$BG216)&lt;52,IF('Capacity summary'!BG216&lt;&gt;"",IF(LOWER('Capacity summary'!BG216)="x",$BI97*BG97,VALUE('Capacity summary'!BG216)),0),BG97*$BI97),BG97*$BI97),0)</f>
        <v>0</v>
      </c>
      <c r="DK97" s="391">
        <f t="shared" si="4"/>
        <v>0</v>
      </c>
      <c r="DL97" s="136">
        <f t="shared" si="5"/>
        <v>0</v>
      </c>
      <c r="DM97" s="311" t="str">
        <f>Capacity!H109</f>
        <v/>
      </c>
    </row>
    <row r="98" spans="1:117" x14ac:dyDescent="0.2">
      <c r="A98" s="67">
        <f>IF(Capacity!L110='Capacity summary'!BI217,1,0)</f>
        <v>1</v>
      </c>
      <c r="B98" s="67">
        <f>IF(Capacity!V110='Capacity summary'!BI117,1,0)</f>
        <v>1</v>
      </c>
      <c r="C98" s="67" t="str">
        <f>ROW(A94)&amp;". "&amp;Capacity!B110</f>
        <v xml:space="preserve">94. </v>
      </c>
      <c r="D98" s="67">
        <f>'Capacity setup'!C105</f>
        <v>0</v>
      </c>
      <c r="E98" s="67">
        <f>'Capacity setup'!D105</f>
        <v>0</v>
      </c>
      <c r="F98" s="67">
        <f>'Capacity setup'!E105</f>
        <v>0</v>
      </c>
      <c r="H98" s="67">
        <f ca="1">IF(LOWER(Capacity!$L110)="x",IF(AND(SUMIF(Capacity_Resource,$D98,'Critical resources (hide)'!U$6:U$105)+SUMIF(Capacity_Resource,$E98,'Critical resources (hide)'!U$6:U$105)+SUMIF(Capacity_Resource,$F98,'Critical resources (hide)'!U$6:U$105)&gt;0,$E$1=2),0,1),0)</f>
        <v>1</v>
      </c>
      <c r="I98" s="67">
        <f ca="1">IF(LOWER(Capacity!$L110)="x",IF(AND(SUMIF(Capacity_Resource,$D98,'Critical resources (hide)'!V$6:V$105)+SUMIF(Capacity_Resource,$E98,'Critical resources (hide)'!V$6:V$105)+SUMIF(Capacity_Resource,$F98,'Critical resources (hide)'!V$6:V$105)&gt;0,$E$1=2),0,1),0)</f>
        <v>1</v>
      </c>
      <c r="J98" s="67">
        <f ca="1">IF(LOWER(Capacity!$L110)="x",IF(AND(SUMIF(Capacity_Resource,$D98,'Critical resources (hide)'!W$6:W$105)+SUMIF(Capacity_Resource,$E98,'Critical resources (hide)'!W$6:W$105)+SUMIF(Capacity_Resource,$F98,'Critical resources (hide)'!W$6:W$105)&gt;0,$E$1=2),0,1),0)</f>
        <v>1</v>
      </c>
      <c r="K98" s="67">
        <f ca="1">IF(LOWER(Capacity!$L110)="x",IF(AND(SUMIF(Capacity_Resource,$D98,'Critical resources (hide)'!X$6:X$105)+SUMIF(Capacity_Resource,$E98,'Critical resources (hide)'!X$6:X$105)+SUMIF(Capacity_Resource,$F98,'Critical resources (hide)'!X$6:X$105)&gt;0,$E$1=2),0,1),0)</f>
        <v>1</v>
      </c>
      <c r="L98" s="67">
        <f ca="1">IF(LOWER(Capacity!$L110)="x",IF(AND(SUMIF(Capacity_Resource,$D98,'Critical resources (hide)'!Y$6:Y$105)+SUMIF(Capacity_Resource,$E98,'Critical resources (hide)'!Y$6:Y$105)+SUMIF(Capacity_Resource,$F98,'Critical resources (hide)'!Y$6:Y$105)&gt;0,$E$1=2),0,1),0)</f>
        <v>1</v>
      </c>
      <c r="M98" s="67">
        <f ca="1">IF(LOWER(Capacity!$L110)="x",IF(AND(SUMIF(Capacity_Resource,$D98,'Critical resources (hide)'!Z$6:Z$105)+SUMIF(Capacity_Resource,$E98,'Critical resources (hide)'!Z$6:Z$105)+SUMIF(Capacity_Resource,$F98,'Critical resources (hide)'!Z$6:Z$105)&gt;0,$E$1=2),0,1),0)</f>
        <v>1</v>
      </c>
      <c r="N98" s="67">
        <f ca="1">IF(LOWER(Capacity!$L110)="x",IF(AND(SUMIF(Capacity_Resource,$D98,'Critical resources (hide)'!AA$6:AA$105)+SUMIF(Capacity_Resource,$E98,'Critical resources (hide)'!AA$6:AA$105)+SUMIF(Capacity_Resource,$F98,'Critical resources (hide)'!AA$6:AA$105)&gt;0,$E$1=2),0,1),0)</f>
        <v>1</v>
      </c>
      <c r="O98" s="67">
        <f ca="1">IF(LOWER(Capacity!$L110)="x",IF(AND(SUMIF(Capacity_Resource,$D98,'Critical resources (hide)'!AB$6:AB$105)+SUMIF(Capacity_Resource,$E98,'Critical resources (hide)'!AB$6:AB$105)+SUMIF(Capacity_Resource,$F98,'Critical resources (hide)'!AB$6:AB$105)&gt;0,$E$1=2),0,1),0)</f>
        <v>1</v>
      </c>
      <c r="P98" s="67">
        <f ca="1">IF(LOWER(Capacity!$L110)="x",IF(AND(SUMIF(Capacity_Resource,$D98,'Critical resources (hide)'!AC$6:AC$105)+SUMIF(Capacity_Resource,$E98,'Critical resources (hide)'!AC$6:AC$105)+SUMIF(Capacity_Resource,$F98,'Critical resources (hide)'!AC$6:AC$105)&gt;0,$E$1=2),0,1),0)</f>
        <v>1</v>
      </c>
      <c r="Q98" s="67">
        <f ca="1">IF(LOWER(Capacity!$L110)="x",IF(AND(SUMIF(Capacity_Resource,$D98,'Critical resources (hide)'!AD$6:AD$105)+SUMIF(Capacity_Resource,$E98,'Critical resources (hide)'!AD$6:AD$105)+SUMIF(Capacity_Resource,$F98,'Critical resources (hide)'!AD$6:AD$105)&gt;0,$E$1=2),0,1),0)</f>
        <v>1</v>
      </c>
      <c r="R98" s="67">
        <f ca="1">IF(LOWER(Capacity!$L110)="x",IF(AND(SUMIF(Capacity_Resource,$D98,'Critical resources (hide)'!AE$6:AE$105)+SUMIF(Capacity_Resource,$E98,'Critical resources (hide)'!AE$6:AE$105)+SUMIF(Capacity_Resource,$F98,'Critical resources (hide)'!AE$6:AE$105)&gt;0,$E$1=2),0,1),0)</f>
        <v>1</v>
      </c>
      <c r="S98" s="67">
        <f ca="1">IF(LOWER(Capacity!$L110)="x",IF(AND(SUMIF(Capacity_Resource,$D98,'Critical resources (hide)'!AF$6:AF$105)+SUMIF(Capacity_Resource,$E98,'Critical resources (hide)'!AF$6:AF$105)+SUMIF(Capacity_Resource,$F98,'Critical resources (hide)'!AF$6:AF$105)&gt;0,$E$1=2),0,1),0)</f>
        <v>1</v>
      </c>
      <c r="T98" s="67">
        <f ca="1">IF(LOWER(Capacity!$L110)="x",IF(AND(SUMIF(Capacity_Resource,$D98,'Critical resources (hide)'!AG$6:AG$105)+SUMIF(Capacity_Resource,$E98,'Critical resources (hide)'!AG$6:AG$105)+SUMIF(Capacity_Resource,$F98,'Critical resources (hide)'!AG$6:AG$105)&gt;0,$E$1=2),0,1),0)</f>
        <v>1</v>
      </c>
      <c r="U98" s="67">
        <f ca="1">IF(LOWER(Capacity!$L110)="x",IF(AND(SUMIF(Capacity_Resource,$D98,'Critical resources (hide)'!AH$6:AH$105)+SUMIF(Capacity_Resource,$E98,'Critical resources (hide)'!AH$6:AH$105)+SUMIF(Capacity_Resource,$F98,'Critical resources (hide)'!AH$6:AH$105)&gt;0,$E$1=2),0,1),0)</f>
        <v>1</v>
      </c>
      <c r="V98" s="67">
        <f ca="1">IF(LOWER(Capacity!$L110)="x",IF(AND(SUMIF(Capacity_Resource,$D98,'Critical resources (hide)'!AI$6:AI$105)+SUMIF(Capacity_Resource,$E98,'Critical resources (hide)'!AI$6:AI$105)+SUMIF(Capacity_Resource,$F98,'Critical resources (hide)'!AI$6:AI$105)&gt;0,$E$1=2),0,1),0)</f>
        <v>1</v>
      </c>
      <c r="W98" s="67">
        <f ca="1">IF(LOWER(Capacity!$L110)="x",IF(AND(SUMIF(Capacity_Resource,$D98,'Critical resources (hide)'!AJ$6:AJ$105)+SUMIF(Capacity_Resource,$E98,'Critical resources (hide)'!AJ$6:AJ$105)+SUMIF(Capacity_Resource,$F98,'Critical resources (hide)'!AJ$6:AJ$105)&gt;0,$E$1=2),0,1),0)</f>
        <v>1</v>
      </c>
      <c r="X98" s="67">
        <f ca="1">IF(LOWER(Capacity!$L110)="x",IF(AND(SUMIF(Capacity_Resource,$D98,'Critical resources (hide)'!AK$6:AK$105)+SUMIF(Capacity_Resource,$E98,'Critical resources (hide)'!AK$6:AK$105)+SUMIF(Capacity_Resource,$F98,'Critical resources (hide)'!AK$6:AK$105)&gt;0,$E$1=2),0,1),0)</f>
        <v>1</v>
      </c>
      <c r="Y98" s="67">
        <f ca="1">IF(LOWER(Capacity!$L110)="x",IF(AND(SUMIF(Capacity_Resource,$D98,'Critical resources (hide)'!AL$6:AL$105)+SUMIF(Capacity_Resource,$E98,'Critical resources (hide)'!AL$6:AL$105)+SUMIF(Capacity_Resource,$F98,'Critical resources (hide)'!AL$6:AL$105)&gt;0,$E$1=2),0,1),0)</f>
        <v>1</v>
      </c>
      <c r="Z98" s="67">
        <f ca="1">IF(LOWER(Capacity!$L110)="x",IF(AND(SUMIF(Capacity_Resource,$D98,'Critical resources (hide)'!AM$6:AM$105)+SUMIF(Capacity_Resource,$E98,'Critical resources (hide)'!AM$6:AM$105)+SUMIF(Capacity_Resource,$F98,'Critical resources (hide)'!AM$6:AM$105)&gt;0,$E$1=2),0,1),0)</f>
        <v>1</v>
      </c>
      <c r="AA98" s="67">
        <f ca="1">IF(LOWER(Capacity!$L110)="x",IF(AND(SUMIF(Capacity_Resource,$D98,'Critical resources (hide)'!AN$6:AN$105)+SUMIF(Capacity_Resource,$E98,'Critical resources (hide)'!AN$6:AN$105)+SUMIF(Capacity_Resource,$F98,'Critical resources (hide)'!AN$6:AN$105)&gt;0,$E$1=2),0,1),0)</f>
        <v>1</v>
      </c>
      <c r="AB98" s="67">
        <f ca="1">IF(LOWER(Capacity!$L110)="x",IF(AND(SUMIF(Capacity_Resource,$D98,'Critical resources (hide)'!AO$6:AO$105)+SUMIF(Capacity_Resource,$E98,'Critical resources (hide)'!AO$6:AO$105)+SUMIF(Capacity_Resource,$F98,'Critical resources (hide)'!AO$6:AO$105)&gt;0,$E$1=2),0,1),0)</f>
        <v>1</v>
      </c>
      <c r="AC98" s="67">
        <f ca="1">IF(LOWER(Capacity!$L110)="x",IF(AND(SUMIF(Capacity_Resource,$D98,'Critical resources (hide)'!AP$6:AP$105)+SUMIF(Capacity_Resource,$E98,'Critical resources (hide)'!AP$6:AP$105)+SUMIF(Capacity_Resource,$F98,'Critical resources (hide)'!AP$6:AP$105)&gt;0,$E$1=2),0,1),0)</f>
        <v>1</v>
      </c>
      <c r="AD98" s="67">
        <f ca="1">IF(LOWER(Capacity!$L110)="x",IF(AND(SUMIF(Capacity_Resource,$D98,'Critical resources (hide)'!AQ$6:AQ$105)+SUMIF(Capacity_Resource,$E98,'Critical resources (hide)'!AQ$6:AQ$105)+SUMIF(Capacity_Resource,$F98,'Critical resources (hide)'!AQ$6:AQ$105)&gt;0,$E$1=2),0,1),0)</f>
        <v>1</v>
      </c>
      <c r="AE98" s="67">
        <f ca="1">IF(LOWER(Capacity!$L110)="x",IF(AND(SUMIF(Capacity_Resource,$D98,'Critical resources (hide)'!AR$6:AR$105)+SUMIF(Capacity_Resource,$E98,'Critical resources (hide)'!AR$6:AR$105)+SUMIF(Capacity_Resource,$F98,'Critical resources (hide)'!AR$6:AR$105)&gt;0,$E$1=2),0,1),0)</f>
        <v>1</v>
      </c>
      <c r="AF98" s="67">
        <f ca="1">IF(LOWER(Capacity!$L110)="x",IF(AND(SUMIF(Capacity_Resource,$D98,'Critical resources (hide)'!AS$6:AS$105)+SUMIF(Capacity_Resource,$E98,'Critical resources (hide)'!AS$6:AS$105)+SUMIF(Capacity_Resource,$F98,'Critical resources (hide)'!AS$6:AS$105)&gt;0,$E$1=2),0,1),0)</f>
        <v>1</v>
      </c>
      <c r="AG98" s="67">
        <f ca="1">IF(LOWER(Capacity!$L110)="x",IF(AND(SUMIF(Capacity_Resource,$D98,'Critical resources (hide)'!AT$6:AT$105)+SUMIF(Capacity_Resource,$E98,'Critical resources (hide)'!AT$6:AT$105)+SUMIF(Capacity_Resource,$F98,'Critical resources (hide)'!AT$6:AT$105)&gt;0,$E$1=2),0,1),0)</f>
        <v>1</v>
      </c>
      <c r="AH98" s="67">
        <f ca="1">IF(LOWER(Capacity!$L110)="x",IF(AND(SUMIF(Capacity_Resource,$D98,'Critical resources (hide)'!AU$6:AU$105)+SUMIF(Capacity_Resource,$E98,'Critical resources (hide)'!AU$6:AU$105)+SUMIF(Capacity_Resource,$F98,'Critical resources (hide)'!AU$6:AU$105)&gt;0,$E$1=2),0,1),0)</f>
        <v>1</v>
      </c>
      <c r="AI98" s="67">
        <f ca="1">IF(LOWER(Capacity!$L110)="x",IF(AND(SUMIF(Capacity_Resource,$D98,'Critical resources (hide)'!AV$6:AV$105)+SUMIF(Capacity_Resource,$E98,'Critical resources (hide)'!AV$6:AV$105)+SUMIF(Capacity_Resource,$F98,'Critical resources (hide)'!AV$6:AV$105)&gt;0,$E$1=2),0,1),0)</f>
        <v>1</v>
      </c>
      <c r="AJ98" s="67">
        <f ca="1">IF(LOWER(Capacity!$L110)="x",IF(AND(SUMIF(Capacity_Resource,$D98,'Critical resources (hide)'!AW$6:AW$105)+SUMIF(Capacity_Resource,$E98,'Critical resources (hide)'!AW$6:AW$105)+SUMIF(Capacity_Resource,$F98,'Critical resources (hide)'!AW$6:AW$105)&gt;0,$E$1=2),0,1),0)</f>
        <v>1</v>
      </c>
      <c r="AK98" s="67">
        <f ca="1">IF(LOWER(Capacity!$L110)="x",IF(AND(SUMIF(Capacity_Resource,$D98,'Critical resources (hide)'!AX$6:AX$105)+SUMIF(Capacity_Resource,$E98,'Critical resources (hide)'!AX$6:AX$105)+SUMIF(Capacity_Resource,$F98,'Critical resources (hide)'!AX$6:AX$105)&gt;0,$E$1=2),0,1),0)</f>
        <v>1</v>
      </c>
      <c r="AL98" s="67">
        <f ca="1">IF(LOWER(Capacity!$L110)="x",IF(AND(SUMIF(Capacity_Resource,$D98,'Critical resources (hide)'!AY$6:AY$105)+SUMIF(Capacity_Resource,$E98,'Critical resources (hide)'!AY$6:AY$105)+SUMIF(Capacity_Resource,$F98,'Critical resources (hide)'!AY$6:AY$105)&gt;0,$E$1=2),0,1),0)</f>
        <v>1</v>
      </c>
      <c r="AM98" s="67">
        <f ca="1">IF(LOWER(Capacity!$L110)="x",IF(AND(SUMIF(Capacity_Resource,$D98,'Critical resources (hide)'!AZ$6:AZ$105)+SUMIF(Capacity_Resource,$E98,'Critical resources (hide)'!AZ$6:AZ$105)+SUMIF(Capacity_Resource,$F98,'Critical resources (hide)'!AZ$6:AZ$105)&gt;0,$E$1=2),0,1),0)</f>
        <v>1</v>
      </c>
      <c r="AN98" s="67">
        <f ca="1">IF(LOWER(Capacity!$L110)="x",IF(AND(SUMIF(Capacity_Resource,$D98,'Critical resources (hide)'!BA$6:BA$105)+SUMIF(Capacity_Resource,$E98,'Critical resources (hide)'!BA$6:BA$105)+SUMIF(Capacity_Resource,$F98,'Critical resources (hide)'!BA$6:BA$105)&gt;0,$E$1=2),0,1),0)</f>
        <v>1</v>
      </c>
      <c r="AO98" s="67">
        <f ca="1">IF(LOWER(Capacity!$L110)="x",IF(AND(SUMIF(Capacity_Resource,$D98,'Critical resources (hide)'!BB$6:BB$105)+SUMIF(Capacity_Resource,$E98,'Critical resources (hide)'!BB$6:BB$105)+SUMIF(Capacity_Resource,$F98,'Critical resources (hide)'!BB$6:BB$105)&gt;0,$E$1=2),0,1),0)</f>
        <v>1</v>
      </c>
      <c r="AP98" s="67">
        <f ca="1">IF(LOWER(Capacity!$L110)="x",IF(AND(SUMIF(Capacity_Resource,$D98,'Critical resources (hide)'!BC$6:BC$105)+SUMIF(Capacity_Resource,$E98,'Critical resources (hide)'!BC$6:BC$105)+SUMIF(Capacity_Resource,$F98,'Critical resources (hide)'!BC$6:BC$105)&gt;0,$E$1=2),0,1),0)</f>
        <v>1</v>
      </c>
      <c r="AQ98" s="67">
        <f ca="1">IF(LOWER(Capacity!$L110)="x",IF(AND(SUMIF(Capacity_Resource,$D98,'Critical resources (hide)'!BD$6:BD$105)+SUMIF(Capacity_Resource,$E98,'Critical resources (hide)'!BD$6:BD$105)+SUMIF(Capacity_Resource,$F98,'Critical resources (hide)'!BD$6:BD$105)&gt;0,$E$1=2),0,1),0)</f>
        <v>1</v>
      </c>
      <c r="AR98" s="67">
        <f ca="1">IF(LOWER(Capacity!$L110)="x",IF(AND(SUMIF(Capacity_Resource,$D98,'Critical resources (hide)'!BE$6:BE$105)+SUMIF(Capacity_Resource,$E98,'Critical resources (hide)'!BE$6:BE$105)+SUMIF(Capacity_Resource,$F98,'Critical resources (hide)'!BE$6:BE$105)&gt;0,$E$1=2),0,1),0)</f>
        <v>1</v>
      </c>
      <c r="AS98" s="67">
        <f ca="1">IF(LOWER(Capacity!$L110)="x",IF(AND(SUMIF(Capacity_Resource,$D98,'Critical resources (hide)'!BF$6:BF$105)+SUMIF(Capacity_Resource,$E98,'Critical resources (hide)'!BF$6:BF$105)+SUMIF(Capacity_Resource,$F98,'Critical resources (hide)'!BF$6:BF$105)&gt;0,$E$1=2),0,1),0)</f>
        <v>1</v>
      </c>
      <c r="AT98" s="67">
        <f ca="1">IF(LOWER(Capacity!$L110)="x",IF(AND(SUMIF(Capacity_Resource,$D98,'Critical resources (hide)'!BG$6:BG$105)+SUMIF(Capacity_Resource,$E98,'Critical resources (hide)'!BG$6:BG$105)+SUMIF(Capacity_Resource,$F98,'Critical resources (hide)'!BG$6:BG$105)&gt;0,$E$1=2),0,1),0)</f>
        <v>1</v>
      </c>
      <c r="AU98" s="67">
        <f ca="1">IF(LOWER(Capacity!$L110)="x",IF(AND(SUMIF(Capacity_Resource,$D98,'Critical resources (hide)'!BH$6:BH$105)+SUMIF(Capacity_Resource,$E98,'Critical resources (hide)'!BH$6:BH$105)+SUMIF(Capacity_Resource,$F98,'Critical resources (hide)'!BH$6:BH$105)&gt;0,$E$1=2),0,1),0)</f>
        <v>1</v>
      </c>
      <c r="AV98" s="67">
        <f ca="1">IF(LOWER(Capacity!$L110)="x",IF(AND(SUMIF(Capacity_Resource,$D98,'Critical resources (hide)'!BI$6:BI$105)+SUMIF(Capacity_Resource,$E98,'Critical resources (hide)'!BI$6:BI$105)+SUMIF(Capacity_Resource,$F98,'Critical resources (hide)'!BI$6:BI$105)&gt;0,$E$1=2),0,1),0)</f>
        <v>1</v>
      </c>
      <c r="AW98" s="67">
        <f ca="1">IF(LOWER(Capacity!$L110)="x",IF(AND(SUMIF(Capacity_Resource,$D98,'Critical resources (hide)'!BJ$6:BJ$105)+SUMIF(Capacity_Resource,$E98,'Critical resources (hide)'!BJ$6:BJ$105)+SUMIF(Capacity_Resource,$F98,'Critical resources (hide)'!BJ$6:BJ$105)&gt;0,$E$1=2),0,1),0)</f>
        <v>1</v>
      </c>
      <c r="AX98" s="67">
        <f ca="1">IF(LOWER(Capacity!$L110)="x",IF(AND(SUMIF(Capacity_Resource,$D98,'Critical resources (hide)'!BK$6:BK$105)+SUMIF(Capacity_Resource,$E98,'Critical resources (hide)'!BK$6:BK$105)+SUMIF(Capacity_Resource,$F98,'Critical resources (hide)'!BK$6:BK$105)&gt;0,$E$1=2),0,1),0)</f>
        <v>1</v>
      </c>
      <c r="AY98" s="67">
        <f ca="1">IF(LOWER(Capacity!$L110)="x",IF(AND(SUMIF(Capacity_Resource,$D98,'Critical resources (hide)'!BL$6:BL$105)+SUMIF(Capacity_Resource,$E98,'Critical resources (hide)'!BL$6:BL$105)+SUMIF(Capacity_Resource,$F98,'Critical resources (hide)'!BL$6:BL$105)&gt;0,$E$1=2),0,1),0)</f>
        <v>1</v>
      </c>
      <c r="AZ98" s="67">
        <f ca="1">IF(LOWER(Capacity!$L110)="x",IF(AND(SUMIF(Capacity_Resource,$D98,'Critical resources (hide)'!BM$6:BM$105)+SUMIF(Capacity_Resource,$E98,'Critical resources (hide)'!BM$6:BM$105)+SUMIF(Capacity_Resource,$F98,'Critical resources (hide)'!BM$6:BM$105)&gt;0,$E$1=2),0,1),0)</f>
        <v>1</v>
      </c>
      <c r="BA98" s="67">
        <f ca="1">IF(LOWER(Capacity!$L110)="x",IF(AND(SUMIF(Capacity_Resource,$D98,'Critical resources (hide)'!BN$6:BN$105)+SUMIF(Capacity_Resource,$E98,'Critical resources (hide)'!BN$6:BN$105)+SUMIF(Capacity_Resource,$F98,'Critical resources (hide)'!BN$6:BN$105)&gt;0,$E$1=2),0,1),0)</f>
        <v>1</v>
      </c>
      <c r="BB98" s="67">
        <f ca="1">IF(LOWER(Capacity!$L110)="x",IF(AND(SUMIF(Capacity_Resource,$D98,'Critical resources (hide)'!BO$6:BO$105)+SUMIF(Capacity_Resource,$E98,'Critical resources (hide)'!BO$6:BO$105)+SUMIF(Capacity_Resource,$F98,'Critical resources (hide)'!BO$6:BO$105)&gt;0,$E$1=2),0,1),0)</f>
        <v>1</v>
      </c>
      <c r="BC98" s="67">
        <f ca="1">IF(LOWER(Capacity!$L110)="x",IF(AND(SUMIF(Capacity_Resource,$D98,'Critical resources (hide)'!BP$6:BP$105)+SUMIF(Capacity_Resource,$E98,'Critical resources (hide)'!BP$6:BP$105)+SUMIF(Capacity_Resource,$F98,'Critical resources (hide)'!BP$6:BP$105)&gt;0,$E$1=2),0,1),0)</f>
        <v>1</v>
      </c>
      <c r="BD98" s="67">
        <f ca="1">IF(LOWER(Capacity!$L110)="x",IF(AND(SUMIF(Capacity_Resource,$D98,'Critical resources (hide)'!BQ$6:BQ$105)+SUMIF(Capacity_Resource,$E98,'Critical resources (hide)'!BQ$6:BQ$105)+SUMIF(Capacity_Resource,$F98,'Critical resources (hide)'!BQ$6:BQ$105)&gt;0,$E$1=2),0,1),0)</f>
        <v>1</v>
      </c>
      <c r="BE98" s="67">
        <f ca="1">IF(LOWER(Capacity!$L110)="x",IF(AND(SUMIF(Capacity_Resource,$D98,'Critical resources (hide)'!BR$6:BR$105)+SUMIF(Capacity_Resource,$E98,'Critical resources (hide)'!BR$6:BR$105)+SUMIF(Capacity_Resource,$F98,'Critical resources (hide)'!BR$6:BR$105)&gt;0,$E$1=2),0,1),0)</f>
        <v>1</v>
      </c>
      <c r="BF98" s="67">
        <f ca="1">IF(LOWER(Capacity!$L110)="x",IF(AND(SUMIF(Capacity_Resource,$D98,'Critical resources (hide)'!BS$6:BS$105)+SUMIF(Capacity_Resource,$E98,'Critical resources (hide)'!BS$6:BS$105)+SUMIF(Capacity_Resource,$F98,'Critical resources (hide)'!BS$6:BS$105)&gt;0,$E$1=2),0,1),0)</f>
        <v>1</v>
      </c>
      <c r="BG98" s="67">
        <f ca="1">IF(LOWER(Capacity!$L110)="x",IF(AND(SUMIF(Capacity_Resource,$D98,'Critical resources (hide)'!BT$6:BT$105)+SUMIF(Capacity_Resource,$E98,'Critical resources (hide)'!BT$6:BT$105)+SUMIF(Capacity_Resource,$F98,'Critical resources (hide)'!BT$6:BT$105)&gt;0,$E$1=2),0,1),0)</f>
        <v>1</v>
      </c>
      <c r="BH98" s="67">
        <f>IF(ROW(C94)&lt;=Capacity!$A$16,IF('Capacity summary'!$D$14="No",SUM(H98:BG98),'Capacity summary'!$E217),0)</f>
        <v>0</v>
      </c>
      <c r="BI98" s="5" t="str">
        <f>IF(BH98&gt;0,IF(BH98&lt;Capacity!E110,Capacity!F110,Capacity!H110/'Capacity calculation (hide)'!BH98),"")</f>
        <v/>
      </c>
      <c r="BK98" s="311">
        <f>IF($BI98&lt;&gt;"",IF('Capacity summary'!$D$14="Yes",IF(COUNTBLANK('Capacity summary'!$H217:$BG217)&lt;52,IF('Capacity summary'!H217&lt;&gt;"",IF(LOWER('Capacity summary'!H217)="x",$BI98*H98,VALUE('Capacity summary'!H217)),0),H98*$BI98),H98*$BI98),0)</f>
        <v>0</v>
      </c>
      <c r="BL98" s="311">
        <f>IF($BI98&lt;&gt;"",IF('Capacity summary'!$D$14="Yes",IF(COUNTBLANK('Capacity summary'!$H217:$BG217)&lt;52,IF('Capacity summary'!I217&lt;&gt;"",IF(LOWER('Capacity summary'!I217)="x",$BI98*I98,VALUE('Capacity summary'!I217)),0),I98*$BI98),I98*$BI98),0)</f>
        <v>0</v>
      </c>
      <c r="BM98" s="311">
        <f>IF($BI98&lt;&gt;"",IF('Capacity summary'!$D$14="Yes",IF(COUNTBLANK('Capacity summary'!$H217:$BG217)&lt;52,IF('Capacity summary'!J217&lt;&gt;"",IF(LOWER('Capacity summary'!J217)="x",$BI98*J98,VALUE('Capacity summary'!J217)),0),J98*$BI98),J98*$BI98),0)</f>
        <v>0</v>
      </c>
      <c r="BN98" s="311">
        <f>IF($BI98&lt;&gt;"",IF('Capacity summary'!$D$14="Yes",IF(COUNTBLANK('Capacity summary'!$H217:$BG217)&lt;52,IF('Capacity summary'!K217&lt;&gt;"",IF(LOWER('Capacity summary'!K217)="x",$BI98*K98,VALUE('Capacity summary'!K217)),0),K98*$BI98),K98*$BI98),0)</f>
        <v>0</v>
      </c>
      <c r="BO98" s="311">
        <f>IF($BI98&lt;&gt;"",IF('Capacity summary'!$D$14="Yes",IF(COUNTBLANK('Capacity summary'!$H217:$BG217)&lt;52,IF('Capacity summary'!L217&lt;&gt;"",IF(LOWER('Capacity summary'!L217)="x",$BI98*L98,VALUE('Capacity summary'!L217)),0),L98*$BI98),L98*$BI98),0)</f>
        <v>0</v>
      </c>
      <c r="BP98" s="311">
        <f>IF($BI98&lt;&gt;"",IF('Capacity summary'!$D$14="Yes",IF(COUNTBLANK('Capacity summary'!$H217:$BG217)&lt;52,IF('Capacity summary'!M217&lt;&gt;"",IF(LOWER('Capacity summary'!M217)="x",$BI98*M98,VALUE('Capacity summary'!M217)),0),M98*$BI98),M98*$BI98),0)</f>
        <v>0</v>
      </c>
      <c r="BQ98" s="311">
        <f>IF($BI98&lt;&gt;"",IF('Capacity summary'!$D$14="Yes",IF(COUNTBLANK('Capacity summary'!$H217:$BG217)&lt;52,IF('Capacity summary'!N217&lt;&gt;"",IF(LOWER('Capacity summary'!N217)="x",$BI98*N98,VALUE('Capacity summary'!N217)),0),N98*$BI98),N98*$BI98),0)</f>
        <v>0</v>
      </c>
      <c r="BR98" s="311">
        <f>IF($BI98&lt;&gt;"",IF('Capacity summary'!$D$14="Yes",IF(COUNTBLANK('Capacity summary'!$H217:$BG217)&lt;52,IF('Capacity summary'!O217&lt;&gt;"",IF(LOWER('Capacity summary'!O217)="x",$BI98*O98,VALUE('Capacity summary'!O217)),0),O98*$BI98),O98*$BI98),0)</f>
        <v>0</v>
      </c>
      <c r="BS98" s="311">
        <f>IF($BI98&lt;&gt;"",IF('Capacity summary'!$D$14="Yes",IF(COUNTBLANK('Capacity summary'!$H217:$BG217)&lt;52,IF('Capacity summary'!P217&lt;&gt;"",IF(LOWER('Capacity summary'!P217)="x",$BI98*P98,VALUE('Capacity summary'!P217)),0),P98*$BI98),P98*$BI98),0)</f>
        <v>0</v>
      </c>
      <c r="BT98" s="311">
        <f>IF($BI98&lt;&gt;"",IF('Capacity summary'!$D$14="Yes",IF(COUNTBLANK('Capacity summary'!$H217:$BG217)&lt;52,IF('Capacity summary'!Q217&lt;&gt;"",IF(LOWER('Capacity summary'!Q217)="x",$BI98*Q98,VALUE('Capacity summary'!Q217)),0),Q98*$BI98),Q98*$BI98),0)</f>
        <v>0</v>
      </c>
      <c r="BU98" s="311">
        <f>IF($BI98&lt;&gt;"",IF('Capacity summary'!$D$14="Yes",IF(COUNTBLANK('Capacity summary'!$H217:$BG217)&lt;52,IF('Capacity summary'!R217&lt;&gt;"",IF(LOWER('Capacity summary'!R217)="x",$BI98*R98,VALUE('Capacity summary'!R217)),0),R98*$BI98),R98*$BI98),0)</f>
        <v>0</v>
      </c>
      <c r="BV98" s="311">
        <f>IF($BI98&lt;&gt;"",IF('Capacity summary'!$D$14="Yes",IF(COUNTBLANK('Capacity summary'!$H217:$BG217)&lt;52,IF('Capacity summary'!S217&lt;&gt;"",IF(LOWER('Capacity summary'!S217)="x",$BI98*S98,VALUE('Capacity summary'!S217)),0),S98*$BI98),S98*$BI98),0)</f>
        <v>0</v>
      </c>
      <c r="BW98" s="311">
        <f>IF($BI98&lt;&gt;"",IF('Capacity summary'!$D$14="Yes",IF(COUNTBLANK('Capacity summary'!$H217:$BG217)&lt;52,IF('Capacity summary'!T217&lt;&gt;"",IF(LOWER('Capacity summary'!T217)="x",$BI98*T98,VALUE('Capacity summary'!T217)),0),T98*$BI98),T98*$BI98),0)</f>
        <v>0</v>
      </c>
      <c r="BX98" s="311">
        <f>IF($BI98&lt;&gt;"",IF('Capacity summary'!$D$14="Yes",IF(COUNTBLANK('Capacity summary'!$H217:$BG217)&lt;52,IF('Capacity summary'!U217&lt;&gt;"",IF(LOWER('Capacity summary'!U217)="x",$BI98*U98,VALUE('Capacity summary'!U217)),0),U98*$BI98),U98*$BI98),0)</f>
        <v>0</v>
      </c>
      <c r="BY98" s="311">
        <f>IF($BI98&lt;&gt;"",IF('Capacity summary'!$D$14="Yes",IF(COUNTBLANK('Capacity summary'!$H217:$BG217)&lt;52,IF('Capacity summary'!V217&lt;&gt;"",IF(LOWER('Capacity summary'!V217)="x",$BI98*V98,VALUE('Capacity summary'!V217)),0),V98*$BI98),V98*$BI98),0)</f>
        <v>0</v>
      </c>
      <c r="BZ98" s="311">
        <f>IF($BI98&lt;&gt;"",IF('Capacity summary'!$D$14="Yes",IF(COUNTBLANK('Capacity summary'!$H217:$BG217)&lt;52,IF('Capacity summary'!W217&lt;&gt;"",IF(LOWER('Capacity summary'!W217)="x",$BI98*W98,VALUE('Capacity summary'!W217)),0),W98*$BI98),W98*$BI98),0)</f>
        <v>0</v>
      </c>
      <c r="CA98" s="311">
        <f>IF($BI98&lt;&gt;"",IF('Capacity summary'!$D$14="Yes",IF(COUNTBLANK('Capacity summary'!$H217:$BG217)&lt;52,IF('Capacity summary'!X217&lt;&gt;"",IF(LOWER('Capacity summary'!X217)="x",$BI98*X98,VALUE('Capacity summary'!X217)),0),X98*$BI98),X98*$BI98),0)</f>
        <v>0</v>
      </c>
      <c r="CB98" s="311">
        <f>IF($BI98&lt;&gt;"",IF('Capacity summary'!$D$14="Yes",IF(COUNTBLANK('Capacity summary'!$H217:$BG217)&lt;52,IF('Capacity summary'!Y217&lt;&gt;"",IF(LOWER('Capacity summary'!Y217)="x",$BI98*Y98,VALUE('Capacity summary'!Y217)),0),Y98*$BI98),Y98*$BI98),0)</f>
        <v>0</v>
      </c>
      <c r="CC98" s="311">
        <f>IF($BI98&lt;&gt;"",IF('Capacity summary'!$D$14="Yes",IF(COUNTBLANK('Capacity summary'!$H217:$BG217)&lt;52,IF('Capacity summary'!Z217&lt;&gt;"",IF(LOWER('Capacity summary'!Z217)="x",$BI98*Z98,VALUE('Capacity summary'!Z217)),0),Z98*$BI98),Z98*$BI98),0)</f>
        <v>0</v>
      </c>
      <c r="CD98" s="311">
        <f>IF($BI98&lt;&gt;"",IF('Capacity summary'!$D$14="Yes",IF(COUNTBLANK('Capacity summary'!$H217:$BG217)&lt;52,IF('Capacity summary'!AA217&lt;&gt;"",IF(LOWER('Capacity summary'!AA217)="x",$BI98*AA98,VALUE('Capacity summary'!AA217)),0),AA98*$BI98),AA98*$BI98),0)</f>
        <v>0</v>
      </c>
      <c r="CE98" s="311">
        <f>IF($BI98&lt;&gt;"",IF('Capacity summary'!$D$14="Yes",IF(COUNTBLANK('Capacity summary'!$H217:$BG217)&lt;52,IF('Capacity summary'!AB217&lt;&gt;"",IF(LOWER('Capacity summary'!AB217)="x",$BI98*AB98,VALUE('Capacity summary'!AB217)),0),AB98*$BI98),AB98*$BI98),0)</f>
        <v>0</v>
      </c>
      <c r="CF98" s="311">
        <f>IF($BI98&lt;&gt;"",IF('Capacity summary'!$D$14="Yes",IF(COUNTBLANK('Capacity summary'!$H217:$BG217)&lt;52,IF('Capacity summary'!AC217&lt;&gt;"",IF(LOWER('Capacity summary'!AC217)="x",$BI98*AC98,VALUE('Capacity summary'!AC217)),0),AC98*$BI98),AC98*$BI98),0)</f>
        <v>0</v>
      </c>
      <c r="CG98" s="311">
        <f>IF($BI98&lt;&gt;"",IF('Capacity summary'!$D$14="Yes",IF(COUNTBLANK('Capacity summary'!$H217:$BG217)&lt;52,IF('Capacity summary'!AD217&lt;&gt;"",IF(LOWER('Capacity summary'!AD217)="x",$BI98*AD98,VALUE('Capacity summary'!AD217)),0),AD98*$BI98),AD98*$BI98),0)</f>
        <v>0</v>
      </c>
      <c r="CH98" s="311">
        <f>IF($BI98&lt;&gt;"",IF('Capacity summary'!$D$14="Yes",IF(COUNTBLANK('Capacity summary'!$H217:$BG217)&lt;52,IF('Capacity summary'!AE217&lt;&gt;"",IF(LOWER('Capacity summary'!AE217)="x",$BI98*AE98,VALUE('Capacity summary'!AE217)),0),AE98*$BI98),AE98*$BI98),0)</f>
        <v>0</v>
      </c>
      <c r="CI98" s="311">
        <f>IF($BI98&lt;&gt;"",IF('Capacity summary'!$D$14="Yes",IF(COUNTBLANK('Capacity summary'!$H217:$BG217)&lt;52,IF('Capacity summary'!AF217&lt;&gt;"",IF(LOWER('Capacity summary'!AF217)="x",$BI98*AF98,VALUE('Capacity summary'!AF217)),0),AF98*$BI98),AF98*$BI98),0)</f>
        <v>0</v>
      </c>
      <c r="CJ98" s="311">
        <f>IF($BI98&lt;&gt;"",IF('Capacity summary'!$D$14="Yes",IF(COUNTBLANK('Capacity summary'!$H217:$BG217)&lt;52,IF('Capacity summary'!AG217&lt;&gt;"",IF(LOWER('Capacity summary'!AG217)="x",$BI98*AG98,VALUE('Capacity summary'!AG217)),0),AG98*$BI98),AG98*$BI98),0)</f>
        <v>0</v>
      </c>
      <c r="CK98" s="311">
        <f>IF($BI98&lt;&gt;"",IF('Capacity summary'!$D$14="Yes",IF(COUNTBLANK('Capacity summary'!$H217:$BG217)&lt;52,IF('Capacity summary'!AH217&lt;&gt;"",IF(LOWER('Capacity summary'!AH217)="x",$BI98*AH98,VALUE('Capacity summary'!AH217)),0),AH98*$BI98),AH98*$BI98),0)</f>
        <v>0</v>
      </c>
      <c r="CL98" s="311">
        <f>IF($BI98&lt;&gt;"",IF('Capacity summary'!$D$14="Yes",IF(COUNTBLANK('Capacity summary'!$H217:$BG217)&lt;52,IF('Capacity summary'!AI217&lt;&gt;"",IF(LOWER('Capacity summary'!AI217)="x",$BI98*AI98,VALUE('Capacity summary'!AI217)),0),AI98*$BI98),AI98*$BI98),0)</f>
        <v>0</v>
      </c>
      <c r="CM98" s="311">
        <f>IF($BI98&lt;&gt;"",IF('Capacity summary'!$D$14="Yes",IF(COUNTBLANK('Capacity summary'!$H217:$BG217)&lt;52,IF('Capacity summary'!AJ217&lt;&gt;"",IF(LOWER('Capacity summary'!AJ217)="x",$BI98*AJ98,VALUE('Capacity summary'!AJ217)),0),AJ98*$BI98),AJ98*$BI98),0)</f>
        <v>0</v>
      </c>
      <c r="CN98" s="311">
        <f>IF($BI98&lt;&gt;"",IF('Capacity summary'!$D$14="Yes",IF(COUNTBLANK('Capacity summary'!$H217:$BG217)&lt;52,IF('Capacity summary'!AK217&lt;&gt;"",IF(LOWER('Capacity summary'!AK217)="x",$BI98*AK98,VALUE('Capacity summary'!AK217)),0),AK98*$BI98),AK98*$BI98),0)</f>
        <v>0</v>
      </c>
      <c r="CO98" s="311">
        <f>IF($BI98&lt;&gt;"",IF('Capacity summary'!$D$14="Yes",IF(COUNTBLANK('Capacity summary'!$H217:$BG217)&lt;52,IF('Capacity summary'!AL217&lt;&gt;"",IF(LOWER('Capacity summary'!AL217)="x",$BI98*AL98,VALUE('Capacity summary'!AL217)),0),AL98*$BI98),AL98*$BI98),0)</f>
        <v>0</v>
      </c>
      <c r="CP98" s="311">
        <f>IF($BI98&lt;&gt;"",IF('Capacity summary'!$D$14="Yes",IF(COUNTBLANK('Capacity summary'!$H217:$BG217)&lt;52,IF('Capacity summary'!AM217&lt;&gt;"",IF(LOWER('Capacity summary'!AM217)="x",$BI98*AM98,VALUE('Capacity summary'!AM217)),0),AM98*$BI98),AM98*$BI98),0)</f>
        <v>0</v>
      </c>
      <c r="CQ98" s="311">
        <f>IF($BI98&lt;&gt;"",IF('Capacity summary'!$D$14="Yes",IF(COUNTBLANK('Capacity summary'!$H217:$BG217)&lt;52,IF('Capacity summary'!AN217&lt;&gt;"",IF(LOWER('Capacity summary'!AN217)="x",$BI98*AN98,VALUE('Capacity summary'!AN217)),0),AN98*$BI98),AN98*$BI98),0)</f>
        <v>0</v>
      </c>
      <c r="CR98" s="311">
        <f>IF($BI98&lt;&gt;"",IF('Capacity summary'!$D$14="Yes",IF(COUNTBLANK('Capacity summary'!$H217:$BG217)&lt;52,IF('Capacity summary'!AO217&lt;&gt;"",IF(LOWER('Capacity summary'!AO217)="x",$BI98*AO98,VALUE('Capacity summary'!AO217)),0),AO98*$BI98),AO98*$BI98),0)</f>
        <v>0</v>
      </c>
      <c r="CS98" s="311">
        <f>IF($BI98&lt;&gt;"",IF('Capacity summary'!$D$14="Yes",IF(COUNTBLANK('Capacity summary'!$H217:$BG217)&lt;52,IF('Capacity summary'!AP217&lt;&gt;"",IF(LOWER('Capacity summary'!AP217)="x",$BI98*AP98,VALUE('Capacity summary'!AP217)),0),AP98*$BI98),AP98*$BI98),0)</f>
        <v>0</v>
      </c>
      <c r="CT98" s="311">
        <f>IF($BI98&lt;&gt;"",IF('Capacity summary'!$D$14="Yes",IF(COUNTBLANK('Capacity summary'!$H217:$BG217)&lt;52,IF('Capacity summary'!AQ217&lt;&gt;"",IF(LOWER('Capacity summary'!AQ217)="x",$BI98*AQ98,VALUE('Capacity summary'!AQ217)),0),AQ98*$BI98),AQ98*$BI98),0)</f>
        <v>0</v>
      </c>
      <c r="CU98" s="311">
        <f>IF($BI98&lt;&gt;"",IF('Capacity summary'!$D$14="Yes",IF(COUNTBLANK('Capacity summary'!$H217:$BG217)&lt;52,IF('Capacity summary'!AR217&lt;&gt;"",IF(LOWER('Capacity summary'!AR217)="x",$BI98*AR98,VALUE('Capacity summary'!AR217)),0),AR98*$BI98),AR98*$BI98),0)</f>
        <v>0</v>
      </c>
      <c r="CV98" s="311">
        <f>IF($BI98&lt;&gt;"",IF('Capacity summary'!$D$14="Yes",IF(COUNTBLANK('Capacity summary'!$H217:$BG217)&lt;52,IF('Capacity summary'!AS217&lt;&gt;"",IF(LOWER('Capacity summary'!AS217)="x",$BI98*AS98,VALUE('Capacity summary'!AS217)),0),AS98*$BI98),AS98*$BI98),0)</f>
        <v>0</v>
      </c>
      <c r="CW98" s="311">
        <f>IF($BI98&lt;&gt;"",IF('Capacity summary'!$D$14="Yes",IF(COUNTBLANK('Capacity summary'!$H217:$BG217)&lt;52,IF('Capacity summary'!AT217&lt;&gt;"",IF(LOWER('Capacity summary'!AT217)="x",$BI98*AT98,VALUE('Capacity summary'!AT217)),0),AT98*$BI98),AT98*$BI98),0)</f>
        <v>0</v>
      </c>
      <c r="CX98" s="311">
        <f>IF($BI98&lt;&gt;"",IF('Capacity summary'!$D$14="Yes",IF(COUNTBLANK('Capacity summary'!$H217:$BG217)&lt;52,IF('Capacity summary'!AU217&lt;&gt;"",IF(LOWER('Capacity summary'!AU217)="x",$BI98*AU98,VALUE('Capacity summary'!AU217)),0),AU98*$BI98),AU98*$BI98),0)</f>
        <v>0</v>
      </c>
      <c r="CY98" s="311">
        <f>IF($BI98&lt;&gt;"",IF('Capacity summary'!$D$14="Yes",IF(COUNTBLANK('Capacity summary'!$H217:$BG217)&lt;52,IF('Capacity summary'!AV217&lt;&gt;"",IF(LOWER('Capacity summary'!AV217)="x",$BI98*AV98,VALUE('Capacity summary'!AV217)),0),AV98*$BI98),AV98*$BI98),0)</f>
        <v>0</v>
      </c>
      <c r="CZ98" s="311">
        <f>IF($BI98&lt;&gt;"",IF('Capacity summary'!$D$14="Yes",IF(COUNTBLANK('Capacity summary'!$H217:$BG217)&lt;52,IF('Capacity summary'!AW217&lt;&gt;"",IF(LOWER('Capacity summary'!AW217)="x",$BI98*AW98,VALUE('Capacity summary'!AW217)),0),AW98*$BI98),AW98*$BI98),0)</f>
        <v>0</v>
      </c>
      <c r="DA98" s="311">
        <f>IF($BI98&lt;&gt;"",IF('Capacity summary'!$D$14="Yes",IF(COUNTBLANK('Capacity summary'!$H217:$BG217)&lt;52,IF('Capacity summary'!AX217&lt;&gt;"",IF(LOWER('Capacity summary'!AX217)="x",$BI98*AX98,VALUE('Capacity summary'!AX217)),0),AX98*$BI98),AX98*$BI98),0)</f>
        <v>0</v>
      </c>
      <c r="DB98" s="311">
        <f>IF($BI98&lt;&gt;"",IF('Capacity summary'!$D$14="Yes",IF(COUNTBLANK('Capacity summary'!$H217:$BG217)&lt;52,IF('Capacity summary'!AY217&lt;&gt;"",IF(LOWER('Capacity summary'!AY217)="x",$BI98*AY98,VALUE('Capacity summary'!AY217)),0),AY98*$BI98),AY98*$BI98),0)</f>
        <v>0</v>
      </c>
      <c r="DC98" s="311">
        <f>IF($BI98&lt;&gt;"",IF('Capacity summary'!$D$14="Yes",IF(COUNTBLANK('Capacity summary'!$H217:$BG217)&lt;52,IF('Capacity summary'!AZ217&lt;&gt;"",IF(LOWER('Capacity summary'!AZ217)="x",$BI98*AZ98,VALUE('Capacity summary'!AZ217)),0),AZ98*$BI98),AZ98*$BI98),0)</f>
        <v>0</v>
      </c>
      <c r="DD98" s="311">
        <f>IF($BI98&lt;&gt;"",IF('Capacity summary'!$D$14="Yes",IF(COUNTBLANK('Capacity summary'!$H217:$BG217)&lt;52,IF('Capacity summary'!BA217&lt;&gt;"",IF(LOWER('Capacity summary'!BA217)="x",$BI98*BA98,VALUE('Capacity summary'!BA217)),0),BA98*$BI98),BA98*$BI98),0)</f>
        <v>0</v>
      </c>
      <c r="DE98" s="311">
        <f>IF($BI98&lt;&gt;"",IF('Capacity summary'!$D$14="Yes",IF(COUNTBLANK('Capacity summary'!$H217:$BG217)&lt;52,IF('Capacity summary'!BB217&lt;&gt;"",IF(LOWER('Capacity summary'!BB217)="x",$BI98*BB98,VALUE('Capacity summary'!BB217)),0),BB98*$BI98),BB98*$BI98),0)</f>
        <v>0</v>
      </c>
      <c r="DF98" s="311">
        <f>IF($BI98&lt;&gt;"",IF('Capacity summary'!$D$14="Yes",IF(COUNTBLANK('Capacity summary'!$H217:$BG217)&lt;52,IF('Capacity summary'!BC217&lt;&gt;"",IF(LOWER('Capacity summary'!BC217)="x",$BI98*BC98,VALUE('Capacity summary'!BC217)),0),BC98*$BI98),BC98*$BI98),0)</f>
        <v>0</v>
      </c>
      <c r="DG98" s="311">
        <f>IF($BI98&lt;&gt;"",IF('Capacity summary'!$D$14="Yes",IF(COUNTBLANK('Capacity summary'!$H217:$BG217)&lt;52,IF('Capacity summary'!BD217&lt;&gt;"",IF(LOWER('Capacity summary'!BD217)="x",$BI98*BD98,VALUE('Capacity summary'!BD217)),0),BD98*$BI98),BD98*$BI98),0)</f>
        <v>0</v>
      </c>
      <c r="DH98" s="311">
        <f>IF($BI98&lt;&gt;"",IF('Capacity summary'!$D$14="Yes",IF(COUNTBLANK('Capacity summary'!$H217:$BG217)&lt;52,IF('Capacity summary'!BE217&lt;&gt;"",IF(LOWER('Capacity summary'!BE217)="x",$BI98*BE98,VALUE('Capacity summary'!BE217)),0),BE98*$BI98),BE98*$BI98),0)</f>
        <v>0</v>
      </c>
      <c r="DI98" s="311">
        <f>IF($BI98&lt;&gt;"",IF('Capacity summary'!$D$14="Yes",IF(COUNTBLANK('Capacity summary'!$H217:$BG217)&lt;52,IF('Capacity summary'!BF217&lt;&gt;"",IF(LOWER('Capacity summary'!BF217)="x",$BI98*BF98,VALUE('Capacity summary'!BF217)),0),BF98*$BI98),BF98*$BI98),0)</f>
        <v>0</v>
      </c>
      <c r="DJ98" s="311">
        <f>IF($BI98&lt;&gt;"",IF('Capacity summary'!$D$14="Yes",IF(COUNTBLANK('Capacity summary'!$H217:$BG217)&lt;52,IF('Capacity summary'!BG217&lt;&gt;"",IF(LOWER('Capacity summary'!BG217)="x",$BI98*BG98,VALUE('Capacity summary'!BG217)),0),BG98*$BI98),BG98*$BI98),0)</f>
        <v>0</v>
      </c>
      <c r="DK98" s="391">
        <f t="shared" si="4"/>
        <v>0</v>
      </c>
      <c r="DL98" s="136">
        <f t="shared" si="5"/>
        <v>0</v>
      </c>
      <c r="DM98" s="311" t="str">
        <f>Capacity!H110</f>
        <v/>
      </c>
    </row>
    <row r="99" spans="1:117" x14ac:dyDescent="0.2">
      <c r="A99" s="67">
        <f>IF(Capacity!L111='Capacity summary'!BI218,1,0)</f>
        <v>1</v>
      </c>
      <c r="B99" s="67">
        <f>IF(Capacity!V111='Capacity summary'!BI118,1,0)</f>
        <v>1</v>
      </c>
      <c r="C99" s="67" t="str">
        <f>ROW(A95)&amp;". "&amp;Capacity!B111</f>
        <v xml:space="preserve">95. </v>
      </c>
      <c r="D99" s="67">
        <f>'Capacity setup'!C106</f>
        <v>0</v>
      </c>
      <c r="E99" s="67">
        <f>'Capacity setup'!D106</f>
        <v>0</v>
      </c>
      <c r="F99" s="67">
        <f>'Capacity setup'!E106</f>
        <v>0</v>
      </c>
      <c r="H99" s="67">
        <f ca="1">IF(LOWER(Capacity!$L111)="x",IF(AND(SUMIF(Capacity_Resource,$D99,'Critical resources (hide)'!U$6:U$105)+SUMIF(Capacity_Resource,$E99,'Critical resources (hide)'!U$6:U$105)+SUMIF(Capacity_Resource,$F99,'Critical resources (hide)'!U$6:U$105)&gt;0,$E$1=2),0,1),0)</f>
        <v>1</v>
      </c>
      <c r="I99" s="67">
        <f ca="1">IF(LOWER(Capacity!$L111)="x",IF(AND(SUMIF(Capacity_Resource,$D99,'Critical resources (hide)'!V$6:V$105)+SUMIF(Capacity_Resource,$E99,'Critical resources (hide)'!V$6:V$105)+SUMIF(Capacity_Resource,$F99,'Critical resources (hide)'!V$6:V$105)&gt;0,$E$1=2),0,1),0)</f>
        <v>1</v>
      </c>
      <c r="J99" s="67">
        <f ca="1">IF(LOWER(Capacity!$L111)="x",IF(AND(SUMIF(Capacity_Resource,$D99,'Critical resources (hide)'!W$6:W$105)+SUMIF(Capacity_Resource,$E99,'Critical resources (hide)'!W$6:W$105)+SUMIF(Capacity_Resource,$F99,'Critical resources (hide)'!W$6:W$105)&gt;0,$E$1=2),0,1),0)</f>
        <v>1</v>
      </c>
      <c r="K99" s="67">
        <f ca="1">IF(LOWER(Capacity!$L111)="x",IF(AND(SUMIF(Capacity_Resource,$D99,'Critical resources (hide)'!X$6:X$105)+SUMIF(Capacity_Resource,$E99,'Critical resources (hide)'!X$6:X$105)+SUMIF(Capacity_Resource,$F99,'Critical resources (hide)'!X$6:X$105)&gt;0,$E$1=2),0,1),0)</f>
        <v>1</v>
      </c>
      <c r="L99" s="67">
        <f ca="1">IF(LOWER(Capacity!$L111)="x",IF(AND(SUMIF(Capacity_Resource,$D99,'Critical resources (hide)'!Y$6:Y$105)+SUMIF(Capacity_Resource,$E99,'Critical resources (hide)'!Y$6:Y$105)+SUMIF(Capacity_Resource,$F99,'Critical resources (hide)'!Y$6:Y$105)&gt;0,$E$1=2),0,1),0)</f>
        <v>1</v>
      </c>
      <c r="M99" s="67">
        <f ca="1">IF(LOWER(Capacity!$L111)="x",IF(AND(SUMIF(Capacity_Resource,$D99,'Critical resources (hide)'!Z$6:Z$105)+SUMIF(Capacity_Resource,$E99,'Critical resources (hide)'!Z$6:Z$105)+SUMIF(Capacity_Resource,$F99,'Critical resources (hide)'!Z$6:Z$105)&gt;0,$E$1=2),0,1),0)</f>
        <v>1</v>
      </c>
      <c r="N99" s="67">
        <f ca="1">IF(LOWER(Capacity!$L111)="x",IF(AND(SUMIF(Capacity_Resource,$D99,'Critical resources (hide)'!AA$6:AA$105)+SUMIF(Capacity_Resource,$E99,'Critical resources (hide)'!AA$6:AA$105)+SUMIF(Capacity_Resource,$F99,'Critical resources (hide)'!AA$6:AA$105)&gt;0,$E$1=2),0,1),0)</f>
        <v>1</v>
      </c>
      <c r="O99" s="67">
        <f ca="1">IF(LOWER(Capacity!$L111)="x",IF(AND(SUMIF(Capacity_Resource,$D99,'Critical resources (hide)'!AB$6:AB$105)+SUMIF(Capacity_Resource,$E99,'Critical resources (hide)'!AB$6:AB$105)+SUMIF(Capacity_Resource,$F99,'Critical resources (hide)'!AB$6:AB$105)&gt;0,$E$1=2),0,1),0)</f>
        <v>1</v>
      </c>
      <c r="P99" s="67">
        <f ca="1">IF(LOWER(Capacity!$L111)="x",IF(AND(SUMIF(Capacity_Resource,$D99,'Critical resources (hide)'!AC$6:AC$105)+SUMIF(Capacity_Resource,$E99,'Critical resources (hide)'!AC$6:AC$105)+SUMIF(Capacity_Resource,$F99,'Critical resources (hide)'!AC$6:AC$105)&gt;0,$E$1=2),0,1),0)</f>
        <v>1</v>
      </c>
      <c r="Q99" s="67">
        <f ca="1">IF(LOWER(Capacity!$L111)="x",IF(AND(SUMIF(Capacity_Resource,$D99,'Critical resources (hide)'!AD$6:AD$105)+SUMIF(Capacity_Resource,$E99,'Critical resources (hide)'!AD$6:AD$105)+SUMIF(Capacity_Resource,$F99,'Critical resources (hide)'!AD$6:AD$105)&gt;0,$E$1=2),0,1),0)</f>
        <v>1</v>
      </c>
      <c r="R99" s="67">
        <f ca="1">IF(LOWER(Capacity!$L111)="x",IF(AND(SUMIF(Capacity_Resource,$D99,'Critical resources (hide)'!AE$6:AE$105)+SUMIF(Capacity_Resource,$E99,'Critical resources (hide)'!AE$6:AE$105)+SUMIF(Capacity_Resource,$F99,'Critical resources (hide)'!AE$6:AE$105)&gt;0,$E$1=2),0,1),0)</f>
        <v>1</v>
      </c>
      <c r="S99" s="67">
        <f ca="1">IF(LOWER(Capacity!$L111)="x",IF(AND(SUMIF(Capacity_Resource,$D99,'Critical resources (hide)'!AF$6:AF$105)+SUMIF(Capacity_Resource,$E99,'Critical resources (hide)'!AF$6:AF$105)+SUMIF(Capacity_Resource,$F99,'Critical resources (hide)'!AF$6:AF$105)&gt;0,$E$1=2),0,1),0)</f>
        <v>1</v>
      </c>
      <c r="T99" s="67">
        <f ca="1">IF(LOWER(Capacity!$L111)="x",IF(AND(SUMIF(Capacity_Resource,$D99,'Critical resources (hide)'!AG$6:AG$105)+SUMIF(Capacity_Resource,$E99,'Critical resources (hide)'!AG$6:AG$105)+SUMIF(Capacity_Resource,$F99,'Critical resources (hide)'!AG$6:AG$105)&gt;0,$E$1=2),0,1),0)</f>
        <v>1</v>
      </c>
      <c r="U99" s="67">
        <f ca="1">IF(LOWER(Capacity!$L111)="x",IF(AND(SUMIF(Capacity_Resource,$D99,'Critical resources (hide)'!AH$6:AH$105)+SUMIF(Capacity_Resource,$E99,'Critical resources (hide)'!AH$6:AH$105)+SUMIF(Capacity_Resource,$F99,'Critical resources (hide)'!AH$6:AH$105)&gt;0,$E$1=2),0,1),0)</f>
        <v>1</v>
      </c>
      <c r="V99" s="67">
        <f ca="1">IF(LOWER(Capacity!$L111)="x",IF(AND(SUMIF(Capacity_Resource,$D99,'Critical resources (hide)'!AI$6:AI$105)+SUMIF(Capacity_Resource,$E99,'Critical resources (hide)'!AI$6:AI$105)+SUMIF(Capacity_Resource,$F99,'Critical resources (hide)'!AI$6:AI$105)&gt;0,$E$1=2),0,1),0)</f>
        <v>1</v>
      </c>
      <c r="W99" s="67">
        <f ca="1">IF(LOWER(Capacity!$L111)="x",IF(AND(SUMIF(Capacity_Resource,$D99,'Critical resources (hide)'!AJ$6:AJ$105)+SUMIF(Capacity_Resource,$E99,'Critical resources (hide)'!AJ$6:AJ$105)+SUMIF(Capacity_Resource,$F99,'Critical resources (hide)'!AJ$6:AJ$105)&gt;0,$E$1=2),0,1),0)</f>
        <v>1</v>
      </c>
      <c r="X99" s="67">
        <f ca="1">IF(LOWER(Capacity!$L111)="x",IF(AND(SUMIF(Capacity_Resource,$D99,'Critical resources (hide)'!AK$6:AK$105)+SUMIF(Capacity_Resource,$E99,'Critical resources (hide)'!AK$6:AK$105)+SUMIF(Capacity_Resource,$F99,'Critical resources (hide)'!AK$6:AK$105)&gt;0,$E$1=2),0,1),0)</f>
        <v>1</v>
      </c>
      <c r="Y99" s="67">
        <f ca="1">IF(LOWER(Capacity!$L111)="x",IF(AND(SUMIF(Capacity_Resource,$D99,'Critical resources (hide)'!AL$6:AL$105)+SUMIF(Capacity_Resource,$E99,'Critical resources (hide)'!AL$6:AL$105)+SUMIF(Capacity_Resource,$F99,'Critical resources (hide)'!AL$6:AL$105)&gt;0,$E$1=2),0,1),0)</f>
        <v>1</v>
      </c>
      <c r="Z99" s="67">
        <f ca="1">IF(LOWER(Capacity!$L111)="x",IF(AND(SUMIF(Capacity_Resource,$D99,'Critical resources (hide)'!AM$6:AM$105)+SUMIF(Capacity_Resource,$E99,'Critical resources (hide)'!AM$6:AM$105)+SUMIF(Capacity_Resource,$F99,'Critical resources (hide)'!AM$6:AM$105)&gt;0,$E$1=2),0,1),0)</f>
        <v>1</v>
      </c>
      <c r="AA99" s="67">
        <f ca="1">IF(LOWER(Capacity!$L111)="x",IF(AND(SUMIF(Capacity_Resource,$D99,'Critical resources (hide)'!AN$6:AN$105)+SUMIF(Capacity_Resource,$E99,'Critical resources (hide)'!AN$6:AN$105)+SUMIF(Capacity_Resource,$F99,'Critical resources (hide)'!AN$6:AN$105)&gt;0,$E$1=2),0,1),0)</f>
        <v>1</v>
      </c>
      <c r="AB99" s="67">
        <f ca="1">IF(LOWER(Capacity!$L111)="x",IF(AND(SUMIF(Capacity_Resource,$D99,'Critical resources (hide)'!AO$6:AO$105)+SUMIF(Capacity_Resource,$E99,'Critical resources (hide)'!AO$6:AO$105)+SUMIF(Capacity_Resource,$F99,'Critical resources (hide)'!AO$6:AO$105)&gt;0,$E$1=2),0,1),0)</f>
        <v>1</v>
      </c>
      <c r="AC99" s="67">
        <f ca="1">IF(LOWER(Capacity!$L111)="x",IF(AND(SUMIF(Capacity_Resource,$D99,'Critical resources (hide)'!AP$6:AP$105)+SUMIF(Capacity_Resource,$E99,'Critical resources (hide)'!AP$6:AP$105)+SUMIF(Capacity_Resource,$F99,'Critical resources (hide)'!AP$6:AP$105)&gt;0,$E$1=2),0,1),0)</f>
        <v>1</v>
      </c>
      <c r="AD99" s="67">
        <f ca="1">IF(LOWER(Capacity!$L111)="x",IF(AND(SUMIF(Capacity_Resource,$D99,'Critical resources (hide)'!AQ$6:AQ$105)+SUMIF(Capacity_Resource,$E99,'Critical resources (hide)'!AQ$6:AQ$105)+SUMIF(Capacity_Resource,$F99,'Critical resources (hide)'!AQ$6:AQ$105)&gt;0,$E$1=2),0,1),0)</f>
        <v>1</v>
      </c>
      <c r="AE99" s="67">
        <f ca="1">IF(LOWER(Capacity!$L111)="x",IF(AND(SUMIF(Capacity_Resource,$D99,'Critical resources (hide)'!AR$6:AR$105)+SUMIF(Capacity_Resource,$E99,'Critical resources (hide)'!AR$6:AR$105)+SUMIF(Capacity_Resource,$F99,'Critical resources (hide)'!AR$6:AR$105)&gt;0,$E$1=2),0,1),0)</f>
        <v>1</v>
      </c>
      <c r="AF99" s="67">
        <f ca="1">IF(LOWER(Capacity!$L111)="x",IF(AND(SUMIF(Capacity_Resource,$D99,'Critical resources (hide)'!AS$6:AS$105)+SUMIF(Capacity_Resource,$E99,'Critical resources (hide)'!AS$6:AS$105)+SUMIF(Capacity_Resource,$F99,'Critical resources (hide)'!AS$6:AS$105)&gt;0,$E$1=2),0,1),0)</f>
        <v>1</v>
      </c>
      <c r="AG99" s="67">
        <f ca="1">IF(LOWER(Capacity!$L111)="x",IF(AND(SUMIF(Capacity_Resource,$D99,'Critical resources (hide)'!AT$6:AT$105)+SUMIF(Capacity_Resource,$E99,'Critical resources (hide)'!AT$6:AT$105)+SUMIF(Capacity_Resource,$F99,'Critical resources (hide)'!AT$6:AT$105)&gt;0,$E$1=2),0,1),0)</f>
        <v>1</v>
      </c>
      <c r="AH99" s="67">
        <f ca="1">IF(LOWER(Capacity!$L111)="x",IF(AND(SUMIF(Capacity_Resource,$D99,'Critical resources (hide)'!AU$6:AU$105)+SUMIF(Capacity_Resource,$E99,'Critical resources (hide)'!AU$6:AU$105)+SUMIF(Capacity_Resource,$F99,'Critical resources (hide)'!AU$6:AU$105)&gt;0,$E$1=2),0,1),0)</f>
        <v>1</v>
      </c>
      <c r="AI99" s="67">
        <f ca="1">IF(LOWER(Capacity!$L111)="x",IF(AND(SUMIF(Capacity_Resource,$D99,'Critical resources (hide)'!AV$6:AV$105)+SUMIF(Capacity_Resource,$E99,'Critical resources (hide)'!AV$6:AV$105)+SUMIF(Capacity_Resource,$F99,'Critical resources (hide)'!AV$6:AV$105)&gt;0,$E$1=2),0,1),0)</f>
        <v>1</v>
      </c>
      <c r="AJ99" s="67">
        <f ca="1">IF(LOWER(Capacity!$L111)="x",IF(AND(SUMIF(Capacity_Resource,$D99,'Critical resources (hide)'!AW$6:AW$105)+SUMIF(Capacity_Resource,$E99,'Critical resources (hide)'!AW$6:AW$105)+SUMIF(Capacity_Resource,$F99,'Critical resources (hide)'!AW$6:AW$105)&gt;0,$E$1=2),0,1),0)</f>
        <v>1</v>
      </c>
      <c r="AK99" s="67">
        <f ca="1">IF(LOWER(Capacity!$L111)="x",IF(AND(SUMIF(Capacity_Resource,$D99,'Critical resources (hide)'!AX$6:AX$105)+SUMIF(Capacity_Resource,$E99,'Critical resources (hide)'!AX$6:AX$105)+SUMIF(Capacity_Resource,$F99,'Critical resources (hide)'!AX$6:AX$105)&gt;0,$E$1=2),0,1),0)</f>
        <v>1</v>
      </c>
      <c r="AL99" s="67">
        <f ca="1">IF(LOWER(Capacity!$L111)="x",IF(AND(SUMIF(Capacity_Resource,$D99,'Critical resources (hide)'!AY$6:AY$105)+SUMIF(Capacity_Resource,$E99,'Critical resources (hide)'!AY$6:AY$105)+SUMIF(Capacity_Resource,$F99,'Critical resources (hide)'!AY$6:AY$105)&gt;0,$E$1=2),0,1),0)</f>
        <v>1</v>
      </c>
      <c r="AM99" s="67">
        <f ca="1">IF(LOWER(Capacity!$L111)="x",IF(AND(SUMIF(Capacity_Resource,$D99,'Critical resources (hide)'!AZ$6:AZ$105)+SUMIF(Capacity_Resource,$E99,'Critical resources (hide)'!AZ$6:AZ$105)+SUMIF(Capacity_Resource,$F99,'Critical resources (hide)'!AZ$6:AZ$105)&gt;0,$E$1=2),0,1),0)</f>
        <v>1</v>
      </c>
      <c r="AN99" s="67">
        <f ca="1">IF(LOWER(Capacity!$L111)="x",IF(AND(SUMIF(Capacity_Resource,$D99,'Critical resources (hide)'!BA$6:BA$105)+SUMIF(Capacity_Resource,$E99,'Critical resources (hide)'!BA$6:BA$105)+SUMIF(Capacity_Resource,$F99,'Critical resources (hide)'!BA$6:BA$105)&gt;0,$E$1=2),0,1),0)</f>
        <v>1</v>
      </c>
      <c r="AO99" s="67">
        <f ca="1">IF(LOWER(Capacity!$L111)="x",IF(AND(SUMIF(Capacity_Resource,$D99,'Critical resources (hide)'!BB$6:BB$105)+SUMIF(Capacity_Resource,$E99,'Critical resources (hide)'!BB$6:BB$105)+SUMIF(Capacity_Resource,$F99,'Critical resources (hide)'!BB$6:BB$105)&gt;0,$E$1=2),0,1),0)</f>
        <v>1</v>
      </c>
      <c r="AP99" s="67">
        <f ca="1">IF(LOWER(Capacity!$L111)="x",IF(AND(SUMIF(Capacity_Resource,$D99,'Critical resources (hide)'!BC$6:BC$105)+SUMIF(Capacity_Resource,$E99,'Critical resources (hide)'!BC$6:BC$105)+SUMIF(Capacity_Resource,$F99,'Critical resources (hide)'!BC$6:BC$105)&gt;0,$E$1=2),0,1),0)</f>
        <v>1</v>
      </c>
      <c r="AQ99" s="67">
        <f ca="1">IF(LOWER(Capacity!$L111)="x",IF(AND(SUMIF(Capacity_Resource,$D99,'Critical resources (hide)'!BD$6:BD$105)+SUMIF(Capacity_Resource,$E99,'Critical resources (hide)'!BD$6:BD$105)+SUMIF(Capacity_Resource,$F99,'Critical resources (hide)'!BD$6:BD$105)&gt;0,$E$1=2),0,1),0)</f>
        <v>1</v>
      </c>
      <c r="AR99" s="67">
        <f ca="1">IF(LOWER(Capacity!$L111)="x",IF(AND(SUMIF(Capacity_Resource,$D99,'Critical resources (hide)'!BE$6:BE$105)+SUMIF(Capacity_Resource,$E99,'Critical resources (hide)'!BE$6:BE$105)+SUMIF(Capacity_Resource,$F99,'Critical resources (hide)'!BE$6:BE$105)&gt;0,$E$1=2),0,1),0)</f>
        <v>1</v>
      </c>
      <c r="AS99" s="67">
        <f ca="1">IF(LOWER(Capacity!$L111)="x",IF(AND(SUMIF(Capacity_Resource,$D99,'Critical resources (hide)'!BF$6:BF$105)+SUMIF(Capacity_Resource,$E99,'Critical resources (hide)'!BF$6:BF$105)+SUMIF(Capacity_Resource,$F99,'Critical resources (hide)'!BF$6:BF$105)&gt;0,$E$1=2),0,1),0)</f>
        <v>1</v>
      </c>
      <c r="AT99" s="67">
        <f ca="1">IF(LOWER(Capacity!$L111)="x",IF(AND(SUMIF(Capacity_Resource,$D99,'Critical resources (hide)'!BG$6:BG$105)+SUMIF(Capacity_Resource,$E99,'Critical resources (hide)'!BG$6:BG$105)+SUMIF(Capacity_Resource,$F99,'Critical resources (hide)'!BG$6:BG$105)&gt;0,$E$1=2),0,1),0)</f>
        <v>1</v>
      </c>
      <c r="AU99" s="67">
        <f ca="1">IF(LOWER(Capacity!$L111)="x",IF(AND(SUMIF(Capacity_Resource,$D99,'Critical resources (hide)'!BH$6:BH$105)+SUMIF(Capacity_Resource,$E99,'Critical resources (hide)'!BH$6:BH$105)+SUMIF(Capacity_Resource,$F99,'Critical resources (hide)'!BH$6:BH$105)&gt;0,$E$1=2),0,1),0)</f>
        <v>1</v>
      </c>
      <c r="AV99" s="67">
        <f ca="1">IF(LOWER(Capacity!$L111)="x",IF(AND(SUMIF(Capacity_Resource,$D99,'Critical resources (hide)'!BI$6:BI$105)+SUMIF(Capacity_Resource,$E99,'Critical resources (hide)'!BI$6:BI$105)+SUMIF(Capacity_Resource,$F99,'Critical resources (hide)'!BI$6:BI$105)&gt;0,$E$1=2),0,1),0)</f>
        <v>1</v>
      </c>
      <c r="AW99" s="67">
        <f ca="1">IF(LOWER(Capacity!$L111)="x",IF(AND(SUMIF(Capacity_Resource,$D99,'Critical resources (hide)'!BJ$6:BJ$105)+SUMIF(Capacity_Resource,$E99,'Critical resources (hide)'!BJ$6:BJ$105)+SUMIF(Capacity_Resource,$F99,'Critical resources (hide)'!BJ$6:BJ$105)&gt;0,$E$1=2),0,1),0)</f>
        <v>1</v>
      </c>
      <c r="AX99" s="67">
        <f ca="1">IF(LOWER(Capacity!$L111)="x",IF(AND(SUMIF(Capacity_Resource,$D99,'Critical resources (hide)'!BK$6:BK$105)+SUMIF(Capacity_Resource,$E99,'Critical resources (hide)'!BK$6:BK$105)+SUMIF(Capacity_Resource,$F99,'Critical resources (hide)'!BK$6:BK$105)&gt;0,$E$1=2),0,1),0)</f>
        <v>1</v>
      </c>
      <c r="AY99" s="67">
        <f ca="1">IF(LOWER(Capacity!$L111)="x",IF(AND(SUMIF(Capacity_Resource,$D99,'Critical resources (hide)'!BL$6:BL$105)+SUMIF(Capacity_Resource,$E99,'Critical resources (hide)'!BL$6:BL$105)+SUMIF(Capacity_Resource,$F99,'Critical resources (hide)'!BL$6:BL$105)&gt;0,$E$1=2),0,1),0)</f>
        <v>1</v>
      </c>
      <c r="AZ99" s="67">
        <f ca="1">IF(LOWER(Capacity!$L111)="x",IF(AND(SUMIF(Capacity_Resource,$D99,'Critical resources (hide)'!BM$6:BM$105)+SUMIF(Capacity_Resource,$E99,'Critical resources (hide)'!BM$6:BM$105)+SUMIF(Capacity_Resource,$F99,'Critical resources (hide)'!BM$6:BM$105)&gt;0,$E$1=2),0,1),0)</f>
        <v>1</v>
      </c>
      <c r="BA99" s="67">
        <f ca="1">IF(LOWER(Capacity!$L111)="x",IF(AND(SUMIF(Capacity_Resource,$D99,'Critical resources (hide)'!BN$6:BN$105)+SUMIF(Capacity_Resource,$E99,'Critical resources (hide)'!BN$6:BN$105)+SUMIF(Capacity_Resource,$F99,'Critical resources (hide)'!BN$6:BN$105)&gt;0,$E$1=2),0,1),0)</f>
        <v>1</v>
      </c>
      <c r="BB99" s="67">
        <f ca="1">IF(LOWER(Capacity!$L111)="x",IF(AND(SUMIF(Capacity_Resource,$D99,'Critical resources (hide)'!BO$6:BO$105)+SUMIF(Capacity_Resource,$E99,'Critical resources (hide)'!BO$6:BO$105)+SUMIF(Capacity_Resource,$F99,'Critical resources (hide)'!BO$6:BO$105)&gt;0,$E$1=2),0,1),0)</f>
        <v>1</v>
      </c>
      <c r="BC99" s="67">
        <f ca="1">IF(LOWER(Capacity!$L111)="x",IF(AND(SUMIF(Capacity_Resource,$D99,'Critical resources (hide)'!BP$6:BP$105)+SUMIF(Capacity_Resource,$E99,'Critical resources (hide)'!BP$6:BP$105)+SUMIF(Capacity_Resource,$F99,'Critical resources (hide)'!BP$6:BP$105)&gt;0,$E$1=2),0,1),0)</f>
        <v>1</v>
      </c>
      <c r="BD99" s="67">
        <f ca="1">IF(LOWER(Capacity!$L111)="x",IF(AND(SUMIF(Capacity_Resource,$D99,'Critical resources (hide)'!BQ$6:BQ$105)+SUMIF(Capacity_Resource,$E99,'Critical resources (hide)'!BQ$6:BQ$105)+SUMIF(Capacity_Resource,$F99,'Critical resources (hide)'!BQ$6:BQ$105)&gt;0,$E$1=2),0,1),0)</f>
        <v>1</v>
      </c>
      <c r="BE99" s="67">
        <f ca="1">IF(LOWER(Capacity!$L111)="x",IF(AND(SUMIF(Capacity_Resource,$D99,'Critical resources (hide)'!BR$6:BR$105)+SUMIF(Capacity_Resource,$E99,'Critical resources (hide)'!BR$6:BR$105)+SUMIF(Capacity_Resource,$F99,'Critical resources (hide)'!BR$6:BR$105)&gt;0,$E$1=2),0,1),0)</f>
        <v>1</v>
      </c>
      <c r="BF99" s="67">
        <f ca="1">IF(LOWER(Capacity!$L111)="x",IF(AND(SUMIF(Capacity_Resource,$D99,'Critical resources (hide)'!BS$6:BS$105)+SUMIF(Capacity_Resource,$E99,'Critical resources (hide)'!BS$6:BS$105)+SUMIF(Capacity_Resource,$F99,'Critical resources (hide)'!BS$6:BS$105)&gt;0,$E$1=2),0,1),0)</f>
        <v>1</v>
      </c>
      <c r="BG99" s="67">
        <f ca="1">IF(LOWER(Capacity!$L111)="x",IF(AND(SUMIF(Capacity_Resource,$D99,'Critical resources (hide)'!BT$6:BT$105)+SUMIF(Capacity_Resource,$E99,'Critical resources (hide)'!BT$6:BT$105)+SUMIF(Capacity_Resource,$F99,'Critical resources (hide)'!BT$6:BT$105)&gt;0,$E$1=2),0,1),0)</f>
        <v>1</v>
      </c>
      <c r="BH99" s="67">
        <f>IF(ROW(C95)&lt;=Capacity!$A$16,IF('Capacity summary'!$D$14="No",SUM(H99:BG99),'Capacity summary'!$E218),0)</f>
        <v>0</v>
      </c>
      <c r="BI99" s="5" t="str">
        <f>IF(BH99&gt;0,IF(BH99&lt;Capacity!E111,Capacity!F111,Capacity!H111/'Capacity calculation (hide)'!BH99),"")</f>
        <v/>
      </c>
      <c r="BK99" s="311">
        <f>IF($BI99&lt;&gt;"",IF('Capacity summary'!$D$14="Yes",IF(COUNTBLANK('Capacity summary'!$H218:$BG218)&lt;52,IF('Capacity summary'!H218&lt;&gt;"",IF(LOWER('Capacity summary'!H218)="x",$BI99*H99,VALUE('Capacity summary'!H218)),0),H99*$BI99),H99*$BI99),0)</f>
        <v>0</v>
      </c>
      <c r="BL99" s="311">
        <f>IF($BI99&lt;&gt;"",IF('Capacity summary'!$D$14="Yes",IF(COUNTBLANK('Capacity summary'!$H218:$BG218)&lt;52,IF('Capacity summary'!I218&lt;&gt;"",IF(LOWER('Capacity summary'!I218)="x",$BI99*I99,VALUE('Capacity summary'!I218)),0),I99*$BI99),I99*$BI99),0)</f>
        <v>0</v>
      </c>
      <c r="BM99" s="311">
        <f>IF($BI99&lt;&gt;"",IF('Capacity summary'!$D$14="Yes",IF(COUNTBLANK('Capacity summary'!$H218:$BG218)&lt;52,IF('Capacity summary'!J218&lt;&gt;"",IF(LOWER('Capacity summary'!J218)="x",$BI99*J99,VALUE('Capacity summary'!J218)),0),J99*$BI99),J99*$BI99),0)</f>
        <v>0</v>
      </c>
      <c r="BN99" s="311">
        <f>IF($BI99&lt;&gt;"",IF('Capacity summary'!$D$14="Yes",IF(COUNTBLANK('Capacity summary'!$H218:$BG218)&lt;52,IF('Capacity summary'!K218&lt;&gt;"",IF(LOWER('Capacity summary'!K218)="x",$BI99*K99,VALUE('Capacity summary'!K218)),0),K99*$BI99),K99*$BI99),0)</f>
        <v>0</v>
      </c>
      <c r="BO99" s="311">
        <f>IF($BI99&lt;&gt;"",IF('Capacity summary'!$D$14="Yes",IF(COUNTBLANK('Capacity summary'!$H218:$BG218)&lt;52,IF('Capacity summary'!L218&lt;&gt;"",IF(LOWER('Capacity summary'!L218)="x",$BI99*L99,VALUE('Capacity summary'!L218)),0),L99*$BI99),L99*$BI99),0)</f>
        <v>0</v>
      </c>
      <c r="BP99" s="311">
        <f>IF($BI99&lt;&gt;"",IF('Capacity summary'!$D$14="Yes",IF(COUNTBLANK('Capacity summary'!$H218:$BG218)&lt;52,IF('Capacity summary'!M218&lt;&gt;"",IF(LOWER('Capacity summary'!M218)="x",$BI99*M99,VALUE('Capacity summary'!M218)),0),M99*$BI99),M99*$BI99),0)</f>
        <v>0</v>
      </c>
      <c r="BQ99" s="311">
        <f>IF($BI99&lt;&gt;"",IF('Capacity summary'!$D$14="Yes",IF(COUNTBLANK('Capacity summary'!$H218:$BG218)&lt;52,IF('Capacity summary'!N218&lt;&gt;"",IF(LOWER('Capacity summary'!N218)="x",$BI99*N99,VALUE('Capacity summary'!N218)),0),N99*$BI99),N99*$BI99),0)</f>
        <v>0</v>
      </c>
      <c r="BR99" s="311">
        <f>IF($BI99&lt;&gt;"",IF('Capacity summary'!$D$14="Yes",IF(COUNTBLANK('Capacity summary'!$H218:$BG218)&lt;52,IF('Capacity summary'!O218&lt;&gt;"",IF(LOWER('Capacity summary'!O218)="x",$BI99*O99,VALUE('Capacity summary'!O218)),0),O99*$BI99),O99*$BI99),0)</f>
        <v>0</v>
      </c>
      <c r="BS99" s="311">
        <f>IF($BI99&lt;&gt;"",IF('Capacity summary'!$D$14="Yes",IF(COUNTBLANK('Capacity summary'!$H218:$BG218)&lt;52,IF('Capacity summary'!P218&lt;&gt;"",IF(LOWER('Capacity summary'!P218)="x",$BI99*P99,VALUE('Capacity summary'!P218)),0),P99*$BI99),P99*$BI99),0)</f>
        <v>0</v>
      </c>
      <c r="BT99" s="311">
        <f>IF($BI99&lt;&gt;"",IF('Capacity summary'!$D$14="Yes",IF(COUNTBLANK('Capacity summary'!$H218:$BG218)&lt;52,IF('Capacity summary'!Q218&lt;&gt;"",IF(LOWER('Capacity summary'!Q218)="x",$BI99*Q99,VALUE('Capacity summary'!Q218)),0),Q99*$BI99),Q99*$BI99),0)</f>
        <v>0</v>
      </c>
      <c r="BU99" s="311">
        <f>IF($BI99&lt;&gt;"",IF('Capacity summary'!$D$14="Yes",IF(COUNTBLANK('Capacity summary'!$H218:$BG218)&lt;52,IF('Capacity summary'!R218&lt;&gt;"",IF(LOWER('Capacity summary'!R218)="x",$BI99*R99,VALUE('Capacity summary'!R218)),0),R99*$BI99),R99*$BI99),0)</f>
        <v>0</v>
      </c>
      <c r="BV99" s="311">
        <f>IF($BI99&lt;&gt;"",IF('Capacity summary'!$D$14="Yes",IF(COUNTBLANK('Capacity summary'!$H218:$BG218)&lt;52,IF('Capacity summary'!S218&lt;&gt;"",IF(LOWER('Capacity summary'!S218)="x",$BI99*S99,VALUE('Capacity summary'!S218)),0),S99*$BI99),S99*$BI99),0)</f>
        <v>0</v>
      </c>
      <c r="BW99" s="311">
        <f>IF($BI99&lt;&gt;"",IF('Capacity summary'!$D$14="Yes",IF(COUNTBLANK('Capacity summary'!$H218:$BG218)&lt;52,IF('Capacity summary'!T218&lt;&gt;"",IF(LOWER('Capacity summary'!T218)="x",$BI99*T99,VALUE('Capacity summary'!T218)),0),T99*$BI99),T99*$BI99),0)</f>
        <v>0</v>
      </c>
      <c r="BX99" s="311">
        <f>IF($BI99&lt;&gt;"",IF('Capacity summary'!$D$14="Yes",IF(COUNTBLANK('Capacity summary'!$H218:$BG218)&lt;52,IF('Capacity summary'!U218&lt;&gt;"",IF(LOWER('Capacity summary'!U218)="x",$BI99*U99,VALUE('Capacity summary'!U218)),0),U99*$BI99),U99*$BI99),0)</f>
        <v>0</v>
      </c>
      <c r="BY99" s="311">
        <f>IF($BI99&lt;&gt;"",IF('Capacity summary'!$D$14="Yes",IF(COUNTBLANK('Capacity summary'!$H218:$BG218)&lt;52,IF('Capacity summary'!V218&lt;&gt;"",IF(LOWER('Capacity summary'!V218)="x",$BI99*V99,VALUE('Capacity summary'!V218)),0),V99*$BI99),V99*$BI99),0)</f>
        <v>0</v>
      </c>
      <c r="BZ99" s="311">
        <f>IF($BI99&lt;&gt;"",IF('Capacity summary'!$D$14="Yes",IF(COUNTBLANK('Capacity summary'!$H218:$BG218)&lt;52,IF('Capacity summary'!W218&lt;&gt;"",IF(LOWER('Capacity summary'!W218)="x",$BI99*W99,VALUE('Capacity summary'!W218)),0),W99*$BI99),W99*$BI99),0)</f>
        <v>0</v>
      </c>
      <c r="CA99" s="311">
        <f>IF($BI99&lt;&gt;"",IF('Capacity summary'!$D$14="Yes",IF(COUNTBLANK('Capacity summary'!$H218:$BG218)&lt;52,IF('Capacity summary'!X218&lt;&gt;"",IF(LOWER('Capacity summary'!X218)="x",$BI99*X99,VALUE('Capacity summary'!X218)),0),X99*$BI99),X99*$BI99),0)</f>
        <v>0</v>
      </c>
      <c r="CB99" s="311">
        <f>IF($BI99&lt;&gt;"",IF('Capacity summary'!$D$14="Yes",IF(COUNTBLANK('Capacity summary'!$H218:$BG218)&lt;52,IF('Capacity summary'!Y218&lt;&gt;"",IF(LOWER('Capacity summary'!Y218)="x",$BI99*Y99,VALUE('Capacity summary'!Y218)),0),Y99*$BI99),Y99*$BI99),0)</f>
        <v>0</v>
      </c>
      <c r="CC99" s="311">
        <f>IF($BI99&lt;&gt;"",IF('Capacity summary'!$D$14="Yes",IF(COUNTBLANK('Capacity summary'!$H218:$BG218)&lt;52,IF('Capacity summary'!Z218&lt;&gt;"",IF(LOWER('Capacity summary'!Z218)="x",$BI99*Z99,VALUE('Capacity summary'!Z218)),0),Z99*$BI99),Z99*$BI99),0)</f>
        <v>0</v>
      </c>
      <c r="CD99" s="311">
        <f>IF($BI99&lt;&gt;"",IF('Capacity summary'!$D$14="Yes",IF(COUNTBLANK('Capacity summary'!$H218:$BG218)&lt;52,IF('Capacity summary'!AA218&lt;&gt;"",IF(LOWER('Capacity summary'!AA218)="x",$BI99*AA99,VALUE('Capacity summary'!AA218)),0),AA99*$BI99),AA99*$BI99),0)</f>
        <v>0</v>
      </c>
      <c r="CE99" s="311">
        <f>IF($BI99&lt;&gt;"",IF('Capacity summary'!$D$14="Yes",IF(COUNTBLANK('Capacity summary'!$H218:$BG218)&lt;52,IF('Capacity summary'!AB218&lt;&gt;"",IF(LOWER('Capacity summary'!AB218)="x",$BI99*AB99,VALUE('Capacity summary'!AB218)),0),AB99*$BI99),AB99*$BI99),0)</f>
        <v>0</v>
      </c>
      <c r="CF99" s="311">
        <f>IF($BI99&lt;&gt;"",IF('Capacity summary'!$D$14="Yes",IF(COUNTBLANK('Capacity summary'!$H218:$BG218)&lt;52,IF('Capacity summary'!AC218&lt;&gt;"",IF(LOWER('Capacity summary'!AC218)="x",$BI99*AC99,VALUE('Capacity summary'!AC218)),0),AC99*$BI99),AC99*$BI99),0)</f>
        <v>0</v>
      </c>
      <c r="CG99" s="311">
        <f>IF($BI99&lt;&gt;"",IF('Capacity summary'!$D$14="Yes",IF(COUNTBLANK('Capacity summary'!$H218:$BG218)&lt;52,IF('Capacity summary'!AD218&lt;&gt;"",IF(LOWER('Capacity summary'!AD218)="x",$BI99*AD99,VALUE('Capacity summary'!AD218)),0),AD99*$BI99),AD99*$BI99),0)</f>
        <v>0</v>
      </c>
      <c r="CH99" s="311">
        <f>IF($BI99&lt;&gt;"",IF('Capacity summary'!$D$14="Yes",IF(COUNTBLANK('Capacity summary'!$H218:$BG218)&lt;52,IF('Capacity summary'!AE218&lt;&gt;"",IF(LOWER('Capacity summary'!AE218)="x",$BI99*AE99,VALUE('Capacity summary'!AE218)),0),AE99*$BI99),AE99*$BI99),0)</f>
        <v>0</v>
      </c>
      <c r="CI99" s="311">
        <f>IF($BI99&lt;&gt;"",IF('Capacity summary'!$D$14="Yes",IF(COUNTBLANK('Capacity summary'!$H218:$BG218)&lt;52,IF('Capacity summary'!AF218&lt;&gt;"",IF(LOWER('Capacity summary'!AF218)="x",$BI99*AF99,VALUE('Capacity summary'!AF218)),0),AF99*$BI99),AF99*$BI99),0)</f>
        <v>0</v>
      </c>
      <c r="CJ99" s="311">
        <f>IF($BI99&lt;&gt;"",IF('Capacity summary'!$D$14="Yes",IF(COUNTBLANK('Capacity summary'!$H218:$BG218)&lt;52,IF('Capacity summary'!AG218&lt;&gt;"",IF(LOWER('Capacity summary'!AG218)="x",$BI99*AG99,VALUE('Capacity summary'!AG218)),0),AG99*$BI99),AG99*$BI99),0)</f>
        <v>0</v>
      </c>
      <c r="CK99" s="311">
        <f>IF($BI99&lt;&gt;"",IF('Capacity summary'!$D$14="Yes",IF(COUNTBLANK('Capacity summary'!$H218:$BG218)&lt;52,IF('Capacity summary'!AH218&lt;&gt;"",IF(LOWER('Capacity summary'!AH218)="x",$BI99*AH99,VALUE('Capacity summary'!AH218)),0),AH99*$BI99),AH99*$BI99),0)</f>
        <v>0</v>
      </c>
      <c r="CL99" s="311">
        <f>IF($BI99&lt;&gt;"",IF('Capacity summary'!$D$14="Yes",IF(COUNTBLANK('Capacity summary'!$H218:$BG218)&lt;52,IF('Capacity summary'!AI218&lt;&gt;"",IF(LOWER('Capacity summary'!AI218)="x",$BI99*AI99,VALUE('Capacity summary'!AI218)),0),AI99*$BI99),AI99*$BI99),0)</f>
        <v>0</v>
      </c>
      <c r="CM99" s="311">
        <f>IF($BI99&lt;&gt;"",IF('Capacity summary'!$D$14="Yes",IF(COUNTBLANK('Capacity summary'!$H218:$BG218)&lt;52,IF('Capacity summary'!AJ218&lt;&gt;"",IF(LOWER('Capacity summary'!AJ218)="x",$BI99*AJ99,VALUE('Capacity summary'!AJ218)),0),AJ99*$BI99),AJ99*$BI99),0)</f>
        <v>0</v>
      </c>
      <c r="CN99" s="311">
        <f>IF($BI99&lt;&gt;"",IF('Capacity summary'!$D$14="Yes",IF(COUNTBLANK('Capacity summary'!$H218:$BG218)&lt;52,IF('Capacity summary'!AK218&lt;&gt;"",IF(LOWER('Capacity summary'!AK218)="x",$BI99*AK99,VALUE('Capacity summary'!AK218)),0),AK99*$BI99),AK99*$BI99),0)</f>
        <v>0</v>
      </c>
      <c r="CO99" s="311">
        <f>IF($BI99&lt;&gt;"",IF('Capacity summary'!$D$14="Yes",IF(COUNTBLANK('Capacity summary'!$H218:$BG218)&lt;52,IF('Capacity summary'!AL218&lt;&gt;"",IF(LOWER('Capacity summary'!AL218)="x",$BI99*AL99,VALUE('Capacity summary'!AL218)),0),AL99*$BI99),AL99*$BI99),0)</f>
        <v>0</v>
      </c>
      <c r="CP99" s="311">
        <f>IF($BI99&lt;&gt;"",IF('Capacity summary'!$D$14="Yes",IF(COUNTBLANK('Capacity summary'!$H218:$BG218)&lt;52,IF('Capacity summary'!AM218&lt;&gt;"",IF(LOWER('Capacity summary'!AM218)="x",$BI99*AM99,VALUE('Capacity summary'!AM218)),0),AM99*$BI99),AM99*$BI99),0)</f>
        <v>0</v>
      </c>
      <c r="CQ99" s="311">
        <f>IF($BI99&lt;&gt;"",IF('Capacity summary'!$D$14="Yes",IF(COUNTBLANK('Capacity summary'!$H218:$BG218)&lt;52,IF('Capacity summary'!AN218&lt;&gt;"",IF(LOWER('Capacity summary'!AN218)="x",$BI99*AN99,VALUE('Capacity summary'!AN218)),0),AN99*$BI99),AN99*$BI99),0)</f>
        <v>0</v>
      </c>
      <c r="CR99" s="311">
        <f>IF($BI99&lt;&gt;"",IF('Capacity summary'!$D$14="Yes",IF(COUNTBLANK('Capacity summary'!$H218:$BG218)&lt;52,IF('Capacity summary'!AO218&lt;&gt;"",IF(LOWER('Capacity summary'!AO218)="x",$BI99*AO99,VALUE('Capacity summary'!AO218)),0),AO99*$BI99),AO99*$BI99),0)</f>
        <v>0</v>
      </c>
      <c r="CS99" s="311">
        <f>IF($BI99&lt;&gt;"",IF('Capacity summary'!$D$14="Yes",IF(COUNTBLANK('Capacity summary'!$H218:$BG218)&lt;52,IF('Capacity summary'!AP218&lt;&gt;"",IF(LOWER('Capacity summary'!AP218)="x",$BI99*AP99,VALUE('Capacity summary'!AP218)),0),AP99*$BI99),AP99*$BI99),0)</f>
        <v>0</v>
      </c>
      <c r="CT99" s="311">
        <f>IF($BI99&lt;&gt;"",IF('Capacity summary'!$D$14="Yes",IF(COUNTBLANK('Capacity summary'!$H218:$BG218)&lt;52,IF('Capacity summary'!AQ218&lt;&gt;"",IF(LOWER('Capacity summary'!AQ218)="x",$BI99*AQ99,VALUE('Capacity summary'!AQ218)),0),AQ99*$BI99),AQ99*$BI99),0)</f>
        <v>0</v>
      </c>
      <c r="CU99" s="311">
        <f>IF($BI99&lt;&gt;"",IF('Capacity summary'!$D$14="Yes",IF(COUNTBLANK('Capacity summary'!$H218:$BG218)&lt;52,IF('Capacity summary'!AR218&lt;&gt;"",IF(LOWER('Capacity summary'!AR218)="x",$BI99*AR99,VALUE('Capacity summary'!AR218)),0),AR99*$BI99),AR99*$BI99),0)</f>
        <v>0</v>
      </c>
      <c r="CV99" s="311">
        <f>IF($BI99&lt;&gt;"",IF('Capacity summary'!$D$14="Yes",IF(COUNTBLANK('Capacity summary'!$H218:$BG218)&lt;52,IF('Capacity summary'!AS218&lt;&gt;"",IF(LOWER('Capacity summary'!AS218)="x",$BI99*AS99,VALUE('Capacity summary'!AS218)),0),AS99*$BI99),AS99*$BI99),0)</f>
        <v>0</v>
      </c>
      <c r="CW99" s="311">
        <f>IF($BI99&lt;&gt;"",IF('Capacity summary'!$D$14="Yes",IF(COUNTBLANK('Capacity summary'!$H218:$BG218)&lt;52,IF('Capacity summary'!AT218&lt;&gt;"",IF(LOWER('Capacity summary'!AT218)="x",$BI99*AT99,VALUE('Capacity summary'!AT218)),0),AT99*$BI99),AT99*$BI99),0)</f>
        <v>0</v>
      </c>
      <c r="CX99" s="311">
        <f>IF($BI99&lt;&gt;"",IF('Capacity summary'!$D$14="Yes",IF(COUNTBLANK('Capacity summary'!$H218:$BG218)&lt;52,IF('Capacity summary'!AU218&lt;&gt;"",IF(LOWER('Capacity summary'!AU218)="x",$BI99*AU99,VALUE('Capacity summary'!AU218)),0),AU99*$BI99),AU99*$BI99),0)</f>
        <v>0</v>
      </c>
      <c r="CY99" s="311">
        <f>IF($BI99&lt;&gt;"",IF('Capacity summary'!$D$14="Yes",IF(COUNTBLANK('Capacity summary'!$H218:$BG218)&lt;52,IF('Capacity summary'!AV218&lt;&gt;"",IF(LOWER('Capacity summary'!AV218)="x",$BI99*AV99,VALUE('Capacity summary'!AV218)),0),AV99*$BI99),AV99*$BI99),0)</f>
        <v>0</v>
      </c>
      <c r="CZ99" s="311">
        <f>IF($BI99&lt;&gt;"",IF('Capacity summary'!$D$14="Yes",IF(COUNTBLANK('Capacity summary'!$H218:$BG218)&lt;52,IF('Capacity summary'!AW218&lt;&gt;"",IF(LOWER('Capacity summary'!AW218)="x",$BI99*AW99,VALUE('Capacity summary'!AW218)),0),AW99*$BI99),AW99*$BI99),0)</f>
        <v>0</v>
      </c>
      <c r="DA99" s="311">
        <f>IF($BI99&lt;&gt;"",IF('Capacity summary'!$D$14="Yes",IF(COUNTBLANK('Capacity summary'!$H218:$BG218)&lt;52,IF('Capacity summary'!AX218&lt;&gt;"",IF(LOWER('Capacity summary'!AX218)="x",$BI99*AX99,VALUE('Capacity summary'!AX218)),0),AX99*$BI99),AX99*$BI99),0)</f>
        <v>0</v>
      </c>
      <c r="DB99" s="311">
        <f>IF($BI99&lt;&gt;"",IF('Capacity summary'!$D$14="Yes",IF(COUNTBLANK('Capacity summary'!$H218:$BG218)&lt;52,IF('Capacity summary'!AY218&lt;&gt;"",IF(LOWER('Capacity summary'!AY218)="x",$BI99*AY99,VALUE('Capacity summary'!AY218)),0),AY99*$BI99),AY99*$BI99),0)</f>
        <v>0</v>
      </c>
      <c r="DC99" s="311">
        <f>IF($BI99&lt;&gt;"",IF('Capacity summary'!$D$14="Yes",IF(COUNTBLANK('Capacity summary'!$H218:$BG218)&lt;52,IF('Capacity summary'!AZ218&lt;&gt;"",IF(LOWER('Capacity summary'!AZ218)="x",$BI99*AZ99,VALUE('Capacity summary'!AZ218)),0),AZ99*$BI99),AZ99*$BI99),0)</f>
        <v>0</v>
      </c>
      <c r="DD99" s="311">
        <f>IF($BI99&lt;&gt;"",IF('Capacity summary'!$D$14="Yes",IF(COUNTBLANK('Capacity summary'!$H218:$BG218)&lt;52,IF('Capacity summary'!BA218&lt;&gt;"",IF(LOWER('Capacity summary'!BA218)="x",$BI99*BA99,VALUE('Capacity summary'!BA218)),0),BA99*$BI99),BA99*$BI99),0)</f>
        <v>0</v>
      </c>
      <c r="DE99" s="311">
        <f>IF($BI99&lt;&gt;"",IF('Capacity summary'!$D$14="Yes",IF(COUNTBLANK('Capacity summary'!$H218:$BG218)&lt;52,IF('Capacity summary'!BB218&lt;&gt;"",IF(LOWER('Capacity summary'!BB218)="x",$BI99*BB99,VALUE('Capacity summary'!BB218)),0),BB99*$BI99),BB99*$BI99),0)</f>
        <v>0</v>
      </c>
      <c r="DF99" s="311">
        <f>IF($BI99&lt;&gt;"",IF('Capacity summary'!$D$14="Yes",IF(COUNTBLANK('Capacity summary'!$H218:$BG218)&lt;52,IF('Capacity summary'!BC218&lt;&gt;"",IF(LOWER('Capacity summary'!BC218)="x",$BI99*BC99,VALUE('Capacity summary'!BC218)),0),BC99*$BI99),BC99*$BI99),0)</f>
        <v>0</v>
      </c>
      <c r="DG99" s="311">
        <f>IF($BI99&lt;&gt;"",IF('Capacity summary'!$D$14="Yes",IF(COUNTBLANK('Capacity summary'!$H218:$BG218)&lt;52,IF('Capacity summary'!BD218&lt;&gt;"",IF(LOWER('Capacity summary'!BD218)="x",$BI99*BD99,VALUE('Capacity summary'!BD218)),0),BD99*$BI99),BD99*$BI99),0)</f>
        <v>0</v>
      </c>
      <c r="DH99" s="311">
        <f>IF($BI99&lt;&gt;"",IF('Capacity summary'!$D$14="Yes",IF(COUNTBLANK('Capacity summary'!$H218:$BG218)&lt;52,IF('Capacity summary'!BE218&lt;&gt;"",IF(LOWER('Capacity summary'!BE218)="x",$BI99*BE99,VALUE('Capacity summary'!BE218)),0),BE99*$BI99),BE99*$BI99),0)</f>
        <v>0</v>
      </c>
      <c r="DI99" s="311">
        <f>IF($BI99&lt;&gt;"",IF('Capacity summary'!$D$14="Yes",IF(COUNTBLANK('Capacity summary'!$H218:$BG218)&lt;52,IF('Capacity summary'!BF218&lt;&gt;"",IF(LOWER('Capacity summary'!BF218)="x",$BI99*BF99,VALUE('Capacity summary'!BF218)),0),BF99*$BI99),BF99*$BI99),0)</f>
        <v>0</v>
      </c>
      <c r="DJ99" s="311">
        <f>IF($BI99&lt;&gt;"",IF('Capacity summary'!$D$14="Yes",IF(COUNTBLANK('Capacity summary'!$H218:$BG218)&lt;52,IF('Capacity summary'!BG218&lt;&gt;"",IF(LOWER('Capacity summary'!BG218)="x",$BI99*BG99,VALUE('Capacity summary'!BG218)),0),BG99*$BI99),BG99*$BI99),0)</f>
        <v>0</v>
      </c>
      <c r="DK99" s="391">
        <f t="shared" si="4"/>
        <v>0</v>
      </c>
      <c r="DL99" s="136">
        <f t="shared" si="5"/>
        <v>0</v>
      </c>
      <c r="DM99" s="311" t="str">
        <f>Capacity!H111</f>
        <v/>
      </c>
    </row>
    <row r="100" spans="1:117" x14ac:dyDescent="0.2">
      <c r="A100" s="67">
        <f>IF(Capacity!L112='Capacity summary'!BI219,1,0)</f>
        <v>1</v>
      </c>
      <c r="B100" s="67">
        <f>IF(Capacity!V112='Capacity summary'!BI119,1,0)</f>
        <v>1</v>
      </c>
      <c r="C100" s="67" t="str">
        <f>ROW(A96)&amp;". "&amp;Capacity!B112</f>
        <v xml:space="preserve">96. </v>
      </c>
      <c r="D100" s="67">
        <f>'Capacity setup'!C107</f>
        <v>0</v>
      </c>
      <c r="E100" s="67">
        <f>'Capacity setup'!D107</f>
        <v>0</v>
      </c>
      <c r="F100" s="67">
        <f>'Capacity setup'!E107</f>
        <v>0</v>
      </c>
      <c r="H100" s="67">
        <f ca="1">IF(LOWER(Capacity!$L112)="x",IF(AND(SUMIF(Capacity_Resource,$D100,'Critical resources (hide)'!U$6:U$105)+SUMIF(Capacity_Resource,$E100,'Critical resources (hide)'!U$6:U$105)+SUMIF(Capacity_Resource,$F100,'Critical resources (hide)'!U$6:U$105)&gt;0,$E$1=2),0,1),0)</f>
        <v>1</v>
      </c>
      <c r="I100" s="67">
        <f ca="1">IF(LOWER(Capacity!$L112)="x",IF(AND(SUMIF(Capacity_Resource,$D100,'Critical resources (hide)'!V$6:V$105)+SUMIF(Capacity_Resource,$E100,'Critical resources (hide)'!V$6:V$105)+SUMIF(Capacity_Resource,$F100,'Critical resources (hide)'!V$6:V$105)&gt;0,$E$1=2),0,1),0)</f>
        <v>1</v>
      </c>
      <c r="J100" s="67">
        <f ca="1">IF(LOWER(Capacity!$L112)="x",IF(AND(SUMIF(Capacity_Resource,$D100,'Critical resources (hide)'!W$6:W$105)+SUMIF(Capacity_Resource,$E100,'Critical resources (hide)'!W$6:W$105)+SUMIF(Capacity_Resource,$F100,'Critical resources (hide)'!W$6:W$105)&gt;0,$E$1=2),0,1),0)</f>
        <v>1</v>
      </c>
      <c r="K100" s="67">
        <f ca="1">IF(LOWER(Capacity!$L112)="x",IF(AND(SUMIF(Capacity_Resource,$D100,'Critical resources (hide)'!X$6:X$105)+SUMIF(Capacity_Resource,$E100,'Critical resources (hide)'!X$6:X$105)+SUMIF(Capacity_Resource,$F100,'Critical resources (hide)'!X$6:X$105)&gt;0,$E$1=2),0,1),0)</f>
        <v>1</v>
      </c>
      <c r="L100" s="67">
        <f ca="1">IF(LOWER(Capacity!$L112)="x",IF(AND(SUMIF(Capacity_Resource,$D100,'Critical resources (hide)'!Y$6:Y$105)+SUMIF(Capacity_Resource,$E100,'Critical resources (hide)'!Y$6:Y$105)+SUMIF(Capacity_Resource,$F100,'Critical resources (hide)'!Y$6:Y$105)&gt;0,$E$1=2),0,1),0)</f>
        <v>1</v>
      </c>
      <c r="M100" s="67">
        <f ca="1">IF(LOWER(Capacity!$L112)="x",IF(AND(SUMIF(Capacity_Resource,$D100,'Critical resources (hide)'!Z$6:Z$105)+SUMIF(Capacity_Resource,$E100,'Critical resources (hide)'!Z$6:Z$105)+SUMIF(Capacity_Resource,$F100,'Critical resources (hide)'!Z$6:Z$105)&gt;0,$E$1=2),0,1),0)</f>
        <v>1</v>
      </c>
      <c r="N100" s="67">
        <f ca="1">IF(LOWER(Capacity!$L112)="x",IF(AND(SUMIF(Capacity_Resource,$D100,'Critical resources (hide)'!AA$6:AA$105)+SUMIF(Capacity_Resource,$E100,'Critical resources (hide)'!AA$6:AA$105)+SUMIF(Capacity_Resource,$F100,'Critical resources (hide)'!AA$6:AA$105)&gt;0,$E$1=2),0,1),0)</f>
        <v>1</v>
      </c>
      <c r="O100" s="67">
        <f ca="1">IF(LOWER(Capacity!$L112)="x",IF(AND(SUMIF(Capacity_Resource,$D100,'Critical resources (hide)'!AB$6:AB$105)+SUMIF(Capacity_Resource,$E100,'Critical resources (hide)'!AB$6:AB$105)+SUMIF(Capacity_Resource,$F100,'Critical resources (hide)'!AB$6:AB$105)&gt;0,$E$1=2),0,1),0)</f>
        <v>1</v>
      </c>
      <c r="P100" s="67">
        <f ca="1">IF(LOWER(Capacity!$L112)="x",IF(AND(SUMIF(Capacity_Resource,$D100,'Critical resources (hide)'!AC$6:AC$105)+SUMIF(Capacity_Resource,$E100,'Critical resources (hide)'!AC$6:AC$105)+SUMIF(Capacity_Resource,$F100,'Critical resources (hide)'!AC$6:AC$105)&gt;0,$E$1=2),0,1),0)</f>
        <v>1</v>
      </c>
      <c r="Q100" s="67">
        <f ca="1">IF(LOWER(Capacity!$L112)="x",IF(AND(SUMIF(Capacity_Resource,$D100,'Critical resources (hide)'!AD$6:AD$105)+SUMIF(Capacity_Resource,$E100,'Critical resources (hide)'!AD$6:AD$105)+SUMIF(Capacity_Resource,$F100,'Critical resources (hide)'!AD$6:AD$105)&gt;0,$E$1=2),0,1),0)</f>
        <v>1</v>
      </c>
      <c r="R100" s="67">
        <f ca="1">IF(LOWER(Capacity!$L112)="x",IF(AND(SUMIF(Capacity_Resource,$D100,'Critical resources (hide)'!AE$6:AE$105)+SUMIF(Capacity_Resource,$E100,'Critical resources (hide)'!AE$6:AE$105)+SUMIF(Capacity_Resource,$F100,'Critical resources (hide)'!AE$6:AE$105)&gt;0,$E$1=2),0,1),0)</f>
        <v>1</v>
      </c>
      <c r="S100" s="67">
        <f ca="1">IF(LOWER(Capacity!$L112)="x",IF(AND(SUMIF(Capacity_Resource,$D100,'Critical resources (hide)'!AF$6:AF$105)+SUMIF(Capacity_Resource,$E100,'Critical resources (hide)'!AF$6:AF$105)+SUMIF(Capacity_Resource,$F100,'Critical resources (hide)'!AF$6:AF$105)&gt;0,$E$1=2),0,1),0)</f>
        <v>1</v>
      </c>
      <c r="T100" s="67">
        <f ca="1">IF(LOWER(Capacity!$L112)="x",IF(AND(SUMIF(Capacity_Resource,$D100,'Critical resources (hide)'!AG$6:AG$105)+SUMIF(Capacity_Resource,$E100,'Critical resources (hide)'!AG$6:AG$105)+SUMIF(Capacity_Resource,$F100,'Critical resources (hide)'!AG$6:AG$105)&gt;0,$E$1=2),0,1),0)</f>
        <v>1</v>
      </c>
      <c r="U100" s="67">
        <f ca="1">IF(LOWER(Capacity!$L112)="x",IF(AND(SUMIF(Capacity_Resource,$D100,'Critical resources (hide)'!AH$6:AH$105)+SUMIF(Capacity_Resource,$E100,'Critical resources (hide)'!AH$6:AH$105)+SUMIF(Capacity_Resource,$F100,'Critical resources (hide)'!AH$6:AH$105)&gt;0,$E$1=2),0,1),0)</f>
        <v>1</v>
      </c>
      <c r="V100" s="67">
        <f ca="1">IF(LOWER(Capacity!$L112)="x",IF(AND(SUMIF(Capacity_Resource,$D100,'Critical resources (hide)'!AI$6:AI$105)+SUMIF(Capacity_Resource,$E100,'Critical resources (hide)'!AI$6:AI$105)+SUMIF(Capacity_Resource,$F100,'Critical resources (hide)'!AI$6:AI$105)&gt;0,$E$1=2),0,1),0)</f>
        <v>1</v>
      </c>
      <c r="W100" s="67">
        <f ca="1">IF(LOWER(Capacity!$L112)="x",IF(AND(SUMIF(Capacity_Resource,$D100,'Critical resources (hide)'!AJ$6:AJ$105)+SUMIF(Capacity_Resource,$E100,'Critical resources (hide)'!AJ$6:AJ$105)+SUMIF(Capacity_Resource,$F100,'Critical resources (hide)'!AJ$6:AJ$105)&gt;0,$E$1=2),0,1),0)</f>
        <v>1</v>
      </c>
      <c r="X100" s="67">
        <f ca="1">IF(LOWER(Capacity!$L112)="x",IF(AND(SUMIF(Capacity_Resource,$D100,'Critical resources (hide)'!AK$6:AK$105)+SUMIF(Capacity_Resource,$E100,'Critical resources (hide)'!AK$6:AK$105)+SUMIF(Capacity_Resource,$F100,'Critical resources (hide)'!AK$6:AK$105)&gt;0,$E$1=2),0,1),0)</f>
        <v>1</v>
      </c>
      <c r="Y100" s="67">
        <f ca="1">IF(LOWER(Capacity!$L112)="x",IF(AND(SUMIF(Capacity_Resource,$D100,'Critical resources (hide)'!AL$6:AL$105)+SUMIF(Capacity_Resource,$E100,'Critical resources (hide)'!AL$6:AL$105)+SUMIF(Capacity_Resource,$F100,'Critical resources (hide)'!AL$6:AL$105)&gt;0,$E$1=2),0,1),0)</f>
        <v>1</v>
      </c>
      <c r="Z100" s="67">
        <f ca="1">IF(LOWER(Capacity!$L112)="x",IF(AND(SUMIF(Capacity_Resource,$D100,'Critical resources (hide)'!AM$6:AM$105)+SUMIF(Capacity_Resource,$E100,'Critical resources (hide)'!AM$6:AM$105)+SUMIF(Capacity_Resource,$F100,'Critical resources (hide)'!AM$6:AM$105)&gt;0,$E$1=2),0,1),0)</f>
        <v>1</v>
      </c>
      <c r="AA100" s="67">
        <f ca="1">IF(LOWER(Capacity!$L112)="x",IF(AND(SUMIF(Capacity_Resource,$D100,'Critical resources (hide)'!AN$6:AN$105)+SUMIF(Capacity_Resource,$E100,'Critical resources (hide)'!AN$6:AN$105)+SUMIF(Capacity_Resource,$F100,'Critical resources (hide)'!AN$6:AN$105)&gt;0,$E$1=2),0,1),0)</f>
        <v>1</v>
      </c>
      <c r="AB100" s="67">
        <f ca="1">IF(LOWER(Capacity!$L112)="x",IF(AND(SUMIF(Capacity_Resource,$D100,'Critical resources (hide)'!AO$6:AO$105)+SUMIF(Capacity_Resource,$E100,'Critical resources (hide)'!AO$6:AO$105)+SUMIF(Capacity_Resource,$F100,'Critical resources (hide)'!AO$6:AO$105)&gt;0,$E$1=2),0,1),0)</f>
        <v>1</v>
      </c>
      <c r="AC100" s="67">
        <f ca="1">IF(LOWER(Capacity!$L112)="x",IF(AND(SUMIF(Capacity_Resource,$D100,'Critical resources (hide)'!AP$6:AP$105)+SUMIF(Capacity_Resource,$E100,'Critical resources (hide)'!AP$6:AP$105)+SUMIF(Capacity_Resource,$F100,'Critical resources (hide)'!AP$6:AP$105)&gt;0,$E$1=2),0,1),0)</f>
        <v>1</v>
      </c>
      <c r="AD100" s="67">
        <f ca="1">IF(LOWER(Capacity!$L112)="x",IF(AND(SUMIF(Capacity_Resource,$D100,'Critical resources (hide)'!AQ$6:AQ$105)+SUMIF(Capacity_Resource,$E100,'Critical resources (hide)'!AQ$6:AQ$105)+SUMIF(Capacity_Resource,$F100,'Critical resources (hide)'!AQ$6:AQ$105)&gt;0,$E$1=2),0,1),0)</f>
        <v>1</v>
      </c>
      <c r="AE100" s="67">
        <f ca="1">IF(LOWER(Capacity!$L112)="x",IF(AND(SUMIF(Capacity_Resource,$D100,'Critical resources (hide)'!AR$6:AR$105)+SUMIF(Capacity_Resource,$E100,'Critical resources (hide)'!AR$6:AR$105)+SUMIF(Capacity_Resource,$F100,'Critical resources (hide)'!AR$6:AR$105)&gt;0,$E$1=2),0,1),0)</f>
        <v>1</v>
      </c>
      <c r="AF100" s="67">
        <f ca="1">IF(LOWER(Capacity!$L112)="x",IF(AND(SUMIF(Capacity_Resource,$D100,'Critical resources (hide)'!AS$6:AS$105)+SUMIF(Capacity_Resource,$E100,'Critical resources (hide)'!AS$6:AS$105)+SUMIF(Capacity_Resource,$F100,'Critical resources (hide)'!AS$6:AS$105)&gt;0,$E$1=2),0,1),0)</f>
        <v>1</v>
      </c>
      <c r="AG100" s="67">
        <f ca="1">IF(LOWER(Capacity!$L112)="x",IF(AND(SUMIF(Capacity_Resource,$D100,'Critical resources (hide)'!AT$6:AT$105)+SUMIF(Capacity_Resource,$E100,'Critical resources (hide)'!AT$6:AT$105)+SUMIF(Capacity_Resource,$F100,'Critical resources (hide)'!AT$6:AT$105)&gt;0,$E$1=2),0,1),0)</f>
        <v>1</v>
      </c>
      <c r="AH100" s="67">
        <f ca="1">IF(LOWER(Capacity!$L112)="x",IF(AND(SUMIF(Capacity_Resource,$D100,'Critical resources (hide)'!AU$6:AU$105)+SUMIF(Capacity_Resource,$E100,'Critical resources (hide)'!AU$6:AU$105)+SUMIF(Capacity_Resource,$F100,'Critical resources (hide)'!AU$6:AU$105)&gt;0,$E$1=2),0,1),0)</f>
        <v>1</v>
      </c>
      <c r="AI100" s="67">
        <f ca="1">IF(LOWER(Capacity!$L112)="x",IF(AND(SUMIF(Capacity_Resource,$D100,'Critical resources (hide)'!AV$6:AV$105)+SUMIF(Capacity_Resource,$E100,'Critical resources (hide)'!AV$6:AV$105)+SUMIF(Capacity_Resource,$F100,'Critical resources (hide)'!AV$6:AV$105)&gt;0,$E$1=2),0,1),0)</f>
        <v>1</v>
      </c>
      <c r="AJ100" s="67">
        <f ca="1">IF(LOWER(Capacity!$L112)="x",IF(AND(SUMIF(Capacity_Resource,$D100,'Critical resources (hide)'!AW$6:AW$105)+SUMIF(Capacity_Resource,$E100,'Critical resources (hide)'!AW$6:AW$105)+SUMIF(Capacity_Resource,$F100,'Critical resources (hide)'!AW$6:AW$105)&gt;0,$E$1=2),0,1),0)</f>
        <v>1</v>
      </c>
      <c r="AK100" s="67">
        <f ca="1">IF(LOWER(Capacity!$L112)="x",IF(AND(SUMIF(Capacity_Resource,$D100,'Critical resources (hide)'!AX$6:AX$105)+SUMIF(Capacity_Resource,$E100,'Critical resources (hide)'!AX$6:AX$105)+SUMIF(Capacity_Resource,$F100,'Critical resources (hide)'!AX$6:AX$105)&gt;0,$E$1=2),0,1),0)</f>
        <v>1</v>
      </c>
      <c r="AL100" s="67">
        <f ca="1">IF(LOWER(Capacity!$L112)="x",IF(AND(SUMIF(Capacity_Resource,$D100,'Critical resources (hide)'!AY$6:AY$105)+SUMIF(Capacity_Resource,$E100,'Critical resources (hide)'!AY$6:AY$105)+SUMIF(Capacity_Resource,$F100,'Critical resources (hide)'!AY$6:AY$105)&gt;0,$E$1=2),0,1),0)</f>
        <v>1</v>
      </c>
      <c r="AM100" s="67">
        <f ca="1">IF(LOWER(Capacity!$L112)="x",IF(AND(SUMIF(Capacity_Resource,$D100,'Critical resources (hide)'!AZ$6:AZ$105)+SUMIF(Capacity_Resource,$E100,'Critical resources (hide)'!AZ$6:AZ$105)+SUMIF(Capacity_Resource,$F100,'Critical resources (hide)'!AZ$6:AZ$105)&gt;0,$E$1=2),0,1),0)</f>
        <v>1</v>
      </c>
      <c r="AN100" s="67">
        <f ca="1">IF(LOWER(Capacity!$L112)="x",IF(AND(SUMIF(Capacity_Resource,$D100,'Critical resources (hide)'!BA$6:BA$105)+SUMIF(Capacity_Resource,$E100,'Critical resources (hide)'!BA$6:BA$105)+SUMIF(Capacity_Resource,$F100,'Critical resources (hide)'!BA$6:BA$105)&gt;0,$E$1=2),0,1),0)</f>
        <v>1</v>
      </c>
      <c r="AO100" s="67">
        <f ca="1">IF(LOWER(Capacity!$L112)="x",IF(AND(SUMIF(Capacity_Resource,$D100,'Critical resources (hide)'!BB$6:BB$105)+SUMIF(Capacity_Resource,$E100,'Critical resources (hide)'!BB$6:BB$105)+SUMIF(Capacity_Resource,$F100,'Critical resources (hide)'!BB$6:BB$105)&gt;0,$E$1=2),0,1),0)</f>
        <v>1</v>
      </c>
      <c r="AP100" s="67">
        <f ca="1">IF(LOWER(Capacity!$L112)="x",IF(AND(SUMIF(Capacity_Resource,$D100,'Critical resources (hide)'!BC$6:BC$105)+SUMIF(Capacity_Resource,$E100,'Critical resources (hide)'!BC$6:BC$105)+SUMIF(Capacity_Resource,$F100,'Critical resources (hide)'!BC$6:BC$105)&gt;0,$E$1=2),0,1),0)</f>
        <v>1</v>
      </c>
      <c r="AQ100" s="67">
        <f ca="1">IF(LOWER(Capacity!$L112)="x",IF(AND(SUMIF(Capacity_Resource,$D100,'Critical resources (hide)'!BD$6:BD$105)+SUMIF(Capacity_Resource,$E100,'Critical resources (hide)'!BD$6:BD$105)+SUMIF(Capacity_Resource,$F100,'Critical resources (hide)'!BD$6:BD$105)&gt;0,$E$1=2),0,1),0)</f>
        <v>1</v>
      </c>
      <c r="AR100" s="67">
        <f ca="1">IF(LOWER(Capacity!$L112)="x",IF(AND(SUMIF(Capacity_Resource,$D100,'Critical resources (hide)'!BE$6:BE$105)+SUMIF(Capacity_Resource,$E100,'Critical resources (hide)'!BE$6:BE$105)+SUMIF(Capacity_Resource,$F100,'Critical resources (hide)'!BE$6:BE$105)&gt;0,$E$1=2),0,1),0)</f>
        <v>1</v>
      </c>
      <c r="AS100" s="67">
        <f ca="1">IF(LOWER(Capacity!$L112)="x",IF(AND(SUMIF(Capacity_Resource,$D100,'Critical resources (hide)'!BF$6:BF$105)+SUMIF(Capacity_Resource,$E100,'Critical resources (hide)'!BF$6:BF$105)+SUMIF(Capacity_Resource,$F100,'Critical resources (hide)'!BF$6:BF$105)&gt;0,$E$1=2),0,1),0)</f>
        <v>1</v>
      </c>
      <c r="AT100" s="67">
        <f ca="1">IF(LOWER(Capacity!$L112)="x",IF(AND(SUMIF(Capacity_Resource,$D100,'Critical resources (hide)'!BG$6:BG$105)+SUMIF(Capacity_Resource,$E100,'Critical resources (hide)'!BG$6:BG$105)+SUMIF(Capacity_Resource,$F100,'Critical resources (hide)'!BG$6:BG$105)&gt;0,$E$1=2),0,1),0)</f>
        <v>1</v>
      </c>
      <c r="AU100" s="67">
        <f ca="1">IF(LOWER(Capacity!$L112)="x",IF(AND(SUMIF(Capacity_Resource,$D100,'Critical resources (hide)'!BH$6:BH$105)+SUMIF(Capacity_Resource,$E100,'Critical resources (hide)'!BH$6:BH$105)+SUMIF(Capacity_Resource,$F100,'Critical resources (hide)'!BH$6:BH$105)&gt;0,$E$1=2),0,1),0)</f>
        <v>1</v>
      </c>
      <c r="AV100" s="67">
        <f ca="1">IF(LOWER(Capacity!$L112)="x",IF(AND(SUMIF(Capacity_Resource,$D100,'Critical resources (hide)'!BI$6:BI$105)+SUMIF(Capacity_Resource,$E100,'Critical resources (hide)'!BI$6:BI$105)+SUMIF(Capacity_Resource,$F100,'Critical resources (hide)'!BI$6:BI$105)&gt;0,$E$1=2),0,1),0)</f>
        <v>1</v>
      </c>
      <c r="AW100" s="67">
        <f ca="1">IF(LOWER(Capacity!$L112)="x",IF(AND(SUMIF(Capacity_Resource,$D100,'Critical resources (hide)'!BJ$6:BJ$105)+SUMIF(Capacity_Resource,$E100,'Critical resources (hide)'!BJ$6:BJ$105)+SUMIF(Capacity_Resource,$F100,'Critical resources (hide)'!BJ$6:BJ$105)&gt;0,$E$1=2),0,1),0)</f>
        <v>1</v>
      </c>
      <c r="AX100" s="67">
        <f ca="1">IF(LOWER(Capacity!$L112)="x",IF(AND(SUMIF(Capacity_Resource,$D100,'Critical resources (hide)'!BK$6:BK$105)+SUMIF(Capacity_Resource,$E100,'Critical resources (hide)'!BK$6:BK$105)+SUMIF(Capacity_Resource,$F100,'Critical resources (hide)'!BK$6:BK$105)&gt;0,$E$1=2),0,1),0)</f>
        <v>1</v>
      </c>
      <c r="AY100" s="67">
        <f ca="1">IF(LOWER(Capacity!$L112)="x",IF(AND(SUMIF(Capacity_Resource,$D100,'Critical resources (hide)'!BL$6:BL$105)+SUMIF(Capacity_Resource,$E100,'Critical resources (hide)'!BL$6:BL$105)+SUMIF(Capacity_Resource,$F100,'Critical resources (hide)'!BL$6:BL$105)&gt;0,$E$1=2),0,1),0)</f>
        <v>1</v>
      </c>
      <c r="AZ100" s="67">
        <f ca="1">IF(LOWER(Capacity!$L112)="x",IF(AND(SUMIF(Capacity_Resource,$D100,'Critical resources (hide)'!BM$6:BM$105)+SUMIF(Capacity_Resource,$E100,'Critical resources (hide)'!BM$6:BM$105)+SUMIF(Capacity_Resource,$F100,'Critical resources (hide)'!BM$6:BM$105)&gt;0,$E$1=2),0,1),0)</f>
        <v>1</v>
      </c>
      <c r="BA100" s="67">
        <f ca="1">IF(LOWER(Capacity!$L112)="x",IF(AND(SUMIF(Capacity_Resource,$D100,'Critical resources (hide)'!BN$6:BN$105)+SUMIF(Capacity_Resource,$E100,'Critical resources (hide)'!BN$6:BN$105)+SUMIF(Capacity_Resource,$F100,'Critical resources (hide)'!BN$6:BN$105)&gt;0,$E$1=2),0,1),0)</f>
        <v>1</v>
      </c>
      <c r="BB100" s="67">
        <f ca="1">IF(LOWER(Capacity!$L112)="x",IF(AND(SUMIF(Capacity_Resource,$D100,'Critical resources (hide)'!BO$6:BO$105)+SUMIF(Capacity_Resource,$E100,'Critical resources (hide)'!BO$6:BO$105)+SUMIF(Capacity_Resource,$F100,'Critical resources (hide)'!BO$6:BO$105)&gt;0,$E$1=2),0,1),0)</f>
        <v>1</v>
      </c>
      <c r="BC100" s="67">
        <f ca="1">IF(LOWER(Capacity!$L112)="x",IF(AND(SUMIF(Capacity_Resource,$D100,'Critical resources (hide)'!BP$6:BP$105)+SUMIF(Capacity_Resource,$E100,'Critical resources (hide)'!BP$6:BP$105)+SUMIF(Capacity_Resource,$F100,'Critical resources (hide)'!BP$6:BP$105)&gt;0,$E$1=2),0,1),0)</f>
        <v>1</v>
      </c>
      <c r="BD100" s="67">
        <f ca="1">IF(LOWER(Capacity!$L112)="x",IF(AND(SUMIF(Capacity_Resource,$D100,'Critical resources (hide)'!BQ$6:BQ$105)+SUMIF(Capacity_Resource,$E100,'Critical resources (hide)'!BQ$6:BQ$105)+SUMIF(Capacity_Resource,$F100,'Critical resources (hide)'!BQ$6:BQ$105)&gt;0,$E$1=2),0,1),0)</f>
        <v>1</v>
      </c>
      <c r="BE100" s="67">
        <f ca="1">IF(LOWER(Capacity!$L112)="x",IF(AND(SUMIF(Capacity_Resource,$D100,'Critical resources (hide)'!BR$6:BR$105)+SUMIF(Capacity_Resource,$E100,'Critical resources (hide)'!BR$6:BR$105)+SUMIF(Capacity_Resource,$F100,'Critical resources (hide)'!BR$6:BR$105)&gt;0,$E$1=2),0,1),0)</f>
        <v>1</v>
      </c>
      <c r="BF100" s="67">
        <f ca="1">IF(LOWER(Capacity!$L112)="x",IF(AND(SUMIF(Capacity_Resource,$D100,'Critical resources (hide)'!BS$6:BS$105)+SUMIF(Capacity_Resource,$E100,'Critical resources (hide)'!BS$6:BS$105)+SUMIF(Capacity_Resource,$F100,'Critical resources (hide)'!BS$6:BS$105)&gt;0,$E$1=2),0,1),0)</f>
        <v>1</v>
      </c>
      <c r="BG100" s="67">
        <f ca="1">IF(LOWER(Capacity!$L112)="x",IF(AND(SUMIF(Capacity_Resource,$D100,'Critical resources (hide)'!BT$6:BT$105)+SUMIF(Capacity_Resource,$E100,'Critical resources (hide)'!BT$6:BT$105)+SUMIF(Capacity_Resource,$F100,'Critical resources (hide)'!BT$6:BT$105)&gt;0,$E$1=2),0,1),0)</f>
        <v>1</v>
      </c>
      <c r="BH100" s="67">
        <f>IF(ROW(C96)&lt;=Capacity!$A$16,IF('Capacity summary'!$D$14="No",SUM(H100:BG100),'Capacity summary'!$E219),0)</f>
        <v>0</v>
      </c>
      <c r="BI100" s="5" t="str">
        <f>IF(BH100&gt;0,IF(BH100&lt;Capacity!E112,Capacity!F112,Capacity!H112/'Capacity calculation (hide)'!BH100),"")</f>
        <v/>
      </c>
      <c r="BK100" s="311">
        <f>IF($BI100&lt;&gt;"",IF('Capacity summary'!$D$14="Yes",IF(COUNTBLANK('Capacity summary'!$H219:$BG219)&lt;52,IF('Capacity summary'!H219&lt;&gt;"",IF(LOWER('Capacity summary'!H219)="x",$BI100*H100,VALUE('Capacity summary'!H219)),0),H100*$BI100),H100*$BI100),0)</f>
        <v>0</v>
      </c>
      <c r="BL100" s="311">
        <f>IF($BI100&lt;&gt;"",IF('Capacity summary'!$D$14="Yes",IF(COUNTBLANK('Capacity summary'!$H219:$BG219)&lt;52,IF('Capacity summary'!I219&lt;&gt;"",IF(LOWER('Capacity summary'!I219)="x",$BI100*I100,VALUE('Capacity summary'!I219)),0),I100*$BI100),I100*$BI100),0)</f>
        <v>0</v>
      </c>
      <c r="BM100" s="311">
        <f>IF($BI100&lt;&gt;"",IF('Capacity summary'!$D$14="Yes",IF(COUNTBLANK('Capacity summary'!$H219:$BG219)&lt;52,IF('Capacity summary'!J219&lt;&gt;"",IF(LOWER('Capacity summary'!J219)="x",$BI100*J100,VALUE('Capacity summary'!J219)),0),J100*$BI100),J100*$BI100),0)</f>
        <v>0</v>
      </c>
      <c r="BN100" s="311">
        <f>IF($BI100&lt;&gt;"",IF('Capacity summary'!$D$14="Yes",IF(COUNTBLANK('Capacity summary'!$H219:$BG219)&lt;52,IF('Capacity summary'!K219&lt;&gt;"",IF(LOWER('Capacity summary'!K219)="x",$BI100*K100,VALUE('Capacity summary'!K219)),0),K100*$BI100),K100*$BI100),0)</f>
        <v>0</v>
      </c>
      <c r="BO100" s="311">
        <f>IF($BI100&lt;&gt;"",IF('Capacity summary'!$D$14="Yes",IF(COUNTBLANK('Capacity summary'!$H219:$BG219)&lt;52,IF('Capacity summary'!L219&lt;&gt;"",IF(LOWER('Capacity summary'!L219)="x",$BI100*L100,VALUE('Capacity summary'!L219)),0),L100*$BI100),L100*$BI100),0)</f>
        <v>0</v>
      </c>
      <c r="BP100" s="311">
        <f>IF($BI100&lt;&gt;"",IF('Capacity summary'!$D$14="Yes",IF(COUNTBLANK('Capacity summary'!$H219:$BG219)&lt;52,IF('Capacity summary'!M219&lt;&gt;"",IF(LOWER('Capacity summary'!M219)="x",$BI100*M100,VALUE('Capacity summary'!M219)),0),M100*$BI100),M100*$BI100),0)</f>
        <v>0</v>
      </c>
      <c r="BQ100" s="311">
        <f>IF($BI100&lt;&gt;"",IF('Capacity summary'!$D$14="Yes",IF(COUNTBLANK('Capacity summary'!$H219:$BG219)&lt;52,IF('Capacity summary'!N219&lt;&gt;"",IF(LOWER('Capacity summary'!N219)="x",$BI100*N100,VALUE('Capacity summary'!N219)),0),N100*$BI100),N100*$BI100),0)</f>
        <v>0</v>
      </c>
      <c r="BR100" s="311">
        <f>IF($BI100&lt;&gt;"",IF('Capacity summary'!$D$14="Yes",IF(COUNTBLANK('Capacity summary'!$H219:$BG219)&lt;52,IF('Capacity summary'!O219&lt;&gt;"",IF(LOWER('Capacity summary'!O219)="x",$BI100*O100,VALUE('Capacity summary'!O219)),0),O100*$BI100),O100*$BI100),0)</f>
        <v>0</v>
      </c>
      <c r="BS100" s="311">
        <f>IF($BI100&lt;&gt;"",IF('Capacity summary'!$D$14="Yes",IF(COUNTBLANK('Capacity summary'!$H219:$BG219)&lt;52,IF('Capacity summary'!P219&lt;&gt;"",IF(LOWER('Capacity summary'!P219)="x",$BI100*P100,VALUE('Capacity summary'!P219)),0),P100*$BI100),P100*$BI100),0)</f>
        <v>0</v>
      </c>
      <c r="BT100" s="311">
        <f>IF($BI100&lt;&gt;"",IF('Capacity summary'!$D$14="Yes",IF(COUNTBLANK('Capacity summary'!$H219:$BG219)&lt;52,IF('Capacity summary'!Q219&lt;&gt;"",IF(LOWER('Capacity summary'!Q219)="x",$BI100*Q100,VALUE('Capacity summary'!Q219)),0),Q100*$BI100),Q100*$BI100),0)</f>
        <v>0</v>
      </c>
      <c r="BU100" s="311">
        <f>IF($BI100&lt;&gt;"",IF('Capacity summary'!$D$14="Yes",IF(COUNTBLANK('Capacity summary'!$H219:$BG219)&lt;52,IF('Capacity summary'!R219&lt;&gt;"",IF(LOWER('Capacity summary'!R219)="x",$BI100*R100,VALUE('Capacity summary'!R219)),0),R100*$BI100),R100*$BI100),0)</f>
        <v>0</v>
      </c>
      <c r="BV100" s="311">
        <f>IF($BI100&lt;&gt;"",IF('Capacity summary'!$D$14="Yes",IF(COUNTBLANK('Capacity summary'!$H219:$BG219)&lt;52,IF('Capacity summary'!S219&lt;&gt;"",IF(LOWER('Capacity summary'!S219)="x",$BI100*S100,VALUE('Capacity summary'!S219)),0),S100*$BI100),S100*$BI100),0)</f>
        <v>0</v>
      </c>
      <c r="BW100" s="311">
        <f>IF($BI100&lt;&gt;"",IF('Capacity summary'!$D$14="Yes",IF(COUNTBLANK('Capacity summary'!$H219:$BG219)&lt;52,IF('Capacity summary'!T219&lt;&gt;"",IF(LOWER('Capacity summary'!T219)="x",$BI100*T100,VALUE('Capacity summary'!T219)),0),T100*$BI100),T100*$BI100),0)</f>
        <v>0</v>
      </c>
      <c r="BX100" s="311">
        <f>IF($BI100&lt;&gt;"",IF('Capacity summary'!$D$14="Yes",IF(COUNTBLANK('Capacity summary'!$H219:$BG219)&lt;52,IF('Capacity summary'!U219&lt;&gt;"",IF(LOWER('Capacity summary'!U219)="x",$BI100*U100,VALUE('Capacity summary'!U219)),0),U100*$BI100),U100*$BI100),0)</f>
        <v>0</v>
      </c>
      <c r="BY100" s="311">
        <f>IF($BI100&lt;&gt;"",IF('Capacity summary'!$D$14="Yes",IF(COUNTBLANK('Capacity summary'!$H219:$BG219)&lt;52,IF('Capacity summary'!V219&lt;&gt;"",IF(LOWER('Capacity summary'!V219)="x",$BI100*V100,VALUE('Capacity summary'!V219)),0),V100*$BI100),V100*$BI100),0)</f>
        <v>0</v>
      </c>
      <c r="BZ100" s="311">
        <f>IF($BI100&lt;&gt;"",IF('Capacity summary'!$D$14="Yes",IF(COUNTBLANK('Capacity summary'!$H219:$BG219)&lt;52,IF('Capacity summary'!W219&lt;&gt;"",IF(LOWER('Capacity summary'!W219)="x",$BI100*W100,VALUE('Capacity summary'!W219)),0),W100*$BI100),W100*$BI100),0)</f>
        <v>0</v>
      </c>
      <c r="CA100" s="311">
        <f>IF($BI100&lt;&gt;"",IF('Capacity summary'!$D$14="Yes",IF(COUNTBLANK('Capacity summary'!$H219:$BG219)&lt;52,IF('Capacity summary'!X219&lt;&gt;"",IF(LOWER('Capacity summary'!X219)="x",$BI100*X100,VALUE('Capacity summary'!X219)),0),X100*$BI100),X100*$BI100),0)</f>
        <v>0</v>
      </c>
      <c r="CB100" s="311">
        <f>IF($BI100&lt;&gt;"",IF('Capacity summary'!$D$14="Yes",IF(COUNTBLANK('Capacity summary'!$H219:$BG219)&lt;52,IF('Capacity summary'!Y219&lt;&gt;"",IF(LOWER('Capacity summary'!Y219)="x",$BI100*Y100,VALUE('Capacity summary'!Y219)),0),Y100*$BI100),Y100*$BI100),0)</f>
        <v>0</v>
      </c>
      <c r="CC100" s="311">
        <f>IF($BI100&lt;&gt;"",IF('Capacity summary'!$D$14="Yes",IF(COUNTBLANK('Capacity summary'!$H219:$BG219)&lt;52,IF('Capacity summary'!Z219&lt;&gt;"",IF(LOWER('Capacity summary'!Z219)="x",$BI100*Z100,VALUE('Capacity summary'!Z219)),0),Z100*$BI100),Z100*$BI100),0)</f>
        <v>0</v>
      </c>
      <c r="CD100" s="311">
        <f>IF($BI100&lt;&gt;"",IF('Capacity summary'!$D$14="Yes",IF(COUNTBLANK('Capacity summary'!$H219:$BG219)&lt;52,IF('Capacity summary'!AA219&lt;&gt;"",IF(LOWER('Capacity summary'!AA219)="x",$BI100*AA100,VALUE('Capacity summary'!AA219)),0),AA100*$BI100),AA100*$BI100),0)</f>
        <v>0</v>
      </c>
      <c r="CE100" s="311">
        <f>IF($BI100&lt;&gt;"",IF('Capacity summary'!$D$14="Yes",IF(COUNTBLANK('Capacity summary'!$H219:$BG219)&lt;52,IF('Capacity summary'!AB219&lt;&gt;"",IF(LOWER('Capacity summary'!AB219)="x",$BI100*AB100,VALUE('Capacity summary'!AB219)),0),AB100*$BI100),AB100*$BI100),0)</f>
        <v>0</v>
      </c>
      <c r="CF100" s="311">
        <f>IF($BI100&lt;&gt;"",IF('Capacity summary'!$D$14="Yes",IF(COUNTBLANK('Capacity summary'!$H219:$BG219)&lt;52,IF('Capacity summary'!AC219&lt;&gt;"",IF(LOWER('Capacity summary'!AC219)="x",$BI100*AC100,VALUE('Capacity summary'!AC219)),0),AC100*$BI100),AC100*$BI100),0)</f>
        <v>0</v>
      </c>
      <c r="CG100" s="311">
        <f>IF($BI100&lt;&gt;"",IF('Capacity summary'!$D$14="Yes",IF(COUNTBLANK('Capacity summary'!$H219:$BG219)&lt;52,IF('Capacity summary'!AD219&lt;&gt;"",IF(LOWER('Capacity summary'!AD219)="x",$BI100*AD100,VALUE('Capacity summary'!AD219)),0),AD100*$BI100),AD100*$BI100),0)</f>
        <v>0</v>
      </c>
      <c r="CH100" s="311">
        <f>IF($BI100&lt;&gt;"",IF('Capacity summary'!$D$14="Yes",IF(COUNTBLANK('Capacity summary'!$H219:$BG219)&lt;52,IF('Capacity summary'!AE219&lt;&gt;"",IF(LOWER('Capacity summary'!AE219)="x",$BI100*AE100,VALUE('Capacity summary'!AE219)),0),AE100*$BI100),AE100*$BI100),0)</f>
        <v>0</v>
      </c>
      <c r="CI100" s="311">
        <f>IF($BI100&lt;&gt;"",IF('Capacity summary'!$D$14="Yes",IF(COUNTBLANK('Capacity summary'!$H219:$BG219)&lt;52,IF('Capacity summary'!AF219&lt;&gt;"",IF(LOWER('Capacity summary'!AF219)="x",$BI100*AF100,VALUE('Capacity summary'!AF219)),0),AF100*$BI100),AF100*$BI100),0)</f>
        <v>0</v>
      </c>
      <c r="CJ100" s="311">
        <f>IF($BI100&lt;&gt;"",IF('Capacity summary'!$D$14="Yes",IF(COUNTBLANK('Capacity summary'!$H219:$BG219)&lt;52,IF('Capacity summary'!AG219&lt;&gt;"",IF(LOWER('Capacity summary'!AG219)="x",$BI100*AG100,VALUE('Capacity summary'!AG219)),0),AG100*$BI100),AG100*$BI100),0)</f>
        <v>0</v>
      </c>
      <c r="CK100" s="311">
        <f>IF($BI100&lt;&gt;"",IF('Capacity summary'!$D$14="Yes",IF(COUNTBLANK('Capacity summary'!$H219:$BG219)&lt;52,IF('Capacity summary'!AH219&lt;&gt;"",IF(LOWER('Capacity summary'!AH219)="x",$BI100*AH100,VALUE('Capacity summary'!AH219)),0),AH100*$BI100),AH100*$BI100),0)</f>
        <v>0</v>
      </c>
      <c r="CL100" s="311">
        <f>IF($BI100&lt;&gt;"",IF('Capacity summary'!$D$14="Yes",IF(COUNTBLANK('Capacity summary'!$H219:$BG219)&lt;52,IF('Capacity summary'!AI219&lt;&gt;"",IF(LOWER('Capacity summary'!AI219)="x",$BI100*AI100,VALUE('Capacity summary'!AI219)),0),AI100*$BI100),AI100*$BI100),0)</f>
        <v>0</v>
      </c>
      <c r="CM100" s="311">
        <f>IF($BI100&lt;&gt;"",IF('Capacity summary'!$D$14="Yes",IF(COUNTBLANK('Capacity summary'!$H219:$BG219)&lt;52,IF('Capacity summary'!AJ219&lt;&gt;"",IF(LOWER('Capacity summary'!AJ219)="x",$BI100*AJ100,VALUE('Capacity summary'!AJ219)),0),AJ100*$BI100),AJ100*$BI100),0)</f>
        <v>0</v>
      </c>
      <c r="CN100" s="311">
        <f>IF($BI100&lt;&gt;"",IF('Capacity summary'!$D$14="Yes",IF(COUNTBLANK('Capacity summary'!$H219:$BG219)&lt;52,IF('Capacity summary'!AK219&lt;&gt;"",IF(LOWER('Capacity summary'!AK219)="x",$BI100*AK100,VALUE('Capacity summary'!AK219)),0),AK100*$BI100),AK100*$BI100),0)</f>
        <v>0</v>
      </c>
      <c r="CO100" s="311">
        <f>IF($BI100&lt;&gt;"",IF('Capacity summary'!$D$14="Yes",IF(COUNTBLANK('Capacity summary'!$H219:$BG219)&lt;52,IF('Capacity summary'!AL219&lt;&gt;"",IF(LOWER('Capacity summary'!AL219)="x",$BI100*AL100,VALUE('Capacity summary'!AL219)),0),AL100*$BI100),AL100*$BI100),0)</f>
        <v>0</v>
      </c>
      <c r="CP100" s="311">
        <f>IF($BI100&lt;&gt;"",IF('Capacity summary'!$D$14="Yes",IF(COUNTBLANK('Capacity summary'!$H219:$BG219)&lt;52,IF('Capacity summary'!AM219&lt;&gt;"",IF(LOWER('Capacity summary'!AM219)="x",$BI100*AM100,VALUE('Capacity summary'!AM219)),0),AM100*$BI100),AM100*$BI100),0)</f>
        <v>0</v>
      </c>
      <c r="CQ100" s="311">
        <f>IF($BI100&lt;&gt;"",IF('Capacity summary'!$D$14="Yes",IF(COUNTBLANK('Capacity summary'!$H219:$BG219)&lt;52,IF('Capacity summary'!AN219&lt;&gt;"",IF(LOWER('Capacity summary'!AN219)="x",$BI100*AN100,VALUE('Capacity summary'!AN219)),0),AN100*$BI100),AN100*$BI100),0)</f>
        <v>0</v>
      </c>
      <c r="CR100" s="311">
        <f>IF($BI100&lt;&gt;"",IF('Capacity summary'!$D$14="Yes",IF(COUNTBLANK('Capacity summary'!$H219:$BG219)&lt;52,IF('Capacity summary'!AO219&lt;&gt;"",IF(LOWER('Capacity summary'!AO219)="x",$BI100*AO100,VALUE('Capacity summary'!AO219)),0),AO100*$BI100),AO100*$BI100),0)</f>
        <v>0</v>
      </c>
      <c r="CS100" s="311">
        <f>IF($BI100&lt;&gt;"",IF('Capacity summary'!$D$14="Yes",IF(COUNTBLANK('Capacity summary'!$H219:$BG219)&lt;52,IF('Capacity summary'!AP219&lt;&gt;"",IF(LOWER('Capacity summary'!AP219)="x",$BI100*AP100,VALUE('Capacity summary'!AP219)),0),AP100*$BI100),AP100*$BI100),0)</f>
        <v>0</v>
      </c>
      <c r="CT100" s="311">
        <f>IF($BI100&lt;&gt;"",IF('Capacity summary'!$D$14="Yes",IF(COUNTBLANK('Capacity summary'!$H219:$BG219)&lt;52,IF('Capacity summary'!AQ219&lt;&gt;"",IF(LOWER('Capacity summary'!AQ219)="x",$BI100*AQ100,VALUE('Capacity summary'!AQ219)),0),AQ100*$BI100),AQ100*$BI100),0)</f>
        <v>0</v>
      </c>
      <c r="CU100" s="311">
        <f>IF($BI100&lt;&gt;"",IF('Capacity summary'!$D$14="Yes",IF(COUNTBLANK('Capacity summary'!$H219:$BG219)&lt;52,IF('Capacity summary'!AR219&lt;&gt;"",IF(LOWER('Capacity summary'!AR219)="x",$BI100*AR100,VALUE('Capacity summary'!AR219)),0),AR100*$BI100),AR100*$BI100),0)</f>
        <v>0</v>
      </c>
      <c r="CV100" s="311">
        <f>IF($BI100&lt;&gt;"",IF('Capacity summary'!$D$14="Yes",IF(COUNTBLANK('Capacity summary'!$H219:$BG219)&lt;52,IF('Capacity summary'!AS219&lt;&gt;"",IF(LOWER('Capacity summary'!AS219)="x",$BI100*AS100,VALUE('Capacity summary'!AS219)),0),AS100*$BI100),AS100*$BI100),0)</f>
        <v>0</v>
      </c>
      <c r="CW100" s="311">
        <f>IF($BI100&lt;&gt;"",IF('Capacity summary'!$D$14="Yes",IF(COUNTBLANK('Capacity summary'!$H219:$BG219)&lt;52,IF('Capacity summary'!AT219&lt;&gt;"",IF(LOWER('Capacity summary'!AT219)="x",$BI100*AT100,VALUE('Capacity summary'!AT219)),0),AT100*$BI100),AT100*$BI100),0)</f>
        <v>0</v>
      </c>
      <c r="CX100" s="311">
        <f>IF($BI100&lt;&gt;"",IF('Capacity summary'!$D$14="Yes",IF(COUNTBLANK('Capacity summary'!$H219:$BG219)&lt;52,IF('Capacity summary'!AU219&lt;&gt;"",IF(LOWER('Capacity summary'!AU219)="x",$BI100*AU100,VALUE('Capacity summary'!AU219)),0),AU100*$BI100),AU100*$BI100),0)</f>
        <v>0</v>
      </c>
      <c r="CY100" s="311">
        <f>IF($BI100&lt;&gt;"",IF('Capacity summary'!$D$14="Yes",IF(COUNTBLANK('Capacity summary'!$H219:$BG219)&lt;52,IF('Capacity summary'!AV219&lt;&gt;"",IF(LOWER('Capacity summary'!AV219)="x",$BI100*AV100,VALUE('Capacity summary'!AV219)),0),AV100*$BI100),AV100*$BI100),0)</f>
        <v>0</v>
      </c>
      <c r="CZ100" s="311">
        <f>IF($BI100&lt;&gt;"",IF('Capacity summary'!$D$14="Yes",IF(COUNTBLANK('Capacity summary'!$H219:$BG219)&lt;52,IF('Capacity summary'!AW219&lt;&gt;"",IF(LOWER('Capacity summary'!AW219)="x",$BI100*AW100,VALUE('Capacity summary'!AW219)),0),AW100*$BI100),AW100*$BI100),0)</f>
        <v>0</v>
      </c>
      <c r="DA100" s="311">
        <f>IF($BI100&lt;&gt;"",IF('Capacity summary'!$D$14="Yes",IF(COUNTBLANK('Capacity summary'!$H219:$BG219)&lt;52,IF('Capacity summary'!AX219&lt;&gt;"",IF(LOWER('Capacity summary'!AX219)="x",$BI100*AX100,VALUE('Capacity summary'!AX219)),0),AX100*$BI100),AX100*$BI100),0)</f>
        <v>0</v>
      </c>
      <c r="DB100" s="311">
        <f>IF($BI100&lt;&gt;"",IF('Capacity summary'!$D$14="Yes",IF(COUNTBLANK('Capacity summary'!$H219:$BG219)&lt;52,IF('Capacity summary'!AY219&lt;&gt;"",IF(LOWER('Capacity summary'!AY219)="x",$BI100*AY100,VALUE('Capacity summary'!AY219)),0),AY100*$BI100),AY100*$BI100),0)</f>
        <v>0</v>
      </c>
      <c r="DC100" s="311">
        <f>IF($BI100&lt;&gt;"",IF('Capacity summary'!$D$14="Yes",IF(COUNTBLANK('Capacity summary'!$H219:$BG219)&lt;52,IF('Capacity summary'!AZ219&lt;&gt;"",IF(LOWER('Capacity summary'!AZ219)="x",$BI100*AZ100,VALUE('Capacity summary'!AZ219)),0),AZ100*$BI100),AZ100*$BI100),0)</f>
        <v>0</v>
      </c>
      <c r="DD100" s="311">
        <f>IF($BI100&lt;&gt;"",IF('Capacity summary'!$D$14="Yes",IF(COUNTBLANK('Capacity summary'!$H219:$BG219)&lt;52,IF('Capacity summary'!BA219&lt;&gt;"",IF(LOWER('Capacity summary'!BA219)="x",$BI100*BA100,VALUE('Capacity summary'!BA219)),0),BA100*$BI100),BA100*$BI100),0)</f>
        <v>0</v>
      </c>
      <c r="DE100" s="311">
        <f>IF($BI100&lt;&gt;"",IF('Capacity summary'!$D$14="Yes",IF(COUNTBLANK('Capacity summary'!$H219:$BG219)&lt;52,IF('Capacity summary'!BB219&lt;&gt;"",IF(LOWER('Capacity summary'!BB219)="x",$BI100*BB100,VALUE('Capacity summary'!BB219)),0),BB100*$BI100),BB100*$BI100),0)</f>
        <v>0</v>
      </c>
      <c r="DF100" s="311">
        <f>IF($BI100&lt;&gt;"",IF('Capacity summary'!$D$14="Yes",IF(COUNTBLANK('Capacity summary'!$H219:$BG219)&lt;52,IF('Capacity summary'!BC219&lt;&gt;"",IF(LOWER('Capacity summary'!BC219)="x",$BI100*BC100,VALUE('Capacity summary'!BC219)),0),BC100*$BI100),BC100*$BI100),0)</f>
        <v>0</v>
      </c>
      <c r="DG100" s="311">
        <f>IF($BI100&lt;&gt;"",IF('Capacity summary'!$D$14="Yes",IF(COUNTBLANK('Capacity summary'!$H219:$BG219)&lt;52,IF('Capacity summary'!BD219&lt;&gt;"",IF(LOWER('Capacity summary'!BD219)="x",$BI100*BD100,VALUE('Capacity summary'!BD219)),0),BD100*$BI100),BD100*$BI100),0)</f>
        <v>0</v>
      </c>
      <c r="DH100" s="311">
        <f>IF($BI100&lt;&gt;"",IF('Capacity summary'!$D$14="Yes",IF(COUNTBLANK('Capacity summary'!$H219:$BG219)&lt;52,IF('Capacity summary'!BE219&lt;&gt;"",IF(LOWER('Capacity summary'!BE219)="x",$BI100*BE100,VALUE('Capacity summary'!BE219)),0),BE100*$BI100),BE100*$BI100),0)</f>
        <v>0</v>
      </c>
      <c r="DI100" s="311">
        <f>IF($BI100&lt;&gt;"",IF('Capacity summary'!$D$14="Yes",IF(COUNTBLANK('Capacity summary'!$H219:$BG219)&lt;52,IF('Capacity summary'!BF219&lt;&gt;"",IF(LOWER('Capacity summary'!BF219)="x",$BI100*BF100,VALUE('Capacity summary'!BF219)),0),BF100*$BI100),BF100*$BI100),0)</f>
        <v>0</v>
      </c>
      <c r="DJ100" s="311">
        <f>IF($BI100&lt;&gt;"",IF('Capacity summary'!$D$14="Yes",IF(COUNTBLANK('Capacity summary'!$H219:$BG219)&lt;52,IF('Capacity summary'!BG219&lt;&gt;"",IF(LOWER('Capacity summary'!BG219)="x",$BI100*BG100,VALUE('Capacity summary'!BG219)),0),BG100*$BI100),BG100*$BI100),0)</f>
        <v>0</v>
      </c>
      <c r="DK100" s="391">
        <f t="shared" si="4"/>
        <v>0</v>
      </c>
      <c r="DL100" s="136">
        <f t="shared" si="5"/>
        <v>0</v>
      </c>
      <c r="DM100" s="311" t="str">
        <f>Capacity!H112</f>
        <v/>
      </c>
    </row>
    <row r="101" spans="1:117" x14ac:dyDescent="0.2">
      <c r="A101" s="67">
        <f>IF(Capacity!L113='Capacity summary'!BI220,1,0)</f>
        <v>1</v>
      </c>
      <c r="B101" s="67">
        <f>IF(Capacity!V113='Capacity summary'!BI120,1,0)</f>
        <v>1</v>
      </c>
      <c r="C101" s="67" t="str">
        <f>ROW(A97)&amp;". "&amp;Capacity!B113</f>
        <v xml:space="preserve">97. </v>
      </c>
      <c r="D101" s="67">
        <f>'Capacity setup'!C108</f>
        <v>0</v>
      </c>
      <c r="E101" s="67">
        <f>'Capacity setup'!D108</f>
        <v>0</v>
      </c>
      <c r="F101" s="67">
        <f>'Capacity setup'!E108</f>
        <v>0</v>
      </c>
      <c r="H101" s="67">
        <f ca="1">IF(LOWER(Capacity!$L113)="x",IF(AND(SUMIF(Capacity_Resource,$D101,'Critical resources (hide)'!U$6:U$105)+SUMIF(Capacity_Resource,$E101,'Critical resources (hide)'!U$6:U$105)+SUMIF(Capacity_Resource,$F101,'Critical resources (hide)'!U$6:U$105)&gt;0,$E$1=2),0,1),0)</f>
        <v>1</v>
      </c>
      <c r="I101" s="67">
        <f ca="1">IF(LOWER(Capacity!$L113)="x",IF(AND(SUMIF(Capacity_Resource,$D101,'Critical resources (hide)'!V$6:V$105)+SUMIF(Capacity_Resource,$E101,'Critical resources (hide)'!V$6:V$105)+SUMIF(Capacity_Resource,$F101,'Critical resources (hide)'!V$6:V$105)&gt;0,$E$1=2),0,1),0)</f>
        <v>1</v>
      </c>
      <c r="J101" s="67">
        <f ca="1">IF(LOWER(Capacity!$L113)="x",IF(AND(SUMIF(Capacity_Resource,$D101,'Critical resources (hide)'!W$6:W$105)+SUMIF(Capacity_Resource,$E101,'Critical resources (hide)'!W$6:W$105)+SUMIF(Capacity_Resource,$F101,'Critical resources (hide)'!W$6:W$105)&gt;0,$E$1=2),0,1),0)</f>
        <v>1</v>
      </c>
      <c r="K101" s="67">
        <f ca="1">IF(LOWER(Capacity!$L113)="x",IF(AND(SUMIF(Capacity_Resource,$D101,'Critical resources (hide)'!X$6:X$105)+SUMIF(Capacity_Resource,$E101,'Critical resources (hide)'!X$6:X$105)+SUMIF(Capacity_Resource,$F101,'Critical resources (hide)'!X$6:X$105)&gt;0,$E$1=2),0,1),0)</f>
        <v>1</v>
      </c>
      <c r="L101" s="67">
        <f ca="1">IF(LOWER(Capacity!$L113)="x",IF(AND(SUMIF(Capacity_Resource,$D101,'Critical resources (hide)'!Y$6:Y$105)+SUMIF(Capacity_Resource,$E101,'Critical resources (hide)'!Y$6:Y$105)+SUMIF(Capacity_Resource,$F101,'Critical resources (hide)'!Y$6:Y$105)&gt;0,$E$1=2),0,1),0)</f>
        <v>1</v>
      </c>
      <c r="M101" s="67">
        <f ca="1">IF(LOWER(Capacity!$L113)="x",IF(AND(SUMIF(Capacity_Resource,$D101,'Critical resources (hide)'!Z$6:Z$105)+SUMIF(Capacity_Resource,$E101,'Critical resources (hide)'!Z$6:Z$105)+SUMIF(Capacity_Resource,$F101,'Critical resources (hide)'!Z$6:Z$105)&gt;0,$E$1=2),0,1),0)</f>
        <v>1</v>
      </c>
      <c r="N101" s="67">
        <f ca="1">IF(LOWER(Capacity!$L113)="x",IF(AND(SUMIF(Capacity_Resource,$D101,'Critical resources (hide)'!AA$6:AA$105)+SUMIF(Capacity_Resource,$E101,'Critical resources (hide)'!AA$6:AA$105)+SUMIF(Capacity_Resource,$F101,'Critical resources (hide)'!AA$6:AA$105)&gt;0,$E$1=2),0,1),0)</f>
        <v>1</v>
      </c>
      <c r="O101" s="67">
        <f ca="1">IF(LOWER(Capacity!$L113)="x",IF(AND(SUMIF(Capacity_Resource,$D101,'Critical resources (hide)'!AB$6:AB$105)+SUMIF(Capacity_Resource,$E101,'Critical resources (hide)'!AB$6:AB$105)+SUMIF(Capacity_Resource,$F101,'Critical resources (hide)'!AB$6:AB$105)&gt;0,$E$1=2),0,1),0)</f>
        <v>1</v>
      </c>
      <c r="P101" s="67">
        <f ca="1">IF(LOWER(Capacity!$L113)="x",IF(AND(SUMIF(Capacity_Resource,$D101,'Critical resources (hide)'!AC$6:AC$105)+SUMIF(Capacity_Resource,$E101,'Critical resources (hide)'!AC$6:AC$105)+SUMIF(Capacity_Resource,$F101,'Critical resources (hide)'!AC$6:AC$105)&gt;0,$E$1=2),0,1),0)</f>
        <v>1</v>
      </c>
      <c r="Q101" s="67">
        <f ca="1">IF(LOWER(Capacity!$L113)="x",IF(AND(SUMIF(Capacity_Resource,$D101,'Critical resources (hide)'!AD$6:AD$105)+SUMIF(Capacity_Resource,$E101,'Critical resources (hide)'!AD$6:AD$105)+SUMIF(Capacity_Resource,$F101,'Critical resources (hide)'!AD$6:AD$105)&gt;0,$E$1=2),0,1),0)</f>
        <v>1</v>
      </c>
      <c r="R101" s="67">
        <f ca="1">IF(LOWER(Capacity!$L113)="x",IF(AND(SUMIF(Capacity_Resource,$D101,'Critical resources (hide)'!AE$6:AE$105)+SUMIF(Capacity_Resource,$E101,'Critical resources (hide)'!AE$6:AE$105)+SUMIF(Capacity_Resource,$F101,'Critical resources (hide)'!AE$6:AE$105)&gt;0,$E$1=2),0,1),0)</f>
        <v>1</v>
      </c>
      <c r="S101" s="67">
        <f ca="1">IF(LOWER(Capacity!$L113)="x",IF(AND(SUMIF(Capacity_Resource,$D101,'Critical resources (hide)'!AF$6:AF$105)+SUMIF(Capacity_Resource,$E101,'Critical resources (hide)'!AF$6:AF$105)+SUMIF(Capacity_Resource,$F101,'Critical resources (hide)'!AF$6:AF$105)&gt;0,$E$1=2),0,1),0)</f>
        <v>1</v>
      </c>
      <c r="T101" s="67">
        <f ca="1">IF(LOWER(Capacity!$L113)="x",IF(AND(SUMIF(Capacity_Resource,$D101,'Critical resources (hide)'!AG$6:AG$105)+SUMIF(Capacity_Resource,$E101,'Critical resources (hide)'!AG$6:AG$105)+SUMIF(Capacity_Resource,$F101,'Critical resources (hide)'!AG$6:AG$105)&gt;0,$E$1=2),0,1),0)</f>
        <v>1</v>
      </c>
      <c r="U101" s="67">
        <f ca="1">IF(LOWER(Capacity!$L113)="x",IF(AND(SUMIF(Capacity_Resource,$D101,'Critical resources (hide)'!AH$6:AH$105)+SUMIF(Capacity_Resource,$E101,'Critical resources (hide)'!AH$6:AH$105)+SUMIF(Capacity_Resource,$F101,'Critical resources (hide)'!AH$6:AH$105)&gt;0,$E$1=2),0,1),0)</f>
        <v>1</v>
      </c>
      <c r="V101" s="67">
        <f ca="1">IF(LOWER(Capacity!$L113)="x",IF(AND(SUMIF(Capacity_Resource,$D101,'Critical resources (hide)'!AI$6:AI$105)+SUMIF(Capacity_Resource,$E101,'Critical resources (hide)'!AI$6:AI$105)+SUMIF(Capacity_Resource,$F101,'Critical resources (hide)'!AI$6:AI$105)&gt;0,$E$1=2),0,1),0)</f>
        <v>1</v>
      </c>
      <c r="W101" s="67">
        <f ca="1">IF(LOWER(Capacity!$L113)="x",IF(AND(SUMIF(Capacity_Resource,$D101,'Critical resources (hide)'!AJ$6:AJ$105)+SUMIF(Capacity_Resource,$E101,'Critical resources (hide)'!AJ$6:AJ$105)+SUMIF(Capacity_Resource,$F101,'Critical resources (hide)'!AJ$6:AJ$105)&gt;0,$E$1=2),0,1),0)</f>
        <v>1</v>
      </c>
      <c r="X101" s="67">
        <f ca="1">IF(LOWER(Capacity!$L113)="x",IF(AND(SUMIF(Capacity_Resource,$D101,'Critical resources (hide)'!AK$6:AK$105)+SUMIF(Capacity_Resource,$E101,'Critical resources (hide)'!AK$6:AK$105)+SUMIF(Capacity_Resource,$F101,'Critical resources (hide)'!AK$6:AK$105)&gt;0,$E$1=2),0,1),0)</f>
        <v>1</v>
      </c>
      <c r="Y101" s="67">
        <f ca="1">IF(LOWER(Capacity!$L113)="x",IF(AND(SUMIF(Capacity_Resource,$D101,'Critical resources (hide)'!AL$6:AL$105)+SUMIF(Capacity_Resource,$E101,'Critical resources (hide)'!AL$6:AL$105)+SUMIF(Capacity_Resource,$F101,'Critical resources (hide)'!AL$6:AL$105)&gt;0,$E$1=2),0,1),0)</f>
        <v>1</v>
      </c>
      <c r="Z101" s="67">
        <f ca="1">IF(LOWER(Capacity!$L113)="x",IF(AND(SUMIF(Capacity_Resource,$D101,'Critical resources (hide)'!AM$6:AM$105)+SUMIF(Capacity_Resource,$E101,'Critical resources (hide)'!AM$6:AM$105)+SUMIF(Capacity_Resource,$F101,'Critical resources (hide)'!AM$6:AM$105)&gt;0,$E$1=2),0,1),0)</f>
        <v>1</v>
      </c>
      <c r="AA101" s="67">
        <f ca="1">IF(LOWER(Capacity!$L113)="x",IF(AND(SUMIF(Capacity_Resource,$D101,'Critical resources (hide)'!AN$6:AN$105)+SUMIF(Capacity_Resource,$E101,'Critical resources (hide)'!AN$6:AN$105)+SUMIF(Capacity_Resource,$F101,'Critical resources (hide)'!AN$6:AN$105)&gt;0,$E$1=2),0,1),0)</f>
        <v>1</v>
      </c>
      <c r="AB101" s="67">
        <f ca="1">IF(LOWER(Capacity!$L113)="x",IF(AND(SUMIF(Capacity_Resource,$D101,'Critical resources (hide)'!AO$6:AO$105)+SUMIF(Capacity_Resource,$E101,'Critical resources (hide)'!AO$6:AO$105)+SUMIF(Capacity_Resource,$F101,'Critical resources (hide)'!AO$6:AO$105)&gt;0,$E$1=2),0,1),0)</f>
        <v>1</v>
      </c>
      <c r="AC101" s="67">
        <f ca="1">IF(LOWER(Capacity!$L113)="x",IF(AND(SUMIF(Capacity_Resource,$D101,'Critical resources (hide)'!AP$6:AP$105)+SUMIF(Capacity_Resource,$E101,'Critical resources (hide)'!AP$6:AP$105)+SUMIF(Capacity_Resource,$F101,'Critical resources (hide)'!AP$6:AP$105)&gt;0,$E$1=2),0,1),0)</f>
        <v>1</v>
      </c>
      <c r="AD101" s="67">
        <f ca="1">IF(LOWER(Capacity!$L113)="x",IF(AND(SUMIF(Capacity_Resource,$D101,'Critical resources (hide)'!AQ$6:AQ$105)+SUMIF(Capacity_Resource,$E101,'Critical resources (hide)'!AQ$6:AQ$105)+SUMIF(Capacity_Resource,$F101,'Critical resources (hide)'!AQ$6:AQ$105)&gt;0,$E$1=2),0,1),0)</f>
        <v>1</v>
      </c>
      <c r="AE101" s="67">
        <f ca="1">IF(LOWER(Capacity!$L113)="x",IF(AND(SUMIF(Capacity_Resource,$D101,'Critical resources (hide)'!AR$6:AR$105)+SUMIF(Capacity_Resource,$E101,'Critical resources (hide)'!AR$6:AR$105)+SUMIF(Capacity_Resource,$F101,'Critical resources (hide)'!AR$6:AR$105)&gt;0,$E$1=2),0,1),0)</f>
        <v>1</v>
      </c>
      <c r="AF101" s="67">
        <f ca="1">IF(LOWER(Capacity!$L113)="x",IF(AND(SUMIF(Capacity_Resource,$D101,'Critical resources (hide)'!AS$6:AS$105)+SUMIF(Capacity_Resource,$E101,'Critical resources (hide)'!AS$6:AS$105)+SUMIF(Capacity_Resource,$F101,'Critical resources (hide)'!AS$6:AS$105)&gt;0,$E$1=2),0,1),0)</f>
        <v>1</v>
      </c>
      <c r="AG101" s="67">
        <f ca="1">IF(LOWER(Capacity!$L113)="x",IF(AND(SUMIF(Capacity_Resource,$D101,'Critical resources (hide)'!AT$6:AT$105)+SUMIF(Capacity_Resource,$E101,'Critical resources (hide)'!AT$6:AT$105)+SUMIF(Capacity_Resource,$F101,'Critical resources (hide)'!AT$6:AT$105)&gt;0,$E$1=2),0,1),0)</f>
        <v>1</v>
      </c>
      <c r="AH101" s="67">
        <f ca="1">IF(LOWER(Capacity!$L113)="x",IF(AND(SUMIF(Capacity_Resource,$D101,'Critical resources (hide)'!AU$6:AU$105)+SUMIF(Capacity_Resource,$E101,'Critical resources (hide)'!AU$6:AU$105)+SUMIF(Capacity_Resource,$F101,'Critical resources (hide)'!AU$6:AU$105)&gt;0,$E$1=2),0,1),0)</f>
        <v>1</v>
      </c>
      <c r="AI101" s="67">
        <f ca="1">IF(LOWER(Capacity!$L113)="x",IF(AND(SUMIF(Capacity_Resource,$D101,'Critical resources (hide)'!AV$6:AV$105)+SUMIF(Capacity_Resource,$E101,'Critical resources (hide)'!AV$6:AV$105)+SUMIF(Capacity_Resource,$F101,'Critical resources (hide)'!AV$6:AV$105)&gt;0,$E$1=2),0,1),0)</f>
        <v>1</v>
      </c>
      <c r="AJ101" s="67">
        <f ca="1">IF(LOWER(Capacity!$L113)="x",IF(AND(SUMIF(Capacity_Resource,$D101,'Critical resources (hide)'!AW$6:AW$105)+SUMIF(Capacity_Resource,$E101,'Critical resources (hide)'!AW$6:AW$105)+SUMIF(Capacity_Resource,$F101,'Critical resources (hide)'!AW$6:AW$105)&gt;0,$E$1=2),0,1),0)</f>
        <v>1</v>
      </c>
      <c r="AK101" s="67">
        <f ca="1">IF(LOWER(Capacity!$L113)="x",IF(AND(SUMIF(Capacity_Resource,$D101,'Critical resources (hide)'!AX$6:AX$105)+SUMIF(Capacity_Resource,$E101,'Critical resources (hide)'!AX$6:AX$105)+SUMIF(Capacity_Resource,$F101,'Critical resources (hide)'!AX$6:AX$105)&gt;0,$E$1=2),0,1),0)</f>
        <v>1</v>
      </c>
      <c r="AL101" s="67">
        <f ca="1">IF(LOWER(Capacity!$L113)="x",IF(AND(SUMIF(Capacity_Resource,$D101,'Critical resources (hide)'!AY$6:AY$105)+SUMIF(Capacity_Resource,$E101,'Critical resources (hide)'!AY$6:AY$105)+SUMIF(Capacity_Resource,$F101,'Critical resources (hide)'!AY$6:AY$105)&gt;0,$E$1=2),0,1),0)</f>
        <v>1</v>
      </c>
      <c r="AM101" s="67">
        <f ca="1">IF(LOWER(Capacity!$L113)="x",IF(AND(SUMIF(Capacity_Resource,$D101,'Critical resources (hide)'!AZ$6:AZ$105)+SUMIF(Capacity_Resource,$E101,'Critical resources (hide)'!AZ$6:AZ$105)+SUMIF(Capacity_Resource,$F101,'Critical resources (hide)'!AZ$6:AZ$105)&gt;0,$E$1=2),0,1),0)</f>
        <v>1</v>
      </c>
      <c r="AN101" s="67">
        <f ca="1">IF(LOWER(Capacity!$L113)="x",IF(AND(SUMIF(Capacity_Resource,$D101,'Critical resources (hide)'!BA$6:BA$105)+SUMIF(Capacity_Resource,$E101,'Critical resources (hide)'!BA$6:BA$105)+SUMIF(Capacity_Resource,$F101,'Critical resources (hide)'!BA$6:BA$105)&gt;0,$E$1=2),0,1),0)</f>
        <v>1</v>
      </c>
      <c r="AO101" s="67">
        <f ca="1">IF(LOWER(Capacity!$L113)="x",IF(AND(SUMIF(Capacity_Resource,$D101,'Critical resources (hide)'!BB$6:BB$105)+SUMIF(Capacity_Resource,$E101,'Critical resources (hide)'!BB$6:BB$105)+SUMIF(Capacity_Resource,$F101,'Critical resources (hide)'!BB$6:BB$105)&gt;0,$E$1=2),0,1),0)</f>
        <v>1</v>
      </c>
      <c r="AP101" s="67">
        <f ca="1">IF(LOWER(Capacity!$L113)="x",IF(AND(SUMIF(Capacity_Resource,$D101,'Critical resources (hide)'!BC$6:BC$105)+SUMIF(Capacity_Resource,$E101,'Critical resources (hide)'!BC$6:BC$105)+SUMIF(Capacity_Resource,$F101,'Critical resources (hide)'!BC$6:BC$105)&gt;0,$E$1=2),0,1),0)</f>
        <v>1</v>
      </c>
      <c r="AQ101" s="67">
        <f ca="1">IF(LOWER(Capacity!$L113)="x",IF(AND(SUMIF(Capacity_Resource,$D101,'Critical resources (hide)'!BD$6:BD$105)+SUMIF(Capacity_Resource,$E101,'Critical resources (hide)'!BD$6:BD$105)+SUMIF(Capacity_Resource,$F101,'Critical resources (hide)'!BD$6:BD$105)&gt;0,$E$1=2),0,1),0)</f>
        <v>1</v>
      </c>
      <c r="AR101" s="67">
        <f ca="1">IF(LOWER(Capacity!$L113)="x",IF(AND(SUMIF(Capacity_Resource,$D101,'Critical resources (hide)'!BE$6:BE$105)+SUMIF(Capacity_Resource,$E101,'Critical resources (hide)'!BE$6:BE$105)+SUMIF(Capacity_Resource,$F101,'Critical resources (hide)'!BE$6:BE$105)&gt;0,$E$1=2),0,1),0)</f>
        <v>1</v>
      </c>
      <c r="AS101" s="67">
        <f ca="1">IF(LOWER(Capacity!$L113)="x",IF(AND(SUMIF(Capacity_Resource,$D101,'Critical resources (hide)'!BF$6:BF$105)+SUMIF(Capacity_Resource,$E101,'Critical resources (hide)'!BF$6:BF$105)+SUMIF(Capacity_Resource,$F101,'Critical resources (hide)'!BF$6:BF$105)&gt;0,$E$1=2),0,1),0)</f>
        <v>1</v>
      </c>
      <c r="AT101" s="67">
        <f ca="1">IF(LOWER(Capacity!$L113)="x",IF(AND(SUMIF(Capacity_Resource,$D101,'Critical resources (hide)'!BG$6:BG$105)+SUMIF(Capacity_Resource,$E101,'Critical resources (hide)'!BG$6:BG$105)+SUMIF(Capacity_Resource,$F101,'Critical resources (hide)'!BG$6:BG$105)&gt;0,$E$1=2),0,1),0)</f>
        <v>1</v>
      </c>
      <c r="AU101" s="67">
        <f ca="1">IF(LOWER(Capacity!$L113)="x",IF(AND(SUMIF(Capacity_Resource,$D101,'Critical resources (hide)'!BH$6:BH$105)+SUMIF(Capacity_Resource,$E101,'Critical resources (hide)'!BH$6:BH$105)+SUMIF(Capacity_Resource,$F101,'Critical resources (hide)'!BH$6:BH$105)&gt;0,$E$1=2),0,1),0)</f>
        <v>1</v>
      </c>
      <c r="AV101" s="67">
        <f ca="1">IF(LOWER(Capacity!$L113)="x",IF(AND(SUMIF(Capacity_Resource,$D101,'Critical resources (hide)'!BI$6:BI$105)+SUMIF(Capacity_Resource,$E101,'Critical resources (hide)'!BI$6:BI$105)+SUMIF(Capacity_Resource,$F101,'Critical resources (hide)'!BI$6:BI$105)&gt;0,$E$1=2),0,1),0)</f>
        <v>1</v>
      </c>
      <c r="AW101" s="67">
        <f ca="1">IF(LOWER(Capacity!$L113)="x",IF(AND(SUMIF(Capacity_Resource,$D101,'Critical resources (hide)'!BJ$6:BJ$105)+SUMIF(Capacity_Resource,$E101,'Critical resources (hide)'!BJ$6:BJ$105)+SUMIF(Capacity_Resource,$F101,'Critical resources (hide)'!BJ$6:BJ$105)&gt;0,$E$1=2),0,1),0)</f>
        <v>1</v>
      </c>
      <c r="AX101" s="67">
        <f ca="1">IF(LOWER(Capacity!$L113)="x",IF(AND(SUMIF(Capacity_Resource,$D101,'Critical resources (hide)'!BK$6:BK$105)+SUMIF(Capacity_Resource,$E101,'Critical resources (hide)'!BK$6:BK$105)+SUMIF(Capacity_Resource,$F101,'Critical resources (hide)'!BK$6:BK$105)&gt;0,$E$1=2),0,1),0)</f>
        <v>1</v>
      </c>
      <c r="AY101" s="67">
        <f ca="1">IF(LOWER(Capacity!$L113)="x",IF(AND(SUMIF(Capacity_Resource,$D101,'Critical resources (hide)'!BL$6:BL$105)+SUMIF(Capacity_Resource,$E101,'Critical resources (hide)'!BL$6:BL$105)+SUMIF(Capacity_Resource,$F101,'Critical resources (hide)'!BL$6:BL$105)&gt;0,$E$1=2),0,1),0)</f>
        <v>1</v>
      </c>
      <c r="AZ101" s="67">
        <f ca="1">IF(LOWER(Capacity!$L113)="x",IF(AND(SUMIF(Capacity_Resource,$D101,'Critical resources (hide)'!BM$6:BM$105)+SUMIF(Capacity_Resource,$E101,'Critical resources (hide)'!BM$6:BM$105)+SUMIF(Capacity_Resource,$F101,'Critical resources (hide)'!BM$6:BM$105)&gt;0,$E$1=2),0,1),0)</f>
        <v>1</v>
      </c>
      <c r="BA101" s="67">
        <f ca="1">IF(LOWER(Capacity!$L113)="x",IF(AND(SUMIF(Capacity_Resource,$D101,'Critical resources (hide)'!BN$6:BN$105)+SUMIF(Capacity_Resource,$E101,'Critical resources (hide)'!BN$6:BN$105)+SUMIF(Capacity_Resource,$F101,'Critical resources (hide)'!BN$6:BN$105)&gt;0,$E$1=2),0,1),0)</f>
        <v>1</v>
      </c>
      <c r="BB101" s="67">
        <f ca="1">IF(LOWER(Capacity!$L113)="x",IF(AND(SUMIF(Capacity_Resource,$D101,'Critical resources (hide)'!BO$6:BO$105)+SUMIF(Capacity_Resource,$E101,'Critical resources (hide)'!BO$6:BO$105)+SUMIF(Capacity_Resource,$F101,'Critical resources (hide)'!BO$6:BO$105)&gt;0,$E$1=2),0,1),0)</f>
        <v>1</v>
      </c>
      <c r="BC101" s="67">
        <f ca="1">IF(LOWER(Capacity!$L113)="x",IF(AND(SUMIF(Capacity_Resource,$D101,'Critical resources (hide)'!BP$6:BP$105)+SUMIF(Capacity_Resource,$E101,'Critical resources (hide)'!BP$6:BP$105)+SUMIF(Capacity_Resource,$F101,'Critical resources (hide)'!BP$6:BP$105)&gt;0,$E$1=2),0,1),0)</f>
        <v>1</v>
      </c>
      <c r="BD101" s="67">
        <f ca="1">IF(LOWER(Capacity!$L113)="x",IF(AND(SUMIF(Capacity_Resource,$D101,'Critical resources (hide)'!BQ$6:BQ$105)+SUMIF(Capacity_Resource,$E101,'Critical resources (hide)'!BQ$6:BQ$105)+SUMIF(Capacity_Resource,$F101,'Critical resources (hide)'!BQ$6:BQ$105)&gt;0,$E$1=2),0,1),0)</f>
        <v>1</v>
      </c>
      <c r="BE101" s="67">
        <f ca="1">IF(LOWER(Capacity!$L113)="x",IF(AND(SUMIF(Capacity_Resource,$D101,'Critical resources (hide)'!BR$6:BR$105)+SUMIF(Capacity_Resource,$E101,'Critical resources (hide)'!BR$6:BR$105)+SUMIF(Capacity_Resource,$F101,'Critical resources (hide)'!BR$6:BR$105)&gt;0,$E$1=2),0,1),0)</f>
        <v>1</v>
      </c>
      <c r="BF101" s="67">
        <f ca="1">IF(LOWER(Capacity!$L113)="x",IF(AND(SUMIF(Capacity_Resource,$D101,'Critical resources (hide)'!BS$6:BS$105)+SUMIF(Capacity_Resource,$E101,'Critical resources (hide)'!BS$6:BS$105)+SUMIF(Capacity_Resource,$F101,'Critical resources (hide)'!BS$6:BS$105)&gt;0,$E$1=2),0,1),0)</f>
        <v>1</v>
      </c>
      <c r="BG101" s="67">
        <f ca="1">IF(LOWER(Capacity!$L113)="x",IF(AND(SUMIF(Capacity_Resource,$D101,'Critical resources (hide)'!BT$6:BT$105)+SUMIF(Capacity_Resource,$E101,'Critical resources (hide)'!BT$6:BT$105)+SUMIF(Capacity_Resource,$F101,'Critical resources (hide)'!BT$6:BT$105)&gt;0,$E$1=2),0,1),0)</f>
        <v>1</v>
      </c>
      <c r="BH101" s="67">
        <f>IF(ROW(C97)&lt;=Capacity!$A$16,IF('Capacity summary'!$D$14="No",SUM(H101:BG101),'Capacity summary'!$E220),0)</f>
        <v>0</v>
      </c>
      <c r="BI101" s="5" t="str">
        <f>IF(BH101&gt;0,IF(BH101&lt;Capacity!E113,Capacity!F113,Capacity!H113/'Capacity calculation (hide)'!BH101),"")</f>
        <v/>
      </c>
      <c r="BK101" s="311">
        <f>IF($BI101&lt;&gt;"",IF('Capacity summary'!$D$14="Yes",IF(COUNTBLANK('Capacity summary'!$H220:$BG220)&lt;52,IF('Capacity summary'!H220&lt;&gt;"",IF(LOWER('Capacity summary'!H220)="x",$BI101*H101,VALUE('Capacity summary'!H220)),0),H101*$BI101),H101*$BI101),0)</f>
        <v>0</v>
      </c>
      <c r="BL101" s="311">
        <f>IF($BI101&lt;&gt;"",IF('Capacity summary'!$D$14="Yes",IF(COUNTBLANK('Capacity summary'!$H220:$BG220)&lt;52,IF('Capacity summary'!I220&lt;&gt;"",IF(LOWER('Capacity summary'!I220)="x",$BI101*I101,VALUE('Capacity summary'!I220)),0),I101*$BI101),I101*$BI101),0)</f>
        <v>0</v>
      </c>
      <c r="BM101" s="311">
        <f>IF($BI101&lt;&gt;"",IF('Capacity summary'!$D$14="Yes",IF(COUNTBLANK('Capacity summary'!$H220:$BG220)&lt;52,IF('Capacity summary'!J220&lt;&gt;"",IF(LOWER('Capacity summary'!J220)="x",$BI101*J101,VALUE('Capacity summary'!J220)),0),J101*$BI101),J101*$BI101),0)</f>
        <v>0</v>
      </c>
      <c r="BN101" s="311">
        <f>IF($BI101&lt;&gt;"",IF('Capacity summary'!$D$14="Yes",IF(COUNTBLANK('Capacity summary'!$H220:$BG220)&lt;52,IF('Capacity summary'!K220&lt;&gt;"",IF(LOWER('Capacity summary'!K220)="x",$BI101*K101,VALUE('Capacity summary'!K220)),0),K101*$BI101),K101*$BI101),0)</f>
        <v>0</v>
      </c>
      <c r="BO101" s="311">
        <f>IF($BI101&lt;&gt;"",IF('Capacity summary'!$D$14="Yes",IF(COUNTBLANK('Capacity summary'!$H220:$BG220)&lt;52,IF('Capacity summary'!L220&lt;&gt;"",IF(LOWER('Capacity summary'!L220)="x",$BI101*L101,VALUE('Capacity summary'!L220)),0),L101*$BI101),L101*$BI101),0)</f>
        <v>0</v>
      </c>
      <c r="BP101" s="311">
        <f>IF($BI101&lt;&gt;"",IF('Capacity summary'!$D$14="Yes",IF(COUNTBLANK('Capacity summary'!$H220:$BG220)&lt;52,IF('Capacity summary'!M220&lt;&gt;"",IF(LOWER('Capacity summary'!M220)="x",$BI101*M101,VALUE('Capacity summary'!M220)),0),M101*$BI101),M101*$BI101),0)</f>
        <v>0</v>
      </c>
      <c r="BQ101" s="311">
        <f>IF($BI101&lt;&gt;"",IF('Capacity summary'!$D$14="Yes",IF(COUNTBLANK('Capacity summary'!$H220:$BG220)&lt;52,IF('Capacity summary'!N220&lt;&gt;"",IF(LOWER('Capacity summary'!N220)="x",$BI101*N101,VALUE('Capacity summary'!N220)),0),N101*$BI101),N101*$BI101),0)</f>
        <v>0</v>
      </c>
      <c r="BR101" s="311">
        <f>IF($BI101&lt;&gt;"",IF('Capacity summary'!$D$14="Yes",IF(COUNTBLANK('Capacity summary'!$H220:$BG220)&lt;52,IF('Capacity summary'!O220&lt;&gt;"",IF(LOWER('Capacity summary'!O220)="x",$BI101*O101,VALUE('Capacity summary'!O220)),0),O101*$BI101),O101*$BI101),0)</f>
        <v>0</v>
      </c>
      <c r="BS101" s="311">
        <f>IF($BI101&lt;&gt;"",IF('Capacity summary'!$D$14="Yes",IF(COUNTBLANK('Capacity summary'!$H220:$BG220)&lt;52,IF('Capacity summary'!P220&lt;&gt;"",IF(LOWER('Capacity summary'!P220)="x",$BI101*P101,VALUE('Capacity summary'!P220)),0),P101*$BI101),P101*$BI101),0)</f>
        <v>0</v>
      </c>
      <c r="BT101" s="311">
        <f>IF($BI101&lt;&gt;"",IF('Capacity summary'!$D$14="Yes",IF(COUNTBLANK('Capacity summary'!$H220:$BG220)&lt;52,IF('Capacity summary'!Q220&lt;&gt;"",IF(LOWER('Capacity summary'!Q220)="x",$BI101*Q101,VALUE('Capacity summary'!Q220)),0),Q101*$BI101),Q101*$BI101),0)</f>
        <v>0</v>
      </c>
      <c r="BU101" s="311">
        <f>IF($BI101&lt;&gt;"",IF('Capacity summary'!$D$14="Yes",IF(COUNTBLANK('Capacity summary'!$H220:$BG220)&lt;52,IF('Capacity summary'!R220&lt;&gt;"",IF(LOWER('Capacity summary'!R220)="x",$BI101*R101,VALUE('Capacity summary'!R220)),0),R101*$BI101),R101*$BI101),0)</f>
        <v>0</v>
      </c>
      <c r="BV101" s="311">
        <f>IF($BI101&lt;&gt;"",IF('Capacity summary'!$D$14="Yes",IF(COUNTBLANK('Capacity summary'!$H220:$BG220)&lt;52,IF('Capacity summary'!S220&lt;&gt;"",IF(LOWER('Capacity summary'!S220)="x",$BI101*S101,VALUE('Capacity summary'!S220)),0),S101*$BI101),S101*$BI101),0)</f>
        <v>0</v>
      </c>
      <c r="BW101" s="311">
        <f>IF($BI101&lt;&gt;"",IF('Capacity summary'!$D$14="Yes",IF(COUNTBLANK('Capacity summary'!$H220:$BG220)&lt;52,IF('Capacity summary'!T220&lt;&gt;"",IF(LOWER('Capacity summary'!T220)="x",$BI101*T101,VALUE('Capacity summary'!T220)),0),T101*$BI101),T101*$BI101),0)</f>
        <v>0</v>
      </c>
      <c r="BX101" s="311">
        <f>IF($BI101&lt;&gt;"",IF('Capacity summary'!$D$14="Yes",IF(COUNTBLANK('Capacity summary'!$H220:$BG220)&lt;52,IF('Capacity summary'!U220&lt;&gt;"",IF(LOWER('Capacity summary'!U220)="x",$BI101*U101,VALUE('Capacity summary'!U220)),0),U101*$BI101),U101*$BI101),0)</f>
        <v>0</v>
      </c>
      <c r="BY101" s="311">
        <f>IF($BI101&lt;&gt;"",IF('Capacity summary'!$D$14="Yes",IF(COUNTBLANK('Capacity summary'!$H220:$BG220)&lt;52,IF('Capacity summary'!V220&lt;&gt;"",IF(LOWER('Capacity summary'!V220)="x",$BI101*V101,VALUE('Capacity summary'!V220)),0),V101*$BI101),V101*$BI101),0)</f>
        <v>0</v>
      </c>
      <c r="BZ101" s="311">
        <f>IF($BI101&lt;&gt;"",IF('Capacity summary'!$D$14="Yes",IF(COUNTBLANK('Capacity summary'!$H220:$BG220)&lt;52,IF('Capacity summary'!W220&lt;&gt;"",IF(LOWER('Capacity summary'!W220)="x",$BI101*W101,VALUE('Capacity summary'!W220)),0),W101*$BI101),W101*$BI101),0)</f>
        <v>0</v>
      </c>
      <c r="CA101" s="311">
        <f>IF($BI101&lt;&gt;"",IF('Capacity summary'!$D$14="Yes",IF(COUNTBLANK('Capacity summary'!$H220:$BG220)&lt;52,IF('Capacity summary'!X220&lt;&gt;"",IF(LOWER('Capacity summary'!X220)="x",$BI101*X101,VALUE('Capacity summary'!X220)),0),X101*$BI101),X101*$BI101),0)</f>
        <v>0</v>
      </c>
      <c r="CB101" s="311">
        <f>IF($BI101&lt;&gt;"",IF('Capacity summary'!$D$14="Yes",IF(COUNTBLANK('Capacity summary'!$H220:$BG220)&lt;52,IF('Capacity summary'!Y220&lt;&gt;"",IF(LOWER('Capacity summary'!Y220)="x",$BI101*Y101,VALUE('Capacity summary'!Y220)),0),Y101*$BI101),Y101*$BI101),0)</f>
        <v>0</v>
      </c>
      <c r="CC101" s="311">
        <f>IF($BI101&lt;&gt;"",IF('Capacity summary'!$D$14="Yes",IF(COUNTBLANK('Capacity summary'!$H220:$BG220)&lt;52,IF('Capacity summary'!Z220&lt;&gt;"",IF(LOWER('Capacity summary'!Z220)="x",$BI101*Z101,VALUE('Capacity summary'!Z220)),0),Z101*$BI101),Z101*$BI101),0)</f>
        <v>0</v>
      </c>
      <c r="CD101" s="311">
        <f>IF($BI101&lt;&gt;"",IF('Capacity summary'!$D$14="Yes",IF(COUNTBLANK('Capacity summary'!$H220:$BG220)&lt;52,IF('Capacity summary'!AA220&lt;&gt;"",IF(LOWER('Capacity summary'!AA220)="x",$BI101*AA101,VALUE('Capacity summary'!AA220)),0),AA101*$BI101),AA101*$BI101),0)</f>
        <v>0</v>
      </c>
      <c r="CE101" s="311">
        <f>IF($BI101&lt;&gt;"",IF('Capacity summary'!$D$14="Yes",IF(COUNTBLANK('Capacity summary'!$H220:$BG220)&lt;52,IF('Capacity summary'!AB220&lt;&gt;"",IF(LOWER('Capacity summary'!AB220)="x",$BI101*AB101,VALUE('Capacity summary'!AB220)),0),AB101*$BI101),AB101*$BI101),0)</f>
        <v>0</v>
      </c>
      <c r="CF101" s="311">
        <f>IF($BI101&lt;&gt;"",IF('Capacity summary'!$D$14="Yes",IF(COUNTBLANK('Capacity summary'!$H220:$BG220)&lt;52,IF('Capacity summary'!AC220&lt;&gt;"",IF(LOWER('Capacity summary'!AC220)="x",$BI101*AC101,VALUE('Capacity summary'!AC220)),0),AC101*$BI101),AC101*$BI101),0)</f>
        <v>0</v>
      </c>
      <c r="CG101" s="311">
        <f>IF($BI101&lt;&gt;"",IF('Capacity summary'!$D$14="Yes",IF(COUNTBLANK('Capacity summary'!$H220:$BG220)&lt;52,IF('Capacity summary'!AD220&lt;&gt;"",IF(LOWER('Capacity summary'!AD220)="x",$BI101*AD101,VALUE('Capacity summary'!AD220)),0),AD101*$BI101),AD101*$BI101),0)</f>
        <v>0</v>
      </c>
      <c r="CH101" s="311">
        <f>IF($BI101&lt;&gt;"",IF('Capacity summary'!$D$14="Yes",IF(COUNTBLANK('Capacity summary'!$H220:$BG220)&lt;52,IF('Capacity summary'!AE220&lt;&gt;"",IF(LOWER('Capacity summary'!AE220)="x",$BI101*AE101,VALUE('Capacity summary'!AE220)),0),AE101*$BI101),AE101*$BI101),0)</f>
        <v>0</v>
      </c>
      <c r="CI101" s="311">
        <f>IF($BI101&lt;&gt;"",IF('Capacity summary'!$D$14="Yes",IF(COUNTBLANK('Capacity summary'!$H220:$BG220)&lt;52,IF('Capacity summary'!AF220&lt;&gt;"",IF(LOWER('Capacity summary'!AF220)="x",$BI101*AF101,VALUE('Capacity summary'!AF220)),0),AF101*$BI101),AF101*$BI101),0)</f>
        <v>0</v>
      </c>
      <c r="CJ101" s="311">
        <f>IF($BI101&lt;&gt;"",IF('Capacity summary'!$D$14="Yes",IF(COUNTBLANK('Capacity summary'!$H220:$BG220)&lt;52,IF('Capacity summary'!AG220&lt;&gt;"",IF(LOWER('Capacity summary'!AG220)="x",$BI101*AG101,VALUE('Capacity summary'!AG220)),0),AG101*$BI101),AG101*$BI101),0)</f>
        <v>0</v>
      </c>
      <c r="CK101" s="311">
        <f>IF($BI101&lt;&gt;"",IF('Capacity summary'!$D$14="Yes",IF(COUNTBLANK('Capacity summary'!$H220:$BG220)&lt;52,IF('Capacity summary'!AH220&lt;&gt;"",IF(LOWER('Capacity summary'!AH220)="x",$BI101*AH101,VALUE('Capacity summary'!AH220)),0),AH101*$BI101),AH101*$BI101),0)</f>
        <v>0</v>
      </c>
      <c r="CL101" s="311">
        <f>IF($BI101&lt;&gt;"",IF('Capacity summary'!$D$14="Yes",IF(COUNTBLANK('Capacity summary'!$H220:$BG220)&lt;52,IF('Capacity summary'!AI220&lt;&gt;"",IF(LOWER('Capacity summary'!AI220)="x",$BI101*AI101,VALUE('Capacity summary'!AI220)),0),AI101*$BI101),AI101*$BI101),0)</f>
        <v>0</v>
      </c>
      <c r="CM101" s="311">
        <f>IF($BI101&lt;&gt;"",IF('Capacity summary'!$D$14="Yes",IF(COUNTBLANK('Capacity summary'!$H220:$BG220)&lt;52,IF('Capacity summary'!AJ220&lt;&gt;"",IF(LOWER('Capacity summary'!AJ220)="x",$BI101*AJ101,VALUE('Capacity summary'!AJ220)),0),AJ101*$BI101),AJ101*$BI101),0)</f>
        <v>0</v>
      </c>
      <c r="CN101" s="311">
        <f>IF($BI101&lt;&gt;"",IF('Capacity summary'!$D$14="Yes",IF(COUNTBLANK('Capacity summary'!$H220:$BG220)&lt;52,IF('Capacity summary'!AK220&lt;&gt;"",IF(LOWER('Capacity summary'!AK220)="x",$BI101*AK101,VALUE('Capacity summary'!AK220)),0),AK101*$BI101),AK101*$BI101),0)</f>
        <v>0</v>
      </c>
      <c r="CO101" s="311">
        <f>IF($BI101&lt;&gt;"",IF('Capacity summary'!$D$14="Yes",IF(COUNTBLANK('Capacity summary'!$H220:$BG220)&lt;52,IF('Capacity summary'!AL220&lt;&gt;"",IF(LOWER('Capacity summary'!AL220)="x",$BI101*AL101,VALUE('Capacity summary'!AL220)),0),AL101*$BI101),AL101*$BI101),0)</f>
        <v>0</v>
      </c>
      <c r="CP101" s="311">
        <f>IF($BI101&lt;&gt;"",IF('Capacity summary'!$D$14="Yes",IF(COUNTBLANK('Capacity summary'!$H220:$BG220)&lt;52,IF('Capacity summary'!AM220&lt;&gt;"",IF(LOWER('Capacity summary'!AM220)="x",$BI101*AM101,VALUE('Capacity summary'!AM220)),0),AM101*$BI101),AM101*$BI101),0)</f>
        <v>0</v>
      </c>
      <c r="CQ101" s="311">
        <f>IF($BI101&lt;&gt;"",IF('Capacity summary'!$D$14="Yes",IF(COUNTBLANK('Capacity summary'!$H220:$BG220)&lt;52,IF('Capacity summary'!AN220&lt;&gt;"",IF(LOWER('Capacity summary'!AN220)="x",$BI101*AN101,VALUE('Capacity summary'!AN220)),0),AN101*$BI101),AN101*$BI101),0)</f>
        <v>0</v>
      </c>
      <c r="CR101" s="311">
        <f>IF($BI101&lt;&gt;"",IF('Capacity summary'!$D$14="Yes",IF(COUNTBLANK('Capacity summary'!$H220:$BG220)&lt;52,IF('Capacity summary'!AO220&lt;&gt;"",IF(LOWER('Capacity summary'!AO220)="x",$BI101*AO101,VALUE('Capacity summary'!AO220)),0),AO101*$BI101),AO101*$BI101),0)</f>
        <v>0</v>
      </c>
      <c r="CS101" s="311">
        <f>IF($BI101&lt;&gt;"",IF('Capacity summary'!$D$14="Yes",IF(COUNTBLANK('Capacity summary'!$H220:$BG220)&lt;52,IF('Capacity summary'!AP220&lt;&gt;"",IF(LOWER('Capacity summary'!AP220)="x",$BI101*AP101,VALUE('Capacity summary'!AP220)),0),AP101*$BI101),AP101*$BI101),0)</f>
        <v>0</v>
      </c>
      <c r="CT101" s="311">
        <f>IF($BI101&lt;&gt;"",IF('Capacity summary'!$D$14="Yes",IF(COUNTBLANK('Capacity summary'!$H220:$BG220)&lt;52,IF('Capacity summary'!AQ220&lt;&gt;"",IF(LOWER('Capacity summary'!AQ220)="x",$BI101*AQ101,VALUE('Capacity summary'!AQ220)),0),AQ101*$BI101),AQ101*$BI101),0)</f>
        <v>0</v>
      </c>
      <c r="CU101" s="311">
        <f>IF($BI101&lt;&gt;"",IF('Capacity summary'!$D$14="Yes",IF(COUNTBLANK('Capacity summary'!$H220:$BG220)&lt;52,IF('Capacity summary'!AR220&lt;&gt;"",IF(LOWER('Capacity summary'!AR220)="x",$BI101*AR101,VALUE('Capacity summary'!AR220)),0),AR101*$BI101),AR101*$BI101),0)</f>
        <v>0</v>
      </c>
      <c r="CV101" s="311">
        <f>IF($BI101&lt;&gt;"",IF('Capacity summary'!$D$14="Yes",IF(COUNTBLANK('Capacity summary'!$H220:$BG220)&lt;52,IF('Capacity summary'!AS220&lt;&gt;"",IF(LOWER('Capacity summary'!AS220)="x",$BI101*AS101,VALUE('Capacity summary'!AS220)),0),AS101*$BI101),AS101*$BI101),0)</f>
        <v>0</v>
      </c>
      <c r="CW101" s="311">
        <f>IF($BI101&lt;&gt;"",IF('Capacity summary'!$D$14="Yes",IF(COUNTBLANK('Capacity summary'!$H220:$BG220)&lt;52,IF('Capacity summary'!AT220&lt;&gt;"",IF(LOWER('Capacity summary'!AT220)="x",$BI101*AT101,VALUE('Capacity summary'!AT220)),0),AT101*$BI101),AT101*$BI101),0)</f>
        <v>0</v>
      </c>
      <c r="CX101" s="311">
        <f>IF($BI101&lt;&gt;"",IF('Capacity summary'!$D$14="Yes",IF(COUNTBLANK('Capacity summary'!$H220:$BG220)&lt;52,IF('Capacity summary'!AU220&lt;&gt;"",IF(LOWER('Capacity summary'!AU220)="x",$BI101*AU101,VALUE('Capacity summary'!AU220)),0),AU101*$BI101),AU101*$BI101),0)</f>
        <v>0</v>
      </c>
      <c r="CY101" s="311">
        <f>IF($BI101&lt;&gt;"",IF('Capacity summary'!$D$14="Yes",IF(COUNTBLANK('Capacity summary'!$H220:$BG220)&lt;52,IF('Capacity summary'!AV220&lt;&gt;"",IF(LOWER('Capacity summary'!AV220)="x",$BI101*AV101,VALUE('Capacity summary'!AV220)),0),AV101*$BI101),AV101*$BI101),0)</f>
        <v>0</v>
      </c>
      <c r="CZ101" s="311">
        <f>IF($BI101&lt;&gt;"",IF('Capacity summary'!$D$14="Yes",IF(COUNTBLANK('Capacity summary'!$H220:$BG220)&lt;52,IF('Capacity summary'!AW220&lt;&gt;"",IF(LOWER('Capacity summary'!AW220)="x",$BI101*AW101,VALUE('Capacity summary'!AW220)),0),AW101*$BI101),AW101*$BI101),0)</f>
        <v>0</v>
      </c>
      <c r="DA101" s="311">
        <f>IF($BI101&lt;&gt;"",IF('Capacity summary'!$D$14="Yes",IF(COUNTBLANK('Capacity summary'!$H220:$BG220)&lt;52,IF('Capacity summary'!AX220&lt;&gt;"",IF(LOWER('Capacity summary'!AX220)="x",$BI101*AX101,VALUE('Capacity summary'!AX220)),0),AX101*$BI101),AX101*$BI101),0)</f>
        <v>0</v>
      </c>
      <c r="DB101" s="311">
        <f>IF($BI101&lt;&gt;"",IF('Capacity summary'!$D$14="Yes",IF(COUNTBLANK('Capacity summary'!$H220:$BG220)&lt;52,IF('Capacity summary'!AY220&lt;&gt;"",IF(LOWER('Capacity summary'!AY220)="x",$BI101*AY101,VALUE('Capacity summary'!AY220)),0),AY101*$BI101),AY101*$BI101),0)</f>
        <v>0</v>
      </c>
      <c r="DC101" s="311">
        <f>IF($BI101&lt;&gt;"",IF('Capacity summary'!$D$14="Yes",IF(COUNTBLANK('Capacity summary'!$H220:$BG220)&lt;52,IF('Capacity summary'!AZ220&lt;&gt;"",IF(LOWER('Capacity summary'!AZ220)="x",$BI101*AZ101,VALUE('Capacity summary'!AZ220)),0),AZ101*$BI101),AZ101*$BI101),0)</f>
        <v>0</v>
      </c>
      <c r="DD101" s="311">
        <f>IF($BI101&lt;&gt;"",IF('Capacity summary'!$D$14="Yes",IF(COUNTBLANK('Capacity summary'!$H220:$BG220)&lt;52,IF('Capacity summary'!BA220&lt;&gt;"",IF(LOWER('Capacity summary'!BA220)="x",$BI101*BA101,VALUE('Capacity summary'!BA220)),0),BA101*$BI101),BA101*$BI101),0)</f>
        <v>0</v>
      </c>
      <c r="DE101" s="311">
        <f>IF($BI101&lt;&gt;"",IF('Capacity summary'!$D$14="Yes",IF(COUNTBLANK('Capacity summary'!$H220:$BG220)&lt;52,IF('Capacity summary'!BB220&lt;&gt;"",IF(LOWER('Capacity summary'!BB220)="x",$BI101*BB101,VALUE('Capacity summary'!BB220)),0),BB101*$BI101),BB101*$BI101),0)</f>
        <v>0</v>
      </c>
      <c r="DF101" s="311">
        <f>IF($BI101&lt;&gt;"",IF('Capacity summary'!$D$14="Yes",IF(COUNTBLANK('Capacity summary'!$H220:$BG220)&lt;52,IF('Capacity summary'!BC220&lt;&gt;"",IF(LOWER('Capacity summary'!BC220)="x",$BI101*BC101,VALUE('Capacity summary'!BC220)),0),BC101*$BI101),BC101*$BI101),0)</f>
        <v>0</v>
      </c>
      <c r="DG101" s="311">
        <f>IF($BI101&lt;&gt;"",IF('Capacity summary'!$D$14="Yes",IF(COUNTBLANK('Capacity summary'!$H220:$BG220)&lt;52,IF('Capacity summary'!BD220&lt;&gt;"",IF(LOWER('Capacity summary'!BD220)="x",$BI101*BD101,VALUE('Capacity summary'!BD220)),0),BD101*$BI101),BD101*$BI101),0)</f>
        <v>0</v>
      </c>
      <c r="DH101" s="311">
        <f>IF($BI101&lt;&gt;"",IF('Capacity summary'!$D$14="Yes",IF(COUNTBLANK('Capacity summary'!$H220:$BG220)&lt;52,IF('Capacity summary'!BE220&lt;&gt;"",IF(LOWER('Capacity summary'!BE220)="x",$BI101*BE101,VALUE('Capacity summary'!BE220)),0),BE101*$BI101),BE101*$BI101),0)</f>
        <v>0</v>
      </c>
      <c r="DI101" s="311">
        <f>IF($BI101&lt;&gt;"",IF('Capacity summary'!$D$14="Yes",IF(COUNTBLANK('Capacity summary'!$H220:$BG220)&lt;52,IF('Capacity summary'!BF220&lt;&gt;"",IF(LOWER('Capacity summary'!BF220)="x",$BI101*BF101,VALUE('Capacity summary'!BF220)),0),BF101*$BI101),BF101*$BI101),0)</f>
        <v>0</v>
      </c>
      <c r="DJ101" s="311">
        <f>IF($BI101&lt;&gt;"",IF('Capacity summary'!$D$14="Yes",IF(COUNTBLANK('Capacity summary'!$H220:$BG220)&lt;52,IF('Capacity summary'!BG220&lt;&gt;"",IF(LOWER('Capacity summary'!BG220)="x",$BI101*BG101,VALUE('Capacity summary'!BG220)),0),BG101*$BI101),BG101*$BI101),0)</f>
        <v>0</v>
      </c>
      <c r="DK101" s="391">
        <f t="shared" si="4"/>
        <v>0</v>
      </c>
      <c r="DL101" s="136">
        <f t="shared" si="5"/>
        <v>0</v>
      </c>
      <c r="DM101" s="311" t="str">
        <f>Capacity!H113</f>
        <v/>
      </c>
    </row>
    <row r="102" spans="1:117" x14ac:dyDescent="0.2">
      <c r="A102" s="67">
        <f>IF(Capacity!L114='Capacity summary'!BI221,1,0)</f>
        <v>1</v>
      </c>
      <c r="B102" s="67">
        <f>IF(Capacity!V114='Capacity summary'!BI121,1,0)</f>
        <v>1</v>
      </c>
      <c r="C102" s="67" t="str">
        <f>ROW(A98)&amp;". "&amp;Capacity!B114</f>
        <v xml:space="preserve">98. </v>
      </c>
      <c r="D102" s="67">
        <f>'Capacity setup'!C109</f>
        <v>0</v>
      </c>
      <c r="E102" s="67">
        <f>'Capacity setup'!D109</f>
        <v>0</v>
      </c>
      <c r="F102" s="67">
        <f>'Capacity setup'!E109</f>
        <v>0</v>
      </c>
      <c r="H102" s="67">
        <f ca="1">IF(LOWER(Capacity!$L114)="x",IF(AND(SUMIF(Capacity_Resource,$D102,'Critical resources (hide)'!U$6:U$105)+SUMIF(Capacity_Resource,$E102,'Critical resources (hide)'!U$6:U$105)+SUMIF(Capacity_Resource,$F102,'Critical resources (hide)'!U$6:U$105)&gt;0,$E$1=2),0,1),0)</f>
        <v>1</v>
      </c>
      <c r="I102" s="67">
        <f ca="1">IF(LOWER(Capacity!$L114)="x",IF(AND(SUMIF(Capacity_Resource,$D102,'Critical resources (hide)'!V$6:V$105)+SUMIF(Capacity_Resource,$E102,'Critical resources (hide)'!V$6:V$105)+SUMIF(Capacity_Resource,$F102,'Critical resources (hide)'!V$6:V$105)&gt;0,$E$1=2),0,1),0)</f>
        <v>1</v>
      </c>
      <c r="J102" s="67">
        <f ca="1">IF(LOWER(Capacity!$L114)="x",IF(AND(SUMIF(Capacity_Resource,$D102,'Critical resources (hide)'!W$6:W$105)+SUMIF(Capacity_Resource,$E102,'Critical resources (hide)'!W$6:W$105)+SUMIF(Capacity_Resource,$F102,'Critical resources (hide)'!W$6:W$105)&gt;0,$E$1=2),0,1),0)</f>
        <v>1</v>
      </c>
      <c r="K102" s="67">
        <f ca="1">IF(LOWER(Capacity!$L114)="x",IF(AND(SUMIF(Capacity_Resource,$D102,'Critical resources (hide)'!X$6:X$105)+SUMIF(Capacity_Resource,$E102,'Critical resources (hide)'!X$6:X$105)+SUMIF(Capacity_Resource,$F102,'Critical resources (hide)'!X$6:X$105)&gt;0,$E$1=2),0,1),0)</f>
        <v>1</v>
      </c>
      <c r="L102" s="67">
        <f ca="1">IF(LOWER(Capacity!$L114)="x",IF(AND(SUMIF(Capacity_Resource,$D102,'Critical resources (hide)'!Y$6:Y$105)+SUMIF(Capacity_Resource,$E102,'Critical resources (hide)'!Y$6:Y$105)+SUMIF(Capacity_Resource,$F102,'Critical resources (hide)'!Y$6:Y$105)&gt;0,$E$1=2),0,1),0)</f>
        <v>1</v>
      </c>
      <c r="M102" s="67">
        <f ca="1">IF(LOWER(Capacity!$L114)="x",IF(AND(SUMIF(Capacity_Resource,$D102,'Critical resources (hide)'!Z$6:Z$105)+SUMIF(Capacity_Resource,$E102,'Critical resources (hide)'!Z$6:Z$105)+SUMIF(Capacity_Resource,$F102,'Critical resources (hide)'!Z$6:Z$105)&gt;0,$E$1=2),0,1),0)</f>
        <v>1</v>
      </c>
      <c r="N102" s="67">
        <f ca="1">IF(LOWER(Capacity!$L114)="x",IF(AND(SUMIF(Capacity_Resource,$D102,'Critical resources (hide)'!AA$6:AA$105)+SUMIF(Capacity_Resource,$E102,'Critical resources (hide)'!AA$6:AA$105)+SUMIF(Capacity_Resource,$F102,'Critical resources (hide)'!AA$6:AA$105)&gt;0,$E$1=2),0,1),0)</f>
        <v>1</v>
      </c>
      <c r="O102" s="67">
        <f ca="1">IF(LOWER(Capacity!$L114)="x",IF(AND(SUMIF(Capacity_Resource,$D102,'Critical resources (hide)'!AB$6:AB$105)+SUMIF(Capacity_Resource,$E102,'Critical resources (hide)'!AB$6:AB$105)+SUMIF(Capacity_Resource,$F102,'Critical resources (hide)'!AB$6:AB$105)&gt;0,$E$1=2),0,1),0)</f>
        <v>1</v>
      </c>
      <c r="P102" s="67">
        <f ca="1">IF(LOWER(Capacity!$L114)="x",IF(AND(SUMIF(Capacity_Resource,$D102,'Critical resources (hide)'!AC$6:AC$105)+SUMIF(Capacity_Resource,$E102,'Critical resources (hide)'!AC$6:AC$105)+SUMIF(Capacity_Resource,$F102,'Critical resources (hide)'!AC$6:AC$105)&gt;0,$E$1=2),0,1),0)</f>
        <v>1</v>
      </c>
      <c r="Q102" s="67">
        <f ca="1">IF(LOWER(Capacity!$L114)="x",IF(AND(SUMIF(Capacity_Resource,$D102,'Critical resources (hide)'!AD$6:AD$105)+SUMIF(Capacity_Resource,$E102,'Critical resources (hide)'!AD$6:AD$105)+SUMIF(Capacity_Resource,$F102,'Critical resources (hide)'!AD$6:AD$105)&gt;0,$E$1=2),0,1),0)</f>
        <v>1</v>
      </c>
      <c r="R102" s="67">
        <f ca="1">IF(LOWER(Capacity!$L114)="x",IF(AND(SUMIF(Capacity_Resource,$D102,'Critical resources (hide)'!AE$6:AE$105)+SUMIF(Capacity_Resource,$E102,'Critical resources (hide)'!AE$6:AE$105)+SUMIF(Capacity_Resource,$F102,'Critical resources (hide)'!AE$6:AE$105)&gt;0,$E$1=2),0,1),0)</f>
        <v>1</v>
      </c>
      <c r="S102" s="67">
        <f ca="1">IF(LOWER(Capacity!$L114)="x",IF(AND(SUMIF(Capacity_Resource,$D102,'Critical resources (hide)'!AF$6:AF$105)+SUMIF(Capacity_Resource,$E102,'Critical resources (hide)'!AF$6:AF$105)+SUMIF(Capacity_Resource,$F102,'Critical resources (hide)'!AF$6:AF$105)&gt;0,$E$1=2),0,1),0)</f>
        <v>1</v>
      </c>
      <c r="T102" s="67">
        <f ca="1">IF(LOWER(Capacity!$L114)="x",IF(AND(SUMIF(Capacity_Resource,$D102,'Critical resources (hide)'!AG$6:AG$105)+SUMIF(Capacity_Resource,$E102,'Critical resources (hide)'!AG$6:AG$105)+SUMIF(Capacity_Resource,$F102,'Critical resources (hide)'!AG$6:AG$105)&gt;0,$E$1=2),0,1),0)</f>
        <v>1</v>
      </c>
      <c r="U102" s="67">
        <f ca="1">IF(LOWER(Capacity!$L114)="x",IF(AND(SUMIF(Capacity_Resource,$D102,'Critical resources (hide)'!AH$6:AH$105)+SUMIF(Capacity_Resource,$E102,'Critical resources (hide)'!AH$6:AH$105)+SUMIF(Capacity_Resource,$F102,'Critical resources (hide)'!AH$6:AH$105)&gt;0,$E$1=2),0,1),0)</f>
        <v>1</v>
      </c>
      <c r="V102" s="67">
        <f ca="1">IF(LOWER(Capacity!$L114)="x",IF(AND(SUMIF(Capacity_Resource,$D102,'Critical resources (hide)'!AI$6:AI$105)+SUMIF(Capacity_Resource,$E102,'Critical resources (hide)'!AI$6:AI$105)+SUMIF(Capacity_Resource,$F102,'Critical resources (hide)'!AI$6:AI$105)&gt;0,$E$1=2),0,1),0)</f>
        <v>1</v>
      </c>
      <c r="W102" s="67">
        <f ca="1">IF(LOWER(Capacity!$L114)="x",IF(AND(SUMIF(Capacity_Resource,$D102,'Critical resources (hide)'!AJ$6:AJ$105)+SUMIF(Capacity_Resource,$E102,'Critical resources (hide)'!AJ$6:AJ$105)+SUMIF(Capacity_Resource,$F102,'Critical resources (hide)'!AJ$6:AJ$105)&gt;0,$E$1=2),0,1),0)</f>
        <v>1</v>
      </c>
      <c r="X102" s="67">
        <f ca="1">IF(LOWER(Capacity!$L114)="x",IF(AND(SUMIF(Capacity_Resource,$D102,'Critical resources (hide)'!AK$6:AK$105)+SUMIF(Capacity_Resource,$E102,'Critical resources (hide)'!AK$6:AK$105)+SUMIF(Capacity_Resource,$F102,'Critical resources (hide)'!AK$6:AK$105)&gt;0,$E$1=2),0,1),0)</f>
        <v>1</v>
      </c>
      <c r="Y102" s="67">
        <f ca="1">IF(LOWER(Capacity!$L114)="x",IF(AND(SUMIF(Capacity_Resource,$D102,'Critical resources (hide)'!AL$6:AL$105)+SUMIF(Capacity_Resource,$E102,'Critical resources (hide)'!AL$6:AL$105)+SUMIF(Capacity_Resource,$F102,'Critical resources (hide)'!AL$6:AL$105)&gt;0,$E$1=2),0,1),0)</f>
        <v>1</v>
      </c>
      <c r="Z102" s="67">
        <f ca="1">IF(LOWER(Capacity!$L114)="x",IF(AND(SUMIF(Capacity_Resource,$D102,'Critical resources (hide)'!AM$6:AM$105)+SUMIF(Capacity_Resource,$E102,'Critical resources (hide)'!AM$6:AM$105)+SUMIF(Capacity_Resource,$F102,'Critical resources (hide)'!AM$6:AM$105)&gt;0,$E$1=2),0,1),0)</f>
        <v>1</v>
      </c>
      <c r="AA102" s="67">
        <f ca="1">IF(LOWER(Capacity!$L114)="x",IF(AND(SUMIF(Capacity_Resource,$D102,'Critical resources (hide)'!AN$6:AN$105)+SUMIF(Capacity_Resource,$E102,'Critical resources (hide)'!AN$6:AN$105)+SUMIF(Capacity_Resource,$F102,'Critical resources (hide)'!AN$6:AN$105)&gt;0,$E$1=2),0,1),0)</f>
        <v>1</v>
      </c>
      <c r="AB102" s="67">
        <f ca="1">IF(LOWER(Capacity!$L114)="x",IF(AND(SUMIF(Capacity_Resource,$D102,'Critical resources (hide)'!AO$6:AO$105)+SUMIF(Capacity_Resource,$E102,'Critical resources (hide)'!AO$6:AO$105)+SUMIF(Capacity_Resource,$F102,'Critical resources (hide)'!AO$6:AO$105)&gt;0,$E$1=2),0,1),0)</f>
        <v>1</v>
      </c>
      <c r="AC102" s="67">
        <f ca="1">IF(LOWER(Capacity!$L114)="x",IF(AND(SUMIF(Capacity_Resource,$D102,'Critical resources (hide)'!AP$6:AP$105)+SUMIF(Capacity_Resource,$E102,'Critical resources (hide)'!AP$6:AP$105)+SUMIF(Capacity_Resource,$F102,'Critical resources (hide)'!AP$6:AP$105)&gt;0,$E$1=2),0,1),0)</f>
        <v>1</v>
      </c>
      <c r="AD102" s="67">
        <f ca="1">IF(LOWER(Capacity!$L114)="x",IF(AND(SUMIF(Capacity_Resource,$D102,'Critical resources (hide)'!AQ$6:AQ$105)+SUMIF(Capacity_Resource,$E102,'Critical resources (hide)'!AQ$6:AQ$105)+SUMIF(Capacity_Resource,$F102,'Critical resources (hide)'!AQ$6:AQ$105)&gt;0,$E$1=2),0,1),0)</f>
        <v>1</v>
      </c>
      <c r="AE102" s="67">
        <f ca="1">IF(LOWER(Capacity!$L114)="x",IF(AND(SUMIF(Capacity_Resource,$D102,'Critical resources (hide)'!AR$6:AR$105)+SUMIF(Capacity_Resource,$E102,'Critical resources (hide)'!AR$6:AR$105)+SUMIF(Capacity_Resource,$F102,'Critical resources (hide)'!AR$6:AR$105)&gt;0,$E$1=2),0,1),0)</f>
        <v>1</v>
      </c>
      <c r="AF102" s="67">
        <f ca="1">IF(LOWER(Capacity!$L114)="x",IF(AND(SUMIF(Capacity_Resource,$D102,'Critical resources (hide)'!AS$6:AS$105)+SUMIF(Capacity_Resource,$E102,'Critical resources (hide)'!AS$6:AS$105)+SUMIF(Capacity_Resource,$F102,'Critical resources (hide)'!AS$6:AS$105)&gt;0,$E$1=2),0,1),0)</f>
        <v>1</v>
      </c>
      <c r="AG102" s="67">
        <f ca="1">IF(LOWER(Capacity!$L114)="x",IF(AND(SUMIF(Capacity_Resource,$D102,'Critical resources (hide)'!AT$6:AT$105)+SUMIF(Capacity_Resource,$E102,'Critical resources (hide)'!AT$6:AT$105)+SUMIF(Capacity_Resource,$F102,'Critical resources (hide)'!AT$6:AT$105)&gt;0,$E$1=2),0,1),0)</f>
        <v>1</v>
      </c>
      <c r="AH102" s="67">
        <f ca="1">IF(LOWER(Capacity!$L114)="x",IF(AND(SUMIF(Capacity_Resource,$D102,'Critical resources (hide)'!AU$6:AU$105)+SUMIF(Capacity_Resource,$E102,'Critical resources (hide)'!AU$6:AU$105)+SUMIF(Capacity_Resource,$F102,'Critical resources (hide)'!AU$6:AU$105)&gt;0,$E$1=2),0,1),0)</f>
        <v>1</v>
      </c>
      <c r="AI102" s="67">
        <f ca="1">IF(LOWER(Capacity!$L114)="x",IF(AND(SUMIF(Capacity_Resource,$D102,'Critical resources (hide)'!AV$6:AV$105)+SUMIF(Capacity_Resource,$E102,'Critical resources (hide)'!AV$6:AV$105)+SUMIF(Capacity_Resource,$F102,'Critical resources (hide)'!AV$6:AV$105)&gt;0,$E$1=2),0,1),0)</f>
        <v>1</v>
      </c>
      <c r="AJ102" s="67">
        <f ca="1">IF(LOWER(Capacity!$L114)="x",IF(AND(SUMIF(Capacity_Resource,$D102,'Critical resources (hide)'!AW$6:AW$105)+SUMIF(Capacity_Resource,$E102,'Critical resources (hide)'!AW$6:AW$105)+SUMIF(Capacity_Resource,$F102,'Critical resources (hide)'!AW$6:AW$105)&gt;0,$E$1=2),0,1),0)</f>
        <v>1</v>
      </c>
      <c r="AK102" s="67">
        <f ca="1">IF(LOWER(Capacity!$L114)="x",IF(AND(SUMIF(Capacity_Resource,$D102,'Critical resources (hide)'!AX$6:AX$105)+SUMIF(Capacity_Resource,$E102,'Critical resources (hide)'!AX$6:AX$105)+SUMIF(Capacity_Resource,$F102,'Critical resources (hide)'!AX$6:AX$105)&gt;0,$E$1=2),0,1),0)</f>
        <v>1</v>
      </c>
      <c r="AL102" s="67">
        <f ca="1">IF(LOWER(Capacity!$L114)="x",IF(AND(SUMIF(Capacity_Resource,$D102,'Critical resources (hide)'!AY$6:AY$105)+SUMIF(Capacity_Resource,$E102,'Critical resources (hide)'!AY$6:AY$105)+SUMIF(Capacity_Resource,$F102,'Critical resources (hide)'!AY$6:AY$105)&gt;0,$E$1=2),0,1),0)</f>
        <v>1</v>
      </c>
      <c r="AM102" s="67">
        <f ca="1">IF(LOWER(Capacity!$L114)="x",IF(AND(SUMIF(Capacity_Resource,$D102,'Critical resources (hide)'!AZ$6:AZ$105)+SUMIF(Capacity_Resource,$E102,'Critical resources (hide)'!AZ$6:AZ$105)+SUMIF(Capacity_Resource,$F102,'Critical resources (hide)'!AZ$6:AZ$105)&gt;0,$E$1=2),0,1),0)</f>
        <v>1</v>
      </c>
      <c r="AN102" s="67">
        <f ca="1">IF(LOWER(Capacity!$L114)="x",IF(AND(SUMIF(Capacity_Resource,$D102,'Critical resources (hide)'!BA$6:BA$105)+SUMIF(Capacity_Resource,$E102,'Critical resources (hide)'!BA$6:BA$105)+SUMIF(Capacity_Resource,$F102,'Critical resources (hide)'!BA$6:BA$105)&gt;0,$E$1=2),0,1),0)</f>
        <v>1</v>
      </c>
      <c r="AO102" s="67">
        <f ca="1">IF(LOWER(Capacity!$L114)="x",IF(AND(SUMIF(Capacity_Resource,$D102,'Critical resources (hide)'!BB$6:BB$105)+SUMIF(Capacity_Resource,$E102,'Critical resources (hide)'!BB$6:BB$105)+SUMIF(Capacity_Resource,$F102,'Critical resources (hide)'!BB$6:BB$105)&gt;0,$E$1=2),0,1),0)</f>
        <v>1</v>
      </c>
      <c r="AP102" s="67">
        <f ca="1">IF(LOWER(Capacity!$L114)="x",IF(AND(SUMIF(Capacity_Resource,$D102,'Critical resources (hide)'!BC$6:BC$105)+SUMIF(Capacity_Resource,$E102,'Critical resources (hide)'!BC$6:BC$105)+SUMIF(Capacity_Resource,$F102,'Critical resources (hide)'!BC$6:BC$105)&gt;0,$E$1=2),0,1),0)</f>
        <v>1</v>
      </c>
      <c r="AQ102" s="67">
        <f ca="1">IF(LOWER(Capacity!$L114)="x",IF(AND(SUMIF(Capacity_Resource,$D102,'Critical resources (hide)'!BD$6:BD$105)+SUMIF(Capacity_Resource,$E102,'Critical resources (hide)'!BD$6:BD$105)+SUMIF(Capacity_Resource,$F102,'Critical resources (hide)'!BD$6:BD$105)&gt;0,$E$1=2),0,1),0)</f>
        <v>1</v>
      </c>
      <c r="AR102" s="67">
        <f ca="1">IF(LOWER(Capacity!$L114)="x",IF(AND(SUMIF(Capacity_Resource,$D102,'Critical resources (hide)'!BE$6:BE$105)+SUMIF(Capacity_Resource,$E102,'Critical resources (hide)'!BE$6:BE$105)+SUMIF(Capacity_Resource,$F102,'Critical resources (hide)'!BE$6:BE$105)&gt;0,$E$1=2),0,1),0)</f>
        <v>1</v>
      </c>
      <c r="AS102" s="67">
        <f ca="1">IF(LOWER(Capacity!$L114)="x",IF(AND(SUMIF(Capacity_Resource,$D102,'Critical resources (hide)'!BF$6:BF$105)+SUMIF(Capacity_Resource,$E102,'Critical resources (hide)'!BF$6:BF$105)+SUMIF(Capacity_Resource,$F102,'Critical resources (hide)'!BF$6:BF$105)&gt;0,$E$1=2),0,1),0)</f>
        <v>1</v>
      </c>
      <c r="AT102" s="67">
        <f ca="1">IF(LOWER(Capacity!$L114)="x",IF(AND(SUMIF(Capacity_Resource,$D102,'Critical resources (hide)'!BG$6:BG$105)+SUMIF(Capacity_Resource,$E102,'Critical resources (hide)'!BG$6:BG$105)+SUMIF(Capacity_Resource,$F102,'Critical resources (hide)'!BG$6:BG$105)&gt;0,$E$1=2),0,1),0)</f>
        <v>1</v>
      </c>
      <c r="AU102" s="67">
        <f ca="1">IF(LOWER(Capacity!$L114)="x",IF(AND(SUMIF(Capacity_Resource,$D102,'Critical resources (hide)'!BH$6:BH$105)+SUMIF(Capacity_Resource,$E102,'Critical resources (hide)'!BH$6:BH$105)+SUMIF(Capacity_Resource,$F102,'Critical resources (hide)'!BH$6:BH$105)&gt;0,$E$1=2),0,1),0)</f>
        <v>1</v>
      </c>
      <c r="AV102" s="67">
        <f ca="1">IF(LOWER(Capacity!$L114)="x",IF(AND(SUMIF(Capacity_Resource,$D102,'Critical resources (hide)'!BI$6:BI$105)+SUMIF(Capacity_Resource,$E102,'Critical resources (hide)'!BI$6:BI$105)+SUMIF(Capacity_Resource,$F102,'Critical resources (hide)'!BI$6:BI$105)&gt;0,$E$1=2),0,1),0)</f>
        <v>1</v>
      </c>
      <c r="AW102" s="67">
        <f ca="1">IF(LOWER(Capacity!$L114)="x",IF(AND(SUMIF(Capacity_Resource,$D102,'Critical resources (hide)'!BJ$6:BJ$105)+SUMIF(Capacity_Resource,$E102,'Critical resources (hide)'!BJ$6:BJ$105)+SUMIF(Capacity_Resource,$F102,'Critical resources (hide)'!BJ$6:BJ$105)&gt;0,$E$1=2),0,1),0)</f>
        <v>1</v>
      </c>
      <c r="AX102" s="67">
        <f ca="1">IF(LOWER(Capacity!$L114)="x",IF(AND(SUMIF(Capacity_Resource,$D102,'Critical resources (hide)'!BK$6:BK$105)+SUMIF(Capacity_Resource,$E102,'Critical resources (hide)'!BK$6:BK$105)+SUMIF(Capacity_Resource,$F102,'Critical resources (hide)'!BK$6:BK$105)&gt;0,$E$1=2),0,1),0)</f>
        <v>1</v>
      </c>
      <c r="AY102" s="67">
        <f ca="1">IF(LOWER(Capacity!$L114)="x",IF(AND(SUMIF(Capacity_Resource,$D102,'Critical resources (hide)'!BL$6:BL$105)+SUMIF(Capacity_Resource,$E102,'Critical resources (hide)'!BL$6:BL$105)+SUMIF(Capacity_Resource,$F102,'Critical resources (hide)'!BL$6:BL$105)&gt;0,$E$1=2),0,1),0)</f>
        <v>1</v>
      </c>
      <c r="AZ102" s="67">
        <f ca="1">IF(LOWER(Capacity!$L114)="x",IF(AND(SUMIF(Capacity_Resource,$D102,'Critical resources (hide)'!BM$6:BM$105)+SUMIF(Capacity_Resource,$E102,'Critical resources (hide)'!BM$6:BM$105)+SUMIF(Capacity_Resource,$F102,'Critical resources (hide)'!BM$6:BM$105)&gt;0,$E$1=2),0,1),0)</f>
        <v>1</v>
      </c>
      <c r="BA102" s="67">
        <f ca="1">IF(LOWER(Capacity!$L114)="x",IF(AND(SUMIF(Capacity_Resource,$D102,'Critical resources (hide)'!BN$6:BN$105)+SUMIF(Capacity_Resource,$E102,'Critical resources (hide)'!BN$6:BN$105)+SUMIF(Capacity_Resource,$F102,'Critical resources (hide)'!BN$6:BN$105)&gt;0,$E$1=2),0,1),0)</f>
        <v>1</v>
      </c>
      <c r="BB102" s="67">
        <f ca="1">IF(LOWER(Capacity!$L114)="x",IF(AND(SUMIF(Capacity_Resource,$D102,'Critical resources (hide)'!BO$6:BO$105)+SUMIF(Capacity_Resource,$E102,'Critical resources (hide)'!BO$6:BO$105)+SUMIF(Capacity_Resource,$F102,'Critical resources (hide)'!BO$6:BO$105)&gt;0,$E$1=2),0,1),0)</f>
        <v>1</v>
      </c>
      <c r="BC102" s="67">
        <f ca="1">IF(LOWER(Capacity!$L114)="x",IF(AND(SUMIF(Capacity_Resource,$D102,'Critical resources (hide)'!BP$6:BP$105)+SUMIF(Capacity_Resource,$E102,'Critical resources (hide)'!BP$6:BP$105)+SUMIF(Capacity_Resource,$F102,'Critical resources (hide)'!BP$6:BP$105)&gt;0,$E$1=2),0,1),0)</f>
        <v>1</v>
      </c>
      <c r="BD102" s="67">
        <f ca="1">IF(LOWER(Capacity!$L114)="x",IF(AND(SUMIF(Capacity_Resource,$D102,'Critical resources (hide)'!BQ$6:BQ$105)+SUMIF(Capacity_Resource,$E102,'Critical resources (hide)'!BQ$6:BQ$105)+SUMIF(Capacity_Resource,$F102,'Critical resources (hide)'!BQ$6:BQ$105)&gt;0,$E$1=2),0,1),0)</f>
        <v>1</v>
      </c>
      <c r="BE102" s="67">
        <f ca="1">IF(LOWER(Capacity!$L114)="x",IF(AND(SUMIF(Capacity_Resource,$D102,'Critical resources (hide)'!BR$6:BR$105)+SUMIF(Capacity_Resource,$E102,'Critical resources (hide)'!BR$6:BR$105)+SUMIF(Capacity_Resource,$F102,'Critical resources (hide)'!BR$6:BR$105)&gt;0,$E$1=2),0,1),0)</f>
        <v>1</v>
      </c>
      <c r="BF102" s="67">
        <f ca="1">IF(LOWER(Capacity!$L114)="x",IF(AND(SUMIF(Capacity_Resource,$D102,'Critical resources (hide)'!BS$6:BS$105)+SUMIF(Capacity_Resource,$E102,'Critical resources (hide)'!BS$6:BS$105)+SUMIF(Capacity_Resource,$F102,'Critical resources (hide)'!BS$6:BS$105)&gt;0,$E$1=2),0,1),0)</f>
        <v>1</v>
      </c>
      <c r="BG102" s="67">
        <f ca="1">IF(LOWER(Capacity!$L114)="x",IF(AND(SUMIF(Capacity_Resource,$D102,'Critical resources (hide)'!BT$6:BT$105)+SUMIF(Capacity_Resource,$E102,'Critical resources (hide)'!BT$6:BT$105)+SUMIF(Capacity_Resource,$F102,'Critical resources (hide)'!BT$6:BT$105)&gt;0,$E$1=2),0,1),0)</f>
        <v>1</v>
      </c>
      <c r="BH102" s="67">
        <f>IF(ROW(C98)&lt;=Capacity!$A$16,IF('Capacity summary'!$D$14="No",SUM(H102:BG102),'Capacity summary'!$E221),0)</f>
        <v>0</v>
      </c>
      <c r="BI102" s="5" t="str">
        <f>IF(BH102&gt;0,IF(BH102&lt;Capacity!E114,Capacity!F114,Capacity!H114/'Capacity calculation (hide)'!BH102),"")</f>
        <v/>
      </c>
      <c r="BK102" s="311">
        <f>IF($BI102&lt;&gt;"",IF('Capacity summary'!$D$14="Yes",IF(COUNTBLANK('Capacity summary'!$H221:$BG221)&lt;52,IF('Capacity summary'!H221&lt;&gt;"",IF(LOWER('Capacity summary'!H221)="x",$BI102*H102,VALUE('Capacity summary'!H221)),0),H102*$BI102),H102*$BI102),0)</f>
        <v>0</v>
      </c>
      <c r="BL102" s="311">
        <f>IF($BI102&lt;&gt;"",IF('Capacity summary'!$D$14="Yes",IF(COUNTBLANK('Capacity summary'!$H221:$BG221)&lt;52,IF('Capacity summary'!I221&lt;&gt;"",IF(LOWER('Capacity summary'!I221)="x",$BI102*I102,VALUE('Capacity summary'!I221)),0),I102*$BI102),I102*$BI102),0)</f>
        <v>0</v>
      </c>
      <c r="BM102" s="311">
        <f>IF($BI102&lt;&gt;"",IF('Capacity summary'!$D$14="Yes",IF(COUNTBLANK('Capacity summary'!$H221:$BG221)&lt;52,IF('Capacity summary'!J221&lt;&gt;"",IF(LOWER('Capacity summary'!J221)="x",$BI102*J102,VALUE('Capacity summary'!J221)),0),J102*$BI102),J102*$BI102),0)</f>
        <v>0</v>
      </c>
      <c r="BN102" s="311">
        <f>IF($BI102&lt;&gt;"",IF('Capacity summary'!$D$14="Yes",IF(COUNTBLANK('Capacity summary'!$H221:$BG221)&lt;52,IF('Capacity summary'!K221&lt;&gt;"",IF(LOWER('Capacity summary'!K221)="x",$BI102*K102,VALUE('Capacity summary'!K221)),0),K102*$BI102),K102*$BI102),0)</f>
        <v>0</v>
      </c>
      <c r="BO102" s="311">
        <f>IF($BI102&lt;&gt;"",IF('Capacity summary'!$D$14="Yes",IF(COUNTBLANK('Capacity summary'!$H221:$BG221)&lt;52,IF('Capacity summary'!L221&lt;&gt;"",IF(LOWER('Capacity summary'!L221)="x",$BI102*L102,VALUE('Capacity summary'!L221)),0),L102*$BI102),L102*$BI102),0)</f>
        <v>0</v>
      </c>
      <c r="BP102" s="311">
        <f>IF($BI102&lt;&gt;"",IF('Capacity summary'!$D$14="Yes",IF(COUNTBLANK('Capacity summary'!$H221:$BG221)&lt;52,IF('Capacity summary'!M221&lt;&gt;"",IF(LOWER('Capacity summary'!M221)="x",$BI102*M102,VALUE('Capacity summary'!M221)),0),M102*$BI102),M102*$BI102),0)</f>
        <v>0</v>
      </c>
      <c r="BQ102" s="311">
        <f>IF($BI102&lt;&gt;"",IF('Capacity summary'!$D$14="Yes",IF(COUNTBLANK('Capacity summary'!$H221:$BG221)&lt;52,IF('Capacity summary'!N221&lt;&gt;"",IF(LOWER('Capacity summary'!N221)="x",$BI102*N102,VALUE('Capacity summary'!N221)),0),N102*$BI102),N102*$BI102),0)</f>
        <v>0</v>
      </c>
      <c r="BR102" s="311">
        <f>IF($BI102&lt;&gt;"",IF('Capacity summary'!$D$14="Yes",IF(COUNTBLANK('Capacity summary'!$H221:$BG221)&lt;52,IF('Capacity summary'!O221&lt;&gt;"",IF(LOWER('Capacity summary'!O221)="x",$BI102*O102,VALUE('Capacity summary'!O221)),0),O102*$BI102),O102*$BI102),0)</f>
        <v>0</v>
      </c>
      <c r="BS102" s="311">
        <f>IF($BI102&lt;&gt;"",IF('Capacity summary'!$D$14="Yes",IF(COUNTBLANK('Capacity summary'!$H221:$BG221)&lt;52,IF('Capacity summary'!P221&lt;&gt;"",IF(LOWER('Capacity summary'!P221)="x",$BI102*P102,VALUE('Capacity summary'!P221)),0),P102*$BI102),P102*$BI102),0)</f>
        <v>0</v>
      </c>
      <c r="BT102" s="311">
        <f>IF($BI102&lt;&gt;"",IF('Capacity summary'!$D$14="Yes",IF(COUNTBLANK('Capacity summary'!$H221:$BG221)&lt;52,IF('Capacity summary'!Q221&lt;&gt;"",IF(LOWER('Capacity summary'!Q221)="x",$BI102*Q102,VALUE('Capacity summary'!Q221)),0),Q102*$BI102),Q102*$BI102),0)</f>
        <v>0</v>
      </c>
      <c r="BU102" s="311">
        <f>IF($BI102&lt;&gt;"",IF('Capacity summary'!$D$14="Yes",IF(COUNTBLANK('Capacity summary'!$H221:$BG221)&lt;52,IF('Capacity summary'!R221&lt;&gt;"",IF(LOWER('Capacity summary'!R221)="x",$BI102*R102,VALUE('Capacity summary'!R221)),0),R102*$BI102),R102*$BI102),0)</f>
        <v>0</v>
      </c>
      <c r="BV102" s="311">
        <f>IF($BI102&lt;&gt;"",IF('Capacity summary'!$D$14="Yes",IF(COUNTBLANK('Capacity summary'!$H221:$BG221)&lt;52,IF('Capacity summary'!S221&lt;&gt;"",IF(LOWER('Capacity summary'!S221)="x",$BI102*S102,VALUE('Capacity summary'!S221)),0),S102*$BI102),S102*$BI102),0)</f>
        <v>0</v>
      </c>
      <c r="BW102" s="311">
        <f>IF($BI102&lt;&gt;"",IF('Capacity summary'!$D$14="Yes",IF(COUNTBLANK('Capacity summary'!$H221:$BG221)&lt;52,IF('Capacity summary'!T221&lt;&gt;"",IF(LOWER('Capacity summary'!T221)="x",$BI102*T102,VALUE('Capacity summary'!T221)),0),T102*$BI102),T102*$BI102),0)</f>
        <v>0</v>
      </c>
      <c r="BX102" s="311">
        <f>IF($BI102&lt;&gt;"",IF('Capacity summary'!$D$14="Yes",IF(COUNTBLANK('Capacity summary'!$H221:$BG221)&lt;52,IF('Capacity summary'!U221&lt;&gt;"",IF(LOWER('Capacity summary'!U221)="x",$BI102*U102,VALUE('Capacity summary'!U221)),0),U102*$BI102),U102*$BI102),0)</f>
        <v>0</v>
      </c>
      <c r="BY102" s="311">
        <f>IF($BI102&lt;&gt;"",IF('Capacity summary'!$D$14="Yes",IF(COUNTBLANK('Capacity summary'!$H221:$BG221)&lt;52,IF('Capacity summary'!V221&lt;&gt;"",IF(LOWER('Capacity summary'!V221)="x",$BI102*V102,VALUE('Capacity summary'!V221)),0),V102*$BI102),V102*$BI102),0)</f>
        <v>0</v>
      </c>
      <c r="BZ102" s="311">
        <f>IF($BI102&lt;&gt;"",IF('Capacity summary'!$D$14="Yes",IF(COUNTBLANK('Capacity summary'!$H221:$BG221)&lt;52,IF('Capacity summary'!W221&lt;&gt;"",IF(LOWER('Capacity summary'!W221)="x",$BI102*W102,VALUE('Capacity summary'!W221)),0),W102*$BI102),W102*$BI102),0)</f>
        <v>0</v>
      </c>
      <c r="CA102" s="311">
        <f>IF($BI102&lt;&gt;"",IF('Capacity summary'!$D$14="Yes",IF(COUNTBLANK('Capacity summary'!$H221:$BG221)&lt;52,IF('Capacity summary'!X221&lt;&gt;"",IF(LOWER('Capacity summary'!X221)="x",$BI102*X102,VALUE('Capacity summary'!X221)),0),X102*$BI102),X102*$BI102),0)</f>
        <v>0</v>
      </c>
      <c r="CB102" s="311">
        <f>IF($BI102&lt;&gt;"",IF('Capacity summary'!$D$14="Yes",IF(COUNTBLANK('Capacity summary'!$H221:$BG221)&lt;52,IF('Capacity summary'!Y221&lt;&gt;"",IF(LOWER('Capacity summary'!Y221)="x",$BI102*Y102,VALUE('Capacity summary'!Y221)),0),Y102*$BI102),Y102*$BI102),0)</f>
        <v>0</v>
      </c>
      <c r="CC102" s="311">
        <f>IF($BI102&lt;&gt;"",IF('Capacity summary'!$D$14="Yes",IF(COUNTBLANK('Capacity summary'!$H221:$BG221)&lt;52,IF('Capacity summary'!Z221&lt;&gt;"",IF(LOWER('Capacity summary'!Z221)="x",$BI102*Z102,VALUE('Capacity summary'!Z221)),0),Z102*$BI102),Z102*$BI102),0)</f>
        <v>0</v>
      </c>
      <c r="CD102" s="311">
        <f>IF($BI102&lt;&gt;"",IF('Capacity summary'!$D$14="Yes",IF(COUNTBLANK('Capacity summary'!$H221:$BG221)&lt;52,IF('Capacity summary'!AA221&lt;&gt;"",IF(LOWER('Capacity summary'!AA221)="x",$BI102*AA102,VALUE('Capacity summary'!AA221)),0),AA102*$BI102),AA102*$BI102),0)</f>
        <v>0</v>
      </c>
      <c r="CE102" s="311">
        <f>IF($BI102&lt;&gt;"",IF('Capacity summary'!$D$14="Yes",IF(COUNTBLANK('Capacity summary'!$H221:$BG221)&lt;52,IF('Capacity summary'!AB221&lt;&gt;"",IF(LOWER('Capacity summary'!AB221)="x",$BI102*AB102,VALUE('Capacity summary'!AB221)),0),AB102*$BI102),AB102*$BI102),0)</f>
        <v>0</v>
      </c>
      <c r="CF102" s="311">
        <f>IF($BI102&lt;&gt;"",IF('Capacity summary'!$D$14="Yes",IF(COUNTBLANK('Capacity summary'!$H221:$BG221)&lt;52,IF('Capacity summary'!AC221&lt;&gt;"",IF(LOWER('Capacity summary'!AC221)="x",$BI102*AC102,VALUE('Capacity summary'!AC221)),0),AC102*$BI102),AC102*$BI102),0)</f>
        <v>0</v>
      </c>
      <c r="CG102" s="311">
        <f>IF($BI102&lt;&gt;"",IF('Capacity summary'!$D$14="Yes",IF(COUNTBLANK('Capacity summary'!$H221:$BG221)&lt;52,IF('Capacity summary'!AD221&lt;&gt;"",IF(LOWER('Capacity summary'!AD221)="x",$BI102*AD102,VALUE('Capacity summary'!AD221)),0),AD102*$BI102),AD102*$BI102),0)</f>
        <v>0</v>
      </c>
      <c r="CH102" s="311">
        <f>IF($BI102&lt;&gt;"",IF('Capacity summary'!$D$14="Yes",IF(COUNTBLANK('Capacity summary'!$H221:$BG221)&lt;52,IF('Capacity summary'!AE221&lt;&gt;"",IF(LOWER('Capacity summary'!AE221)="x",$BI102*AE102,VALUE('Capacity summary'!AE221)),0),AE102*$BI102),AE102*$BI102),0)</f>
        <v>0</v>
      </c>
      <c r="CI102" s="311">
        <f>IF($BI102&lt;&gt;"",IF('Capacity summary'!$D$14="Yes",IF(COUNTBLANK('Capacity summary'!$H221:$BG221)&lt;52,IF('Capacity summary'!AF221&lt;&gt;"",IF(LOWER('Capacity summary'!AF221)="x",$BI102*AF102,VALUE('Capacity summary'!AF221)),0),AF102*$BI102),AF102*$BI102),0)</f>
        <v>0</v>
      </c>
      <c r="CJ102" s="311">
        <f>IF($BI102&lt;&gt;"",IF('Capacity summary'!$D$14="Yes",IF(COUNTBLANK('Capacity summary'!$H221:$BG221)&lt;52,IF('Capacity summary'!AG221&lt;&gt;"",IF(LOWER('Capacity summary'!AG221)="x",$BI102*AG102,VALUE('Capacity summary'!AG221)),0),AG102*$BI102),AG102*$BI102),0)</f>
        <v>0</v>
      </c>
      <c r="CK102" s="311">
        <f>IF($BI102&lt;&gt;"",IF('Capacity summary'!$D$14="Yes",IF(COUNTBLANK('Capacity summary'!$H221:$BG221)&lt;52,IF('Capacity summary'!AH221&lt;&gt;"",IF(LOWER('Capacity summary'!AH221)="x",$BI102*AH102,VALUE('Capacity summary'!AH221)),0),AH102*$BI102),AH102*$BI102),0)</f>
        <v>0</v>
      </c>
      <c r="CL102" s="311">
        <f>IF($BI102&lt;&gt;"",IF('Capacity summary'!$D$14="Yes",IF(COUNTBLANK('Capacity summary'!$H221:$BG221)&lt;52,IF('Capacity summary'!AI221&lt;&gt;"",IF(LOWER('Capacity summary'!AI221)="x",$BI102*AI102,VALUE('Capacity summary'!AI221)),0),AI102*$BI102),AI102*$BI102),0)</f>
        <v>0</v>
      </c>
      <c r="CM102" s="311">
        <f>IF($BI102&lt;&gt;"",IF('Capacity summary'!$D$14="Yes",IF(COUNTBLANK('Capacity summary'!$H221:$BG221)&lt;52,IF('Capacity summary'!AJ221&lt;&gt;"",IF(LOWER('Capacity summary'!AJ221)="x",$BI102*AJ102,VALUE('Capacity summary'!AJ221)),0),AJ102*$BI102),AJ102*$BI102),0)</f>
        <v>0</v>
      </c>
      <c r="CN102" s="311">
        <f>IF($BI102&lt;&gt;"",IF('Capacity summary'!$D$14="Yes",IF(COUNTBLANK('Capacity summary'!$H221:$BG221)&lt;52,IF('Capacity summary'!AK221&lt;&gt;"",IF(LOWER('Capacity summary'!AK221)="x",$BI102*AK102,VALUE('Capacity summary'!AK221)),0),AK102*$BI102),AK102*$BI102),0)</f>
        <v>0</v>
      </c>
      <c r="CO102" s="311">
        <f>IF($BI102&lt;&gt;"",IF('Capacity summary'!$D$14="Yes",IF(COUNTBLANK('Capacity summary'!$H221:$BG221)&lt;52,IF('Capacity summary'!AL221&lt;&gt;"",IF(LOWER('Capacity summary'!AL221)="x",$BI102*AL102,VALUE('Capacity summary'!AL221)),0),AL102*$BI102),AL102*$BI102),0)</f>
        <v>0</v>
      </c>
      <c r="CP102" s="311">
        <f>IF($BI102&lt;&gt;"",IF('Capacity summary'!$D$14="Yes",IF(COUNTBLANK('Capacity summary'!$H221:$BG221)&lt;52,IF('Capacity summary'!AM221&lt;&gt;"",IF(LOWER('Capacity summary'!AM221)="x",$BI102*AM102,VALUE('Capacity summary'!AM221)),0),AM102*$BI102),AM102*$BI102),0)</f>
        <v>0</v>
      </c>
      <c r="CQ102" s="311">
        <f>IF($BI102&lt;&gt;"",IF('Capacity summary'!$D$14="Yes",IF(COUNTBLANK('Capacity summary'!$H221:$BG221)&lt;52,IF('Capacity summary'!AN221&lt;&gt;"",IF(LOWER('Capacity summary'!AN221)="x",$BI102*AN102,VALUE('Capacity summary'!AN221)),0),AN102*$BI102),AN102*$BI102),0)</f>
        <v>0</v>
      </c>
      <c r="CR102" s="311">
        <f>IF($BI102&lt;&gt;"",IF('Capacity summary'!$D$14="Yes",IF(COUNTBLANK('Capacity summary'!$H221:$BG221)&lt;52,IF('Capacity summary'!AO221&lt;&gt;"",IF(LOWER('Capacity summary'!AO221)="x",$BI102*AO102,VALUE('Capacity summary'!AO221)),0),AO102*$BI102),AO102*$BI102),0)</f>
        <v>0</v>
      </c>
      <c r="CS102" s="311">
        <f>IF($BI102&lt;&gt;"",IF('Capacity summary'!$D$14="Yes",IF(COUNTBLANK('Capacity summary'!$H221:$BG221)&lt;52,IF('Capacity summary'!AP221&lt;&gt;"",IF(LOWER('Capacity summary'!AP221)="x",$BI102*AP102,VALUE('Capacity summary'!AP221)),0),AP102*$BI102),AP102*$BI102),0)</f>
        <v>0</v>
      </c>
      <c r="CT102" s="311">
        <f>IF($BI102&lt;&gt;"",IF('Capacity summary'!$D$14="Yes",IF(COUNTBLANK('Capacity summary'!$H221:$BG221)&lt;52,IF('Capacity summary'!AQ221&lt;&gt;"",IF(LOWER('Capacity summary'!AQ221)="x",$BI102*AQ102,VALUE('Capacity summary'!AQ221)),0),AQ102*$BI102),AQ102*$BI102),0)</f>
        <v>0</v>
      </c>
      <c r="CU102" s="311">
        <f>IF($BI102&lt;&gt;"",IF('Capacity summary'!$D$14="Yes",IF(COUNTBLANK('Capacity summary'!$H221:$BG221)&lt;52,IF('Capacity summary'!AR221&lt;&gt;"",IF(LOWER('Capacity summary'!AR221)="x",$BI102*AR102,VALUE('Capacity summary'!AR221)),0),AR102*$BI102),AR102*$BI102),0)</f>
        <v>0</v>
      </c>
      <c r="CV102" s="311">
        <f>IF($BI102&lt;&gt;"",IF('Capacity summary'!$D$14="Yes",IF(COUNTBLANK('Capacity summary'!$H221:$BG221)&lt;52,IF('Capacity summary'!AS221&lt;&gt;"",IF(LOWER('Capacity summary'!AS221)="x",$BI102*AS102,VALUE('Capacity summary'!AS221)),0),AS102*$BI102),AS102*$BI102),0)</f>
        <v>0</v>
      </c>
      <c r="CW102" s="311">
        <f>IF($BI102&lt;&gt;"",IF('Capacity summary'!$D$14="Yes",IF(COUNTBLANK('Capacity summary'!$H221:$BG221)&lt;52,IF('Capacity summary'!AT221&lt;&gt;"",IF(LOWER('Capacity summary'!AT221)="x",$BI102*AT102,VALUE('Capacity summary'!AT221)),0),AT102*$BI102),AT102*$BI102),0)</f>
        <v>0</v>
      </c>
      <c r="CX102" s="311">
        <f>IF($BI102&lt;&gt;"",IF('Capacity summary'!$D$14="Yes",IF(COUNTBLANK('Capacity summary'!$H221:$BG221)&lt;52,IF('Capacity summary'!AU221&lt;&gt;"",IF(LOWER('Capacity summary'!AU221)="x",$BI102*AU102,VALUE('Capacity summary'!AU221)),0),AU102*$BI102),AU102*$BI102),0)</f>
        <v>0</v>
      </c>
      <c r="CY102" s="311">
        <f>IF($BI102&lt;&gt;"",IF('Capacity summary'!$D$14="Yes",IF(COUNTBLANK('Capacity summary'!$H221:$BG221)&lt;52,IF('Capacity summary'!AV221&lt;&gt;"",IF(LOWER('Capacity summary'!AV221)="x",$BI102*AV102,VALUE('Capacity summary'!AV221)),0),AV102*$BI102),AV102*$BI102),0)</f>
        <v>0</v>
      </c>
      <c r="CZ102" s="311">
        <f>IF($BI102&lt;&gt;"",IF('Capacity summary'!$D$14="Yes",IF(COUNTBLANK('Capacity summary'!$H221:$BG221)&lt;52,IF('Capacity summary'!AW221&lt;&gt;"",IF(LOWER('Capacity summary'!AW221)="x",$BI102*AW102,VALUE('Capacity summary'!AW221)),0),AW102*$BI102),AW102*$BI102),0)</f>
        <v>0</v>
      </c>
      <c r="DA102" s="311">
        <f>IF($BI102&lt;&gt;"",IF('Capacity summary'!$D$14="Yes",IF(COUNTBLANK('Capacity summary'!$H221:$BG221)&lt;52,IF('Capacity summary'!AX221&lt;&gt;"",IF(LOWER('Capacity summary'!AX221)="x",$BI102*AX102,VALUE('Capacity summary'!AX221)),0),AX102*$BI102),AX102*$BI102),0)</f>
        <v>0</v>
      </c>
      <c r="DB102" s="311">
        <f>IF($BI102&lt;&gt;"",IF('Capacity summary'!$D$14="Yes",IF(COUNTBLANK('Capacity summary'!$H221:$BG221)&lt;52,IF('Capacity summary'!AY221&lt;&gt;"",IF(LOWER('Capacity summary'!AY221)="x",$BI102*AY102,VALUE('Capacity summary'!AY221)),0),AY102*$BI102),AY102*$BI102),0)</f>
        <v>0</v>
      </c>
      <c r="DC102" s="311">
        <f>IF($BI102&lt;&gt;"",IF('Capacity summary'!$D$14="Yes",IF(COUNTBLANK('Capacity summary'!$H221:$BG221)&lt;52,IF('Capacity summary'!AZ221&lt;&gt;"",IF(LOWER('Capacity summary'!AZ221)="x",$BI102*AZ102,VALUE('Capacity summary'!AZ221)),0),AZ102*$BI102),AZ102*$BI102),0)</f>
        <v>0</v>
      </c>
      <c r="DD102" s="311">
        <f>IF($BI102&lt;&gt;"",IF('Capacity summary'!$D$14="Yes",IF(COUNTBLANK('Capacity summary'!$H221:$BG221)&lt;52,IF('Capacity summary'!BA221&lt;&gt;"",IF(LOWER('Capacity summary'!BA221)="x",$BI102*BA102,VALUE('Capacity summary'!BA221)),0),BA102*$BI102),BA102*$BI102),0)</f>
        <v>0</v>
      </c>
      <c r="DE102" s="311">
        <f>IF($BI102&lt;&gt;"",IF('Capacity summary'!$D$14="Yes",IF(COUNTBLANK('Capacity summary'!$H221:$BG221)&lt;52,IF('Capacity summary'!BB221&lt;&gt;"",IF(LOWER('Capacity summary'!BB221)="x",$BI102*BB102,VALUE('Capacity summary'!BB221)),0),BB102*$BI102),BB102*$BI102),0)</f>
        <v>0</v>
      </c>
      <c r="DF102" s="311">
        <f>IF($BI102&lt;&gt;"",IF('Capacity summary'!$D$14="Yes",IF(COUNTBLANK('Capacity summary'!$H221:$BG221)&lt;52,IF('Capacity summary'!BC221&lt;&gt;"",IF(LOWER('Capacity summary'!BC221)="x",$BI102*BC102,VALUE('Capacity summary'!BC221)),0),BC102*$BI102),BC102*$BI102),0)</f>
        <v>0</v>
      </c>
      <c r="DG102" s="311">
        <f>IF($BI102&lt;&gt;"",IF('Capacity summary'!$D$14="Yes",IF(COUNTBLANK('Capacity summary'!$H221:$BG221)&lt;52,IF('Capacity summary'!BD221&lt;&gt;"",IF(LOWER('Capacity summary'!BD221)="x",$BI102*BD102,VALUE('Capacity summary'!BD221)),0),BD102*$BI102),BD102*$BI102),0)</f>
        <v>0</v>
      </c>
      <c r="DH102" s="311">
        <f>IF($BI102&lt;&gt;"",IF('Capacity summary'!$D$14="Yes",IF(COUNTBLANK('Capacity summary'!$H221:$BG221)&lt;52,IF('Capacity summary'!BE221&lt;&gt;"",IF(LOWER('Capacity summary'!BE221)="x",$BI102*BE102,VALUE('Capacity summary'!BE221)),0),BE102*$BI102),BE102*$BI102),0)</f>
        <v>0</v>
      </c>
      <c r="DI102" s="311">
        <f>IF($BI102&lt;&gt;"",IF('Capacity summary'!$D$14="Yes",IF(COUNTBLANK('Capacity summary'!$H221:$BG221)&lt;52,IF('Capacity summary'!BF221&lt;&gt;"",IF(LOWER('Capacity summary'!BF221)="x",$BI102*BF102,VALUE('Capacity summary'!BF221)),0),BF102*$BI102),BF102*$BI102),0)</f>
        <v>0</v>
      </c>
      <c r="DJ102" s="311">
        <f>IF($BI102&lt;&gt;"",IF('Capacity summary'!$D$14="Yes",IF(COUNTBLANK('Capacity summary'!$H221:$BG221)&lt;52,IF('Capacity summary'!BG221&lt;&gt;"",IF(LOWER('Capacity summary'!BG221)="x",$BI102*BG102,VALUE('Capacity summary'!BG221)),0),BG102*$BI102),BG102*$BI102),0)</f>
        <v>0</v>
      </c>
      <c r="DK102" s="391">
        <f t="shared" si="4"/>
        <v>0</v>
      </c>
      <c r="DL102" s="136">
        <f t="shared" si="5"/>
        <v>0</v>
      </c>
      <c r="DM102" s="311" t="str">
        <f>Capacity!H114</f>
        <v/>
      </c>
    </row>
    <row r="103" spans="1:117" x14ac:dyDescent="0.2">
      <c r="A103" s="67">
        <f>IF(Capacity!L115='Capacity summary'!BI222,1,0)</f>
        <v>1</v>
      </c>
      <c r="B103" s="67">
        <f>IF(Capacity!V115='Capacity summary'!BI122,1,0)</f>
        <v>1</v>
      </c>
      <c r="C103" s="67" t="str">
        <f>ROW(A99)&amp;". "&amp;Capacity!B115</f>
        <v xml:space="preserve">99. </v>
      </c>
      <c r="D103" s="67">
        <f>'Capacity setup'!C110</f>
        <v>0</v>
      </c>
      <c r="E103" s="67">
        <f>'Capacity setup'!D110</f>
        <v>0</v>
      </c>
      <c r="F103" s="67">
        <f>'Capacity setup'!E110</f>
        <v>0</v>
      </c>
      <c r="H103" s="67">
        <f ca="1">IF(LOWER(Capacity!$L115)="x",IF(AND(SUMIF(Capacity_Resource,$D103,'Critical resources (hide)'!U$6:U$105)+SUMIF(Capacity_Resource,$E103,'Critical resources (hide)'!U$6:U$105)+SUMIF(Capacity_Resource,$F103,'Critical resources (hide)'!U$6:U$105)&gt;0,$E$1=2),0,1),0)</f>
        <v>1</v>
      </c>
      <c r="I103" s="67">
        <f ca="1">IF(LOWER(Capacity!$L115)="x",IF(AND(SUMIF(Capacity_Resource,$D103,'Critical resources (hide)'!V$6:V$105)+SUMIF(Capacity_Resource,$E103,'Critical resources (hide)'!V$6:V$105)+SUMIF(Capacity_Resource,$F103,'Critical resources (hide)'!V$6:V$105)&gt;0,$E$1=2),0,1),0)</f>
        <v>1</v>
      </c>
      <c r="J103" s="67">
        <f ca="1">IF(LOWER(Capacity!$L115)="x",IF(AND(SUMIF(Capacity_Resource,$D103,'Critical resources (hide)'!W$6:W$105)+SUMIF(Capacity_Resource,$E103,'Critical resources (hide)'!W$6:W$105)+SUMIF(Capacity_Resource,$F103,'Critical resources (hide)'!W$6:W$105)&gt;0,$E$1=2),0,1),0)</f>
        <v>1</v>
      </c>
      <c r="K103" s="67">
        <f ca="1">IF(LOWER(Capacity!$L115)="x",IF(AND(SUMIF(Capacity_Resource,$D103,'Critical resources (hide)'!X$6:X$105)+SUMIF(Capacity_Resource,$E103,'Critical resources (hide)'!X$6:X$105)+SUMIF(Capacity_Resource,$F103,'Critical resources (hide)'!X$6:X$105)&gt;0,$E$1=2),0,1),0)</f>
        <v>1</v>
      </c>
      <c r="L103" s="67">
        <f ca="1">IF(LOWER(Capacity!$L115)="x",IF(AND(SUMIF(Capacity_Resource,$D103,'Critical resources (hide)'!Y$6:Y$105)+SUMIF(Capacity_Resource,$E103,'Critical resources (hide)'!Y$6:Y$105)+SUMIF(Capacity_Resource,$F103,'Critical resources (hide)'!Y$6:Y$105)&gt;0,$E$1=2),0,1),0)</f>
        <v>1</v>
      </c>
      <c r="M103" s="67">
        <f ca="1">IF(LOWER(Capacity!$L115)="x",IF(AND(SUMIF(Capacity_Resource,$D103,'Critical resources (hide)'!Z$6:Z$105)+SUMIF(Capacity_Resource,$E103,'Critical resources (hide)'!Z$6:Z$105)+SUMIF(Capacity_Resource,$F103,'Critical resources (hide)'!Z$6:Z$105)&gt;0,$E$1=2),0,1),0)</f>
        <v>1</v>
      </c>
      <c r="N103" s="67">
        <f ca="1">IF(LOWER(Capacity!$L115)="x",IF(AND(SUMIF(Capacity_Resource,$D103,'Critical resources (hide)'!AA$6:AA$105)+SUMIF(Capacity_Resource,$E103,'Critical resources (hide)'!AA$6:AA$105)+SUMIF(Capacity_Resource,$F103,'Critical resources (hide)'!AA$6:AA$105)&gt;0,$E$1=2),0,1),0)</f>
        <v>1</v>
      </c>
      <c r="O103" s="67">
        <f ca="1">IF(LOWER(Capacity!$L115)="x",IF(AND(SUMIF(Capacity_Resource,$D103,'Critical resources (hide)'!AB$6:AB$105)+SUMIF(Capacity_Resource,$E103,'Critical resources (hide)'!AB$6:AB$105)+SUMIF(Capacity_Resource,$F103,'Critical resources (hide)'!AB$6:AB$105)&gt;0,$E$1=2),0,1),0)</f>
        <v>1</v>
      </c>
      <c r="P103" s="67">
        <f ca="1">IF(LOWER(Capacity!$L115)="x",IF(AND(SUMIF(Capacity_Resource,$D103,'Critical resources (hide)'!AC$6:AC$105)+SUMIF(Capacity_Resource,$E103,'Critical resources (hide)'!AC$6:AC$105)+SUMIF(Capacity_Resource,$F103,'Critical resources (hide)'!AC$6:AC$105)&gt;0,$E$1=2),0,1),0)</f>
        <v>1</v>
      </c>
      <c r="Q103" s="67">
        <f ca="1">IF(LOWER(Capacity!$L115)="x",IF(AND(SUMIF(Capacity_Resource,$D103,'Critical resources (hide)'!AD$6:AD$105)+SUMIF(Capacity_Resource,$E103,'Critical resources (hide)'!AD$6:AD$105)+SUMIF(Capacity_Resource,$F103,'Critical resources (hide)'!AD$6:AD$105)&gt;0,$E$1=2),0,1),0)</f>
        <v>1</v>
      </c>
      <c r="R103" s="67">
        <f ca="1">IF(LOWER(Capacity!$L115)="x",IF(AND(SUMIF(Capacity_Resource,$D103,'Critical resources (hide)'!AE$6:AE$105)+SUMIF(Capacity_Resource,$E103,'Critical resources (hide)'!AE$6:AE$105)+SUMIF(Capacity_Resource,$F103,'Critical resources (hide)'!AE$6:AE$105)&gt;0,$E$1=2),0,1),0)</f>
        <v>1</v>
      </c>
      <c r="S103" s="67">
        <f ca="1">IF(LOWER(Capacity!$L115)="x",IF(AND(SUMIF(Capacity_Resource,$D103,'Critical resources (hide)'!AF$6:AF$105)+SUMIF(Capacity_Resource,$E103,'Critical resources (hide)'!AF$6:AF$105)+SUMIF(Capacity_Resource,$F103,'Critical resources (hide)'!AF$6:AF$105)&gt;0,$E$1=2),0,1),0)</f>
        <v>1</v>
      </c>
      <c r="T103" s="67">
        <f ca="1">IF(LOWER(Capacity!$L115)="x",IF(AND(SUMIF(Capacity_Resource,$D103,'Critical resources (hide)'!AG$6:AG$105)+SUMIF(Capacity_Resource,$E103,'Critical resources (hide)'!AG$6:AG$105)+SUMIF(Capacity_Resource,$F103,'Critical resources (hide)'!AG$6:AG$105)&gt;0,$E$1=2),0,1),0)</f>
        <v>1</v>
      </c>
      <c r="U103" s="67">
        <f ca="1">IF(LOWER(Capacity!$L115)="x",IF(AND(SUMIF(Capacity_Resource,$D103,'Critical resources (hide)'!AH$6:AH$105)+SUMIF(Capacity_Resource,$E103,'Critical resources (hide)'!AH$6:AH$105)+SUMIF(Capacity_Resource,$F103,'Critical resources (hide)'!AH$6:AH$105)&gt;0,$E$1=2),0,1),0)</f>
        <v>1</v>
      </c>
      <c r="V103" s="67">
        <f ca="1">IF(LOWER(Capacity!$L115)="x",IF(AND(SUMIF(Capacity_Resource,$D103,'Critical resources (hide)'!AI$6:AI$105)+SUMIF(Capacity_Resource,$E103,'Critical resources (hide)'!AI$6:AI$105)+SUMIF(Capacity_Resource,$F103,'Critical resources (hide)'!AI$6:AI$105)&gt;0,$E$1=2),0,1),0)</f>
        <v>1</v>
      </c>
      <c r="W103" s="67">
        <f ca="1">IF(LOWER(Capacity!$L115)="x",IF(AND(SUMIF(Capacity_Resource,$D103,'Critical resources (hide)'!AJ$6:AJ$105)+SUMIF(Capacity_Resource,$E103,'Critical resources (hide)'!AJ$6:AJ$105)+SUMIF(Capacity_Resource,$F103,'Critical resources (hide)'!AJ$6:AJ$105)&gt;0,$E$1=2),0,1),0)</f>
        <v>1</v>
      </c>
      <c r="X103" s="67">
        <f ca="1">IF(LOWER(Capacity!$L115)="x",IF(AND(SUMIF(Capacity_Resource,$D103,'Critical resources (hide)'!AK$6:AK$105)+SUMIF(Capacity_Resource,$E103,'Critical resources (hide)'!AK$6:AK$105)+SUMIF(Capacity_Resource,$F103,'Critical resources (hide)'!AK$6:AK$105)&gt;0,$E$1=2),0,1),0)</f>
        <v>1</v>
      </c>
      <c r="Y103" s="67">
        <f ca="1">IF(LOWER(Capacity!$L115)="x",IF(AND(SUMIF(Capacity_Resource,$D103,'Critical resources (hide)'!AL$6:AL$105)+SUMIF(Capacity_Resource,$E103,'Critical resources (hide)'!AL$6:AL$105)+SUMIF(Capacity_Resource,$F103,'Critical resources (hide)'!AL$6:AL$105)&gt;0,$E$1=2),0,1),0)</f>
        <v>1</v>
      </c>
      <c r="Z103" s="67">
        <f ca="1">IF(LOWER(Capacity!$L115)="x",IF(AND(SUMIF(Capacity_Resource,$D103,'Critical resources (hide)'!AM$6:AM$105)+SUMIF(Capacity_Resource,$E103,'Critical resources (hide)'!AM$6:AM$105)+SUMIF(Capacity_Resource,$F103,'Critical resources (hide)'!AM$6:AM$105)&gt;0,$E$1=2),0,1),0)</f>
        <v>1</v>
      </c>
      <c r="AA103" s="67">
        <f ca="1">IF(LOWER(Capacity!$L115)="x",IF(AND(SUMIF(Capacity_Resource,$D103,'Critical resources (hide)'!AN$6:AN$105)+SUMIF(Capacity_Resource,$E103,'Critical resources (hide)'!AN$6:AN$105)+SUMIF(Capacity_Resource,$F103,'Critical resources (hide)'!AN$6:AN$105)&gt;0,$E$1=2),0,1),0)</f>
        <v>1</v>
      </c>
      <c r="AB103" s="67">
        <f ca="1">IF(LOWER(Capacity!$L115)="x",IF(AND(SUMIF(Capacity_Resource,$D103,'Critical resources (hide)'!AO$6:AO$105)+SUMIF(Capacity_Resource,$E103,'Critical resources (hide)'!AO$6:AO$105)+SUMIF(Capacity_Resource,$F103,'Critical resources (hide)'!AO$6:AO$105)&gt;0,$E$1=2),0,1),0)</f>
        <v>1</v>
      </c>
      <c r="AC103" s="67">
        <f ca="1">IF(LOWER(Capacity!$L115)="x",IF(AND(SUMIF(Capacity_Resource,$D103,'Critical resources (hide)'!AP$6:AP$105)+SUMIF(Capacity_Resource,$E103,'Critical resources (hide)'!AP$6:AP$105)+SUMIF(Capacity_Resource,$F103,'Critical resources (hide)'!AP$6:AP$105)&gt;0,$E$1=2),0,1),0)</f>
        <v>1</v>
      </c>
      <c r="AD103" s="67">
        <f ca="1">IF(LOWER(Capacity!$L115)="x",IF(AND(SUMIF(Capacity_Resource,$D103,'Critical resources (hide)'!AQ$6:AQ$105)+SUMIF(Capacity_Resource,$E103,'Critical resources (hide)'!AQ$6:AQ$105)+SUMIF(Capacity_Resource,$F103,'Critical resources (hide)'!AQ$6:AQ$105)&gt;0,$E$1=2),0,1),0)</f>
        <v>1</v>
      </c>
      <c r="AE103" s="67">
        <f ca="1">IF(LOWER(Capacity!$L115)="x",IF(AND(SUMIF(Capacity_Resource,$D103,'Critical resources (hide)'!AR$6:AR$105)+SUMIF(Capacity_Resource,$E103,'Critical resources (hide)'!AR$6:AR$105)+SUMIF(Capacity_Resource,$F103,'Critical resources (hide)'!AR$6:AR$105)&gt;0,$E$1=2),0,1),0)</f>
        <v>1</v>
      </c>
      <c r="AF103" s="67">
        <f ca="1">IF(LOWER(Capacity!$L115)="x",IF(AND(SUMIF(Capacity_Resource,$D103,'Critical resources (hide)'!AS$6:AS$105)+SUMIF(Capacity_Resource,$E103,'Critical resources (hide)'!AS$6:AS$105)+SUMIF(Capacity_Resource,$F103,'Critical resources (hide)'!AS$6:AS$105)&gt;0,$E$1=2),0,1),0)</f>
        <v>1</v>
      </c>
      <c r="AG103" s="67">
        <f ca="1">IF(LOWER(Capacity!$L115)="x",IF(AND(SUMIF(Capacity_Resource,$D103,'Critical resources (hide)'!AT$6:AT$105)+SUMIF(Capacity_Resource,$E103,'Critical resources (hide)'!AT$6:AT$105)+SUMIF(Capacity_Resource,$F103,'Critical resources (hide)'!AT$6:AT$105)&gt;0,$E$1=2),0,1),0)</f>
        <v>1</v>
      </c>
      <c r="AH103" s="67">
        <f ca="1">IF(LOWER(Capacity!$L115)="x",IF(AND(SUMIF(Capacity_Resource,$D103,'Critical resources (hide)'!AU$6:AU$105)+SUMIF(Capacity_Resource,$E103,'Critical resources (hide)'!AU$6:AU$105)+SUMIF(Capacity_Resource,$F103,'Critical resources (hide)'!AU$6:AU$105)&gt;0,$E$1=2),0,1),0)</f>
        <v>1</v>
      </c>
      <c r="AI103" s="67">
        <f ca="1">IF(LOWER(Capacity!$L115)="x",IF(AND(SUMIF(Capacity_Resource,$D103,'Critical resources (hide)'!AV$6:AV$105)+SUMIF(Capacity_Resource,$E103,'Critical resources (hide)'!AV$6:AV$105)+SUMIF(Capacity_Resource,$F103,'Critical resources (hide)'!AV$6:AV$105)&gt;0,$E$1=2),0,1),0)</f>
        <v>1</v>
      </c>
      <c r="AJ103" s="67">
        <f ca="1">IF(LOWER(Capacity!$L115)="x",IF(AND(SUMIF(Capacity_Resource,$D103,'Critical resources (hide)'!AW$6:AW$105)+SUMIF(Capacity_Resource,$E103,'Critical resources (hide)'!AW$6:AW$105)+SUMIF(Capacity_Resource,$F103,'Critical resources (hide)'!AW$6:AW$105)&gt;0,$E$1=2),0,1),0)</f>
        <v>1</v>
      </c>
      <c r="AK103" s="67">
        <f ca="1">IF(LOWER(Capacity!$L115)="x",IF(AND(SUMIF(Capacity_Resource,$D103,'Critical resources (hide)'!AX$6:AX$105)+SUMIF(Capacity_Resource,$E103,'Critical resources (hide)'!AX$6:AX$105)+SUMIF(Capacity_Resource,$F103,'Critical resources (hide)'!AX$6:AX$105)&gt;0,$E$1=2),0,1),0)</f>
        <v>1</v>
      </c>
      <c r="AL103" s="67">
        <f ca="1">IF(LOWER(Capacity!$L115)="x",IF(AND(SUMIF(Capacity_Resource,$D103,'Critical resources (hide)'!AY$6:AY$105)+SUMIF(Capacity_Resource,$E103,'Critical resources (hide)'!AY$6:AY$105)+SUMIF(Capacity_Resource,$F103,'Critical resources (hide)'!AY$6:AY$105)&gt;0,$E$1=2),0,1),0)</f>
        <v>1</v>
      </c>
      <c r="AM103" s="67">
        <f ca="1">IF(LOWER(Capacity!$L115)="x",IF(AND(SUMIF(Capacity_Resource,$D103,'Critical resources (hide)'!AZ$6:AZ$105)+SUMIF(Capacity_Resource,$E103,'Critical resources (hide)'!AZ$6:AZ$105)+SUMIF(Capacity_Resource,$F103,'Critical resources (hide)'!AZ$6:AZ$105)&gt;0,$E$1=2),0,1),0)</f>
        <v>1</v>
      </c>
      <c r="AN103" s="67">
        <f ca="1">IF(LOWER(Capacity!$L115)="x",IF(AND(SUMIF(Capacity_Resource,$D103,'Critical resources (hide)'!BA$6:BA$105)+SUMIF(Capacity_Resource,$E103,'Critical resources (hide)'!BA$6:BA$105)+SUMIF(Capacity_Resource,$F103,'Critical resources (hide)'!BA$6:BA$105)&gt;0,$E$1=2),0,1),0)</f>
        <v>1</v>
      </c>
      <c r="AO103" s="67">
        <f ca="1">IF(LOWER(Capacity!$L115)="x",IF(AND(SUMIF(Capacity_Resource,$D103,'Critical resources (hide)'!BB$6:BB$105)+SUMIF(Capacity_Resource,$E103,'Critical resources (hide)'!BB$6:BB$105)+SUMIF(Capacity_Resource,$F103,'Critical resources (hide)'!BB$6:BB$105)&gt;0,$E$1=2),0,1),0)</f>
        <v>1</v>
      </c>
      <c r="AP103" s="67">
        <f ca="1">IF(LOWER(Capacity!$L115)="x",IF(AND(SUMIF(Capacity_Resource,$D103,'Critical resources (hide)'!BC$6:BC$105)+SUMIF(Capacity_Resource,$E103,'Critical resources (hide)'!BC$6:BC$105)+SUMIF(Capacity_Resource,$F103,'Critical resources (hide)'!BC$6:BC$105)&gt;0,$E$1=2),0,1),0)</f>
        <v>1</v>
      </c>
      <c r="AQ103" s="67">
        <f ca="1">IF(LOWER(Capacity!$L115)="x",IF(AND(SUMIF(Capacity_Resource,$D103,'Critical resources (hide)'!BD$6:BD$105)+SUMIF(Capacity_Resource,$E103,'Critical resources (hide)'!BD$6:BD$105)+SUMIF(Capacity_Resource,$F103,'Critical resources (hide)'!BD$6:BD$105)&gt;0,$E$1=2),0,1),0)</f>
        <v>1</v>
      </c>
      <c r="AR103" s="67">
        <f ca="1">IF(LOWER(Capacity!$L115)="x",IF(AND(SUMIF(Capacity_Resource,$D103,'Critical resources (hide)'!BE$6:BE$105)+SUMIF(Capacity_Resource,$E103,'Critical resources (hide)'!BE$6:BE$105)+SUMIF(Capacity_Resource,$F103,'Critical resources (hide)'!BE$6:BE$105)&gt;0,$E$1=2),0,1),0)</f>
        <v>1</v>
      </c>
      <c r="AS103" s="67">
        <f ca="1">IF(LOWER(Capacity!$L115)="x",IF(AND(SUMIF(Capacity_Resource,$D103,'Critical resources (hide)'!BF$6:BF$105)+SUMIF(Capacity_Resource,$E103,'Critical resources (hide)'!BF$6:BF$105)+SUMIF(Capacity_Resource,$F103,'Critical resources (hide)'!BF$6:BF$105)&gt;0,$E$1=2),0,1),0)</f>
        <v>1</v>
      </c>
      <c r="AT103" s="67">
        <f ca="1">IF(LOWER(Capacity!$L115)="x",IF(AND(SUMIF(Capacity_Resource,$D103,'Critical resources (hide)'!BG$6:BG$105)+SUMIF(Capacity_Resource,$E103,'Critical resources (hide)'!BG$6:BG$105)+SUMIF(Capacity_Resource,$F103,'Critical resources (hide)'!BG$6:BG$105)&gt;0,$E$1=2),0,1),0)</f>
        <v>1</v>
      </c>
      <c r="AU103" s="67">
        <f ca="1">IF(LOWER(Capacity!$L115)="x",IF(AND(SUMIF(Capacity_Resource,$D103,'Critical resources (hide)'!BH$6:BH$105)+SUMIF(Capacity_Resource,$E103,'Critical resources (hide)'!BH$6:BH$105)+SUMIF(Capacity_Resource,$F103,'Critical resources (hide)'!BH$6:BH$105)&gt;0,$E$1=2),0,1),0)</f>
        <v>1</v>
      </c>
      <c r="AV103" s="67">
        <f ca="1">IF(LOWER(Capacity!$L115)="x",IF(AND(SUMIF(Capacity_Resource,$D103,'Critical resources (hide)'!BI$6:BI$105)+SUMIF(Capacity_Resource,$E103,'Critical resources (hide)'!BI$6:BI$105)+SUMIF(Capacity_Resource,$F103,'Critical resources (hide)'!BI$6:BI$105)&gt;0,$E$1=2),0,1),0)</f>
        <v>1</v>
      </c>
      <c r="AW103" s="67">
        <f ca="1">IF(LOWER(Capacity!$L115)="x",IF(AND(SUMIF(Capacity_Resource,$D103,'Critical resources (hide)'!BJ$6:BJ$105)+SUMIF(Capacity_Resource,$E103,'Critical resources (hide)'!BJ$6:BJ$105)+SUMIF(Capacity_Resource,$F103,'Critical resources (hide)'!BJ$6:BJ$105)&gt;0,$E$1=2),0,1),0)</f>
        <v>1</v>
      </c>
      <c r="AX103" s="67">
        <f ca="1">IF(LOWER(Capacity!$L115)="x",IF(AND(SUMIF(Capacity_Resource,$D103,'Critical resources (hide)'!BK$6:BK$105)+SUMIF(Capacity_Resource,$E103,'Critical resources (hide)'!BK$6:BK$105)+SUMIF(Capacity_Resource,$F103,'Critical resources (hide)'!BK$6:BK$105)&gt;0,$E$1=2),0,1),0)</f>
        <v>1</v>
      </c>
      <c r="AY103" s="67">
        <f ca="1">IF(LOWER(Capacity!$L115)="x",IF(AND(SUMIF(Capacity_Resource,$D103,'Critical resources (hide)'!BL$6:BL$105)+SUMIF(Capacity_Resource,$E103,'Critical resources (hide)'!BL$6:BL$105)+SUMIF(Capacity_Resource,$F103,'Critical resources (hide)'!BL$6:BL$105)&gt;0,$E$1=2),0,1),0)</f>
        <v>1</v>
      </c>
      <c r="AZ103" s="67">
        <f ca="1">IF(LOWER(Capacity!$L115)="x",IF(AND(SUMIF(Capacity_Resource,$D103,'Critical resources (hide)'!BM$6:BM$105)+SUMIF(Capacity_Resource,$E103,'Critical resources (hide)'!BM$6:BM$105)+SUMIF(Capacity_Resource,$F103,'Critical resources (hide)'!BM$6:BM$105)&gt;0,$E$1=2),0,1),0)</f>
        <v>1</v>
      </c>
      <c r="BA103" s="67">
        <f ca="1">IF(LOWER(Capacity!$L115)="x",IF(AND(SUMIF(Capacity_Resource,$D103,'Critical resources (hide)'!BN$6:BN$105)+SUMIF(Capacity_Resource,$E103,'Critical resources (hide)'!BN$6:BN$105)+SUMIF(Capacity_Resource,$F103,'Critical resources (hide)'!BN$6:BN$105)&gt;0,$E$1=2),0,1),0)</f>
        <v>1</v>
      </c>
      <c r="BB103" s="67">
        <f ca="1">IF(LOWER(Capacity!$L115)="x",IF(AND(SUMIF(Capacity_Resource,$D103,'Critical resources (hide)'!BO$6:BO$105)+SUMIF(Capacity_Resource,$E103,'Critical resources (hide)'!BO$6:BO$105)+SUMIF(Capacity_Resource,$F103,'Critical resources (hide)'!BO$6:BO$105)&gt;0,$E$1=2),0,1),0)</f>
        <v>1</v>
      </c>
      <c r="BC103" s="67">
        <f ca="1">IF(LOWER(Capacity!$L115)="x",IF(AND(SUMIF(Capacity_Resource,$D103,'Critical resources (hide)'!BP$6:BP$105)+SUMIF(Capacity_Resource,$E103,'Critical resources (hide)'!BP$6:BP$105)+SUMIF(Capacity_Resource,$F103,'Critical resources (hide)'!BP$6:BP$105)&gt;0,$E$1=2),0,1),0)</f>
        <v>1</v>
      </c>
      <c r="BD103" s="67">
        <f ca="1">IF(LOWER(Capacity!$L115)="x",IF(AND(SUMIF(Capacity_Resource,$D103,'Critical resources (hide)'!BQ$6:BQ$105)+SUMIF(Capacity_Resource,$E103,'Critical resources (hide)'!BQ$6:BQ$105)+SUMIF(Capacity_Resource,$F103,'Critical resources (hide)'!BQ$6:BQ$105)&gt;0,$E$1=2),0,1),0)</f>
        <v>1</v>
      </c>
      <c r="BE103" s="67">
        <f ca="1">IF(LOWER(Capacity!$L115)="x",IF(AND(SUMIF(Capacity_Resource,$D103,'Critical resources (hide)'!BR$6:BR$105)+SUMIF(Capacity_Resource,$E103,'Critical resources (hide)'!BR$6:BR$105)+SUMIF(Capacity_Resource,$F103,'Critical resources (hide)'!BR$6:BR$105)&gt;0,$E$1=2),0,1),0)</f>
        <v>1</v>
      </c>
      <c r="BF103" s="67">
        <f ca="1">IF(LOWER(Capacity!$L115)="x",IF(AND(SUMIF(Capacity_Resource,$D103,'Critical resources (hide)'!BS$6:BS$105)+SUMIF(Capacity_Resource,$E103,'Critical resources (hide)'!BS$6:BS$105)+SUMIF(Capacity_Resource,$F103,'Critical resources (hide)'!BS$6:BS$105)&gt;0,$E$1=2),0,1),0)</f>
        <v>1</v>
      </c>
      <c r="BG103" s="67">
        <f ca="1">IF(LOWER(Capacity!$L115)="x",IF(AND(SUMIF(Capacity_Resource,$D103,'Critical resources (hide)'!BT$6:BT$105)+SUMIF(Capacity_Resource,$E103,'Critical resources (hide)'!BT$6:BT$105)+SUMIF(Capacity_Resource,$F103,'Critical resources (hide)'!BT$6:BT$105)&gt;0,$E$1=2),0,1),0)</f>
        <v>1</v>
      </c>
      <c r="BH103" s="67">
        <f>IF(ROW(C99)&lt;=Capacity!$A$16,IF('Capacity summary'!$D$14="No",SUM(H103:BG103),'Capacity summary'!$E222),0)</f>
        <v>0</v>
      </c>
      <c r="BI103" s="5" t="str">
        <f>IF(BH103&gt;0,IF(BH103&lt;Capacity!E115,Capacity!F115,Capacity!H115/'Capacity calculation (hide)'!BH103),"")</f>
        <v/>
      </c>
      <c r="BK103" s="311">
        <f>IF($BI103&lt;&gt;"",IF('Capacity summary'!$D$14="Yes",IF(COUNTBLANK('Capacity summary'!$H222:$BG222)&lt;52,IF('Capacity summary'!H222&lt;&gt;"",IF(LOWER('Capacity summary'!H222)="x",$BI103*H103,VALUE('Capacity summary'!H222)),0),H103*$BI103),H103*$BI103),0)</f>
        <v>0</v>
      </c>
      <c r="BL103" s="311">
        <f>IF($BI103&lt;&gt;"",IF('Capacity summary'!$D$14="Yes",IF(COUNTBLANK('Capacity summary'!$H222:$BG222)&lt;52,IF('Capacity summary'!I222&lt;&gt;"",IF(LOWER('Capacity summary'!I222)="x",$BI103*I103,VALUE('Capacity summary'!I222)),0),I103*$BI103),I103*$BI103),0)</f>
        <v>0</v>
      </c>
      <c r="BM103" s="311">
        <f>IF($BI103&lt;&gt;"",IF('Capacity summary'!$D$14="Yes",IF(COUNTBLANK('Capacity summary'!$H222:$BG222)&lt;52,IF('Capacity summary'!J222&lt;&gt;"",IF(LOWER('Capacity summary'!J222)="x",$BI103*J103,VALUE('Capacity summary'!J222)),0),J103*$BI103),J103*$BI103),0)</f>
        <v>0</v>
      </c>
      <c r="BN103" s="311">
        <f>IF($BI103&lt;&gt;"",IF('Capacity summary'!$D$14="Yes",IF(COUNTBLANK('Capacity summary'!$H222:$BG222)&lt;52,IF('Capacity summary'!K222&lt;&gt;"",IF(LOWER('Capacity summary'!K222)="x",$BI103*K103,VALUE('Capacity summary'!K222)),0),K103*$BI103),K103*$BI103),0)</f>
        <v>0</v>
      </c>
      <c r="BO103" s="311">
        <f>IF($BI103&lt;&gt;"",IF('Capacity summary'!$D$14="Yes",IF(COUNTBLANK('Capacity summary'!$H222:$BG222)&lt;52,IF('Capacity summary'!L222&lt;&gt;"",IF(LOWER('Capacity summary'!L222)="x",$BI103*L103,VALUE('Capacity summary'!L222)),0),L103*$BI103),L103*$BI103),0)</f>
        <v>0</v>
      </c>
      <c r="BP103" s="311">
        <f>IF($BI103&lt;&gt;"",IF('Capacity summary'!$D$14="Yes",IF(COUNTBLANK('Capacity summary'!$H222:$BG222)&lt;52,IF('Capacity summary'!M222&lt;&gt;"",IF(LOWER('Capacity summary'!M222)="x",$BI103*M103,VALUE('Capacity summary'!M222)),0),M103*$BI103),M103*$BI103),0)</f>
        <v>0</v>
      </c>
      <c r="BQ103" s="311">
        <f>IF($BI103&lt;&gt;"",IF('Capacity summary'!$D$14="Yes",IF(COUNTBLANK('Capacity summary'!$H222:$BG222)&lt;52,IF('Capacity summary'!N222&lt;&gt;"",IF(LOWER('Capacity summary'!N222)="x",$BI103*N103,VALUE('Capacity summary'!N222)),0),N103*$BI103),N103*$BI103),0)</f>
        <v>0</v>
      </c>
      <c r="BR103" s="311">
        <f>IF($BI103&lt;&gt;"",IF('Capacity summary'!$D$14="Yes",IF(COUNTBLANK('Capacity summary'!$H222:$BG222)&lt;52,IF('Capacity summary'!O222&lt;&gt;"",IF(LOWER('Capacity summary'!O222)="x",$BI103*O103,VALUE('Capacity summary'!O222)),0),O103*$BI103),O103*$BI103),0)</f>
        <v>0</v>
      </c>
      <c r="BS103" s="311">
        <f>IF($BI103&lt;&gt;"",IF('Capacity summary'!$D$14="Yes",IF(COUNTBLANK('Capacity summary'!$H222:$BG222)&lt;52,IF('Capacity summary'!P222&lt;&gt;"",IF(LOWER('Capacity summary'!P222)="x",$BI103*P103,VALUE('Capacity summary'!P222)),0),P103*$BI103),P103*$BI103),0)</f>
        <v>0</v>
      </c>
      <c r="BT103" s="311">
        <f>IF($BI103&lt;&gt;"",IF('Capacity summary'!$D$14="Yes",IF(COUNTBLANK('Capacity summary'!$H222:$BG222)&lt;52,IF('Capacity summary'!Q222&lt;&gt;"",IF(LOWER('Capacity summary'!Q222)="x",$BI103*Q103,VALUE('Capacity summary'!Q222)),0),Q103*$BI103),Q103*$BI103),0)</f>
        <v>0</v>
      </c>
      <c r="BU103" s="311">
        <f>IF($BI103&lt;&gt;"",IF('Capacity summary'!$D$14="Yes",IF(COUNTBLANK('Capacity summary'!$H222:$BG222)&lt;52,IF('Capacity summary'!R222&lt;&gt;"",IF(LOWER('Capacity summary'!R222)="x",$BI103*R103,VALUE('Capacity summary'!R222)),0),R103*$BI103),R103*$BI103),0)</f>
        <v>0</v>
      </c>
      <c r="BV103" s="311">
        <f>IF($BI103&lt;&gt;"",IF('Capacity summary'!$D$14="Yes",IF(COUNTBLANK('Capacity summary'!$H222:$BG222)&lt;52,IF('Capacity summary'!S222&lt;&gt;"",IF(LOWER('Capacity summary'!S222)="x",$BI103*S103,VALUE('Capacity summary'!S222)),0),S103*$BI103),S103*$BI103),0)</f>
        <v>0</v>
      </c>
      <c r="BW103" s="311">
        <f>IF($BI103&lt;&gt;"",IF('Capacity summary'!$D$14="Yes",IF(COUNTBLANK('Capacity summary'!$H222:$BG222)&lt;52,IF('Capacity summary'!T222&lt;&gt;"",IF(LOWER('Capacity summary'!T222)="x",$BI103*T103,VALUE('Capacity summary'!T222)),0),T103*$BI103),T103*$BI103),0)</f>
        <v>0</v>
      </c>
      <c r="BX103" s="311">
        <f>IF($BI103&lt;&gt;"",IF('Capacity summary'!$D$14="Yes",IF(COUNTBLANK('Capacity summary'!$H222:$BG222)&lt;52,IF('Capacity summary'!U222&lt;&gt;"",IF(LOWER('Capacity summary'!U222)="x",$BI103*U103,VALUE('Capacity summary'!U222)),0),U103*$BI103),U103*$BI103),0)</f>
        <v>0</v>
      </c>
      <c r="BY103" s="311">
        <f>IF($BI103&lt;&gt;"",IF('Capacity summary'!$D$14="Yes",IF(COUNTBLANK('Capacity summary'!$H222:$BG222)&lt;52,IF('Capacity summary'!V222&lt;&gt;"",IF(LOWER('Capacity summary'!V222)="x",$BI103*V103,VALUE('Capacity summary'!V222)),0),V103*$BI103),V103*$BI103),0)</f>
        <v>0</v>
      </c>
      <c r="BZ103" s="311">
        <f>IF($BI103&lt;&gt;"",IF('Capacity summary'!$D$14="Yes",IF(COUNTBLANK('Capacity summary'!$H222:$BG222)&lt;52,IF('Capacity summary'!W222&lt;&gt;"",IF(LOWER('Capacity summary'!W222)="x",$BI103*W103,VALUE('Capacity summary'!W222)),0),W103*$BI103),W103*$BI103),0)</f>
        <v>0</v>
      </c>
      <c r="CA103" s="311">
        <f>IF($BI103&lt;&gt;"",IF('Capacity summary'!$D$14="Yes",IF(COUNTBLANK('Capacity summary'!$H222:$BG222)&lt;52,IF('Capacity summary'!X222&lt;&gt;"",IF(LOWER('Capacity summary'!X222)="x",$BI103*X103,VALUE('Capacity summary'!X222)),0),X103*$BI103),X103*$BI103),0)</f>
        <v>0</v>
      </c>
      <c r="CB103" s="311">
        <f>IF($BI103&lt;&gt;"",IF('Capacity summary'!$D$14="Yes",IF(COUNTBLANK('Capacity summary'!$H222:$BG222)&lt;52,IF('Capacity summary'!Y222&lt;&gt;"",IF(LOWER('Capacity summary'!Y222)="x",$BI103*Y103,VALUE('Capacity summary'!Y222)),0),Y103*$BI103),Y103*$BI103),0)</f>
        <v>0</v>
      </c>
      <c r="CC103" s="311">
        <f>IF($BI103&lt;&gt;"",IF('Capacity summary'!$D$14="Yes",IF(COUNTBLANK('Capacity summary'!$H222:$BG222)&lt;52,IF('Capacity summary'!Z222&lt;&gt;"",IF(LOWER('Capacity summary'!Z222)="x",$BI103*Z103,VALUE('Capacity summary'!Z222)),0),Z103*$BI103),Z103*$BI103),0)</f>
        <v>0</v>
      </c>
      <c r="CD103" s="311">
        <f>IF($BI103&lt;&gt;"",IF('Capacity summary'!$D$14="Yes",IF(COUNTBLANK('Capacity summary'!$H222:$BG222)&lt;52,IF('Capacity summary'!AA222&lt;&gt;"",IF(LOWER('Capacity summary'!AA222)="x",$BI103*AA103,VALUE('Capacity summary'!AA222)),0),AA103*$BI103),AA103*$BI103),0)</f>
        <v>0</v>
      </c>
      <c r="CE103" s="311">
        <f>IF($BI103&lt;&gt;"",IF('Capacity summary'!$D$14="Yes",IF(COUNTBLANK('Capacity summary'!$H222:$BG222)&lt;52,IF('Capacity summary'!AB222&lt;&gt;"",IF(LOWER('Capacity summary'!AB222)="x",$BI103*AB103,VALUE('Capacity summary'!AB222)),0),AB103*$BI103),AB103*$BI103),0)</f>
        <v>0</v>
      </c>
      <c r="CF103" s="311">
        <f>IF($BI103&lt;&gt;"",IF('Capacity summary'!$D$14="Yes",IF(COUNTBLANK('Capacity summary'!$H222:$BG222)&lt;52,IF('Capacity summary'!AC222&lt;&gt;"",IF(LOWER('Capacity summary'!AC222)="x",$BI103*AC103,VALUE('Capacity summary'!AC222)),0),AC103*$BI103),AC103*$BI103),0)</f>
        <v>0</v>
      </c>
      <c r="CG103" s="311">
        <f>IF($BI103&lt;&gt;"",IF('Capacity summary'!$D$14="Yes",IF(COUNTBLANK('Capacity summary'!$H222:$BG222)&lt;52,IF('Capacity summary'!AD222&lt;&gt;"",IF(LOWER('Capacity summary'!AD222)="x",$BI103*AD103,VALUE('Capacity summary'!AD222)),0),AD103*$BI103),AD103*$BI103),0)</f>
        <v>0</v>
      </c>
      <c r="CH103" s="311">
        <f>IF($BI103&lt;&gt;"",IF('Capacity summary'!$D$14="Yes",IF(COUNTBLANK('Capacity summary'!$H222:$BG222)&lt;52,IF('Capacity summary'!AE222&lt;&gt;"",IF(LOWER('Capacity summary'!AE222)="x",$BI103*AE103,VALUE('Capacity summary'!AE222)),0),AE103*$BI103),AE103*$BI103),0)</f>
        <v>0</v>
      </c>
      <c r="CI103" s="311">
        <f>IF($BI103&lt;&gt;"",IF('Capacity summary'!$D$14="Yes",IF(COUNTBLANK('Capacity summary'!$H222:$BG222)&lt;52,IF('Capacity summary'!AF222&lt;&gt;"",IF(LOWER('Capacity summary'!AF222)="x",$BI103*AF103,VALUE('Capacity summary'!AF222)),0),AF103*$BI103),AF103*$BI103),0)</f>
        <v>0</v>
      </c>
      <c r="CJ103" s="311">
        <f>IF($BI103&lt;&gt;"",IF('Capacity summary'!$D$14="Yes",IF(COUNTBLANK('Capacity summary'!$H222:$BG222)&lt;52,IF('Capacity summary'!AG222&lt;&gt;"",IF(LOWER('Capacity summary'!AG222)="x",$BI103*AG103,VALUE('Capacity summary'!AG222)),0),AG103*$BI103),AG103*$BI103),0)</f>
        <v>0</v>
      </c>
      <c r="CK103" s="311">
        <f>IF($BI103&lt;&gt;"",IF('Capacity summary'!$D$14="Yes",IF(COUNTBLANK('Capacity summary'!$H222:$BG222)&lt;52,IF('Capacity summary'!AH222&lt;&gt;"",IF(LOWER('Capacity summary'!AH222)="x",$BI103*AH103,VALUE('Capacity summary'!AH222)),0),AH103*$BI103),AH103*$BI103),0)</f>
        <v>0</v>
      </c>
      <c r="CL103" s="311">
        <f>IF($BI103&lt;&gt;"",IF('Capacity summary'!$D$14="Yes",IF(COUNTBLANK('Capacity summary'!$H222:$BG222)&lt;52,IF('Capacity summary'!AI222&lt;&gt;"",IF(LOWER('Capacity summary'!AI222)="x",$BI103*AI103,VALUE('Capacity summary'!AI222)),0),AI103*$BI103),AI103*$BI103),0)</f>
        <v>0</v>
      </c>
      <c r="CM103" s="311">
        <f>IF($BI103&lt;&gt;"",IF('Capacity summary'!$D$14="Yes",IF(COUNTBLANK('Capacity summary'!$H222:$BG222)&lt;52,IF('Capacity summary'!AJ222&lt;&gt;"",IF(LOWER('Capacity summary'!AJ222)="x",$BI103*AJ103,VALUE('Capacity summary'!AJ222)),0),AJ103*$BI103),AJ103*$BI103),0)</f>
        <v>0</v>
      </c>
      <c r="CN103" s="311">
        <f>IF($BI103&lt;&gt;"",IF('Capacity summary'!$D$14="Yes",IF(COUNTBLANK('Capacity summary'!$H222:$BG222)&lt;52,IF('Capacity summary'!AK222&lt;&gt;"",IF(LOWER('Capacity summary'!AK222)="x",$BI103*AK103,VALUE('Capacity summary'!AK222)),0),AK103*$BI103),AK103*$BI103),0)</f>
        <v>0</v>
      </c>
      <c r="CO103" s="311">
        <f>IF($BI103&lt;&gt;"",IF('Capacity summary'!$D$14="Yes",IF(COUNTBLANK('Capacity summary'!$H222:$BG222)&lt;52,IF('Capacity summary'!AL222&lt;&gt;"",IF(LOWER('Capacity summary'!AL222)="x",$BI103*AL103,VALUE('Capacity summary'!AL222)),0),AL103*$BI103),AL103*$BI103),0)</f>
        <v>0</v>
      </c>
      <c r="CP103" s="311">
        <f>IF($BI103&lt;&gt;"",IF('Capacity summary'!$D$14="Yes",IF(COUNTBLANK('Capacity summary'!$H222:$BG222)&lt;52,IF('Capacity summary'!AM222&lt;&gt;"",IF(LOWER('Capacity summary'!AM222)="x",$BI103*AM103,VALUE('Capacity summary'!AM222)),0),AM103*$BI103),AM103*$BI103),0)</f>
        <v>0</v>
      </c>
      <c r="CQ103" s="311">
        <f>IF($BI103&lt;&gt;"",IF('Capacity summary'!$D$14="Yes",IF(COUNTBLANK('Capacity summary'!$H222:$BG222)&lt;52,IF('Capacity summary'!AN222&lt;&gt;"",IF(LOWER('Capacity summary'!AN222)="x",$BI103*AN103,VALUE('Capacity summary'!AN222)),0),AN103*$BI103),AN103*$BI103),0)</f>
        <v>0</v>
      </c>
      <c r="CR103" s="311">
        <f>IF($BI103&lt;&gt;"",IF('Capacity summary'!$D$14="Yes",IF(COUNTBLANK('Capacity summary'!$H222:$BG222)&lt;52,IF('Capacity summary'!AO222&lt;&gt;"",IF(LOWER('Capacity summary'!AO222)="x",$BI103*AO103,VALUE('Capacity summary'!AO222)),0),AO103*$BI103),AO103*$BI103),0)</f>
        <v>0</v>
      </c>
      <c r="CS103" s="311">
        <f>IF($BI103&lt;&gt;"",IF('Capacity summary'!$D$14="Yes",IF(COUNTBLANK('Capacity summary'!$H222:$BG222)&lt;52,IF('Capacity summary'!AP222&lt;&gt;"",IF(LOWER('Capacity summary'!AP222)="x",$BI103*AP103,VALUE('Capacity summary'!AP222)),0),AP103*$BI103),AP103*$BI103),0)</f>
        <v>0</v>
      </c>
      <c r="CT103" s="311">
        <f>IF($BI103&lt;&gt;"",IF('Capacity summary'!$D$14="Yes",IF(COUNTBLANK('Capacity summary'!$H222:$BG222)&lt;52,IF('Capacity summary'!AQ222&lt;&gt;"",IF(LOWER('Capacity summary'!AQ222)="x",$BI103*AQ103,VALUE('Capacity summary'!AQ222)),0),AQ103*$BI103),AQ103*$BI103),0)</f>
        <v>0</v>
      </c>
      <c r="CU103" s="311">
        <f>IF($BI103&lt;&gt;"",IF('Capacity summary'!$D$14="Yes",IF(COUNTBLANK('Capacity summary'!$H222:$BG222)&lt;52,IF('Capacity summary'!AR222&lt;&gt;"",IF(LOWER('Capacity summary'!AR222)="x",$BI103*AR103,VALUE('Capacity summary'!AR222)),0),AR103*$BI103),AR103*$BI103),0)</f>
        <v>0</v>
      </c>
      <c r="CV103" s="311">
        <f>IF($BI103&lt;&gt;"",IF('Capacity summary'!$D$14="Yes",IF(COUNTBLANK('Capacity summary'!$H222:$BG222)&lt;52,IF('Capacity summary'!AS222&lt;&gt;"",IF(LOWER('Capacity summary'!AS222)="x",$BI103*AS103,VALUE('Capacity summary'!AS222)),0),AS103*$BI103),AS103*$BI103),0)</f>
        <v>0</v>
      </c>
      <c r="CW103" s="311">
        <f>IF($BI103&lt;&gt;"",IF('Capacity summary'!$D$14="Yes",IF(COUNTBLANK('Capacity summary'!$H222:$BG222)&lt;52,IF('Capacity summary'!AT222&lt;&gt;"",IF(LOWER('Capacity summary'!AT222)="x",$BI103*AT103,VALUE('Capacity summary'!AT222)),0),AT103*$BI103),AT103*$BI103),0)</f>
        <v>0</v>
      </c>
      <c r="CX103" s="311">
        <f>IF($BI103&lt;&gt;"",IF('Capacity summary'!$D$14="Yes",IF(COUNTBLANK('Capacity summary'!$H222:$BG222)&lt;52,IF('Capacity summary'!AU222&lt;&gt;"",IF(LOWER('Capacity summary'!AU222)="x",$BI103*AU103,VALUE('Capacity summary'!AU222)),0),AU103*$BI103),AU103*$BI103),0)</f>
        <v>0</v>
      </c>
      <c r="CY103" s="311">
        <f>IF($BI103&lt;&gt;"",IF('Capacity summary'!$D$14="Yes",IF(COUNTBLANK('Capacity summary'!$H222:$BG222)&lt;52,IF('Capacity summary'!AV222&lt;&gt;"",IF(LOWER('Capacity summary'!AV222)="x",$BI103*AV103,VALUE('Capacity summary'!AV222)),0),AV103*$BI103),AV103*$BI103),0)</f>
        <v>0</v>
      </c>
      <c r="CZ103" s="311">
        <f>IF($BI103&lt;&gt;"",IF('Capacity summary'!$D$14="Yes",IF(COUNTBLANK('Capacity summary'!$H222:$BG222)&lt;52,IF('Capacity summary'!AW222&lt;&gt;"",IF(LOWER('Capacity summary'!AW222)="x",$BI103*AW103,VALUE('Capacity summary'!AW222)),0),AW103*$BI103),AW103*$BI103),0)</f>
        <v>0</v>
      </c>
      <c r="DA103" s="311">
        <f>IF($BI103&lt;&gt;"",IF('Capacity summary'!$D$14="Yes",IF(COUNTBLANK('Capacity summary'!$H222:$BG222)&lt;52,IF('Capacity summary'!AX222&lt;&gt;"",IF(LOWER('Capacity summary'!AX222)="x",$BI103*AX103,VALUE('Capacity summary'!AX222)),0),AX103*$BI103),AX103*$BI103),0)</f>
        <v>0</v>
      </c>
      <c r="DB103" s="311">
        <f>IF($BI103&lt;&gt;"",IF('Capacity summary'!$D$14="Yes",IF(COUNTBLANK('Capacity summary'!$H222:$BG222)&lt;52,IF('Capacity summary'!AY222&lt;&gt;"",IF(LOWER('Capacity summary'!AY222)="x",$BI103*AY103,VALUE('Capacity summary'!AY222)),0),AY103*$BI103),AY103*$BI103),0)</f>
        <v>0</v>
      </c>
      <c r="DC103" s="311">
        <f>IF($BI103&lt;&gt;"",IF('Capacity summary'!$D$14="Yes",IF(COUNTBLANK('Capacity summary'!$H222:$BG222)&lt;52,IF('Capacity summary'!AZ222&lt;&gt;"",IF(LOWER('Capacity summary'!AZ222)="x",$BI103*AZ103,VALUE('Capacity summary'!AZ222)),0),AZ103*$BI103),AZ103*$BI103),0)</f>
        <v>0</v>
      </c>
      <c r="DD103" s="311">
        <f>IF($BI103&lt;&gt;"",IF('Capacity summary'!$D$14="Yes",IF(COUNTBLANK('Capacity summary'!$H222:$BG222)&lt;52,IF('Capacity summary'!BA222&lt;&gt;"",IF(LOWER('Capacity summary'!BA222)="x",$BI103*BA103,VALUE('Capacity summary'!BA222)),0),BA103*$BI103),BA103*$BI103),0)</f>
        <v>0</v>
      </c>
      <c r="DE103" s="311">
        <f>IF($BI103&lt;&gt;"",IF('Capacity summary'!$D$14="Yes",IF(COUNTBLANK('Capacity summary'!$H222:$BG222)&lt;52,IF('Capacity summary'!BB222&lt;&gt;"",IF(LOWER('Capacity summary'!BB222)="x",$BI103*BB103,VALUE('Capacity summary'!BB222)),0),BB103*$BI103),BB103*$BI103),0)</f>
        <v>0</v>
      </c>
      <c r="DF103" s="311">
        <f>IF($BI103&lt;&gt;"",IF('Capacity summary'!$D$14="Yes",IF(COUNTBLANK('Capacity summary'!$H222:$BG222)&lt;52,IF('Capacity summary'!BC222&lt;&gt;"",IF(LOWER('Capacity summary'!BC222)="x",$BI103*BC103,VALUE('Capacity summary'!BC222)),0),BC103*$BI103),BC103*$BI103),0)</f>
        <v>0</v>
      </c>
      <c r="DG103" s="311">
        <f>IF($BI103&lt;&gt;"",IF('Capacity summary'!$D$14="Yes",IF(COUNTBLANK('Capacity summary'!$H222:$BG222)&lt;52,IF('Capacity summary'!BD222&lt;&gt;"",IF(LOWER('Capacity summary'!BD222)="x",$BI103*BD103,VALUE('Capacity summary'!BD222)),0),BD103*$BI103),BD103*$BI103),0)</f>
        <v>0</v>
      </c>
      <c r="DH103" s="311">
        <f>IF($BI103&lt;&gt;"",IF('Capacity summary'!$D$14="Yes",IF(COUNTBLANK('Capacity summary'!$H222:$BG222)&lt;52,IF('Capacity summary'!BE222&lt;&gt;"",IF(LOWER('Capacity summary'!BE222)="x",$BI103*BE103,VALUE('Capacity summary'!BE222)),0),BE103*$BI103),BE103*$BI103),0)</f>
        <v>0</v>
      </c>
      <c r="DI103" s="311">
        <f>IF($BI103&lt;&gt;"",IF('Capacity summary'!$D$14="Yes",IF(COUNTBLANK('Capacity summary'!$H222:$BG222)&lt;52,IF('Capacity summary'!BF222&lt;&gt;"",IF(LOWER('Capacity summary'!BF222)="x",$BI103*BF103,VALUE('Capacity summary'!BF222)),0),BF103*$BI103),BF103*$BI103),0)</f>
        <v>0</v>
      </c>
      <c r="DJ103" s="311">
        <f>IF($BI103&lt;&gt;"",IF('Capacity summary'!$D$14="Yes",IF(COUNTBLANK('Capacity summary'!$H222:$BG222)&lt;52,IF('Capacity summary'!BG222&lt;&gt;"",IF(LOWER('Capacity summary'!BG222)="x",$BI103*BG103,VALUE('Capacity summary'!BG222)),0),BG103*$BI103),BG103*$BI103),0)</f>
        <v>0</v>
      </c>
      <c r="DK103" s="391">
        <f t="shared" si="4"/>
        <v>0</v>
      </c>
      <c r="DL103" s="136">
        <f t="shared" si="5"/>
        <v>0</v>
      </c>
      <c r="DM103" s="311" t="str">
        <f>Capacity!H115</f>
        <v/>
      </c>
    </row>
    <row r="104" spans="1:117" x14ac:dyDescent="0.2">
      <c r="A104" s="67">
        <f>IF(Capacity!L116='Capacity summary'!BI223,1,0)</f>
        <v>1</v>
      </c>
      <c r="B104" s="67">
        <f>IF(Capacity!V116='Capacity summary'!BI123,1,0)</f>
        <v>1</v>
      </c>
      <c r="C104" s="67" t="str">
        <f>ROW(A100)&amp;". "&amp;Capacity!B116</f>
        <v xml:space="preserve">100. </v>
      </c>
      <c r="D104" s="67">
        <f>'Capacity setup'!C111</f>
        <v>0</v>
      </c>
      <c r="E104" s="67">
        <f>'Capacity setup'!D111</f>
        <v>0</v>
      </c>
      <c r="F104" s="67">
        <f>'Capacity setup'!E111</f>
        <v>0</v>
      </c>
      <c r="H104" s="67">
        <f ca="1">IF(LOWER(Capacity!$L116)="x",IF(AND(SUMIF(Capacity_Resource,$D104,'Critical resources (hide)'!U$6:U$105)+SUMIF(Capacity_Resource,$E104,'Critical resources (hide)'!U$6:U$105)+SUMIF(Capacity_Resource,$F104,'Critical resources (hide)'!U$6:U$105)&gt;0,$E$1=2),0,1),0)</f>
        <v>1</v>
      </c>
      <c r="I104" s="67">
        <f ca="1">IF(LOWER(Capacity!$L116)="x",IF(AND(SUMIF(Capacity_Resource,$D104,'Critical resources (hide)'!V$6:V$105)+SUMIF(Capacity_Resource,$E104,'Critical resources (hide)'!V$6:V$105)+SUMIF(Capacity_Resource,$F104,'Critical resources (hide)'!V$6:V$105)&gt;0,$E$1=2),0,1),0)</f>
        <v>1</v>
      </c>
      <c r="J104" s="67">
        <f ca="1">IF(LOWER(Capacity!$L116)="x",IF(AND(SUMIF(Capacity_Resource,$D104,'Critical resources (hide)'!W$6:W$105)+SUMIF(Capacity_Resource,$E104,'Critical resources (hide)'!W$6:W$105)+SUMIF(Capacity_Resource,$F104,'Critical resources (hide)'!W$6:W$105)&gt;0,$E$1=2),0,1),0)</f>
        <v>1</v>
      </c>
      <c r="K104" s="67">
        <f ca="1">IF(LOWER(Capacity!$L116)="x",IF(AND(SUMIF(Capacity_Resource,$D104,'Critical resources (hide)'!X$6:X$105)+SUMIF(Capacity_Resource,$E104,'Critical resources (hide)'!X$6:X$105)+SUMIF(Capacity_Resource,$F104,'Critical resources (hide)'!X$6:X$105)&gt;0,$E$1=2),0,1),0)</f>
        <v>1</v>
      </c>
      <c r="L104" s="67">
        <f ca="1">IF(LOWER(Capacity!$L116)="x",IF(AND(SUMIF(Capacity_Resource,$D104,'Critical resources (hide)'!Y$6:Y$105)+SUMIF(Capacity_Resource,$E104,'Critical resources (hide)'!Y$6:Y$105)+SUMIF(Capacity_Resource,$F104,'Critical resources (hide)'!Y$6:Y$105)&gt;0,$E$1=2),0,1),0)</f>
        <v>1</v>
      </c>
      <c r="M104" s="67">
        <f ca="1">IF(LOWER(Capacity!$L116)="x",IF(AND(SUMIF(Capacity_Resource,$D104,'Critical resources (hide)'!Z$6:Z$105)+SUMIF(Capacity_Resource,$E104,'Critical resources (hide)'!Z$6:Z$105)+SUMIF(Capacity_Resource,$F104,'Critical resources (hide)'!Z$6:Z$105)&gt;0,$E$1=2),0,1),0)</f>
        <v>1</v>
      </c>
      <c r="N104" s="67">
        <f ca="1">IF(LOWER(Capacity!$L116)="x",IF(AND(SUMIF(Capacity_Resource,$D104,'Critical resources (hide)'!AA$6:AA$105)+SUMIF(Capacity_Resource,$E104,'Critical resources (hide)'!AA$6:AA$105)+SUMIF(Capacity_Resource,$F104,'Critical resources (hide)'!AA$6:AA$105)&gt;0,$E$1=2),0,1),0)</f>
        <v>1</v>
      </c>
      <c r="O104" s="67">
        <f ca="1">IF(LOWER(Capacity!$L116)="x",IF(AND(SUMIF(Capacity_Resource,$D104,'Critical resources (hide)'!AB$6:AB$105)+SUMIF(Capacity_Resource,$E104,'Critical resources (hide)'!AB$6:AB$105)+SUMIF(Capacity_Resource,$F104,'Critical resources (hide)'!AB$6:AB$105)&gt;0,$E$1=2),0,1),0)</f>
        <v>1</v>
      </c>
      <c r="P104" s="67">
        <f ca="1">IF(LOWER(Capacity!$L116)="x",IF(AND(SUMIF(Capacity_Resource,$D104,'Critical resources (hide)'!AC$6:AC$105)+SUMIF(Capacity_Resource,$E104,'Critical resources (hide)'!AC$6:AC$105)+SUMIF(Capacity_Resource,$F104,'Critical resources (hide)'!AC$6:AC$105)&gt;0,$E$1=2),0,1),0)</f>
        <v>1</v>
      </c>
      <c r="Q104" s="67">
        <f ca="1">IF(LOWER(Capacity!$L116)="x",IF(AND(SUMIF(Capacity_Resource,$D104,'Critical resources (hide)'!AD$6:AD$105)+SUMIF(Capacity_Resource,$E104,'Critical resources (hide)'!AD$6:AD$105)+SUMIF(Capacity_Resource,$F104,'Critical resources (hide)'!AD$6:AD$105)&gt;0,$E$1=2),0,1),0)</f>
        <v>1</v>
      </c>
      <c r="R104" s="67">
        <f ca="1">IF(LOWER(Capacity!$L116)="x",IF(AND(SUMIF(Capacity_Resource,$D104,'Critical resources (hide)'!AE$6:AE$105)+SUMIF(Capacity_Resource,$E104,'Critical resources (hide)'!AE$6:AE$105)+SUMIF(Capacity_Resource,$F104,'Critical resources (hide)'!AE$6:AE$105)&gt;0,$E$1=2),0,1),0)</f>
        <v>1</v>
      </c>
      <c r="S104" s="67">
        <f ca="1">IF(LOWER(Capacity!$L116)="x",IF(AND(SUMIF(Capacity_Resource,$D104,'Critical resources (hide)'!AF$6:AF$105)+SUMIF(Capacity_Resource,$E104,'Critical resources (hide)'!AF$6:AF$105)+SUMIF(Capacity_Resource,$F104,'Critical resources (hide)'!AF$6:AF$105)&gt;0,$E$1=2),0,1),0)</f>
        <v>1</v>
      </c>
      <c r="T104" s="67">
        <f ca="1">IF(LOWER(Capacity!$L116)="x",IF(AND(SUMIF(Capacity_Resource,$D104,'Critical resources (hide)'!AG$6:AG$105)+SUMIF(Capacity_Resource,$E104,'Critical resources (hide)'!AG$6:AG$105)+SUMIF(Capacity_Resource,$F104,'Critical resources (hide)'!AG$6:AG$105)&gt;0,$E$1=2),0,1),0)</f>
        <v>1</v>
      </c>
      <c r="U104" s="67">
        <f ca="1">IF(LOWER(Capacity!$L116)="x",IF(AND(SUMIF(Capacity_Resource,$D104,'Critical resources (hide)'!AH$6:AH$105)+SUMIF(Capacity_Resource,$E104,'Critical resources (hide)'!AH$6:AH$105)+SUMIF(Capacity_Resource,$F104,'Critical resources (hide)'!AH$6:AH$105)&gt;0,$E$1=2),0,1),0)</f>
        <v>1</v>
      </c>
      <c r="V104" s="67">
        <f ca="1">IF(LOWER(Capacity!$L116)="x",IF(AND(SUMIF(Capacity_Resource,$D104,'Critical resources (hide)'!AI$6:AI$105)+SUMIF(Capacity_Resource,$E104,'Critical resources (hide)'!AI$6:AI$105)+SUMIF(Capacity_Resource,$F104,'Critical resources (hide)'!AI$6:AI$105)&gt;0,$E$1=2),0,1),0)</f>
        <v>1</v>
      </c>
      <c r="W104" s="67">
        <f ca="1">IF(LOWER(Capacity!$L116)="x",IF(AND(SUMIF(Capacity_Resource,$D104,'Critical resources (hide)'!AJ$6:AJ$105)+SUMIF(Capacity_Resource,$E104,'Critical resources (hide)'!AJ$6:AJ$105)+SUMIF(Capacity_Resource,$F104,'Critical resources (hide)'!AJ$6:AJ$105)&gt;0,$E$1=2),0,1),0)</f>
        <v>1</v>
      </c>
      <c r="X104" s="67">
        <f ca="1">IF(LOWER(Capacity!$L116)="x",IF(AND(SUMIF(Capacity_Resource,$D104,'Critical resources (hide)'!AK$6:AK$105)+SUMIF(Capacity_Resource,$E104,'Critical resources (hide)'!AK$6:AK$105)+SUMIF(Capacity_Resource,$F104,'Critical resources (hide)'!AK$6:AK$105)&gt;0,$E$1=2),0,1),0)</f>
        <v>1</v>
      </c>
      <c r="Y104" s="67">
        <f ca="1">IF(LOWER(Capacity!$L116)="x",IF(AND(SUMIF(Capacity_Resource,$D104,'Critical resources (hide)'!AL$6:AL$105)+SUMIF(Capacity_Resource,$E104,'Critical resources (hide)'!AL$6:AL$105)+SUMIF(Capacity_Resource,$F104,'Critical resources (hide)'!AL$6:AL$105)&gt;0,$E$1=2),0,1),0)</f>
        <v>1</v>
      </c>
      <c r="Z104" s="67">
        <f ca="1">IF(LOWER(Capacity!$L116)="x",IF(AND(SUMIF(Capacity_Resource,$D104,'Critical resources (hide)'!AM$6:AM$105)+SUMIF(Capacity_Resource,$E104,'Critical resources (hide)'!AM$6:AM$105)+SUMIF(Capacity_Resource,$F104,'Critical resources (hide)'!AM$6:AM$105)&gt;0,$E$1=2),0,1),0)</f>
        <v>1</v>
      </c>
      <c r="AA104" s="67">
        <f ca="1">IF(LOWER(Capacity!$L116)="x",IF(AND(SUMIF(Capacity_Resource,$D104,'Critical resources (hide)'!AN$6:AN$105)+SUMIF(Capacity_Resource,$E104,'Critical resources (hide)'!AN$6:AN$105)+SUMIF(Capacity_Resource,$F104,'Critical resources (hide)'!AN$6:AN$105)&gt;0,$E$1=2),0,1),0)</f>
        <v>1</v>
      </c>
      <c r="AB104" s="67">
        <f ca="1">IF(LOWER(Capacity!$L116)="x",IF(AND(SUMIF(Capacity_Resource,$D104,'Critical resources (hide)'!AO$6:AO$105)+SUMIF(Capacity_Resource,$E104,'Critical resources (hide)'!AO$6:AO$105)+SUMIF(Capacity_Resource,$F104,'Critical resources (hide)'!AO$6:AO$105)&gt;0,$E$1=2),0,1),0)</f>
        <v>1</v>
      </c>
      <c r="AC104" s="67">
        <f ca="1">IF(LOWER(Capacity!$L116)="x",IF(AND(SUMIF(Capacity_Resource,$D104,'Critical resources (hide)'!AP$6:AP$105)+SUMIF(Capacity_Resource,$E104,'Critical resources (hide)'!AP$6:AP$105)+SUMIF(Capacity_Resource,$F104,'Critical resources (hide)'!AP$6:AP$105)&gt;0,$E$1=2),0,1),0)</f>
        <v>1</v>
      </c>
      <c r="AD104" s="67">
        <f ca="1">IF(LOWER(Capacity!$L116)="x",IF(AND(SUMIF(Capacity_Resource,$D104,'Critical resources (hide)'!AQ$6:AQ$105)+SUMIF(Capacity_Resource,$E104,'Critical resources (hide)'!AQ$6:AQ$105)+SUMIF(Capacity_Resource,$F104,'Critical resources (hide)'!AQ$6:AQ$105)&gt;0,$E$1=2),0,1),0)</f>
        <v>1</v>
      </c>
      <c r="AE104" s="67">
        <f ca="1">IF(LOWER(Capacity!$L116)="x",IF(AND(SUMIF(Capacity_Resource,$D104,'Critical resources (hide)'!AR$6:AR$105)+SUMIF(Capacity_Resource,$E104,'Critical resources (hide)'!AR$6:AR$105)+SUMIF(Capacity_Resource,$F104,'Critical resources (hide)'!AR$6:AR$105)&gt;0,$E$1=2),0,1),0)</f>
        <v>1</v>
      </c>
      <c r="AF104" s="67">
        <f ca="1">IF(LOWER(Capacity!$L116)="x",IF(AND(SUMIF(Capacity_Resource,$D104,'Critical resources (hide)'!AS$6:AS$105)+SUMIF(Capacity_Resource,$E104,'Critical resources (hide)'!AS$6:AS$105)+SUMIF(Capacity_Resource,$F104,'Critical resources (hide)'!AS$6:AS$105)&gt;0,$E$1=2),0,1),0)</f>
        <v>1</v>
      </c>
      <c r="AG104" s="67">
        <f ca="1">IF(LOWER(Capacity!$L116)="x",IF(AND(SUMIF(Capacity_Resource,$D104,'Critical resources (hide)'!AT$6:AT$105)+SUMIF(Capacity_Resource,$E104,'Critical resources (hide)'!AT$6:AT$105)+SUMIF(Capacity_Resource,$F104,'Critical resources (hide)'!AT$6:AT$105)&gt;0,$E$1=2),0,1),0)</f>
        <v>1</v>
      </c>
      <c r="AH104" s="67">
        <f ca="1">IF(LOWER(Capacity!$L116)="x",IF(AND(SUMIF(Capacity_Resource,$D104,'Critical resources (hide)'!AU$6:AU$105)+SUMIF(Capacity_Resource,$E104,'Critical resources (hide)'!AU$6:AU$105)+SUMIF(Capacity_Resource,$F104,'Critical resources (hide)'!AU$6:AU$105)&gt;0,$E$1=2),0,1),0)</f>
        <v>1</v>
      </c>
      <c r="AI104" s="67">
        <f ca="1">IF(LOWER(Capacity!$L116)="x",IF(AND(SUMIF(Capacity_Resource,$D104,'Critical resources (hide)'!AV$6:AV$105)+SUMIF(Capacity_Resource,$E104,'Critical resources (hide)'!AV$6:AV$105)+SUMIF(Capacity_Resource,$F104,'Critical resources (hide)'!AV$6:AV$105)&gt;0,$E$1=2),0,1),0)</f>
        <v>1</v>
      </c>
      <c r="AJ104" s="67">
        <f ca="1">IF(LOWER(Capacity!$L116)="x",IF(AND(SUMIF(Capacity_Resource,$D104,'Critical resources (hide)'!AW$6:AW$105)+SUMIF(Capacity_Resource,$E104,'Critical resources (hide)'!AW$6:AW$105)+SUMIF(Capacity_Resource,$F104,'Critical resources (hide)'!AW$6:AW$105)&gt;0,$E$1=2),0,1),0)</f>
        <v>1</v>
      </c>
      <c r="AK104" s="67">
        <f ca="1">IF(LOWER(Capacity!$L116)="x",IF(AND(SUMIF(Capacity_Resource,$D104,'Critical resources (hide)'!AX$6:AX$105)+SUMIF(Capacity_Resource,$E104,'Critical resources (hide)'!AX$6:AX$105)+SUMIF(Capacity_Resource,$F104,'Critical resources (hide)'!AX$6:AX$105)&gt;0,$E$1=2),0,1),0)</f>
        <v>1</v>
      </c>
      <c r="AL104" s="67">
        <f ca="1">IF(LOWER(Capacity!$L116)="x",IF(AND(SUMIF(Capacity_Resource,$D104,'Critical resources (hide)'!AY$6:AY$105)+SUMIF(Capacity_Resource,$E104,'Critical resources (hide)'!AY$6:AY$105)+SUMIF(Capacity_Resource,$F104,'Critical resources (hide)'!AY$6:AY$105)&gt;0,$E$1=2),0,1),0)</f>
        <v>1</v>
      </c>
      <c r="AM104" s="67">
        <f ca="1">IF(LOWER(Capacity!$L116)="x",IF(AND(SUMIF(Capacity_Resource,$D104,'Critical resources (hide)'!AZ$6:AZ$105)+SUMIF(Capacity_Resource,$E104,'Critical resources (hide)'!AZ$6:AZ$105)+SUMIF(Capacity_Resource,$F104,'Critical resources (hide)'!AZ$6:AZ$105)&gt;0,$E$1=2),0,1),0)</f>
        <v>1</v>
      </c>
      <c r="AN104" s="67">
        <f ca="1">IF(LOWER(Capacity!$L116)="x",IF(AND(SUMIF(Capacity_Resource,$D104,'Critical resources (hide)'!BA$6:BA$105)+SUMIF(Capacity_Resource,$E104,'Critical resources (hide)'!BA$6:BA$105)+SUMIF(Capacity_Resource,$F104,'Critical resources (hide)'!BA$6:BA$105)&gt;0,$E$1=2),0,1),0)</f>
        <v>1</v>
      </c>
      <c r="AO104" s="67">
        <f ca="1">IF(LOWER(Capacity!$L116)="x",IF(AND(SUMIF(Capacity_Resource,$D104,'Critical resources (hide)'!BB$6:BB$105)+SUMIF(Capacity_Resource,$E104,'Critical resources (hide)'!BB$6:BB$105)+SUMIF(Capacity_Resource,$F104,'Critical resources (hide)'!BB$6:BB$105)&gt;0,$E$1=2),0,1),0)</f>
        <v>1</v>
      </c>
      <c r="AP104" s="67">
        <f ca="1">IF(LOWER(Capacity!$L116)="x",IF(AND(SUMIF(Capacity_Resource,$D104,'Critical resources (hide)'!BC$6:BC$105)+SUMIF(Capacity_Resource,$E104,'Critical resources (hide)'!BC$6:BC$105)+SUMIF(Capacity_Resource,$F104,'Critical resources (hide)'!BC$6:BC$105)&gt;0,$E$1=2),0,1),0)</f>
        <v>1</v>
      </c>
      <c r="AQ104" s="67">
        <f ca="1">IF(LOWER(Capacity!$L116)="x",IF(AND(SUMIF(Capacity_Resource,$D104,'Critical resources (hide)'!BD$6:BD$105)+SUMIF(Capacity_Resource,$E104,'Critical resources (hide)'!BD$6:BD$105)+SUMIF(Capacity_Resource,$F104,'Critical resources (hide)'!BD$6:BD$105)&gt;0,$E$1=2),0,1),0)</f>
        <v>1</v>
      </c>
      <c r="AR104" s="67">
        <f ca="1">IF(LOWER(Capacity!$L116)="x",IF(AND(SUMIF(Capacity_Resource,$D104,'Critical resources (hide)'!BE$6:BE$105)+SUMIF(Capacity_Resource,$E104,'Critical resources (hide)'!BE$6:BE$105)+SUMIF(Capacity_Resource,$F104,'Critical resources (hide)'!BE$6:BE$105)&gt;0,$E$1=2),0,1),0)</f>
        <v>1</v>
      </c>
      <c r="AS104" s="67">
        <f ca="1">IF(LOWER(Capacity!$L116)="x",IF(AND(SUMIF(Capacity_Resource,$D104,'Critical resources (hide)'!BF$6:BF$105)+SUMIF(Capacity_Resource,$E104,'Critical resources (hide)'!BF$6:BF$105)+SUMIF(Capacity_Resource,$F104,'Critical resources (hide)'!BF$6:BF$105)&gt;0,$E$1=2),0,1),0)</f>
        <v>1</v>
      </c>
      <c r="AT104" s="67">
        <f ca="1">IF(LOWER(Capacity!$L116)="x",IF(AND(SUMIF(Capacity_Resource,$D104,'Critical resources (hide)'!BG$6:BG$105)+SUMIF(Capacity_Resource,$E104,'Critical resources (hide)'!BG$6:BG$105)+SUMIF(Capacity_Resource,$F104,'Critical resources (hide)'!BG$6:BG$105)&gt;0,$E$1=2),0,1),0)</f>
        <v>1</v>
      </c>
      <c r="AU104" s="67">
        <f ca="1">IF(LOWER(Capacity!$L116)="x",IF(AND(SUMIF(Capacity_Resource,$D104,'Critical resources (hide)'!BH$6:BH$105)+SUMIF(Capacity_Resource,$E104,'Critical resources (hide)'!BH$6:BH$105)+SUMIF(Capacity_Resource,$F104,'Critical resources (hide)'!BH$6:BH$105)&gt;0,$E$1=2),0,1),0)</f>
        <v>1</v>
      </c>
      <c r="AV104" s="67">
        <f ca="1">IF(LOWER(Capacity!$L116)="x",IF(AND(SUMIF(Capacity_Resource,$D104,'Critical resources (hide)'!BI$6:BI$105)+SUMIF(Capacity_Resource,$E104,'Critical resources (hide)'!BI$6:BI$105)+SUMIF(Capacity_Resource,$F104,'Critical resources (hide)'!BI$6:BI$105)&gt;0,$E$1=2),0,1),0)</f>
        <v>1</v>
      </c>
      <c r="AW104" s="67">
        <f ca="1">IF(LOWER(Capacity!$L116)="x",IF(AND(SUMIF(Capacity_Resource,$D104,'Critical resources (hide)'!BJ$6:BJ$105)+SUMIF(Capacity_Resource,$E104,'Critical resources (hide)'!BJ$6:BJ$105)+SUMIF(Capacity_Resource,$F104,'Critical resources (hide)'!BJ$6:BJ$105)&gt;0,$E$1=2),0,1),0)</f>
        <v>1</v>
      </c>
      <c r="AX104" s="67">
        <f ca="1">IF(LOWER(Capacity!$L116)="x",IF(AND(SUMIF(Capacity_Resource,$D104,'Critical resources (hide)'!BK$6:BK$105)+SUMIF(Capacity_Resource,$E104,'Critical resources (hide)'!BK$6:BK$105)+SUMIF(Capacity_Resource,$F104,'Critical resources (hide)'!BK$6:BK$105)&gt;0,$E$1=2),0,1),0)</f>
        <v>1</v>
      </c>
      <c r="AY104" s="67">
        <f ca="1">IF(LOWER(Capacity!$L116)="x",IF(AND(SUMIF(Capacity_Resource,$D104,'Critical resources (hide)'!BL$6:BL$105)+SUMIF(Capacity_Resource,$E104,'Critical resources (hide)'!BL$6:BL$105)+SUMIF(Capacity_Resource,$F104,'Critical resources (hide)'!BL$6:BL$105)&gt;0,$E$1=2),0,1),0)</f>
        <v>1</v>
      </c>
      <c r="AZ104" s="67">
        <f ca="1">IF(LOWER(Capacity!$L116)="x",IF(AND(SUMIF(Capacity_Resource,$D104,'Critical resources (hide)'!BM$6:BM$105)+SUMIF(Capacity_Resource,$E104,'Critical resources (hide)'!BM$6:BM$105)+SUMIF(Capacity_Resource,$F104,'Critical resources (hide)'!BM$6:BM$105)&gt;0,$E$1=2),0,1),0)</f>
        <v>1</v>
      </c>
      <c r="BA104" s="67">
        <f ca="1">IF(LOWER(Capacity!$L116)="x",IF(AND(SUMIF(Capacity_Resource,$D104,'Critical resources (hide)'!BN$6:BN$105)+SUMIF(Capacity_Resource,$E104,'Critical resources (hide)'!BN$6:BN$105)+SUMIF(Capacity_Resource,$F104,'Critical resources (hide)'!BN$6:BN$105)&gt;0,$E$1=2),0,1),0)</f>
        <v>1</v>
      </c>
      <c r="BB104" s="67">
        <f ca="1">IF(LOWER(Capacity!$L116)="x",IF(AND(SUMIF(Capacity_Resource,$D104,'Critical resources (hide)'!BO$6:BO$105)+SUMIF(Capacity_Resource,$E104,'Critical resources (hide)'!BO$6:BO$105)+SUMIF(Capacity_Resource,$F104,'Critical resources (hide)'!BO$6:BO$105)&gt;0,$E$1=2),0,1),0)</f>
        <v>1</v>
      </c>
      <c r="BC104" s="67">
        <f ca="1">IF(LOWER(Capacity!$L116)="x",IF(AND(SUMIF(Capacity_Resource,$D104,'Critical resources (hide)'!BP$6:BP$105)+SUMIF(Capacity_Resource,$E104,'Critical resources (hide)'!BP$6:BP$105)+SUMIF(Capacity_Resource,$F104,'Critical resources (hide)'!BP$6:BP$105)&gt;0,$E$1=2),0,1),0)</f>
        <v>1</v>
      </c>
      <c r="BD104" s="67">
        <f ca="1">IF(LOWER(Capacity!$L116)="x",IF(AND(SUMIF(Capacity_Resource,$D104,'Critical resources (hide)'!BQ$6:BQ$105)+SUMIF(Capacity_Resource,$E104,'Critical resources (hide)'!BQ$6:BQ$105)+SUMIF(Capacity_Resource,$F104,'Critical resources (hide)'!BQ$6:BQ$105)&gt;0,$E$1=2),0,1),0)</f>
        <v>1</v>
      </c>
      <c r="BE104" s="67">
        <f ca="1">IF(LOWER(Capacity!$L116)="x",IF(AND(SUMIF(Capacity_Resource,$D104,'Critical resources (hide)'!BR$6:BR$105)+SUMIF(Capacity_Resource,$E104,'Critical resources (hide)'!BR$6:BR$105)+SUMIF(Capacity_Resource,$F104,'Critical resources (hide)'!BR$6:BR$105)&gt;0,$E$1=2),0,1),0)</f>
        <v>1</v>
      </c>
      <c r="BF104" s="67">
        <f ca="1">IF(LOWER(Capacity!$L116)="x",IF(AND(SUMIF(Capacity_Resource,$D104,'Critical resources (hide)'!BS$6:BS$105)+SUMIF(Capacity_Resource,$E104,'Critical resources (hide)'!BS$6:BS$105)+SUMIF(Capacity_Resource,$F104,'Critical resources (hide)'!BS$6:BS$105)&gt;0,$E$1=2),0,1),0)</f>
        <v>1</v>
      </c>
      <c r="BG104" s="67">
        <f ca="1">IF(LOWER(Capacity!$L116)="x",IF(AND(SUMIF(Capacity_Resource,$D104,'Critical resources (hide)'!BT$6:BT$105)+SUMIF(Capacity_Resource,$E104,'Critical resources (hide)'!BT$6:BT$105)+SUMIF(Capacity_Resource,$F104,'Critical resources (hide)'!BT$6:BT$105)&gt;0,$E$1=2),0,1),0)</f>
        <v>1</v>
      </c>
      <c r="BH104" s="67">
        <f>IF(ROW(C100)&lt;=Capacity!$A$16,IF('Capacity summary'!$D$14="No",SUM(H104:BG104),'Capacity summary'!$E223),0)</f>
        <v>0</v>
      </c>
      <c r="BI104" s="5" t="str">
        <f>IF(BH104&gt;0,IF(BH104&lt;Capacity!E116,Capacity!F116,Capacity!H116/'Capacity calculation (hide)'!BH104),"")</f>
        <v/>
      </c>
      <c r="BK104" s="311">
        <f>IF($BI104&lt;&gt;"",IF('Capacity summary'!$D$14="Yes",IF(COUNTBLANK('Capacity summary'!$H223:$BG223)&lt;52,IF('Capacity summary'!H223&lt;&gt;"",IF(LOWER('Capacity summary'!H223)="x",$BI104*H104,VALUE('Capacity summary'!H223)),0),H104*$BI104),H104*$BI104),0)</f>
        <v>0</v>
      </c>
      <c r="BL104" s="311">
        <f>IF($BI104&lt;&gt;"",IF('Capacity summary'!$D$14="Yes",IF(COUNTBLANK('Capacity summary'!$H223:$BG223)&lt;52,IF('Capacity summary'!I223&lt;&gt;"",IF(LOWER('Capacity summary'!I223)="x",$BI104*I104,VALUE('Capacity summary'!I223)),0),I104*$BI104),I104*$BI104),0)</f>
        <v>0</v>
      </c>
      <c r="BM104" s="311">
        <f>IF($BI104&lt;&gt;"",IF('Capacity summary'!$D$14="Yes",IF(COUNTBLANK('Capacity summary'!$H223:$BG223)&lt;52,IF('Capacity summary'!J223&lt;&gt;"",IF(LOWER('Capacity summary'!J223)="x",$BI104*J104,VALUE('Capacity summary'!J223)),0),J104*$BI104),J104*$BI104),0)</f>
        <v>0</v>
      </c>
      <c r="BN104" s="311">
        <f>IF($BI104&lt;&gt;"",IF('Capacity summary'!$D$14="Yes",IF(COUNTBLANK('Capacity summary'!$H223:$BG223)&lt;52,IF('Capacity summary'!K223&lt;&gt;"",IF(LOWER('Capacity summary'!K223)="x",$BI104*K104,VALUE('Capacity summary'!K223)),0),K104*$BI104),K104*$BI104),0)</f>
        <v>0</v>
      </c>
      <c r="BO104" s="311">
        <f>IF($BI104&lt;&gt;"",IF('Capacity summary'!$D$14="Yes",IF(COUNTBLANK('Capacity summary'!$H223:$BG223)&lt;52,IF('Capacity summary'!L223&lt;&gt;"",IF(LOWER('Capacity summary'!L223)="x",$BI104*L104,VALUE('Capacity summary'!L223)),0),L104*$BI104),L104*$BI104),0)</f>
        <v>0</v>
      </c>
      <c r="BP104" s="311">
        <f>IF($BI104&lt;&gt;"",IF('Capacity summary'!$D$14="Yes",IF(COUNTBLANK('Capacity summary'!$H223:$BG223)&lt;52,IF('Capacity summary'!M223&lt;&gt;"",IF(LOWER('Capacity summary'!M223)="x",$BI104*M104,VALUE('Capacity summary'!M223)),0),M104*$BI104),M104*$BI104),0)</f>
        <v>0</v>
      </c>
      <c r="BQ104" s="311">
        <f>IF($BI104&lt;&gt;"",IF('Capacity summary'!$D$14="Yes",IF(COUNTBLANK('Capacity summary'!$H223:$BG223)&lt;52,IF('Capacity summary'!N223&lt;&gt;"",IF(LOWER('Capacity summary'!N223)="x",$BI104*N104,VALUE('Capacity summary'!N223)),0),N104*$BI104),N104*$BI104),0)</f>
        <v>0</v>
      </c>
      <c r="BR104" s="311">
        <f>IF($BI104&lt;&gt;"",IF('Capacity summary'!$D$14="Yes",IF(COUNTBLANK('Capacity summary'!$H223:$BG223)&lt;52,IF('Capacity summary'!O223&lt;&gt;"",IF(LOWER('Capacity summary'!O223)="x",$BI104*O104,VALUE('Capacity summary'!O223)),0),O104*$BI104),O104*$BI104),0)</f>
        <v>0</v>
      </c>
      <c r="BS104" s="311">
        <f>IF($BI104&lt;&gt;"",IF('Capacity summary'!$D$14="Yes",IF(COUNTBLANK('Capacity summary'!$H223:$BG223)&lt;52,IF('Capacity summary'!P223&lt;&gt;"",IF(LOWER('Capacity summary'!P223)="x",$BI104*P104,VALUE('Capacity summary'!P223)),0),P104*$BI104),P104*$BI104),0)</f>
        <v>0</v>
      </c>
      <c r="BT104" s="311">
        <f>IF($BI104&lt;&gt;"",IF('Capacity summary'!$D$14="Yes",IF(COUNTBLANK('Capacity summary'!$H223:$BG223)&lt;52,IF('Capacity summary'!Q223&lt;&gt;"",IF(LOWER('Capacity summary'!Q223)="x",$BI104*Q104,VALUE('Capacity summary'!Q223)),0),Q104*$BI104),Q104*$BI104),0)</f>
        <v>0</v>
      </c>
      <c r="BU104" s="311">
        <f>IF($BI104&lt;&gt;"",IF('Capacity summary'!$D$14="Yes",IF(COUNTBLANK('Capacity summary'!$H223:$BG223)&lt;52,IF('Capacity summary'!R223&lt;&gt;"",IF(LOWER('Capacity summary'!R223)="x",$BI104*R104,VALUE('Capacity summary'!R223)),0),R104*$BI104),R104*$BI104),0)</f>
        <v>0</v>
      </c>
      <c r="BV104" s="311">
        <f>IF($BI104&lt;&gt;"",IF('Capacity summary'!$D$14="Yes",IF(COUNTBLANK('Capacity summary'!$H223:$BG223)&lt;52,IF('Capacity summary'!S223&lt;&gt;"",IF(LOWER('Capacity summary'!S223)="x",$BI104*S104,VALUE('Capacity summary'!S223)),0),S104*$BI104),S104*$BI104),0)</f>
        <v>0</v>
      </c>
      <c r="BW104" s="311">
        <f>IF($BI104&lt;&gt;"",IF('Capacity summary'!$D$14="Yes",IF(COUNTBLANK('Capacity summary'!$H223:$BG223)&lt;52,IF('Capacity summary'!T223&lt;&gt;"",IF(LOWER('Capacity summary'!T223)="x",$BI104*T104,VALUE('Capacity summary'!T223)),0),T104*$BI104),T104*$BI104),0)</f>
        <v>0</v>
      </c>
      <c r="BX104" s="311">
        <f>IF($BI104&lt;&gt;"",IF('Capacity summary'!$D$14="Yes",IF(COUNTBLANK('Capacity summary'!$H223:$BG223)&lt;52,IF('Capacity summary'!U223&lt;&gt;"",IF(LOWER('Capacity summary'!U223)="x",$BI104*U104,VALUE('Capacity summary'!U223)),0),U104*$BI104),U104*$BI104),0)</f>
        <v>0</v>
      </c>
      <c r="BY104" s="311">
        <f>IF($BI104&lt;&gt;"",IF('Capacity summary'!$D$14="Yes",IF(COUNTBLANK('Capacity summary'!$H223:$BG223)&lt;52,IF('Capacity summary'!V223&lt;&gt;"",IF(LOWER('Capacity summary'!V223)="x",$BI104*V104,VALUE('Capacity summary'!V223)),0),V104*$BI104),V104*$BI104),0)</f>
        <v>0</v>
      </c>
      <c r="BZ104" s="311">
        <f>IF($BI104&lt;&gt;"",IF('Capacity summary'!$D$14="Yes",IF(COUNTBLANK('Capacity summary'!$H223:$BG223)&lt;52,IF('Capacity summary'!W223&lt;&gt;"",IF(LOWER('Capacity summary'!W223)="x",$BI104*W104,VALUE('Capacity summary'!W223)),0),W104*$BI104),W104*$BI104),0)</f>
        <v>0</v>
      </c>
      <c r="CA104" s="311">
        <f>IF($BI104&lt;&gt;"",IF('Capacity summary'!$D$14="Yes",IF(COUNTBLANK('Capacity summary'!$H223:$BG223)&lt;52,IF('Capacity summary'!X223&lt;&gt;"",IF(LOWER('Capacity summary'!X223)="x",$BI104*X104,VALUE('Capacity summary'!X223)),0),X104*$BI104),X104*$BI104),0)</f>
        <v>0</v>
      </c>
      <c r="CB104" s="311">
        <f>IF($BI104&lt;&gt;"",IF('Capacity summary'!$D$14="Yes",IF(COUNTBLANK('Capacity summary'!$H223:$BG223)&lt;52,IF('Capacity summary'!Y223&lt;&gt;"",IF(LOWER('Capacity summary'!Y223)="x",$BI104*Y104,VALUE('Capacity summary'!Y223)),0),Y104*$BI104),Y104*$BI104),0)</f>
        <v>0</v>
      </c>
      <c r="CC104" s="311">
        <f>IF($BI104&lt;&gt;"",IF('Capacity summary'!$D$14="Yes",IF(COUNTBLANK('Capacity summary'!$H223:$BG223)&lt;52,IF('Capacity summary'!Z223&lt;&gt;"",IF(LOWER('Capacity summary'!Z223)="x",$BI104*Z104,VALUE('Capacity summary'!Z223)),0),Z104*$BI104),Z104*$BI104),0)</f>
        <v>0</v>
      </c>
      <c r="CD104" s="311">
        <f>IF($BI104&lt;&gt;"",IF('Capacity summary'!$D$14="Yes",IF(COUNTBLANK('Capacity summary'!$H223:$BG223)&lt;52,IF('Capacity summary'!AA223&lt;&gt;"",IF(LOWER('Capacity summary'!AA223)="x",$BI104*AA104,VALUE('Capacity summary'!AA223)),0),AA104*$BI104),AA104*$BI104),0)</f>
        <v>0</v>
      </c>
      <c r="CE104" s="311">
        <f>IF($BI104&lt;&gt;"",IF('Capacity summary'!$D$14="Yes",IF(COUNTBLANK('Capacity summary'!$H223:$BG223)&lt;52,IF('Capacity summary'!AB223&lt;&gt;"",IF(LOWER('Capacity summary'!AB223)="x",$BI104*AB104,VALUE('Capacity summary'!AB223)),0),AB104*$BI104),AB104*$BI104),0)</f>
        <v>0</v>
      </c>
      <c r="CF104" s="311">
        <f>IF($BI104&lt;&gt;"",IF('Capacity summary'!$D$14="Yes",IF(COUNTBLANK('Capacity summary'!$H223:$BG223)&lt;52,IF('Capacity summary'!AC223&lt;&gt;"",IF(LOWER('Capacity summary'!AC223)="x",$BI104*AC104,VALUE('Capacity summary'!AC223)),0),AC104*$BI104),AC104*$BI104),0)</f>
        <v>0</v>
      </c>
      <c r="CG104" s="311">
        <f>IF($BI104&lt;&gt;"",IF('Capacity summary'!$D$14="Yes",IF(COUNTBLANK('Capacity summary'!$H223:$BG223)&lt;52,IF('Capacity summary'!AD223&lt;&gt;"",IF(LOWER('Capacity summary'!AD223)="x",$BI104*AD104,VALUE('Capacity summary'!AD223)),0),AD104*$BI104),AD104*$BI104),0)</f>
        <v>0</v>
      </c>
      <c r="CH104" s="311">
        <f>IF($BI104&lt;&gt;"",IF('Capacity summary'!$D$14="Yes",IF(COUNTBLANK('Capacity summary'!$H223:$BG223)&lt;52,IF('Capacity summary'!AE223&lt;&gt;"",IF(LOWER('Capacity summary'!AE223)="x",$BI104*AE104,VALUE('Capacity summary'!AE223)),0),AE104*$BI104),AE104*$BI104),0)</f>
        <v>0</v>
      </c>
      <c r="CI104" s="311">
        <f>IF($BI104&lt;&gt;"",IF('Capacity summary'!$D$14="Yes",IF(COUNTBLANK('Capacity summary'!$H223:$BG223)&lt;52,IF('Capacity summary'!AF223&lt;&gt;"",IF(LOWER('Capacity summary'!AF223)="x",$BI104*AF104,VALUE('Capacity summary'!AF223)),0),AF104*$BI104),AF104*$BI104),0)</f>
        <v>0</v>
      </c>
      <c r="CJ104" s="311">
        <f>IF($BI104&lt;&gt;"",IF('Capacity summary'!$D$14="Yes",IF(COUNTBLANK('Capacity summary'!$H223:$BG223)&lt;52,IF('Capacity summary'!AG223&lt;&gt;"",IF(LOWER('Capacity summary'!AG223)="x",$BI104*AG104,VALUE('Capacity summary'!AG223)),0),AG104*$BI104),AG104*$BI104),0)</f>
        <v>0</v>
      </c>
      <c r="CK104" s="311">
        <f>IF($BI104&lt;&gt;"",IF('Capacity summary'!$D$14="Yes",IF(COUNTBLANK('Capacity summary'!$H223:$BG223)&lt;52,IF('Capacity summary'!AH223&lt;&gt;"",IF(LOWER('Capacity summary'!AH223)="x",$BI104*AH104,VALUE('Capacity summary'!AH223)),0),AH104*$BI104),AH104*$BI104),0)</f>
        <v>0</v>
      </c>
      <c r="CL104" s="311">
        <f>IF($BI104&lt;&gt;"",IF('Capacity summary'!$D$14="Yes",IF(COUNTBLANK('Capacity summary'!$H223:$BG223)&lt;52,IF('Capacity summary'!AI223&lt;&gt;"",IF(LOWER('Capacity summary'!AI223)="x",$BI104*AI104,VALUE('Capacity summary'!AI223)),0),AI104*$BI104),AI104*$BI104),0)</f>
        <v>0</v>
      </c>
      <c r="CM104" s="311">
        <f>IF($BI104&lt;&gt;"",IF('Capacity summary'!$D$14="Yes",IF(COUNTBLANK('Capacity summary'!$H223:$BG223)&lt;52,IF('Capacity summary'!AJ223&lt;&gt;"",IF(LOWER('Capacity summary'!AJ223)="x",$BI104*AJ104,VALUE('Capacity summary'!AJ223)),0),AJ104*$BI104),AJ104*$BI104),0)</f>
        <v>0</v>
      </c>
      <c r="CN104" s="311">
        <f>IF($BI104&lt;&gt;"",IF('Capacity summary'!$D$14="Yes",IF(COUNTBLANK('Capacity summary'!$H223:$BG223)&lt;52,IF('Capacity summary'!AK223&lt;&gt;"",IF(LOWER('Capacity summary'!AK223)="x",$BI104*AK104,VALUE('Capacity summary'!AK223)),0),AK104*$BI104),AK104*$BI104),0)</f>
        <v>0</v>
      </c>
      <c r="CO104" s="311">
        <f>IF($BI104&lt;&gt;"",IF('Capacity summary'!$D$14="Yes",IF(COUNTBLANK('Capacity summary'!$H223:$BG223)&lt;52,IF('Capacity summary'!AL223&lt;&gt;"",IF(LOWER('Capacity summary'!AL223)="x",$BI104*AL104,VALUE('Capacity summary'!AL223)),0),AL104*$BI104),AL104*$BI104),0)</f>
        <v>0</v>
      </c>
      <c r="CP104" s="311">
        <f>IF($BI104&lt;&gt;"",IF('Capacity summary'!$D$14="Yes",IF(COUNTBLANK('Capacity summary'!$H223:$BG223)&lt;52,IF('Capacity summary'!AM223&lt;&gt;"",IF(LOWER('Capacity summary'!AM223)="x",$BI104*AM104,VALUE('Capacity summary'!AM223)),0),AM104*$BI104),AM104*$BI104),0)</f>
        <v>0</v>
      </c>
      <c r="CQ104" s="311">
        <f>IF($BI104&lt;&gt;"",IF('Capacity summary'!$D$14="Yes",IF(COUNTBLANK('Capacity summary'!$H223:$BG223)&lt;52,IF('Capacity summary'!AN223&lt;&gt;"",IF(LOWER('Capacity summary'!AN223)="x",$BI104*AN104,VALUE('Capacity summary'!AN223)),0),AN104*$BI104),AN104*$BI104),0)</f>
        <v>0</v>
      </c>
      <c r="CR104" s="311">
        <f>IF($BI104&lt;&gt;"",IF('Capacity summary'!$D$14="Yes",IF(COUNTBLANK('Capacity summary'!$H223:$BG223)&lt;52,IF('Capacity summary'!AO223&lt;&gt;"",IF(LOWER('Capacity summary'!AO223)="x",$BI104*AO104,VALUE('Capacity summary'!AO223)),0),AO104*$BI104),AO104*$BI104),0)</f>
        <v>0</v>
      </c>
      <c r="CS104" s="311">
        <f>IF($BI104&lt;&gt;"",IF('Capacity summary'!$D$14="Yes",IF(COUNTBLANK('Capacity summary'!$H223:$BG223)&lt;52,IF('Capacity summary'!AP223&lt;&gt;"",IF(LOWER('Capacity summary'!AP223)="x",$BI104*AP104,VALUE('Capacity summary'!AP223)),0),AP104*$BI104),AP104*$BI104),0)</f>
        <v>0</v>
      </c>
      <c r="CT104" s="311">
        <f>IF($BI104&lt;&gt;"",IF('Capacity summary'!$D$14="Yes",IF(COUNTBLANK('Capacity summary'!$H223:$BG223)&lt;52,IF('Capacity summary'!AQ223&lt;&gt;"",IF(LOWER('Capacity summary'!AQ223)="x",$BI104*AQ104,VALUE('Capacity summary'!AQ223)),0),AQ104*$BI104),AQ104*$BI104),0)</f>
        <v>0</v>
      </c>
      <c r="CU104" s="311">
        <f>IF($BI104&lt;&gt;"",IF('Capacity summary'!$D$14="Yes",IF(COUNTBLANK('Capacity summary'!$H223:$BG223)&lt;52,IF('Capacity summary'!AR223&lt;&gt;"",IF(LOWER('Capacity summary'!AR223)="x",$BI104*AR104,VALUE('Capacity summary'!AR223)),0),AR104*$BI104),AR104*$BI104),0)</f>
        <v>0</v>
      </c>
      <c r="CV104" s="311">
        <f>IF($BI104&lt;&gt;"",IF('Capacity summary'!$D$14="Yes",IF(COUNTBLANK('Capacity summary'!$H223:$BG223)&lt;52,IF('Capacity summary'!AS223&lt;&gt;"",IF(LOWER('Capacity summary'!AS223)="x",$BI104*AS104,VALUE('Capacity summary'!AS223)),0),AS104*$BI104),AS104*$BI104),0)</f>
        <v>0</v>
      </c>
      <c r="CW104" s="311">
        <f>IF($BI104&lt;&gt;"",IF('Capacity summary'!$D$14="Yes",IF(COUNTBLANK('Capacity summary'!$H223:$BG223)&lt;52,IF('Capacity summary'!AT223&lt;&gt;"",IF(LOWER('Capacity summary'!AT223)="x",$BI104*AT104,VALUE('Capacity summary'!AT223)),0),AT104*$BI104),AT104*$BI104),0)</f>
        <v>0</v>
      </c>
      <c r="CX104" s="311">
        <f>IF($BI104&lt;&gt;"",IF('Capacity summary'!$D$14="Yes",IF(COUNTBLANK('Capacity summary'!$H223:$BG223)&lt;52,IF('Capacity summary'!AU223&lt;&gt;"",IF(LOWER('Capacity summary'!AU223)="x",$BI104*AU104,VALUE('Capacity summary'!AU223)),0),AU104*$BI104),AU104*$BI104),0)</f>
        <v>0</v>
      </c>
      <c r="CY104" s="311">
        <f>IF($BI104&lt;&gt;"",IF('Capacity summary'!$D$14="Yes",IF(COUNTBLANK('Capacity summary'!$H223:$BG223)&lt;52,IF('Capacity summary'!AV223&lt;&gt;"",IF(LOWER('Capacity summary'!AV223)="x",$BI104*AV104,VALUE('Capacity summary'!AV223)),0),AV104*$BI104),AV104*$BI104),0)</f>
        <v>0</v>
      </c>
      <c r="CZ104" s="311">
        <f>IF($BI104&lt;&gt;"",IF('Capacity summary'!$D$14="Yes",IF(COUNTBLANK('Capacity summary'!$H223:$BG223)&lt;52,IF('Capacity summary'!AW223&lt;&gt;"",IF(LOWER('Capacity summary'!AW223)="x",$BI104*AW104,VALUE('Capacity summary'!AW223)),0),AW104*$BI104),AW104*$BI104),0)</f>
        <v>0</v>
      </c>
      <c r="DA104" s="311">
        <f>IF($BI104&lt;&gt;"",IF('Capacity summary'!$D$14="Yes",IF(COUNTBLANK('Capacity summary'!$H223:$BG223)&lt;52,IF('Capacity summary'!AX223&lt;&gt;"",IF(LOWER('Capacity summary'!AX223)="x",$BI104*AX104,VALUE('Capacity summary'!AX223)),0),AX104*$BI104),AX104*$BI104),0)</f>
        <v>0</v>
      </c>
      <c r="DB104" s="311">
        <f>IF($BI104&lt;&gt;"",IF('Capacity summary'!$D$14="Yes",IF(COUNTBLANK('Capacity summary'!$H223:$BG223)&lt;52,IF('Capacity summary'!AY223&lt;&gt;"",IF(LOWER('Capacity summary'!AY223)="x",$BI104*AY104,VALUE('Capacity summary'!AY223)),0),AY104*$BI104),AY104*$BI104),0)</f>
        <v>0</v>
      </c>
      <c r="DC104" s="311">
        <f>IF($BI104&lt;&gt;"",IF('Capacity summary'!$D$14="Yes",IF(COUNTBLANK('Capacity summary'!$H223:$BG223)&lt;52,IF('Capacity summary'!AZ223&lt;&gt;"",IF(LOWER('Capacity summary'!AZ223)="x",$BI104*AZ104,VALUE('Capacity summary'!AZ223)),0),AZ104*$BI104),AZ104*$BI104),0)</f>
        <v>0</v>
      </c>
      <c r="DD104" s="311">
        <f>IF($BI104&lt;&gt;"",IF('Capacity summary'!$D$14="Yes",IF(COUNTBLANK('Capacity summary'!$H223:$BG223)&lt;52,IF('Capacity summary'!BA223&lt;&gt;"",IF(LOWER('Capacity summary'!BA223)="x",$BI104*BA104,VALUE('Capacity summary'!BA223)),0),BA104*$BI104),BA104*$BI104),0)</f>
        <v>0</v>
      </c>
      <c r="DE104" s="311">
        <f>IF($BI104&lt;&gt;"",IF('Capacity summary'!$D$14="Yes",IF(COUNTBLANK('Capacity summary'!$H223:$BG223)&lt;52,IF('Capacity summary'!BB223&lt;&gt;"",IF(LOWER('Capacity summary'!BB223)="x",$BI104*BB104,VALUE('Capacity summary'!BB223)),0),BB104*$BI104),BB104*$BI104),0)</f>
        <v>0</v>
      </c>
      <c r="DF104" s="311">
        <f>IF($BI104&lt;&gt;"",IF('Capacity summary'!$D$14="Yes",IF(COUNTBLANK('Capacity summary'!$H223:$BG223)&lt;52,IF('Capacity summary'!BC223&lt;&gt;"",IF(LOWER('Capacity summary'!BC223)="x",$BI104*BC104,VALUE('Capacity summary'!BC223)),0),BC104*$BI104),BC104*$BI104),0)</f>
        <v>0</v>
      </c>
      <c r="DG104" s="311">
        <f>IF($BI104&lt;&gt;"",IF('Capacity summary'!$D$14="Yes",IF(COUNTBLANK('Capacity summary'!$H223:$BG223)&lt;52,IF('Capacity summary'!BD223&lt;&gt;"",IF(LOWER('Capacity summary'!BD223)="x",$BI104*BD104,VALUE('Capacity summary'!BD223)),0),BD104*$BI104),BD104*$BI104),0)</f>
        <v>0</v>
      </c>
      <c r="DH104" s="311">
        <f>IF($BI104&lt;&gt;"",IF('Capacity summary'!$D$14="Yes",IF(COUNTBLANK('Capacity summary'!$H223:$BG223)&lt;52,IF('Capacity summary'!BE223&lt;&gt;"",IF(LOWER('Capacity summary'!BE223)="x",$BI104*BE104,VALUE('Capacity summary'!BE223)),0),BE104*$BI104),BE104*$BI104),0)</f>
        <v>0</v>
      </c>
      <c r="DI104" s="311">
        <f>IF($BI104&lt;&gt;"",IF('Capacity summary'!$D$14="Yes",IF(COUNTBLANK('Capacity summary'!$H223:$BG223)&lt;52,IF('Capacity summary'!BF223&lt;&gt;"",IF(LOWER('Capacity summary'!BF223)="x",$BI104*BF104,VALUE('Capacity summary'!BF223)),0),BF104*$BI104),BF104*$BI104),0)</f>
        <v>0</v>
      </c>
      <c r="DJ104" s="311">
        <f>IF($BI104&lt;&gt;"",IF('Capacity summary'!$D$14="Yes",IF(COUNTBLANK('Capacity summary'!$H223:$BG223)&lt;52,IF('Capacity summary'!BG223&lt;&gt;"",IF(LOWER('Capacity summary'!BG223)="x",$BI104*BG104,VALUE('Capacity summary'!BG223)),0),BG104*$BI104),BG104*$BI104),0)</f>
        <v>0</v>
      </c>
      <c r="DK104" s="391">
        <f t="shared" si="4"/>
        <v>0</v>
      </c>
      <c r="DL104" s="136">
        <f t="shared" si="5"/>
        <v>0</v>
      </c>
      <c r="DM104" s="311" t="str">
        <f>Capacity!H116</f>
        <v/>
      </c>
    </row>
    <row r="105" spans="1:117" x14ac:dyDescent="0.2">
      <c r="B105" s="67"/>
    </row>
    <row r="106" spans="1:117" x14ac:dyDescent="0.2">
      <c r="B106" s="67"/>
    </row>
    <row r="107" spans="1:117" x14ac:dyDescent="0.2">
      <c r="B107" s="67"/>
    </row>
    <row r="108" spans="1:117" x14ac:dyDescent="0.2">
      <c r="B108" s="67"/>
      <c r="H108" s="67" t="s">
        <v>455</v>
      </c>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67"/>
      <c r="BI108" s="67"/>
    </row>
    <row r="109" spans="1:117" ht="15" x14ac:dyDescent="0.25">
      <c r="B109" s="67"/>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488</v>
      </c>
      <c r="BI109" s="2" t="s">
        <v>456</v>
      </c>
      <c r="BJ109" s="2" t="s">
        <v>457</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390">
        <v>53</v>
      </c>
      <c r="DL109" s="2" t="s">
        <v>462</v>
      </c>
    </row>
    <row r="110" spans="1:117" x14ac:dyDescent="0.2">
      <c r="C110" t="s">
        <v>466</v>
      </c>
      <c r="H110" s="67"/>
      <c r="BJ110"/>
      <c r="BK110">
        <f ca="1">BK3</f>
        <v>32</v>
      </c>
      <c r="BL110" s="67">
        <f t="shared" ref="BL110:DJ110" ca="1" si="6">BL3</f>
        <v>33</v>
      </c>
      <c r="BM110" s="67">
        <f t="shared" ca="1" si="6"/>
        <v>34</v>
      </c>
      <c r="BN110" s="67">
        <f t="shared" ca="1" si="6"/>
        <v>35</v>
      </c>
      <c r="BO110" s="67">
        <f t="shared" ca="1" si="6"/>
        <v>36</v>
      </c>
      <c r="BP110" s="67">
        <f t="shared" ca="1" si="6"/>
        <v>37</v>
      </c>
      <c r="BQ110" s="67">
        <f t="shared" ca="1" si="6"/>
        <v>38</v>
      </c>
      <c r="BR110" s="67">
        <f t="shared" ca="1" si="6"/>
        <v>39</v>
      </c>
      <c r="BS110" s="67">
        <f t="shared" ca="1" si="6"/>
        <v>40</v>
      </c>
      <c r="BT110" s="67">
        <f t="shared" ca="1" si="6"/>
        <v>41</v>
      </c>
      <c r="BU110" s="67">
        <f t="shared" ca="1" si="6"/>
        <v>42</v>
      </c>
      <c r="BV110" s="67">
        <f t="shared" ca="1" si="6"/>
        <v>43</v>
      </c>
      <c r="BW110" s="67">
        <f t="shared" ca="1" si="6"/>
        <v>44</v>
      </c>
      <c r="BX110" s="67">
        <f t="shared" ca="1" si="6"/>
        <v>45</v>
      </c>
      <c r="BY110" s="67">
        <f t="shared" ca="1" si="6"/>
        <v>46</v>
      </c>
      <c r="BZ110" s="67">
        <f t="shared" ca="1" si="6"/>
        <v>47</v>
      </c>
      <c r="CA110" s="67">
        <f t="shared" ca="1" si="6"/>
        <v>48</v>
      </c>
      <c r="CB110" s="67">
        <f t="shared" ca="1" si="6"/>
        <v>49</v>
      </c>
      <c r="CC110" s="67">
        <f t="shared" ca="1" si="6"/>
        <v>50</v>
      </c>
      <c r="CD110" s="67">
        <f t="shared" ca="1" si="6"/>
        <v>51</v>
      </c>
      <c r="CE110" s="67">
        <f t="shared" ca="1" si="6"/>
        <v>52</v>
      </c>
      <c r="CF110" s="67">
        <f t="shared" ca="1" si="6"/>
        <v>1</v>
      </c>
      <c r="CG110" s="67">
        <f t="shared" ca="1" si="6"/>
        <v>2</v>
      </c>
      <c r="CH110" s="67">
        <f t="shared" ca="1" si="6"/>
        <v>3</v>
      </c>
      <c r="CI110" s="67">
        <f t="shared" ca="1" si="6"/>
        <v>4</v>
      </c>
      <c r="CJ110" s="67">
        <f t="shared" ca="1" si="6"/>
        <v>5</v>
      </c>
      <c r="CK110" s="67">
        <f t="shared" ca="1" si="6"/>
        <v>6</v>
      </c>
      <c r="CL110" s="67">
        <f t="shared" ca="1" si="6"/>
        <v>7</v>
      </c>
      <c r="CM110" s="67">
        <f t="shared" ca="1" si="6"/>
        <v>8</v>
      </c>
      <c r="CN110" s="67">
        <f t="shared" ca="1" si="6"/>
        <v>9</v>
      </c>
      <c r="CO110" s="67">
        <f t="shared" ca="1" si="6"/>
        <v>10</v>
      </c>
      <c r="CP110" s="67">
        <f t="shared" ca="1" si="6"/>
        <v>11</v>
      </c>
      <c r="CQ110" s="67">
        <f t="shared" ca="1" si="6"/>
        <v>12</v>
      </c>
      <c r="CR110" s="67">
        <f t="shared" ca="1" si="6"/>
        <v>13</v>
      </c>
      <c r="CS110" s="67">
        <f t="shared" ca="1" si="6"/>
        <v>14</v>
      </c>
      <c r="CT110" s="67">
        <f t="shared" ca="1" si="6"/>
        <v>15</v>
      </c>
      <c r="CU110" s="67">
        <f t="shared" ca="1" si="6"/>
        <v>16</v>
      </c>
      <c r="CV110" s="67">
        <f t="shared" ca="1" si="6"/>
        <v>17</v>
      </c>
      <c r="CW110" s="67">
        <f t="shared" ca="1" si="6"/>
        <v>18</v>
      </c>
      <c r="CX110" s="67">
        <f t="shared" ca="1" si="6"/>
        <v>19</v>
      </c>
      <c r="CY110" s="67">
        <f t="shared" ca="1" si="6"/>
        <v>20</v>
      </c>
      <c r="CZ110" s="67">
        <f t="shared" ca="1" si="6"/>
        <v>21</v>
      </c>
      <c r="DA110" s="67">
        <f t="shared" ca="1" si="6"/>
        <v>22</v>
      </c>
      <c r="DB110" s="67">
        <f t="shared" ca="1" si="6"/>
        <v>23</v>
      </c>
      <c r="DC110" s="67">
        <f t="shared" ca="1" si="6"/>
        <v>24</v>
      </c>
      <c r="DD110" s="67">
        <f t="shared" ca="1" si="6"/>
        <v>25</v>
      </c>
      <c r="DE110" s="67">
        <f t="shared" ca="1" si="6"/>
        <v>26</v>
      </c>
      <c r="DF110" s="67">
        <f t="shared" ca="1" si="6"/>
        <v>27</v>
      </c>
      <c r="DG110" s="67">
        <f t="shared" ca="1" si="6"/>
        <v>28</v>
      </c>
      <c r="DH110" s="67">
        <f t="shared" ca="1" si="6"/>
        <v>29</v>
      </c>
      <c r="DI110" s="67">
        <f t="shared" ca="1" si="6"/>
        <v>30</v>
      </c>
      <c r="DJ110" s="67">
        <f t="shared" ca="1" si="6"/>
        <v>31</v>
      </c>
      <c r="DK110" s="375">
        <f ca="1">DJ110+1</f>
        <v>32</v>
      </c>
    </row>
    <row r="111" spans="1:117" x14ac:dyDescent="0.2">
      <c r="C111" t="s">
        <v>57</v>
      </c>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J111"/>
      <c r="BK111" s="5">
        <f>SUM(BK112:BK211)</f>
        <v>0</v>
      </c>
      <c r="BL111" s="5">
        <f t="shared" ref="BL111:DJ111" si="7">SUM(BL112:BL211)</f>
        <v>0</v>
      </c>
      <c r="BM111" s="5">
        <f t="shared" si="7"/>
        <v>0</v>
      </c>
      <c r="BN111" s="5">
        <f t="shared" si="7"/>
        <v>0</v>
      </c>
      <c r="BO111" s="5">
        <f t="shared" si="7"/>
        <v>0</v>
      </c>
      <c r="BP111" s="5">
        <f t="shared" si="7"/>
        <v>0</v>
      </c>
      <c r="BQ111" s="5">
        <f t="shared" si="7"/>
        <v>0</v>
      </c>
      <c r="BR111" s="5">
        <f t="shared" si="7"/>
        <v>0</v>
      </c>
      <c r="BS111" s="5">
        <f t="shared" si="7"/>
        <v>0</v>
      </c>
      <c r="BT111" s="5">
        <f t="shared" si="7"/>
        <v>0</v>
      </c>
      <c r="BU111" s="5">
        <f t="shared" si="7"/>
        <v>0</v>
      </c>
      <c r="BV111" s="5">
        <f t="shared" si="7"/>
        <v>0</v>
      </c>
      <c r="BW111" s="5">
        <f t="shared" si="7"/>
        <v>0</v>
      </c>
      <c r="BX111" s="5">
        <f t="shared" si="7"/>
        <v>0</v>
      </c>
      <c r="BY111" s="5">
        <f t="shared" si="7"/>
        <v>0</v>
      </c>
      <c r="BZ111" s="5">
        <f t="shared" si="7"/>
        <v>0</v>
      </c>
      <c r="CA111" s="5">
        <f t="shared" si="7"/>
        <v>0</v>
      </c>
      <c r="CB111" s="5">
        <f t="shared" si="7"/>
        <v>0</v>
      </c>
      <c r="CC111" s="5">
        <f t="shared" si="7"/>
        <v>0</v>
      </c>
      <c r="CD111" s="5">
        <f t="shared" si="7"/>
        <v>0</v>
      </c>
      <c r="CE111" s="5">
        <f t="shared" si="7"/>
        <v>0</v>
      </c>
      <c r="CF111" s="5">
        <f t="shared" si="7"/>
        <v>0</v>
      </c>
      <c r="CG111" s="5">
        <f t="shared" si="7"/>
        <v>0</v>
      </c>
      <c r="CH111" s="5">
        <f t="shared" si="7"/>
        <v>0</v>
      </c>
      <c r="CI111" s="5">
        <f t="shared" si="7"/>
        <v>0</v>
      </c>
      <c r="CJ111" s="5">
        <f t="shared" si="7"/>
        <v>0</v>
      </c>
      <c r="CK111" s="5">
        <f t="shared" si="7"/>
        <v>0</v>
      </c>
      <c r="CL111" s="5">
        <f t="shared" si="7"/>
        <v>0</v>
      </c>
      <c r="CM111" s="5">
        <f t="shared" si="7"/>
        <v>0</v>
      </c>
      <c r="CN111" s="5">
        <f t="shared" si="7"/>
        <v>0</v>
      </c>
      <c r="CO111" s="5">
        <f t="shared" si="7"/>
        <v>0</v>
      </c>
      <c r="CP111" s="5">
        <f t="shared" si="7"/>
        <v>0</v>
      </c>
      <c r="CQ111" s="5">
        <f t="shared" si="7"/>
        <v>0</v>
      </c>
      <c r="CR111" s="5">
        <f t="shared" si="7"/>
        <v>0</v>
      </c>
      <c r="CS111" s="5">
        <f t="shared" si="7"/>
        <v>0</v>
      </c>
      <c r="CT111" s="5">
        <f t="shared" si="7"/>
        <v>0</v>
      </c>
      <c r="CU111" s="5">
        <f t="shared" si="7"/>
        <v>0</v>
      </c>
      <c r="CV111" s="5">
        <f t="shared" si="7"/>
        <v>0</v>
      </c>
      <c r="CW111" s="5">
        <f t="shared" si="7"/>
        <v>0</v>
      </c>
      <c r="CX111" s="5">
        <f t="shared" si="7"/>
        <v>0</v>
      </c>
      <c r="CY111" s="5">
        <f t="shared" si="7"/>
        <v>0</v>
      </c>
      <c r="CZ111" s="5">
        <f t="shared" si="7"/>
        <v>0</v>
      </c>
      <c r="DA111" s="5">
        <f t="shared" si="7"/>
        <v>0</v>
      </c>
      <c r="DB111" s="5">
        <f t="shared" si="7"/>
        <v>0</v>
      </c>
      <c r="DC111" s="5">
        <f t="shared" si="7"/>
        <v>0</v>
      </c>
      <c r="DD111" s="5">
        <f t="shared" si="7"/>
        <v>0</v>
      </c>
      <c r="DE111" s="5">
        <f t="shared" si="7"/>
        <v>0</v>
      </c>
      <c r="DF111" s="5">
        <f t="shared" si="7"/>
        <v>0</v>
      </c>
      <c r="DG111" s="5">
        <f t="shared" si="7"/>
        <v>0</v>
      </c>
      <c r="DH111" s="5">
        <f t="shared" si="7"/>
        <v>0</v>
      </c>
      <c r="DI111" s="5">
        <f t="shared" si="7"/>
        <v>0</v>
      </c>
      <c r="DJ111" s="5">
        <f t="shared" si="7"/>
        <v>0</v>
      </c>
      <c r="DK111" s="391">
        <f>DJ111</f>
        <v>0</v>
      </c>
      <c r="DL111" s="5">
        <f>SUM(BK111:DK111)</f>
        <v>0</v>
      </c>
    </row>
    <row r="112" spans="1:117" x14ac:dyDescent="0.2">
      <c r="C112" t="str">
        <f>ROW(A1)&amp;". "&amp;Capacity!N17</f>
        <v xml:space="preserve">1. </v>
      </c>
      <c r="D112" t="str">
        <f>'Capacity setup'!C118</f>
        <v>3. CT Scanner 1</v>
      </c>
      <c r="E112" s="67">
        <f>'Capacity setup'!D118</f>
        <v>0</v>
      </c>
      <c r="F112" s="67">
        <f>'Capacity setup'!E118</f>
        <v>0</v>
      </c>
      <c r="H112" s="67">
        <f ca="1">IF(LOWER(Capacity!$V17)="x",IF(AND(SUMIF(Capacity_Resource,$D112,'Critical resources (hide)'!U$6:U$105)+SUMIF(Capacity_Resource,$E112,'Critical resources (hide)'!U$6:U$105)+SUMIF(Capacity_Resource,$F112,'Critical resources (hide)'!U$6:U$105)&gt;0,$E$1=2),0,1),0)</f>
        <v>1</v>
      </c>
      <c r="I112" s="67">
        <f ca="1">IF(LOWER(Capacity!$V17)="x",IF(AND(SUMIF(Capacity_Resource,$D112,'Critical resources (hide)'!V$6:V$105)+SUMIF(Capacity_Resource,$E112,'Critical resources (hide)'!V$6:V$105)+SUMIF(Capacity_Resource,$F112,'Critical resources (hide)'!V$6:V$105)&gt;0,$E$1=2),0,1),0)</f>
        <v>1</v>
      </c>
      <c r="J112" s="67">
        <f ca="1">IF(LOWER(Capacity!$V17)="x",IF(AND(SUMIF(Capacity_Resource,$D112,'Critical resources (hide)'!W$6:W$105)+SUMIF(Capacity_Resource,$E112,'Critical resources (hide)'!W$6:W$105)+SUMIF(Capacity_Resource,$F112,'Critical resources (hide)'!W$6:W$105)&gt;0,$E$1=2),0,1),0)</f>
        <v>1</v>
      </c>
      <c r="K112" s="67">
        <f ca="1">IF(LOWER(Capacity!$V17)="x",IF(AND(SUMIF(Capacity_Resource,$D112,'Critical resources (hide)'!X$6:X$105)+SUMIF(Capacity_Resource,$E112,'Critical resources (hide)'!X$6:X$105)+SUMIF(Capacity_Resource,$F112,'Critical resources (hide)'!X$6:X$105)&gt;0,$E$1=2),0,1),0)</f>
        <v>1</v>
      </c>
      <c r="L112" s="67">
        <f ca="1">IF(LOWER(Capacity!$V17)="x",IF(AND(SUMIF(Capacity_Resource,$D112,'Critical resources (hide)'!Y$6:Y$105)+SUMIF(Capacity_Resource,$E112,'Critical resources (hide)'!Y$6:Y$105)+SUMIF(Capacity_Resource,$F112,'Critical resources (hide)'!Y$6:Y$105)&gt;0,$E$1=2),0,1),0)</f>
        <v>1</v>
      </c>
      <c r="M112" s="67">
        <f ca="1">IF(LOWER(Capacity!$V17)="x",IF(AND(SUMIF(Capacity_Resource,$D112,'Critical resources (hide)'!Z$6:Z$105)+SUMIF(Capacity_Resource,$E112,'Critical resources (hide)'!Z$6:Z$105)+SUMIF(Capacity_Resource,$F112,'Critical resources (hide)'!Z$6:Z$105)&gt;0,$E$1=2),0,1),0)</f>
        <v>1</v>
      </c>
      <c r="N112" s="67">
        <f ca="1">IF(LOWER(Capacity!$V17)="x",IF(AND(SUMIF(Capacity_Resource,$D112,'Critical resources (hide)'!AA$6:AA$105)+SUMIF(Capacity_Resource,$E112,'Critical resources (hide)'!AA$6:AA$105)+SUMIF(Capacity_Resource,$F112,'Critical resources (hide)'!AA$6:AA$105)&gt;0,$E$1=2),0,1),0)</f>
        <v>1</v>
      </c>
      <c r="O112" s="67">
        <f ca="1">IF(LOWER(Capacity!$V17)="x",IF(AND(SUMIF(Capacity_Resource,$D112,'Critical resources (hide)'!AB$6:AB$105)+SUMIF(Capacity_Resource,$E112,'Critical resources (hide)'!AB$6:AB$105)+SUMIF(Capacity_Resource,$F112,'Critical resources (hide)'!AB$6:AB$105)&gt;0,$E$1=2),0,1),0)</f>
        <v>1</v>
      </c>
      <c r="P112" s="67">
        <f ca="1">IF(LOWER(Capacity!$V17)="x",IF(AND(SUMIF(Capacity_Resource,$D112,'Critical resources (hide)'!AC$6:AC$105)+SUMIF(Capacity_Resource,$E112,'Critical resources (hide)'!AC$6:AC$105)+SUMIF(Capacity_Resource,$F112,'Critical resources (hide)'!AC$6:AC$105)&gt;0,$E$1=2),0,1),0)</f>
        <v>1</v>
      </c>
      <c r="Q112" s="67">
        <f ca="1">IF(LOWER(Capacity!$V17)="x",IF(AND(SUMIF(Capacity_Resource,$D112,'Critical resources (hide)'!AD$6:AD$105)+SUMIF(Capacity_Resource,$E112,'Critical resources (hide)'!AD$6:AD$105)+SUMIF(Capacity_Resource,$F112,'Critical resources (hide)'!AD$6:AD$105)&gt;0,$E$1=2),0,1),0)</f>
        <v>1</v>
      </c>
      <c r="R112" s="67">
        <f ca="1">IF(LOWER(Capacity!$V17)="x",IF(AND(SUMIF(Capacity_Resource,$D112,'Critical resources (hide)'!AE$6:AE$105)+SUMIF(Capacity_Resource,$E112,'Critical resources (hide)'!AE$6:AE$105)+SUMIF(Capacity_Resource,$F112,'Critical resources (hide)'!AE$6:AE$105)&gt;0,$E$1=2),0,1),0)</f>
        <v>1</v>
      </c>
      <c r="S112" s="67">
        <f ca="1">IF(LOWER(Capacity!$V17)="x",IF(AND(SUMIF(Capacity_Resource,$D112,'Critical resources (hide)'!AF$6:AF$105)+SUMIF(Capacity_Resource,$E112,'Critical resources (hide)'!AF$6:AF$105)+SUMIF(Capacity_Resource,$F112,'Critical resources (hide)'!AF$6:AF$105)&gt;0,$E$1=2),0,1),0)</f>
        <v>1</v>
      </c>
      <c r="T112" s="67">
        <f ca="1">IF(LOWER(Capacity!$V17)="x",IF(AND(SUMIF(Capacity_Resource,$D112,'Critical resources (hide)'!AG$6:AG$105)+SUMIF(Capacity_Resource,$E112,'Critical resources (hide)'!AG$6:AG$105)+SUMIF(Capacity_Resource,$F112,'Critical resources (hide)'!AG$6:AG$105)&gt;0,$E$1=2),0,1),0)</f>
        <v>1</v>
      </c>
      <c r="U112" s="67">
        <f ca="1">IF(LOWER(Capacity!$V17)="x",IF(AND(SUMIF(Capacity_Resource,$D112,'Critical resources (hide)'!AH$6:AH$105)+SUMIF(Capacity_Resource,$E112,'Critical resources (hide)'!AH$6:AH$105)+SUMIF(Capacity_Resource,$F112,'Critical resources (hide)'!AH$6:AH$105)&gt;0,$E$1=2),0,1),0)</f>
        <v>1</v>
      </c>
      <c r="V112" s="67">
        <f ca="1">IF(LOWER(Capacity!$V17)="x",IF(AND(SUMIF(Capacity_Resource,$D112,'Critical resources (hide)'!AI$6:AI$105)+SUMIF(Capacity_Resource,$E112,'Critical resources (hide)'!AI$6:AI$105)+SUMIF(Capacity_Resource,$F112,'Critical resources (hide)'!AI$6:AI$105)&gt;0,$E$1=2),0,1),0)</f>
        <v>1</v>
      </c>
      <c r="W112" s="67">
        <f ca="1">IF(LOWER(Capacity!$V17)="x",IF(AND(SUMIF(Capacity_Resource,$D112,'Critical resources (hide)'!AJ$6:AJ$105)+SUMIF(Capacity_Resource,$E112,'Critical resources (hide)'!AJ$6:AJ$105)+SUMIF(Capacity_Resource,$F112,'Critical resources (hide)'!AJ$6:AJ$105)&gt;0,$E$1=2),0,1),0)</f>
        <v>1</v>
      </c>
      <c r="X112" s="67">
        <f ca="1">IF(LOWER(Capacity!$V17)="x",IF(AND(SUMIF(Capacity_Resource,$D112,'Critical resources (hide)'!AK$6:AK$105)+SUMIF(Capacity_Resource,$E112,'Critical resources (hide)'!AK$6:AK$105)+SUMIF(Capacity_Resource,$F112,'Critical resources (hide)'!AK$6:AK$105)&gt;0,$E$1=2),0,1),0)</f>
        <v>1</v>
      </c>
      <c r="Y112" s="67">
        <f ca="1">IF(LOWER(Capacity!$V17)="x",IF(AND(SUMIF(Capacity_Resource,$D112,'Critical resources (hide)'!AL$6:AL$105)+SUMIF(Capacity_Resource,$E112,'Critical resources (hide)'!AL$6:AL$105)+SUMIF(Capacity_Resource,$F112,'Critical resources (hide)'!AL$6:AL$105)&gt;0,$E$1=2),0,1),0)</f>
        <v>1</v>
      </c>
      <c r="Z112" s="67">
        <f ca="1">IF(LOWER(Capacity!$V17)="x",IF(AND(SUMIF(Capacity_Resource,$D112,'Critical resources (hide)'!AM$6:AM$105)+SUMIF(Capacity_Resource,$E112,'Critical resources (hide)'!AM$6:AM$105)+SUMIF(Capacity_Resource,$F112,'Critical resources (hide)'!AM$6:AM$105)&gt;0,$E$1=2),0,1),0)</f>
        <v>1</v>
      </c>
      <c r="AA112" s="67">
        <f ca="1">IF(LOWER(Capacity!$V17)="x",IF(AND(SUMIF(Capacity_Resource,$D112,'Critical resources (hide)'!AN$6:AN$105)+SUMIF(Capacity_Resource,$E112,'Critical resources (hide)'!AN$6:AN$105)+SUMIF(Capacity_Resource,$F112,'Critical resources (hide)'!AN$6:AN$105)&gt;0,$E$1=2),0,1),0)</f>
        <v>1</v>
      </c>
      <c r="AB112" s="67">
        <f ca="1">IF(LOWER(Capacity!$V17)="x",IF(AND(SUMIF(Capacity_Resource,$D112,'Critical resources (hide)'!AO$6:AO$105)+SUMIF(Capacity_Resource,$E112,'Critical resources (hide)'!AO$6:AO$105)+SUMIF(Capacity_Resource,$F112,'Critical resources (hide)'!AO$6:AO$105)&gt;0,$E$1=2),0,1),0)</f>
        <v>1</v>
      </c>
      <c r="AC112" s="67">
        <f ca="1">IF(LOWER(Capacity!$V17)="x",IF(AND(SUMIF(Capacity_Resource,$D112,'Critical resources (hide)'!AP$6:AP$105)+SUMIF(Capacity_Resource,$E112,'Critical resources (hide)'!AP$6:AP$105)+SUMIF(Capacity_Resource,$F112,'Critical resources (hide)'!AP$6:AP$105)&gt;0,$E$1=2),0,1),0)</f>
        <v>1</v>
      </c>
      <c r="AD112" s="67">
        <f ca="1">IF(LOWER(Capacity!$V17)="x",IF(AND(SUMIF(Capacity_Resource,$D112,'Critical resources (hide)'!AQ$6:AQ$105)+SUMIF(Capacity_Resource,$E112,'Critical resources (hide)'!AQ$6:AQ$105)+SUMIF(Capacity_Resource,$F112,'Critical resources (hide)'!AQ$6:AQ$105)&gt;0,$E$1=2),0,1),0)</f>
        <v>1</v>
      </c>
      <c r="AE112" s="67">
        <f ca="1">IF(LOWER(Capacity!$V17)="x",IF(AND(SUMIF(Capacity_Resource,$D112,'Critical resources (hide)'!AR$6:AR$105)+SUMIF(Capacity_Resource,$E112,'Critical resources (hide)'!AR$6:AR$105)+SUMIF(Capacity_Resource,$F112,'Critical resources (hide)'!AR$6:AR$105)&gt;0,$E$1=2),0,1),0)</f>
        <v>1</v>
      </c>
      <c r="AF112" s="67">
        <f ca="1">IF(LOWER(Capacity!$V17)="x",IF(AND(SUMIF(Capacity_Resource,$D112,'Critical resources (hide)'!AS$6:AS$105)+SUMIF(Capacity_Resource,$E112,'Critical resources (hide)'!AS$6:AS$105)+SUMIF(Capacity_Resource,$F112,'Critical resources (hide)'!AS$6:AS$105)&gt;0,$E$1=2),0,1),0)</f>
        <v>1</v>
      </c>
      <c r="AG112" s="67">
        <f ca="1">IF(LOWER(Capacity!$V17)="x",IF(AND(SUMIF(Capacity_Resource,$D112,'Critical resources (hide)'!AT$6:AT$105)+SUMIF(Capacity_Resource,$E112,'Critical resources (hide)'!AT$6:AT$105)+SUMIF(Capacity_Resource,$F112,'Critical resources (hide)'!AT$6:AT$105)&gt;0,$E$1=2),0,1),0)</f>
        <v>1</v>
      </c>
      <c r="AH112" s="67">
        <f ca="1">IF(LOWER(Capacity!$V17)="x",IF(AND(SUMIF(Capacity_Resource,$D112,'Critical resources (hide)'!AU$6:AU$105)+SUMIF(Capacity_Resource,$E112,'Critical resources (hide)'!AU$6:AU$105)+SUMIF(Capacity_Resource,$F112,'Critical resources (hide)'!AU$6:AU$105)&gt;0,$E$1=2),0,1),0)</f>
        <v>1</v>
      </c>
      <c r="AI112" s="67">
        <f ca="1">IF(LOWER(Capacity!$V17)="x",IF(AND(SUMIF(Capacity_Resource,$D112,'Critical resources (hide)'!AV$6:AV$105)+SUMIF(Capacity_Resource,$E112,'Critical resources (hide)'!AV$6:AV$105)+SUMIF(Capacity_Resource,$F112,'Critical resources (hide)'!AV$6:AV$105)&gt;0,$E$1=2),0,1),0)</f>
        <v>1</v>
      </c>
      <c r="AJ112" s="67">
        <f ca="1">IF(LOWER(Capacity!$V17)="x",IF(AND(SUMIF(Capacity_Resource,$D112,'Critical resources (hide)'!AW$6:AW$105)+SUMIF(Capacity_Resource,$E112,'Critical resources (hide)'!AW$6:AW$105)+SUMIF(Capacity_Resource,$F112,'Critical resources (hide)'!AW$6:AW$105)&gt;0,$E$1=2),0,1),0)</f>
        <v>1</v>
      </c>
      <c r="AK112" s="67">
        <f ca="1">IF(LOWER(Capacity!$V17)="x",IF(AND(SUMIF(Capacity_Resource,$D112,'Critical resources (hide)'!AX$6:AX$105)+SUMIF(Capacity_Resource,$E112,'Critical resources (hide)'!AX$6:AX$105)+SUMIF(Capacity_Resource,$F112,'Critical resources (hide)'!AX$6:AX$105)&gt;0,$E$1=2),0,1),0)</f>
        <v>1</v>
      </c>
      <c r="AL112" s="67">
        <f ca="1">IF(LOWER(Capacity!$V17)="x",IF(AND(SUMIF(Capacity_Resource,$D112,'Critical resources (hide)'!AY$6:AY$105)+SUMIF(Capacity_Resource,$E112,'Critical resources (hide)'!AY$6:AY$105)+SUMIF(Capacity_Resource,$F112,'Critical resources (hide)'!AY$6:AY$105)&gt;0,$E$1=2),0,1),0)</f>
        <v>1</v>
      </c>
      <c r="AM112" s="67">
        <f ca="1">IF(LOWER(Capacity!$V17)="x",IF(AND(SUMIF(Capacity_Resource,$D112,'Critical resources (hide)'!AZ$6:AZ$105)+SUMIF(Capacity_Resource,$E112,'Critical resources (hide)'!AZ$6:AZ$105)+SUMIF(Capacity_Resource,$F112,'Critical resources (hide)'!AZ$6:AZ$105)&gt;0,$E$1=2),0,1),0)</f>
        <v>1</v>
      </c>
      <c r="AN112" s="67">
        <f ca="1">IF(LOWER(Capacity!$V17)="x",IF(AND(SUMIF(Capacity_Resource,$D112,'Critical resources (hide)'!BA$6:BA$105)+SUMIF(Capacity_Resource,$E112,'Critical resources (hide)'!BA$6:BA$105)+SUMIF(Capacity_Resource,$F112,'Critical resources (hide)'!BA$6:BA$105)&gt;0,$E$1=2),0,1),0)</f>
        <v>1</v>
      </c>
      <c r="AO112" s="67">
        <f ca="1">IF(LOWER(Capacity!$V17)="x",IF(AND(SUMIF(Capacity_Resource,$D112,'Critical resources (hide)'!BB$6:BB$105)+SUMIF(Capacity_Resource,$E112,'Critical resources (hide)'!BB$6:BB$105)+SUMIF(Capacity_Resource,$F112,'Critical resources (hide)'!BB$6:BB$105)&gt;0,$E$1=2),0,1),0)</f>
        <v>1</v>
      </c>
      <c r="AP112" s="67">
        <f ca="1">IF(LOWER(Capacity!$V17)="x",IF(AND(SUMIF(Capacity_Resource,$D112,'Critical resources (hide)'!BC$6:BC$105)+SUMIF(Capacity_Resource,$E112,'Critical resources (hide)'!BC$6:BC$105)+SUMIF(Capacity_Resource,$F112,'Critical resources (hide)'!BC$6:BC$105)&gt;0,$E$1=2),0,1),0)</f>
        <v>1</v>
      </c>
      <c r="AQ112" s="67">
        <f ca="1">IF(LOWER(Capacity!$V17)="x",IF(AND(SUMIF(Capacity_Resource,$D112,'Critical resources (hide)'!BD$6:BD$105)+SUMIF(Capacity_Resource,$E112,'Critical resources (hide)'!BD$6:BD$105)+SUMIF(Capacity_Resource,$F112,'Critical resources (hide)'!BD$6:BD$105)&gt;0,$E$1=2),0,1),0)</f>
        <v>1</v>
      </c>
      <c r="AR112" s="67">
        <f ca="1">IF(LOWER(Capacity!$V17)="x",IF(AND(SUMIF(Capacity_Resource,$D112,'Critical resources (hide)'!BE$6:BE$105)+SUMIF(Capacity_Resource,$E112,'Critical resources (hide)'!BE$6:BE$105)+SUMIF(Capacity_Resource,$F112,'Critical resources (hide)'!BE$6:BE$105)&gt;0,$E$1=2),0,1),0)</f>
        <v>1</v>
      </c>
      <c r="AS112" s="67">
        <f ca="1">IF(LOWER(Capacity!$V17)="x",IF(AND(SUMIF(Capacity_Resource,$D112,'Critical resources (hide)'!BF$6:BF$105)+SUMIF(Capacity_Resource,$E112,'Critical resources (hide)'!BF$6:BF$105)+SUMIF(Capacity_Resource,$F112,'Critical resources (hide)'!BF$6:BF$105)&gt;0,$E$1=2),0,1),0)</f>
        <v>1</v>
      </c>
      <c r="AT112" s="67">
        <f ca="1">IF(LOWER(Capacity!$V17)="x",IF(AND(SUMIF(Capacity_Resource,$D112,'Critical resources (hide)'!BG$6:BG$105)+SUMIF(Capacity_Resource,$E112,'Critical resources (hide)'!BG$6:BG$105)+SUMIF(Capacity_Resource,$F112,'Critical resources (hide)'!BG$6:BG$105)&gt;0,$E$1=2),0,1),0)</f>
        <v>1</v>
      </c>
      <c r="AU112" s="67">
        <f ca="1">IF(LOWER(Capacity!$V17)="x",IF(AND(SUMIF(Capacity_Resource,$D112,'Critical resources (hide)'!BH$6:BH$105)+SUMIF(Capacity_Resource,$E112,'Critical resources (hide)'!BH$6:BH$105)+SUMIF(Capacity_Resource,$F112,'Critical resources (hide)'!BH$6:BH$105)&gt;0,$E$1=2),0,1),0)</f>
        <v>1</v>
      </c>
      <c r="AV112" s="67">
        <f ca="1">IF(LOWER(Capacity!$V17)="x",IF(AND(SUMIF(Capacity_Resource,$D112,'Critical resources (hide)'!BI$6:BI$105)+SUMIF(Capacity_Resource,$E112,'Critical resources (hide)'!BI$6:BI$105)+SUMIF(Capacity_Resource,$F112,'Critical resources (hide)'!BI$6:BI$105)&gt;0,$E$1=2),0,1),0)</f>
        <v>1</v>
      </c>
      <c r="AW112" s="67">
        <f ca="1">IF(LOWER(Capacity!$V17)="x",IF(AND(SUMIF(Capacity_Resource,$D112,'Critical resources (hide)'!BJ$6:BJ$105)+SUMIF(Capacity_Resource,$E112,'Critical resources (hide)'!BJ$6:BJ$105)+SUMIF(Capacity_Resource,$F112,'Critical resources (hide)'!BJ$6:BJ$105)&gt;0,$E$1=2),0,1),0)</f>
        <v>1</v>
      </c>
      <c r="AX112" s="67">
        <f ca="1">IF(LOWER(Capacity!$V17)="x",IF(AND(SUMIF(Capacity_Resource,$D112,'Critical resources (hide)'!BK$6:BK$105)+SUMIF(Capacity_Resource,$E112,'Critical resources (hide)'!BK$6:BK$105)+SUMIF(Capacity_Resource,$F112,'Critical resources (hide)'!BK$6:BK$105)&gt;0,$E$1=2),0,1),0)</f>
        <v>1</v>
      </c>
      <c r="AY112" s="67">
        <f ca="1">IF(LOWER(Capacity!$V17)="x",IF(AND(SUMIF(Capacity_Resource,$D112,'Critical resources (hide)'!BL$6:BL$105)+SUMIF(Capacity_Resource,$E112,'Critical resources (hide)'!BL$6:BL$105)+SUMIF(Capacity_Resource,$F112,'Critical resources (hide)'!BL$6:BL$105)&gt;0,$E$1=2),0,1),0)</f>
        <v>1</v>
      </c>
      <c r="AZ112" s="67">
        <f ca="1">IF(LOWER(Capacity!$V17)="x",IF(AND(SUMIF(Capacity_Resource,$D112,'Critical resources (hide)'!BM$6:BM$105)+SUMIF(Capacity_Resource,$E112,'Critical resources (hide)'!BM$6:BM$105)+SUMIF(Capacity_Resource,$F112,'Critical resources (hide)'!BM$6:BM$105)&gt;0,$E$1=2),0,1),0)</f>
        <v>1</v>
      </c>
      <c r="BA112" s="67">
        <f ca="1">IF(LOWER(Capacity!$V17)="x",IF(AND(SUMIF(Capacity_Resource,$D112,'Critical resources (hide)'!BN$6:BN$105)+SUMIF(Capacity_Resource,$E112,'Critical resources (hide)'!BN$6:BN$105)+SUMIF(Capacity_Resource,$F112,'Critical resources (hide)'!BN$6:BN$105)&gt;0,$E$1=2),0,1),0)</f>
        <v>1</v>
      </c>
      <c r="BB112" s="67">
        <f ca="1">IF(LOWER(Capacity!$V17)="x",IF(AND(SUMIF(Capacity_Resource,$D112,'Critical resources (hide)'!BO$6:BO$105)+SUMIF(Capacity_Resource,$E112,'Critical resources (hide)'!BO$6:BO$105)+SUMIF(Capacity_Resource,$F112,'Critical resources (hide)'!BO$6:BO$105)&gt;0,$E$1=2),0,1),0)</f>
        <v>1</v>
      </c>
      <c r="BC112" s="67">
        <f ca="1">IF(LOWER(Capacity!$V17)="x",IF(AND(SUMIF(Capacity_Resource,$D112,'Critical resources (hide)'!BP$6:BP$105)+SUMIF(Capacity_Resource,$E112,'Critical resources (hide)'!BP$6:BP$105)+SUMIF(Capacity_Resource,$F112,'Critical resources (hide)'!BP$6:BP$105)&gt;0,$E$1=2),0,1),0)</f>
        <v>1</v>
      </c>
      <c r="BD112" s="67">
        <f ca="1">IF(LOWER(Capacity!$V17)="x",IF(AND(SUMIF(Capacity_Resource,$D112,'Critical resources (hide)'!BQ$6:BQ$105)+SUMIF(Capacity_Resource,$E112,'Critical resources (hide)'!BQ$6:BQ$105)+SUMIF(Capacity_Resource,$F112,'Critical resources (hide)'!BQ$6:BQ$105)&gt;0,$E$1=2),0,1),0)</f>
        <v>1</v>
      </c>
      <c r="BE112" s="67">
        <f ca="1">IF(LOWER(Capacity!$V17)="x",IF(AND(SUMIF(Capacity_Resource,$D112,'Critical resources (hide)'!BR$6:BR$105)+SUMIF(Capacity_Resource,$E112,'Critical resources (hide)'!BR$6:BR$105)+SUMIF(Capacity_Resource,$F112,'Critical resources (hide)'!BR$6:BR$105)&gt;0,$E$1=2),0,1),0)</f>
        <v>1</v>
      </c>
      <c r="BF112" s="67">
        <f ca="1">IF(LOWER(Capacity!$V17)="x",IF(AND(SUMIF(Capacity_Resource,$D112,'Critical resources (hide)'!BS$6:BS$105)+SUMIF(Capacity_Resource,$E112,'Critical resources (hide)'!BS$6:BS$105)+SUMIF(Capacity_Resource,$F112,'Critical resources (hide)'!BS$6:BS$105)&gt;0,$E$1=2),0,1),0)</f>
        <v>1</v>
      </c>
      <c r="BG112" s="67">
        <f ca="1">IF(LOWER(Capacity!$V17)="x",IF(AND(SUMIF(Capacity_Resource,$D112,'Critical resources (hide)'!BT$6:BT$105)+SUMIF(Capacity_Resource,$E112,'Critical resources (hide)'!BT$6:BT$105)+SUMIF(Capacity_Resource,$F112,'Critical resources (hide)'!BT$6:BT$105)&gt;0,$E$1=2),0,1),0)</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summary'!H24&lt;&gt;"",IF(LOWER('Capacity summary'!H24)="x",$BI112*H112,VALUE('Capacity summary'!H24)),0),H112*$BI112),H112*$BI112),0)</f>
        <v>0</v>
      </c>
      <c r="BL112" s="5">
        <f>IF($BI112&lt;&gt;"",IF('Capacity summary'!$C$14="Yes",IF(COUNTBLANK('Capacity summary'!$H24:$BG24)&lt;52,IF('Capacity summary'!I24&lt;&gt;"",IF(LOWER('Capacity summary'!I24)="x",$BI112*I112,VALUE('Capacity summary'!I24)),0),I112*$BI112),I112*$BI112),0)</f>
        <v>0</v>
      </c>
      <c r="BM112" s="5">
        <f>IF($BI112&lt;&gt;"",IF('Capacity summary'!$C$14="Yes",IF(COUNTBLANK('Capacity summary'!$H24:$BG24)&lt;52,IF('Capacity summary'!J24&lt;&gt;"",IF(LOWER('Capacity summary'!J24)="x",$BI112*J112,VALUE('Capacity summary'!J24)),0),J112*$BI112),J112*$BI112),0)</f>
        <v>0</v>
      </c>
      <c r="BN112" s="5">
        <f>IF($BI112&lt;&gt;"",IF('Capacity summary'!$C$14="Yes",IF(COUNTBLANK('Capacity summary'!$H24:$BG24)&lt;52,IF('Capacity summary'!K24&lt;&gt;"",IF(LOWER('Capacity summary'!K24)="x",$BI112*K112,VALUE('Capacity summary'!K24)),0),K112*$BI112),K112*$BI112),0)</f>
        <v>0</v>
      </c>
      <c r="BO112" s="5">
        <f>IF($BI112&lt;&gt;"",IF('Capacity summary'!$C$14="Yes",IF(COUNTBLANK('Capacity summary'!$H24:$BG24)&lt;52,IF('Capacity summary'!L24&lt;&gt;"",IF(LOWER('Capacity summary'!L24)="x",$BI112*L112,VALUE('Capacity summary'!L24)),0),L112*$BI112),L112*$BI112),0)</f>
        <v>0</v>
      </c>
      <c r="BP112" s="5">
        <f>IF($BI112&lt;&gt;"",IF('Capacity summary'!$C$14="Yes",IF(COUNTBLANK('Capacity summary'!$H24:$BG24)&lt;52,IF('Capacity summary'!M24&lt;&gt;"",IF(LOWER('Capacity summary'!M24)="x",$BI112*M112,VALUE('Capacity summary'!M24)),0),M112*$BI112),M112*$BI112),0)</f>
        <v>0</v>
      </c>
      <c r="BQ112" s="5">
        <f>IF($BI112&lt;&gt;"",IF('Capacity summary'!$C$14="Yes",IF(COUNTBLANK('Capacity summary'!$H24:$BG24)&lt;52,IF('Capacity summary'!N24&lt;&gt;"",IF(LOWER('Capacity summary'!N24)="x",$BI112*N112,VALUE('Capacity summary'!N24)),0),N112*$BI112),N112*$BI112),0)</f>
        <v>0</v>
      </c>
      <c r="BR112" s="5">
        <f>IF($BI112&lt;&gt;"",IF('Capacity summary'!$C$14="Yes",IF(COUNTBLANK('Capacity summary'!$H24:$BG24)&lt;52,IF('Capacity summary'!O24&lt;&gt;"",IF(LOWER('Capacity summary'!O24)="x",$BI112*O112,VALUE('Capacity summary'!O24)),0),O112*$BI112),O112*$BI112),0)</f>
        <v>0</v>
      </c>
      <c r="BS112" s="5">
        <f>IF($BI112&lt;&gt;"",IF('Capacity summary'!$C$14="Yes",IF(COUNTBLANK('Capacity summary'!$H24:$BG24)&lt;52,IF('Capacity summary'!P24&lt;&gt;"",IF(LOWER('Capacity summary'!P24)="x",$BI112*P112,VALUE('Capacity summary'!P24)),0),P112*$BI112),P112*$BI112),0)</f>
        <v>0</v>
      </c>
      <c r="BT112" s="5">
        <f>IF($BI112&lt;&gt;"",IF('Capacity summary'!$C$14="Yes",IF(COUNTBLANK('Capacity summary'!$H24:$BG24)&lt;52,IF('Capacity summary'!Q24&lt;&gt;"",IF(LOWER('Capacity summary'!Q24)="x",$BI112*Q112,VALUE('Capacity summary'!Q24)),0),Q112*$BI112),Q112*$BI112),0)</f>
        <v>0</v>
      </c>
      <c r="BU112" s="5">
        <f>IF($BI112&lt;&gt;"",IF('Capacity summary'!$C$14="Yes",IF(COUNTBLANK('Capacity summary'!$H24:$BG24)&lt;52,IF('Capacity summary'!R24&lt;&gt;"",IF(LOWER('Capacity summary'!R24)="x",$BI112*R112,VALUE('Capacity summary'!R24)),0),R112*$BI112),R112*$BI112),0)</f>
        <v>0</v>
      </c>
      <c r="BV112" s="5">
        <f>IF($BI112&lt;&gt;"",IF('Capacity summary'!$C$14="Yes",IF(COUNTBLANK('Capacity summary'!$H24:$BG24)&lt;52,IF('Capacity summary'!S24&lt;&gt;"",IF(LOWER('Capacity summary'!S24)="x",$BI112*S112,VALUE('Capacity summary'!S24)),0),S112*$BI112),S112*$BI112),0)</f>
        <v>0</v>
      </c>
      <c r="BW112" s="5">
        <f>IF($BI112&lt;&gt;"",IF('Capacity summary'!$C$14="Yes",IF(COUNTBLANK('Capacity summary'!$H24:$BG24)&lt;52,IF('Capacity summary'!T24&lt;&gt;"",IF(LOWER('Capacity summary'!T24)="x",$BI112*T112,VALUE('Capacity summary'!T24)),0),T112*$BI112),T112*$BI112),0)</f>
        <v>0</v>
      </c>
      <c r="BX112" s="5">
        <f>IF($BI112&lt;&gt;"",IF('Capacity summary'!$C$14="Yes",IF(COUNTBLANK('Capacity summary'!$H24:$BG24)&lt;52,IF('Capacity summary'!U24&lt;&gt;"",IF(LOWER('Capacity summary'!U24)="x",$BI112*U112,VALUE('Capacity summary'!U24)),0),U112*$BI112),U112*$BI112),0)</f>
        <v>0</v>
      </c>
      <c r="BY112" s="5">
        <f>IF($BI112&lt;&gt;"",IF('Capacity summary'!$C$14="Yes",IF(COUNTBLANK('Capacity summary'!$H24:$BG24)&lt;52,IF('Capacity summary'!V24&lt;&gt;"",IF(LOWER('Capacity summary'!V24)="x",$BI112*V112,VALUE('Capacity summary'!V24)),0),V112*$BI112),V112*$BI112),0)</f>
        <v>0</v>
      </c>
      <c r="BZ112" s="5">
        <f>IF($BI112&lt;&gt;"",IF('Capacity summary'!$C$14="Yes",IF(COUNTBLANK('Capacity summary'!$H24:$BG24)&lt;52,IF('Capacity summary'!W24&lt;&gt;"",IF(LOWER('Capacity summary'!W24)="x",$BI112*W112,VALUE('Capacity summary'!W24)),0),W112*$BI112),W112*$BI112),0)</f>
        <v>0</v>
      </c>
      <c r="CA112" s="5">
        <f>IF($BI112&lt;&gt;"",IF('Capacity summary'!$C$14="Yes",IF(COUNTBLANK('Capacity summary'!$H24:$BG24)&lt;52,IF('Capacity summary'!X24&lt;&gt;"",IF(LOWER('Capacity summary'!X24)="x",$BI112*X112,VALUE('Capacity summary'!X24)),0),X112*$BI112),X112*$BI112),0)</f>
        <v>0</v>
      </c>
      <c r="CB112" s="5">
        <f>IF($BI112&lt;&gt;"",IF('Capacity summary'!$C$14="Yes",IF(COUNTBLANK('Capacity summary'!$H24:$BG24)&lt;52,IF('Capacity summary'!Y24&lt;&gt;"",IF(LOWER('Capacity summary'!Y24)="x",$BI112*Y112,VALUE('Capacity summary'!Y24)),0),Y112*$BI112),Y112*$BI112),0)</f>
        <v>0</v>
      </c>
      <c r="CC112" s="5">
        <f>IF($BI112&lt;&gt;"",IF('Capacity summary'!$C$14="Yes",IF(COUNTBLANK('Capacity summary'!$H24:$BG24)&lt;52,IF('Capacity summary'!Z24&lt;&gt;"",IF(LOWER('Capacity summary'!Z24)="x",$BI112*Z112,VALUE('Capacity summary'!Z24)),0),Z112*$BI112),Z112*$BI112),0)</f>
        <v>0</v>
      </c>
      <c r="CD112" s="5">
        <f>IF($BI112&lt;&gt;"",IF('Capacity summary'!$C$14="Yes",IF(COUNTBLANK('Capacity summary'!$H24:$BG24)&lt;52,IF('Capacity summary'!AA24&lt;&gt;"",IF(LOWER('Capacity summary'!AA24)="x",$BI112*AA112,VALUE('Capacity summary'!AA24)),0),AA112*$BI112),AA112*$BI112),0)</f>
        <v>0</v>
      </c>
      <c r="CE112" s="5">
        <f>IF($BI112&lt;&gt;"",IF('Capacity summary'!$C$14="Yes",IF(COUNTBLANK('Capacity summary'!$H24:$BG24)&lt;52,IF('Capacity summary'!AB24&lt;&gt;"",IF(LOWER('Capacity summary'!AB24)="x",$BI112*AB112,VALUE('Capacity summary'!AB24)),0),AB112*$BI112),AB112*$BI112),0)</f>
        <v>0</v>
      </c>
      <c r="CF112" s="5">
        <f>IF($BI112&lt;&gt;"",IF('Capacity summary'!$C$14="Yes",IF(COUNTBLANK('Capacity summary'!$H24:$BG24)&lt;52,IF('Capacity summary'!AC24&lt;&gt;"",IF(LOWER('Capacity summary'!AC24)="x",$BI112*AC112,VALUE('Capacity summary'!AC24)),0),AC112*$BI112),AC112*$BI112),0)</f>
        <v>0</v>
      </c>
      <c r="CG112" s="5">
        <f>IF($BI112&lt;&gt;"",IF('Capacity summary'!$C$14="Yes",IF(COUNTBLANK('Capacity summary'!$H24:$BG24)&lt;52,IF('Capacity summary'!AD24&lt;&gt;"",IF(LOWER('Capacity summary'!AD24)="x",$BI112*AD112,VALUE('Capacity summary'!AD24)),0),AD112*$BI112),AD112*$BI112),0)</f>
        <v>0</v>
      </c>
      <c r="CH112" s="5">
        <f>IF($BI112&lt;&gt;"",IF('Capacity summary'!$C$14="Yes",IF(COUNTBLANK('Capacity summary'!$H24:$BG24)&lt;52,IF('Capacity summary'!AE24&lt;&gt;"",IF(LOWER('Capacity summary'!AE24)="x",$BI112*AE112,VALUE('Capacity summary'!AE24)),0),AE112*$BI112),AE112*$BI112),0)</f>
        <v>0</v>
      </c>
      <c r="CI112" s="5">
        <f>IF($BI112&lt;&gt;"",IF('Capacity summary'!$C$14="Yes",IF(COUNTBLANK('Capacity summary'!$H24:$BG24)&lt;52,IF('Capacity summary'!AF24&lt;&gt;"",IF(LOWER('Capacity summary'!AF24)="x",$BI112*AF112,VALUE('Capacity summary'!AF24)),0),AF112*$BI112),AF112*$BI112),0)</f>
        <v>0</v>
      </c>
      <c r="CJ112" s="5">
        <f>IF($BI112&lt;&gt;"",IF('Capacity summary'!$C$14="Yes",IF(COUNTBLANK('Capacity summary'!$H24:$BG24)&lt;52,IF('Capacity summary'!AG24&lt;&gt;"",IF(LOWER('Capacity summary'!AG24)="x",$BI112*AG112,VALUE('Capacity summary'!AG24)),0),AG112*$BI112),AG112*$BI112),0)</f>
        <v>0</v>
      </c>
      <c r="CK112" s="5">
        <f>IF($BI112&lt;&gt;"",IF('Capacity summary'!$C$14="Yes",IF(COUNTBLANK('Capacity summary'!$H24:$BG24)&lt;52,IF('Capacity summary'!AH24&lt;&gt;"",IF(LOWER('Capacity summary'!AH24)="x",$BI112*AH112,VALUE('Capacity summary'!AH24)),0),AH112*$BI112),AH112*$BI112),0)</f>
        <v>0</v>
      </c>
      <c r="CL112" s="5">
        <f>IF($BI112&lt;&gt;"",IF('Capacity summary'!$C$14="Yes",IF(COUNTBLANK('Capacity summary'!$H24:$BG24)&lt;52,IF('Capacity summary'!AI24&lt;&gt;"",IF(LOWER('Capacity summary'!AI24)="x",$BI112*AI112,VALUE('Capacity summary'!AI24)),0),AI112*$BI112),AI112*$BI112),0)</f>
        <v>0</v>
      </c>
      <c r="CM112" s="5">
        <f>IF($BI112&lt;&gt;"",IF('Capacity summary'!$C$14="Yes",IF(COUNTBLANK('Capacity summary'!$H24:$BG24)&lt;52,IF('Capacity summary'!AJ24&lt;&gt;"",IF(LOWER('Capacity summary'!AJ24)="x",$BI112*AJ112,VALUE('Capacity summary'!AJ24)),0),AJ112*$BI112),AJ112*$BI112),0)</f>
        <v>0</v>
      </c>
      <c r="CN112" s="5">
        <f>IF($BI112&lt;&gt;"",IF('Capacity summary'!$C$14="Yes",IF(COUNTBLANK('Capacity summary'!$H24:$BG24)&lt;52,IF('Capacity summary'!AK24&lt;&gt;"",IF(LOWER('Capacity summary'!AK24)="x",$BI112*AK112,VALUE('Capacity summary'!AK24)),0),AK112*$BI112),AK112*$BI112),0)</f>
        <v>0</v>
      </c>
      <c r="CO112" s="5">
        <f>IF($BI112&lt;&gt;"",IF('Capacity summary'!$C$14="Yes",IF(COUNTBLANK('Capacity summary'!$H24:$BG24)&lt;52,IF('Capacity summary'!AL24&lt;&gt;"",IF(LOWER('Capacity summary'!AL24)="x",$BI112*AL112,VALUE('Capacity summary'!AL24)),0),AL112*$BI112),AL112*$BI112),0)</f>
        <v>0</v>
      </c>
      <c r="CP112" s="5">
        <f>IF($BI112&lt;&gt;"",IF('Capacity summary'!$C$14="Yes",IF(COUNTBLANK('Capacity summary'!$H24:$BG24)&lt;52,IF('Capacity summary'!AM24&lt;&gt;"",IF(LOWER('Capacity summary'!AM24)="x",$BI112*AM112,VALUE('Capacity summary'!AM24)),0),AM112*$BI112),AM112*$BI112),0)</f>
        <v>0</v>
      </c>
      <c r="CQ112" s="5">
        <f>IF($BI112&lt;&gt;"",IF('Capacity summary'!$C$14="Yes",IF(COUNTBLANK('Capacity summary'!$H24:$BG24)&lt;52,IF('Capacity summary'!AN24&lt;&gt;"",IF(LOWER('Capacity summary'!AN24)="x",$BI112*AN112,VALUE('Capacity summary'!AN24)),0),AN112*$BI112),AN112*$BI112),0)</f>
        <v>0</v>
      </c>
      <c r="CR112" s="5">
        <f>IF($BI112&lt;&gt;"",IF('Capacity summary'!$C$14="Yes",IF(COUNTBLANK('Capacity summary'!$H24:$BG24)&lt;52,IF('Capacity summary'!AO24&lt;&gt;"",IF(LOWER('Capacity summary'!AO24)="x",$BI112*AO112,VALUE('Capacity summary'!AO24)),0),AO112*$BI112),AO112*$BI112),0)</f>
        <v>0</v>
      </c>
      <c r="CS112" s="5">
        <f>IF($BI112&lt;&gt;"",IF('Capacity summary'!$C$14="Yes",IF(COUNTBLANK('Capacity summary'!$H24:$BG24)&lt;52,IF('Capacity summary'!AP24&lt;&gt;"",IF(LOWER('Capacity summary'!AP24)="x",$BI112*AP112,VALUE('Capacity summary'!AP24)),0),AP112*$BI112),AP112*$BI112),0)</f>
        <v>0</v>
      </c>
      <c r="CT112" s="5">
        <f>IF($BI112&lt;&gt;"",IF('Capacity summary'!$C$14="Yes",IF(COUNTBLANK('Capacity summary'!$H24:$BG24)&lt;52,IF('Capacity summary'!AQ24&lt;&gt;"",IF(LOWER('Capacity summary'!AQ24)="x",$BI112*AQ112,VALUE('Capacity summary'!AQ24)),0),AQ112*$BI112),AQ112*$BI112),0)</f>
        <v>0</v>
      </c>
      <c r="CU112" s="5">
        <f>IF($BI112&lt;&gt;"",IF('Capacity summary'!$C$14="Yes",IF(COUNTBLANK('Capacity summary'!$H24:$BG24)&lt;52,IF('Capacity summary'!AR24&lt;&gt;"",IF(LOWER('Capacity summary'!AR24)="x",$BI112*AR112,VALUE('Capacity summary'!AR24)),0),AR112*$BI112),AR112*$BI112),0)</f>
        <v>0</v>
      </c>
      <c r="CV112" s="5">
        <f>IF($BI112&lt;&gt;"",IF('Capacity summary'!$C$14="Yes",IF(COUNTBLANK('Capacity summary'!$H24:$BG24)&lt;52,IF('Capacity summary'!AS24&lt;&gt;"",IF(LOWER('Capacity summary'!AS24)="x",$BI112*AS112,VALUE('Capacity summary'!AS24)),0),AS112*$BI112),AS112*$BI112),0)</f>
        <v>0</v>
      </c>
      <c r="CW112" s="5">
        <f>IF($BI112&lt;&gt;"",IF('Capacity summary'!$C$14="Yes",IF(COUNTBLANK('Capacity summary'!$H24:$BG24)&lt;52,IF('Capacity summary'!AT24&lt;&gt;"",IF(LOWER('Capacity summary'!AT24)="x",$BI112*AT112,VALUE('Capacity summary'!AT24)),0),AT112*$BI112),AT112*$BI112),0)</f>
        <v>0</v>
      </c>
      <c r="CX112" s="5">
        <f>IF($BI112&lt;&gt;"",IF('Capacity summary'!$C$14="Yes",IF(COUNTBLANK('Capacity summary'!$H24:$BG24)&lt;52,IF('Capacity summary'!AU24&lt;&gt;"",IF(LOWER('Capacity summary'!AU24)="x",$BI112*AU112,VALUE('Capacity summary'!AU24)),0),AU112*$BI112),AU112*$BI112),0)</f>
        <v>0</v>
      </c>
      <c r="CY112" s="5">
        <f>IF($BI112&lt;&gt;"",IF('Capacity summary'!$C$14="Yes",IF(COUNTBLANK('Capacity summary'!$H24:$BG24)&lt;52,IF('Capacity summary'!AV24&lt;&gt;"",IF(LOWER('Capacity summary'!AV24)="x",$BI112*AV112,VALUE('Capacity summary'!AV24)),0),AV112*$BI112),AV112*$BI112),0)</f>
        <v>0</v>
      </c>
      <c r="CZ112" s="5">
        <f>IF($BI112&lt;&gt;"",IF('Capacity summary'!$C$14="Yes",IF(COUNTBLANK('Capacity summary'!$H24:$BG24)&lt;52,IF('Capacity summary'!AW24&lt;&gt;"",IF(LOWER('Capacity summary'!AW24)="x",$BI112*AW112,VALUE('Capacity summary'!AW24)),0),AW112*$BI112),AW112*$BI112),0)</f>
        <v>0</v>
      </c>
      <c r="DA112" s="5">
        <f>IF($BI112&lt;&gt;"",IF('Capacity summary'!$C$14="Yes",IF(COUNTBLANK('Capacity summary'!$H24:$BG24)&lt;52,IF('Capacity summary'!AX24&lt;&gt;"",IF(LOWER('Capacity summary'!AX24)="x",$BI112*AX112,VALUE('Capacity summary'!AX24)),0),AX112*$BI112),AX112*$BI112),0)</f>
        <v>0</v>
      </c>
      <c r="DB112" s="5">
        <f>IF($BI112&lt;&gt;"",IF('Capacity summary'!$C$14="Yes",IF(COUNTBLANK('Capacity summary'!$H24:$BG24)&lt;52,IF('Capacity summary'!AY24&lt;&gt;"",IF(LOWER('Capacity summary'!AY24)="x",$BI112*AY112,VALUE('Capacity summary'!AY24)),0),AY112*$BI112),AY112*$BI112),0)</f>
        <v>0</v>
      </c>
      <c r="DC112" s="5">
        <f>IF($BI112&lt;&gt;"",IF('Capacity summary'!$C$14="Yes",IF(COUNTBLANK('Capacity summary'!$H24:$BG24)&lt;52,IF('Capacity summary'!AZ24&lt;&gt;"",IF(LOWER('Capacity summary'!AZ24)="x",$BI112*AZ112,VALUE('Capacity summary'!AZ24)),0),AZ112*$BI112),AZ112*$BI112),0)</f>
        <v>0</v>
      </c>
      <c r="DD112" s="5">
        <f>IF($BI112&lt;&gt;"",IF('Capacity summary'!$C$14="Yes",IF(COUNTBLANK('Capacity summary'!$H24:$BG24)&lt;52,IF('Capacity summary'!BA24&lt;&gt;"",IF(LOWER('Capacity summary'!BA24)="x",$BI112*BA112,VALUE('Capacity summary'!BA24)),0),BA112*$BI112),BA112*$BI112),0)</f>
        <v>0</v>
      </c>
      <c r="DE112" s="5">
        <f>IF($BI112&lt;&gt;"",IF('Capacity summary'!$C$14="Yes",IF(COUNTBLANK('Capacity summary'!$H24:$BG24)&lt;52,IF('Capacity summary'!BB24&lt;&gt;"",IF(LOWER('Capacity summary'!BB24)="x",$BI112*BB112,VALUE('Capacity summary'!BB24)),0),BB112*$BI112),BB112*$BI112),0)</f>
        <v>0</v>
      </c>
      <c r="DF112" s="5">
        <f>IF($BI112&lt;&gt;"",IF('Capacity summary'!$C$14="Yes",IF(COUNTBLANK('Capacity summary'!$H24:$BG24)&lt;52,IF('Capacity summary'!BC24&lt;&gt;"",IF(LOWER('Capacity summary'!BC24)="x",$BI112*BC112,VALUE('Capacity summary'!BC24)),0),BC112*$BI112),BC112*$BI112),0)</f>
        <v>0</v>
      </c>
      <c r="DG112" s="5">
        <f>IF($BI112&lt;&gt;"",IF('Capacity summary'!$C$14="Yes",IF(COUNTBLANK('Capacity summary'!$H24:$BG24)&lt;52,IF('Capacity summary'!BD24&lt;&gt;"",IF(LOWER('Capacity summary'!BD24)="x",$BI112*BD112,VALUE('Capacity summary'!BD24)),0),BD112*$BI112),BD112*$BI112),0)</f>
        <v>0</v>
      </c>
      <c r="DH112" s="5">
        <f>IF($BI112&lt;&gt;"",IF('Capacity summary'!$C$14="Yes",IF(COUNTBLANK('Capacity summary'!$H24:$BG24)&lt;52,IF('Capacity summary'!BE24&lt;&gt;"",IF(LOWER('Capacity summary'!BE24)="x",$BI112*BE112,VALUE('Capacity summary'!BE24)),0),BE112*$BI112),BE112*$BI112),0)</f>
        <v>0</v>
      </c>
      <c r="DI112" s="5">
        <f>IF($BI112&lt;&gt;"",IF('Capacity summary'!$C$14="Yes",IF(COUNTBLANK('Capacity summary'!$H24:$BG24)&lt;52,IF('Capacity summary'!BF24&lt;&gt;"",IF(LOWER('Capacity summary'!BF24)="x",$BI112*BF112,VALUE('Capacity summary'!BF24)),0),BF112*$BI112),BF112*$BI112),0)</f>
        <v>0</v>
      </c>
      <c r="DJ112" s="5">
        <f>IF($BI112&lt;&gt;"",IF('Capacity summary'!$C$14="Yes",IF(COUNTBLANK('Capacity summary'!$H24:$BG24)&lt;52,IF('Capacity summary'!BG24&lt;&gt;"",IF(LOWER('Capacity summary'!BG24)="x",$BI112*BG112,VALUE('Capacity summary'!BG24)),0),BG112*$BI112),BG112*$BI112),0)</f>
        <v>0</v>
      </c>
      <c r="DK112" s="391">
        <f t="shared" ref="DK112:DK175" si="8">DJ112</f>
        <v>0</v>
      </c>
      <c r="DL112" s="5">
        <f t="shared" ref="DL112:DL175" si="9">SUM(BK112:DJ112)</f>
        <v>0</v>
      </c>
    </row>
    <row r="113" spans="3:116" x14ac:dyDescent="0.2">
      <c r="C113" s="67" t="str">
        <f>ROW(A2)&amp;". "&amp;Capacity!N18</f>
        <v xml:space="preserve">2. </v>
      </c>
      <c r="D113" s="67" t="str">
        <f>'Capacity setup'!C119</f>
        <v>3. CT Scanner 1</v>
      </c>
      <c r="E113" s="67" t="str">
        <f>'Capacity setup'!D119</f>
        <v>2. Consultant: Ms Taylor</v>
      </c>
      <c r="F113" s="67">
        <f>'Capacity setup'!E119</f>
        <v>0</v>
      </c>
      <c r="H113" s="67">
        <f ca="1">IF(LOWER(Capacity!$V18)="x",IF(AND(SUMIF(Capacity_Resource,$D113,'Critical resources (hide)'!U$6:U$105)+SUMIF(Capacity_Resource,$E113,'Critical resources (hide)'!U$6:U$105)+SUMIF(Capacity_Resource,$F113,'Critical resources (hide)'!U$6:U$105)&gt;0,$E$1=2),0,1),0)</f>
        <v>1</v>
      </c>
      <c r="I113" s="67">
        <f ca="1">IF(LOWER(Capacity!$V18)="x",IF(AND(SUMIF(Capacity_Resource,$D113,'Critical resources (hide)'!V$6:V$105)+SUMIF(Capacity_Resource,$E113,'Critical resources (hide)'!V$6:V$105)+SUMIF(Capacity_Resource,$F113,'Critical resources (hide)'!V$6:V$105)&gt;0,$E$1=2),0,1),0)</f>
        <v>1</v>
      </c>
      <c r="J113" s="67">
        <f ca="1">IF(LOWER(Capacity!$V18)="x",IF(AND(SUMIF(Capacity_Resource,$D113,'Critical resources (hide)'!W$6:W$105)+SUMIF(Capacity_Resource,$E113,'Critical resources (hide)'!W$6:W$105)+SUMIF(Capacity_Resource,$F113,'Critical resources (hide)'!W$6:W$105)&gt;0,$E$1=2),0,1),0)</f>
        <v>1</v>
      </c>
      <c r="K113" s="67">
        <f ca="1">IF(LOWER(Capacity!$V18)="x",IF(AND(SUMIF(Capacity_Resource,$D113,'Critical resources (hide)'!X$6:X$105)+SUMIF(Capacity_Resource,$E113,'Critical resources (hide)'!X$6:X$105)+SUMIF(Capacity_Resource,$F113,'Critical resources (hide)'!X$6:X$105)&gt;0,$E$1=2),0,1),0)</f>
        <v>1</v>
      </c>
      <c r="L113" s="67">
        <f ca="1">IF(LOWER(Capacity!$V18)="x",IF(AND(SUMIF(Capacity_Resource,$D113,'Critical resources (hide)'!Y$6:Y$105)+SUMIF(Capacity_Resource,$E113,'Critical resources (hide)'!Y$6:Y$105)+SUMIF(Capacity_Resource,$F113,'Critical resources (hide)'!Y$6:Y$105)&gt;0,$E$1=2),0,1),0)</f>
        <v>1</v>
      </c>
      <c r="M113" s="67">
        <f ca="1">IF(LOWER(Capacity!$V18)="x",IF(AND(SUMIF(Capacity_Resource,$D113,'Critical resources (hide)'!Z$6:Z$105)+SUMIF(Capacity_Resource,$E113,'Critical resources (hide)'!Z$6:Z$105)+SUMIF(Capacity_Resource,$F113,'Critical resources (hide)'!Z$6:Z$105)&gt;0,$E$1=2),0,1),0)</f>
        <v>1</v>
      </c>
      <c r="N113" s="67">
        <f ca="1">IF(LOWER(Capacity!$V18)="x",IF(AND(SUMIF(Capacity_Resource,$D113,'Critical resources (hide)'!AA$6:AA$105)+SUMIF(Capacity_Resource,$E113,'Critical resources (hide)'!AA$6:AA$105)+SUMIF(Capacity_Resource,$F113,'Critical resources (hide)'!AA$6:AA$105)&gt;0,$E$1=2),0,1),0)</f>
        <v>1</v>
      </c>
      <c r="O113" s="67">
        <f ca="1">IF(LOWER(Capacity!$V18)="x",IF(AND(SUMIF(Capacity_Resource,$D113,'Critical resources (hide)'!AB$6:AB$105)+SUMIF(Capacity_Resource,$E113,'Critical resources (hide)'!AB$6:AB$105)+SUMIF(Capacity_Resource,$F113,'Critical resources (hide)'!AB$6:AB$105)&gt;0,$E$1=2),0,1),0)</f>
        <v>1</v>
      </c>
      <c r="P113" s="67">
        <f ca="1">IF(LOWER(Capacity!$V18)="x",IF(AND(SUMIF(Capacity_Resource,$D113,'Critical resources (hide)'!AC$6:AC$105)+SUMIF(Capacity_Resource,$E113,'Critical resources (hide)'!AC$6:AC$105)+SUMIF(Capacity_Resource,$F113,'Critical resources (hide)'!AC$6:AC$105)&gt;0,$E$1=2),0,1),0)</f>
        <v>1</v>
      </c>
      <c r="Q113" s="67">
        <f ca="1">IF(LOWER(Capacity!$V18)="x",IF(AND(SUMIF(Capacity_Resource,$D113,'Critical resources (hide)'!AD$6:AD$105)+SUMIF(Capacity_Resource,$E113,'Critical resources (hide)'!AD$6:AD$105)+SUMIF(Capacity_Resource,$F113,'Critical resources (hide)'!AD$6:AD$105)&gt;0,$E$1=2),0,1),0)</f>
        <v>1</v>
      </c>
      <c r="R113" s="67">
        <f ca="1">IF(LOWER(Capacity!$V18)="x",IF(AND(SUMIF(Capacity_Resource,$D113,'Critical resources (hide)'!AE$6:AE$105)+SUMIF(Capacity_Resource,$E113,'Critical resources (hide)'!AE$6:AE$105)+SUMIF(Capacity_Resource,$F113,'Critical resources (hide)'!AE$6:AE$105)&gt;0,$E$1=2),0,1),0)</f>
        <v>1</v>
      </c>
      <c r="S113" s="67">
        <f ca="1">IF(LOWER(Capacity!$V18)="x",IF(AND(SUMIF(Capacity_Resource,$D113,'Critical resources (hide)'!AF$6:AF$105)+SUMIF(Capacity_Resource,$E113,'Critical resources (hide)'!AF$6:AF$105)+SUMIF(Capacity_Resource,$F113,'Critical resources (hide)'!AF$6:AF$105)&gt;0,$E$1=2),0,1),0)</f>
        <v>1</v>
      </c>
      <c r="T113" s="67">
        <f ca="1">IF(LOWER(Capacity!$V18)="x",IF(AND(SUMIF(Capacity_Resource,$D113,'Critical resources (hide)'!AG$6:AG$105)+SUMIF(Capacity_Resource,$E113,'Critical resources (hide)'!AG$6:AG$105)+SUMIF(Capacity_Resource,$F113,'Critical resources (hide)'!AG$6:AG$105)&gt;0,$E$1=2),0,1),0)</f>
        <v>1</v>
      </c>
      <c r="U113" s="67">
        <f ca="1">IF(LOWER(Capacity!$V18)="x",IF(AND(SUMIF(Capacity_Resource,$D113,'Critical resources (hide)'!AH$6:AH$105)+SUMIF(Capacity_Resource,$E113,'Critical resources (hide)'!AH$6:AH$105)+SUMIF(Capacity_Resource,$F113,'Critical resources (hide)'!AH$6:AH$105)&gt;0,$E$1=2),0,1),0)</f>
        <v>1</v>
      </c>
      <c r="V113" s="67">
        <f ca="1">IF(LOWER(Capacity!$V18)="x",IF(AND(SUMIF(Capacity_Resource,$D113,'Critical resources (hide)'!AI$6:AI$105)+SUMIF(Capacity_Resource,$E113,'Critical resources (hide)'!AI$6:AI$105)+SUMIF(Capacity_Resource,$F113,'Critical resources (hide)'!AI$6:AI$105)&gt;0,$E$1=2),0,1),0)</f>
        <v>1</v>
      </c>
      <c r="W113" s="67">
        <f ca="1">IF(LOWER(Capacity!$V18)="x",IF(AND(SUMIF(Capacity_Resource,$D113,'Critical resources (hide)'!AJ$6:AJ$105)+SUMIF(Capacity_Resource,$E113,'Critical resources (hide)'!AJ$6:AJ$105)+SUMIF(Capacity_Resource,$F113,'Critical resources (hide)'!AJ$6:AJ$105)&gt;0,$E$1=2),0,1),0)</f>
        <v>1</v>
      </c>
      <c r="X113" s="67">
        <f ca="1">IF(LOWER(Capacity!$V18)="x",IF(AND(SUMIF(Capacity_Resource,$D113,'Critical resources (hide)'!AK$6:AK$105)+SUMIF(Capacity_Resource,$E113,'Critical resources (hide)'!AK$6:AK$105)+SUMIF(Capacity_Resource,$F113,'Critical resources (hide)'!AK$6:AK$105)&gt;0,$E$1=2),0,1),0)</f>
        <v>1</v>
      </c>
      <c r="Y113" s="67">
        <f ca="1">IF(LOWER(Capacity!$V18)="x",IF(AND(SUMIF(Capacity_Resource,$D113,'Critical resources (hide)'!AL$6:AL$105)+SUMIF(Capacity_Resource,$E113,'Critical resources (hide)'!AL$6:AL$105)+SUMIF(Capacity_Resource,$F113,'Critical resources (hide)'!AL$6:AL$105)&gt;0,$E$1=2),0,1),0)</f>
        <v>1</v>
      </c>
      <c r="Z113" s="67">
        <f ca="1">IF(LOWER(Capacity!$V18)="x",IF(AND(SUMIF(Capacity_Resource,$D113,'Critical resources (hide)'!AM$6:AM$105)+SUMIF(Capacity_Resource,$E113,'Critical resources (hide)'!AM$6:AM$105)+SUMIF(Capacity_Resource,$F113,'Critical resources (hide)'!AM$6:AM$105)&gt;0,$E$1=2),0,1),0)</f>
        <v>1</v>
      </c>
      <c r="AA113" s="67">
        <f ca="1">IF(LOWER(Capacity!$V18)="x",IF(AND(SUMIF(Capacity_Resource,$D113,'Critical resources (hide)'!AN$6:AN$105)+SUMIF(Capacity_Resource,$E113,'Critical resources (hide)'!AN$6:AN$105)+SUMIF(Capacity_Resource,$F113,'Critical resources (hide)'!AN$6:AN$105)&gt;0,$E$1=2),0,1),0)</f>
        <v>1</v>
      </c>
      <c r="AB113" s="67">
        <f ca="1">IF(LOWER(Capacity!$V18)="x",IF(AND(SUMIF(Capacity_Resource,$D113,'Critical resources (hide)'!AO$6:AO$105)+SUMIF(Capacity_Resource,$E113,'Critical resources (hide)'!AO$6:AO$105)+SUMIF(Capacity_Resource,$F113,'Critical resources (hide)'!AO$6:AO$105)&gt;0,$E$1=2),0,1),0)</f>
        <v>1</v>
      </c>
      <c r="AC113" s="67">
        <f ca="1">IF(LOWER(Capacity!$V18)="x",IF(AND(SUMIF(Capacity_Resource,$D113,'Critical resources (hide)'!AP$6:AP$105)+SUMIF(Capacity_Resource,$E113,'Critical resources (hide)'!AP$6:AP$105)+SUMIF(Capacity_Resource,$F113,'Critical resources (hide)'!AP$6:AP$105)&gt;0,$E$1=2),0,1),0)</f>
        <v>1</v>
      </c>
      <c r="AD113" s="67">
        <f ca="1">IF(LOWER(Capacity!$V18)="x",IF(AND(SUMIF(Capacity_Resource,$D113,'Critical resources (hide)'!AQ$6:AQ$105)+SUMIF(Capacity_Resource,$E113,'Critical resources (hide)'!AQ$6:AQ$105)+SUMIF(Capacity_Resource,$F113,'Critical resources (hide)'!AQ$6:AQ$105)&gt;0,$E$1=2),0,1),0)</f>
        <v>1</v>
      </c>
      <c r="AE113" s="67">
        <f ca="1">IF(LOWER(Capacity!$V18)="x",IF(AND(SUMIF(Capacity_Resource,$D113,'Critical resources (hide)'!AR$6:AR$105)+SUMIF(Capacity_Resource,$E113,'Critical resources (hide)'!AR$6:AR$105)+SUMIF(Capacity_Resource,$F113,'Critical resources (hide)'!AR$6:AR$105)&gt;0,$E$1=2),0,1),0)</f>
        <v>1</v>
      </c>
      <c r="AF113" s="67">
        <f ca="1">IF(LOWER(Capacity!$V18)="x",IF(AND(SUMIF(Capacity_Resource,$D113,'Critical resources (hide)'!AS$6:AS$105)+SUMIF(Capacity_Resource,$E113,'Critical resources (hide)'!AS$6:AS$105)+SUMIF(Capacity_Resource,$F113,'Critical resources (hide)'!AS$6:AS$105)&gt;0,$E$1=2),0,1),0)</f>
        <v>1</v>
      </c>
      <c r="AG113" s="67">
        <f ca="1">IF(LOWER(Capacity!$V18)="x",IF(AND(SUMIF(Capacity_Resource,$D113,'Critical resources (hide)'!AT$6:AT$105)+SUMIF(Capacity_Resource,$E113,'Critical resources (hide)'!AT$6:AT$105)+SUMIF(Capacity_Resource,$F113,'Critical resources (hide)'!AT$6:AT$105)&gt;0,$E$1=2),0,1),0)</f>
        <v>1</v>
      </c>
      <c r="AH113" s="67">
        <f ca="1">IF(LOWER(Capacity!$V18)="x",IF(AND(SUMIF(Capacity_Resource,$D113,'Critical resources (hide)'!AU$6:AU$105)+SUMIF(Capacity_Resource,$E113,'Critical resources (hide)'!AU$6:AU$105)+SUMIF(Capacity_Resource,$F113,'Critical resources (hide)'!AU$6:AU$105)&gt;0,$E$1=2),0,1),0)</f>
        <v>1</v>
      </c>
      <c r="AI113" s="67">
        <f ca="1">IF(LOWER(Capacity!$V18)="x",IF(AND(SUMIF(Capacity_Resource,$D113,'Critical resources (hide)'!AV$6:AV$105)+SUMIF(Capacity_Resource,$E113,'Critical resources (hide)'!AV$6:AV$105)+SUMIF(Capacity_Resource,$F113,'Critical resources (hide)'!AV$6:AV$105)&gt;0,$E$1=2),0,1),0)</f>
        <v>1</v>
      </c>
      <c r="AJ113" s="67">
        <f ca="1">IF(LOWER(Capacity!$V18)="x",IF(AND(SUMIF(Capacity_Resource,$D113,'Critical resources (hide)'!AW$6:AW$105)+SUMIF(Capacity_Resource,$E113,'Critical resources (hide)'!AW$6:AW$105)+SUMIF(Capacity_Resource,$F113,'Critical resources (hide)'!AW$6:AW$105)&gt;0,$E$1=2),0,1),0)</f>
        <v>1</v>
      </c>
      <c r="AK113" s="67">
        <f ca="1">IF(LOWER(Capacity!$V18)="x",IF(AND(SUMIF(Capacity_Resource,$D113,'Critical resources (hide)'!AX$6:AX$105)+SUMIF(Capacity_Resource,$E113,'Critical resources (hide)'!AX$6:AX$105)+SUMIF(Capacity_Resource,$F113,'Critical resources (hide)'!AX$6:AX$105)&gt;0,$E$1=2),0,1),0)</f>
        <v>1</v>
      </c>
      <c r="AL113" s="67">
        <f ca="1">IF(LOWER(Capacity!$V18)="x",IF(AND(SUMIF(Capacity_Resource,$D113,'Critical resources (hide)'!AY$6:AY$105)+SUMIF(Capacity_Resource,$E113,'Critical resources (hide)'!AY$6:AY$105)+SUMIF(Capacity_Resource,$F113,'Critical resources (hide)'!AY$6:AY$105)&gt;0,$E$1=2),0,1),0)</f>
        <v>1</v>
      </c>
      <c r="AM113" s="67">
        <f ca="1">IF(LOWER(Capacity!$V18)="x",IF(AND(SUMIF(Capacity_Resource,$D113,'Critical resources (hide)'!AZ$6:AZ$105)+SUMIF(Capacity_Resource,$E113,'Critical resources (hide)'!AZ$6:AZ$105)+SUMIF(Capacity_Resource,$F113,'Critical resources (hide)'!AZ$6:AZ$105)&gt;0,$E$1=2),0,1),0)</f>
        <v>1</v>
      </c>
      <c r="AN113" s="67">
        <f ca="1">IF(LOWER(Capacity!$V18)="x",IF(AND(SUMIF(Capacity_Resource,$D113,'Critical resources (hide)'!BA$6:BA$105)+SUMIF(Capacity_Resource,$E113,'Critical resources (hide)'!BA$6:BA$105)+SUMIF(Capacity_Resource,$F113,'Critical resources (hide)'!BA$6:BA$105)&gt;0,$E$1=2),0,1),0)</f>
        <v>1</v>
      </c>
      <c r="AO113" s="67">
        <f ca="1">IF(LOWER(Capacity!$V18)="x",IF(AND(SUMIF(Capacity_Resource,$D113,'Critical resources (hide)'!BB$6:BB$105)+SUMIF(Capacity_Resource,$E113,'Critical resources (hide)'!BB$6:BB$105)+SUMIF(Capacity_Resource,$F113,'Critical resources (hide)'!BB$6:BB$105)&gt;0,$E$1=2),0,1),0)</f>
        <v>1</v>
      </c>
      <c r="AP113" s="67">
        <f ca="1">IF(LOWER(Capacity!$V18)="x",IF(AND(SUMIF(Capacity_Resource,$D113,'Critical resources (hide)'!BC$6:BC$105)+SUMIF(Capacity_Resource,$E113,'Critical resources (hide)'!BC$6:BC$105)+SUMIF(Capacity_Resource,$F113,'Critical resources (hide)'!BC$6:BC$105)&gt;0,$E$1=2),0,1),0)</f>
        <v>1</v>
      </c>
      <c r="AQ113" s="67">
        <f ca="1">IF(LOWER(Capacity!$V18)="x",IF(AND(SUMIF(Capacity_Resource,$D113,'Critical resources (hide)'!BD$6:BD$105)+SUMIF(Capacity_Resource,$E113,'Critical resources (hide)'!BD$6:BD$105)+SUMIF(Capacity_Resource,$F113,'Critical resources (hide)'!BD$6:BD$105)&gt;0,$E$1=2),0,1),0)</f>
        <v>1</v>
      </c>
      <c r="AR113" s="67">
        <f ca="1">IF(LOWER(Capacity!$V18)="x",IF(AND(SUMIF(Capacity_Resource,$D113,'Critical resources (hide)'!BE$6:BE$105)+SUMIF(Capacity_Resource,$E113,'Critical resources (hide)'!BE$6:BE$105)+SUMIF(Capacity_Resource,$F113,'Critical resources (hide)'!BE$6:BE$105)&gt;0,$E$1=2),0,1),0)</f>
        <v>1</v>
      </c>
      <c r="AS113" s="67">
        <f ca="1">IF(LOWER(Capacity!$V18)="x",IF(AND(SUMIF(Capacity_Resource,$D113,'Critical resources (hide)'!BF$6:BF$105)+SUMIF(Capacity_Resource,$E113,'Critical resources (hide)'!BF$6:BF$105)+SUMIF(Capacity_Resource,$F113,'Critical resources (hide)'!BF$6:BF$105)&gt;0,$E$1=2),0,1),0)</f>
        <v>1</v>
      </c>
      <c r="AT113" s="67">
        <f ca="1">IF(LOWER(Capacity!$V18)="x",IF(AND(SUMIF(Capacity_Resource,$D113,'Critical resources (hide)'!BG$6:BG$105)+SUMIF(Capacity_Resource,$E113,'Critical resources (hide)'!BG$6:BG$105)+SUMIF(Capacity_Resource,$F113,'Critical resources (hide)'!BG$6:BG$105)&gt;0,$E$1=2),0,1),0)</f>
        <v>1</v>
      </c>
      <c r="AU113" s="67">
        <f ca="1">IF(LOWER(Capacity!$V18)="x",IF(AND(SUMIF(Capacity_Resource,$D113,'Critical resources (hide)'!BH$6:BH$105)+SUMIF(Capacity_Resource,$E113,'Critical resources (hide)'!BH$6:BH$105)+SUMIF(Capacity_Resource,$F113,'Critical resources (hide)'!BH$6:BH$105)&gt;0,$E$1=2),0,1),0)</f>
        <v>1</v>
      </c>
      <c r="AV113" s="67">
        <f ca="1">IF(LOWER(Capacity!$V18)="x",IF(AND(SUMIF(Capacity_Resource,$D113,'Critical resources (hide)'!BI$6:BI$105)+SUMIF(Capacity_Resource,$E113,'Critical resources (hide)'!BI$6:BI$105)+SUMIF(Capacity_Resource,$F113,'Critical resources (hide)'!BI$6:BI$105)&gt;0,$E$1=2),0,1),0)</f>
        <v>1</v>
      </c>
      <c r="AW113" s="67">
        <f ca="1">IF(LOWER(Capacity!$V18)="x",IF(AND(SUMIF(Capacity_Resource,$D113,'Critical resources (hide)'!BJ$6:BJ$105)+SUMIF(Capacity_Resource,$E113,'Critical resources (hide)'!BJ$6:BJ$105)+SUMIF(Capacity_Resource,$F113,'Critical resources (hide)'!BJ$6:BJ$105)&gt;0,$E$1=2),0,1),0)</f>
        <v>1</v>
      </c>
      <c r="AX113" s="67">
        <f ca="1">IF(LOWER(Capacity!$V18)="x",IF(AND(SUMIF(Capacity_Resource,$D113,'Critical resources (hide)'!BK$6:BK$105)+SUMIF(Capacity_Resource,$E113,'Critical resources (hide)'!BK$6:BK$105)+SUMIF(Capacity_Resource,$F113,'Critical resources (hide)'!BK$6:BK$105)&gt;0,$E$1=2),0,1),0)</f>
        <v>1</v>
      </c>
      <c r="AY113" s="67">
        <f ca="1">IF(LOWER(Capacity!$V18)="x",IF(AND(SUMIF(Capacity_Resource,$D113,'Critical resources (hide)'!BL$6:BL$105)+SUMIF(Capacity_Resource,$E113,'Critical resources (hide)'!BL$6:BL$105)+SUMIF(Capacity_Resource,$F113,'Critical resources (hide)'!BL$6:BL$105)&gt;0,$E$1=2),0,1),0)</f>
        <v>1</v>
      </c>
      <c r="AZ113" s="67">
        <f ca="1">IF(LOWER(Capacity!$V18)="x",IF(AND(SUMIF(Capacity_Resource,$D113,'Critical resources (hide)'!BM$6:BM$105)+SUMIF(Capacity_Resource,$E113,'Critical resources (hide)'!BM$6:BM$105)+SUMIF(Capacity_Resource,$F113,'Critical resources (hide)'!BM$6:BM$105)&gt;0,$E$1=2),0,1),0)</f>
        <v>1</v>
      </c>
      <c r="BA113" s="67">
        <f ca="1">IF(LOWER(Capacity!$V18)="x",IF(AND(SUMIF(Capacity_Resource,$D113,'Critical resources (hide)'!BN$6:BN$105)+SUMIF(Capacity_Resource,$E113,'Critical resources (hide)'!BN$6:BN$105)+SUMIF(Capacity_Resource,$F113,'Critical resources (hide)'!BN$6:BN$105)&gt;0,$E$1=2),0,1),0)</f>
        <v>1</v>
      </c>
      <c r="BB113" s="67">
        <f ca="1">IF(LOWER(Capacity!$V18)="x",IF(AND(SUMIF(Capacity_Resource,$D113,'Critical resources (hide)'!BO$6:BO$105)+SUMIF(Capacity_Resource,$E113,'Critical resources (hide)'!BO$6:BO$105)+SUMIF(Capacity_Resource,$F113,'Critical resources (hide)'!BO$6:BO$105)&gt;0,$E$1=2),0,1),0)</f>
        <v>1</v>
      </c>
      <c r="BC113" s="67">
        <f ca="1">IF(LOWER(Capacity!$V18)="x",IF(AND(SUMIF(Capacity_Resource,$D113,'Critical resources (hide)'!BP$6:BP$105)+SUMIF(Capacity_Resource,$E113,'Critical resources (hide)'!BP$6:BP$105)+SUMIF(Capacity_Resource,$F113,'Critical resources (hide)'!BP$6:BP$105)&gt;0,$E$1=2),0,1),0)</f>
        <v>1</v>
      </c>
      <c r="BD113" s="67">
        <f ca="1">IF(LOWER(Capacity!$V18)="x",IF(AND(SUMIF(Capacity_Resource,$D113,'Critical resources (hide)'!BQ$6:BQ$105)+SUMIF(Capacity_Resource,$E113,'Critical resources (hide)'!BQ$6:BQ$105)+SUMIF(Capacity_Resource,$F113,'Critical resources (hide)'!BQ$6:BQ$105)&gt;0,$E$1=2),0,1),0)</f>
        <v>1</v>
      </c>
      <c r="BE113" s="67">
        <f ca="1">IF(LOWER(Capacity!$V18)="x",IF(AND(SUMIF(Capacity_Resource,$D113,'Critical resources (hide)'!BR$6:BR$105)+SUMIF(Capacity_Resource,$E113,'Critical resources (hide)'!BR$6:BR$105)+SUMIF(Capacity_Resource,$F113,'Critical resources (hide)'!BR$6:BR$105)&gt;0,$E$1=2),0,1),0)</f>
        <v>1</v>
      </c>
      <c r="BF113" s="67">
        <f ca="1">IF(LOWER(Capacity!$V18)="x",IF(AND(SUMIF(Capacity_Resource,$D113,'Critical resources (hide)'!BS$6:BS$105)+SUMIF(Capacity_Resource,$E113,'Critical resources (hide)'!BS$6:BS$105)+SUMIF(Capacity_Resource,$F113,'Critical resources (hide)'!BS$6:BS$105)&gt;0,$E$1=2),0,1),0)</f>
        <v>1</v>
      </c>
      <c r="BG113" s="67">
        <f ca="1">IF(LOWER(Capacity!$V18)="x",IF(AND(SUMIF(Capacity_Resource,$D113,'Critical resources (hide)'!BT$6:BT$105)+SUMIF(Capacity_Resource,$E113,'Critical resources (hide)'!BT$6:BT$105)+SUMIF(Capacity_Resource,$F113,'Critical resources (hide)'!BT$6:BT$105)&gt;0,$E$1=2),0,1),0)</f>
        <v>1</v>
      </c>
      <c r="BH113" s="67">
        <f>IF(ROW(A2)&lt;=Capacity!$M$16,IF('Capacity summary'!$C$14="No",SUM(H113:BG113),'Capacity summary'!$E25),0)</f>
        <v>0</v>
      </c>
      <c r="BI113" s="67" t="str">
        <f>IF(BH113&gt;0,IF(BH113&lt;Capacity!Q18,Capacity!R18,Capacity!T18/'Capacity calculation (hide)'!BH113),"")</f>
        <v/>
      </c>
      <c r="BJ113" s="5"/>
      <c r="BK113" s="5">
        <f>IF($BI113&lt;&gt;"",IF('Capacity summary'!$C$14="Yes",IF(COUNTBLANK('Capacity summary'!$H25:$BG25)&lt;52,IF('Capacity summary'!H25&lt;&gt;"",IF(LOWER('Capacity summary'!H25)="x",$BI113*H113,VALUE('Capacity summary'!H25)),0),H113*$BI113),H113*$BI113),0)</f>
        <v>0</v>
      </c>
      <c r="BL113" s="5">
        <f>IF($BI113&lt;&gt;"",IF('Capacity summary'!$C$14="Yes",IF(COUNTBLANK('Capacity summary'!$H25:$BG25)&lt;52,IF('Capacity summary'!I25&lt;&gt;"",IF(LOWER('Capacity summary'!I25)="x",$BI113*I113,VALUE('Capacity summary'!I25)),0),I113*$BI113),I113*$BI113),0)</f>
        <v>0</v>
      </c>
      <c r="BM113" s="5">
        <f>IF($BI113&lt;&gt;"",IF('Capacity summary'!$C$14="Yes",IF(COUNTBLANK('Capacity summary'!$H25:$BG25)&lt;52,IF('Capacity summary'!J25&lt;&gt;"",IF(LOWER('Capacity summary'!J25)="x",$BI113*J113,VALUE('Capacity summary'!J25)),0),J113*$BI113),J113*$BI113),0)</f>
        <v>0</v>
      </c>
      <c r="BN113" s="5">
        <f>IF($BI113&lt;&gt;"",IF('Capacity summary'!$C$14="Yes",IF(COUNTBLANK('Capacity summary'!$H25:$BG25)&lt;52,IF('Capacity summary'!K25&lt;&gt;"",IF(LOWER('Capacity summary'!K25)="x",$BI113*K113,VALUE('Capacity summary'!K25)),0),K113*$BI113),K113*$BI113),0)</f>
        <v>0</v>
      </c>
      <c r="BO113" s="5">
        <f>IF($BI113&lt;&gt;"",IF('Capacity summary'!$C$14="Yes",IF(COUNTBLANK('Capacity summary'!$H25:$BG25)&lt;52,IF('Capacity summary'!L25&lt;&gt;"",IF(LOWER('Capacity summary'!L25)="x",$BI113*L113,VALUE('Capacity summary'!L25)),0),L113*$BI113),L113*$BI113),0)</f>
        <v>0</v>
      </c>
      <c r="BP113" s="5">
        <f>IF($BI113&lt;&gt;"",IF('Capacity summary'!$C$14="Yes",IF(COUNTBLANK('Capacity summary'!$H25:$BG25)&lt;52,IF('Capacity summary'!M25&lt;&gt;"",IF(LOWER('Capacity summary'!M25)="x",$BI113*M113,VALUE('Capacity summary'!M25)),0),M113*$BI113),M113*$BI113),0)</f>
        <v>0</v>
      </c>
      <c r="BQ113" s="5">
        <f>IF($BI113&lt;&gt;"",IF('Capacity summary'!$C$14="Yes",IF(COUNTBLANK('Capacity summary'!$H25:$BG25)&lt;52,IF('Capacity summary'!N25&lt;&gt;"",IF(LOWER('Capacity summary'!N25)="x",$BI113*N113,VALUE('Capacity summary'!N25)),0),N113*$BI113),N113*$BI113),0)</f>
        <v>0</v>
      </c>
      <c r="BR113" s="5">
        <f>IF($BI113&lt;&gt;"",IF('Capacity summary'!$C$14="Yes",IF(COUNTBLANK('Capacity summary'!$H25:$BG25)&lt;52,IF('Capacity summary'!O25&lt;&gt;"",IF(LOWER('Capacity summary'!O25)="x",$BI113*O113,VALUE('Capacity summary'!O25)),0),O113*$BI113),O113*$BI113),0)</f>
        <v>0</v>
      </c>
      <c r="BS113" s="5">
        <f>IF($BI113&lt;&gt;"",IF('Capacity summary'!$C$14="Yes",IF(COUNTBLANK('Capacity summary'!$H25:$BG25)&lt;52,IF('Capacity summary'!P25&lt;&gt;"",IF(LOWER('Capacity summary'!P25)="x",$BI113*P113,VALUE('Capacity summary'!P25)),0),P113*$BI113),P113*$BI113),0)</f>
        <v>0</v>
      </c>
      <c r="BT113" s="5">
        <f>IF($BI113&lt;&gt;"",IF('Capacity summary'!$C$14="Yes",IF(COUNTBLANK('Capacity summary'!$H25:$BG25)&lt;52,IF('Capacity summary'!Q25&lt;&gt;"",IF(LOWER('Capacity summary'!Q25)="x",$BI113*Q113,VALUE('Capacity summary'!Q25)),0),Q113*$BI113),Q113*$BI113),0)</f>
        <v>0</v>
      </c>
      <c r="BU113" s="5">
        <f>IF($BI113&lt;&gt;"",IF('Capacity summary'!$C$14="Yes",IF(COUNTBLANK('Capacity summary'!$H25:$BG25)&lt;52,IF('Capacity summary'!R25&lt;&gt;"",IF(LOWER('Capacity summary'!R25)="x",$BI113*R113,VALUE('Capacity summary'!R25)),0),R113*$BI113),R113*$BI113),0)</f>
        <v>0</v>
      </c>
      <c r="BV113" s="5">
        <f>IF($BI113&lt;&gt;"",IF('Capacity summary'!$C$14="Yes",IF(COUNTBLANK('Capacity summary'!$H25:$BG25)&lt;52,IF('Capacity summary'!S25&lt;&gt;"",IF(LOWER('Capacity summary'!S25)="x",$BI113*S113,VALUE('Capacity summary'!S25)),0),S113*$BI113),S113*$BI113),0)</f>
        <v>0</v>
      </c>
      <c r="BW113" s="5">
        <f>IF($BI113&lt;&gt;"",IF('Capacity summary'!$C$14="Yes",IF(COUNTBLANK('Capacity summary'!$H25:$BG25)&lt;52,IF('Capacity summary'!T25&lt;&gt;"",IF(LOWER('Capacity summary'!T25)="x",$BI113*T113,VALUE('Capacity summary'!T25)),0),T113*$BI113),T113*$BI113),0)</f>
        <v>0</v>
      </c>
      <c r="BX113" s="5">
        <f>IF($BI113&lt;&gt;"",IF('Capacity summary'!$C$14="Yes",IF(COUNTBLANK('Capacity summary'!$H25:$BG25)&lt;52,IF('Capacity summary'!U25&lt;&gt;"",IF(LOWER('Capacity summary'!U25)="x",$BI113*U113,VALUE('Capacity summary'!U25)),0),U113*$BI113),U113*$BI113),0)</f>
        <v>0</v>
      </c>
      <c r="BY113" s="5">
        <f>IF($BI113&lt;&gt;"",IF('Capacity summary'!$C$14="Yes",IF(COUNTBLANK('Capacity summary'!$H25:$BG25)&lt;52,IF('Capacity summary'!V25&lt;&gt;"",IF(LOWER('Capacity summary'!V25)="x",$BI113*V113,VALUE('Capacity summary'!V25)),0),V113*$BI113),V113*$BI113),0)</f>
        <v>0</v>
      </c>
      <c r="BZ113" s="5">
        <f>IF($BI113&lt;&gt;"",IF('Capacity summary'!$C$14="Yes",IF(COUNTBLANK('Capacity summary'!$H25:$BG25)&lt;52,IF('Capacity summary'!W25&lt;&gt;"",IF(LOWER('Capacity summary'!W25)="x",$BI113*W113,VALUE('Capacity summary'!W25)),0),W113*$BI113),W113*$BI113),0)</f>
        <v>0</v>
      </c>
      <c r="CA113" s="5">
        <f>IF($BI113&lt;&gt;"",IF('Capacity summary'!$C$14="Yes",IF(COUNTBLANK('Capacity summary'!$H25:$BG25)&lt;52,IF('Capacity summary'!X25&lt;&gt;"",IF(LOWER('Capacity summary'!X25)="x",$BI113*X113,VALUE('Capacity summary'!X25)),0),X113*$BI113),X113*$BI113),0)</f>
        <v>0</v>
      </c>
      <c r="CB113" s="5">
        <f>IF($BI113&lt;&gt;"",IF('Capacity summary'!$C$14="Yes",IF(COUNTBLANK('Capacity summary'!$H25:$BG25)&lt;52,IF('Capacity summary'!Y25&lt;&gt;"",IF(LOWER('Capacity summary'!Y25)="x",$BI113*Y113,VALUE('Capacity summary'!Y25)),0),Y113*$BI113),Y113*$BI113),0)</f>
        <v>0</v>
      </c>
      <c r="CC113" s="5">
        <f>IF($BI113&lt;&gt;"",IF('Capacity summary'!$C$14="Yes",IF(COUNTBLANK('Capacity summary'!$H25:$BG25)&lt;52,IF('Capacity summary'!Z25&lt;&gt;"",IF(LOWER('Capacity summary'!Z25)="x",$BI113*Z113,VALUE('Capacity summary'!Z25)),0),Z113*$BI113),Z113*$BI113),0)</f>
        <v>0</v>
      </c>
      <c r="CD113" s="5">
        <f>IF($BI113&lt;&gt;"",IF('Capacity summary'!$C$14="Yes",IF(COUNTBLANK('Capacity summary'!$H25:$BG25)&lt;52,IF('Capacity summary'!AA25&lt;&gt;"",IF(LOWER('Capacity summary'!AA25)="x",$BI113*AA113,VALUE('Capacity summary'!AA25)),0),AA113*$BI113),AA113*$BI113),0)</f>
        <v>0</v>
      </c>
      <c r="CE113" s="5">
        <f>IF($BI113&lt;&gt;"",IF('Capacity summary'!$C$14="Yes",IF(COUNTBLANK('Capacity summary'!$H25:$BG25)&lt;52,IF('Capacity summary'!AB25&lt;&gt;"",IF(LOWER('Capacity summary'!AB25)="x",$BI113*AB113,VALUE('Capacity summary'!AB25)),0),AB113*$BI113),AB113*$BI113),0)</f>
        <v>0</v>
      </c>
      <c r="CF113" s="5">
        <f>IF($BI113&lt;&gt;"",IF('Capacity summary'!$C$14="Yes",IF(COUNTBLANK('Capacity summary'!$H25:$BG25)&lt;52,IF('Capacity summary'!AC25&lt;&gt;"",IF(LOWER('Capacity summary'!AC25)="x",$BI113*AC113,VALUE('Capacity summary'!AC25)),0),AC113*$BI113),AC113*$BI113),0)</f>
        <v>0</v>
      </c>
      <c r="CG113" s="5">
        <f>IF($BI113&lt;&gt;"",IF('Capacity summary'!$C$14="Yes",IF(COUNTBLANK('Capacity summary'!$H25:$BG25)&lt;52,IF('Capacity summary'!AD25&lt;&gt;"",IF(LOWER('Capacity summary'!AD25)="x",$BI113*AD113,VALUE('Capacity summary'!AD25)),0),AD113*$BI113),AD113*$BI113),0)</f>
        <v>0</v>
      </c>
      <c r="CH113" s="5">
        <f>IF($BI113&lt;&gt;"",IF('Capacity summary'!$C$14="Yes",IF(COUNTBLANK('Capacity summary'!$H25:$BG25)&lt;52,IF('Capacity summary'!AE25&lt;&gt;"",IF(LOWER('Capacity summary'!AE25)="x",$BI113*AE113,VALUE('Capacity summary'!AE25)),0),AE113*$BI113),AE113*$BI113),0)</f>
        <v>0</v>
      </c>
      <c r="CI113" s="5">
        <f>IF($BI113&lt;&gt;"",IF('Capacity summary'!$C$14="Yes",IF(COUNTBLANK('Capacity summary'!$H25:$BG25)&lt;52,IF('Capacity summary'!AF25&lt;&gt;"",IF(LOWER('Capacity summary'!AF25)="x",$BI113*AF113,VALUE('Capacity summary'!AF25)),0),AF113*$BI113),AF113*$BI113),0)</f>
        <v>0</v>
      </c>
      <c r="CJ113" s="5">
        <f>IF($BI113&lt;&gt;"",IF('Capacity summary'!$C$14="Yes",IF(COUNTBLANK('Capacity summary'!$H25:$BG25)&lt;52,IF('Capacity summary'!AG25&lt;&gt;"",IF(LOWER('Capacity summary'!AG25)="x",$BI113*AG113,VALUE('Capacity summary'!AG25)),0),AG113*$BI113),AG113*$BI113),0)</f>
        <v>0</v>
      </c>
      <c r="CK113" s="5">
        <f>IF($BI113&lt;&gt;"",IF('Capacity summary'!$C$14="Yes",IF(COUNTBLANK('Capacity summary'!$H25:$BG25)&lt;52,IF('Capacity summary'!AH25&lt;&gt;"",IF(LOWER('Capacity summary'!AH25)="x",$BI113*AH113,VALUE('Capacity summary'!AH25)),0),AH113*$BI113),AH113*$BI113),0)</f>
        <v>0</v>
      </c>
      <c r="CL113" s="5">
        <f>IF($BI113&lt;&gt;"",IF('Capacity summary'!$C$14="Yes",IF(COUNTBLANK('Capacity summary'!$H25:$BG25)&lt;52,IF('Capacity summary'!AI25&lt;&gt;"",IF(LOWER('Capacity summary'!AI25)="x",$BI113*AI113,VALUE('Capacity summary'!AI25)),0),AI113*$BI113),AI113*$BI113),0)</f>
        <v>0</v>
      </c>
      <c r="CM113" s="5">
        <f>IF($BI113&lt;&gt;"",IF('Capacity summary'!$C$14="Yes",IF(COUNTBLANK('Capacity summary'!$H25:$BG25)&lt;52,IF('Capacity summary'!AJ25&lt;&gt;"",IF(LOWER('Capacity summary'!AJ25)="x",$BI113*AJ113,VALUE('Capacity summary'!AJ25)),0),AJ113*$BI113),AJ113*$BI113),0)</f>
        <v>0</v>
      </c>
      <c r="CN113" s="5">
        <f>IF($BI113&lt;&gt;"",IF('Capacity summary'!$C$14="Yes",IF(COUNTBLANK('Capacity summary'!$H25:$BG25)&lt;52,IF('Capacity summary'!AK25&lt;&gt;"",IF(LOWER('Capacity summary'!AK25)="x",$BI113*AK113,VALUE('Capacity summary'!AK25)),0),AK113*$BI113),AK113*$BI113),0)</f>
        <v>0</v>
      </c>
      <c r="CO113" s="5">
        <f>IF($BI113&lt;&gt;"",IF('Capacity summary'!$C$14="Yes",IF(COUNTBLANK('Capacity summary'!$H25:$BG25)&lt;52,IF('Capacity summary'!AL25&lt;&gt;"",IF(LOWER('Capacity summary'!AL25)="x",$BI113*AL113,VALUE('Capacity summary'!AL25)),0),AL113*$BI113),AL113*$BI113),0)</f>
        <v>0</v>
      </c>
      <c r="CP113" s="5">
        <f>IF($BI113&lt;&gt;"",IF('Capacity summary'!$C$14="Yes",IF(COUNTBLANK('Capacity summary'!$H25:$BG25)&lt;52,IF('Capacity summary'!AM25&lt;&gt;"",IF(LOWER('Capacity summary'!AM25)="x",$BI113*AM113,VALUE('Capacity summary'!AM25)),0),AM113*$BI113),AM113*$BI113),0)</f>
        <v>0</v>
      </c>
      <c r="CQ113" s="5">
        <f>IF($BI113&lt;&gt;"",IF('Capacity summary'!$C$14="Yes",IF(COUNTBLANK('Capacity summary'!$H25:$BG25)&lt;52,IF('Capacity summary'!AN25&lt;&gt;"",IF(LOWER('Capacity summary'!AN25)="x",$BI113*AN113,VALUE('Capacity summary'!AN25)),0),AN113*$BI113),AN113*$BI113),0)</f>
        <v>0</v>
      </c>
      <c r="CR113" s="5">
        <f>IF($BI113&lt;&gt;"",IF('Capacity summary'!$C$14="Yes",IF(COUNTBLANK('Capacity summary'!$H25:$BG25)&lt;52,IF('Capacity summary'!AO25&lt;&gt;"",IF(LOWER('Capacity summary'!AO25)="x",$BI113*AO113,VALUE('Capacity summary'!AO25)),0),AO113*$BI113),AO113*$BI113),0)</f>
        <v>0</v>
      </c>
      <c r="CS113" s="5">
        <f>IF($BI113&lt;&gt;"",IF('Capacity summary'!$C$14="Yes",IF(COUNTBLANK('Capacity summary'!$H25:$BG25)&lt;52,IF('Capacity summary'!AP25&lt;&gt;"",IF(LOWER('Capacity summary'!AP25)="x",$BI113*AP113,VALUE('Capacity summary'!AP25)),0),AP113*$BI113),AP113*$BI113),0)</f>
        <v>0</v>
      </c>
      <c r="CT113" s="5">
        <f>IF($BI113&lt;&gt;"",IF('Capacity summary'!$C$14="Yes",IF(COUNTBLANK('Capacity summary'!$H25:$BG25)&lt;52,IF('Capacity summary'!AQ25&lt;&gt;"",IF(LOWER('Capacity summary'!AQ25)="x",$BI113*AQ113,VALUE('Capacity summary'!AQ25)),0),AQ113*$BI113),AQ113*$BI113),0)</f>
        <v>0</v>
      </c>
      <c r="CU113" s="5">
        <f>IF($BI113&lt;&gt;"",IF('Capacity summary'!$C$14="Yes",IF(COUNTBLANK('Capacity summary'!$H25:$BG25)&lt;52,IF('Capacity summary'!AR25&lt;&gt;"",IF(LOWER('Capacity summary'!AR25)="x",$BI113*AR113,VALUE('Capacity summary'!AR25)),0),AR113*$BI113),AR113*$BI113),0)</f>
        <v>0</v>
      </c>
      <c r="CV113" s="5">
        <f>IF($BI113&lt;&gt;"",IF('Capacity summary'!$C$14="Yes",IF(COUNTBLANK('Capacity summary'!$H25:$BG25)&lt;52,IF('Capacity summary'!AS25&lt;&gt;"",IF(LOWER('Capacity summary'!AS25)="x",$BI113*AS113,VALUE('Capacity summary'!AS25)),0),AS113*$BI113),AS113*$BI113),0)</f>
        <v>0</v>
      </c>
      <c r="CW113" s="5">
        <f>IF($BI113&lt;&gt;"",IF('Capacity summary'!$C$14="Yes",IF(COUNTBLANK('Capacity summary'!$H25:$BG25)&lt;52,IF('Capacity summary'!AT25&lt;&gt;"",IF(LOWER('Capacity summary'!AT25)="x",$BI113*AT113,VALUE('Capacity summary'!AT25)),0),AT113*$BI113),AT113*$BI113),0)</f>
        <v>0</v>
      </c>
      <c r="CX113" s="5">
        <f>IF($BI113&lt;&gt;"",IF('Capacity summary'!$C$14="Yes",IF(COUNTBLANK('Capacity summary'!$H25:$BG25)&lt;52,IF('Capacity summary'!AU25&lt;&gt;"",IF(LOWER('Capacity summary'!AU25)="x",$BI113*AU113,VALUE('Capacity summary'!AU25)),0),AU113*$BI113),AU113*$BI113),0)</f>
        <v>0</v>
      </c>
      <c r="CY113" s="5">
        <f>IF($BI113&lt;&gt;"",IF('Capacity summary'!$C$14="Yes",IF(COUNTBLANK('Capacity summary'!$H25:$BG25)&lt;52,IF('Capacity summary'!AV25&lt;&gt;"",IF(LOWER('Capacity summary'!AV25)="x",$BI113*AV113,VALUE('Capacity summary'!AV25)),0),AV113*$BI113),AV113*$BI113),0)</f>
        <v>0</v>
      </c>
      <c r="CZ113" s="5">
        <f>IF($BI113&lt;&gt;"",IF('Capacity summary'!$C$14="Yes",IF(COUNTBLANK('Capacity summary'!$H25:$BG25)&lt;52,IF('Capacity summary'!AW25&lt;&gt;"",IF(LOWER('Capacity summary'!AW25)="x",$BI113*AW113,VALUE('Capacity summary'!AW25)),0),AW113*$BI113),AW113*$BI113),0)</f>
        <v>0</v>
      </c>
      <c r="DA113" s="5">
        <f>IF($BI113&lt;&gt;"",IF('Capacity summary'!$C$14="Yes",IF(COUNTBLANK('Capacity summary'!$H25:$BG25)&lt;52,IF('Capacity summary'!AX25&lt;&gt;"",IF(LOWER('Capacity summary'!AX25)="x",$BI113*AX113,VALUE('Capacity summary'!AX25)),0),AX113*$BI113),AX113*$BI113),0)</f>
        <v>0</v>
      </c>
      <c r="DB113" s="5">
        <f>IF($BI113&lt;&gt;"",IF('Capacity summary'!$C$14="Yes",IF(COUNTBLANK('Capacity summary'!$H25:$BG25)&lt;52,IF('Capacity summary'!AY25&lt;&gt;"",IF(LOWER('Capacity summary'!AY25)="x",$BI113*AY113,VALUE('Capacity summary'!AY25)),0),AY113*$BI113),AY113*$BI113),0)</f>
        <v>0</v>
      </c>
      <c r="DC113" s="5">
        <f>IF($BI113&lt;&gt;"",IF('Capacity summary'!$C$14="Yes",IF(COUNTBLANK('Capacity summary'!$H25:$BG25)&lt;52,IF('Capacity summary'!AZ25&lt;&gt;"",IF(LOWER('Capacity summary'!AZ25)="x",$BI113*AZ113,VALUE('Capacity summary'!AZ25)),0),AZ113*$BI113),AZ113*$BI113),0)</f>
        <v>0</v>
      </c>
      <c r="DD113" s="5">
        <f>IF($BI113&lt;&gt;"",IF('Capacity summary'!$C$14="Yes",IF(COUNTBLANK('Capacity summary'!$H25:$BG25)&lt;52,IF('Capacity summary'!BA25&lt;&gt;"",IF(LOWER('Capacity summary'!BA25)="x",$BI113*BA113,VALUE('Capacity summary'!BA25)),0),BA113*$BI113),BA113*$BI113),0)</f>
        <v>0</v>
      </c>
      <c r="DE113" s="5">
        <f>IF($BI113&lt;&gt;"",IF('Capacity summary'!$C$14="Yes",IF(COUNTBLANK('Capacity summary'!$H25:$BG25)&lt;52,IF('Capacity summary'!BB25&lt;&gt;"",IF(LOWER('Capacity summary'!BB25)="x",$BI113*BB113,VALUE('Capacity summary'!BB25)),0),BB113*$BI113),BB113*$BI113),0)</f>
        <v>0</v>
      </c>
      <c r="DF113" s="5">
        <f>IF($BI113&lt;&gt;"",IF('Capacity summary'!$C$14="Yes",IF(COUNTBLANK('Capacity summary'!$H25:$BG25)&lt;52,IF('Capacity summary'!BC25&lt;&gt;"",IF(LOWER('Capacity summary'!BC25)="x",$BI113*BC113,VALUE('Capacity summary'!BC25)),0),BC113*$BI113),BC113*$BI113),0)</f>
        <v>0</v>
      </c>
      <c r="DG113" s="5">
        <f>IF($BI113&lt;&gt;"",IF('Capacity summary'!$C$14="Yes",IF(COUNTBLANK('Capacity summary'!$H25:$BG25)&lt;52,IF('Capacity summary'!BD25&lt;&gt;"",IF(LOWER('Capacity summary'!BD25)="x",$BI113*BD113,VALUE('Capacity summary'!BD25)),0),BD113*$BI113),BD113*$BI113),0)</f>
        <v>0</v>
      </c>
      <c r="DH113" s="5">
        <f>IF($BI113&lt;&gt;"",IF('Capacity summary'!$C$14="Yes",IF(COUNTBLANK('Capacity summary'!$H25:$BG25)&lt;52,IF('Capacity summary'!BE25&lt;&gt;"",IF(LOWER('Capacity summary'!BE25)="x",$BI113*BE113,VALUE('Capacity summary'!BE25)),0),BE113*$BI113),BE113*$BI113),0)</f>
        <v>0</v>
      </c>
      <c r="DI113" s="5">
        <f>IF($BI113&lt;&gt;"",IF('Capacity summary'!$C$14="Yes",IF(COUNTBLANK('Capacity summary'!$H25:$BG25)&lt;52,IF('Capacity summary'!BF25&lt;&gt;"",IF(LOWER('Capacity summary'!BF25)="x",$BI113*BF113,VALUE('Capacity summary'!BF25)),0),BF113*$BI113),BF113*$BI113),0)</f>
        <v>0</v>
      </c>
      <c r="DJ113" s="5">
        <f>IF($BI113&lt;&gt;"",IF('Capacity summary'!$C$14="Yes",IF(COUNTBLANK('Capacity summary'!$H25:$BG25)&lt;52,IF('Capacity summary'!BG25&lt;&gt;"",IF(LOWER('Capacity summary'!BG25)="x",$BI113*BG113,VALUE('Capacity summary'!BG25)),0),BG113*$BI113),BG113*$BI113),0)</f>
        <v>0</v>
      </c>
      <c r="DK113" s="391">
        <f t="shared" si="8"/>
        <v>0</v>
      </c>
      <c r="DL113" s="5">
        <f t="shared" si="9"/>
        <v>0</v>
      </c>
    </row>
    <row r="114" spans="3:116" x14ac:dyDescent="0.2">
      <c r="C114" s="67" t="str">
        <f>ROW(A3)&amp;". "&amp;Capacity!N19</f>
        <v xml:space="preserve">3. </v>
      </c>
      <c r="D114" s="67">
        <f>'Capacity setup'!C120</f>
        <v>0</v>
      </c>
      <c r="E114" s="67">
        <f>'Capacity setup'!D120</f>
        <v>0</v>
      </c>
      <c r="F114" s="67">
        <f>'Capacity setup'!E120</f>
        <v>0</v>
      </c>
      <c r="H114" s="67">
        <f ca="1">IF(LOWER(Capacity!$V19)="x",IF(AND(SUMIF(Capacity_Resource,$D114,'Critical resources (hide)'!U$6:U$105)+SUMIF(Capacity_Resource,$E114,'Critical resources (hide)'!U$6:U$105)+SUMIF(Capacity_Resource,$F114,'Critical resources (hide)'!U$6:U$105)&gt;0,$E$1=2),0,1),0)</f>
        <v>1</v>
      </c>
      <c r="I114" s="67">
        <f ca="1">IF(LOWER(Capacity!$V19)="x",IF(AND(SUMIF(Capacity_Resource,$D114,'Critical resources (hide)'!V$6:V$105)+SUMIF(Capacity_Resource,$E114,'Critical resources (hide)'!V$6:V$105)+SUMIF(Capacity_Resource,$F114,'Critical resources (hide)'!V$6:V$105)&gt;0,$E$1=2),0,1),0)</f>
        <v>1</v>
      </c>
      <c r="J114" s="67">
        <f ca="1">IF(LOWER(Capacity!$V19)="x",IF(AND(SUMIF(Capacity_Resource,$D114,'Critical resources (hide)'!W$6:W$105)+SUMIF(Capacity_Resource,$E114,'Critical resources (hide)'!W$6:W$105)+SUMIF(Capacity_Resource,$F114,'Critical resources (hide)'!W$6:W$105)&gt;0,$E$1=2),0,1),0)</f>
        <v>1</v>
      </c>
      <c r="K114" s="67">
        <f ca="1">IF(LOWER(Capacity!$V19)="x",IF(AND(SUMIF(Capacity_Resource,$D114,'Critical resources (hide)'!X$6:X$105)+SUMIF(Capacity_Resource,$E114,'Critical resources (hide)'!X$6:X$105)+SUMIF(Capacity_Resource,$F114,'Critical resources (hide)'!X$6:X$105)&gt;0,$E$1=2),0,1),0)</f>
        <v>1</v>
      </c>
      <c r="L114" s="67">
        <f ca="1">IF(LOWER(Capacity!$V19)="x",IF(AND(SUMIF(Capacity_Resource,$D114,'Critical resources (hide)'!Y$6:Y$105)+SUMIF(Capacity_Resource,$E114,'Critical resources (hide)'!Y$6:Y$105)+SUMIF(Capacity_Resource,$F114,'Critical resources (hide)'!Y$6:Y$105)&gt;0,$E$1=2),0,1),0)</f>
        <v>1</v>
      </c>
      <c r="M114" s="67">
        <f ca="1">IF(LOWER(Capacity!$V19)="x",IF(AND(SUMIF(Capacity_Resource,$D114,'Critical resources (hide)'!Z$6:Z$105)+SUMIF(Capacity_Resource,$E114,'Critical resources (hide)'!Z$6:Z$105)+SUMIF(Capacity_Resource,$F114,'Critical resources (hide)'!Z$6:Z$105)&gt;0,$E$1=2),0,1),0)</f>
        <v>1</v>
      </c>
      <c r="N114" s="67">
        <f ca="1">IF(LOWER(Capacity!$V19)="x",IF(AND(SUMIF(Capacity_Resource,$D114,'Critical resources (hide)'!AA$6:AA$105)+SUMIF(Capacity_Resource,$E114,'Critical resources (hide)'!AA$6:AA$105)+SUMIF(Capacity_Resource,$F114,'Critical resources (hide)'!AA$6:AA$105)&gt;0,$E$1=2),0,1),0)</f>
        <v>1</v>
      </c>
      <c r="O114" s="67">
        <f ca="1">IF(LOWER(Capacity!$V19)="x",IF(AND(SUMIF(Capacity_Resource,$D114,'Critical resources (hide)'!AB$6:AB$105)+SUMIF(Capacity_Resource,$E114,'Critical resources (hide)'!AB$6:AB$105)+SUMIF(Capacity_Resource,$F114,'Critical resources (hide)'!AB$6:AB$105)&gt;0,$E$1=2),0,1),0)</f>
        <v>1</v>
      </c>
      <c r="P114" s="67">
        <f ca="1">IF(LOWER(Capacity!$V19)="x",IF(AND(SUMIF(Capacity_Resource,$D114,'Critical resources (hide)'!AC$6:AC$105)+SUMIF(Capacity_Resource,$E114,'Critical resources (hide)'!AC$6:AC$105)+SUMIF(Capacity_Resource,$F114,'Critical resources (hide)'!AC$6:AC$105)&gt;0,$E$1=2),0,1),0)</f>
        <v>1</v>
      </c>
      <c r="Q114" s="67">
        <f ca="1">IF(LOWER(Capacity!$V19)="x",IF(AND(SUMIF(Capacity_Resource,$D114,'Critical resources (hide)'!AD$6:AD$105)+SUMIF(Capacity_Resource,$E114,'Critical resources (hide)'!AD$6:AD$105)+SUMIF(Capacity_Resource,$F114,'Critical resources (hide)'!AD$6:AD$105)&gt;0,$E$1=2),0,1),0)</f>
        <v>1</v>
      </c>
      <c r="R114" s="67">
        <f ca="1">IF(LOWER(Capacity!$V19)="x",IF(AND(SUMIF(Capacity_Resource,$D114,'Critical resources (hide)'!AE$6:AE$105)+SUMIF(Capacity_Resource,$E114,'Critical resources (hide)'!AE$6:AE$105)+SUMIF(Capacity_Resource,$F114,'Critical resources (hide)'!AE$6:AE$105)&gt;0,$E$1=2),0,1),0)</f>
        <v>1</v>
      </c>
      <c r="S114" s="67">
        <f ca="1">IF(LOWER(Capacity!$V19)="x",IF(AND(SUMIF(Capacity_Resource,$D114,'Critical resources (hide)'!AF$6:AF$105)+SUMIF(Capacity_Resource,$E114,'Critical resources (hide)'!AF$6:AF$105)+SUMIF(Capacity_Resource,$F114,'Critical resources (hide)'!AF$6:AF$105)&gt;0,$E$1=2),0,1),0)</f>
        <v>1</v>
      </c>
      <c r="T114" s="67">
        <f ca="1">IF(LOWER(Capacity!$V19)="x",IF(AND(SUMIF(Capacity_Resource,$D114,'Critical resources (hide)'!AG$6:AG$105)+SUMIF(Capacity_Resource,$E114,'Critical resources (hide)'!AG$6:AG$105)+SUMIF(Capacity_Resource,$F114,'Critical resources (hide)'!AG$6:AG$105)&gt;0,$E$1=2),0,1),0)</f>
        <v>1</v>
      </c>
      <c r="U114" s="67">
        <f ca="1">IF(LOWER(Capacity!$V19)="x",IF(AND(SUMIF(Capacity_Resource,$D114,'Critical resources (hide)'!AH$6:AH$105)+SUMIF(Capacity_Resource,$E114,'Critical resources (hide)'!AH$6:AH$105)+SUMIF(Capacity_Resource,$F114,'Critical resources (hide)'!AH$6:AH$105)&gt;0,$E$1=2),0,1),0)</f>
        <v>1</v>
      </c>
      <c r="V114" s="67">
        <f ca="1">IF(LOWER(Capacity!$V19)="x",IF(AND(SUMIF(Capacity_Resource,$D114,'Critical resources (hide)'!AI$6:AI$105)+SUMIF(Capacity_Resource,$E114,'Critical resources (hide)'!AI$6:AI$105)+SUMIF(Capacity_Resource,$F114,'Critical resources (hide)'!AI$6:AI$105)&gt;0,$E$1=2),0,1),0)</f>
        <v>1</v>
      </c>
      <c r="W114" s="67">
        <f ca="1">IF(LOWER(Capacity!$V19)="x",IF(AND(SUMIF(Capacity_Resource,$D114,'Critical resources (hide)'!AJ$6:AJ$105)+SUMIF(Capacity_Resource,$E114,'Critical resources (hide)'!AJ$6:AJ$105)+SUMIF(Capacity_Resource,$F114,'Critical resources (hide)'!AJ$6:AJ$105)&gt;0,$E$1=2),0,1),0)</f>
        <v>1</v>
      </c>
      <c r="X114" s="67">
        <f ca="1">IF(LOWER(Capacity!$V19)="x",IF(AND(SUMIF(Capacity_Resource,$D114,'Critical resources (hide)'!AK$6:AK$105)+SUMIF(Capacity_Resource,$E114,'Critical resources (hide)'!AK$6:AK$105)+SUMIF(Capacity_Resource,$F114,'Critical resources (hide)'!AK$6:AK$105)&gt;0,$E$1=2),0,1),0)</f>
        <v>1</v>
      </c>
      <c r="Y114" s="67">
        <f ca="1">IF(LOWER(Capacity!$V19)="x",IF(AND(SUMIF(Capacity_Resource,$D114,'Critical resources (hide)'!AL$6:AL$105)+SUMIF(Capacity_Resource,$E114,'Critical resources (hide)'!AL$6:AL$105)+SUMIF(Capacity_Resource,$F114,'Critical resources (hide)'!AL$6:AL$105)&gt;0,$E$1=2),0,1),0)</f>
        <v>1</v>
      </c>
      <c r="Z114" s="67">
        <f ca="1">IF(LOWER(Capacity!$V19)="x",IF(AND(SUMIF(Capacity_Resource,$D114,'Critical resources (hide)'!AM$6:AM$105)+SUMIF(Capacity_Resource,$E114,'Critical resources (hide)'!AM$6:AM$105)+SUMIF(Capacity_Resource,$F114,'Critical resources (hide)'!AM$6:AM$105)&gt;0,$E$1=2),0,1),0)</f>
        <v>1</v>
      </c>
      <c r="AA114" s="67">
        <f ca="1">IF(LOWER(Capacity!$V19)="x",IF(AND(SUMIF(Capacity_Resource,$D114,'Critical resources (hide)'!AN$6:AN$105)+SUMIF(Capacity_Resource,$E114,'Critical resources (hide)'!AN$6:AN$105)+SUMIF(Capacity_Resource,$F114,'Critical resources (hide)'!AN$6:AN$105)&gt;0,$E$1=2),0,1),0)</f>
        <v>1</v>
      </c>
      <c r="AB114" s="67">
        <f ca="1">IF(LOWER(Capacity!$V19)="x",IF(AND(SUMIF(Capacity_Resource,$D114,'Critical resources (hide)'!AO$6:AO$105)+SUMIF(Capacity_Resource,$E114,'Critical resources (hide)'!AO$6:AO$105)+SUMIF(Capacity_Resource,$F114,'Critical resources (hide)'!AO$6:AO$105)&gt;0,$E$1=2),0,1),0)</f>
        <v>1</v>
      </c>
      <c r="AC114" s="67">
        <f ca="1">IF(LOWER(Capacity!$V19)="x",IF(AND(SUMIF(Capacity_Resource,$D114,'Critical resources (hide)'!AP$6:AP$105)+SUMIF(Capacity_Resource,$E114,'Critical resources (hide)'!AP$6:AP$105)+SUMIF(Capacity_Resource,$F114,'Critical resources (hide)'!AP$6:AP$105)&gt;0,$E$1=2),0,1),0)</f>
        <v>1</v>
      </c>
      <c r="AD114" s="67">
        <f ca="1">IF(LOWER(Capacity!$V19)="x",IF(AND(SUMIF(Capacity_Resource,$D114,'Critical resources (hide)'!AQ$6:AQ$105)+SUMIF(Capacity_Resource,$E114,'Critical resources (hide)'!AQ$6:AQ$105)+SUMIF(Capacity_Resource,$F114,'Critical resources (hide)'!AQ$6:AQ$105)&gt;0,$E$1=2),0,1),0)</f>
        <v>1</v>
      </c>
      <c r="AE114" s="67">
        <f ca="1">IF(LOWER(Capacity!$V19)="x",IF(AND(SUMIF(Capacity_Resource,$D114,'Critical resources (hide)'!AR$6:AR$105)+SUMIF(Capacity_Resource,$E114,'Critical resources (hide)'!AR$6:AR$105)+SUMIF(Capacity_Resource,$F114,'Critical resources (hide)'!AR$6:AR$105)&gt;0,$E$1=2),0,1),0)</f>
        <v>1</v>
      </c>
      <c r="AF114" s="67">
        <f ca="1">IF(LOWER(Capacity!$V19)="x",IF(AND(SUMIF(Capacity_Resource,$D114,'Critical resources (hide)'!AS$6:AS$105)+SUMIF(Capacity_Resource,$E114,'Critical resources (hide)'!AS$6:AS$105)+SUMIF(Capacity_Resource,$F114,'Critical resources (hide)'!AS$6:AS$105)&gt;0,$E$1=2),0,1),0)</f>
        <v>1</v>
      </c>
      <c r="AG114" s="67">
        <f ca="1">IF(LOWER(Capacity!$V19)="x",IF(AND(SUMIF(Capacity_Resource,$D114,'Critical resources (hide)'!AT$6:AT$105)+SUMIF(Capacity_Resource,$E114,'Critical resources (hide)'!AT$6:AT$105)+SUMIF(Capacity_Resource,$F114,'Critical resources (hide)'!AT$6:AT$105)&gt;0,$E$1=2),0,1),0)</f>
        <v>1</v>
      </c>
      <c r="AH114" s="67">
        <f ca="1">IF(LOWER(Capacity!$V19)="x",IF(AND(SUMIF(Capacity_Resource,$D114,'Critical resources (hide)'!AU$6:AU$105)+SUMIF(Capacity_Resource,$E114,'Critical resources (hide)'!AU$6:AU$105)+SUMIF(Capacity_Resource,$F114,'Critical resources (hide)'!AU$6:AU$105)&gt;0,$E$1=2),0,1),0)</f>
        <v>1</v>
      </c>
      <c r="AI114" s="67">
        <f ca="1">IF(LOWER(Capacity!$V19)="x",IF(AND(SUMIF(Capacity_Resource,$D114,'Critical resources (hide)'!AV$6:AV$105)+SUMIF(Capacity_Resource,$E114,'Critical resources (hide)'!AV$6:AV$105)+SUMIF(Capacity_Resource,$F114,'Critical resources (hide)'!AV$6:AV$105)&gt;0,$E$1=2),0,1),0)</f>
        <v>1</v>
      </c>
      <c r="AJ114" s="67">
        <f ca="1">IF(LOWER(Capacity!$V19)="x",IF(AND(SUMIF(Capacity_Resource,$D114,'Critical resources (hide)'!AW$6:AW$105)+SUMIF(Capacity_Resource,$E114,'Critical resources (hide)'!AW$6:AW$105)+SUMIF(Capacity_Resource,$F114,'Critical resources (hide)'!AW$6:AW$105)&gt;0,$E$1=2),0,1),0)</f>
        <v>1</v>
      </c>
      <c r="AK114" s="67">
        <f ca="1">IF(LOWER(Capacity!$V19)="x",IF(AND(SUMIF(Capacity_Resource,$D114,'Critical resources (hide)'!AX$6:AX$105)+SUMIF(Capacity_Resource,$E114,'Critical resources (hide)'!AX$6:AX$105)+SUMIF(Capacity_Resource,$F114,'Critical resources (hide)'!AX$6:AX$105)&gt;0,$E$1=2),0,1),0)</f>
        <v>1</v>
      </c>
      <c r="AL114" s="67">
        <f ca="1">IF(LOWER(Capacity!$V19)="x",IF(AND(SUMIF(Capacity_Resource,$D114,'Critical resources (hide)'!AY$6:AY$105)+SUMIF(Capacity_Resource,$E114,'Critical resources (hide)'!AY$6:AY$105)+SUMIF(Capacity_Resource,$F114,'Critical resources (hide)'!AY$6:AY$105)&gt;0,$E$1=2),0,1),0)</f>
        <v>1</v>
      </c>
      <c r="AM114" s="67">
        <f ca="1">IF(LOWER(Capacity!$V19)="x",IF(AND(SUMIF(Capacity_Resource,$D114,'Critical resources (hide)'!AZ$6:AZ$105)+SUMIF(Capacity_Resource,$E114,'Critical resources (hide)'!AZ$6:AZ$105)+SUMIF(Capacity_Resource,$F114,'Critical resources (hide)'!AZ$6:AZ$105)&gt;0,$E$1=2),0,1),0)</f>
        <v>1</v>
      </c>
      <c r="AN114" s="67">
        <f ca="1">IF(LOWER(Capacity!$V19)="x",IF(AND(SUMIF(Capacity_Resource,$D114,'Critical resources (hide)'!BA$6:BA$105)+SUMIF(Capacity_Resource,$E114,'Critical resources (hide)'!BA$6:BA$105)+SUMIF(Capacity_Resource,$F114,'Critical resources (hide)'!BA$6:BA$105)&gt;0,$E$1=2),0,1),0)</f>
        <v>1</v>
      </c>
      <c r="AO114" s="67">
        <f ca="1">IF(LOWER(Capacity!$V19)="x",IF(AND(SUMIF(Capacity_Resource,$D114,'Critical resources (hide)'!BB$6:BB$105)+SUMIF(Capacity_Resource,$E114,'Critical resources (hide)'!BB$6:BB$105)+SUMIF(Capacity_Resource,$F114,'Critical resources (hide)'!BB$6:BB$105)&gt;0,$E$1=2),0,1),0)</f>
        <v>1</v>
      </c>
      <c r="AP114" s="67">
        <f ca="1">IF(LOWER(Capacity!$V19)="x",IF(AND(SUMIF(Capacity_Resource,$D114,'Critical resources (hide)'!BC$6:BC$105)+SUMIF(Capacity_Resource,$E114,'Critical resources (hide)'!BC$6:BC$105)+SUMIF(Capacity_Resource,$F114,'Critical resources (hide)'!BC$6:BC$105)&gt;0,$E$1=2),0,1),0)</f>
        <v>1</v>
      </c>
      <c r="AQ114" s="67">
        <f ca="1">IF(LOWER(Capacity!$V19)="x",IF(AND(SUMIF(Capacity_Resource,$D114,'Critical resources (hide)'!BD$6:BD$105)+SUMIF(Capacity_Resource,$E114,'Critical resources (hide)'!BD$6:BD$105)+SUMIF(Capacity_Resource,$F114,'Critical resources (hide)'!BD$6:BD$105)&gt;0,$E$1=2),0,1),0)</f>
        <v>1</v>
      </c>
      <c r="AR114" s="67">
        <f ca="1">IF(LOWER(Capacity!$V19)="x",IF(AND(SUMIF(Capacity_Resource,$D114,'Critical resources (hide)'!BE$6:BE$105)+SUMIF(Capacity_Resource,$E114,'Critical resources (hide)'!BE$6:BE$105)+SUMIF(Capacity_Resource,$F114,'Critical resources (hide)'!BE$6:BE$105)&gt;0,$E$1=2),0,1),0)</f>
        <v>1</v>
      </c>
      <c r="AS114" s="67">
        <f ca="1">IF(LOWER(Capacity!$V19)="x",IF(AND(SUMIF(Capacity_Resource,$D114,'Critical resources (hide)'!BF$6:BF$105)+SUMIF(Capacity_Resource,$E114,'Critical resources (hide)'!BF$6:BF$105)+SUMIF(Capacity_Resource,$F114,'Critical resources (hide)'!BF$6:BF$105)&gt;0,$E$1=2),0,1),0)</f>
        <v>1</v>
      </c>
      <c r="AT114" s="67">
        <f ca="1">IF(LOWER(Capacity!$V19)="x",IF(AND(SUMIF(Capacity_Resource,$D114,'Critical resources (hide)'!BG$6:BG$105)+SUMIF(Capacity_Resource,$E114,'Critical resources (hide)'!BG$6:BG$105)+SUMIF(Capacity_Resource,$F114,'Critical resources (hide)'!BG$6:BG$105)&gt;0,$E$1=2),0,1),0)</f>
        <v>1</v>
      </c>
      <c r="AU114" s="67">
        <f ca="1">IF(LOWER(Capacity!$V19)="x",IF(AND(SUMIF(Capacity_Resource,$D114,'Critical resources (hide)'!BH$6:BH$105)+SUMIF(Capacity_Resource,$E114,'Critical resources (hide)'!BH$6:BH$105)+SUMIF(Capacity_Resource,$F114,'Critical resources (hide)'!BH$6:BH$105)&gt;0,$E$1=2),0,1),0)</f>
        <v>1</v>
      </c>
      <c r="AV114" s="67">
        <f ca="1">IF(LOWER(Capacity!$V19)="x",IF(AND(SUMIF(Capacity_Resource,$D114,'Critical resources (hide)'!BI$6:BI$105)+SUMIF(Capacity_Resource,$E114,'Critical resources (hide)'!BI$6:BI$105)+SUMIF(Capacity_Resource,$F114,'Critical resources (hide)'!BI$6:BI$105)&gt;0,$E$1=2),0,1),0)</f>
        <v>1</v>
      </c>
      <c r="AW114" s="67">
        <f ca="1">IF(LOWER(Capacity!$V19)="x",IF(AND(SUMIF(Capacity_Resource,$D114,'Critical resources (hide)'!BJ$6:BJ$105)+SUMIF(Capacity_Resource,$E114,'Critical resources (hide)'!BJ$6:BJ$105)+SUMIF(Capacity_Resource,$F114,'Critical resources (hide)'!BJ$6:BJ$105)&gt;0,$E$1=2),0,1),0)</f>
        <v>1</v>
      </c>
      <c r="AX114" s="67">
        <f ca="1">IF(LOWER(Capacity!$V19)="x",IF(AND(SUMIF(Capacity_Resource,$D114,'Critical resources (hide)'!BK$6:BK$105)+SUMIF(Capacity_Resource,$E114,'Critical resources (hide)'!BK$6:BK$105)+SUMIF(Capacity_Resource,$F114,'Critical resources (hide)'!BK$6:BK$105)&gt;0,$E$1=2),0,1),0)</f>
        <v>1</v>
      </c>
      <c r="AY114" s="67">
        <f ca="1">IF(LOWER(Capacity!$V19)="x",IF(AND(SUMIF(Capacity_Resource,$D114,'Critical resources (hide)'!BL$6:BL$105)+SUMIF(Capacity_Resource,$E114,'Critical resources (hide)'!BL$6:BL$105)+SUMIF(Capacity_Resource,$F114,'Critical resources (hide)'!BL$6:BL$105)&gt;0,$E$1=2),0,1),0)</f>
        <v>1</v>
      </c>
      <c r="AZ114" s="67">
        <f ca="1">IF(LOWER(Capacity!$V19)="x",IF(AND(SUMIF(Capacity_Resource,$D114,'Critical resources (hide)'!BM$6:BM$105)+SUMIF(Capacity_Resource,$E114,'Critical resources (hide)'!BM$6:BM$105)+SUMIF(Capacity_Resource,$F114,'Critical resources (hide)'!BM$6:BM$105)&gt;0,$E$1=2),0,1),0)</f>
        <v>1</v>
      </c>
      <c r="BA114" s="67">
        <f ca="1">IF(LOWER(Capacity!$V19)="x",IF(AND(SUMIF(Capacity_Resource,$D114,'Critical resources (hide)'!BN$6:BN$105)+SUMIF(Capacity_Resource,$E114,'Critical resources (hide)'!BN$6:BN$105)+SUMIF(Capacity_Resource,$F114,'Critical resources (hide)'!BN$6:BN$105)&gt;0,$E$1=2),0,1),0)</f>
        <v>1</v>
      </c>
      <c r="BB114" s="67">
        <f ca="1">IF(LOWER(Capacity!$V19)="x",IF(AND(SUMIF(Capacity_Resource,$D114,'Critical resources (hide)'!BO$6:BO$105)+SUMIF(Capacity_Resource,$E114,'Critical resources (hide)'!BO$6:BO$105)+SUMIF(Capacity_Resource,$F114,'Critical resources (hide)'!BO$6:BO$105)&gt;0,$E$1=2),0,1),0)</f>
        <v>1</v>
      </c>
      <c r="BC114" s="67">
        <f ca="1">IF(LOWER(Capacity!$V19)="x",IF(AND(SUMIF(Capacity_Resource,$D114,'Critical resources (hide)'!BP$6:BP$105)+SUMIF(Capacity_Resource,$E114,'Critical resources (hide)'!BP$6:BP$105)+SUMIF(Capacity_Resource,$F114,'Critical resources (hide)'!BP$6:BP$105)&gt;0,$E$1=2),0,1),0)</f>
        <v>1</v>
      </c>
      <c r="BD114" s="67">
        <f ca="1">IF(LOWER(Capacity!$V19)="x",IF(AND(SUMIF(Capacity_Resource,$D114,'Critical resources (hide)'!BQ$6:BQ$105)+SUMIF(Capacity_Resource,$E114,'Critical resources (hide)'!BQ$6:BQ$105)+SUMIF(Capacity_Resource,$F114,'Critical resources (hide)'!BQ$6:BQ$105)&gt;0,$E$1=2),0,1),0)</f>
        <v>1</v>
      </c>
      <c r="BE114" s="67">
        <f ca="1">IF(LOWER(Capacity!$V19)="x",IF(AND(SUMIF(Capacity_Resource,$D114,'Critical resources (hide)'!BR$6:BR$105)+SUMIF(Capacity_Resource,$E114,'Critical resources (hide)'!BR$6:BR$105)+SUMIF(Capacity_Resource,$F114,'Critical resources (hide)'!BR$6:BR$105)&gt;0,$E$1=2),0,1),0)</f>
        <v>1</v>
      </c>
      <c r="BF114" s="67">
        <f ca="1">IF(LOWER(Capacity!$V19)="x",IF(AND(SUMIF(Capacity_Resource,$D114,'Critical resources (hide)'!BS$6:BS$105)+SUMIF(Capacity_Resource,$E114,'Critical resources (hide)'!BS$6:BS$105)+SUMIF(Capacity_Resource,$F114,'Critical resources (hide)'!BS$6:BS$105)&gt;0,$E$1=2),0,1),0)</f>
        <v>1</v>
      </c>
      <c r="BG114" s="67">
        <f ca="1">IF(LOWER(Capacity!$V19)="x",IF(AND(SUMIF(Capacity_Resource,$D114,'Critical resources (hide)'!BT$6:BT$105)+SUMIF(Capacity_Resource,$E114,'Critical resources (hide)'!BT$6:BT$105)+SUMIF(Capacity_Resource,$F114,'Critical resources (hide)'!BT$6:BT$105)&gt;0,$E$1=2),0,1),0)</f>
        <v>1</v>
      </c>
      <c r="BH114" s="67">
        <f>IF(ROW(A3)&lt;=Capacity!$M$16,IF('Capacity summary'!$C$14="No",SUM(H114:BG114),'Capacity summary'!$E26),0)</f>
        <v>0</v>
      </c>
      <c r="BI114" s="67" t="str">
        <f>IF(BH114&gt;0,IF(BH114&lt;Capacity!Q19,Capacity!R19,Capacity!T19/'Capacity calculation (hide)'!BH114),"")</f>
        <v/>
      </c>
      <c r="BJ114" s="5"/>
      <c r="BK114" s="5">
        <f>IF($BI114&lt;&gt;"",IF('Capacity summary'!$C$14="Yes",IF(COUNTBLANK('Capacity summary'!$H26:$BG26)&lt;52,IF('Capacity summary'!H26&lt;&gt;"",IF(LOWER('Capacity summary'!H26)="x",$BI114*H114,VALUE('Capacity summary'!H26)),0),H114*$BI114),H114*$BI114),0)</f>
        <v>0</v>
      </c>
      <c r="BL114" s="5">
        <f>IF($BI114&lt;&gt;"",IF('Capacity summary'!$C$14="Yes",IF(COUNTBLANK('Capacity summary'!$H26:$BG26)&lt;52,IF('Capacity summary'!I26&lt;&gt;"",IF(LOWER('Capacity summary'!I26)="x",$BI114*I114,VALUE('Capacity summary'!I26)),0),I114*$BI114),I114*$BI114),0)</f>
        <v>0</v>
      </c>
      <c r="BM114" s="5">
        <f>IF($BI114&lt;&gt;"",IF('Capacity summary'!$C$14="Yes",IF(COUNTBLANK('Capacity summary'!$H26:$BG26)&lt;52,IF('Capacity summary'!J26&lt;&gt;"",IF(LOWER('Capacity summary'!J26)="x",$BI114*J114,VALUE('Capacity summary'!J26)),0),J114*$BI114),J114*$BI114),0)</f>
        <v>0</v>
      </c>
      <c r="BN114" s="5">
        <f>IF($BI114&lt;&gt;"",IF('Capacity summary'!$C$14="Yes",IF(COUNTBLANK('Capacity summary'!$H26:$BG26)&lt;52,IF('Capacity summary'!K26&lt;&gt;"",IF(LOWER('Capacity summary'!K26)="x",$BI114*K114,VALUE('Capacity summary'!K26)),0),K114*$BI114),K114*$BI114),0)</f>
        <v>0</v>
      </c>
      <c r="BO114" s="5">
        <f>IF($BI114&lt;&gt;"",IF('Capacity summary'!$C$14="Yes",IF(COUNTBLANK('Capacity summary'!$H26:$BG26)&lt;52,IF('Capacity summary'!L26&lt;&gt;"",IF(LOWER('Capacity summary'!L26)="x",$BI114*L114,VALUE('Capacity summary'!L26)),0),L114*$BI114),L114*$BI114),0)</f>
        <v>0</v>
      </c>
      <c r="BP114" s="5">
        <f>IF($BI114&lt;&gt;"",IF('Capacity summary'!$C$14="Yes",IF(COUNTBLANK('Capacity summary'!$H26:$BG26)&lt;52,IF('Capacity summary'!M26&lt;&gt;"",IF(LOWER('Capacity summary'!M26)="x",$BI114*M114,VALUE('Capacity summary'!M26)),0),M114*$BI114),M114*$BI114),0)</f>
        <v>0</v>
      </c>
      <c r="BQ114" s="5">
        <f>IF($BI114&lt;&gt;"",IF('Capacity summary'!$C$14="Yes",IF(COUNTBLANK('Capacity summary'!$H26:$BG26)&lt;52,IF('Capacity summary'!N26&lt;&gt;"",IF(LOWER('Capacity summary'!N26)="x",$BI114*N114,VALUE('Capacity summary'!N26)),0),N114*$BI114),N114*$BI114),0)</f>
        <v>0</v>
      </c>
      <c r="BR114" s="5">
        <f>IF($BI114&lt;&gt;"",IF('Capacity summary'!$C$14="Yes",IF(COUNTBLANK('Capacity summary'!$H26:$BG26)&lt;52,IF('Capacity summary'!O26&lt;&gt;"",IF(LOWER('Capacity summary'!O26)="x",$BI114*O114,VALUE('Capacity summary'!O26)),0),O114*$BI114),O114*$BI114),0)</f>
        <v>0</v>
      </c>
      <c r="BS114" s="5">
        <f>IF($BI114&lt;&gt;"",IF('Capacity summary'!$C$14="Yes",IF(COUNTBLANK('Capacity summary'!$H26:$BG26)&lt;52,IF('Capacity summary'!P26&lt;&gt;"",IF(LOWER('Capacity summary'!P26)="x",$BI114*P114,VALUE('Capacity summary'!P26)),0),P114*$BI114),P114*$BI114),0)</f>
        <v>0</v>
      </c>
      <c r="BT114" s="5">
        <f>IF($BI114&lt;&gt;"",IF('Capacity summary'!$C$14="Yes",IF(COUNTBLANK('Capacity summary'!$H26:$BG26)&lt;52,IF('Capacity summary'!Q26&lt;&gt;"",IF(LOWER('Capacity summary'!Q26)="x",$BI114*Q114,VALUE('Capacity summary'!Q26)),0),Q114*$BI114),Q114*$BI114),0)</f>
        <v>0</v>
      </c>
      <c r="BU114" s="5">
        <f>IF($BI114&lt;&gt;"",IF('Capacity summary'!$C$14="Yes",IF(COUNTBLANK('Capacity summary'!$H26:$BG26)&lt;52,IF('Capacity summary'!R26&lt;&gt;"",IF(LOWER('Capacity summary'!R26)="x",$BI114*R114,VALUE('Capacity summary'!R26)),0),R114*$BI114),R114*$BI114),0)</f>
        <v>0</v>
      </c>
      <c r="BV114" s="5">
        <f>IF($BI114&lt;&gt;"",IF('Capacity summary'!$C$14="Yes",IF(COUNTBLANK('Capacity summary'!$H26:$BG26)&lt;52,IF('Capacity summary'!S26&lt;&gt;"",IF(LOWER('Capacity summary'!S26)="x",$BI114*S114,VALUE('Capacity summary'!S26)),0),S114*$BI114),S114*$BI114),0)</f>
        <v>0</v>
      </c>
      <c r="BW114" s="5">
        <f>IF($BI114&lt;&gt;"",IF('Capacity summary'!$C$14="Yes",IF(COUNTBLANK('Capacity summary'!$H26:$BG26)&lt;52,IF('Capacity summary'!T26&lt;&gt;"",IF(LOWER('Capacity summary'!T26)="x",$BI114*T114,VALUE('Capacity summary'!T26)),0),T114*$BI114),T114*$BI114),0)</f>
        <v>0</v>
      </c>
      <c r="BX114" s="5">
        <f>IF($BI114&lt;&gt;"",IF('Capacity summary'!$C$14="Yes",IF(COUNTBLANK('Capacity summary'!$H26:$BG26)&lt;52,IF('Capacity summary'!U26&lt;&gt;"",IF(LOWER('Capacity summary'!U26)="x",$BI114*U114,VALUE('Capacity summary'!U26)),0),U114*$BI114),U114*$BI114),0)</f>
        <v>0</v>
      </c>
      <c r="BY114" s="5">
        <f>IF($BI114&lt;&gt;"",IF('Capacity summary'!$C$14="Yes",IF(COUNTBLANK('Capacity summary'!$H26:$BG26)&lt;52,IF('Capacity summary'!V26&lt;&gt;"",IF(LOWER('Capacity summary'!V26)="x",$BI114*V114,VALUE('Capacity summary'!V26)),0),V114*$BI114),V114*$BI114),0)</f>
        <v>0</v>
      </c>
      <c r="BZ114" s="5">
        <f>IF($BI114&lt;&gt;"",IF('Capacity summary'!$C$14="Yes",IF(COUNTBLANK('Capacity summary'!$H26:$BG26)&lt;52,IF('Capacity summary'!W26&lt;&gt;"",IF(LOWER('Capacity summary'!W26)="x",$BI114*W114,VALUE('Capacity summary'!W26)),0),W114*$BI114),W114*$BI114),0)</f>
        <v>0</v>
      </c>
      <c r="CA114" s="5">
        <f>IF($BI114&lt;&gt;"",IF('Capacity summary'!$C$14="Yes",IF(COUNTBLANK('Capacity summary'!$H26:$BG26)&lt;52,IF('Capacity summary'!X26&lt;&gt;"",IF(LOWER('Capacity summary'!X26)="x",$BI114*X114,VALUE('Capacity summary'!X26)),0),X114*$BI114),X114*$BI114),0)</f>
        <v>0</v>
      </c>
      <c r="CB114" s="5">
        <f>IF($BI114&lt;&gt;"",IF('Capacity summary'!$C$14="Yes",IF(COUNTBLANK('Capacity summary'!$H26:$BG26)&lt;52,IF('Capacity summary'!Y26&lt;&gt;"",IF(LOWER('Capacity summary'!Y26)="x",$BI114*Y114,VALUE('Capacity summary'!Y26)),0),Y114*$BI114),Y114*$BI114),0)</f>
        <v>0</v>
      </c>
      <c r="CC114" s="5">
        <f>IF($BI114&lt;&gt;"",IF('Capacity summary'!$C$14="Yes",IF(COUNTBLANK('Capacity summary'!$H26:$BG26)&lt;52,IF('Capacity summary'!Z26&lt;&gt;"",IF(LOWER('Capacity summary'!Z26)="x",$BI114*Z114,VALUE('Capacity summary'!Z26)),0),Z114*$BI114),Z114*$BI114),0)</f>
        <v>0</v>
      </c>
      <c r="CD114" s="5">
        <f>IF($BI114&lt;&gt;"",IF('Capacity summary'!$C$14="Yes",IF(COUNTBLANK('Capacity summary'!$H26:$BG26)&lt;52,IF('Capacity summary'!AA26&lt;&gt;"",IF(LOWER('Capacity summary'!AA26)="x",$BI114*AA114,VALUE('Capacity summary'!AA26)),0),AA114*$BI114),AA114*$BI114),0)</f>
        <v>0</v>
      </c>
      <c r="CE114" s="5">
        <f>IF($BI114&lt;&gt;"",IF('Capacity summary'!$C$14="Yes",IF(COUNTBLANK('Capacity summary'!$H26:$BG26)&lt;52,IF('Capacity summary'!AB26&lt;&gt;"",IF(LOWER('Capacity summary'!AB26)="x",$BI114*AB114,VALUE('Capacity summary'!AB26)),0),AB114*$BI114),AB114*$BI114),0)</f>
        <v>0</v>
      </c>
      <c r="CF114" s="5">
        <f>IF($BI114&lt;&gt;"",IF('Capacity summary'!$C$14="Yes",IF(COUNTBLANK('Capacity summary'!$H26:$BG26)&lt;52,IF('Capacity summary'!AC26&lt;&gt;"",IF(LOWER('Capacity summary'!AC26)="x",$BI114*AC114,VALUE('Capacity summary'!AC26)),0),AC114*$BI114),AC114*$BI114),0)</f>
        <v>0</v>
      </c>
      <c r="CG114" s="5">
        <f>IF($BI114&lt;&gt;"",IF('Capacity summary'!$C$14="Yes",IF(COUNTBLANK('Capacity summary'!$H26:$BG26)&lt;52,IF('Capacity summary'!AD26&lt;&gt;"",IF(LOWER('Capacity summary'!AD26)="x",$BI114*AD114,VALUE('Capacity summary'!AD26)),0),AD114*$BI114),AD114*$BI114),0)</f>
        <v>0</v>
      </c>
      <c r="CH114" s="5">
        <f>IF($BI114&lt;&gt;"",IF('Capacity summary'!$C$14="Yes",IF(COUNTBLANK('Capacity summary'!$H26:$BG26)&lt;52,IF('Capacity summary'!AE26&lt;&gt;"",IF(LOWER('Capacity summary'!AE26)="x",$BI114*AE114,VALUE('Capacity summary'!AE26)),0),AE114*$BI114),AE114*$BI114),0)</f>
        <v>0</v>
      </c>
      <c r="CI114" s="5">
        <f>IF($BI114&lt;&gt;"",IF('Capacity summary'!$C$14="Yes",IF(COUNTBLANK('Capacity summary'!$H26:$BG26)&lt;52,IF('Capacity summary'!AF26&lt;&gt;"",IF(LOWER('Capacity summary'!AF26)="x",$BI114*AF114,VALUE('Capacity summary'!AF26)),0),AF114*$BI114),AF114*$BI114),0)</f>
        <v>0</v>
      </c>
      <c r="CJ114" s="5">
        <f>IF($BI114&lt;&gt;"",IF('Capacity summary'!$C$14="Yes",IF(COUNTBLANK('Capacity summary'!$H26:$BG26)&lt;52,IF('Capacity summary'!AG26&lt;&gt;"",IF(LOWER('Capacity summary'!AG26)="x",$BI114*AG114,VALUE('Capacity summary'!AG26)),0),AG114*$BI114),AG114*$BI114),0)</f>
        <v>0</v>
      </c>
      <c r="CK114" s="5">
        <f>IF($BI114&lt;&gt;"",IF('Capacity summary'!$C$14="Yes",IF(COUNTBLANK('Capacity summary'!$H26:$BG26)&lt;52,IF('Capacity summary'!AH26&lt;&gt;"",IF(LOWER('Capacity summary'!AH26)="x",$BI114*AH114,VALUE('Capacity summary'!AH26)),0),AH114*$BI114),AH114*$BI114),0)</f>
        <v>0</v>
      </c>
      <c r="CL114" s="5">
        <f>IF($BI114&lt;&gt;"",IF('Capacity summary'!$C$14="Yes",IF(COUNTBLANK('Capacity summary'!$H26:$BG26)&lt;52,IF('Capacity summary'!AI26&lt;&gt;"",IF(LOWER('Capacity summary'!AI26)="x",$BI114*AI114,VALUE('Capacity summary'!AI26)),0),AI114*$BI114),AI114*$BI114),0)</f>
        <v>0</v>
      </c>
      <c r="CM114" s="5">
        <f>IF($BI114&lt;&gt;"",IF('Capacity summary'!$C$14="Yes",IF(COUNTBLANK('Capacity summary'!$H26:$BG26)&lt;52,IF('Capacity summary'!AJ26&lt;&gt;"",IF(LOWER('Capacity summary'!AJ26)="x",$BI114*AJ114,VALUE('Capacity summary'!AJ26)),0),AJ114*$BI114),AJ114*$BI114),0)</f>
        <v>0</v>
      </c>
      <c r="CN114" s="5">
        <f>IF($BI114&lt;&gt;"",IF('Capacity summary'!$C$14="Yes",IF(COUNTBLANK('Capacity summary'!$H26:$BG26)&lt;52,IF('Capacity summary'!AK26&lt;&gt;"",IF(LOWER('Capacity summary'!AK26)="x",$BI114*AK114,VALUE('Capacity summary'!AK26)),0),AK114*$BI114),AK114*$BI114),0)</f>
        <v>0</v>
      </c>
      <c r="CO114" s="5">
        <f>IF($BI114&lt;&gt;"",IF('Capacity summary'!$C$14="Yes",IF(COUNTBLANK('Capacity summary'!$H26:$BG26)&lt;52,IF('Capacity summary'!AL26&lt;&gt;"",IF(LOWER('Capacity summary'!AL26)="x",$BI114*AL114,VALUE('Capacity summary'!AL26)),0),AL114*$BI114),AL114*$BI114),0)</f>
        <v>0</v>
      </c>
      <c r="CP114" s="5">
        <f>IF($BI114&lt;&gt;"",IF('Capacity summary'!$C$14="Yes",IF(COUNTBLANK('Capacity summary'!$H26:$BG26)&lt;52,IF('Capacity summary'!AM26&lt;&gt;"",IF(LOWER('Capacity summary'!AM26)="x",$BI114*AM114,VALUE('Capacity summary'!AM26)),0),AM114*$BI114),AM114*$BI114),0)</f>
        <v>0</v>
      </c>
      <c r="CQ114" s="5">
        <f>IF($BI114&lt;&gt;"",IF('Capacity summary'!$C$14="Yes",IF(COUNTBLANK('Capacity summary'!$H26:$BG26)&lt;52,IF('Capacity summary'!AN26&lt;&gt;"",IF(LOWER('Capacity summary'!AN26)="x",$BI114*AN114,VALUE('Capacity summary'!AN26)),0),AN114*$BI114),AN114*$BI114),0)</f>
        <v>0</v>
      </c>
      <c r="CR114" s="5">
        <f>IF($BI114&lt;&gt;"",IF('Capacity summary'!$C$14="Yes",IF(COUNTBLANK('Capacity summary'!$H26:$BG26)&lt;52,IF('Capacity summary'!AO26&lt;&gt;"",IF(LOWER('Capacity summary'!AO26)="x",$BI114*AO114,VALUE('Capacity summary'!AO26)),0),AO114*$BI114),AO114*$BI114),0)</f>
        <v>0</v>
      </c>
      <c r="CS114" s="5">
        <f>IF($BI114&lt;&gt;"",IF('Capacity summary'!$C$14="Yes",IF(COUNTBLANK('Capacity summary'!$H26:$BG26)&lt;52,IF('Capacity summary'!AP26&lt;&gt;"",IF(LOWER('Capacity summary'!AP26)="x",$BI114*AP114,VALUE('Capacity summary'!AP26)),0),AP114*$BI114),AP114*$BI114),0)</f>
        <v>0</v>
      </c>
      <c r="CT114" s="5">
        <f>IF($BI114&lt;&gt;"",IF('Capacity summary'!$C$14="Yes",IF(COUNTBLANK('Capacity summary'!$H26:$BG26)&lt;52,IF('Capacity summary'!AQ26&lt;&gt;"",IF(LOWER('Capacity summary'!AQ26)="x",$BI114*AQ114,VALUE('Capacity summary'!AQ26)),0),AQ114*$BI114),AQ114*$BI114),0)</f>
        <v>0</v>
      </c>
      <c r="CU114" s="5">
        <f>IF($BI114&lt;&gt;"",IF('Capacity summary'!$C$14="Yes",IF(COUNTBLANK('Capacity summary'!$H26:$BG26)&lt;52,IF('Capacity summary'!AR26&lt;&gt;"",IF(LOWER('Capacity summary'!AR26)="x",$BI114*AR114,VALUE('Capacity summary'!AR26)),0),AR114*$BI114),AR114*$BI114),0)</f>
        <v>0</v>
      </c>
      <c r="CV114" s="5">
        <f>IF($BI114&lt;&gt;"",IF('Capacity summary'!$C$14="Yes",IF(COUNTBLANK('Capacity summary'!$H26:$BG26)&lt;52,IF('Capacity summary'!AS26&lt;&gt;"",IF(LOWER('Capacity summary'!AS26)="x",$BI114*AS114,VALUE('Capacity summary'!AS26)),0),AS114*$BI114),AS114*$BI114),0)</f>
        <v>0</v>
      </c>
      <c r="CW114" s="5">
        <f>IF($BI114&lt;&gt;"",IF('Capacity summary'!$C$14="Yes",IF(COUNTBLANK('Capacity summary'!$H26:$BG26)&lt;52,IF('Capacity summary'!AT26&lt;&gt;"",IF(LOWER('Capacity summary'!AT26)="x",$BI114*AT114,VALUE('Capacity summary'!AT26)),0),AT114*$BI114),AT114*$BI114),0)</f>
        <v>0</v>
      </c>
      <c r="CX114" s="5">
        <f>IF($BI114&lt;&gt;"",IF('Capacity summary'!$C$14="Yes",IF(COUNTBLANK('Capacity summary'!$H26:$BG26)&lt;52,IF('Capacity summary'!AU26&lt;&gt;"",IF(LOWER('Capacity summary'!AU26)="x",$BI114*AU114,VALUE('Capacity summary'!AU26)),0),AU114*$BI114),AU114*$BI114),0)</f>
        <v>0</v>
      </c>
      <c r="CY114" s="5">
        <f>IF($BI114&lt;&gt;"",IF('Capacity summary'!$C$14="Yes",IF(COUNTBLANK('Capacity summary'!$H26:$BG26)&lt;52,IF('Capacity summary'!AV26&lt;&gt;"",IF(LOWER('Capacity summary'!AV26)="x",$BI114*AV114,VALUE('Capacity summary'!AV26)),0),AV114*$BI114),AV114*$BI114),0)</f>
        <v>0</v>
      </c>
      <c r="CZ114" s="5">
        <f>IF($BI114&lt;&gt;"",IF('Capacity summary'!$C$14="Yes",IF(COUNTBLANK('Capacity summary'!$H26:$BG26)&lt;52,IF('Capacity summary'!AW26&lt;&gt;"",IF(LOWER('Capacity summary'!AW26)="x",$BI114*AW114,VALUE('Capacity summary'!AW26)),0),AW114*$BI114),AW114*$BI114),0)</f>
        <v>0</v>
      </c>
      <c r="DA114" s="5">
        <f>IF($BI114&lt;&gt;"",IF('Capacity summary'!$C$14="Yes",IF(COUNTBLANK('Capacity summary'!$H26:$BG26)&lt;52,IF('Capacity summary'!AX26&lt;&gt;"",IF(LOWER('Capacity summary'!AX26)="x",$BI114*AX114,VALUE('Capacity summary'!AX26)),0),AX114*$BI114),AX114*$BI114),0)</f>
        <v>0</v>
      </c>
      <c r="DB114" s="5">
        <f>IF($BI114&lt;&gt;"",IF('Capacity summary'!$C$14="Yes",IF(COUNTBLANK('Capacity summary'!$H26:$BG26)&lt;52,IF('Capacity summary'!AY26&lt;&gt;"",IF(LOWER('Capacity summary'!AY26)="x",$BI114*AY114,VALUE('Capacity summary'!AY26)),0),AY114*$BI114),AY114*$BI114),0)</f>
        <v>0</v>
      </c>
      <c r="DC114" s="5">
        <f>IF($BI114&lt;&gt;"",IF('Capacity summary'!$C$14="Yes",IF(COUNTBLANK('Capacity summary'!$H26:$BG26)&lt;52,IF('Capacity summary'!AZ26&lt;&gt;"",IF(LOWER('Capacity summary'!AZ26)="x",$BI114*AZ114,VALUE('Capacity summary'!AZ26)),0),AZ114*$BI114),AZ114*$BI114),0)</f>
        <v>0</v>
      </c>
      <c r="DD114" s="5">
        <f>IF($BI114&lt;&gt;"",IF('Capacity summary'!$C$14="Yes",IF(COUNTBLANK('Capacity summary'!$H26:$BG26)&lt;52,IF('Capacity summary'!BA26&lt;&gt;"",IF(LOWER('Capacity summary'!BA26)="x",$BI114*BA114,VALUE('Capacity summary'!BA26)),0),BA114*$BI114),BA114*$BI114),0)</f>
        <v>0</v>
      </c>
      <c r="DE114" s="5">
        <f>IF($BI114&lt;&gt;"",IF('Capacity summary'!$C$14="Yes",IF(COUNTBLANK('Capacity summary'!$H26:$BG26)&lt;52,IF('Capacity summary'!BB26&lt;&gt;"",IF(LOWER('Capacity summary'!BB26)="x",$BI114*BB114,VALUE('Capacity summary'!BB26)),0),BB114*$BI114),BB114*$BI114),0)</f>
        <v>0</v>
      </c>
      <c r="DF114" s="5">
        <f>IF($BI114&lt;&gt;"",IF('Capacity summary'!$C$14="Yes",IF(COUNTBLANK('Capacity summary'!$H26:$BG26)&lt;52,IF('Capacity summary'!BC26&lt;&gt;"",IF(LOWER('Capacity summary'!BC26)="x",$BI114*BC114,VALUE('Capacity summary'!BC26)),0),BC114*$BI114),BC114*$BI114),0)</f>
        <v>0</v>
      </c>
      <c r="DG114" s="5">
        <f>IF($BI114&lt;&gt;"",IF('Capacity summary'!$C$14="Yes",IF(COUNTBLANK('Capacity summary'!$H26:$BG26)&lt;52,IF('Capacity summary'!BD26&lt;&gt;"",IF(LOWER('Capacity summary'!BD26)="x",$BI114*BD114,VALUE('Capacity summary'!BD26)),0),BD114*$BI114),BD114*$BI114),0)</f>
        <v>0</v>
      </c>
      <c r="DH114" s="5">
        <f>IF($BI114&lt;&gt;"",IF('Capacity summary'!$C$14="Yes",IF(COUNTBLANK('Capacity summary'!$H26:$BG26)&lt;52,IF('Capacity summary'!BE26&lt;&gt;"",IF(LOWER('Capacity summary'!BE26)="x",$BI114*BE114,VALUE('Capacity summary'!BE26)),0),BE114*$BI114),BE114*$BI114),0)</f>
        <v>0</v>
      </c>
      <c r="DI114" s="5">
        <f>IF($BI114&lt;&gt;"",IF('Capacity summary'!$C$14="Yes",IF(COUNTBLANK('Capacity summary'!$H26:$BG26)&lt;52,IF('Capacity summary'!BF26&lt;&gt;"",IF(LOWER('Capacity summary'!BF26)="x",$BI114*BF114,VALUE('Capacity summary'!BF26)),0),BF114*$BI114),BF114*$BI114),0)</f>
        <v>0</v>
      </c>
      <c r="DJ114" s="5">
        <f>IF($BI114&lt;&gt;"",IF('Capacity summary'!$C$14="Yes",IF(COUNTBLANK('Capacity summary'!$H26:$BG26)&lt;52,IF('Capacity summary'!BG26&lt;&gt;"",IF(LOWER('Capacity summary'!BG26)="x",$BI114*BG114,VALUE('Capacity summary'!BG26)),0),BG114*$BI114),BG114*$BI114),0)</f>
        <v>0</v>
      </c>
      <c r="DK114" s="391">
        <f t="shared" si="8"/>
        <v>0</v>
      </c>
      <c r="DL114" s="5">
        <f t="shared" si="9"/>
        <v>0</v>
      </c>
    </row>
    <row r="115" spans="3:116" x14ac:dyDescent="0.2">
      <c r="C115" s="67" t="str">
        <f>ROW(A4)&amp;". "&amp;Capacity!N20</f>
        <v xml:space="preserve">4. </v>
      </c>
      <c r="D115" s="67">
        <f>'Capacity setup'!C121</f>
        <v>0</v>
      </c>
      <c r="E115" s="67">
        <f>'Capacity setup'!D121</f>
        <v>0</v>
      </c>
      <c r="F115" s="67">
        <f>'Capacity setup'!E121</f>
        <v>0</v>
      </c>
      <c r="H115" s="67">
        <f ca="1">IF(LOWER(Capacity!$V20)="x",IF(AND(SUMIF(Capacity_Resource,$D115,'Critical resources (hide)'!U$6:U$105)+SUMIF(Capacity_Resource,$E115,'Critical resources (hide)'!U$6:U$105)+SUMIF(Capacity_Resource,$F115,'Critical resources (hide)'!U$6:U$105)&gt;0,$E$1=2),0,1),0)</f>
        <v>1</v>
      </c>
      <c r="I115" s="67">
        <f ca="1">IF(LOWER(Capacity!$V20)="x",IF(AND(SUMIF(Capacity_Resource,$D115,'Critical resources (hide)'!V$6:V$105)+SUMIF(Capacity_Resource,$E115,'Critical resources (hide)'!V$6:V$105)+SUMIF(Capacity_Resource,$F115,'Critical resources (hide)'!V$6:V$105)&gt;0,$E$1=2),0,1),0)</f>
        <v>1</v>
      </c>
      <c r="J115" s="67">
        <f ca="1">IF(LOWER(Capacity!$V20)="x",IF(AND(SUMIF(Capacity_Resource,$D115,'Critical resources (hide)'!W$6:W$105)+SUMIF(Capacity_Resource,$E115,'Critical resources (hide)'!W$6:W$105)+SUMIF(Capacity_Resource,$F115,'Critical resources (hide)'!W$6:W$105)&gt;0,$E$1=2),0,1),0)</f>
        <v>1</v>
      </c>
      <c r="K115" s="67">
        <f ca="1">IF(LOWER(Capacity!$V20)="x",IF(AND(SUMIF(Capacity_Resource,$D115,'Critical resources (hide)'!X$6:X$105)+SUMIF(Capacity_Resource,$E115,'Critical resources (hide)'!X$6:X$105)+SUMIF(Capacity_Resource,$F115,'Critical resources (hide)'!X$6:X$105)&gt;0,$E$1=2),0,1),0)</f>
        <v>1</v>
      </c>
      <c r="L115" s="67">
        <f ca="1">IF(LOWER(Capacity!$V20)="x",IF(AND(SUMIF(Capacity_Resource,$D115,'Critical resources (hide)'!Y$6:Y$105)+SUMIF(Capacity_Resource,$E115,'Critical resources (hide)'!Y$6:Y$105)+SUMIF(Capacity_Resource,$F115,'Critical resources (hide)'!Y$6:Y$105)&gt;0,$E$1=2),0,1),0)</f>
        <v>1</v>
      </c>
      <c r="M115" s="67">
        <f ca="1">IF(LOWER(Capacity!$V20)="x",IF(AND(SUMIF(Capacity_Resource,$D115,'Critical resources (hide)'!Z$6:Z$105)+SUMIF(Capacity_Resource,$E115,'Critical resources (hide)'!Z$6:Z$105)+SUMIF(Capacity_Resource,$F115,'Critical resources (hide)'!Z$6:Z$105)&gt;0,$E$1=2),0,1),0)</f>
        <v>1</v>
      </c>
      <c r="N115" s="67">
        <f ca="1">IF(LOWER(Capacity!$V20)="x",IF(AND(SUMIF(Capacity_Resource,$D115,'Critical resources (hide)'!AA$6:AA$105)+SUMIF(Capacity_Resource,$E115,'Critical resources (hide)'!AA$6:AA$105)+SUMIF(Capacity_Resource,$F115,'Critical resources (hide)'!AA$6:AA$105)&gt;0,$E$1=2),0,1),0)</f>
        <v>1</v>
      </c>
      <c r="O115" s="67">
        <f ca="1">IF(LOWER(Capacity!$V20)="x",IF(AND(SUMIF(Capacity_Resource,$D115,'Critical resources (hide)'!AB$6:AB$105)+SUMIF(Capacity_Resource,$E115,'Critical resources (hide)'!AB$6:AB$105)+SUMIF(Capacity_Resource,$F115,'Critical resources (hide)'!AB$6:AB$105)&gt;0,$E$1=2),0,1),0)</f>
        <v>1</v>
      </c>
      <c r="P115" s="67">
        <f ca="1">IF(LOWER(Capacity!$V20)="x",IF(AND(SUMIF(Capacity_Resource,$D115,'Critical resources (hide)'!AC$6:AC$105)+SUMIF(Capacity_Resource,$E115,'Critical resources (hide)'!AC$6:AC$105)+SUMIF(Capacity_Resource,$F115,'Critical resources (hide)'!AC$6:AC$105)&gt;0,$E$1=2),0,1),0)</f>
        <v>1</v>
      </c>
      <c r="Q115" s="67">
        <f ca="1">IF(LOWER(Capacity!$V20)="x",IF(AND(SUMIF(Capacity_Resource,$D115,'Critical resources (hide)'!AD$6:AD$105)+SUMIF(Capacity_Resource,$E115,'Critical resources (hide)'!AD$6:AD$105)+SUMIF(Capacity_Resource,$F115,'Critical resources (hide)'!AD$6:AD$105)&gt;0,$E$1=2),0,1),0)</f>
        <v>1</v>
      </c>
      <c r="R115" s="67">
        <f ca="1">IF(LOWER(Capacity!$V20)="x",IF(AND(SUMIF(Capacity_Resource,$D115,'Critical resources (hide)'!AE$6:AE$105)+SUMIF(Capacity_Resource,$E115,'Critical resources (hide)'!AE$6:AE$105)+SUMIF(Capacity_Resource,$F115,'Critical resources (hide)'!AE$6:AE$105)&gt;0,$E$1=2),0,1),0)</f>
        <v>1</v>
      </c>
      <c r="S115" s="67">
        <f ca="1">IF(LOWER(Capacity!$V20)="x",IF(AND(SUMIF(Capacity_Resource,$D115,'Critical resources (hide)'!AF$6:AF$105)+SUMIF(Capacity_Resource,$E115,'Critical resources (hide)'!AF$6:AF$105)+SUMIF(Capacity_Resource,$F115,'Critical resources (hide)'!AF$6:AF$105)&gt;0,$E$1=2),0,1),0)</f>
        <v>1</v>
      </c>
      <c r="T115" s="67">
        <f ca="1">IF(LOWER(Capacity!$V20)="x",IF(AND(SUMIF(Capacity_Resource,$D115,'Critical resources (hide)'!AG$6:AG$105)+SUMIF(Capacity_Resource,$E115,'Critical resources (hide)'!AG$6:AG$105)+SUMIF(Capacity_Resource,$F115,'Critical resources (hide)'!AG$6:AG$105)&gt;0,$E$1=2),0,1),0)</f>
        <v>1</v>
      </c>
      <c r="U115" s="67">
        <f ca="1">IF(LOWER(Capacity!$V20)="x",IF(AND(SUMIF(Capacity_Resource,$D115,'Critical resources (hide)'!AH$6:AH$105)+SUMIF(Capacity_Resource,$E115,'Critical resources (hide)'!AH$6:AH$105)+SUMIF(Capacity_Resource,$F115,'Critical resources (hide)'!AH$6:AH$105)&gt;0,$E$1=2),0,1),0)</f>
        <v>1</v>
      </c>
      <c r="V115" s="67">
        <f ca="1">IF(LOWER(Capacity!$V20)="x",IF(AND(SUMIF(Capacity_Resource,$D115,'Critical resources (hide)'!AI$6:AI$105)+SUMIF(Capacity_Resource,$E115,'Critical resources (hide)'!AI$6:AI$105)+SUMIF(Capacity_Resource,$F115,'Critical resources (hide)'!AI$6:AI$105)&gt;0,$E$1=2),0,1),0)</f>
        <v>1</v>
      </c>
      <c r="W115" s="67">
        <f ca="1">IF(LOWER(Capacity!$V20)="x",IF(AND(SUMIF(Capacity_Resource,$D115,'Critical resources (hide)'!AJ$6:AJ$105)+SUMIF(Capacity_Resource,$E115,'Critical resources (hide)'!AJ$6:AJ$105)+SUMIF(Capacity_Resource,$F115,'Critical resources (hide)'!AJ$6:AJ$105)&gt;0,$E$1=2),0,1),0)</f>
        <v>1</v>
      </c>
      <c r="X115" s="67">
        <f ca="1">IF(LOWER(Capacity!$V20)="x",IF(AND(SUMIF(Capacity_Resource,$D115,'Critical resources (hide)'!AK$6:AK$105)+SUMIF(Capacity_Resource,$E115,'Critical resources (hide)'!AK$6:AK$105)+SUMIF(Capacity_Resource,$F115,'Critical resources (hide)'!AK$6:AK$105)&gt;0,$E$1=2),0,1),0)</f>
        <v>1</v>
      </c>
      <c r="Y115" s="67">
        <f ca="1">IF(LOWER(Capacity!$V20)="x",IF(AND(SUMIF(Capacity_Resource,$D115,'Critical resources (hide)'!AL$6:AL$105)+SUMIF(Capacity_Resource,$E115,'Critical resources (hide)'!AL$6:AL$105)+SUMIF(Capacity_Resource,$F115,'Critical resources (hide)'!AL$6:AL$105)&gt;0,$E$1=2),0,1),0)</f>
        <v>1</v>
      </c>
      <c r="Z115" s="67">
        <f ca="1">IF(LOWER(Capacity!$V20)="x",IF(AND(SUMIF(Capacity_Resource,$D115,'Critical resources (hide)'!AM$6:AM$105)+SUMIF(Capacity_Resource,$E115,'Critical resources (hide)'!AM$6:AM$105)+SUMIF(Capacity_Resource,$F115,'Critical resources (hide)'!AM$6:AM$105)&gt;0,$E$1=2),0,1),0)</f>
        <v>1</v>
      </c>
      <c r="AA115" s="67">
        <f ca="1">IF(LOWER(Capacity!$V20)="x",IF(AND(SUMIF(Capacity_Resource,$D115,'Critical resources (hide)'!AN$6:AN$105)+SUMIF(Capacity_Resource,$E115,'Critical resources (hide)'!AN$6:AN$105)+SUMIF(Capacity_Resource,$F115,'Critical resources (hide)'!AN$6:AN$105)&gt;0,$E$1=2),0,1),0)</f>
        <v>1</v>
      </c>
      <c r="AB115" s="67">
        <f ca="1">IF(LOWER(Capacity!$V20)="x",IF(AND(SUMIF(Capacity_Resource,$D115,'Critical resources (hide)'!AO$6:AO$105)+SUMIF(Capacity_Resource,$E115,'Critical resources (hide)'!AO$6:AO$105)+SUMIF(Capacity_Resource,$F115,'Critical resources (hide)'!AO$6:AO$105)&gt;0,$E$1=2),0,1),0)</f>
        <v>1</v>
      </c>
      <c r="AC115" s="67">
        <f ca="1">IF(LOWER(Capacity!$V20)="x",IF(AND(SUMIF(Capacity_Resource,$D115,'Critical resources (hide)'!AP$6:AP$105)+SUMIF(Capacity_Resource,$E115,'Critical resources (hide)'!AP$6:AP$105)+SUMIF(Capacity_Resource,$F115,'Critical resources (hide)'!AP$6:AP$105)&gt;0,$E$1=2),0,1),0)</f>
        <v>1</v>
      </c>
      <c r="AD115" s="67">
        <f ca="1">IF(LOWER(Capacity!$V20)="x",IF(AND(SUMIF(Capacity_Resource,$D115,'Critical resources (hide)'!AQ$6:AQ$105)+SUMIF(Capacity_Resource,$E115,'Critical resources (hide)'!AQ$6:AQ$105)+SUMIF(Capacity_Resource,$F115,'Critical resources (hide)'!AQ$6:AQ$105)&gt;0,$E$1=2),0,1),0)</f>
        <v>1</v>
      </c>
      <c r="AE115" s="67">
        <f ca="1">IF(LOWER(Capacity!$V20)="x",IF(AND(SUMIF(Capacity_Resource,$D115,'Critical resources (hide)'!AR$6:AR$105)+SUMIF(Capacity_Resource,$E115,'Critical resources (hide)'!AR$6:AR$105)+SUMIF(Capacity_Resource,$F115,'Critical resources (hide)'!AR$6:AR$105)&gt;0,$E$1=2),0,1),0)</f>
        <v>1</v>
      </c>
      <c r="AF115" s="67">
        <f ca="1">IF(LOWER(Capacity!$V20)="x",IF(AND(SUMIF(Capacity_Resource,$D115,'Critical resources (hide)'!AS$6:AS$105)+SUMIF(Capacity_Resource,$E115,'Critical resources (hide)'!AS$6:AS$105)+SUMIF(Capacity_Resource,$F115,'Critical resources (hide)'!AS$6:AS$105)&gt;0,$E$1=2),0,1),0)</f>
        <v>1</v>
      </c>
      <c r="AG115" s="67">
        <f ca="1">IF(LOWER(Capacity!$V20)="x",IF(AND(SUMIF(Capacity_Resource,$D115,'Critical resources (hide)'!AT$6:AT$105)+SUMIF(Capacity_Resource,$E115,'Critical resources (hide)'!AT$6:AT$105)+SUMIF(Capacity_Resource,$F115,'Critical resources (hide)'!AT$6:AT$105)&gt;0,$E$1=2),0,1),0)</f>
        <v>1</v>
      </c>
      <c r="AH115" s="67">
        <f ca="1">IF(LOWER(Capacity!$V20)="x",IF(AND(SUMIF(Capacity_Resource,$D115,'Critical resources (hide)'!AU$6:AU$105)+SUMIF(Capacity_Resource,$E115,'Critical resources (hide)'!AU$6:AU$105)+SUMIF(Capacity_Resource,$F115,'Critical resources (hide)'!AU$6:AU$105)&gt;0,$E$1=2),0,1),0)</f>
        <v>1</v>
      </c>
      <c r="AI115" s="67">
        <f ca="1">IF(LOWER(Capacity!$V20)="x",IF(AND(SUMIF(Capacity_Resource,$D115,'Critical resources (hide)'!AV$6:AV$105)+SUMIF(Capacity_Resource,$E115,'Critical resources (hide)'!AV$6:AV$105)+SUMIF(Capacity_Resource,$F115,'Critical resources (hide)'!AV$6:AV$105)&gt;0,$E$1=2),0,1),0)</f>
        <v>1</v>
      </c>
      <c r="AJ115" s="67">
        <f ca="1">IF(LOWER(Capacity!$V20)="x",IF(AND(SUMIF(Capacity_Resource,$D115,'Critical resources (hide)'!AW$6:AW$105)+SUMIF(Capacity_Resource,$E115,'Critical resources (hide)'!AW$6:AW$105)+SUMIF(Capacity_Resource,$F115,'Critical resources (hide)'!AW$6:AW$105)&gt;0,$E$1=2),0,1),0)</f>
        <v>1</v>
      </c>
      <c r="AK115" s="67">
        <f ca="1">IF(LOWER(Capacity!$V20)="x",IF(AND(SUMIF(Capacity_Resource,$D115,'Critical resources (hide)'!AX$6:AX$105)+SUMIF(Capacity_Resource,$E115,'Critical resources (hide)'!AX$6:AX$105)+SUMIF(Capacity_Resource,$F115,'Critical resources (hide)'!AX$6:AX$105)&gt;0,$E$1=2),0,1),0)</f>
        <v>1</v>
      </c>
      <c r="AL115" s="67">
        <f ca="1">IF(LOWER(Capacity!$V20)="x",IF(AND(SUMIF(Capacity_Resource,$D115,'Critical resources (hide)'!AY$6:AY$105)+SUMIF(Capacity_Resource,$E115,'Critical resources (hide)'!AY$6:AY$105)+SUMIF(Capacity_Resource,$F115,'Critical resources (hide)'!AY$6:AY$105)&gt;0,$E$1=2),0,1),0)</f>
        <v>1</v>
      </c>
      <c r="AM115" s="67">
        <f ca="1">IF(LOWER(Capacity!$V20)="x",IF(AND(SUMIF(Capacity_Resource,$D115,'Critical resources (hide)'!AZ$6:AZ$105)+SUMIF(Capacity_Resource,$E115,'Critical resources (hide)'!AZ$6:AZ$105)+SUMIF(Capacity_Resource,$F115,'Critical resources (hide)'!AZ$6:AZ$105)&gt;0,$E$1=2),0,1),0)</f>
        <v>1</v>
      </c>
      <c r="AN115" s="67">
        <f ca="1">IF(LOWER(Capacity!$V20)="x",IF(AND(SUMIF(Capacity_Resource,$D115,'Critical resources (hide)'!BA$6:BA$105)+SUMIF(Capacity_Resource,$E115,'Critical resources (hide)'!BA$6:BA$105)+SUMIF(Capacity_Resource,$F115,'Critical resources (hide)'!BA$6:BA$105)&gt;0,$E$1=2),0,1),0)</f>
        <v>1</v>
      </c>
      <c r="AO115" s="67">
        <f ca="1">IF(LOWER(Capacity!$V20)="x",IF(AND(SUMIF(Capacity_Resource,$D115,'Critical resources (hide)'!BB$6:BB$105)+SUMIF(Capacity_Resource,$E115,'Critical resources (hide)'!BB$6:BB$105)+SUMIF(Capacity_Resource,$F115,'Critical resources (hide)'!BB$6:BB$105)&gt;0,$E$1=2),0,1),0)</f>
        <v>1</v>
      </c>
      <c r="AP115" s="67">
        <f ca="1">IF(LOWER(Capacity!$V20)="x",IF(AND(SUMIF(Capacity_Resource,$D115,'Critical resources (hide)'!BC$6:BC$105)+SUMIF(Capacity_Resource,$E115,'Critical resources (hide)'!BC$6:BC$105)+SUMIF(Capacity_Resource,$F115,'Critical resources (hide)'!BC$6:BC$105)&gt;0,$E$1=2),0,1),0)</f>
        <v>1</v>
      </c>
      <c r="AQ115" s="67">
        <f ca="1">IF(LOWER(Capacity!$V20)="x",IF(AND(SUMIF(Capacity_Resource,$D115,'Critical resources (hide)'!BD$6:BD$105)+SUMIF(Capacity_Resource,$E115,'Critical resources (hide)'!BD$6:BD$105)+SUMIF(Capacity_Resource,$F115,'Critical resources (hide)'!BD$6:BD$105)&gt;0,$E$1=2),0,1),0)</f>
        <v>1</v>
      </c>
      <c r="AR115" s="67">
        <f ca="1">IF(LOWER(Capacity!$V20)="x",IF(AND(SUMIF(Capacity_Resource,$D115,'Critical resources (hide)'!BE$6:BE$105)+SUMIF(Capacity_Resource,$E115,'Critical resources (hide)'!BE$6:BE$105)+SUMIF(Capacity_Resource,$F115,'Critical resources (hide)'!BE$6:BE$105)&gt;0,$E$1=2),0,1),0)</f>
        <v>1</v>
      </c>
      <c r="AS115" s="67">
        <f ca="1">IF(LOWER(Capacity!$V20)="x",IF(AND(SUMIF(Capacity_Resource,$D115,'Critical resources (hide)'!BF$6:BF$105)+SUMIF(Capacity_Resource,$E115,'Critical resources (hide)'!BF$6:BF$105)+SUMIF(Capacity_Resource,$F115,'Critical resources (hide)'!BF$6:BF$105)&gt;0,$E$1=2),0,1),0)</f>
        <v>1</v>
      </c>
      <c r="AT115" s="67">
        <f ca="1">IF(LOWER(Capacity!$V20)="x",IF(AND(SUMIF(Capacity_Resource,$D115,'Critical resources (hide)'!BG$6:BG$105)+SUMIF(Capacity_Resource,$E115,'Critical resources (hide)'!BG$6:BG$105)+SUMIF(Capacity_Resource,$F115,'Critical resources (hide)'!BG$6:BG$105)&gt;0,$E$1=2),0,1),0)</f>
        <v>1</v>
      </c>
      <c r="AU115" s="67">
        <f ca="1">IF(LOWER(Capacity!$V20)="x",IF(AND(SUMIF(Capacity_Resource,$D115,'Critical resources (hide)'!BH$6:BH$105)+SUMIF(Capacity_Resource,$E115,'Critical resources (hide)'!BH$6:BH$105)+SUMIF(Capacity_Resource,$F115,'Critical resources (hide)'!BH$6:BH$105)&gt;0,$E$1=2),0,1),0)</f>
        <v>1</v>
      </c>
      <c r="AV115" s="67">
        <f ca="1">IF(LOWER(Capacity!$V20)="x",IF(AND(SUMIF(Capacity_Resource,$D115,'Critical resources (hide)'!BI$6:BI$105)+SUMIF(Capacity_Resource,$E115,'Critical resources (hide)'!BI$6:BI$105)+SUMIF(Capacity_Resource,$F115,'Critical resources (hide)'!BI$6:BI$105)&gt;0,$E$1=2),0,1),0)</f>
        <v>1</v>
      </c>
      <c r="AW115" s="67">
        <f ca="1">IF(LOWER(Capacity!$V20)="x",IF(AND(SUMIF(Capacity_Resource,$D115,'Critical resources (hide)'!BJ$6:BJ$105)+SUMIF(Capacity_Resource,$E115,'Critical resources (hide)'!BJ$6:BJ$105)+SUMIF(Capacity_Resource,$F115,'Critical resources (hide)'!BJ$6:BJ$105)&gt;0,$E$1=2),0,1),0)</f>
        <v>1</v>
      </c>
      <c r="AX115" s="67">
        <f ca="1">IF(LOWER(Capacity!$V20)="x",IF(AND(SUMIF(Capacity_Resource,$D115,'Critical resources (hide)'!BK$6:BK$105)+SUMIF(Capacity_Resource,$E115,'Critical resources (hide)'!BK$6:BK$105)+SUMIF(Capacity_Resource,$F115,'Critical resources (hide)'!BK$6:BK$105)&gt;0,$E$1=2),0,1),0)</f>
        <v>1</v>
      </c>
      <c r="AY115" s="67">
        <f ca="1">IF(LOWER(Capacity!$V20)="x",IF(AND(SUMIF(Capacity_Resource,$D115,'Critical resources (hide)'!BL$6:BL$105)+SUMIF(Capacity_Resource,$E115,'Critical resources (hide)'!BL$6:BL$105)+SUMIF(Capacity_Resource,$F115,'Critical resources (hide)'!BL$6:BL$105)&gt;0,$E$1=2),0,1),0)</f>
        <v>1</v>
      </c>
      <c r="AZ115" s="67">
        <f ca="1">IF(LOWER(Capacity!$V20)="x",IF(AND(SUMIF(Capacity_Resource,$D115,'Critical resources (hide)'!BM$6:BM$105)+SUMIF(Capacity_Resource,$E115,'Critical resources (hide)'!BM$6:BM$105)+SUMIF(Capacity_Resource,$F115,'Critical resources (hide)'!BM$6:BM$105)&gt;0,$E$1=2),0,1),0)</f>
        <v>1</v>
      </c>
      <c r="BA115" s="67">
        <f ca="1">IF(LOWER(Capacity!$V20)="x",IF(AND(SUMIF(Capacity_Resource,$D115,'Critical resources (hide)'!BN$6:BN$105)+SUMIF(Capacity_Resource,$E115,'Critical resources (hide)'!BN$6:BN$105)+SUMIF(Capacity_Resource,$F115,'Critical resources (hide)'!BN$6:BN$105)&gt;0,$E$1=2),0,1),0)</f>
        <v>1</v>
      </c>
      <c r="BB115" s="67">
        <f ca="1">IF(LOWER(Capacity!$V20)="x",IF(AND(SUMIF(Capacity_Resource,$D115,'Critical resources (hide)'!BO$6:BO$105)+SUMIF(Capacity_Resource,$E115,'Critical resources (hide)'!BO$6:BO$105)+SUMIF(Capacity_Resource,$F115,'Critical resources (hide)'!BO$6:BO$105)&gt;0,$E$1=2),0,1),0)</f>
        <v>1</v>
      </c>
      <c r="BC115" s="67">
        <f ca="1">IF(LOWER(Capacity!$V20)="x",IF(AND(SUMIF(Capacity_Resource,$D115,'Critical resources (hide)'!BP$6:BP$105)+SUMIF(Capacity_Resource,$E115,'Critical resources (hide)'!BP$6:BP$105)+SUMIF(Capacity_Resource,$F115,'Critical resources (hide)'!BP$6:BP$105)&gt;0,$E$1=2),0,1),0)</f>
        <v>1</v>
      </c>
      <c r="BD115" s="67">
        <f ca="1">IF(LOWER(Capacity!$V20)="x",IF(AND(SUMIF(Capacity_Resource,$D115,'Critical resources (hide)'!BQ$6:BQ$105)+SUMIF(Capacity_Resource,$E115,'Critical resources (hide)'!BQ$6:BQ$105)+SUMIF(Capacity_Resource,$F115,'Critical resources (hide)'!BQ$6:BQ$105)&gt;0,$E$1=2),0,1),0)</f>
        <v>1</v>
      </c>
      <c r="BE115" s="67">
        <f ca="1">IF(LOWER(Capacity!$V20)="x",IF(AND(SUMIF(Capacity_Resource,$D115,'Critical resources (hide)'!BR$6:BR$105)+SUMIF(Capacity_Resource,$E115,'Critical resources (hide)'!BR$6:BR$105)+SUMIF(Capacity_Resource,$F115,'Critical resources (hide)'!BR$6:BR$105)&gt;0,$E$1=2),0,1),0)</f>
        <v>1</v>
      </c>
      <c r="BF115" s="67">
        <f ca="1">IF(LOWER(Capacity!$V20)="x",IF(AND(SUMIF(Capacity_Resource,$D115,'Critical resources (hide)'!BS$6:BS$105)+SUMIF(Capacity_Resource,$E115,'Critical resources (hide)'!BS$6:BS$105)+SUMIF(Capacity_Resource,$F115,'Critical resources (hide)'!BS$6:BS$105)&gt;0,$E$1=2),0,1),0)</f>
        <v>1</v>
      </c>
      <c r="BG115" s="67">
        <f ca="1">IF(LOWER(Capacity!$V20)="x",IF(AND(SUMIF(Capacity_Resource,$D115,'Critical resources (hide)'!BT$6:BT$105)+SUMIF(Capacity_Resource,$E115,'Critical resources (hide)'!BT$6:BT$105)+SUMIF(Capacity_Resource,$F115,'Critical resources (hide)'!BT$6:BT$105)&gt;0,$E$1=2),0,1),0)</f>
        <v>1</v>
      </c>
      <c r="BH115" s="67">
        <f>IF(ROW(A4)&lt;=Capacity!$M$16,IF('Capacity summary'!$C$14="No",SUM(H115:BG115),'Capacity summary'!$E27),0)</f>
        <v>0</v>
      </c>
      <c r="BI115" s="67" t="str">
        <f>IF(BH115&gt;0,IF(BH115&lt;Capacity!Q20,Capacity!R20,Capacity!T20/'Capacity calculation (hide)'!BH115),"")</f>
        <v/>
      </c>
      <c r="BJ115" s="5"/>
      <c r="BK115" s="5">
        <f>IF($BI115&lt;&gt;"",IF('Capacity summary'!$C$14="Yes",IF(COUNTBLANK('Capacity summary'!$H27:$BG27)&lt;52,IF('Capacity summary'!H27&lt;&gt;"",IF(LOWER('Capacity summary'!H27)="x",$BI115*H115,VALUE('Capacity summary'!H27)),0),H115*$BI115),H115*$BI115),0)</f>
        <v>0</v>
      </c>
      <c r="BL115" s="5">
        <f>IF($BI115&lt;&gt;"",IF('Capacity summary'!$C$14="Yes",IF(COUNTBLANK('Capacity summary'!$H27:$BG27)&lt;52,IF('Capacity summary'!I27&lt;&gt;"",IF(LOWER('Capacity summary'!I27)="x",$BI115*I115,VALUE('Capacity summary'!I27)),0),I115*$BI115),I115*$BI115),0)</f>
        <v>0</v>
      </c>
      <c r="BM115" s="5">
        <f>IF($BI115&lt;&gt;"",IF('Capacity summary'!$C$14="Yes",IF(COUNTBLANK('Capacity summary'!$H27:$BG27)&lt;52,IF('Capacity summary'!J27&lt;&gt;"",IF(LOWER('Capacity summary'!J27)="x",$BI115*J115,VALUE('Capacity summary'!J27)),0),J115*$BI115),J115*$BI115),0)</f>
        <v>0</v>
      </c>
      <c r="BN115" s="5">
        <f>IF($BI115&lt;&gt;"",IF('Capacity summary'!$C$14="Yes",IF(COUNTBLANK('Capacity summary'!$H27:$BG27)&lt;52,IF('Capacity summary'!K27&lt;&gt;"",IF(LOWER('Capacity summary'!K27)="x",$BI115*K115,VALUE('Capacity summary'!K27)),0),K115*$BI115),K115*$BI115),0)</f>
        <v>0</v>
      </c>
      <c r="BO115" s="5">
        <f>IF($BI115&lt;&gt;"",IF('Capacity summary'!$C$14="Yes",IF(COUNTBLANK('Capacity summary'!$H27:$BG27)&lt;52,IF('Capacity summary'!L27&lt;&gt;"",IF(LOWER('Capacity summary'!L27)="x",$BI115*L115,VALUE('Capacity summary'!L27)),0),L115*$BI115),L115*$BI115),0)</f>
        <v>0</v>
      </c>
      <c r="BP115" s="5">
        <f>IF($BI115&lt;&gt;"",IF('Capacity summary'!$C$14="Yes",IF(COUNTBLANK('Capacity summary'!$H27:$BG27)&lt;52,IF('Capacity summary'!M27&lt;&gt;"",IF(LOWER('Capacity summary'!M27)="x",$BI115*M115,VALUE('Capacity summary'!M27)),0),M115*$BI115),M115*$BI115),0)</f>
        <v>0</v>
      </c>
      <c r="BQ115" s="5">
        <f>IF($BI115&lt;&gt;"",IF('Capacity summary'!$C$14="Yes",IF(COUNTBLANK('Capacity summary'!$H27:$BG27)&lt;52,IF('Capacity summary'!N27&lt;&gt;"",IF(LOWER('Capacity summary'!N27)="x",$BI115*N115,VALUE('Capacity summary'!N27)),0),N115*$BI115),N115*$BI115),0)</f>
        <v>0</v>
      </c>
      <c r="BR115" s="5">
        <f>IF($BI115&lt;&gt;"",IF('Capacity summary'!$C$14="Yes",IF(COUNTBLANK('Capacity summary'!$H27:$BG27)&lt;52,IF('Capacity summary'!O27&lt;&gt;"",IF(LOWER('Capacity summary'!O27)="x",$BI115*O115,VALUE('Capacity summary'!O27)),0),O115*$BI115),O115*$BI115),0)</f>
        <v>0</v>
      </c>
      <c r="BS115" s="5">
        <f>IF($BI115&lt;&gt;"",IF('Capacity summary'!$C$14="Yes",IF(COUNTBLANK('Capacity summary'!$H27:$BG27)&lt;52,IF('Capacity summary'!P27&lt;&gt;"",IF(LOWER('Capacity summary'!P27)="x",$BI115*P115,VALUE('Capacity summary'!P27)),0),P115*$BI115),P115*$BI115),0)</f>
        <v>0</v>
      </c>
      <c r="BT115" s="5">
        <f>IF($BI115&lt;&gt;"",IF('Capacity summary'!$C$14="Yes",IF(COUNTBLANK('Capacity summary'!$H27:$BG27)&lt;52,IF('Capacity summary'!Q27&lt;&gt;"",IF(LOWER('Capacity summary'!Q27)="x",$BI115*Q115,VALUE('Capacity summary'!Q27)),0),Q115*$BI115),Q115*$BI115),0)</f>
        <v>0</v>
      </c>
      <c r="BU115" s="5">
        <f>IF($BI115&lt;&gt;"",IF('Capacity summary'!$C$14="Yes",IF(COUNTBLANK('Capacity summary'!$H27:$BG27)&lt;52,IF('Capacity summary'!R27&lt;&gt;"",IF(LOWER('Capacity summary'!R27)="x",$BI115*R115,VALUE('Capacity summary'!R27)),0),R115*$BI115),R115*$BI115),0)</f>
        <v>0</v>
      </c>
      <c r="BV115" s="5">
        <f>IF($BI115&lt;&gt;"",IF('Capacity summary'!$C$14="Yes",IF(COUNTBLANK('Capacity summary'!$H27:$BG27)&lt;52,IF('Capacity summary'!S27&lt;&gt;"",IF(LOWER('Capacity summary'!S27)="x",$BI115*S115,VALUE('Capacity summary'!S27)),0),S115*$BI115),S115*$BI115),0)</f>
        <v>0</v>
      </c>
      <c r="BW115" s="5">
        <f>IF($BI115&lt;&gt;"",IF('Capacity summary'!$C$14="Yes",IF(COUNTBLANK('Capacity summary'!$H27:$BG27)&lt;52,IF('Capacity summary'!T27&lt;&gt;"",IF(LOWER('Capacity summary'!T27)="x",$BI115*T115,VALUE('Capacity summary'!T27)),0),T115*$BI115),T115*$BI115),0)</f>
        <v>0</v>
      </c>
      <c r="BX115" s="5">
        <f>IF($BI115&lt;&gt;"",IF('Capacity summary'!$C$14="Yes",IF(COUNTBLANK('Capacity summary'!$H27:$BG27)&lt;52,IF('Capacity summary'!U27&lt;&gt;"",IF(LOWER('Capacity summary'!U27)="x",$BI115*U115,VALUE('Capacity summary'!U27)),0),U115*$BI115),U115*$BI115),0)</f>
        <v>0</v>
      </c>
      <c r="BY115" s="5">
        <f>IF($BI115&lt;&gt;"",IF('Capacity summary'!$C$14="Yes",IF(COUNTBLANK('Capacity summary'!$H27:$BG27)&lt;52,IF('Capacity summary'!V27&lt;&gt;"",IF(LOWER('Capacity summary'!V27)="x",$BI115*V115,VALUE('Capacity summary'!V27)),0),V115*$BI115),V115*$BI115),0)</f>
        <v>0</v>
      </c>
      <c r="BZ115" s="5">
        <f>IF($BI115&lt;&gt;"",IF('Capacity summary'!$C$14="Yes",IF(COUNTBLANK('Capacity summary'!$H27:$BG27)&lt;52,IF('Capacity summary'!W27&lt;&gt;"",IF(LOWER('Capacity summary'!W27)="x",$BI115*W115,VALUE('Capacity summary'!W27)),0),W115*$BI115),W115*$BI115),0)</f>
        <v>0</v>
      </c>
      <c r="CA115" s="5">
        <f>IF($BI115&lt;&gt;"",IF('Capacity summary'!$C$14="Yes",IF(COUNTBLANK('Capacity summary'!$H27:$BG27)&lt;52,IF('Capacity summary'!X27&lt;&gt;"",IF(LOWER('Capacity summary'!X27)="x",$BI115*X115,VALUE('Capacity summary'!X27)),0),X115*$BI115),X115*$BI115),0)</f>
        <v>0</v>
      </c>
      <c r="CB115" s="5">
        <f>IF($BI115&lt;&gt;"",IF('Capacity summary'!$C$14="Yes",IF(COUNTBLANK('Capacity summary'!$H27:$BG27)&lt;52,IF('Capacity summary'!Y27&lt;&gt;"",IF(LOWER('Capacity summary'!Y27)="x",$BI115*Y115,VALUE('Capacity summary'!Y27)),0),Y115*$BI115),Y115*$BI115),0)</f>
        <v>0</v>
      </c>
      <c r="CC115" s="5">
        <f>IF($BI115&lt;&gt;"",IF('Capacity summary'!$C$14="Yes",IF(COUNTBLANK('Capacity summary'!$H27:$BG27)&lt;52,IF('Capacity summary'!Z27&lt;&gt;"",IF(LOWER('Capacity summary'!Z27)="x",$BI115*Z115,VALUE('Capacity summary'!Z27)),0),Z115*$BI115),Z115*$BI115),0)</f>
        <v>0</v>
      </c>
      <c r="CD115" s="5">
        <f>IF($BI115&lt;&gt;"",IF('Capacity summary'!$C$14="Yes",IF(COUNTBLANK('Capacity summary'!$H27:$BG27)&lt;52,IF('Capacity summary'!AA27&lt;&gt;"",IF(LOWER('Capacity summary'!AA27)="x",$BI115*AA115,VALUE('Capacity summary'!AA27)),0),AA115*$BI115),AA115*$BI115),0)</f>
        <v>0</v>
      </c>
      <c r="CE115" s="5">
        <f>IF($BI115&lt;&gt;"",IF('Capacity summary'!$C$14="Yes",IF(COUNTBLANK('Capacity summary'!$H27:$BG27)&lt;52,IF('Capacity summary'!AB27&lt;&gt;"",IF(LOWER('Capacity summary'!AB27)="x",$BI115*AB115,VALUE('Capacity summary'!AB27)),0),AB115*$BI115),AB115*$BI115),0)</f>
        <v>0</v>
      </c>
      <c r="CF115" s="5">
        <f>IF($BI115&lt;&gt;"",IF('Capacity summary'!$C$14="Yes",IF(COUNTBLANK('Capacity summary'!$H27:$BG27)&lt;52,IF('Capacity summary'!AC27&lt;&gt;"",IF(LOWER('Capacity summary'!AC27)="x",$BI115*AC115,VALUE('Capacity summary'!AC27)),0),AC115*$BI115),AC115*$BI115),0)</f>
        <v>0</v>
      </c>
      <c r="CG115" s="5">
        <f>IF($BI115&lt;&gt;"",IF('Capacity summary'!$C$14="Yes",IF(COUNTBLANK('Capacity summary'!$H27:$BG27)&lt;52,IF('Capacity summary'!AD27&lt;&gt;"",IF(LOWER('Capacity summary'!AD27)="x",$BI115*AD115,VALUE('Capacity summary'!AD27)),0),AD115*$BI115),AD115*$BI115),0)</f>
        <v>0</v>
      </c>
      <c r="CH115" s="5">
        <f>IF($BI115&lt;&gt;"",IF('Capacity summary'!$C$14="Yes",IF(COUNTBLANK('Capacity summary'!$H27:$BG27)&lt;52,IF('Capacity summary'!AE27&lt;&gt;"",IF(LOWER('Capacity summary'!AE27)="x",$BI115*AE115,VALUE('Capacity summary'!AE27)),0),AE115*$BI115),AE115*$BI115),0)</f>
        <v>0</v>
      </c>
      <c r="CI115" s="5">
        <f>IF($BI115&lt;&gt;"",IF('Capacity summary'!$C$14="Yes",IF(COUNTBLANK('Capacity summary'!$H27:$BG27)&lt;52,IF('Capacity summary'!AF27&lt;&gt;"",IF(LOWER('Capacity summary'!AF27)="x",$BI115*AF115,VALUE('Capacity summary'!AF27)),0),AF115*$BI115),AF115*$BI115),0)</f>
        <v>0</v>
      </c>
      <c r="CJ115" s="5">
        <f>IF($BI115&lt;&gt;"",IF('Capacity summary'!$C$14="Yes",IF(COUNTBLANK('Capacity summary'!$H27:$BG27)&lt;52,IF('Capacity summary'!AG27&lt;&gt;"",IF(LOWER('Capacity summary'!AG27)="x",$BI115*AG115,VALUE('Capacity summary'!AG27)),0),AG115*$BI115),AG115*$BI115),0)</f>
        <v>0</v>
      </c>
      <c r="CK115" s="5">
        <f>IF($BI115&lt;&gt;"",IF('Capacity summary'!$C$14="Yes",IF(COUNTBLANK('Capacity summary'!$H27:$BG27)&lt;52,IF('Capacity summary'!AH27&lt;&gt;"",IF(LOWER('Capacity summary'!AH27)="x",$BI115*AH115,VALUE('Capacity summary'!AH27)),0),AH115*$BI115),AH115*$BI115),0)</f>
        <v>0</v>
      </c>
      <c r="CL115" s="5">
        <f>IF($BI115&lt;&gt;"",IF('Capacity summary'!$C$14="Yes",IF(COUNTBLANK('Capacity summary'!$H27:$BG27)&lt;52,IF('Capacity summary'!AI27&lt;&gt;"",IF(LOWER('Capacity summary'!AI27)="x",$BI115*AI115,VALUE('Capacity summary'!AI27)),0),AI115*$BI115),AI115*$BI115),0)</f>
        <v>0</v>
      </c>
      <c r="CM115" s="5">
        <f>IF($BI115&lt;&gt;"",IF('Capacity summary'!$C$14="Yes",IF(COUNTBLANK('Capacity summary'!$H27:$BG27)&lt;52,IF('Capacity summary'!AJ27&lt;&gt;"",IF(LOWER('Capacity summary'!AJ27)="x",$BI115*AJ115,VALUE('Capacity summary'!AJ27)),0),AJ115*$BI115),AJ115*$BI115),0)</f>
        <v>0</v>
      </c>
      <c r="CN115" s="5">
        <f>IF($BI115&lt;&gt;"",IF('Capacity summary'!$C$14="Yes",IF(COUNTBLANK('Capacity summary'!$H27:$BG27)&lt;52,IF('Capacity summary'!AK27&lt;&gt;"",IF(LOWER('Capacity summary'!AK27)="x",$BI115*AK115,VALUE('Capacity summary'!AK27)),0),AK115*$BI115),AK115*$BI115),0)</f>
        <v>0</v>
      </c>
      <c r="CO115" s="5">
        <f>IF($BI115&lt;&gt;"",IF('Capacity summary'!$C$14="Yes",IF(COUNTBLANK('Capacity summary'!$H27:$BG27)&lt;52,IF('Capacity summary'!AL27&lt;&gt;"",IF(LOWER('Capacity summary'!AL27)="x",$BI115*AL115,VALUE('Capacity summary'!AL27)),0),AL115*$BI115),AL115*$BI115),0)</f>
        <v>0</v>
      </c>
      <c r="CP115" s="5">
        <f>IF($BI115&lt;&gt;"",IF('Capacity summary'!$C$14="Yes",IF(COUNTBLANK('Capacity summary'!$H27:$BG27)&lt;52,IF('Capacity summary'!AM27&lt;&gt;"",IF(LOWER('Capacity summary'!AM27)="x",$BI115*AM115,VALUE('Capacity summary'!AM27)),0),AM115*$BI115),AM115*$BI115),0)</f>
        <v>0</v>
      </c>
      <c r="CQ115" s="5">
        <f>IF($BI115&lt;&gt;"",IF('Capacity summary'!$C$14="Yes",IF(COUNTBLANK('Capacity summary'!$H27:$BG27)&lt;52,IF('Capacity summary'!AN27&lt;&gt;"",IF(LOWER('Capacity summary'!AN27)="x",$BI115*AN115,VALUE('Capacity summary'!AN27)),0),AN115*$BI115),AN115*$BI115),0)</f>
        <v>0</v>
      </c>
      <c r="CR115" s="5">
        <f>IF($BI115&lt;&gt;"",IF('Capacity summary'!$C$14="Yes",IF(COUNTBLANK('Capacity summary'!$H27:$BG27)&lt;52,IF('Capacity summary'!AO27&lt;&gt;"",IF(LOWER('Capacity summary'!AO27)="x",$BI115*AO115,VALUE('Capacity summary'!AO27)),0),AO115*$BI115),AO115*$BI115),0)</f>
        <v>0</v>
      </c>
      <c r="CS115" s="5">
        <f>IF($BI115&lt;&gt;"",IF('Capacity summary'!$C$14="Yes",IF(COUNTBLANK('Capacity summary'!$H27:$BG27)&lt;52,IF('Capacity summary'!AP27&lt;&gt;"",IF(LOWER('Capacity summary'!AP27)="x",$BI115*AP115,VALUE('Capacity summary'!AP27)),0),AP115*$BI115),AP115*$BI115),0)</f>
        <v>0</v>
      </c>
      <c r="CT115" s="5">
        <f>IF($BI115&lt;&gt;"",IF('Capacity summary'!$C$14="Yes",IF(COUNTBLANK('Capacity summary'!$H27:$BG27)&lt;52,IF('Capacity summary'!AQ27&lt;&gt;"",IF(LOWER('Capacity summary'!AQ27)="x",$BI115*AQ115,VALUE('Capacity summary'!AQ27)),0),AQ115*$BI115),AQ115*$BI115),0)</f>
        <v>0</v>
      </c>
      <c r="CU115" s="5">
        <f>IF($BI115&lt;&gt;"",IF('Capacity summary'!$C$14="Yes",IF(COUNTBLANK('Capacity summary'!$H27:$BG27)&lt;52,IF('Capacity summary'!AR27&lt;&gt;"",IF(LOWER('Capacity summary'!AR27)="x",$BI115*AR115,VALUE('Capacity summary'!AR27)),0),AR115*$BI115),AR115*$BI115),0)</f>
        <v>0</v>
      </c>
      <c r="CV115" s="5">
        <f>IF($BI115&lt;&gt;"",IF('Capacity summary'!$C$14="Yes",IF(COUNTBLANK('Capacity summary'!$H27:$BG27)&lt;52,IF('Capacity summary'!AS27&lt;&gt;"",IF(LOWER('Capacity summary'!AS27)="x",$BI115*AS115,VALUE('Capacity summary'!AS27)),0),AS115*$BI115),AS115*$BI115),0)</f>
        <v>0</v>
      </c>
      <c r="CW115" s="5">
        <f>IF($BI115&lt;&gt;"",IF('Capacity summary'!$C$14="Yes",IF(COUNTBLANK('Capacity summary'!$H27:$BG27)&lt;52,IF('Capacity summary'!AT27&lt;&gt;"",IF(LOWER('Capacity summary'!AT27)="x",$BI115*AT115,VALUE('Capacity summary'!AT27)),0),AT115*$BI115),AT115*$BI115),0)</f>
        <v>0</v>
      </c>
      <c r="CX115" s="5">
        <f>IF($BI115&lt;&gt;"",IF('Capacity summary'!$C$14="Yes",IF(COUNTBLANK('Capacity summary'!$H27:$BG27)&lt;52,IF('Capacity summary'!AU27&lt;&gt;"",IF(LOWER('Capacity summary'!AU27)="x",$BI115*AU115,VALUE('Capacity summary'!AU27)),0),AU115*$BI115),AU115*$BI115),0)</f>
        <v>0</v>
      </c>
      <c r="CY115" s="5">
        <f>IF($BI115&lt;&gt;"",IF('Capacity summary'!$C$14="Yes",IF(COUNTBLANK('Capacity summary'!$H27:$BG27)&lt;52,IF('Capacity summary'!AV27&lt;&gt;"",IF(LOWER('Capacity summary'!AV27)="x",$BI115*AV115,VALUE('Capacity summary'!AV27)),0),AV115*$BI115),AV115*$BI115),0)</f>
        <v>0</v>
      </c>
      <c r="CZ115" s="5">
        <f>IF($BI115&lt;&gt;"",IF('Capacity summary'!$C$14="Yes",IF(COUNTBLANK('Capacity summary'!$H27:$BG27)&lt;52,IF('Capacity summary'!AW27&lt;&gt;"",IF(LOWER('Capacity summary'!AW27)="x",$BI115*AW115,VALUE('Capacity summary'!AW27)),0),AW115*$BI115),AW115*$BI115),0)</f>
        <v>0</v>
      </c>
      <c r="DA115" s="5">
        <f>IF($BI115&lt;&gt;"",IF('Capacity summary'!$C$14="Yes",IF(COUNTBLANK('Capacity summary'!$H27:$BG27)&lt;52,IF('Capacity summary'!AX27&lt;&gt;"",IF(LOWER('Capacity summary'!AX27)="x",$BI115*AX115,VALUE('Capacity summary'!AX27)),0),AX115*$BI115),AX115*$BI115),0)</f>
        <v>0</v>
      </c>
      <c r="DB115" s="5">
        <f>IF($BI115&lt;&gt;"",IF('Capacity summary'!$C$14="Yes",IF(COUNTBLANK('Capacity summary'!$H27:$BG27)&lt;52,IF('Capacity summary'!AY27&lt;&gt;"",IF(LOWER('Capacity summary'!AY27)="x",$BI115*AY115,VALUE('Capacity summary'!AY27)),0),AY115*$BI115),AY115*$BI115),0)</f>
        <v>0</v>
      </c>
      <c r="DC115" s="5">
        <f>IF($BI115&lt;&gt;"",IF('Capacity summary'!$C$14="Yes",IF(COUNTBLANK('Capacity summary'!$H27:$BG27)&lt;52,IF('Capacity summary'!AZ27&lt;&gt;"",IF(LOWER('Capacity summary'!AZ27)="x",$BI115*AZ115,VALUE('Capacity summary'!AZ27)),0),AZ115*$BI115),AZ115*$BI115),0)</f>
        <v>0</v>
      </c>
      <c r="DD115" s="5">
        <f>IF($BI115&lt;&gt;"",IF('Capacity summary'!$C$14="Yes",IF(COUNTBLANK('Capacity summary'!$H27:$BG27)&lt;52,IF('Capacity summary'!BA27&lt;&gt;"",IF(LOWER('Capacity summary'!BA27)="x",$BI115*BA115,VALUE('Capacity summary'!BA27)),0),BA115*$BI115),BA115*$BI115),0)</f>
        <v>0</v>
      </c>
      <c r="DE115" s="5">
        <f>IF($BI115&lt;&gt;"",IF('Capacity summary'!$C$14="Yes",IF(COUNTBLANK('Capacity summary'!$H27:$BG27)&lt;52,IF('Capacity summary'!BB27&lt;&gt;"",IF(LOWER('Capacity summary'!BB27)="x",$BI115*BB115,VALUE('Capacity summary'!BB27)),0),BB115*$BI115),BB115*$BI115),0)</f>
        <v>0</v>
      </c>
      <c r="DF115" s="5">
        <f>IF($BI115&lt;&gt;"",IF('Capacity summary'!$C$14="Yes",IF(COUNTBLANK('Capacity summary'!$H27:$BG27)&lt;52,IF('Capacity summary'!BC27&lt;&gt;"",IF(LOWER('Capacity summary'!BC27)="x",$BI115*BC115,VALUE('Capacity summary'!BC27)),0),BC115*$BI115),BC115*$BI115),0)</f>
        <v>0</v>
      </c>
      <c r="DG115" s="5">
        <f>IF($BI115&lt;&gt;"",IF('Capacity summary'!$C$14="Yes",IF(COUNTBLANK('Capacity summary'!$H27:$BG27)&lt;52,IF('Capacity summary'!BD27&lt;&gt;"",IF(LOWER('Capacity summary'!BD27)="x",$BI115*BD115,VALUE('Capacity summary'!BD27)),0),BD115*$BI115),BD115*$BI115),0)</f>
        <v>0</v>
      </c>
      <c r="DH115" s="5">
        <f>IF($BI115&lt;&gt;"",IF('Capacity summary'!$C$14="Yes",IF(COUNTBLANK('Capacity summary'!$H27:$BG27)&lt;52,IF('Capacity summary'!BE27&lt;&gt;"",IF(LOWER('Capacity summary'!BE27)="x",$BI115*BE115,VALUE('Capacity summary'!BE27)),0),BE115*$BI115),BE115*$BI115),0)</f>
        <v>0</v>
      </c>
      <c r="DI115" s="5">
        <f>IF($BI115&lt;&gt;"",IF('Capacity summary'!$C$14="Yes",IF(COUNTBLANK('Capacity summary'!$H27:$BG27)&lt;52,IF('Capacity summary'!BF27&lt;&gt;"",IF(LOWER('Capacity summary'!BF27)="x",$BI115*BF115,VALUE('Capacity summary'!BF27)),0),BF115*$BI115),BF115*$BI115),0)</f>
        <v>0</v>
      </c>
      <c r="DJ115" s="5">
        <f>IF($BI115&lt;&gt;"",IF('Capacity summary'!$C$14="Yes",IF(COUNTBLANK('Capacity summary'!$H27:$BG27)&lt;52,IF('Capacity summary'!BG27&lt;&gt;"",IF(LOWER('Capacity summary'!BG27)="x",$BI115*BG115,VALUE('Capacity summary'!BG27)),0),BG115*$BI115),BG115*$BI115),0)</f>
        <v>0</v>
      </c>
      <c r="DK115" s="391">
        <f t="shared" si="8"/>
        <v>0</v>
      </c>
      <c r="DL115" s="5">
        <f t="shared" si="9"/>
        <v>0</v>
      </c>
    </row>
    <row r="116" spans="3:116" x14ac:dyDescent="0.2">
      <c r="C116" s="67" t="str">
        <f>ROW(A5)&amp;". "&amp;Capacity!N21</f>
        <v xml:space="preserve">5. </v>
      </c>
      <c r="D116" s="67">
        <f>'Capacity setup'!C122</f>
        <v>0</v>
      </c>
      <c r="E116" s="67">
        <f>'Capacity setup'!D122</f>
        <v>0</v>
      </c>
      <c r="F116" s="67">
        <f>'Capacity setup'!E122</f>
        <v>0</v>
      </c>
      <c r="H116" s="67">
        <f ca="1">IF(LOWER(Capacity!$V21)="x",IF(AND(SUMIF(Capacity_Resource,$D116,'Critical resources (hide)'!U$6:U$105)+SUMIF(Capacity_Resource,$E116,'Critical resources (hide)'!U$6:U$105)+SUMIF(Capacity_Resource,$F116,'Critical resources (hide)'!U$6:U$105)&gt;0,$E$1=2),0,1),0)</f>
        <v>1</v>
      </c>
      <c r="I116" s="67">
        <f ca="1">IF(LOWER(Capacity!$V21)="x",IF(AND(SUMIF(Capacity_Resource,$D116,'Critical resources (hide)'!V$6:V$105)+SUMIF(Capacity_Resource,$E116,'Critical resources (hide)'!V$6:V$105)+SUMIF(Capacity_Resource,$F116,'Critical resources (hide)'!V$6:V$105)&gt;0,$E$1=2),0,1),0)</f>
        <v>1</v>
      </c>
      <c r="J116" s="67">
        <f ca="1">IF(LOWER(Capacity!$V21)="x",IF(AND(SUMIF(Capacity_Resource,$D116,'Critical resources (hide)'!W$6:W$105)+SUMIF(Capacity_Resource,$E116,'Critical resources (hide)'!W$6:W$105)+SUMIF(Capacity_Resource,$F116,'Critical resources (hide)'!W$6:W$105)&gt;0,$E$1=2),0,1),0)</f>
        <v>1</v>
      </c>
      <c r="K116" s="67">
        <f ca="1">IF(LOWER(Capacity!$V21)="x",IF(AND(SUMIF(Capacity_Resource,$D116,'Critical resources (hide)'!X$6:X$105)+SUMIF(Capacity_Resource,$E116,'Critical resources (hide)'!X$6:X$105)+SUMIF(Capacity_Resource,$F116,'Critical resources (hide)'!X$6:X$105)&gt;0,$E$1=2),0,1),0)</f>
        <v>1</v>
      </c>
      <c r="L116" s="67">
        <f ca="1">IF(LOWER(Capacity!$V21)="x",IF(AND(SUMIF(Capacity_Resource,$D116,'Critical resources (hide)'!Y$6:Y$105)+SUMIF(Capacity_Resource,$E116,'Critical resources (hide)'!Y$6:Y$105)+SUMIF(Capacity_Resource,$F116,'Critical resources (hide)'!Y$6:Y$105)&gt;0,$E$1=2),0,1),0)</f>
        <v>1</v>
      </c>
      <c r="M116" s="67">
        <f ca="1">IF(LOWER(Capacity!$V21)="x",IF(AND(SUMIF(Capacity_Resource,$D116,'Critical resources (hide)'!Z$6:Z$105)+SUMIF(Capacity_Resource,$E116,'Critical resources (hide)'!Z$6:Z$105)+SUMIF(Capacity_Resource,$F116,'Critical resources (hide)'!Z$6:Z$105)&gt;0,$E$1=2),0,1),0)</f>
        <v>1</v>
      </c>
      <c r="N116" s="67">
        <f ca="1">IF(LOWER(Capacity!$V21)="x",IF(AND(SUMIF(Capacity_Resource,$D116,'Critical resources (hide)'!AA$6:AA$105)+SUMIF(Capacity_Resource,$E116,'Critical resources (hide)'!AA$6:AA$105)+SUMIF(Capacity_Resource,$F116,'Critical resources (hide)'!AA$6:AA$105)&gt;0,$E$1=2),0,1),0)</f>
        <v>1</v>
      </c>
      <c r="O116" s="67">
        <f ca="1">IF(LOWER(Capacity!$V21)="x",IF(AND(SUMIF(Capacity_Resource,$D116,'Critical resources (hide)'!AB$6:AB$105)+SUMIF(Capacity_Resource,$E116,'Critical resources (hide)'!AB$6:AB$105)+SUMIF(Capacity_Resource,$F116,'Critical resources (hide)'!AB$6:AB$105)&gt;0,$E$1=2),0,1),0)</f>
        <v>1</v>
      </c>
      <c r="P116" s="67">
        <f ca="1">IF(LOWER(Capacity!$V21)="x",IF(AND(SUMIF(Capacity_Resource,$D116,'Critical resources (hide)'!AC$6:AC$105)+SUMIF(Capacity_Resource,$E116,'Critical resources (hide)'!AC$6:AC$105)+SUMIF(Capacity_Resource,$F116,'Critical resources (hide)'!AC$6:AC$105)&gt;0,$E$1=2),0,1),0)</f>
        <v>1</v>
      </c>
      <c r="Q116" s="67">
        <f ca="1">IF(LOWER(Capacity!$V21)="x",IF(AND(SUMIF(Capacity_Resource,$D116,'Critical resources (hide)'!AD$6:AD$105)+SUMIF(Capacity_Resource,$E116,'Critical resources (hide)'!AD$6:AD$105)+SUMIF(Capacity_Resource,$F116,'Critical resources (hide)'!AD$6:AD$105)&gt;0,$E$1=2),0,1),0)</f>
        <v>1</v>
      </c>
      <c r="R116" s="67">
        <f ca="1">IF(LOWER(Capacity!$V21)="x",IF(AND(SUMIF(Capacity_Resource,$D116,'Critical resources (hide)'!AE$6:AE$105)+SUMIF(Capacity_Resource,$E116,'Critical resources (hide)'!AE$6:AE$105)+SUMIF(Capacity_Resource,$F116,'Critical resources (hide)'!AE$6:AE$105)&gt;0,$E$1=2),0,1),0)</f>
        <v>1</v>
      </c>
      <c r="S116" s="67">
        <f ca="1">IF(LOWER(Capacity!$V21)="x",IF(AND(SUMIF(Capacity_Resource,$D116,'Critical resources (hide)'!AF$6:AF$105)+SUMIF(Capacity_Resource,$E116,'Critical resources (hide)'!AF$6:AF$105)+SUMIF(Capacity_Resource,$F116,'Critical resources (hide)'!AF$6:AF$105)&gt;0,$E$1=2),0,1),0)</f>
        <v>1</v>
      </c>
      <c r="T116" s="67">
        <f ca="1">IF(LOWER(Capacity!$V21)="x",IF(AND(SUMIF(Capacity_Resource,$D116,'Critical resources (hide)'!AG$6:AG$105)+SUMIF(Capacity_Resource,$E116,'Critical resources (hide)'!AG$6:AG$105)+SUMIF(Capacity_Resource,$F116,'Critical resources (hide)'!AG$6:AG$105)&gt;0,$E$1=2),0,1),0)</f>
        <v>1</v>
      </c>
      <c r="U116" s="67">
        <f ca="1">IF(LOWER(Capacity!$V21)="x",IF(AND(SUMIF(Capacity_Resource,$D116,'Critical resources (hide)'!AH$6:AH$105)+SUMIF(Capacity_Resource,$E116,'Critical resources (hide)'!AH$6:AH$105)+SUMIF(Capacity_Resource,$F116,'Critical resources (hide)'!AH$6:AH$105)&gt;0,$E$1=2),0,1),0)</f>
        <v>1</v>
      </c>
      <c r="V116" s="67">
        <f ca="1">IF(LOWER(Capacity!$V21)="x",IF(AND(SUMIF(Capacity_Resource,$D116,'Critical resources (hide)'!AI$6:AI$105)+SUMIF(Capacity_Resource,$E116,'Critical resources (hide)'!AI$6:AI$105)+SUMIF(Capacity_Resource,$F116,'Critical resources (hide)'!AI$6:AI$105)&gt;0,$E$1=2),0,1),0)</f>
        <v>1</v>
      </c>
      <c r="W116" s="67">
        <f ca="1">IF(LOWER(Capacity!$V21)="x",IF(AND(SUMIF(Capacity_Resource,$D116,'Critical resources (hide)'!AJ$6:AJ$105)+SUMIF(Capacity_Resource,$E116,'Critical resources (hide)'!AJ$6:AJ$105)+SUMIF(Capacity_Resource,$F116,'Critical resources (hide)'!AJ$6:AJ$105)&gt;0,$E$1=2),0,1),0)</f>
        <v>1</v>
      </c>
      <c r="X116" s="67">
        <f ca="1">IF(LOWER(Capacity!$V21)="x",IF(AND(SUMIF(Capacity_Resource,$D116,'Critical resources (hide)'!AK$6:AK$105)+SUMIF(Capacity_Resource,$E116,'Critical resources (hide)'!AK$6:AK$105)+SUMIF(Capacity_Resource,$F116,'Critical resources (hide)'!AK$6:AK$105)&gt;0,$E$1=2),0,1),0)</f>
        <v>1</v>
      </c>
      <c r="Y116" s="67">
        <f ca="1">IF(LOWER(Capacity!$V21)="x",IF(AND(SUMIF(Capacity_Resource,$D116,'Critical resources (hide)'!AL$6:AL$105)+SUMIF(Capacity_Resource,$E116,'Critical resources (hide)'!AL$6:AL$105)+SUMIF(Capacity_Resource,$F116,'Critical resources (hide)'!AL$6:AL$105)&gt;0,$E$1=2),0,1),0)</f>
        <v>1</v>
      </c>
      <c r="Z116" s="67">
        <f ca="1">IF(LOWER(Capacity!$V21)="x",IF(AND(SUMIF(Capacity_Resource,$D116,'Critical resources (hide)'!AM$6:AM$105)+SUMIF(Capacity_Resource,$E116,'Critical resources (hide)'!AM$6:AM$105)+SUMIF(Capacity_Resource,$F116,'Critical resources (hide)'!AM$6:AM$105)&gt;0,$E$1=2),0,1),0)</f>
        <v>1</v>
      </c>
      <c r="AA116" s="67">
        <f ca="1">IF(LOWER(Capacity!$V21)="x",IF(AND(SUMIF(Capacity_Resource,$D116,'Critical resources (hide)'!AN$6:AN$105)+SUMIF(Capacity_Resource,$E116,'Critical resources (hide)'!AN$6:AN$105)+SUMIF(Capacity_Resource,$F116,'Critical resources (hide)'!AN$6:AN$105)&gt;0,$E$1=2),0,1),0)</f>
        <v>1</v>
      </c>
      <c r="AB116" s="67">
        <f ca="1">IF(LOWER(Capacity!$V21)="x",IF(AND(SUMIF(Capacity_Resource,$D116,'Critical resources (hide)'!AO$6:AO$105)+SUMIF(Capacity_Resource,$E116,'Critical resources (hide)'!AO$6:AO$105)+SUMIF(Capacity_Resource,$F116,'Critical resources (hide)'!AO$6:AO$105)&gt;0,$E$1=2),0,1),0)</f>
        <v>1</v>
      </c>
      <c r="AC116" s="67">
        <f ca="1">IF(LOWER(Capacity!$V21)="x",IF(AND(SUMIF(Capacity_Resource,$D116,'Critical resources (hide)'!AP$6:AP$105)+SUMIF(Capacity_Resource,$E116,'Critical resources (hide)'!AP$6:AP$105)+SUMIF(Capacity_Resource,$F116,'Critical resources (hide)'!AP$6:AP$105)&gt;0,$E$1=2),0,1),0)</f>
        <v>1</v>
      </c>
      <c r="AD116" s="67">
        <f ca="1">IF(LOWER(Capacity!$V21)="x",IF(AND(SUMIF(Capacity_Resource,$D116,'Critical resources (hide)'!AQ$6:AQ$105)+SUMIF(Capacity_Resource,$E116,'Critical resources (hide)'!AQ$6:AQ$105)+SUMIF(Capacity_Resource,$F116,'Critical resources (hide)'!AQ$6:AQ$105)&gt;0,$E$1=2),0,1),0)</f>
        <v>1</v>
      </c>
      <c r="AE116" s="67">
        <f ca="1">IF(LOWER(Capacity!$V21)="x",IF(AND(SUMIF(Capacity_Resource,$D116,'Critical resources (hide)'!AR$6:AR$105)+SUMIF(Capacity_Resource,$E116,'Critical resources (hide)'!AR$6:AR$105)+SUMIF(Capacity_Resource,$F116,'Critical resources (hide)'!AR$6:AR$105)&gt;0,$E$1=2),0,1),0)</f>
        <v>1</v>
      </c>
      <c r="AF116" s="67">
        <f ca="1">IF(LOWER(Capacity!$V21)="x",IF(AND(SUMIF(Capacity_Resource,$D116,'Critical resources (hide)'!AS$6:AS$105)+SUMIF(Capacity_Resource,$E116,'Critical resources (hide)'!AS$6:AS$105)+SUMIF(Capacity_Resource,$F116,'Critical resources (hide)'!AS$6:AS$105)&gt;0,$E$1=2),0,1),0)</f>
        <v>1</v>
      </c>
      <c r="AG116" s="67">
        <f ca="1">IF(LOWER(Capacity!$V21)="x",IF(AND(SUMIF(Capacity_Resource,$D116,'Critical resources (hide)'!AT$6:AT$105)+SUMIF(Capacity_Resource,$E116,'Critical resources (hide)'!AT$6:AT$105)+SUMIF(Capacity_Resource,$F116,'Critical resources (hide)'!AT$6:AT$105)&gt;0,$E$1=2),0,1),0)</f>
        <v>1</v>
      </c>
      <c r="AH116" s="67">
        <f ca="1">IF(LOWER(Capacity!$V21)="x",IF(AND(SUMIF(Capacity_Resource,$D116,'Critical resources (hide)'!AU$6:AU$105)+SUMIF(Capacity_Resource,$E116,'Critical resources (hide)'!AU$6:AU$105)+SUMIF(Capacity_Resource,$F116,'Critical resources (hide)'!AU$6:AU$105)&gt;0,$E$1=2),0,1),0)</f>
        <v>1</v>
      </c>
      <c r="AI116" s="67">
        <f ca="1">IF(LOWER(Capacity!$V21)="x",IF(AND(SUMIF(Capacity_Resource,$D116,'Critical resources (hide)'!AV$6:AV$105)+SUMIF(Capacity_Resource,$E116,'Critical resources (hide)'!AV$6:AV$105)+SUMIF(Capacity_Resource,$F116,'Critical resources (hide)'!AV$6:AV$105)&gt;0,$E$1=2),0,1),0)</f>
        <v>1</v>
      </c>
      <c r="AJ116" s="67">
        <f ca="1">IF(LOWER(Capacity!$V21)="x",IF(AND(SUMIF(Capacity_Resource,$D116,'Critical resources (hide)'!AW$6:AW$105)+SUMIF(Capacity_Resource,$E116,'Critical resources (hide)'!AW$6:AW$105)+SUMIF(Capacity_Resource,$F116,'Critical resources (hide)'!AW$6:AW$105)&gt;0,$E$1=2),0,1),0)</f>
        <v>1</v>
      </c>
      <c r="AK116" s="67">
        <f ca="1">IF(LOWER(Capacity!$V21)="x",IF(AND(SUMIF(Capacity_Resource,$D116,'Critical resources (hide)'!AX$6:AX$105)+SUMIF(Capacity_Resource,$E116,'Critical resources (hide)'!AX$6:AX$105)+SUMIF(Capacity_Resource,$F116,'Critical resources (hide)'!AX$6:AX$105)&gt;0,$E$1=2),0,1),0)</f>
        <v>1</v>
      </c>
      <c r="AL116" s="67">
        <f ca="1">IF(LOWER(Capacity!$V21)="x",IF(AND(SUMIF(Capacity_Resource,$D116,'Critical resources (hide)'!AY$6:AY$105)+SUMIF(Capacity_Resource,$E116,'Critical resources (hide)'!AY$6:AY$105)+SUMIF(Capacity_Resource,$F116,'Critical resources (hide)'!AY$6:AY$105)&gt;0,$E$1=2),0,1),0)</f>
        <v>1</v>
      </c>
      <c r="AM116" s="67">
        <f ca="1">IF(LOWER(Capacity!$V21)="x",IF(AND(SUMIF(Capacity_Resource,$D116,'Critical resources (hide)'!AZ$6:AZ$105)+SUMIF(Capacity_Resource,$E116,'Critical resources (hide)'!AZ$6:AZ$105)+SUMIF(Capacity_Resource,$F116,'Critical resources (hide)'!AZ$6:AZ$105)&gt;0,$E$1=2),0,1),0)</f>
        <v>1</v>
      </c>
      <c r="AN116" s="67">
        <f ca="1">IF(LOWER(Capacity!$V21)="x",IF(AND(SUMIF(Capacity_Resource,$D116,'Critical resources (hide)'!BA$6:BA$105)+SUMIF(Capacity_Resource,$E116,'Critical resources (hide)'!BA$6:BA$105)+SUMIF(Capacity_Resource,$F116,'Critical resources (hide)'!BA$6:BA$105)&gt;0,$E$1=2),0,1),0)</f>
        <v>1</v>
      </c>
      <c r="AO116" s="67">
        <f ca="1">IF(LOWER(Capacity!$V21)="x",IF(AND(SUMIF(Capacity_Resource,$D116,'Critical resources (hide)'!BB$6:BB$105)+SUMIF(Capacity_Resource,$E116,'Critical resources (hide)'!BB$6:BB$105)+SUMIF(Capacity_Resource,$F116,'Critical resources (hide)'!BB$6:BB$105)&gt;0,$E$1=2),0,1),0)</f>
        <v>1</v>
      </c>
      <c r="AP116" s="67">
        <f ca="1">IF(LOWER(Capacity!$V21)="x",IF(AND(SUMIF(Capacity_Resource,$D116,'Critical resources (hide)'!BC$6:BC$105)+SUMIF(Capacity_Resource,$E116,'Critical resources (hide)'!BC$6:BC$105)+SUMIF(Capacity_Resource,$F116,'Critical resources (hide)'!BC$6:BC$105)&gt;0,$E$1=2),0,1),0)</f>
        <v>1</v>
      </c>
      <c r="AQ116" s="67">
        <f ca="1">IF(LOWER(Capacity!$V21)="x",IF(AND(SUMIF(Capacity_Resource,$D116,'Critical resources (hide)'!BD$6:BD$105)+SUMIF(Capacity_Resource,$E116,'Critical resources (hide)'!BD$6:BD$105)+SUMIF(Capacity_Resource,$F116,'Critical resources (hide)'!BD$6:BD$105)&gt;0,$E$1=2),0,1),0)</f>
        <v>1</v>
      </c>
      <c r="AR116" s="67">
        <f ca="1">IF(LOWER(Capacity!$V21)="x",IF(AND(SUMIF(Capacity_Resource,$D116,'Critical resources (hide)'!BE$6:BE$105)+SUMIF(Capacity_Resource,$E116,'Critical resources (hide)'!BE$6:BE$105)+SUMIF(Capacity_Resource,$F116,'Critical resources (hide)'!BE$6:BE$105)&gt;0,$E$1=2),0,1),0)</f>
        <v>1</v>
      </c>
      <c r="AS116" s="67">
        <f ca="1">IF(LOWER(Capacity!$V21)="x",IF(AND(SUMIF(Capacity_Resource,$D116,'Critical resources (hide)'!BF$6:BF$105)+SUMIF(Capacity_Resource,$E116,'Critical resources (hide)'!BF$6:BF$105)+SUMIF(Capacity_Resource,$F116,'Critical resources (hide)'!BF$6:BF$105)&gt;0,$E$1=2),0,1),0)</f>
        <v>1</v>
      </c>
      <c r="AT116" s="67">
        <f ca="1">IF(LOWER(Capacity!$V21)="x",IF(AND(SUMIF(Capacity_Resource,$D116,'Critical resources (hide)'!BG$6:BG$105)+SUMIF(Capacity_Resource,$E116,'Critical resources (hide)'!BG$6:BG$105)+SUMIF(Capacity_Resource,$F116,'Critical resources (hide)'!BG$6:BG$105)&gt;0,$E$1=2),0,1),0)</f>
        <v>1</v>
      </c>
      <c r="AU116" s="67">
        <f ca="1">IF(LOWER(Capacity!$V21)="x",IF(AND(SUMIF(Capacity_Resource,$D116,'Critical resources (hide)'!BH$6:BH$105)+SUMIF(Capacity_Resource,$E116,'Critical resources (hide)'!BH$6:BH$105)+SUMIF(Capacity_Resource,$F116,'Critical resources (hide)'!BH$6:BH$105)&gt;0,$E$1=2),0,1),0)</f>
        <v>1</v>
      </c>
      <c r="AV116" s="67">
        <f ca="1">IF(LOWER(Capacity!$V21)="x",IF(AND(SUMIF(Capacity_Resource,$D116,'Critical resources (hide)'!BI$6:BI$105)+SUMIF(Capacity_Resource,$E116,'Critical resources (hide)'!BI$6:BI$105)+SUMIF(Capacity_Resource,$F116,'Critical resources (hide)'!BI$6:BI$105)&gt;0,$E$1=2),0,1),0)</f>
        <v>1</v>
      </c>
      <c r="AW116" s="67">
        <f ca="1">IF(LOWER(Capacity!$V21)="x",IF(AND(SUMIF(Capacity_Resource,$D116,'Critical resources (hide)'!BJ$6:BJ$105)+SUMIF(Capacity_Resource,$E116,'Critical resources (hide)'!BJ$6:BJ$105)+SUMIF(Capacity_Resource,$F116,'Critical resources (hide)'!BJ$6:BJ$105)&gt;0,$E$1=2),0,1),0)</f>
        <v>1</v>
      </c>
      <c r="AX116" s="67">
        <f ca="1">IF(LOWER(Capacity!$V21)="x",IF(AND(SUMIF(Capacity_Resource,$D116,'Critical resources (hide)'!BK$6:BK$105)+SUMIF(Capacity_Resource,$E116,'Critical resources (hide)'!BK$6:BK$105)+SUMIF(Capacity_Resource,$F116,'Critical resources (hide)'!BK$6:BK$105)&gt;0,$E$1=2),0,1),0)</f>
        <v>1</v>
      </c>
      <c r="AY116" s="67">
        <f ca="1">IF(LOWER(Capacity!$V21)="x",IF(AND(SUMIF(Capacity_Resource,$D116,'Critical resources (hide)'!BL$6:BL$105)+SUMIF(Capacity_Resource,$E116,'Critical resources (hide)'!BL$6:BL$105)+SUMIF(Capacity_Resource,$F116,'Critical resources (hide)'!BL$6:BL$105)&gt;0,$E$1=2),0,1),0)</f>
        <v>1</v>
      </c>
      <c r="AZ116" s="67">
        <f ca="1">IF(LOWER(Capacity!$V21)="x",IF(AND(SUMIF(Capacity_Resource,$D116,'Critical resources (hide)'!BM$6:BM$105)+SUMIF(Capacity_Resource,$E116,'Critical resources (hide)'!BM$6:BM$105)+SUMIF(Capacity_Resource,$F116,'Critical resources (hide)'!BM$6:BM$105)&gt;0,$E$1=2),0,1),0)</f>
        <v>1</v>
      </c>
      <c r="BA116" s="67">
        <f ca="1">IF(LOWER(Capacity!$V21)="x",IF(AND(SUMIF(Capacity_Resource,$D116,'Critical resources (hide)'!BN$6:BN$105)+SUMIF(Capacity_Resource,$E116,'Critical resources (hide)'!BN$6:BN$105)+SUMIF(Capacity_Resource,$F116,'Critical resources (hide)'!BN$6:BN$105)&gt;0,$E$1=2),0,1),0)</f>
        <v>1</v>
      </c>
      <c r="BB116" s="67">
        <f ca="1">IF(LOWER(Capacity!$V21)="x",IF(AND(SUMIF(Capacity_Resource,$D116,'Critical resources (hide)'!BO$6:BO$105)+SUMIF(Capacity_Resource,$E116,'Critical resources (hide)'!BO$6:BO$105)+SUMIF(Capacity_Resource,$F116,'Critical resources (hide)'!BO$6:BO$105)&gt;0,$E$1=2),0,1),0)</f>
        <v>1</v>
      </c>
      <c r="BC116" s="67">
        <f ca="1">IF(LOWER(Capacity!$V21)="x",IF(AND(SUMIF(Capacity_Resource,$D116,'Critical resources (hide)'!BP$6:BP$105)+SUMIF(Capacity_Resource,$E116,'Critical resources (hide)'!BP$6:BP$105)+SUMIF(Capacity_Resource,$F116,'Critical resources (hide)'!BP$6:BP$105)&gt;0,$E$1=2),0,1),0)</f>
        <v>1</v>
      </c>
      <c r="BD116" s="67">
        <f ca="1">IF(LOWER(Capacity!$V21)="x",IF(AND(SUMIF(Capacity_Resource,$D116,'Critical resources (hide)'!BQ$6:BQ$105)+SUMIF(Capacity_Resource,$E116,'Critical resources (hide)'!BQ$6:BQ$105)+SUMIF(Capacity_Resource,$F116,'Critical resources (hide)'!BQ$6:BQ$105)&gt;0,$E$1=2),0,1),0)</f>
        <v>1</v>
      </c>
      <c r="BE116" s="67">
        <f ca="1">IF(LOWER(Capacity!$V21)="x",IF(AND(SUMIF(Capacity_Resource,$D116,'Critical resources (hide)'!BR$6:BR$105)+SUMIF(Capacity_Resource,$E116,'Critical resources (hide)'!BR$6:BR$105)+SUMIF(Capacity_Resource,$F116,'Critical resources (hide)'!BR$6:BR$105)&gt;0,$E$1=2),0,1),0)</f>
        <v>1</v>
      </c>
      <c r="BF116" s="67">
        <f ca="1">IF(LOWER(Capacity!$V21)="x",IF(AND(SUMIF(Capacity_Resource,$D116,'Critical resources (hide)'!BS$6:BS$105)+SUMIF(Capacity_Resource,$E116,'Critical resources (hide)'!BS$6:BS$105)+SUMIF(Capacity_Resource,$F116,'Critical resources (hide)'!BS$6:BS$105)&gt;0,$E$1=2),0,1),0)</f>
        <v>1</v>
      </c>
      <c r="BG116" s="67">
        <f ca="1">IF(LOWER(Capacity!$V21)="x",IF(AND(SUMIF(Capacity_Resource,$D116,'Critical resources (hide)'!BT$6:BT$105)+SUMIF(Capacity_Resource,$E116,'Critical resources (hide)'!BT$6:BT$105)+SUMIF(Capacity_Resource,$F116,'Critical resources (hide)'!BT$6:BT$105)&gt;0,$E$1=2),0,1),0)</f>
        <v>1</v>
      </c>
      <c r="BH116" s="67">
        <f>IF(ROW(A5)&lt;=Capacity!$M$16,IF('Capacity summary'!$C$14="No",SUM(H116:BG116),'Capacity summary'!$E28),0)</f>
        <v>0</v>
      </c>
      <c r="BI116" s="67" t="str">
        <f>IF(BH116&gt;0,IF(BH116&lt;Capacity!Q21,Capacity!R21,Capacity!T21/'Capacity calculation (hide)'!BH116),"")</f>
        <v/>
      </c>
      <c r="BJ116" s="5"/>
      <c r="BK116" s="5">
        <f>IF($BI116&lt;&gt;"",IF('Capacity summary'!$C$14="Yes",IF(COUNTBLANK('Capacity summary'!$H28:$BG28)&lt;52,IF('Capacity summary'!H28&lt;&gt;"",IF(LOWER('Capacity summary'!H28)="x",$BI116*H116,VALUE('Capacity summary'!H28)),0),H116*$BI116),H116*$BI116),0)</f>
        <v>0</v>
      </c>
      <c r="BL116" s="5">
        <f>IF($BI116&lt;&gt;"",IF('Capacity summary'!$C$14="Yes",IF(COUNTBLANK('Capacity summary'!$H28:$BG28)&lt;52,IF('Capacity summary'!I28&lt;&gt;"",IF(LOWER('Capacity summary'!I28)="x",$BI116*I116,VALUE('Capacity summary'!I28)),0),I116*$BI116),I116*$BI116),0)</f>
        <v>0</v>
      </c>
      <c r="BM116" s="5">
        <f>IF($BI116&lt;&gt;"",IF('Capacity summary'!$C$14="Yes",IF(COUNTBLANK('Capacity summary'!$H28:$BG28)&lt;52,IF('Capacity summary'!J28&lt;&gt;"",IF(LOWER('Capacity summary'!J28)="x",$BI116*J116,VALUE('Capacity summary'!J28)),0),J116*$BI116),J116*$BI116),0)</f>
        <v>0</v>
      </c>
      <c r="BN116" s="5">
        <f>IF($BI116&lt;&gt;"",IF('Capacity summary'!$C$14="Yes",IF(COUNTBLANK('Capacity summary'!$H28:$BG28)&lt;52,IF('Capacity summary'!K28&lt;&gt;"",IF(LOWER('Capacity summary'!K28)="x",$BI116*K116,VALUE('Capacity summary'!K28)),0),K116*$BI116),K116*$BI116),0)</f>
        <v>0</v>
      </c>
      <c r="BO116" s="5">
        <f>IF($BI116&lt;&gt;"",IF('Capacity summary'!$C$14="Yes",IF(COUNTBLANK('Capacity summary'!$H28:$BG28)&lt;52,IF('Capacity summary'!L28&lt;&gt;"",IF(LOWER('Capacity summary'!L28)="x",$BI116*L116,VALUE('Capacity summary'!L28)),0),L116*$BI116),L116*$BI116),0)</f>
        <v>0</v>
      </c>
      <c r="BP116" s="5">
        <f>IF($BI116&lt;&gt;"",IF('Capacity summary'!$C$14="Yes",IF(COUNTBLANK('Capacity summary'!$H28:$BG28)&lt;52,IF('Capacity summary'!M28&lt;&gt;"",IF(LOWER('Capacity summary'!M28)="x",$BI116*M116,VALUE('Capacity summary'!M28)),0),M116*$BI116),M116*$BI116),0)</f>
        <v>0</v>
      </c>
      <c r="BQ116" s="5">
        <f>IF($BI116&lt;&gt;"",IF('Capacity summary'!$C$14="Yes",IF(COUNTBLANK('Capacity summary'!$H28:$BG28)&lt;52,IF('Capacity summary'!N28&lt;&gt;"",IF(LOWER('Capacity summary'!N28)="x",$BI116*N116,VALUE('Capacity summary'!N28)),0),N116*$BI116),N116*$BI116),0)</f>
        <v>0</v>
      </c>
      <c r="BR116" s="5">
        <f>IF($BI116&lt;&gt;"",IF('Capacity summary'!$C$14="Yes",IF(COUNTBLANK('Capacity summary'!$H28:$BG28)&lt;52,IF('Capacity summary'!O28&lt;&gt;"",IF(LOWER('Capacity summary'!O28)="x",$BI116*O116,VALUE('Capacity summary'!O28)),0),O116*$BI116),O116*$BI116),0)</f>
        <v>0</v>
      </c>
      <c r="BS116" s="5">
        <f>IF($BI116&lt;&gt;"",IF('Capacity summary'!$C$14="Yes",IF(COUNTBLANK('Capacity summary'!$H28:$BG28)&lt;52,IF('Capacity summary'!P28&lt;&gt;"",IF(LOWER('Capacity summary'!P28)="x",$BI116*P116,VALUE('Capacity summary'!P28)),0),P116*$BI116),P116*$BI116),0)</f>
        <v>0</v>
      </c>
      <c r="BT116" s="5">
        <f>IF($BI116&lt;&gt;"",IF('Capacity summary'!$C$14="Yes",IF(COUNTBLANK('Capacity summary'!$H28:$BG28)&lt;52,IF('Capacity summary'!Q28&lt;&gt;"",IF(LOWER('Capacity summary'!Q28)="x",$BI116*Q116,VALUE('Capacity summary'!Q28)),0),Q116*$BI116),Q116*$BI116),0)</f>
        <v>0</v>
      </c>
      <c r="BU116" s="5">
        <f>IF($BI116&lt;&gt;"",IF('Capacity summary'!$C$14="Yes",IF(COUNTBLANK('Capacity summary'!$H28:$BG28)&lt;52,IF('Capacity summary'!R28&lt;&gt;"",IF(LOWER('Capacity summary'!R28)="x",$BI116*R116,VALUE('Capacity summary'!R28)),0),R116*$BI116),R116*$BI116),0)</f>
        <v>0</v>
      </c>
      <c r="BV116" s="5">
        <f>IF($BI116&lt;&gt;"",IF('Capacity summary'!$C$14="Yes",IF(COUNTBLANK('Capacity summary'!$H28:$BG28)&lt;52,IF('Capacity summary'!S28&lt;&gt;"",IF(LOWER('Capacity summary'!S28)="x",$BI116*S116,VALUE('Capacity summary'!S28)),0),S116*$BI116),S116*$BI116),0)</f>
        <v>0</v>
      </c>
      <c r="BW116" s="5">
        <f>IF($BI116&lt;&gt;"",IF('Capacity summary'!$C$14="Yes",IF(COUNTBLANK('Capacity summary'!$H28:$BG28)&lt;52,IF('Capacity summary'!T28&lt;&gt;"",IF(LOWER('Capacity summary'!T28)="x",$BI116*T116,VALUE('Capacity summary'!T28)),0),T116*$BI116),T116*$BI116),0)</f>
        <v>0</v>
      </c>
      <c r="BX116" s="5">
        <f>IF($BI116&lt;&gt;"",IF('Capacity summary'!$C$14="Yes",IF(COUNTBLANK('Capacity summary'!$H28:$BG28)&lt;52,IF('Capacity summary'!U28&lt;&gt;"",IF(LOWER('Capacity summary'!U28)="x",$BI116*U116,VALUE('Capacity summary'!U28)),0),U116*$BI116),U116*$BI116),0)</f>
        <v>0</v>
      </c>
      <c r="BY116" s="5">
        <f>IF($BI116&lt;&gt;"",IF('Capacity summary'!$C$14="Yes",IF(COUNTBLANK('Capacity summary'!$H28:$BG28)&lt;52,IF('Capacity summary'!V28&lt;&gt;"",IF(LOWER('Capacity summary'!V28)="x",$BI116*V116,VALUE('Capacity summary'!V28)),0),V116*$BI116),V116*$BI116),0)</f>
        <v>0</v>
      </c>
      <c r="BZ116" s="5">
        <f>IF($BI116&lt;&gt;"",IF('Capacity summary'!$C$14="Yes",IF(COUNTBLANK('Capacity summary'!$H28:$BG28)&lt;52,IF('Capacity summary'!W28&lt;&gt;"",IF(LOWER('Capacity summary'!W28)="x",$BI116*W116,VALUE('Capacity summary'!W28)),0),W116*$BI116),W116*$BI116),0)</f>
        <v>0</v>
      </c>
      <c r="CA116" s="5">
        <f>IF($BI116&lt;&gt;"",IF('Capacity summary'!$C$14="Yes",IF(COUNTBLANK('Capacity summary'!$H28:$BG28)&lt;52,IF('Capacity summary'!X28&lt;&gt;"",IF(LOWER('Capacity summary'!X28)="x",$BI116*X116,VALUE('Capacity summary'!X28)),0),X116*$BI116),X116*$BI116),0)</f>
        <v>0</v>
      </c>
      <c r="CB116" s="5">
        <f>IF($BI116&lt;&gt;"",IF('Capacity summary'!$C$14="Yes",IF(COUNTBLANK('Capacity summary'!$H28:$BG28)&lt;52,IF('Capacity summary'!Y28&lt;&gt;"",IF(LOWER('Capacity summary'!Y28)="x",$BI116*Y116,VALUE('Capacity summary'!Y28)),0),Y116*$BI116),Y116*$BI116),0)</f>
        <v>0</v>
      </c>
      <c r="CC116" s="5">
        <f>IF($BI116&lt;&gt;"",IF('Capacity summary'!$C$14="Yes",IF(COUNTBLANK('Capacity summary'!$H28:$BG28)&lt;52,IF('Capacity summary'!Z28&lt;&gt;"",IF(LOWER('Capacity summary'!Z28)="x",$BI116*Z116,VALUE('Capacity summary'!Z28)),0),Z116*$BI116),Z116*$BI116),0)</f>
        <v>0</v>
      </c>
      <c r="CD116" s="5">
        <f>IF($BI116&lt;&gt;"",IF('Capacity summary'!$C$14="Yes",IF(COUNTBLANK('Capacity summary'!$H28:$BG28)&lt;52,IF('Capacity summary'!AA28&lt;&gt;"",IF(LOWER('Capacity summary'!AA28)="x",$BI116*AA116,VALUE('Capacity summary'!AA28)),0),AA116*$BI116),AA116*$BI116),0)</f>
        <v>0</v>
      </c>
      <c r="CE116" s="5">
        <f>IF($BI116&lt;&gt;"",IF('Capacity summary'!$C$14="Yes",IF(COUNTBLANK('Capacity summary'!$H28:$BG28)&lt;52,IF('Capacity summary'!AB28&lt;&gt;"",IF(LOWER('Capacity summary'!AB28)="x",$BI116*AB116,VALUE('Capacity summary'!AB28)),0),AB116*$BI116),AB116*$BI116),0)</f>
        <v>0</v>
      </c>
      <c r="CF116" s="5">
        <f>IF($BI116&lt;&gt;"",IF('Capacity summary'!$C$14="Yes",IF(COUNTBLANK('Capacity summary'!$H28:$BG28)&lt;52,IF('Capacity summary'!AC28&lt;&gt;"",IF(LOWER('Capacity summary'!AC28)="x",$BI116*AC116,VALUE('Capacity summary'!AC28)),0),AC116*$BI116),AC116*$BI116),0)</f>
        <v>0</v>
      </c>
      <c r="CG116" s="5">
        <f>IF($BI116&lt;&gt;"",IF('Capacity summary'!$C$14="Yes",IF(COUNTBLANK('Capacity summary'!$H28:$BG28)&lt;52,IF('Capacity summary'!AD28&lt;&gt;"",IF(LOWER('Capacity summary'!AD28)="x",$BI116*AD116,VALUE('Capacity summary'!AD28)),0),AD116*$BI116),AD116*$BI116),0)</f>
        <v>0</v>
      </c>
      <c r="CH116" s="5">
        <f>IF($BI116&lt;&gt;"",IF('Capacity summary'!$C$14="Yes",IF(COUNTBLANK('Capacity summary'!$H28:$BG28)&lt;52,IF('Capacity summary'!AE28&lt;&gt;"",IF(LOWER('Capacity summary'!AE28)="x",$BI116*AE116,VALUE('Capacity summary'!AE28)),0),AE116*$BI116),AE116*$BI116),0)</f>
        <v>0</v>
      </c>
      <c r="CI116" s="5">
        <f>IF($BI116&lt;&gt;"",IF('Capacity summary'!$C$14="Yes",IF(COUNTBLANK('Capacity summary'!$H28:$BG28)&lt;52,IF('Capacity summary'!AF28&lt;&gt;"",IF(LOWER('Capacity summary'!AF28)="x",$BI116*AF116,VALUE('Capacity summary'!AF28)),0),AF116*$BI116),AF116*$BI116),0)</f>
        <v>0</v>
      </c>
      <c r="CJ116" s="5">
        <f>IF($BI116&lt;&gt;"",IF('Capacity summary'!$C$14="Yes",IF(COUNTBLANK('Capacity summary'!$H28:$BG28)&lt;52,IF('Capacity summary'!AG28&lt;&gt;"",IF(LOWER('Capacity summary'!AG28)="x",$BI116*AG116,VALUE('Capacity summary'!AG28)),0),AG116*$BI116),AG116*$BI116),0)</f>
        <v>0</v>
      </c>
      <c r="CK116" s="5">
        <f>IF($BI116&lt;&gt;"",IF('Capacity summary'!$C$14="Yes",IF(COUNTBLANK('Capacity summary'!$H28:$BG28)&lt;52,IF('Capacity summary'!AH28&lt;&gt;"",IF(LOWER('Capacity summary'!AH28)="x",$BI116*AH116,VALUE('Capacity summary'!AH28)),0),AH116*$BI116),AH116*$BI116),0)</f>
        <v>0</v>
      </c>
      <c r="CL116" s="5">
        <f>IF($BI116&lt;&gt;"",IF('Capacity summary'!$C$14="Yes",IF(COUNTBLANK('Capacity summary'!$H28:$BG28)&lt;52,IF('Capacity summary'!AI28&lt;&gt;"",IF(LOWER('Capacity summary'!AI28)="x",$BI116*AI116,VALUE('Capacity summary'!AI28)),0),AI116*$BI116),AI116*$BI116),0)</f>
        <v>0</v>
      </c>
      <c r="CM116" s="5">
        <f>IF($BI116&lt;&gt;"",IF('Capacity summary'!$C$14="Yes",IF(COUNTBLANK('Capacity summary'!$H28:$BG28)&lt;52,IF('Capacity summary'!AJ28&lt;&gt;"",IF(LOWER('Capacity summary'!AJ28)="x",$BI116*AJ116,VALUE('Capacity summary'!AJ28)),0),AJ116*$BI116),AJ116*$BI116),0)</f>
        <v>0</v>
      </c>
      <c r="CN116" s="5">
        <f>IF($BI116&lt;&gt;"",IF('Capacity summary'!$C$14="Yes",IF(COUNTBLANK('Capacity summary'!$H28:$BG28)&lt;52,IF('Capacity summary'!AK28&lt;&gt;"",IF(LOWER('Capacity summary'!AK28)="x",$BI116*AK116,VALUE('Capacity summary'!AK28)),0),AK116*$BI116),AK116*$BI116),0)</f>
        <v>0</v>
      </c>
      <c r="CO116" s="5">
        <f>IF($BI116&lt;&gt;"",IF('Capacity summary'!$C$14="Yes",IF(COUNTBLANK('Capacity summary'!$H28:$BG28)&lt;52,IF('Capacity summary'!AL28&lt;&gt;"",IF(LOWER('Capacity summary'!AL28)="x",$BI116*AL116,VALUE('Capacity summary'!AL28)),0),AL116*$BI116),AL116*$BI116),0)</f>
        <v>0</v>
      </c>
      <c r="CP116" s="5">
        <f>IF($BI116&lt;&gt;"",IF('Capacity summary'!$C$14="Yes",IF(COUNTBLANK('Capacity summary'!$H28:$BG28)&lt;52,IF('Capacity summary'!AM28&lt;&gt;"",IF(LOWER('Capacity summary'!AM28)="x",$BI116*AM116,VALUE('Capacity summary'!AM28)),0),AM116*$BI116),AM116*$BI116),0)</f>
        <v>0</v>
      </c>
      <c r="CQ116" s="5">
        <f>IF($BI116&lt;&gt;"",IF('Capacity summary'!$C$14="Yes",IF(COUNTBLANK('Capacity summary'!$H28:$BG28)&lt;52,IF('Capacity summary'!AN28&lt;&gt;"",IF(LOWER('Capacity summary'!AN28)="x",$BI116*AN116,VALUE('Capacity summary'!AN28)),0),AN116*$BI116),AN116*$BI116),0)</f>
        <v>0</v>
      </c>
      <c r="CR116" s="5">
        <f>IF($BI116&lt;&gt;"",IF('Capacity summary'!$C$14="Yes",IF(COUNTBLANK('Capacity summary'!$H28:$BG28)&lt;52,IF('Capacity summary'!AO28&lt;&gt;"",IF(LOWER('Capacity summary'!AO28)="x",$BI116*AO116,VALUE('Capacity summary'!AO28)),0),AO116*$BI116),AO116*$BI116),0)</f>
        <v>0</v>
      </c>
      <c r="CS116" s="5">
        <f>IF($BI116&lt;&gt;"",IF('Capacity summary'!$C$14="Yes",IF(COUNTBLANK('Capacity summary'!$H28:$BG28)&lt;52,IF('Capacity summary'!AP28&lt;&gt;"",IF(LOWER('Capacity summary'!AP28)="x",$BI116*AP116,VALUE('Capacity summary'!AP28)),0),AP116*$BI116),AP116*$BI116),0)</f>
        <v>0</v>
      </c>
      <c r="CT116" s="5">
        <f>IF($BI116&lt;&gt;"",IF('Capacity summary'!$C$14="Yes",IF(COUNTBLANK('Capacity summary'!$H28:$BG28)&lt;52,IF('Capacity summary'!AQ28&lt;&gt;"",IF(LOWER('Capacity summary'!AQ28)="x",$BI116*AQ116,VALUE('Capacity summary'!AQ28)),0),AQ116*$BI116),AQ116*$BI116),0)</f>
        <v>0</v>
      </c>
      <c r="CU116" s="5">
        <f>IF($BI116&lt;&gt;"",IF('Capacity summary'!$C$14="Yes",IF(COUNTBLANK('Capacity summary'!$H28:$BG28)&lt;52,IF('Capacity summary'!AR28&lt;&gt;"",IF(LOWER('Capacity summary'!AR28)="x",$BI116*AR116,VALUE('Capacity summary'!AR28)),0),AR116*$BI116),AR116*$BI116),0)</f>
        <v>0</v>
      </c>
      <c r="CV116" s="5">
        <f>IF($BI116&lt;&gt;"",IF('Capacity summary'!$C$14="Yes",IF(COUNTBLANK('Capacity summary'!$H28:$BG28)&lt;52,IF('Capacity summary'!AS28&lt;&gt;"",IF(LOWER('Capacity summary'!AS28)="x",$BI116*AS116,VALUE('Capacity summary'!AS28)),0),AS116*$BI116),AS116*$BI116),0)</f>
        <v>0</v>
      </c>
      <c r="CW116" s="5">
        <f>IF($BI116&lt;&gt;"",IF('Capacity summary'!$C$14="Yes",IF(COUNTBLANK('Capacity summary'!$H28:$BG28)&lt;52,IF('Capacity summary'!AT28&lt;&gt;"",IF(LOWER('Capacity summary'!AT28)="x",$BI116*AT116,VALUE('Capacity summary'!AT28)),0),AT116*$BI116),AT116*$BI116),0)</f>
        <v>0</v>
      </c>
      <c r="CX116" s="5">
        <f>IF($BI116&lt;&gt;"",IF('Capacity summary'!$C$14="Yes",IF(COUNTBLANK('Capacity summary'!$H28:$BG28)&lt;52,IF('Capacity summary'!AU28&lt;&gt;"",IF(LOWER('Capacity summary'!AU28)="x",$BI116*AU116,VALUE('Capacity summary'!AU28)),0),AU116*$BI116),AU116*$BI116),0)</f>
        <v>0</v>
      </c>
      <c r="CY116" s="5">
        <f>IF($BI116&lt;&gt;"",IF('Capacity summary'!$C$14="Yes",IF(COUNTBLANK('Capacity summary'!$H28:$BG28)&lt;52,IF('Capacity summary'!AV28&lt;&gt;"",IF(LOWER('Capacity summary'!AV28)="x",$BI116*AV116,VALUE('Capacity summary'!AV28)),0),AV116*$BI116),AV116*$BI116),0)</f>
        <v>0</v>
      </c>
      <c r="CZ116" s="5">
        <f>IF($BI116&lt;&gt;"",IF('Capacity summary'!$C$14="Yes",IF(COUNTBLANK('Capacity summary'!$H28:$BG28)&lt;52,IF('Capacity summary'!AW28&lt;&gt;"",IF(LOWER('Capacity summary'!AW28)="x",$BI116*AW116,VALUE('Capacity summary'!AW28)),0),AW116*$BI116),AW116*$BI116),0)</f>
        <v>0</v>
      </c>
      <c r="DA116" s="5">
        <f>IF($BI116&lt;&gt;"",IF('Capacity summary'!$C$14="Yes",IF(COUNTBLANK('Capacity summary'!$H28:$BG28)&lt;52,IF('Capacity summary'!AX28&lt;&gt;"",IF(LOWER('Capacity summary'!AX28)="x",$BI116*AX116,VALUE('Capacity summary'!AX28)),0),AX116*$BI116),AX116*$BI116),0)</f>
        <v>0</v>
      </c>
      <c r="DB116" s="5">
        <f>IF($BI116&lt;&gt;"",IF('Capacity summary'!$C$14="Yes",IF(COUNTBLANK('Capacity summary'!$H28:$BG28)&lt;52,IF('Capacity summary'!AY28&lt;&gt;"",IF(LOWER('Capacity summary'!AY28)="x",$BI116*AY116,VALUE('Capacity summary'!AY28)),0),AY116*$BI116),AY116*$BI116),0)</f>
        <v>0</v>
      </c>
      <c r="DC116" s="5">
        <f>IF($BI116&lt;&gt;"",IF('Capacity summary'!$C$14="Yes",IF(COUNTBLANK('Capacity summary'!$H28:$BG28)&lt;52,IF('Capacity summary'!AZ28&lt;&gt;"",IF(LOWER('Capacity summary'!AZ28)="x",$BI116*AZ116,VALUE('Capacity summary'!AZ28)),0),AZ116*$BI116),AZ116*$BI116),0)</f>
        <v>0</v>
      </c>
      <c r="DD116" s="5">
        <f>IF($BI116&lt;&gt;"",IF('Capacity summary'!$C$14="Yes",IF(COUNTBLANK('Capacity summary'!$H28:$BG28)&lt;52,IF('Capacity summary'!BA28&lt;&gt;"",IF(LOWER('Capacity summary'!BA28)="x",$BI116*BA116,VALUE('Capacity summary'!BA28)),0),BA116*$BI116),BA116*$BI116),0)</f>
        <v>0</v>
      </c>
      <c r="DE116" s="5">
        <f>IF($BI116&lt;&gt;"",IF('Capacity summary'!$C$14="Yes",IF(COUNTBLANK('Capacity summary'!$H28:$BG28)&lt;52,IF('Capacity summary'!BB28&lt;&gt;"",IF(LOWER('Capacity summary'!BB28)="x",$BI116*BB116,VALUE('Capacity summary'!BB28)),0),BB116*$BI116),BB116*$BI116),0)</f>
        <v>0</v>
      </c>
      <c r="DF116" s="5">
        <f>IF($BI116&lt;&gt;"",IF('Capacity summary'!$C$14="Yes",IF(COUNTBLANK('Capacity summary'!$H28:$BG28)&lt;52,IF('Capacity summary'!BC28&lt;&gt;"",IF(LOWER('Capacity summary'!BC28)="x",$BI116*BC116,VALUE('Capacity summary'!BC28)),0),BC116*$BI116),BC116*$BI116),0)</f>
        <v>0</v>
      </c>
      <c r="DG116" s="5">
        <f>IF($BI116&lt;&gt;"",IF('Capacity summary'!$C$14="Yes",IF(COUNTBLANK('Capacity summary'!$H28:$BG28)&lt;52,IF('Capacity summary'!BD28&lt;&gt;"",IF(LOWER('Capacity summary'!BD28)="x",$BI116*BD116,VALUE('Capacity summary'!BD28)),0),BD116*$BI116),BD116*$BI116),0)</f>
        <v>0</v>
      </c>
      <c r="DH116" s="5">
        <f>IF($BI116&lt;&gt;"",IF('Capacity summary'!$C$14="Yes",IF(COUNTBLANK('Capacity summary'!$H28:$BG28)&lt;52,IF('Capacity summary'!BE28&lt;&gt;"",IF(LOWER('Capacity summary'!BE28)="x",$BI116*BE116,VALUE('Capacity summary'!BE28)),0),BE116*$BI116),BE116*$BI116),0)</f>
        <v>0</v>
      </c>
      <c r="DI116" s="5">
        <f>IF($BI116&lt;&gt;"",IF('Capacity summary'!$C$14="Yes",IF(COUNTBLANK('Capacity summary'!$H28:$BG28)&lt;52,IF('Capacity summary'!BF28&lt;&gt;"",IF(LOWER('Capacity summary'!BF28)="x",$BI116*BF116,VALUE('Capacity summary'!BF28)),0),BF116*$BI116),BF116*$BI116),0)</f>
        <v>0</v>
      </c>
      <c r="DJ116" s="5">
        <f>IF($BI116&lt;&gt;"",IF('Capacity summary'!$C$14="Yes",IF(COUNTBLANK('Capacity summary'!$H28:$BG28)&lt;52,IF('Capacity summary'!BG28&lt;&gt;"",IF(LOWER('Capacity summary'!BG28)="x",$BI116*BG116,VALUE('Capacity summary'!BG28)),0),BG116*$BI116),BG116*$BI116),0)</f>
        <v>0</v>
      </c>
      <c r="DK116" s="391">
        <f t="shared" si="8"/>
        <v>0</v>
      </c>
      <c r="DL116" s="5">
        <f t="shared" si="9"/>
        <v>0</v>
      </c>
    </row>
    <row r="117" spans="3:116" x14ac:dyDescent="0.2">
      <c r="C117" s="67" t="str">
        <f>ROW(A6)&amp;". "&amp;Capacity!N22</f>
        <v xml:space="preserve">6. </v>
      </c>
      <c r="D117" s="67">
        <f>'Capacity setup'!C123</f>
        <v>0</v>
      </c>
      <c r="E117" s="67">
        <f>'Capacity setup'!D123</f>
        <v>0</v>
      </c>
      <c r="F117" s="67">
        <f>'Capacity setup'!E123</f>
        <v>0</v>
      </c>
      <c r="H117" s="67">
        <f ca="1">IF(LOWER(Capacity!$V22)="x",IF(AND(SUMIF(Capacity_Resource,$D117,'Critical resources (hide)'!U$6:U$105)+SUMIF(Capacity_Resource,$E117,'Critical resources (hide)'!U$6:U$105)+SUMIF(Capacity_Resource,$F117,'Critical resources (hide)'!U$6:U$105)&gt;0,$E$1=2),0,1),0)</f>
        <v>1</v>
      </c>
      <c r="I117" s="67">
        <f ca="1">IF(LOWER(Capacity!$V22)="x",IF(AND(SUMIF(Capacity_Resource,$D117,'Critical resources (hide)'!V$6:V$105)+SUMIF(Capacity_Resource,$E117,'Critical resources (hide)'!V$6:V$105)+SUMIF(Capacity_Resource,$F117,'Critical resources (hide)'!V$6:V$105)&gt;0,$E$1=2),0,1),0)</f>
        <v>1</v>
      </c>
      <c r="J117" s="67">
        <f ca="1">IF(LOWER(Capacity!$V22)="x",IF(AND(SUMIF(Capacity_Resource,$D117,'Critical resources (hide)'!W$6:W$105)+SUMIF(Capacity_Resource,$E117,'Critical resources (hide)'!W$6:W$105)+SUMIF(Capacity_Resource,$F117,'Critical resources (hide)'!W$6:W$105)&gt;0,$E$1=2),0,1),0)</f>
        <v>1</v>
      </c>
      <c r="K117" s="67">
        <f ca="1">IF(LOWER(Capacity!$V22)="x",IF(AND(SUMIF(Capacity_Resource,$D117,'Critical resources (hide)'!X$6:X$105)+SUMIF(Capacity_Resource,$E117,'Critical resources (hide)'!X$6:X$105)+SUMIF(Capacity_Resource,$F117,'Critical resources (hide)'!X$6:X$105)&gt;0,$E$1=2),0,1),0)</f>
        <v>1</v>
      </c>
      <c r="L117" s="67">
        <f ca="1">IF(LOWER(Capacity!$V22)="x",IF(AND(SUMIF(Capacity_Resource,$D117,'Critical resources (hide)'!Y$6:Y$105)+SUMIF(Capacity_Resource,$E117,'Critical resources (hide)'!Y$6:Y$105)+SUMIF(Capacity_Resource,$F117,'Critical resources (hide)'!Y$6:Y$105)&gt;0,$E$1=2),0,1),0)</f>
        <v>1</v>
      </c>
      <c r="M117" s="67">
        <f ca="1">IF(LOWER(Capacity!$V22)="x",IF(AND(SUMIF(Capacity_Resource,$D117,'Critical resources (hide)'!Z$6:Z$105)+SUMIF(Capacity_Resource,$E117,'Critical resources (hide)'!Z$6:Z$105)+SUMIF(Capacity_Resource,$F117,'Critical resources (hide)'!Z$6:Z$105)&gt;0,$E$1=2),0,1),0)</f>
        <v>1</v>
      </c>
      <c r="N117" s="67">
        <f ca="1">IF(LOWER(Capacity!$V22)="x",IF(AND(SUMIF(Capacity_Resource,$D117,'Critical resources (hide)'!AA$6:AA$105)+SUMIF(Capacity_Resource,$E117,'Critical resources (hide)'!AA$6:AA$105)+SUMIF(Capacity_Resource,$F117,'Critical resources (hide)'!AA$6:AA$105)&gt;0,$E$1=2),0,1),0)</f>
        <v>1</v>
      </c>
      <c r="O117" s="67">
        <f ca="1">IF(LOWER(Capacity!$V22)="x",IF(AND(SUMIF(Capacity_Resource,$D117,'Critical resources (hide)'!AB$6:AB$105)+SUMIF(Capacity_Resource,$E117,'Critical resources (hide)'!AB$6:AB$105)+SUMIF(Capacity_Resource,$F117,'Critical resources (hide)'!AB$6:AB$105)&gt;0,$E$1=2),0,1),0)</f>
        <v>1</v>
      </c>
      <c r="P117" s="67">
        <f ca="1">IF(LOWER(Capacity!$V22)="x",IF(AND(SUMIF(Capacity_Resource,$D117,'Critical resources (hide)'!AC$6:AC$105)+SUMIF(Capacity_Resource,$E117,'Critical resources (hide)'!AC$6:AC$105)+SUMIF(Capacity_Resource,$F117,'Critical resources (hide)'!AC$6:AC$105)&gt;0,$E$1=2),0,1),0)</f>
        <v>1</v>
      </c>
      <c r="Q117" s="67">
        <f ca="1">IF(LOWER(Capacity!$V22)="x",IF(AND(SUMIF(Capacity_Resource,$D117,'Critical resources (hide)'!AD$6:AD$105)+SUMIF(Capacity_Resource,$E117,'Critical resources (hide)'!AD$6:AD$105)+SUMIF(Capacity_Resource,$F117,'Critical resources (hide)'!AD$6:AD$105)&gt;0,$E$1=2),0,1),0)</f>
        <v>1</v>
      </c>
      <c r="R117" s="67">
        <f ca="1">IF(LOWER(Capacity!$V22)="x",IF(AND(SUMIF(Capacity_Resource,$D117,'Critical resources (hide)'!AE$6:AE$105)+SUMIF(Capacity_Resource,$E117,'Critical resources (hide)'!AE$6:AE$105)+SUMIF(Capacity_Resource,$F117,'Critical resources (hide)'!AE$6:AE$105)&gt;0,$E$1=2),0,1),0)</f>
        <v>1</v>
      </c>
      <c r="S117" s="67">
        <f ca="1">IF(LOWER(Capacity!$V22)="x",IF(AND(SUMIF(Capacity_Resource,$D117,'Critical resources (hide)'!AF$6:AF$105)+SUMIF(Capacity_Resource,$E117,'Critical resources (hide)'!AF$6:AF$105)+SUMIF(Capacity_Resource,$F117,'Critical resources (hide)'!AF$6:AF$105)&gt;0,$E$1=2),0,1),0)</f>
        <v>1</v>
      </c>
      <c r="T117" s="67">
        <f ca="1">IF(LOWER(Capacity!$V22)="x",IF(AND(SUMIF(Capacity_Resource,$D117,'Critical resources (hide)'!AG$6:AG$105)+SUMIF(Capacity_Resource,$E117,'Critical resources (hide)'!AG$6:AG$105)+SUMIF(Capacity_Resource,$F117,'Critical resources (hide)'!AG$6:AG$105)&gt;0,$E$1=2),0,1),0)</f>
        <v>1</v>
      </c>
      <c r="U117" s="67">
        <f ca="1">IF(LOWER(Capacity!$V22)="x",IF(AND(SUMIF(Capacity_Resource,$D117,'Critical resources (hide)'!AH$6:AH$105)+SUMIF(Capacity_Resource,$E117,'Critical resources (hide)'!AH$6:AH$105)+SUMIF(Capacity_Resource,$F117,'Critical resources (hide)'!AH$6:AH$105)&gt;0,$E$1=2),0,1),0)</f>
        <v>1</v>
      </c>
      <c r="V117" s="67">
        <f ca="1">IF(LOWER(Capacity!$V22)="x",IF(AND(SUMIF(Capacity_Resource,$D117,'Critical resources (hide)'!AI$6:AI$105)+SUMIF(Capacity_Resource,$E117,'Critical resources (hide)'!AI$6:AI$105)+SUMIF(Capacity_Resource,$F117,'Critical resources (hide)'!AI$6:AI$105)&gt;0,$E$1=2),0,1),0)</f>
        <v>1</v>
      </c>
      <c r="W117" s="67">
        <f ca="1">IF(LOWER(Capacity!$V22)="x",IF(AND(SUMIF(Capacity_Resource,$D117,'Critical resources (hide)'!AJ$6:AJ$105)+SUMIF(Capacity_Resource,$E117,'Critical resources (hide)'!AJ$6:AJ$105)+SUMIF(Capacity_Resource,$F117,'Critical resources (hide)'!AJ$6:AJ$105)&gt;0,$E$1=2),0,1),0)</f>
        <v>1</v>
      </c>
      <c r="X117" s="67">
        <f ca="1">IF(LOWER(Capacity!$V22)="x",IF(AND(SUMIF(Capacity_Resource,$D117,'Critical resources (hide)'!AK$6:AK$105)+SUMIF(Capacity_Resource,$E117,'Critical resources (hide)'!AK$6:AK$105)+SUMIF(Capacity_Resource,$F117,'Critical resources (hide)'!AK$6:AK$105)&gt;0,$E$1=2),0,1),0)</f>
        <v>1</v>
      </c>
      <c r="Y117" s="67">
        <f ca="1">IF(LOWER(Capacity!$V22)="x",IF(AND(SUMIF(Capacity_Resource,$D117,'Critical resources (hide)'!AL$6:AL$105)+SUMIF(Capacity_Resource,$E117,'Critical resources (hide)'!AL$6:AL$105)+SUMIF(Capacity_Resource,$F117,'Critical resources (hide)'!AL$6:AL$105)&gt;0,$E$1=2),0,1),0)</f>
        <v>1</v>
      </c>
      <c r="Z117" s="67">
        <f ca="1">IF(LOWER(Capacity!$V22)="x",IF(AND(SUMIF(Capacity_Resource,$D117,'Critical resources (hide)'!AM$6:AM$105)+SUMIF(Capacity_Resource,$E117,'Critical resources (hide)'!AM$6:AM$105)+SUMIF(Capacity_Resource,$F117,'Critical resources (hide)'!AM$6:AM$105)&gt;0,$E$1=2),0,1),0)</f>
        <v>1</v>
      </c>
      <c r="AA117" s="67">
        <f ca="1">IF(LOWER(Capacity!$V22)="x",IF(AND(SUMIF(Capacity_Resource,$D117,'Critical resources (hide)'!AN$6:AN$105)+SUMIF(Capacity_Resource,$E117,'Critical resources (hide)'!AN$6:AN$105)+SUMIF(Capacity_Resource,$F117,'Critical resources (hide)'!AN$6:AN$105)&gt;0,$E$1=2),0,1),0)</f>
        <v>1</v>
      </c>
      <c r="AB117" s="67">
        <f ca="1">IF(LOWER(Capacity!$V22)="x",IF(AND(SUMIF(Capacity_Resource,$D117,'Critical resources (hide)'!AO$6:AO$105)+SUMIF(Capacity_Resource,$E117,'Critical resources (hide)'!AO$6:AO$105)+SUMIF(Capacity_Resource,$F117,'Critical resources (hide)'!AO$6:AO$105)&gt;0,$E$1=2),0,1),0)</f>
        <v>1</v>
      </c>
      <c r="AC117" s="67">
        <f ca="1">IF(LOWER(Capacity!$V22)="x",IF(AND(SUMIF(Capacity_Resource,$D117,'Critical resources (hide)'!AP$6:AP$105)+SUMIF(Capacity_Resource,$E117,'Critical resources (hide)'!AP$6:AP$105)+SUMIF(Capacity_Resource,$F117,'Critical resources (hide)'!AP$6:AP$105)&gt;0,$E$1=2),0,1),0)</f>
        <v>1</v>
      </c>
      <c r="AD117" s="67">
        <f ca="1">IF(LOWER(Capacity!$V22)="x",IF(AND(SUMIF(Capacity_Resource,$D117,'Critical resources (hide)'!AQ$6:AQ$105)+SUMIF(Capacity_Resource,$E117,'Critical resources (hide)'!AQ$6:AQ$105)+SUMIF(Capacity_Resource,$F117,'Critical resources (hide)'!AQ$6:AQ$105)&gt;0,$E$1=2),0,1),0)</f>
        <v>1</v>
      </c>
      <c r="AE117" s="67">
        <f ca="1">IF(LOWER(Capacity!$V22)="x",IF(AND(SUMIF(Capacity_Resource,$D117,'Critical resources (hide)'!AR$6:AR$105)+SUMIF(Capacity_Resource,$E117,'Critical resources (hide)'!AR$6:AR$105)+SUMIF(Capacity_Resource,$F117,'Critical resources (hide)'!AR$6:AR$105)&gt;0,$E$1=2),0,1),0)</f>
        <v>1</v>
      </c>
      <c r="AF117" s="67">
        <f ca="1">IF(LOWER(Capacity!$V22)="x",IF(AND(SUMIF(Capacity_Resource,$D117,'Critical resources (hide)'!AS$6:AS$105)+SUMIF(Capacity_Resource,$E117,'Critical resources (hide)'!AS$6:AS$105)+SUMIF(Capacity_Resource,$F117,'Critical resources (hide)'!AS$6:AS$105)&gt;0,$E$1=2),0,1),0)</f>
        <v>1</v>
      </c>
      <c r="AG117" s="67">
        <f ca="1">IF(LOWER(Capacity!$V22)="x",IF(AND(SUMIF(Capacity_Resource,$D117,'Critical resources (hide)'!AT$6:AT$105)+SUMIF(Capacity_Resource,$E117,'Critical resources (hide)'!AT$6:AT$105)+SUMIF(Capacity_Resource,$F117,'Critical resources (hide)'!AT$6:AT$105)&gt;0,$E$1=2),0,1),0)</f>
        <v>1</v>
      </c>
      <c r="AH117" s="67">
        <f ca="1">IF(LOWER(Capacity!$V22)="x",IF(AND(SUMIF(Capacity_Resource,$D117,'Critical resources (hide)'!AU$6:AU$105)+SUMIF(Capacity_Resource,$E117,'Critical resources (hide)'!AU$6:AU$105)+SUMIF(Capacity_Resource,$F117,'Critical resources (hide)'!AU$6:AU$105)&gt;0,$E$1=2),0,1),0)</f>
        <v>1</v>
      </c>
      <c r="AI117" s="67">
        <f ca="1">IF(LOWER(Capacity!$V22)="x",IF(AND(SUMIF(Capacity_Resource,$D117,'Critical resources (hide)'!AV$6:AV$105)+SUMIF(Capacity_Resource,$E117,'Critical resources (hide)'!AV$6:AV$105)+SUMIF(Capacity_Resource,$F117,'Critical resources (hide)'!AV$6:AV$105)&gt;0,$E$1=2),0,1),0)</f>
        <v>1</v>
      </c>
      <c r="AJ117" s="67">
        <f ca="1">IF(LOWER(Capacity!$V22)="x",IF(AND(SUMIF(Capacity_Resource,$D117,'Critical resources (hide)'!AW$6:AW$105)+SUMIF(Capacity_Resource,$E117,'Critical resources (hide)'!AW$6:AW$105)+SUMIF(Capacity_Resource,$F117,'Critical resources (hide)'!AW$6:AW$105)&gt;0,$E$1=2),0,1),0)</f>
        <v>1</v>
      </c>
      <c r="AK117" s="67">
        <f ca="1">IF(LOWER(Capacity!$V22)="x",IF(AND(SUMIF(Capacity_Resource,$D117,'Critical resources (hide)'!AX$6:AX$105)+SUMIF(Capacity_Resource,$E117,'Critical resources (hide)'!AX$6:AX$105)+SUMIF(Capacity_Resource,$F117,'Critical resources (hide)'!AX$6:AX$105)&gt;0,$E$1=2),0,1),0)</f>
        <v>1</v>
      </c>
      <c r="AL117" s="67">
        <f ca="1">IF(LOWER(Capacity!$V22)="x",IF(AND(SUMIF(Capacity_Resource,$D117,'Critical resources (hide)'!AY$6:AY$105)+SUMIF(Capacity_Resource,$E117,'Critical resources (hide)'!AY$6:AY$105)+SUMIF(Capacity_Resource,$F117,'Critical resources (hide)'!AY$6:AY$105)&gt;0,$E$1=2),0,1),0)</f>
        <v>1</v>
      </c>
      <c r="AM117" s="67">
        <f ca="1">IF(LOWER(Capacity!$V22)="x",IF(AND(SUMIF(Capacity_Resource,$D117,'Critical resources (hide)'!AZ$6:AZ$105)+SUMIF(Capacity_Resource,$E117,'Critical resources (hide)'!AZ$6:AZ$105)+SUMIF(Capacity_Resource,$F117,'Critical resources (hide)'!AZ$6:AZ$105)&gt;0,$E$1=2),0,1),0)</f>
        <v>1</v>
      </c>
      <c r="AN117" s="67">
        <f ca="1">IF(LOWER(Capacity!$V22)="x",IF(AND(SUMIF(Capacity_Resource,$D117,'Critical resources (hide)'!BA$6:BA$105)+SUMIF(Capacity_Resource,$E117,'Critical resources (hide)'!BA$6:BA$105)+SUMIF(Capacity_Resource,$F117,'Critical resources (hide)'!BA$6:BA$105)&gt;0,$E$1=2),0,1),0)</f>
        <v>1</v>
      </c>
      <c r="AO117" s="67">
        <f ca="1">IF(LOWER(Capacity!$V22)="x",IF(AND(SUMIF(Capacity_Resource,$D117,'Critical resources (hide)'!BB$6:BB$105)+SUMIF(Capacity_Resource,$E117,'Critical resources (hide)'!BB$6:BB$105)+SUMIF(Capacity_Resource,$F117,'Critical resources (hide)'!BB$6:BB$105)&gt;0,$E$1=2),0,1),0)</f>
        <v>1</v>
      </c>
      <c r="AP117" s="67">
        <f ca="1">IF(LOWER(Capacity!$V22)="x",IF(AND(SUMIF(Capacity_Resource,$D117,'Critical resources (hide)'!BC$6:BC$105)+SUMIF(Capacity_Resource,$E117,'Critical resources (hide)'!BC$6:BC$105)+SUMIF(Capacity_Resource,$F117,'Critical resources (hide)'!BC$6:BC$105)&gt;0,$E$1=2),0,1),0)</f>
        <v>1</v>
      </c>
      <c r="AQ117" s="67">
        <f ca="1">IF(LOWER(Capacity!$V22)="x",IF(AND(SUMIF(Capacity_Resource,$D117,'Critical resources (hide)'!BD$6:BD$105)+SUMIF(Capacity_Resource,$E117,'Critical resources (hide)'!BD$6:BD$105)+SUMIF(Capacity_Resource,$F117,'Critical resources (hide)'!BD$6:BD$105)&gt;0,$E$1=2),0,1),0)</f>
        <v>1</v>
      </c>
      <c r="AR117" s="67">
        <f ca="1">IF(LOWER(Capacity!$V22)="x",IF(AND(SUMIF(Capacity_Resource,$D117,'Critical resources (hide)'!BE$6:BE$105)+SUMIF(Capacity_Resource,$E117,'Critical resources (hide)'!BE$6:BE$105)+SUMIF(Capacity_Resource,$F117,'Critical resources (hide)'!BE$6:BE$105)&gt;0,$E$1=2),0,1),0)</f>
        <v>1</v>
      </c>
      <c r="AS117" s="67">
        <f ca="1">IF(LOWER(Capacity!$V22)="x",IF(AND(SUMIF(Capacity_Resource,$D117,'Critical resources (hide)'!BF$6:BF$105)+SUMIF(Capacity_Resource,$E117,'Critical resources (hide)'!BF$6:BF$105)+SUMIF(Capacity_Resource,$F117,'Critical resources (hide)'!BF$6:BF$105)&gt;0,$E$1=2),0,1),0)</f>
        <v>1</v>
      </c>
      <c r="AT117" s="67">
        <f ca="1">IF(LOWER(Capacity!$V22)="x",IF(AND(SUMIF(Capacity_Resource,$D117,'Critical resources (hide)'!BG$6:BG$105)+SUMIF(Capacity_Resource,$E117,'Critical resources (hide)'!BG$6:BG$105)+SUMIF(Capacity_Resource,$F117,'Critical resources (hide)'!BG$6:BG$105)&gt;0,$E$1=2),0,1),0)</f>
        <v>1</v>
      </c>
      <c r="AU117" s="67">
        <f ca="1">IF(LOWER(Capacity!$V22)="x",IF(AND(SUMIF(Capacity_Resource,$D117,'Critical resources (hide)'!BH$6:BH$105)+SUMIF(Capacity_Resource,$E117,'Critical resources (hide)'!BH$6:BH$105)+SUMIF(Capacity_Resource,$F117,'Critical resources (hide)'!BH$6:BH$105)&gt;0,$E$1=2),0,1),0)</f>
        <v>1</v>
      </c>
      <c r="AV117" s="67">
        <f ca="1">IF(LOWER(Capacity!$V22)="x",IF(AND(SUMIF(Capacity_Resource,$D117,'Critical resources (hide)'!BI$6:BI$105)+SUMIF(Capacity_Resource,$E117,'Critical resources (hide)'!BI$6:BI$105)+SUMIF(Capacity_Resource,$F117,'Critical resources (hide)'!BI$6:BI$105)&gt;0,$E$1=2),0,1),0)</f>
        <v>1</v>
      </c>
      <c r="AW117" s="67">
        <f ca="1">IF(LOWER(Capacity!$V22)="x",IF(AND(SUMIF(Capacity_Resource,$D117,'Critical resources (hide)'!BJ$6:BJ$105)+SUMIF(Capacity_Resource,$E117,'Critical resources (hide)'!BJ$6:BJ$105)+SUMIF(Capacity_Resource,$F117,'Critical resources (hide)'!BJ$6:BJ$105)&gt;0,$E$1=2),0,1),0)</f>
        <v>1</v>
      </c>
      <c r="AX117" s="67">
        <f ca="1">IF(LOWER(Capacity!$V22)="x",IF(AND(SUMIF(Capacity_Resource,$D117,'Critical resources (hide)'!BK$6:BK$105)+SUMIF(Capacity_Resource,$E117,'Critical resources (hide)'!BK$6:BK$105)+SUMIF(Capacity_Resource,$F117,'Critical resources (hide)'!BK$6:BK$105)&gt;0,$E$1=2),0,1),0)</f>
        <v>1</v>
      </c>
      <c r="AY117" s="67">
        <f ca="1">IF(LOWER(Capacity!$V22)="x",IF(AND(SUMIF(Capacity_Resource,$D117,'Critical resources (hide)'!BL$6:BL$105)+SUMIF(Capacity_Resource,$E117,'Critical resources (hide)'!BL$6:BL$105)+SUMIF(Capacity_Resource,$F117,'Critical resources (hide)'!BL$6:BL$105)&gt;0,$E$1=2),0,1),0)</f>
        <v>1</v>
      </c>
      <c r="AZ117" s="67">
        <f ca="1">IF(LOWER(Capacity!$V22)="x",IF(AND(SUMIF(Capacity_Resource,$D117,'Critical resources (hide)'!BM$6:BM$105)+SUMIF(Capacity_Resource,$E117,'Critical resources (hide)'!BM$6:BM$105)+SUMIF(Capacity_Resource,$F117,'Critical resources (hide)'!BM$6:BM$105)&gt;0,$E$1=2),0,1),0)</f>
        <v>1</v>
      </c>
      <c r="BA117" s="67">
        <f ca="1">IF(LOWER(Capacity!$V22)="x",IF(AND(SUMIF(Capacity_Resource,$D117,'Critical resources (hide)'!BN$6:BN$105)+SUMIF(Capacity_Resource,$E117,'Critical resources (hide)'!BN$6:BN$105)+SUMIF(Capacity_Resource,$F117,'Critical resources (hide)'!BN$6:BN$105)&gt;0,$E$1=2),0,1),0)</f>
        <v>1</v>
      </c>
      <c r="BB117" s="67">
        <f ca="1">IF(LOWER(Capacity!$V22)="x",IF(AND(SUMIF(Capacity_Resource,$D117,'Critical resources (hide)'!BO$6:BO$105)+SUMIF(Capacity_Resource,$E117,'Critical resources (hide)'!BO$6:BO$105)+SUMIF(Capacity_Resource,$F117,'Critical resources (hide)'!BO$6:BO$105)&gt;0,$E$1=2),0,1),0)</f>
        <v>1</v>
      </c>
      <c r="BC117" s="67">
        <f ca="1">IF(LOWER(Capacity!$V22)="x",IF(AND(SUMIF(Capacity_Resource,$D117,'Critical resources (hide)'!BP$6:BP$105)+SUMIF(Capacity_Resource,$E117,'Critical resources (hide)'!BP$6:BP$105)+SUMIF(Capacity_Resource,$F117,'Critical resources (hide)'!BP$6:BP$105)&gt;0,$E$1=2),0,1),0)</f>
        <v>1</v>
      </c>
      <c r="BD117" s="67">
        <f ca="1">IF(LOWER(Capacity!$V22)="x",IF(AND(SUMIF(Capacity_Resource,$D117,'Critical resources (hide)'!BQ$6:BQ$105)+SUMIF(Capacity_Resource,$E117,'Critical resources (hide)'!BQ$6:BQ$105)+SUMIF(Capacity_Resource,$F117,'Critical resources (hide)'!BQ$6:BQ$105)&gt;0,$E$1=2),0,1),0)</f>
        <v>1</v>
      </c>
      <c r="BE117" s="67">
        <f ca="1">IF(LOWER(Capacity!$V22)="x",IF(AND(SUMIF(Capacity_Resource,$D117,'Critical resources (hide)'!BR$6:BR$105)+SUMIF(Capacity_Resource,$E117,'Critical resources (hide)'!BR$6:BR$105)+SUMIF(Capacity_Resource,$F117,'Critical resources (hide)'!BR$6:BR$105)&gt;0,$E$1=2),0,1),0)</f>
        <v>1</v>
      </c>
      <c r="BF117" s="67">
        <f ca="1">IF(LOWER(Capacity!$V22)="x",IF(AND(SUMIF(Capacity_Resource,$D117,'Critical resources (hide)'!BS$6:BS$105)+SUMIF(Capacity_Resource,$E117,'Critical resources (hide)'!BS$6:BS$105)+SUMIF(Capacity_Resource,$F117,'Critical resources (hide)'!BS$6:BS$105)&gt;0,$E$1=2),0,1),0)</f>
        <v>1</v>
      </c>
      <c r="BG117" s="67">
        <f ca="1">IF(LOWER(Capacity!$V22)="x",IF(AND(SUMIF(Capacity_Resource,$D117,'Critical resources (hide)'!BT$6:BT$105)+SUMIF(Capacity_Resource,$E117,'Critical resources (hide)'!BT$6:BT$105)+SUMIF(Capacity_Resource,$F117,'Critical resources (hide)'!BT$6:BT$105)&gt;0,$E$1=2),0,1),0)</f>
        <v>1</v>
      </c>
      <c r="BH117" s="67">
        <f>IF(ROW(A6)&lt;=Capacity!$M$16,IF('Capacity summary'!$C$14="No",SUM(H117:BG117),'Capacity summary'!$E29),0)</f>
        <v>0</v>
      </c>
      <c r="BI117" s="67" t="str">
        <f>IF(BH117&gt;0,IF(BH117&lt;Capacity!Q22,Capacity!R22,Capacity!T22/'Capacity calculation (hide)'!BH117),"")</f>
        <v/>
      </c>
      <c r="BJ117" s="5"/>
      <c r="BK117" s="5">
        <f>IF($BI117&lt;&gt;"",IF('Capacity summary'!$C$14="Yes",IF(COUNTBLANK('Capacity summary'!$H29:$BG29)&lt;52,IF('Capacity summary'!H29&lt;&gt;"",IF(LOWER('Capacity summary'!H29)="x",$BI117*H117,VALUE('Capacity summary'!H29)),0),H117*$BI117),H117*$BI117),0)</f>
        <v>0</v>
      </c>
      <c r="BL117" s="5">
        <f>IF($BI117&lt;&gt;"",IF('Capacity summary'!$C$14="Yes",IF(COUNTBLANK('Capacity summary'!$H29:$BG29)&lt;52,IF('Capacity summary'!I29&lt;&gt;"",IF(LOWER('Capacity summary'!I29)="x",$BI117*I117,VALUE('Capacity summary'!I29)),0),I117*$BI117),I117*$BI117),0)</f>
        <v>0</v>
      </c>
      <c r="BM117" s="5">
        <f>IF($BI117&lt;&gt;"",IF('Capacity summary'!$C$14="Yes",IF(COUNTBLANK('Capacity summary'!$H29:$BG29)&lt;52,IF('Capacity summary'!J29&lt;&gt;"",IF(LOWER('Capacity summary'!J29)="x",$BI117*J117,VALUE('Capacity summary'!J29)),0),J117*$BI117),J117*$BI117),0)</f>
        <v>0</v>
      </c>
      <c r="BN117" s="5">
        <f>IF($BI117&lt;&gt;"",IF('Capacity summary'!$C$14="Yes",IF(COUNTBLANK('Capacity summary'!$H29:$BG29)&lt;52,IF('Capacity summary'!K29&lt;&gt;"",IF(LOWER('Capacity summary'!K29)="x",$BI117*K117,VALUE('Capacity summary'!K29)),0),K117*$BI117),K117*$BI117),0)</f>
        <v>0</v>
      </c>
      <c r="BO117" s="5">
        <f>IF($BI117&lt;&gt;"",IF('Capacity summary'!$C$14="Yes",IF(COUNTBLANK('Capacity summary'!$H29:$BG29)&lt;52,IF('Capacity summary'!L29&lt;&gt;"",IF(LOWER('Capacity summary'!L29)="x",$BI117*L117,VALUE('Capacity summary'!L29)),0),L117*$BI117),L117*$BI117),0)</f>
        <v>0</v>
      </c>
      <c r="BP117" s="5">
        <f>IF($BI117&lt;&gt;"",IF('Capacity summary'!$C$14="Yes",IF(COUNTBLANK('Capacity summary'!$H29:$BG29)&lt;52,IF('Capacity summary'!M29&lt;&gt;"",IF(LOWER('Capacity summary'!M29)="x",$BI117*M117,VALUE('Capacity summary'!M29)),0),M117*$BI117),M117*$BI117),0)</f>
        <v>0</v>
      </c>
      <c r="BQ117" s="5">
        <f>IF($BI117&lt;&gt;"",IF('Capacity summary'!$C$14="Yes",IF(COUNTBLANK('Capacity summary'!$H29:$BG29)&lt;52,IF('Capacity summary'!N29&lt;&gt;"",IF(LOWER('Capacity summary'!N29)="x",$BI117*N117,VALUE('Capacity summary'!N29)),0),N117*$BI117),N117*$BI117),0)</f>
        <v>0</v>
      </c>
      <c r="BR117" s="5">
        <f>IF($BI117&lt;&gt;"",IF('Capacity summary'!$C$14="Yes",IF(COUNTBLANK('Capacity summary'!$H29:$BG29)&lt;52,IF('Capacity summary'!O29&lt;&gt;"",IF(LOWER('Capacity summary'!O29)="x",$BI117*O117,VALUE('Capacity summary'!O29)),0),O117*$BI117),O117*$BI117),0)</f>
        <v>0</v>
      </c>
      <c r="BS117" s="5">
        <f>IF($BI117&lt;&gt;"",IF('Capacity summary'!$C$14="Yes",IF(COUNTBLANK('Capacity summary'!$H29:$BG29)&lt;52,IF('Capacity summary'!P29&lt;&gt;"",IF(LOWER('Capacity summary'!P29)="x",$BI117*P117,VALUE('Capacity summary'!P29)),0),P117*$BI117),P117*$BI117),0)</f>
        <v>0</v>
      </c>
      <c r="BT117" s="5">
        <f>IF($BI117&lt;&gt;"",IF('Capacity summary'!$C$14="Yes",IF(COUNTBLANK('Capacity summary'!$H29:$BG29)&lt;52,IF('Capacity summary'!Q29&lt;&gt;"",IF(LOWER('Capacity summary'!Q29)="x",$BI117*Q117,VALUE('Capacity summary'!Q29)),0),Q117*$BI117),Q117*$BI117),0)</f>
        <v>0</v>
      </c>
      <c r="BU117" s="5">
        <f>IF($BI117&lt;&gt;"",IF('Capacity summary'!$C$14="Yes",IF(COUNTBLANK('Capacity summary'!$H29:$BG29)&lt;52,IF('Capacity summary'!R29&lt;&gt;"",IF(LOWER('Capacity summary'!R29)="x",$BI117*R117,VALUE('Capacity summary'!R29)),0),R117*$BI117),R117*$BI117),0)</f>
        <v>0</v>
      </c>
      <c r="BV117" s="5">
        <f>IF($BI117&lt;&gt;"",IF('Capacity summary'!$C$14="Yes",IF(COUNTBLANK('Capacity summary'!$H29:$BG29)&lt;52,IF('Capacity summary'!S29&lt;&gt;"",IF(LOWER('Capacity summary'!S29)="x",$BI117*S117,VALUE('Capacity summary'!S29)),0),S117*$BI117),S117*$BI117),0)</f>
        <v>0</v>
      </c>
      <c r="BW117" s="5">
        <f>IF($BI117&lt;&gt;"",IF('Capacity summary'!$C$14="Yes",IF(COUNTBLANK('Capacity summary'!$H29:$BG29)&lt;52,IF('Capacity summary'!T29&lt;&gt;"",IF(LOWER('Capacity summary'!T29)="x",$BI117*T117,VALUE('Capacity summary'!T29)),0),T117*$BI117),T117*$BI117),0)</f>
        <v>0</v>
      </c>
      <c r="BX117" s="5">
        <f>IF($BI117&lt;&gt;"",IF('Capacity summary'!$C$14="Yes",IF(COUNTBLANK('Capacity summary'!$H29:$BG29)&lt;52,IF('Capacity summary'!U29&lt;&gt;"",IF(LOWER('Capacity summary'!U29)="x",$BI117*U117,VALUE('Capacity summary'!U29)),0),U117*$BI117),U117*$BI117),0)</f>
        <v>0</v>
      </c>
      <c r="BY117" s="5">
        <f>IF($BI117&lt;&gt;"",IF('Capacity summary'!$C$14="Yes",IF(COUNTBLANK('Capacity summary'!$H29:$BG29)&lt;52,IF('Capacity summary'!V29&lt;&gt;"",IF(LOWER('Capacity summary'!V29)="x",$BI117*V117,VALUE('Capacity summary'!V29)),0),V117*$BI117),V117*$BI117),0)</f>
        <v>0</v>
      </c>
      <c r="BZ117" s="5">
        <f>IF($BI117&lt;&gt;"",IF('Capacity summary'!$C$14="Yes",IF(COUNTBLANK('Capacity summary'!$H29:$BG29)&lt;52,IF('Capacity summary'!W29&lt;&gt;"",IF(LOWER('Capacity summary'!W29)="x",$BI117*W117,VALUE('Capacity summary'!W29)),0),W117*$BI117),W117*$BI117),0)</f>
        <v>0</v>
      </c>
      <c r="CA117" s="5">
        <f>IF($BI117&lt;&gt;"",IF('Capacity summary'!$C$14="Yes",IF(COUNTBLANK('Capacity summary'!$H29:$BG29)&lt;52,IF('Capacity summary'!X29&lt;&gt;"",IF(LOWER('Capacity summary'!X29)="x",$BI117*X117,VALUE('Capacity summary'!X29)),0),X117*$BI117),X117*$BI117),0)</f>
        <v>0</v>
      </c>
      <c r="CB117" s="5">
        <f>IF($BI117&lt;&gt;"",IF('Capacity summary'!$C$14="Yes",IF(COUNTBLANK('Capacity summary'!$H29:$BG29)&lt;52,IF('Capacity summary'!Y29&lt;&gt;"",IF(LOWER('Capacity summary'!Y29)="x",$BI117*Y117,VALUE('Capacity summary'!Y29)),0),Y117*$BI117),Y117*$BI117),0)</f>
        <v>0</v>
      </c>
      <c r="CC117" s="5">
        <f>IF($BI117&lt;&gt;"",IF('Capacity summary'!$C$14="Yes",IF(COUNTBLANK('Capacity summary'!$H29:$BG29)&lt;52,IF('Capacity summary'!Z29&lt;&gt;"",IF(LOWER('Capacity summary'!Z29)="x",$BI117*Z117,VALUE('Capacity summary'!Z29)),0),Z117*$BI117),Z117*$BI117),0)</f>
        <v>0</v>
      </c>
      <c r="CD117" s="5">
        <f>IF($BI117&lt;&gt;"",IF('Capacity summary'!$C$14="Yes",IF(COUNTBLANK('Capacity summary'!$H29:$BG29)&lt;52,IF('Capacity summary'!AA29&lt;&gt;"",IF(LOWER('Capacity summary'!AA29)="x",$BI117*AA117,VALUE('Capacity summary'!AA29)),0),AA117*$BI117),AA117*$BI117),0)</f>
        <v>0</v>
      </c>
      <c r="CE117" s="5">
        <f>IF($BI117&lt;&gt;"",IF('Capacity summary'!$C$14="Yes",IF(COUNTBLANK('Capacity summary'!$H29:$BG29)&lt;52,IF('Capacity summary'!AB29&lt;&gt;"",IF(LOWER('Capacity summary'!AB29)="x",$BI117*AB117,VALUE('Capacity summary'!AB29)),0),AB117*$BI117),AB117*$BI117),0)</f>
        <v>0</v>
      </c>
      <c r="CF117" s="5">
        <f>IF($BI117&lt;&gt;"",IF('Capacity summary'!$C$14="Yes",IF(COUNTBLANK('Capacity summary'!$H29:$BG29)&lt;52,IF('Capacity summary'!AC29&lt;&gt;"",IF(LOWER('Capacity summary'!AC29)="x",$BI117*AC117,VALUE('Capacity summary'!AC29)),0),AC117*$BI117),AC117*$BI117),0)</f>
        <v>0</v>
      </c>
      <c r="CG117" s="5">
        <f>IF($BI117&lt;&gt;"",IF('Capacity summary'!$C$14="Yes",IF(COUNTBLANK('Capacity summary'!$H29:$BG29)&lt;52,IF('Capacity summary'!AD29&lt;&gt;"",IF(LOWER('Capacity summary'!AD29)="x",$BI117*AD117,VALUE('Capacity summary'!AD29)),0),AD117*$BI117),AD117*$BI117),0)</f>
        <v>0</v>
      </c>
      <c r="CH117" s="5">
        <f>IF($BI117&lt;&gt;"",IF('Capacity summary'!$C$14="Yes",IF(COUNTBLANK('Capacity summary'!$H29:$BG29)&lt;52,IF('Capacity summary'!AE29&lt;&gt;"",IF(LOWER('Capacity summary'!AE29)="x",$BI117*AE117,VALUE('Capacity summary'!AE29)),0),AE117*$BI117),AE117*$BI117),0)</f>
        <v>0</v>
      </c>
      <c r="CI117" s="5">
        <f>IF($BI117&lt;&gt;"",IF('Capacity summary'!$C$14="Yes",IF(COUNTBLANK('Capacity summary'!$H29:$BG29)&lt;52,IF('Capacity summary'!AF29&lt;&gt;"",IF(LOWER('Capacity summary'!AF29)="x",$BI117*AF117,VALUE('Capacity summary'!AF29)),0),AF117*$BI117),AF117*$BI117),0)</f>
        <v>0</v>
      </c>
      <c r="CJ117" s="5">
        <f>IF($BI117&lt;&gt;"",IF('Capacity summary'!$C$14="Yes",IF(COUNTBLANK('Capacity summary'!$H29:$BG29)&lt;52,IF('Capacity summary'!AG29&lt;&gt;"",IF(LOWER('Capacity summary'!AG29)="x",$BI117*AG117,VALUE('Capacity summary'!AG29)),0),AG117*$BI117),AG117*$BI117),0)</f>
        <v>0</v>
      </c>
      <c r="CK117" s="5">
        <f>IF($BI117&lt;&gt;"",IF('Capacity summary'!$C$14="Yes",IF(COUNTBLANK('Capacity summary'!$H29:$BG29)&lt;52,IF('Capacity summary'!AH29&lt;&gt;"",IF(LOWER('Capacity summary'!AH29)="x",$BI117*AH117,VALUE('Capacity summary'!AH29)),0),AH117*$BI117),AH117*$BI117),0)</f>
        <v>0</v>
      </c>
      <c r="CL117" s="5">
        <f>IF($BI117&lt;&gt;"",IF('Capacity summary'!$C$14="Yes",IF(COUNTBLANK('Capacity summary'!$H29:$BG29)&lt;52,IF('Capacity summary'!AI29&lt;&gt;"",IF(LOWER('Capacity summary'!AI29)="x",$BI117*AI117,VALUE('Capacity summary'!AI29)),0),AI117*$BI117),AI117*$BI117),0)</f>
        <v>0</v>
      </c>
      <c r="CM117" s="5">
        <f>IF($BI117&lt;&gt;"",IF('Capacity summary'!$C$14="Yes",IF(COUNTBLANK('Capacity summary'!$H29:$BG29)&lt;52,IF('Capacity summary'!AJ29&lt;&gt;"",IF(LOWER('Capacity summary'!AJ29)="x",$BI117*AJ117,VALUE('Capacity summary'!AJ29)),0),AJ117*$BI117),AJ117*$BI117),0)</f>
        <v>0</v>
      </c>
      <c r="CN117" s="5">
        <f>IF($BI117&lt;&gt;"",IF('Capacity summary'!$C$14="Yes",IF(COUNTBLANK('Capacity summary'!$H29:$BG29)&lt;52,IF('Capacity summary'!AK29&lt;&gt;"",IF(LOWER('Capacity summary'!AK29)="x",$BI117*AK117,VALUE('Capacity summary'!AK29)),0),AK117*$BI117),AK117*$BI117),0)</f>
        <v>0</v>
      </c>
      <c r="CO117" s="5">
        <f>IF($BI117&lt;&gt;"",IF('Capacity summary'!$C$14="Yes",IF(COUNTBLANK('Capacity summary'!$H29:$BG29)&lt;52,IF('Capacity summary'!AL29&lt;&gt;"",IF(LOWER('Capacity summary'!AL29)="x",$BI117*AL117,VALUE('Capacity summary'!AL29)),0),AL117*$BI117),AL117*$BI117),0)</f>
        <v>0</v>
      </c>
      <c r="CP117" s="5">
        <f>IF($BI117&lt;&gt;"",IF('Capacity summary'!$C$14="Yes",IF(COUNTBLANK('Capacity summary'!$H29:$BG29)&lt;52,IF('Capacity summary'!AM29&lt;&gt;"",IF(LOWER('Capacity summary'!AM29)="x",$BI117*AM117,VALUE('Capacity summary'!AM29)),0),AM117*$BI117),AM117*$BI117),0)</f>
        <v>0</v>
      </c>
      <c r="CQ117" s="5">
        <f>IF($BI117&lt;&gt;"",IF('Capacity summary'!$C$14="Yes",IF(COUNTBLANK('Capacity summary'!$H29:$BG29)&lt;52,IF('Capacity summary'!AN29&lt;&gt;"",IF(LOWER('Capacity summary'!AN29)="x",$BI117*AN117,VALUE('Capacity summary'!AN29)),0),AN117*$BI117),AN117*$BI117),0)</f>
        <v>0</v>
      </c>
      <c r="CR117" s="5">
        <f>IF($BI117&lt;&gt;"",IF('Capacity summary'!$C$14="Yes",IF(COUNTBLANK('Capacity summary'!$H29:$BG29)&lt;52,IF('Capacity summary'!AO29&lt;&gt;"",IF(LOWER('Capacity summary'!AO29)="x",$BI117*AO117,VALUE('Capacity summary'!AO29)),0),AO117*$BI117),AO117*$BI117),0)</f>
        <v>0</v>
      </c>
      <c r="CS117" s="5">
        <f>IF($BI117&lt;&gt;"",IF('Capacity summary'!$C$14="Yes",IF(COUNTBLANK('Capacity summary'!$H29:$BG29)&lt;52,IF('Capacity summary'!AP29&lt;&gt;"",IF(LOWER('Capacity summary'!AP29)="x",$BI117*AP117,VALUE('Capacity summary'!AP29)),0),AP117*$BI117),AP117*$BI117),0)</f>
        <v>0</v>
      </c>
      <c r="CT117" s="5">
        <f>IF($BI117&lt;&gt;"",IF('Capacity summary'!$C$14="Yes",IF(COUNTBLANK('Capacity summary'!$H29:$BG29)&lt;52,IF('Capacity summary'!AQ29&lt;&gt;"",IF(LOWER('Capacity summary'!AQ29)="x",$BI117*AQ117,VALUE('Capacity summary'!AQ29)),0),AQ117*$BI117),AQ117*$BI117),0)</f>
        <v>0</v>
      </c>
      <c r="CU117" s="5">
        <f>IF($BI117&lt;&gt;"",IF('Capacity summary'!$C$14="Yes",IF(COUNTBLANK('Capacity summary'!$H29:$BG29)&lt;52,IF('Capacity summary'!AR29&lt;&gt;"",IF(LOWER('Capacity summary'!AR29)="x",$BI117*AR117,VALUE('Capacity summary'!AR29)),0),AR117*$BI117),AR117*$BI117),0)</f>
        <v>0</v>
      </c>
      <c r="CV117" s="5">
        <f>IF($BI117&lt;&gt;"",IF('Capacity summary'!$C$14="Yes",IF(COUNTBLANK('Capacity summary'!$H29:$BG29)&lt;52,IF('Capacity summary'!AS29&lt;&gt;"",IF(LOWER('Capacity summary'!AS29)="x",$BI117*AS117,VALUE('Capacity summary'!AS29)),0),AS117*$BI117),AS117*$BI117),0)</f>
        <v>0</v>
      </c>
      <c r="CW117" s="5">
        <f>IF($BI117&lt;&gt;"",IF('Capacity summary'!$C$14="Yes",IF(COUNTBLANK('Capacity summary'!$H29:$BG29)&lt;52,IF('Capacity summary'!AT29&lt;&gt;"",IF(LOWER('Capacity summary'!AT29)="x",$BI117*AT117,VALUE('Capacity summary'!AT29)),0),AT117*$BI117),AT117*$BI117),0)</f>
        <v>0</v>
      </c>
      <c r="CX117" s="5">
        <f>IF($BI117&lt;&gt;"",IF('Capacity summary'!$C$14="Yes",IF(COUNTBLANK('Capacity summary'!$H29:$BG29)&lt;52,IF('Capacity summary'!AU29&lt;&gt;"",IF(LOWER('Capacity summary'!AU29)="x",$BI117*AU117,VALUE('Capacity summary'!AU29)),0),AU117*$BI117),AU117*$BI117),0)</f>
        <v>0</v>
      </c>
      <c r="CY117" s="5">
        <f>IF($BI117&lt;&gt;"",IF('Capacity summary'!$C$14="Yes",IF(COUNTBLANK('Capacity summary'!$H29:$BG29)&lt;52,IF('Capacity summary'!AV29&lt;&gt;"",IF(LOWER('Capacity summary'!AV29)="x",$BI117*AV117,VALUE('Capacity summary'!AV29)),0),AV117*$BI117),AV117*$BI117),0)</f>
        <v>0</v>
      </c>
      <c r="CZ117" s="5">
        <f>IF($BI117&lt;&gt;"",IF('Capacity summary'!$C$14="Yes",IF(COUNTBLANK('Capacity summary'!$H29:$BG29)&lt;52,IF('Capacity summary'!AW29&lt;&gt;"",IF(LOWER('Capacity summary'!AW29)="x",$BI117*AW117,VALUE('Capacity summary'!AW29)),0),AW117*$BI117),AW117*$BI117),0)</f>
        <v>0</v>
      </c>
      <c r="DA117" s="5">
        <f>IF($BI117&lt;&gt;"",IF('Capacity summary'!$C$14="Yes",IF(COUNTBLANK('Capacity summary'!$H29:$BG29)&lt;52,IF('Capacity summary'!AX29&lt;&gt;"",IF(LOWER('Capacity summary'!AX29)="x",$BI117*AX117,VALUE('Capacity summary'!AX29)),0),AX117*$BI117),AX117*$BI117),0)</f>
        <v>0</v>
      </c>
      <c r="DB117" s="5">
        <f>IF($BI117&lt;&gt;"",IF('Capacity summary'!$C$14="Yes",IF(COUNTBLANK('Capacity summary'!$H29:$BG29)&lt;52,IF('Capacity summary'!AY29&lt;&gt;"",IF(LOWER('Capacity summary'!AY29)="x",$BI117*AY117,VALUE('Capacity summary'!AY29)),0),AY117*$BI117),AY117*$BI117),0)</f>
        <v>0</v>
      </c>
      <c r="DC117" s="5">
        <f>IF($BI117&lt;&gt;"",IF('Capacity summary'!$C$14="Yes",IF(COUNTBLANK('Capacity summary'!$H29:$BG29)&lt;52,IF('Capacity summary'!AZ29&lt;&gt;"",IF(LOWER('Capacity summary'!AZ29)="x",$BI117*AZ117,VALUE('Capacity summary'!AZ29)),0),AZ117*$BI117),AZ117*$BI117),0)</f>
        <v>0</v>
      </c>
      <c r="DD117" s="5">
        <f>IF($BI117&lt;&gt;"",IF('Capacity summary'!$C$14="Yes",IF(COUNTBLANK('Capacity summary'!$H29:$BG29)&lt;52,IF('Capacity summary'!BA29&lt;&gt;"",IF(LOWER('Capacity summary'!BA29)="x",$BI117*BA117,VALUE('Capacity summary'!BA29)),0),BA117*$BI117),BA117*$BI117),0)</f>
        <v>0</v>
      </c>
      <c r="DE117" s="5">
        <f>IF($BI117&lt;&gt;"",IF('Capacity summary'!$C$14="Yes",IF(COUNTBLANK('Capacity summary'!$H29:$BG29)&lt;52,IF('Capacity summary'!BB29&lt;&gt;"",IF(LOWER('Capacity summary'!BB29)="x",$BI117*BB117,VALUE('Capacity summary'!BB29)),0),BB117*$BI117),BB117*$BI117),0)</f>
        <v>0</v>
      </c>
      <c r="DF117" s="5">
        <f>IF($BI117&lt;&gt;"",IF('Capacity summary'!$C$14="Yes",IF(COUNTBLANK('Capacity summary'!$H29:$BG29)&lt;52,IF('Capacity summary'!BC29&lt;&gt;"",IF(LOWER('Capacity summary'!BC29)="x",$BI117*BC117,VALUE('Capacity summary'!BC29)),0),BC117*$BI117),BC117*$BI117),0)</f>
        <v>0</v>
      </c>
      <c r="DG117" s="5">
        <f>IF($BI117&lt;&gt;"",IF('Capacity summary'!$C$14="Yes",IF(COUNTBLANK('Capacity summary'!$H29:$BG29)&lt;52,IF('Capacity summary'!BD29&lt;&gt;"",IF(LOWER('Capacity summary'!BD29)="x",$BI117*BD117,VALUE('Capacity summary'!BD29)),0),BD117*$BI117),BD117*$BI117),0)</f>
        <v>0</v>
      </c>
      <c r="DH117" s="5">
        <f>IF($BI117&lt;&gt;"",IF('Capacity summary'!$C$14="Yes",IF(COUNTBLANK('Capacity summary'!$H29:$BG29)&lt;52,IF('Capacity summary'!BE29&lt;&gt;"",IF(LOWER('Capacity summary'!BE29)="x",$BI117*BE117,VALUE('Capacity summary'!BE29)),0),BE117*$BI117),BE117*$BI117),0)</f>
        <v>0</v>
      </c>
      <c r="DI117" s="5">
        <f>IF($BI117&lt;&gt;"",IF('Capacity summary'!$C$14="Yes",IF(COUNTBLANK('Capacity summary'!$H29:$BG29)&lt;52,IF('Capacity summary'!BF29&lt;&gt;"",IF(LOWER('Capacity summary'!BF29)="x",$BI117*BF117,VALUE('Capacity summary'!BF29)),0),BF117*$BI117),BF117*$BI117),0)</f>
        <v>0</v>
      </c>
      <c r="DJ117" s="5">
        <f>IF($BI117&lt;&gt;"",IF('Capacity summary'!$C$14="Yes",IF(COUNTBLANK('Capacity summary'!$H29:$BG29)&lt;52,IF('Capacity summary'!BG29&lt;&gt;"",IF(LOWER('Capacity summary'!BG29)="x",$BI117*BG117,VALUE('Capacity summary'!BG29)),0),BG117*$BI117),BG117*$BI117),0)</f>
        <v>0</v>
      </c>
      <c r="DK117" s="391">
        <f t="shared" si="8"/>
        <v>0</v>
      </c>
      <c r="DL117" s="5">
        <f t="shared" si="9"/>
        <v>0</v>
      </c>
    </row>
    <row r="118" spans="3:116" x14ac:dyDescent="0.2">
      <c r="C118" s="67" t="str">
        <f>ROW(A7)&amp;". "&amp;Capacity!N23</f>
        <v xml:space="preserve">7. </v>
      </c>
      <c r="D118" s="67">
        <f>'Capacity setup'!C124</f>
        <v>0</v>
      </c>
      <c r="E118" s="67">
        <f>'Capacity setup'!D124</f>
        <v>0</v>
      </c>
      <c r="F118" s="67">
        <f>'Capacity setup'!E124</f>
        <v>0</v>
      </c>
      <c r="H118" s="67">
        <f ca="1">IF(LOWER(Capacity!$V23)="x",IF(AND(SUMIF(Capacity_Resource,$D118,'Critical resources (hide)'!U$6:U$105)+SUMIF(Capacity_Resource,$E118,'Critical resources (hide)'!U$6:U$105)+SUMIF(Capacity_Resource,$F118,'Critical resources (hide)'!U$6:U$105)&gt;0,$E$1=2),0,1),0)</f>
        <v>1</v>
      </c>
      <c r="I118" s="67">
        <f ca="1">IF(LOWER(Capacity!$V23)="x",IF(AND(SUMIF(Capacity_Resource,$D118,'Critical resources (hide)'!V$6:V$105)+SUMIF(Capacity_Resource,$E118,'Critical resources (hide)'!V$6:V$105)+SUMIF(Capacity_Resource,$F118,'Critical resources (hide)'!V$6:V$105)&gt;0,$E$1=2),0,1),0)</f>
        <v>1</v>
      </c>
      <c r="J118" s="67">
        <f ca="1">IF(LOWER(Capacity!$V23)="x",IF(AND(SUMIF(Capacity_Resource,$D118,'Critical resources (hide)'!W$6:W$105)+SUMIF(Capacity_Resource,$E118,'Critical resources (hide)'!W$6:W$105)+SUMIF(Capacity_Resource,$F118,'Critical resources (hide)'!W$6:W$105)&gt;0,$E$1=2),0,1),0)</f>
        <v>1</v>
      </c>
      <c r="K118" s="67">
        <f ca="1">IF(LOWER(Capacity!$V23)="x",IF(AND(SUMIF(Capacity_Resource,$D118,'Critical resources (hide)'!X$6:X$105)+SUMIF(Capacity_Resource,$E118,'Critical resources (hide)'!X$6:X$105)+SUMIF(Capacity_Resource,$F118,'Critical resources (hide)'!X$6:X$105)&gt;0,$E$1=2),0,1),0)</f>
        <v>1</v>
      </c>
      <c r="L118" s="67">
        <f ca="1">IF(LOWER(Capacity!$V23)="x",IF(AND(SUMIF(Capacity_Resource,$D118,'Critical resources (hide)'!Y$6:Y$105)+SUMIF(Capacity_Resource,$E118,'Critical resources (hide)'!Y$6:Y$105)+SUMIF(Capacity_Resource,$F118,'Critical resources (hide)'!Y$6:Y$105)&gt;0,$E$1=2),0,1),0)</f>
        <v>1</v>
      </c>
      <c r="M118" s="67">
        <f ca="1">IF(LOWER(Capacity!$V23)="x",IF(AND(SUMIF(Capacity_Resource,$D118,'Critical resources (hide)'!Z$6:Z$105)+SUMIF(Capacity_Resource,$E118,'Critical resources (hide)'!Z$6:Z$105)+SUMIF(Capacity_Resource,$F118,'Critical resources (hide)'!Z$6:Z$105)&gt;0,$E$1=2),0,1),0)</f>
        <v>1</v>
      </c>
      <c r="N118" s="67">
        <f ca="1">IF(LOWER(Capacity!$V23)="x",IF(AND(SUMIF(Capacity_Resource,$D118,'Critical resources (hide)'!AA$6:AA$105)+SUMIF(Capacity_Resource,$E118,'Critical resources (hide)'!AA$6:AA$105)+SUMIF(Capacity_Resource,$F118,'Critical resources (hide)'!AA$6:AA$105)&gt;0,$E$1=2),0,1),0)</f>
        <v>1</v>
      </c>
      <c r="O118" s="67">
        <f ca="1">IF(LOWER(Capacity!$V23)="x",IF(AND(SUMIF(Capacity_Resource,$D118,'Critical resources (hide)'!AB$6:AB$105)+SUMIF(Capacity_Resource,$E118,'Critical resources (hide)'!AB$6:AB$105)+SUMIF(Capacity_Resource,$F118,'Critical resources (hide)'!AB$6:AB$105)&gt;0,$E$1=2),0,1),0)</f>
        <v>1</v>
      </c>
      <c r="P118" s="67">
        <f ca="1">IF(LOWER(Capacity!$V23)="x",IF(AND(SUMIF(Capacity_Resource,$D118,'Critical resources (hide)'!AC$6:AC$105)+SUMIF(Capacity_Resource,$E118,'Critical resources (hide)'!AC$6:AC$105)+SUMIF(Capacity_Resource,$F118,'Critical resources (hide)'!AC$6:AC$105)&gt;0,$E$1=2),0,1),0)</f>
        <v>1</v>
      </c>
      <c r="Q118" s="67">
        <f ca="1">IF(LOWER(Capacity!$V23)="x",IF(AND(SUMIF(Capacity_Resource,$D118,'Critical resources (hide)'!AD$6:AD$105)+SUMIF(Capacity_Resource,$E118,'Critical resources (hide)'!AD$6:AD$105)+SUMIF(Capacity_Resource,$F118,'Critical resources (hide)'!AD$6:AD$105)&gt;0,$E$1=2),0,1),0)</f>
        <v>1</v>
      </c>
      <c r="R118" s="67">
        <f ca="1">IF(LOWER(Capacity!$V23)="x",IF(AND(SUMIF(Capacity_Resource,$D118,'Critical resources (hide)'!AE$6:AE$105)+SUMIF(Capacity_Resource,$E118,'Critical resources (hide)'!AE$6:AE$105)+SUMIF(Capacity_Resource,$F118,'Critical resources (hide)'!AE$6:AE$105)&gt;0,$E$1=2),0,1),0)</f>
        <v>1</v>
      </c>
      <c r="S118" s="67">
        <f ca="1">IF(LOWER(Capacity!$V23)="x",IF(AND(SUMIF(Capacity_Resource,$D118,'Critical resources (hide)'!AF$6:AF$105)+SUMIF(Capacity_Resource,$E118,'Critical resources (hide)'!AF$6:AF$105)+SUMIF(Capacity_Resource,$F118,'Critical resources (hide)'!AF$6:AF$105)&gt;0,$E$1=2),0,1),0)</f>
        <v>1</v>
      </c>
      <c r="T118" s="67">
        <f ca="1">IF(LOWER(Capacity!$V23)="x",IF(AND(SUMIF(Capacity_Resource,$D118,'Critical resources (hide)'!AG$6:AG$105)+SUMIF(Capacity_Resource,$E118,'Critical resources (hide)'!AG$6:AG$105)+SUMIF(Capacity_Resource,$F118,'Critical resources (hide)'!AG$6:AG$105)&gt;0,$E$1=2),0,1),0)</f>
        <v>1</v>
      </c>
      <c r="U118" s="67">
        <f ca="1">IF(LOWER(Capacity!$V23)="x",IF(AND(SUMIF(Capacity_Resource,$D118,'Critical resources (hide)'!AH$6:AH$105)+SUMIF(Capacity_Resource,$E118,'Critical resources (hide)'!AH$6:AH$105)+SUMIF(Capacity_Resource,$F118,'Critical resources (hide)'!AH$6:AH$105)&gt;0,$E$1=2),0,1),0)</f>
        <v>1</v>
      </c>
      <c r="V118" s="67">
        <f ca="1">IF(LOWER(Capacity!$V23)="x",IF(AND(SUMIF(Capacity_Resource,$D118,'Critical resources (hide)'!AI$6:AI$105)+SUMIF(Capacity_Resource,$E118,'Critical resources (hide)'!AI$6:AI$105)+SUMIF(Capacity_Resource,$F118,'Critical resources (hide)'!AI$6:AI$105)&gt;0,$E$1=2),0,1),0)</f>
        <v>1</v>
      </c>
      <c r="W118" s="67">
        <f ca="1">IF(LOWER(Capacity!$V23)="x",IF(AND(SUMIF(Capacity_Resource,$D118,'Critical resources (hide)'!AJ$6:AJ$105)+SUMIF(Capacity_Resource,$E118,'Critical resources (hide)'!AJ$6:AJ$105)+SUMIF(Capacity_Resource,$F118,'Critical resources (hide)'!AJ$6:AJ$105)&gt;0,$E$1=2),0,1),0)</f>
        <v>1</v>
      </c>
      <c r="X118" s="67">
        <f ca="1">IF(LOWER(Capacity!$V23)="x",IF(AND(SUMIF(Capacity_Resource,$D118,'Critical resources (hide)'!AK$6:AK$105)+SUMIF(Capacity_Resource,$E118,'Critical resources (hide)'!AK$6:AK$105)+SUMIF(Capacity_Resource,$F118,'Critical resources (hide)'!AK$6:AK$105)&gt;0,$E$1=2),0,1),0)</f>
        <v>1</v>
      </c>
      <c r="Y118" s="67">
        <f ca="1">IF(LOWER(Capacity!$V23)="x",IF(AND(SUMIF(Capacity_Resource,$D118,'Critical resources (hide)'!AL$6:AL$105)+SUMIF(Capacity_Resource,$E118,'Critical resources (hide)'!AL$6:AL$105)+SUMIF(Capacity_Resource,$F118,'Critical resources (hide)'!AL$6:AL$105)&gt;0,$E$1=2),0,1),0)</f>
        <v>1</v>
      </c>
      <c r="Z118" s="67">
        <f ca="1">IF(LOWER(Capacity!$V23)="x",IF(AND(SUMIF(Capacity_Resource,$D118,'Critical resources (hide)'!AM$6:AM$105)+SUMIF(Capacity_Resource,$E118,'Critical resources (hide)'!AM$6:AM$105)+SUMIF(Capacity_Resource,$F118,'Critical resources (hide)'!AM$6:AM$105)&gt;0,$E$1=2),0,1),0)</f>
        <v>1</v>
      </c>
      <c r="AA118" s="67">
        <f ca="1">IF(LOWER(Capacity!$V23)="x",IF(AND(SUMIF(Capacity_Resource,$D118,'Critical resources (hide)'!AN$6:AN$105)+SUMIF(Capacity_Resource,$E118,'Critical resources (hide)'!AN$6:AN$105)+SUMIF(Capacity_Resource,$F118,'Critical resources (hide)'!AN$6:AN$105)&gt;0,$E$1=2),0,1),0)</f>
        <v>1</v>
      </c>
      <c r="AB118" s="67">
        <f ca="1">IF(LOWER(Capacity!$V23)="x",IF(AND(SUMIF(Capacity_Resource,$D118,'Critical resources (hide)'!AO$6:AO$105)+SUMIF(Capacity_Resource,$E118,'Critical resources (hide)'!AO$6:AO$105)+SUMIF(Capacity_Resource,$F118,'Critical resources (hide)'!AO$6:AO$105)&gt;0,$E$1=2),0,1),0)</f>
        <v>1</v>
      </c>
      <c r="AC118" s="67">
        <f ca="1">IF(LOWER(Capacity!$V23)="x",IF(AND(SUMIF(Capacity_Resource,$D118,'Critical resources (hide)'!AP$6:AP$105)+SUMIF(Capacity_Resource,$E118,'Critical resources (hide)'!AP$6:AP$105)+SUMIF(Capacity_Resource,$F118,'Critical resources (hide)'!AP$6:AP$105)&gt;0,$E$1=2),0,1),0)</f>
        <v>1</v>
      </c>
      <c r="AD118" s="67">
        <f ca="1">IF(LOWER(Capacity!$V23)="x",IF(AND(SUMIF(Capacity_Resource,$D118,'Critical resources (hide)'!AQ$6:AQ$105)+SUMIF(Capacity_Resource,$E118,'Critical resources (hide)'!AQ$6:AQ$105)+SUMIF(Capacity_Resource,$F118,'Critical resources (hide)'!AQ$6:AQ$105)&gt;0,$E$1=2),0,1),0)</f>
        <v>1</v>
      </c>
      <c r="AE118" s="67">
        <f ca="1">IF(LOWER(Capacity!$V23)="x",IF(AND(SUMIF(Capacity_Resource,$D118,'Critical resources (hide)'!AR$6:AR$105)+SUMIF(Capacity_Resource,$E118,'Critical resources (hide)'!AR$6:AR$105)+SUMIF(Capacity_Resource,$F118,'Critical resources (hide)'!AR$6:AR$105)&gt;0,$E$1=2),0,1),0)</f>
        <v>1</v>
      </c>
      <c r="AF118" s="67">
        <f ca="1">IF(LOWER(Capacity!$V23)="x",IF(AND(SUMIF(Capacity_Resource,$D118,'Critical resources (hide)'!AS$6:AS$105)+SUMIF(Capacity_Resource,$E118,'Critical resources (hide)'!AS$6:AS$105)+SUMIF(Capacity_Resource,$F118,'Critical resources (hide)'!AS$6:AS$105)&gt;0,$E$1=2),0,1),0)</f>
        <v>1</v>
      </c>
      <c r="AG118" s="67">
        <f ca="1">IF(LOWER(Capacity!$V23)="x",IF(AND(SUMIF(Capacity_Resource,$D118,'Critical resources (hide)'!AT$6:AT$105)+SUMIF(Capacity_Resource,$E118,'Critical resources (hide)'!AT$6:AT$105)+SUMIF(Capacity_Resource,$F118,'Critical resources (hide)'!AT$6:AT$105)&gt;0,$E$1=2),0,1),0)</f>
        <v>1</v>
      </c>
      <c r="AH118" s="67">
        <f ca="1">IF(LOWER(Capacity!$V23)="x",IF(AND(SUMIF(Capacity_Resource,$D118,'Critical resources (hide)'!AU$6:AU$105)+SUMIF(Capacity_Resource,$E118,'Critical resources (hide)'!AU$6:AU$105)+SUMIF(Capacity_Resource,$F118,'Critical resources (hide)'!AU$6:AU$105)&gt;0,$E$1=2),0,1),0)</f>
        <v>1</v>
      </c>
      <c r="AI118" s="67">
        <f ca="1">IF(LOWER(Capacity!$V23)="x",IF(AND(SUMIF(Capacity_Resource,$D118,'Critical resources (hide)'!AV$6:AV$105)+SUMIF(Capacity_Resource,$E118,'Critical resources (hide)'!AV$6:AV$105)+SUMIF(Capacity_Resource,$F118,'Critical resources (hide)'!AV$6:AV$105)&gt;0,$E$1=2),0,1),0)</f>
        <v>1</v>
      </c>
      <c r="AJ118" s="67">
        <f ca="1">IF(LOWER(Capacity!$V23)="x",IF(AND(SUMIF(Capacity_Resource,$D118,'Critical resources (hide)'!AW$6:AW$105)+SUMIF(Capacity_Resource,$E118,'Critical resources (hide)'!AW$6:AW$105)+SUMIF(Capacity_Resource,$F118,'Critical resources (hide)'!AW$6:AW$105)&gt;0,$E$1=2),0,1),0)</f>
        <v>1</v>
      </c>
      <c r="AK118" s="67">
        <f ca="1">IF(LOWER(Capacity!$V23)="x",IF(AND(SUMIF(Capacity_Resource,$D118,'Critical resources (hide)'!AX$6:AX$105)+SUMIF(Capacity_Resource,$E118,'Critical resources (hide)'!AX$6:AX$105)+SUMIF(Capacity_Resource,$F118,'Critical resources (hide)'!AX$6:AX$105)&gt;0,$E$1=2),0,1),0)</f>
        <v>1</v>
      </c>
      <c r="AL118" s="67">
        <f ca="1">IF(LOWER(Capacity!$V23)="x",IF(AND(SUMIF(Capacity_Resource,$D118,'Critical resources (hide)'!AY$6:AY$105)+SUMIF(Capacity_Resource,$E118,'Critical resources (hide)'!AY$6:AY$105)+SUMIF(Capacity_Resource,$F118,'Critical resources (hide)'!AY$6:AY$105)&gt;0,$E$1=2),0,1),0)</f>
        <v>1</v>
      </c>
      <c r="AM118" s="67">
        <f ca="1">IF(LOWER(Capacity!$V23)="x",IF(AND(SUMIF(Capacity_Resource,$D118,'Critical resources (hide)'!AZ$6:AZ$105)+SUMIF(Capacity_Resource,$E118,'Critical resources (hide)'!AZ$6:AZ$105)+SUMIF(Capacity_Resource,$F118,'Critical resources (hide)'!AZ$6:AZ$105)&gt;0,$E$1=2),0,1),0)</f>
        <v>1</v>
      </c>
      <c r="AN118" s="67">
        <f ca="1">IF(LOWER(Capacity!$V23)="x",IF(AND(SUMIF(Capacity_Resource,$D118,'Critical resources (hide)'!BA$6:BA$105)+SUMIF(Capacity_Resource,$E118,'Critical resources (hide)'!BA$6:BA$105)+SUMIF(Capacity_Resource,$F118,'Critical resources (hide)'!BA$6:BA$105)&gt;0,$E$1=2),0,1),0)</f>
        <v>1</v>
      </c>
      <c r="AO118" s="67">
        <f ca="1">IF(LOWER(Capacity!$V23)="x",IF(AND(SUMIF(Capacity_Resource,$D118,'Critical resources (hide)'!BB$6:BB$105)+SUMIF(Capacity_Resource,$E118,'Critical resources (hide)'!BB$6:BB$105)+SUMIF(Capacity_Resource,$F118,'Critical resources (hide)'!BB$6:BB$105)&gt;0,$E$1=2),0,1),0)</f>
        <v>1</v>
      </c>
      <c r="AP118" s="67">
        <f ca="1">IF(LOWER(Capacity!$V23)="x",IF(AND(SUMIF(Capacity_Resource,$D118,'Critical resources (hide)'!BC$6:BC$105)+SUMIF(Capacity_Resource,$E118,'Critical resources (hide)'!BC$6:BC$105)+SUMIF(Capacity_Resource,$F118,'Critical resources (hide)'!BC$6:BC$105)&gt;0,$E$1=2),0,1),0)</f>
        <v>1</v>
      </c>
      <c r="AQ118" s="67">
        <f ca="1">IF(LOWER(Capacity!$V23)="x",IF(AND(SUMIF(Capacity_Resource,$D118,'Critical resources (hide)'!BD$6:BD$105)+SUMIF(Capacity_Resource,$E118,'Critical resources (hide)'!BD$6:BD$105)+SUMIF(Capacity_Resource,$F118,'Critical resources (hide)'!BD$6:BD$105)&gt;0,$E$1=2),0,1),0)</f>
        <v>1</v>
      </c>
      <c r="AR118" s="67">
        <f ca="1">IF(LOWER(Capacity!$V23)="x",IF(AND(SUMIF(Capacity_Resource,$D118,'Critical resources (hide)'!BE$6:BE$105)+SUMIF(Capacity_Resource,$E118,'Critical resources (hide)'!BE$6:BE$105)+SUMIF(Capacity_Resource,$F118,'Critical resources (hide)'!BE$6:BE$105)&gt;0,$E$1=2),0,1),0)</f>
        <v>1</v>
      </c>
      <c r="AS118" s="67">
        <f ca="1">IF(LOWER(Capacity!$V23)="x",IF(AND(SUMIF(Capacity_Resource,$D118,'Critical resources (hide)'!BF$6:BF$105)+SUMIF(Capacity_Resource,$E118,'Critical resources (hide)'!BF$6:BF$105)+SUMIF(Capacity_Resource,$F118,'Critical resources (hide)'!BF$6:BF$105)&gt;0,$E$1=2),0,1),0)</f>
        <v>1</v>
      </c>
      <c r="AT118" s="67">
        <f ca="1">IF(LOWER(Capacity!$V23)="x",IF(AND(SUMIF(Capacity_Resource,$D118,'Critical resources (hide)'!BG$6:BG$105)+SUMIF(Capacity_Resource,$E118,'Critical resources (hide)'!BG$6:BG$105)+SUMIF(Capacity_Resource,$F118,'Critical resources (hide)'!BG$6:BG$105)&gt;0,$E$1=2),0,1),0)</f>
        <v>1</v>
      </c>
      <c r="AU118" s="67">
        <f ca="1">IF(LOWER(Capacity!$V23)="x",IF(AND(SUMIF(Capacity_Resource,$D118,'Critical resources (hide)'!BH$6:BH$105)+SUMIF(Capacity_Resource,$E118,'Critical resources (hide)'!BH$6:BH$105)+SUMIF(Capacity_Resource,$F118,'Critical resources (hide)'!BH$6:BH$105)&gt;0,$E$1=2),0,1),0)</f>
        <v>1</v>
      </c>
      <c r="AV118" s="67">
        <f ca="1">IF(LOWER(Capacity!$V23)="x",IF(AND(SUMIF(Capacity_Resource,$D118,'Critical resources (hide)'!BI$6:BI$105)+SUMIF(Capacity_Resource,$E118,'Critical resources (hide)'!BI$6:BI$105)+SUMIF(Capacity_Resource,$F118,'Critical resources (hide)'!BI$6:BI$105)&gt;0,$E$1=2),0,1),0)</f>
        <v>1</v>
      </c>
      <c r="AW118" s="67">
        <f ca="1">IF(LOWER(Capacity!$V23)="x",IF(AND(SUMIF(Capacity_Resource,$D118,'Critical resources (hide)'!BJ$6:BJ$105)+SUMIF(Capacity_Resource,$E118,'Critical resources (hide)'!BJ$6:BJ$105)+SUMIF(Capacity_Resource,$F118,'Critical resources (hide)'!BJ$6:BJ$105)&gt;0,$E$1=2),0,1),0)</f>
        <v>1</v>
      </c>
      <c r="AX118" s="67">
        <f ca="1">IF(LOWER(Capacity!$V23)="x",IF(AND(SUMIF(Capacity_Resource,$D118,'Critical resources (hide)'!BK$6:BK$105)+SUMIF(Capacity_Resource,$E118,'Critical resources (hide)'!BK$6:BK$105)+SUMIF(Capacity_Resource,$F118,'Critical resources (hide)'!BK$6:BK$105)&gt;0,$E$1=2),0,1),0)</f>
        <v>1</v>
      </c>
      <c r="AY118" s="67">
        <f ca="1">IF(LOWER(Capacity!$V23)="x",IF(AND(SUMIF(Capacity_Resource,$D118,'Critical resources (hide)'!BL$6:BL$105)+SUMIF(Capacity_Resource,$E118,'Critical resources (hide)'!BL$6:BL$105)+SUMIF(Capacity_Resource,$F118,'Critical resources (hide)'!BL$6:BL$105)&gt;0,$E$1=2),0,1),0)</f>
        <v>1</v>
      </c>
      <c r="AZ118" s="67">
        <f ca="1">IF(LOWER(Capacity!$V23)="x",IF(AND(SUMIF(Capacity_Resource,$D118,'Critical resources (hide)'!BM$6:BM$105)+SUMIF(Capacity_Resource,$E118,'Critical resources (hide)'!BM$6:BM$105)+SUMIF(Capacity_Resource,$F118,'Critical resources (hide)'!BM$6:BM$105)&gt;0,$E$1=2),0,1),0)</f>
        <v>1</v>
      </c>
      <c r="BA118" s="67">
        <f ca="1">IF(LOWER(Capacity!$V23)="x",IF(AND(SUMIF(Capacity_Resource,$D118,'Critical resources (hide)'!BN$6:BN$105)+SUMIF(Capacity_Resource,$E118,'Critical resources (hide)'!BN$6:BN$105)+SUMIF(Capacity_Resource,$F118,'Critical resources (hide)'!BN$6:BN$105)&gt;0,$E$1=2),0,1),0)</f>
        <v>1</v>
      </c>
      <c r="BB118" s="67">
        <f ca="1">IF(LOWER(Capacity!$V23)="x",IF(AND(SUMIF(Capacity_Resource,$D118,'Critical resources (hide)'!BO$6:BO$105)+SUMIF(Capacity_Resource,$E118,'Critical resources (hide)'!BO$6:BO$105)+SUMIF(Capacity_Resource,$F118,'Critical resources (hide)'!BO$6:BO$105)&gt;0,$E$1=2),0,1),0)</f>
        <v>1</v>
      </c>
      <c r="BC118" s="67">
        <f ca="1">IF(LOWER(Capacity!$V23)="x",IF(AND(SUMIF(Capacity_Resource,$D118,'Critical resources (hide)'!BP$6:BP$105)+SUMIF(Capacity_Resource,$E118,'Critical resources (hide)'!BP$6:BP$105)+SUMIF(Capacity_Resource,$F118,'Critical resources (hide)'!BP$6:BP$105)&gt;0,$E$1=2),0,1),0)</f>
        <v>1</v>
      </c>
      <c r="BD118" s="67">
        <f ca="1">IF(LOWER(Capacity!$V23)="x",IF(AND(SUMIF(Capacity_Resource,$D118,'Critical resources (hide)'!BQ$6:BQ$105)+SUMIF(Capacity_Resource,$E118,'Critical resources (hide)'!BQ$6:BQ$105)+SUMIF(Capacity_Resource,$F118,'Critical resources (hide)'!BQ$6:BQ$105)&gt;0,$E$1=2),0,1),0)</f>
        <v>1</v>
      </c>
      <c r="BE118" s="67">
        <f ca="1">IF(LOWER(Capacity!$V23)="x",IF(AND(SUMIF(Capacity_Resource,$D118,'Critical resources (hide)'!BR$6:BR$105)+SUMIF(Capacity_Resource,$E118,'Critical resources (hide)'!BR$6:BR$105)+SUMIF(Capacity_Resource,$F118,'Critical resources (hide)'!BR$6:BR$105)&gt;0,$E$1=2),0,1),0)</f>
        <v>1</v>
      </c>
      <c r="BF118" s="67">
        <f ca="1">IF(LOWER(Capacity!$V23)="x",IF(AND(SUMIF(Capacity_Resource,$D118,'Critical resources (hide)'!BS$6:BS$105)+SUMIF(Capacity_Resource,$E118,'Critical resources (hide)'!BS$6:BS$105)+SUMIF(Capacity_Resource,$F118,'Critical resources (hide)'!BS$6:BS$105)&gt;0,$E$1=2),0,1),0)</f>
        <v>1</v>
      </c>
      <c r="BG118" s="67">
        <f ca="1">IF(LOWER(Capacity!$V23)="x",IF(AND(SUMIF(Capacity_Resource,$D118,'Critical resources (hide)'!BT$6:BT$105)+SUMIF(Capacity_Resource,$E118,'Critical resources (hide)'!BT$6:BT$105)+SUMIF(Capacity_Resource,$F118,'Critical resources (hide)'!BT$6:BT$105)&gt;0,$E$1=2),0,1),0)</f>
        <v>1</v>
      </c>
      <c r="BH118" s="67">
        <f>IF(ROW(A7)&lt;=Capacity!$M$16,IF('Capacity summary'!$C$14="No",SUM(H118:BG118),'Capacity summary'!$E30),0)</f>
        <v>0</v>
      </c>
      <c r="BI118" s="67" t="str">
        <f>IF(BH118&gt;0,IF(BH118&lt;Capacity!Q23,Capacity!R23,Capacity!T23/'Capacity calculation (hide)'!BH118),"")</f>
        <v/>
      </c>
      <c r="BJ118" s="5"/>
      <c r="BK118" s="5">
        <f>IF($BI118&lt;&gt;"",IF('Capacity summary'!$C$14="Yes",IF(COUNTBLANK('Capacity summary'!$H30:$BG30)&lt;52,IF('Capacity summary'!H30&lt;&gt;"",IF(LOWER('Capacity summary'!H30)="x",$BI118*H118,VALUE('Capacity summary'!H30)),0),H118*$BI118),H118*$BI118),0)</f>
        <v>0</v>
      </c>
      <c r="BL118" s="5">
        <f>IF($BI118&lt;&gt;"",IF('Capacity summary'!$C$14="Yes",IF(COUNTBLANK('Capacity summary'!$H30:$BG30)&lt;52,IF('Capacity summary'!I30&lt;&gt;"",IF(LOWER('Capacity summary'!I30)="x",$BI118*I118,VALUE('Capacity summary'!I30)),0),I118*$BI118),I118*$BI118),0)</f>
        <v>0</v>
      </c>
      <c r="BM118" s="5">
        <f>IF($BI118&lt;&gt;"",IF('Capacity summary'!$C$14="Yes",IF(COUNTBLANK('Capacity summary'!$H30:$BG30)&lt;52,IF('Capacity summary'!J30&lt;&gt;"",IF(LOWER('Capacity summary'!J30)="x",$BI118*J118,VALUE('Capacity summary'!J30)),0),J118*$BI118),J118*$BI118),0)</f>
        <v>0</v>
      </c>
      <c r="BN118" s="5">
        <f>IF($BI118&lt;&gt;"",IF('Capacity summary'!$C$14="Yes",IF(COUNTBLANK('Capacity summary'!$H30:$BG30)&lt;52,IF('Capacity summary'!K30&lt;&gt;"",IF(LOWER('Capacity summary'!K30)="x",$BI118*K118,VALUE('Capacity summary'!K30)),0),K118*$BI118),K118*$BI118),0)</f>
        <v>0</v>
      </c>
      <c r="BO118" s="5">
        <f>IF($BI118&lt;&gt;"",IF('Capacity summary'!$C$14="Yes",IF(COUNTBLANK('Capacity summary'!$H30:$BG30)&lt;52,IF('Capacity summary'!L30&lt;&gt;"",IF(LOWER('Capacity summary'!L30)="x",$BI118*L118,VALUE('Capacity summary'!L30)),0),L118*$BI118),L118*$BI118),0)</f>
        <v>0</v>
      </c>
      <c r="BP118" s="5">
        <f>IF($BI118&lt;&gt;"",IF('Capacity summary'!$C$14="Yes",IF(COUNTBLANK('Capacity summary'!$H30:$BG30)&lt;52,IF('Capacity summary'!M30&lt;&gt;"",IF(LOWER('Capacity summary'!M30)="x",$BI118*M118,VALUE('Capacity summary'!M30)),0),M118*$BI118),M118*$BI118),0)</f>
        <v>0</v>
      </c>
      <c r="BQ118" s="5">
        <f>IF($BI118&lt;&gt;"",IF('Capacity summary'!$C$14="Yes",IF(COUNTBLANK('Capacity summary'!$H30:$BG30)&lt;52,IF('Capacity summary'!N30&lt;&gt;"",IF(LOWER('Capacity summary'!N30)="x",$BI118*N118,VALUE('Capacity summary'!N30)),0),N118*$BI118),N118*$BI118),0)</f>
        <v>0</v>
      </c>
      <c r="BR118" s="5">
        <f>IF($BI118&lt;&gt;"",IF('Capacity summary'!$C$14="Yes",IF(COUNTBLANK('Capacity summary'!$H30:$BG30)&lt;52,IF('Capacity summary'!O30&lt;&gt;"",IF(LOWER('Capacity summary'!O30)="x",$BI118*O118,VALUE('Capacity summary'!O30)),0),O118*$BI118),O118*$BI118),0)</f>
        <v>0</v>
      </c>
      <c r="BS118" s="5">
        <f>IF($BI118&lt;&gt;"",IF('Capacity summary'!$C$14="Yes",IF(COUNTBLANK('Capacity summary'!$H30:$BG30)&lt;52,IF('Capacity summary'!P30&lt;&gt;"",IF(LOWER('Capacity summary'!P30)="x",$BI118*P118,VALUE('Capacity summary'!P30)),0),P118*$BI118),P118*$BI118),0)</f>
        <v>0</v>
      </c>
      <c r="BT118" s="5">
        <f>IF($BI118&lt;&gt;"",IF('Capacity summary'!$C$14="Yes",IF(COUNTBLANK('Capacity summary'!$H30:$BG30)&lt;52,IF('Capacity summary'!Q30&lt;&gt;"",IF(LOWER('Capacity summary'!Q30)="x",$BI118*Q118,VALUE('Capacity summary'!Q30)),0),Q118*$BI118),Q118*$BI118),0)</f>
        <v>0</v>
      </c>
      <c r="BU118" s="5">
        <f>IF($BI118&lt;&gt;"",IF('Capacity summary'!$C$14="Yes",IF(COUNTBLANK('Capacity summary'!$H30:$BG30)&lt;52,IF('Capacity summary'!R30&lt;&gt;"",IF(LOWER('Capacity summary'!R30)="x",$BI118*R118,VALUE('Capacity summary'!R30)),0),R118*$BI118),R118*$BI118),0)</f>
        <v>0</v>
      </c>
      <c r="BV118" s="5">
        <f>IF($BI118&lt;&gt;"",IF('Capacity summary'!$C$14="Yes",IF(COUNTBLANK('Capacity summary'!$H30:$BG30)&lt;52,IF('Capacity summary'!S30&lt;&gt;"",IF(LOWER('Capacity summary'!S30)="x",$BI118*S118,VALUE('Capacity summary'!S30)),0),S118*$BI118),S118*$BI118),0)</f>
        <v>0</v>
      </c>
      <c r="BW118" s="5">
        <f>IF($BI118&lt;&gt;"",IF('Capacity summary'!$C$14="Yes",IF(COUNTBLANK('Capacity summary'!$H30:$BG30)&lt;52,IF('Capacity summary'!T30&lt;&gt;"",IF(LOWER('Capacity summary'!T30)="x",$BI118*T118,VALUE('Capacity summary'!T30)),0),T118*$BI118),T118*$BI118),0)</f>
        <v>0</v>
      </c>
      <c r="BX118" s="5">
        <f>IF($BI118&lt;&gt;"",IF('Capacity summary'!$C$14="Yes",IF(COUNTBLANK('Capacity summary'!$H30:$BG30)&lt;52,IF('Capacity summary'!U30&lt;&gt;"",IF(LOWER('Capacity summary'!U30)="x",$BI118*U118,VALUE('Capacity summary'!U30)),0),U118*$BI118),U118*$BI118),0)</f>
        <v>0</v>
      </c>
      <c r="BY118" s="5">
        <f>IF($BI118&lt;&gt;"",IF('Capacity summary'!$C$14="Yes",IF(COUNTBLANK('Capacity summary'!$H30:$BG30)&lt;52,IF('Capacity summary'!V30&lt;&gt;"",IF(LOWER('Capacity summary'!V30)="x",$BI118*V118,VALUE('Capacity summary'!V30)),0),V118*$BI118),V118*$BI118),0)</f>
        <v>0</v>
      </c>
      <c r="BZ118" s="5">
        <f>IF($BI118&lt;&gt;"",IF('Capacity summary'!$C$14="Yes",IF(COUNTBLANK('Capacity summary'!$H30:$BG30)&lt;52,IF('Capacity summary'!W30&lt;&gt;"",IF(LOWER('Capacity summary'!W30)="x",$BI118*W118,VALUE('Capacity summary'!W30)),0),W118*$BI118),W118*$BI118),0)</f>
        <v>0</v>
      </c>
      <c r="CA118" s="5">
        <f>IF($BI118&lt;&gt;"",IF('Capacity summary'!$C$14="Yes",IF(COUNTBLANK('Capacity summary'!$H30:$BG30)&lt;52,IF('Capacity summary'!X30&lt;&gt;"",IF(LOWER('Capacity summary'!X30)="x",$BI118*X118,VALUE('Capacity summary'!X30)),0),X118*$BI118),X118*$BI118),0)</f>
        <v>0</v>
      </c>
      <c r="CB118" s="5">
        <f>IF($BI118&lt;&gt;"",IF('Capacity summary'!$C$14="Yes",IF(COUNTBLANK('Capacity summary'!$H30:$BG30)&lt;52,IF('Capacity summary'!Y30&lt;&gt;"",IF(LOWER('Capacity summary'!Y30)="x",$BI118*Y118,VALUE('Capacity summary'!Y30)),0),Y118*$BI118),Y118*$BI118),0)</f>
        <v>0</v>
      </c>
      <c r="CC118" s="5">
        <f>IF($BI118&lt;&gt;"",IF('Capacity summary'!$C$14="Yes",IF(COUNTBLANK('Capacity summary'!$H30:$BG30)&lt;52,IF('Capacity summary'!Z30&lt;&gt;"",IF(LOWER('Capacity summary'!Z30)="x",$BI118*Z118,VALUE('Capacity summary'!Z30)),0),Z118*$BI118),Z118*$BI118),0)</f>
        <v>0</v>
      </c>
      <c r="CD118" s="5">
        <f>IF($BI118&lt;&gt;"",IF('Capacity summary'!$C$14="Yes",IF(COUNTBLANK('Capacity summary'!$H30:$BG30)&lt;52,IF('Capacity summary'!AA30&lt;&gt;"",IF(LOWER('Capacity summary'!AA30)="x",$BI118*AA118,VALUE('Capacity summary'!AA30)),0),AA118*$BI118),AA118*$BI118),0)</f>
        <v>0</v>
      </c>
      <c r="CE118" s="5">
        <f>IF($BI118&lt;&gt;"",IF('Capacity summary'!$C$14="Yes",IF(COUNTBLANK('Capacity summary'!$H30:$BG30)&lt;52,IF('Capacity summary'!AB30&lt;&gt;"",IF(LOWER('Capacity summary'!AB30)="x",$BI118*AB118,VALUE('Capacity summary'!AB30)),0),AB118*$BI118),AB118*$BI118),0)</f>
        <v>0</v>
      </c>
      <c r="CF118" s="5">
        <f>IF($BI118&lt;&gt;"",IF('Capacity summary'!$C$14="Yes",IF(COUNTBLANK('Capacity summary'!$H30:$BG30)&lt;52,IF('Capacity summary'!AC30&lt;&gt;"",IF(LOWER('Capacity summary'!AC30)="x",$BI118*AC118,VALUE('Capacity summary'!AC30)),0),AC118*$BI118),AC118*$BI118),0)</f>
        <v>0</v>
      </c>
      <c r="CG118" s="5">
        <f>IF($BI118&lt;&gt;"",IF('Capacity summary'!$C$14="Yes",IF(COUNTBLANK('Capacity summary'!$H30:$BG30)&lt;52,IF('Capacity summary'!AD30&lt;&gt;"",IF(LOWER('Capacity summary'!AD30)="x",$BI118*AD118,VALUE('Capacity summary'!AD30)),0),AD118*$BI118),AD118*$BI118),0)</f>
        <v>0</v>
      </c>
      <c r="CH118" s="5">
        <f>IF($BI118&lt;&gt;"",IF('Capacity summary'!$C$14="Yes",IF(COUNTBLANK('Capacity summary'!$H30:$BG30)&lt;52,IF('Capacity summary'!AE30&lt;&gt;"",IF(LOWER('Capacity summary'!AE30)="x",$BI118*AE118,VALUE('Capacity summary'!AE30)),0),AE118*$BI118),AE118*$BI118),0)</f>
        <v>0</v>
      </c>
      <c r="CI118" s="5">
        <f>IF($BI118&lt;&gt;"",IF('Capacity summary'!$C$14="Yes",IF(COUNTBLANK('Capacity summary'!$H30:$BG30)&lt;52,IF('Capacity summary'!AF30&lt;&gt;"",IF(LOWER('Capacity summary'!AF30)="x",$BI118*AF118,VALUE('Capacity summary'!AF30)),0),AF118*$BI118),AF118*$BI118),0)</f>
        <v>0</v>
      </c>
      <c r="CJ118" s="5">
        <f>IF($BI118&lt;&gt;"",IF('Capacity summary'!$C$14="Yes",IF(COUNTBLANK('Capacity summary'!$H30:$BG30)&lt;52,IF('Capacity summary'!AG30&lt;&gt;"",IF(LOWER('Capacity summary'!AG30)="x",$BI118*AG118,VALUE('Capacity summary'!AG30)),0),AG118*$BI118),AG118*$BI118),0)</f>
        <v>0</v>
      </c>
      <c r="CK118" s="5">
        <f>IF($BI118&lt;&gt;"",IF('Capacity summary'!$C$14="Yes",IF(COUNTBLANK('Capacity summary'!$H30:$BG30)&lt;52,IF('Capacity summary'!AH30&lt;&gt;"",IF(LOWER('Capacity summary'!AH30)="x",$BI118*AH118,VALUE('Capacity summary'!AH30)),0),AH118*$BI118),AH118*$BI118),0)</f>
        <v>0</v>
      </c>
      <c r="CL118" s="5">
        <f>IF($BI118&lt;&gt;"",IF('Capacity summary'!$C$14="Yes",IF(COUNTBLANK('Capacity summary'!$H30:$BG30)&lt;52,IF('Capacity summary'!AI30&lt;&gt;"",IF(LOWER('Capacity summary'!AI30)="x",$BI118*AI118,VALUE('Capacity summary'!AI30)),0),AI118*$BI118),AI118*$BI118),0)</f>
        <v>0</v>
      </c>
      <c r="CM118" s="5">
        <f>IF($BI118&lt;&gt;"",IF('Capacity summary'!$C$14="Yes",IF(COUNTBLANK('Capacity summary'!$H30:$BG30)&lt;52,IF('Capacity summary'!AJ30&lt;&gt;"",IF(LOWER('Capacity summary'!AJ30)="x",$BI118*AJ118,VALUE('Capacity summary'!AJ30)),0),AJ118*$BI118),AJ118*$BI118),0)</f>
        <v>0</v>
      </c>
      <c r="CN118" s="5">
        <f>IF($BI118&lt;&gt;"",IF('Capacity summary'!$C$14="Yes",IF(COUNTBLANK('Capacity summary'!$H30:$BG30)&lt;52,IF('Capacity summary'!AK30&lt;&gt;"",IF(LOWER('Capacity summary'!AK30)="x",$BI118*AK118,VALUE('Capacity summary'!AK30)),0),AK118*$BI118),AK118*$BI118),0)</f>
        <v>0</v>
      </c>
      <c r="CO118" s="5">
        <f>IF($BI118&lt;&gt;"",IF('Capacity summary'!$C$14="Yes",IF(COUNTBLANK('Capacity summary'!$H30:$BG30)&lt;52,IF('Capacity summary'!AL30&lt;&gt;"",IF(LOWER('Capacity summary'!AL30)="x",$BI118*AL118,VALUE('Capacity summary'!AL30)),0),AL118*$BI118),AL118*$BI118),0)</f>
        <v>0</v>
      </c>
      <c r="CP118" s="5">
        <f>IF($BI118&lt;&gt;"",IF('Capacity summary'!$C$14="Yes",IF(COUNTBLANK('Capacity summary'!$H30:$BG30)&lt;52,IF('Capacity summary'!AM30&lt;&gt;"",IF(LOWER('Capacity summary'!AM30)="x",$BI118*AM118,VALUE('Capacity summary'!AM30)),0),AM118*$BI118),AM118*$BI118),0)</f>
        <v>0</v>
      </c>
      <c r="CQ118" s="5">
        <f>IF($BI118&lt;&gt;"",IF('Capacity summary'!$C$14="Yes",IF(COUNTBLANK('Capacity summary'!$H30:$BG30)&lt;52,IF('Capacity summary'!AN30&lt;&gt;"",IF(LOWER('Capacity summary'!AN30)="x",$BI118*AN118,VALUE('Capacity summary'!AN30)),0),AN118*$BI118),AN118*$BI118),0)</f>
        <v>0</v>
      </c>
      <c r="CR118" s="5">
        <f>IF($BI118&lt;&gt;"",IF('Capacity summary'!$C$14="Yes",IF(COUNTBLANK('Capacity summary'!$H30:$BG30)&lt;52,IF('Capacity summary'!AO30&lt;&gt;"",IF(LOWER('Capacity summary'!AO30)="x",$BI118*AO118,VALUE('Capacity summary'!AO30)),0),AO118*$BI118),AO118*$BI118),0)</f>
        <v>0</v>
      </c>
      <c r="CS118" s="5">
        <f>IF($BI118&lt;&gt;"",IF('Capacity summary'!$C$14="Yes",IF(COUNTBLANK('Capacity summary'!$H30:$BG30)&lt;52,IF('Capacity summary'!AP30&lt;&gt;"",IF(LOWER('Capacity summary'!AP30)="x",$BI118*AP118,VALUE('Capacity summary'!AP30)),0),AP118*$BI118),AP118*$BI118),0)</f>
        <v>0</v>
      </c>
      <c r="CT118" s="5">
        <f>IF($BI118&lt;&gt;"",IF('Capacity summary'!$C$14="Yes",IF(COUNTBLANK('Capacity summary'!$H30:$BG30)&lt;52,IF('Capacity summary'!AQ30&lt;&gt;"",IF(LOWER('Capacity summary'!AQ30)="x",$BI118*AQ118,VALUE('Capacity summary'!AQ30)),0),AQ118*$BI118),AQ118*$BI118),0)</f>
        <v>0</v>
      </c>
      <c r="CU118" s="5">
        <f>IF($BI118&lt;&gt;"",IF('Capacity summary'!$C$14="Yes",IF(COUNTBLANK('Capacity summary'!$H30:$BG30)&lt;52,IF('Capacity summary'!AR30&lt;&gt;"",IF(LOWER('Capacity summary'!AR30)="x",$BI118*AR118,VALUE('Capacity summary'!AR30)),0),AR118*$BI118),AR118*$BI118),0)</f>
        <v>0</v>
      </c>
      <c r="CV118" s="5">
        <f>IF($BI118&lt;&gt;"",IF('Capacity summary'!$C$14="Yes",IF(COUNTBLANK('Capacity summary'!$H30:$BG30)&lt;52,IF('Capacity summary'!AS30&lt;&gt;"",IF(LOWER('Capacity summary'!AS30)="x",$BI118*AS118,VALUE('Capacity summary'!AS30)),0),AS118*$BI118),AS118*$BI118),0)</f>
        <v>0</v>
      </c>
      <c r="CW118" s="5">
        <f>IF($BI118&lt;&gt;"",IF('Capacity summary'!$C$14="Yes",IF(COUNTBLANK('Capacity summary'!$H30:$BG30)&lt;52,IF('Capacity summary'!AT30&lt;&gt;"",IF(LOWER('Capacity summary'!AT30)="x",$BI118*AT118,VALUE('Capacity summary'!AT30)),0),AT118*$BI118),AT118*$BI118),0)</f>
        <v>0</v>
      </c>
      <c r="CX118" s="5">
        <f>IF($BI118&lt;&gt;"",IF('Capacity summary'!$C$14="Yes",IF(COUNTBLANK('Capacity summary'!$H30:$BG30)&lt;52,IF('Capacity summary'!AU30&lt;&gt;"",IF(LOWER('Capacity summary'!AU30)="x",$BI118*AU118,VALUE('Capacity summary'!AU30)),0),AU118*$BI118),AU118*$BI118),0)</f>
        <v>0</v>
      </c>
      <c r="CY118" s="5">
        <f>IF($BI118&lt;&gt;"",IF('Capacity summary'!$C$14="Yes",IF(COUNTBLANK('Capacity summary'!$H30:$BG30)&lt;52,IF('Capacity summary'!AV30&lt;&gt;"",IF(LOWER('Capacity summary'!AV30)="x",$BI118*AV118,VALUE('Capacity summary'!AV30)),0),AV118*$BI118),AV118*$BI118),0)</f>
        <v>0</v>
      </c>
      <c r="CZ118" s="5">
        <f>IF($BI118&lt;&gt;"",IF('Capacity summary'!$C$14="Yes",IF(COUNTBLANK('Capacity summary'!$H30:$BG30)&lt;52,IF('Capacity summary'!AW30&lt;&gt;"",IF(LOWER('Capacity summary'!AW30)="x",$BI118*AW118,VALUE('Capacity summary'!AW30)),0),AW118*$BI118),AW118*$BI118),0)</f>
        <v>0</v>
      </c>
      <c r="DA118" s="5">
        <f>IF($BI118&lt;&gt;"",IF('Capacity summary'!$C$14="Yes",IF(COUNTBLANK('Capacity summary'!$H30:$BG30)&lt;52,IF('Capacity summary'!AX30&lt;&gt;"",IF(LOWER('Capacity summary'!AX30)="x",$BI118*AX118,VALUE('Capacity summary'!AX30)),0),AX118*$BI118),AX118*$BI118),0)</f>
        <v>0</v>
      </c>
      <c r="DB118" s="5">
        <f>IF($BI118&lt;&gt;"",IF('Capacity summary'!$C$14="Yes",IF(COUNTBLANK('Capacity summary'!$H30:$BG30)&lt;52,IF('Capacity summary'!AY30&lt;&gt;"",IF(LOWER('Capacity summary'!AY30)="x",$BI118*AY118,VALUE('Capacity summary'!AY30)),0),AY118*$BI118),AY118*$BI118),0)</f>
        <v>0</v>
      </c>
      <c r="DC118" s="5">
        <f>IF($BI118&lt;&gt;"",IF('Capacity summary'!$C$14="Yes",IF(COUNTBLANK('Capacity summary'!$H30:$BG30)&lt;52,IF('Capacity summary'!AZ30&lt;&gt;"",IF(LOWER('Capacity summary'!AZ30)="x",$BI118*AZ118,VALUE('Capacity summary'!AZ30)),0),AZ118*$BI118),AZ118*$BI118),0)</f>
        <v>0</v>
      </c>
      <c r="DD118" s="5">
        <f>IF($BI118&lt;&gt;"",IF('Capacity summary'!$C$14="Yes",IF(COUNTBLANK('Capacity summary'!$H30:$BG30)&lt;52,IF('Capacity summary'!BA30&lt;&gt;"",IF(LOWER('Capacity summary'!BA30)="x",$BI118*BA118,VALUE('Capacity summary'!BA30)),0),BA118*$BI118),BA118*$BI118),0)</f>
        <v>0</v>
      </c>
      <c r="DE118" s="5">
        <f>IF($BI118&lt;&gt;"",IF('Capacity summary'!$C$14="Yes",IF(COUNTBLANK('Capacity summary'!$H30:$BG30)&lt;52,IF('Capacity summary'!BB30&lt;&gt;"",IF(LOWER('Capacity summary'!BB30)="x",$BI118*BB118,VALUE('Capacity summary'!BB30)),0),BB118*$BI118),BB118*$BI118),0)</f>
        <v>0</v>
      </c>
      <c r="DF118" s="5">
        <f>IF($BI118&lt;&gt;"",IF('Capacity summary'!$C$14="Yes",IF(COUNTBLANK('Capacity summary'!$H30:$BG30)&lt;52,IF('Capacity summary'!BC30&lt;&gt;"",IF(LOWER('Capacity summary'!BC30)="x",$BI118*BC118,VALUE('Capacity summary'!BC30)),0),BC118*$BI118),BC118*$BI118),0)</f>
        <v>0</v>
      </c>
      <c r="DG118" s="5">
        <f>IF($BI118&lt;&gt;"",IF('Capacity summary'!$C$14="Yes",IF(COUNTBLANK('Capacity summary'!$H30:$BG30)&lt;52,IF('Capacity summary'!BD30&lt;&gt;"",IF(LOWER('Capacity summary'!BD30)="x",$BI118*BD118,VALUE('Capacity summary'!BD30)),0),BD118*$BI118),BD118*$BI118),0)</f>
        <v>0</v>
      </c>
      <c r="DH118" s="5">
        <f>IF($BI118&lt;&gt;"",IF('Capacity summary'!$C$14="Yes",IF(COUNTBLANK('Capacity summary'!$H30:$BG30)&lt;52,IF('Capacity summary'!BE30&lt;&gt;"",IF(LOWER('Capacity summary'!BE30)="x",$BI118*BE118,VALUE('Capacity summary'!BE30)),0),BE118*$BI118),BE118*$BI118),0)</f>
        <v>0</v>
      </c>
      <c r="DI118" s="5">
        <f>IF($BI118&lt;&gt;"",IF('Capacity summary'!$C$14="Yes",IF(COUNTBLANK('Capacity summary'!$H30:$BG30)&lt;52,IF('Capacity summary'!BF30&lt;&gt;"",IF(LOWER('Capacity summary'!BF30)="x",$BI118*BF118,VALUE('Capacity summary'!BF30)),0),BF118*$BI118),BF118*$BI118),0)</f>
        <v>0</v>
      </c>
      <c r="DJ118" s="5">
        <f>IF($BI118&lt;&gt;"",IF('Capacity summary'!$C$14="Yes",IF(COUNTBLANK('Capacity summary'!$H30:$BG30)&lt;52,IF('Capacity summary'!BG30&lt;&gt;"",IF(LOWER('Capacity summary'!BG30)="x",$BI118*BG118,VALUE('Capacity summary'!BG30)),0),BG118*$BI118),BG118*$BI118),0)</f>
        <v>0</v>
      </c>
      <c r="DK118" s="391">
        <f t="shared" si="8"/>
        <v>0</v>
      </c>
      <c r="DL118" s="5">
        <f t="shared" si="9"/>
        <v>0</v>
      </c>
    </row>
    <row r="119" spans="3:116" x14ac:dyDescent="0.2">
      <c r="C119" s="67" t="str">
        <f>ROW(A8)&amp;". "&amp;Capacity!N24</f>
        <v xml:space="preserve">8. </v>
      </c>
      <c r="D119" s="67">
        <f>'Capacity setup'!C125</f>
        <v>0</v>
      </c>
      <c r="E119" s="67">
        <f>'Capacity setup'!D125</f>
        <v>0</v>
      </c>
      <c r="F119" s="67">
        <f>'Capacity setup'!E125</f>
        <v>0</v>
      </c>
      <c r="H119" s="67">
        <f ca="1">IF(LOWER(Capacity!$V24)="x",IF(AND(SUMIF(Capacity_Resource,$D119,'Critical resources (hide)'!U$6:U$105)+SUMIF(Capacity_Resource,$E119,'Critical resources (hide)'!U$6:U$105)+SUMIF(Capacity_Resource,$F119,'Critical resources (hide)'!U$6:U$105)&gt;0,$E$1=2),0,1),0)</f>
        <v>1</v>
      </c>
      <c r="I119" s="67">
        <f ca="1">IF(LOWER(Capacity!$V24)="x",IF(AND(SUMIF(Capacity_Resource,$D119,'Critical resources (hide)'!V$6:V$105)+SUMIF(Capacity_Resource,$E119,'Critical resources (hide)'!V$6:V$105)+SUMIF(Capacity_Resource,$F119,'Critical resources (hide)'!V$6:V$105)&gt;0,$E$1=2),0,1),0)</f>
        <v>1</v>
      </c>
      <c r="J119" s="67">
        <f ca="1">IF(LOWER(Capacity!$V24)="x",IF(AND(SUMIF(Capacity_Resource,$D119,'Critical resources (hide)'!W$6:W$105)+SUMIF(Capacity_Resource,$E119,'Critical resources (hide)'!W$6:W$105)+SUMIF(Capacity_Resource,$F119,'Critical resources (hide)'!W$6:W$105)&gt;0,$E$1=2),0,1),0)</f>
        <v>1</v>
      </c>
      <c r="K119" s="67">
        <f ca="1">IF(LOWER(Capacity!$V24)="x",IF(AND(SUMIF(Capacity_Resource,$D119,'Critical resources (hide)'!X$6:X$105)+SUMIF(Capacity_Resource,$E119,'Critical resources (hide)'!X$6:X$105)+SUMIF(Capacity_Resource,$F119,'Critical resources (hide)'!X$6:X$105)&gt;0,$E$1=2),0,1),0)</f>
        <v>1</v>
      </c>
      <c r="L119" s="67">
        <f ca="1">IF(LOWER(Capacity!$V24)="x",IF(AND(SUMIF(Capacity_Resource,$D119,'Critical resources (hide)'!Y$6:Y$105)+SUMIF(Capacity_Resource,$E119,'Critical resources (hide)'!Y$6:Y$105)+SUMIF(Capacity_Resource,$F119,'Critical resources (hide)'!Y$6:Y$105)&gt;0,$E$1=2),0,1),0)</f>
        <v>1</v>
      </c>
      <c r="M119" s="67">
        <f ca="1">IF(LOWER(Capacity!$V24)="x",IF(AND(SUMIF(Capacity_Resource,$D119,'Critical resources (hide)'!Z$6:Z$105)+SUMIF(Capacity_Resource,$E119,'Critical resources (hide)'!Z$6:Z$105)+SUMIF(Capacity_Resource,$F119,'Critical resources (hide)'!Z$6:Z$105)&gt;0,$E$1=2),0,1),0)</f>
        <v>1</v>
      </c>
      <c r="N119" s="67">
        <f ca="1">IF(LOWER(Capacity!$V24)="x",IF(AND(SUMIF(Capacity_Resource,$D119,'Critical resources (hide)'!AA$6:AA$105)+SUMIF(Capacity_Resource,$E119,'Critical resources (hide)'!AA$6:AA$105)+SUMIF(Capacity_Resource,$F119,'Critical resources (hide)'!AA$6:AA$105)&gt;0,$E$1=2),0,1),0)</f>
        <v>1</v>
      </c>
      <c r="O119" s="67">
        <f ca="1">IF(LOWER(Capacity!$V24)="x",IF(AND(SUMIF(Capacity_Resource,$D119,'Critical resources (hide)'!AB$6:AB$105)+SUMIF(Capacity_Resource,$E119,'Critical resources (hide)'!AB$6:AB$105)+SUMIF(Capacity_Resource,$F119,'Critical resources (hide)'!AB$6:AB$105)&gt;0,$E$1=2),0,1),0)</f>
        <v>1</v>
      </c>
      <c r="P119" s="67">
        <f ca="1">IF(LOWER(Capacity!$V24)="x",IF(AND(SUMIF(Capacity_Resource,$D119,'Critical resources (hide)'!AC$6:AC$105)+SUMIF(Capacity_Resource,$E119,'Critical resources (hide)'!AC$6:AC$105)+SUMIF(Capacity_Resource,$F119,'Critical resources (hide)'!AC$6:AC$105)&gt;0,$E$1=2),0,1),0)</f>
        <v>1</v>
      </c>
      <c r="Q119" s="67">
        <f ca="1">IF(LOWER(Capacity!$V24)="x",IF(AND(SUMIF(Capacity_Resource,$D119,'Critical resources (hide)'!AD$6:AD$105)+SUMIF(Capacity_Resource,$E119,'Critical resources (hide)'!AD$6:AD$105)+SUMIF(Capacity_Resource,$F119,'Critical resources (hide)'!AD$6:AD$105)&gt;0,$E$1=2),0,1),0)</f>
        <v>1</v>
      </c>
      <c r="R119" s="67">
        <f ca="1">IF(LOWER(Capacity!$V24)="x",IF(AND(SUMIF(Capacity_Resource,$D119,'Critical resources (hide)'!AE$6:AE$105)+SUMIF(Capacity_Resource,$E119,'Critical resources (hide)'!AE$6:AE$105)+SUMIF(Capacity_Resource,$F119,'Critical resources (hide)'!AE$6:AE$105)&gt;0,$E$1=2),0,1),0)</f>
        <v>1</v>
      </c>
      <c r="S119" s="67">
        <f ca="1">IF(LOWER(Capacity!$V24)="x",IF(AND(SUMIF(Capacity_Resource,$D119,'Critical resources (hide)'!AF$6:AF$105)+SUMIF(Capacity_Resource,$E119,'Critical resources (hide)'!AF$6:AF$105)+SUMIF(Capacity_Resource,$F119,'Critical resources (hide)'!AF$6:AF$105)&gt;0,$E$1=2),0,1),0)</f>
        <v>1</v>
      </c>
      <c r="T119" s="67">
        <f ca="1">IF(LOWER(Capacity!$V24)="x",IF(AND(SUMIF(Capacity_Resource,$D119,'Critical resources (hide)'!AG$6:AG$105)+SUMIF(Capacity_Resource,$E119,'Critical resources (hide)'!AG$6:AG$105)+SUMIF(Capacity_Resource,$F119,'Critical resources (hide)'!AG$6:AG$105)&gt;0,$E$1=2),0,1),0)</f>
        <v>1</v>
      </c>
      <c r="U119" s="67">
        <f ca="1">IF(LOWER(Capacity!$V24)="x",IF(AND(SUMIF(Capacity_Resource,$D119,'Critical resources (hide)'!AH$6:AH$105)+SUMIF(Capacity_Resource,$E119,'Critical resources (hide)'!AH$6:AH$105)+SUMIF(Capacity_Resource,$F119,'Critical resources (hide)'!AH$6:AH$105)&gt;0,$E$1=2),0,1),0)</f>
        <v>1</v>
      </c>
      <c r="V119" s="67">
        <f ca="1">IF(LOWER(Capacity!$V24)="x",IF(AND(SUMIF(Capacity_Resource,$D119,'Critical resources (hide)'!AI$6:AI$105)+SUMIF(Capacity_Resource,$E119,'Critical resources (hide)'!AI$6:AI$105)+SUMIF(Capacity_Resource,$F119,'Critical resources (hide)'!AI$6:AI$105)&gt;0,$E$1=2),0,1),0)</f>
        <v>1</v>
      </c>
      <c r="W119" s="67">
        <f ca="1">IF(LOWER(Capacity!$V24)="x",IF(AND(SUMIF(Capacity_Resource,$D119,'Critical resources (hide)'!AJ$6:AJ$105)+SUMIF(Capacity_Resource,$E119,'Critical resources (hide)'!AJ$6:AJ$105)+SUMIF(Capacity_Resource,$F119,'Critical resources (hide)'!AJ$6:AJ$105)&gt;0,$E$1=2),0,1),0)</f>
        <v>1</v>
      </c>
      <c r="X119" s="67">
        <f ca="1">IF(LOWER(Capacity!$V24)="x",IF(AND(SUMIF(Capacity_Resource,$D119,'Critical resources (hide)'!AK$6:AK$105)+SUMIF(Capacity_Resource,$E119,'Critical resources (hide)'!AK$6:AK$105)+SUMIF(Capacity_Resource,$F119,'Critical resources (hide)'!AK$6:AK$105)&gt;0,$E$1=2),0,1),0)</f>
        <v>1</v>
      </c>
      <c r="Y119" s="67">
        <f ca="1">IF(LOWER(Capacity!$V24)="x",IF(AND(SUMIF(Capacity_Resource,$D119,'Critical resources (hide)'!AL$6:AL$105)+SUMIF(Capacity_Resource,$E119,'Critical resources (hide)'!AL$6:AL$105)+SUMIF(Capacity_Resource,$F119,'Critical resources (hide)'!AL$6:AL$105)&gt;0,$E$1=2),0,1),0)</f>
        <v>1</v>
      </c>
      <c r="Z119" s="67">
        <f ca="1">IF(LOWER(Capacity!$V24)="x",IF(AND(SUMIF(Capacity_Resource,$D119,'Critical resources (hide)'!AM$6:AM$105)+SUMIF(Capacity_Resource,$E119,'Critical resources (hide)'!AM$6:AM$105)+SUMIF(Capacity_Resource,$F119,'Critical resources (hide)'!AM$6:AM$105)&gt;0,$E$1=2),0,1),0)</f>
        <v>1</v>
      </c>
      <c r="AA119" s="67">
        <f ca="1">IF(LOWER(Capacity!$V24)="x",IF(AND(SUMIF(Capacity_Resource,$D119,'Critical resources (hide)'!AN$6:AN$105)+SUMIF(Capacity_Resource,$E119,'Critical resources (hide)'!AN$6:AN$105)+SUMIF(Capacity_Resource,$F119,'Critical resources (hide)'!AN$6:AN$105)&gt;0,$E$1=2),0,1),0)</f>
        <v>1</v>
      </c>
      <c r="AB119" s="67">
        <f ca="1">IF(LOWER(Capacity!$V24)="x",IF(AND(SUMIF(Capacity_Resource,$D119,'Critical resources (hide)'!AO$6:AO$105)+SUMIF(Capacity_Resource,$E119,'Critical resources (hide)'!AO$6:AO$105)+SUMIF(Capacity_Resource,$F119,'Critical resources (hide)'!AO$6:AO$105)&gt;0,$E$1=2),0,1),0)</f>
        <v>1</v>
      </c>
      <c r="AC119" s="67">
        <f ca="1">IF(LOWER(Capacity!$V24)="x",IF(AND(SUMIF(Capacity_Resource,$D119,'Critical resources (hide)'!AP$6:AP$105)+SUMIF(Capacity_Resource,$E119,'Critical resources (hide)'!AP$6:AP$105)+SUMIF(Capacity_Resource,$F119,'Critical resources (hide)'!AP$6:AP$105)&gt;0,$E$1=2),0,1),0)</f>
        <v>1</v>
      </c>
      <c r="AD119" s="67">
        <f ca="1">IF(LOWER(Capacity!$V24)="x",IF(AND(SUMIF(Capacity_Resource,$D119,'Critical resources (hide)'!AQ$6:AQ$105)+SUMIF(Capacity_Resource,$E119,'Critical resources (hide)'!AQ$6:AQ$105)+SUMIF(Capacity_Resource,$F119,'Critical resources (hide)'!AQ$6:AQ$105)&gt;0,$E$1=2),0,1),0)</f>
        <v>1</v>
      </c>
      <c r="AE119" s="67">
        <f ca="1">IF(LOWER(Capacity!$V24)="x",IF(AND(SUMIF(Capacity_Resource,$D119,'Critical resources (hide)'!AR$6:AR$105)+SUMIF(Capacity_Resource,$E119,'Critical resources (hide)'!AR$6:AR$105)+SUMIF(Capacity_Resource,$F119,'Critical resources (hide)'!AR$6:AR$105)&gt;0,$E$1=2),0,1),0)</f>
        <v>1</v>
      </c>
      <c r="AF119" s="67">
        <f ca="1">IF(LOWER(Capacity!$V24)="x",IF(AND(SUMIF(Capacity_Resource,$D119,'Critical resources (hide)'!AS$6:AS$105)+SUMIF(Capacity_Resource,$E119,'Critical resources (hide)'!AS$6:AS$105)+SUMIF(Capacity_Resource,$F119,'Critical resources (hide)'!AS$6:AS$105)&gt;0,$E$1=2),0,1),0)</f>
        <v>1</v>
      </c>
      <c r="AG119" s="67">
        <f ca="1">IF(LOWER(Capacity!$V24)="x",IF(AND(SUMIF(Capacity_Resource,$D119,'Critical resources (hide)'!AT$6:AT$105)+SUMIF(Capacity_Resource,$E119,'Critical resources (hide)'!AT$6:AT$105)+SUMIF(Capacity_Resource,$F119,'Critical resources (hide)'!AT$6:AT$105)&gt;0,$E$1=2),0,1),0)</f>
        <v>1</v>
      </c>
      <c r="AH119" s="67">
        <f ca="1">IF(LOWER(Capacity!$V24)="x",IF(AND(SUMIF(Capacity_Resource,$D119,'Critical resources (hide)'!AU$6:AU$105)+SUMIF(Capacity_Resource,$E119,'Critical resources (hide)'!AU$6:AU$105)+SUMIF(Capacity_Resource,$F119,'Critical resources (hide)'!AU$6:AU$105)&gt;0,$E$1=2),0,1),0)</f>
        <v>1</v>
      </c>
      <c r="AI119" s="67">
        <f ca="1">IF(LOWER(Capacity!$V24)="x",IF(AND(SUMIF(Capacity_Resource,$D119,'Critical resources (hide)'!AV$6:AV$105)+SUMIF(Capacity_Resource,$E119,'Critical resources (hide)'!AV$6:AV$105)+SUMIF(Capacity_Resource,$F119,'Critical resources (hide)'!AV$6:AV$105)&gt;0,$E$1=2),0,1),0)</f>
        <v>1</v>
      </c>
      <c r="AJ119" s="67">
        <f ca="1">IF(LOWER(Capacity!$V24)="x",IF(AND(SUMIF(Capacity_Resource,$D119,'Critical resources (hide)'!AW$6:AW$105)+SUMIF(Capacity_Resource,$E119,'Critical resources (hide)'!AW$6:AW$105)+SUMIF(Capacity_Resource,$F119,'Critical resources (hide)'!AW$6:AW$105)&gt;0,$E$1=2),0,1),0)</f>
        <v>1</v>
      </c>
      <c r="AK119" s="67">
        <f ca="1">IF(LOWER(Capacity!$V24)="x",IF(AND(SUMIF(Capacity_Resource,$D119,'Critical resources (hide)'!AX$6:AX$105)+SUMIF(Capacity_Resource,$E119,'Critical resources (hide)'!AX$6:AX$105)+SUMIF(Capacity_Resource,$F119,'Critical resources (hide)'!AX$6:AX$105)&gt;0,$E$1=2),0,1),0)</f>
        <v>1</v>
      </c>
      <c r="AL119" s="67">
        <f ca="1">IF(LOWER(Capacity!$V24)="x",IF(AND(SUMIF(Capacity_Resource,$D119,'Critical resources (hide)'!AY$6:AY$105)+SUMIF(Capacity_Resource,$E119,'Critical resources (hide)'!AY$6:AY$105)+SUMIF(Capacity_Resource,$F119,'Critical resources (hide)'!AY$6:AY$105)&gt;0,$E$1=2),0,1),0)</f>
        <v>1</v>
      </c>
      <c r="AM119" s="67">
        <f ca="1">IF(LOWER(Capacity!$V24)="x",IF(AND(SUMIF(Capacity_Resource,$D119,'Critical resources (hide)'!AZ$6:AZ$105)+SUMIF(Capacity_Resource,$E119,'Critical resources (hide)'!AZ$6:AZ$105)+SUMIF(Capacity_Resource,$F119,'Critical resources (hide)'!AZ$6:AZ$105)&gt;0,$E$1=2),0,1),0)</f>
        <v>1</v>
      </c>
      <c r="AN119" s="67">
        <f ca="1">IF(LOWER(Capacity!$V24)="x",IF(AND(SUMIF(Capacity_Resource,$D119,'Critical resources (hide)'!BA$6:BA$105)+SUMIF(Capacity_Resource,$E119,'Critical resources (hide)'!BA$6:BA$105)+SUMIF(Capacity_Resource,$F119,'Critical resources (hide)'!BA$6:BA$105)&gt;0,$E$1=2),0,1),0)</f>
        <v>1</v>
      </c>
      <c r="AO119" s="67">
        <f ca="1">IF(LOWER(Capacity!$V24)="x",IF(AND(SUMIF(Capacity_Resource,$D119,'Critical resources (hide)'!BB$6:BB$105)+SUMIF(Capacity_Resource,$E119,'Critical resources (hide)'!BB$6:BB$105)+SUMIF(Capacity_Resource,$F119,'Critical resources (hide)'!BB$6:BB$105)&gt;0,$E$1=2),0,1),0)</f>
        <v>1</v>
      </c>
      <c r="AP119" s="67">
        <f ca="1">IF(LOWER(Capacity!$V24)="x",IF(AND(SUMIF(Capacity_Resource,$D119,'Critical resources (hide)'!BC$6:BC$105)+SUMIF(Capacity_Resource,$E119,'Critical resources (hide)'!BC$6:BC$105)+SUMIF(Capacity_Resource,$F119,'Critical resources (hide)'!BC$6:BC$105)&gt;0,$E$1=2),0,1),0)</f>
        <v>1</v>
      </c>
      <c r="AQ119" s="67">
        <f ca="1">IF(LOWER(Capacity!$V24)="x",IF(AND(SUMIF(Capacity_Resource,$D119,'Critical resources (hide)'!BD$6:BD$105)+SUMIF(Capacity_Resource,$E119,'Critical resources (hide)'!BD$6:BD$105)+SUMIF(Capacity_Resource,$F119,'Critical resources (hide)'!BD$6:BD$105)&gt;0,$E$1=2),0,1),0)</f>
        <v>1</v>
      </c>
      <c r="AR119" s="67">
        <f ca="1">IF(LOWER(Capacity!$V24)="x",IF(AND(SUMIF(Capacity_Resource,$D119,'Critical resources (hide)'!BE$6:BE$105)+SUMIF(Capacity_Resource,$E119,'Critical resources (hide)'!BE$6:BE$105)+SUMIF(Capacity_Resource,$F119,'Critical resources (hide)'!BE$6:BE$105)&gt;0,$E$1=2),0,1),0)</f>
        <v>1</v>
      </c>
      <c r="AS119" s="67">
        <f ca="1">IF(LOWER(Capacity!$V24)="x",IF(AND(SUMIF(Capacity_Resource,$D119,'Critical resources (hide)'!BF$6:BF$105)+SUMIF(Capacity_Resource,$E119,'Critical resources (hide)'!BF$6:BF$105)+SUMIF(Capacity_Resource,$F119,'Critical resources (hide)'!BF$6:BF$105)&gt;0,$E$1=2),0,1),0)</f>
        <v>1</v>
      </c>
      <c r="AT119" s="67">
        <f ca="1">IF(LOWER(Capacity!$V24)="x",IF(AND(SUMIF(Capacity_Resource,$D119,'Critical resources (hide)'!BG$6:BG$105)+SUMIF(Capacity_Resource,$E119,'Critical resources (hide)'!BG$6:BG$105)+SUMIF(Capacity_Resource,$F119,'Critical resources (hide)'!BG$6:BG$105)&gt;0,$E$1=2),0,1),0)</f>
        <v>1</v>
      </c>
      <c r="AU119" s="67">
        <f ca="1">IF(LOWER(Capacity!$V24)="x",IF(AND(SUMIF(Capacity_Resource,$D119,'Critical resources (hide)'!BH$6:BH$105)+SUMIF(Capacity_Resource,$E119,'Critical resources (hide)'!BH$6:BH$105)+SUMIF(Capacity_Resource,$F119,'Critical resources (hide)'!BH$6:BH$105)&gt;0,$E$1=2),0,1),0)</f>
        <v>1</v>
      </c>
      <c r="AV119" s="67">
        <f ca="1">IF(LOWER(Capacity!$V24)="x",IF(AND(SUMIF(Capacity_Resource,$D119,'Critical resources (hide)'!BI$6:BI$105)+SUMIF(Capacity_Resource,$E119,'Critical resources (hide)'!BI$6:BI$105)+SUMIF(Capacity_Resource,$F119,'Critical resources (hide)'!BI$6:BI$105)&gt;0,$E$1=2),0,1),0)</f>
        <v>1</v>
      </c>
      <c r="AW119" s="67">
        <f ca="1">IF(LOWER(Capacity!$V24)="x",IF(AND(SUMIF(Capacity_Resource,$D119,'Critical resources (hide)'!BJ$6:BJ$105)+SUMIF(Capacity_Resource,$E119,'Critical resources (hide)'!BJ$6:BJ$105)+SUMIF(Capacity_Resource,$F119,'Critical resources (hide)'!BJ$6:BJ$105)&gt;0,$E$1=2),0,1),0)</f>
        <v>1</v>
      </c>
      <c r="AX119" s="67">
        <f ca="1">IF(LOWER(Capacity!$V24)="x",IF(AND(SUMIF(Capacity_Resource,$D119,'Critical resources (hide)'!BK$6:BK$105)+SUMIF(Capacity_Resource,$E119,'Critical resources (hide)'!BK$6:BK$105)+SUMIF(Capacity_Resource,$F119,'Critical resources (hide)'!BK$6:BK$105)&gt;0,$E$1=2),0,1),0)</f>
        <v>1</v>
      </c>
      <c r="AY119" s="67">
        <f ca="1">IF(LOWER(Capacity!$V24)="x",IF(AND(SUMIF(Capacity_Resource,$D119,'Critical resources (hide)'!BL$6:BL$105)+SUMIF(Capacity_Resource,$E119,'Critical resources (hide)'!BL$6:BL$105)+SUMIF(Capacity_Resource,$F119,'Critical resources (hide)'!BL$6:BL$105)&gt;0,$E$1=2),0,1),0)</f>
        <v>1</v>
      </c>
      <c r="AZ119" s="67">
        <f ca="1">IF(LOWER(Capacity!$V24)="x",IF(AND(SUMIF(Capacity_Resource,$D119,'Critical resources (hide)'!BM$6:BM$105)+SUMIF(Capacity_Resource,$E119,'Critical resources (hide)'!BM$6:BM$105)+SUMIF(Capacity_Resource,$F119,'Critical resources (hide)'!BM$6:BM$105)&gt;0,$E$1=2),0,1),0)</f>
        <v>1</v>
      </c>
      <c r="BA119" s="67">
        <f ca="1">IF(LOWER(Capacity!$V24)="x",IF(AND(SUMIF(Capacity_Resource,$D119,'Critical resources (hide)'!BN$6:BN$105)+SUMIF(Capacity_Resource,$E119,'Critical resources (hide)'!BN$6:BN$105)+SUMIF(Capacity_Resource,$F119,'Critical resources (hide)'!BN$6:BN$105)&gt;0,$E$1=2),0,1),0)</f>
        <v>1</v>
      </c>
      <c r="BB119" s="67">
        <f ca="1">IF(LOWER(Capacity!$V24)="x",IF(AND(SUMIF(Capacity_Resource,$D119,'Critical resources (hide)'!BO$6:BO$105)+SUMIF(Capacity_Resource,$E119,'Critical resources (hide)'!BO$6:BO$105)+SUMIF(Capacity_Resource,$F119,'Critical resources (hide)'!BO$6:BO$105)&gt;0,$E$1=2),0,1),0)</f>
        <v>1</v>
      </c>
      <c r="BC119" s="67">
        <f ca="1">IF(LOWER(Capacity!$V24)="x",IF(AND(SUMIF(Capacity_Resource,$D119,'Critical resources (hide)'!BP$6:BP$105)+SUMIF(Capacity_Resource,$E119,'Critical resources (hide)'!BP$6:BP$105)+SUMIF(Capacity_Resource,$F119,'Critical resources (hide)'!BP$6:BP$105)&gt;0,$E$1=2),0,1),0)</f>
        <v>1</v>
      </c>
      <c r="BD119" s="67">
        <f ca="1">IF(LOWER(Capacity!$V24)="x",IF(AND(SUMIF(Capacity_Resource,$D119,'Critical resources (hide)'!BQ$6:BQ$105)+SUMIF(Capacity_Resource,$E119,'Critical resources (hide)'!BQ$6:BQ$105)+SUMIF(Capacity_Resource,$F119,'Critical resources (hide)'!BQ$6:BQ$105)&gt;0,$E$1=2),0,1),0)</f>
        <v>1</v>
      </c>
      <c r="BE119" s="67">
        <f ca="1">IF(LOWER(Capacity!$V24)="x",IF(AND(SUMIF(Capacity_Resource,$D119,'Critical resources (hide)'!BR$6:BR$105)+SUMIF(Capacity_Resource,$E119,'Critical resources (hide)'!BR$6:BR$105)+SUMIF(Capacity_Resource,$F119,'Critical resources (hide)'!BR$6:BR$105)&gt;0,$E$1=2),0,1),0)</f>
        <v>1</v>
      </c>
      <c r="BF119" s="67">
        <f ca="1">IF(LOWER(Capacity!$V24)="x",IF(AND(SUMIF(Capacity_Resource,$D119,'Critical resources (hide)'!BS$6:BS$105)+SUMIF(Capacity_Resource,$E119,'Critical resources (hide)'!BS$6:BS$105)+SUMIF(Capacity_Resource,$F119,'Critical resources (hide)'!BS$6:BS$105)&gt;0,$E$1=2),0,1),0)</f>
        <v>1</v>
      </c>
      <c r="BG119" s="67">
        <f ca="1">IF(LOWER(Capacity!$V24)="x",IF(AND(SUMIF(Capacity_Resource,$D119,'Critical resources (hide)'!BT$6:BT$105)+SUMIF(Capacity_Resource,$E119,'Critical resources (hide)'!BT$6:BT$105)+SUMIF(Capacity_Resource,$F119,'Critical resources (hide)'!BT$6:BT$105)&gt;0,$E$1=2),0,1),0)</f>
        <v>1</v>
      </c>
      <c r="BH119" s="67">
        <f>IF(ROW(A8)&lt;=Capacity!$M$16,IF('Capacity summary'!$C$14="No",SUM(H119:BG119),'Capacity summary'!$E31),0)</f>
        <v>0</v>
      </c>
      <c r="BI119" s="67" t="str">
        <f>IF(BH119&gt;0,IF(BH119&lt;Capacity!Q24,Capacity!R24,Capacity!T24/'Capacity calculation (hide)'!BH119),"")</f>
        <v/>
      </c>
      <c r="BJ119" s="5"/>
      <c r="BK119" s="5">
        <f>IF($BI119&lt;&gt;"",IF('Capacity summary'!$C$14="Yes",IF(COUNTBLANK('Capacity summary'!$H31:$BG31)&lt;52,IF('Capacity summary'!H31&lt;&gt;"",IF(LOWER('Capacity summary'!H31)="x",$BI119*H119,VALUE('Capacity summary'!H31)),0),H119*$BI119),H119*$BI119),0)</f>
        <v>0</v>
      </c>
      <c r="BL119" s="5">
        <f>IF($BI119&lt;&gt;"",IF('Capacity summary'!$C$14="Yes",IF(COUNTBLANK('Capacity summary'!$H31:$BG31)&lt;52,IF('Capacity summary'!I31&lt;&gt;"",IF(LOWER('Capacity summary'!I31)="x",$BI119*I119,VALUE('Capacity summary'!I31)),0),I119*$BI119),I119*$BI119),0)</f>
        <v>0</v>
      </c>
      <c r="BM119" s="5">
        <f>IF($BI119&lt;&gt;"",IF('Capacity summary'!$C$14="Yes",IF(COUNTBLANK('Capacity summary'!$H31:$BG31)&lt;52,IF('Capacity summary'!J31&lt;&gt;"",IF(LOWER('Capacity summary'!J31)="x",$BI119*J119,VALUE('Capacity summary'!J31)),0),J119*$BI119),J119*$BI119),0)</f>
        <v>0</v>
      </c>
      <c r="BN119" s="5">
        <f>IF($BI119&lt;&gt;"",IF('Capacity summary'!$C$14="Yes",IF(COUNTBLANK('Capacity summary'!$H31:$BG31)&lt;52,IF('Capacity summary'!K31&lt;&gt;"",IF(LOWER('Capacity summary'!K31)="x",$BI119*K119,VALUE('Capacity summary'!K31)),0),K119*$BI119),K119*$BI119),0)</f>
        <v>0</v>
      </c>
      <c r="BO119" s="5">
        <f>IF($BI119&lt;&gt;"",IF('Capacity summary'!$C$14="Yes",IF(COUNTBLANK('Capacity summary'!$H31:$BG31)&lt;52,IF('Capacity summary'!L31&lt;&gt;"",IF(LOWER('Capacity summary'!L31)="x",$BI119*L119,VALUE('Capacity summary'!L31)),0),L119*$BI119),L119*$BI119),0)</f>
        <v>0</v>
      </c>
      <c r="BP119" s="5">
        <f>IF($BI119&lt;&gt;"",IF('Capacity summary'!$C$14="Yes",IF(COUNTBLANK('Capacity summary'!$H31:$BG31)&lt;52,IF('Capacity summary'!M31&lt;&gt;"",IF(LOWER('Capacity summary'!M31)="x",$BI119*M119,VALUE('Capacity summary'!M31)),0),M119*$BI119),M119*$BI119),0)</f>
        <v>0</v>
      </c>
      <c r="BQ119" s="5">
        <f>IF($BI119&lt;&gt;"",IF('Capacity summary'!$C$14="Yes",IF(COUNTBLANK('Capacity summary'!$H31:$BG31)&lt;52,IF('Capacity summary'!N31&lt;&gt;"",IF(LOWER('Capacity summary'!N31)="x",$BI119*N119,VALUE('Capacity summary'!N31)),0),N119*$BI119),N119*$BI119),0)</f>
        <v>0</v>
      </c>
      <c r="BR119" s="5">
        <f>IF($BI119&lt;&gt;"",IF('Capacity summary'!$C$14="Yes",IF(COUNTBLANK('Capacity summary'!$H31:$BG31)&lt;52,IF('Capacity summary'!O31&lt;&gt;"",IF(LOWER('Capacity summary'!O31)="x",$BI119*O119,VALUE('Capacity summary'!O31)),0),O119*$BI119),O119*$BI119),0)</f>
        <v>0</v>
      </c>
      <c r="BS119" s="5">
        <f>IF($BI119&lt;&gt;"",IF('Capacity summary'!$C$14="Yes",IF(COUNTBLANK('Capacity summary'!$H31:$BG31)&lt;52,IF('Capacity summary'!P31&lt;&gt;"",IF(LOWER('Capacity summary'!P31)="x",$BI119*P119,VALUE('Capacity summary'!P31)),0),P119*$BI119),P119*$BI119),0)</f>
        <v>0</v>
      </c>
      <c r="BT119" s="5">
        <f>IF($BI119&lt;&gt;"",IF('Capacity summary'!$C$14="Yes",IF(COUNTBLANK('Capacity summary'!$H31:$BG31)&lt;52,IF('Capacity summary'!Q31&lt;&gt;"",IF(LOWER('Capacity summary'!Q31)="x",$BI119*Q119,VALUE('Capacity summary'!Q31)),0),Q119*$BI119),Q119*$BI119),0)</f>
        <v>0</v>
      </c>
      <c r="BU119" s="5">
        <f>IF($BI119&lt;&gt;"",IF('Capacity summary'!$C$14="Yes",IF(COUNTBLANK('Capacity summary'!$H31:$BG31)&lt;52,IF('Capacity summary'!R31&lt;&gt;"",IF(LOWER('Capacity summary'!R31)="x",$BI119*R119,VALUE('Capacity summary'!R31)),0),R119*$BI119),R119*$BI119),0)</f>
        <v>0</v>
      </c>
      <c r="BV119" s="5">
        <f>IF($BI119&lt;&gt;"",IF('Capacity summary'!$C$14="Yes",IF(COUNTBLANK('Capacity summary'!$H31:$BG31)&lt;52,IF('Capacity summary'!S31&lt;&gt;"",IF(LOWER('Capacity summary'!S31)="x",$BI119*S119,VALUE('Capacity summary'!S31)),0),S119*$BI119),S119*$BI119),0)</f>
        <v>0</v>
      </c>
      <c r="BW119" s="5">
        <f>IF($BI119&lt;&gt;"",IF('Capacity summary'!$C$14="Yes",IF(COUNTBLANK('Capacity summary'!$H31:$BG31)&lt;52,IF('Capacity summary'!T31&lt;&gt;"",IF(LOWER('Capacity summary'!T31)="x",$BI119*T119,VALUE('Capacity summary'!T31)),0),T119*$BI119),T119*$BI119),0)</f>
        <v>0</v>
      </c>
      <c r="BX119" s="5">
        <f>IF($BI119&lt;&gt;"",IF('Capacity summary'!$C$14="Yes",IF(COUNTBLANK('Capacity summary'!$H31:$BG31)&lt;52,IF('Capacity summary'!U31&lt;&gt;"",IF(LOWER('Capacity summary'!U31)="x",$BI119*U119,VALUE('Capacity summary'!U31)),0),U119*$BI119),U119*$BI119),0)</f>
        <v>0</v>
      </c>
      <c r="BY119" s="5">
        <f>IF($BI119&lt;&gt;"",IF('Capacity summary'!$C$14="Yes",IF(COUNTBLANK('Capacity summary'!$H31:$BG31)&lt;52,IF('Capacity summary'!V31&lt;&gt;"",IF(LOWER('Capacity summary'!V31)="x",$BI119*V119,VALUE('Capacity summary'!V31)),0),V119*$BI119),V119*$BI119),0)</f>
        <v>0</v>
      </c>
      <c r="BZ119" s="5">
        <f>IF($BI119&lt;&gt;"",IF('Capacity summary'!$C$14="Yes",IF(COUNTBLANK('Capacity summary'!$H31:$BG31)&lt;52,IF('Capacity summary'!W31&lt;&gt;"",IF(LOWER('Capacity summary'!W31)="x",$BI119*W119,VALUE('Capacity summary'!W31)),0),W119*$BI119),W119*$BI119),0)</f>
        <v>0</v>
      </c>
      <c r="CA119" s="5">
        <f>IF($BI119&lt;&gt;"",IF('Capacity summary'!$C$14="Yes",IF(COUNTBLANK('Capacity summary'!$H31:$BG31)&lt;52,IF('Capacity summary'!X31&lt;&gt;"",IF(LOWER('Capacity summary'!X31)="x",$BI119*X119,VALUE('Capacity summary'!X31)),0),X119*$BI119),X119*$BI119),0)</f>
        <v>0</v>
      </c>
      <c r="CB119" s="5">
        <f>IF($BI119&lt;&gt;"",IF('Capacity summary'!$C$14="Yes",IF(COUNTBLANK('Capacity summary'!$H31:$BG31)&lt;52,IF('Capacity summary'!Y31&lt;&gt;"",IF(LOWER('Capacity summary'!Y31)="x",$BI119*Y119,VALUE('Capacity summary'!Y31)),0),Y119*$BI119),Y119*$BI119),0)</f>
        <v>0</v>
      </c>
      <c r="CC119" s="5">
        <f>IF($BI119&lt;&gt;"",IF('Capacity summary'!$C$14="Yes",IF(COUNTBLANK('Capacity summary'!$H31:$BG31)&lt;52,IF('Capacity summary'!Z31&lt;&gt;"",IF(LOWER('Capacity summary'!Z31)="x",$BI119*Z119,VALUE('Capacity summary'!Z31)),0),Z119*$BI119),Z119*$BI119),0)</f>
        <v>0</v>
      </c>
      <c r="CD119" s="5">
        <f>IF($BI119&lt;&gt;"",IF('Capacity summary'!$C$14="Yes",IF(COUNTBLANK('Capacity summary'!$H31:$BG31)&lt;52,IF('Capacity summary'!AA31&lt;&gt;"",IF(LOWER('Capacity summary'!AA31)="x",$BI119*AA119,VALUE('Capacity summary'!AA31)),0),AA119*$BI119),AA119*$BI119),0)</f>
        <v>0</v>
      </c>
      <c r="CE119" s="5">
        <f>IF($BI119&lt;&gt;"",IF('Capacity summary'!$C$14="Yes",IF(COUNTBLANK('Capacity summary'!$H31:$BG31)&lt;52,IF('Capacity summary'!AB31&lt;&gt;"",IF(LOWER('Capacity summary'!AB31)="x",$BI119*AB119,VALUE('Capacity summary'!AB31)),0),AB119*$BI119),AB119*$BI119),0)</f>
        <v>0</v>
      </c>
      <c r="CF119" s="5">
        <f>IF($BI119&lt;&gt;"",IF('Capacity summary'!$C$14="Yes",IF(COUNTBLANK('Capacity summary'!$H31:$BG31)&lt;52,IF('Capacity summary'!AC31&lt;&gt;"",IF(LOWER('Capacity summary'!AC31)="x",$BI119*AC119,VALUE('Capacity summary'!AC31)),0),AC119*$BI119),AC119*$BI119),0)</f>
        <v>0</v>
      </c>
      <c r="CG119" s="5">
        <f>IF($BI119&lt;&gt;"",IF('Capacity summary'!$C$14="Yes",IF(COUNTBLANK('Capacity summary'!$H31:$BG31)&lt;52,IF('Capacity summary'!AD31&lt;&gt;"",IF(LOWER('Capacity summary'!AD31)="x",$BI119*AD119,VALUE('Capacity summary'!AD31)),0),AD119*$BI119),AD119*$BI119),0)</f>
        <v>0</v>
      </c>
      <c r="CH119" s="5">
        <f>IF($BI119&lt;&gt;"",IF('Capacity summary'!$C$14="Yes",IF(COUNTBLANK('Capacity summary'!$H31:$BG31)&lt;52,IF('Capacity summary'!AE31&lt;&gt;"",IF(LOWER('Capacity summary'!AE31)="x",$BI119*AE119,VALUE('Capacity summary'!AE31)),0),AE119*$BI119),AE119*$BI119),0)</f>
        <v>0</v>
      </c>
      <c r="CI119" s="5">
        <f>IF($BI119&lt;&gt;"",IF('Capacity summary'!$C$14="Yes",IF(COUNTBLANK('Capacity summary'!$H31:$BG31)&lt;52,IF('Capacity summary'!AF31&lt;&gt;"",IF(LOWER('Capacity summary'!AF31)="x",$BI119*AF119,VALUE('Capacity summary'!AF31)),0),AF119*$BI119),AF119*$BI119),0)</f>
        <v>0</v>
      </c>
      <c r="CJ119" s="5">
        <f>IF($BI119&lt;&gt;"",IF('Capacity summary'!$C$14="Yes",IF(COUNTBLANK('Capacity summary'!$H31:$BG31)&lt;52,IF('Capacity summary'!AG31&lt;&gt;"",IF(LOWER('Capacity summary'!AG31)="x",$BI119*AG119,VALUE('Capacity summary'!AG31)),0),AG119*$BI119),AG119*$BI119),0)</f>
        <v>0</v>
      </c>
      <c r="CK119" s="5">
        <f>IF($BI119&lt;&gt;"",IF('Capacity summary'!$C$14="Yes",IF(COUNTBLANK('Capacity summary'!$H31:$BG31)&lt;52,IF('Capacity summary'!AH31&lt;&gt;"",IF(LOWER('Capacity summary'!AH31)="x",$BI119*AH119,VALUE('Capacity summary'!AH31)),0),AH119*$BI119),AH119*$BI119),0)</f>
        <v>0</v>
      </c>
      <c r="CL119" s="5">
        <f>IF($BI119&lt;&gt;"",IF('Capacity summary'!$C$14="Yes",IF(COUNTBLANK('Capacity summary'!$H31:$BG31)&lt;52,IF('Capacity summary'!AI31&lt;&gt;"",IF(LOWER('Capacity summary'!AI31)="x",$BI119*AI119,VALUE('Capacity summary'!AI31)),0),AI119*$BI119),AI119*$BI119),0)</f>
        <v>0</v>
      </c>
      <c r="CM119" s="5">
        <f>IF($BI119&lt;&gt;"",IF('Capacity summary'!$C$14="Yes",IF(COUNTBLANK('Capacity summary'!$H31:$BG31)&lt;52,IF('Capacity summary'!AJ31&lt;&gt;"",IF(LOWER('Capacity summary'!AJ31)="x",$BI119*AJ119,VALUE('Capacity summary'!AJ31)),0),AJ119*$BI119),AJ119*$BI119),0)</f>
        <v>0</v>
      </c>
      <c r="CN119" s="5">
        <f>IF($BI119&lt;&gt;"",IF('Capacity summary'!$C$14="Yes",IF(COUNTBLANK('Capacity summary'!$H31:$BG31)&lt;52,IF('Capacity summary'!AK31&lt;&gt;"",IF(LOWER('Capacity summary'!AK31)="x",$BI119*AK119,VALUE('Capacity summary'!AK31)),0),AK119*$BI119),AK119*$BI119),0)</f>
        <v>0</v>
      </c>
      <c r="CO119" s="5">
        <f>IF($BI119&lt;&gt;"",IF('Capacity summary'!$C$14="Yes",IF(COUNTBLANK('Capacity summary'!$H31:$BG31)&lt;52,IF('Capacity summary'!AL31&lt;&gt;"",IF(LOWER('Capacity summary'!AL31)="x",$BI119*AL119,VALUE('Capacity summary'!AL31)),0),AL119*$BI119),AL119*$BI119),0)</f>
        <v>0</v>
      </c>
      <c r="CP119" s="5">
        <f>IF($BI119&lt;&gt;"",IF('Capacity summary'!$C$14="Yes",IF(COUNTBLANK('Capacity summary'!$H31:$BG31)&lt;52,IF('Capacity summary'!AM31&lt;&gt;"",IF(LOWER('Capacity summary'!AM31)="x",$BI119*AM119,VALUE('Capacity summary'!AM31)),0),AM119*$BI119),AM119*$BI119),0)</f>
        <v>0</v>
      </c>
      <c r="CQ119" s="5">
        <f>IF($BI119&lt;&gt;"",IF('Capacity summary'!$C$14="Yes",IF(COUNTBLANK('Capacity summary'!$H31:$BG31)&lt;52,IF('Capacity summary'!AN31&lt;&gt;"",IF(LOWER('Capacity summary'!AN31)="x",$BI119*AN119,VALUE('Capacity summary'!AN31)),0),AN119*$BI119),AN119*$BI119),0)</f>
        <v>0</v>
      </c>
      <c r="CR119" s="5">
        <f>IF($BI119&lt;&gt;"",IF('Capacity summary'!$C$14="Yes",IF(COUNTBLANK('Capacity summary'!$H31:$BG31)&lt;52,IF('Capacity summary'!AO31&lt;&gt;"",IF(LOWER('Capacity summary'!AO31)="x",$BI119*AO119,VALUE('Capacity summary'!AO31)),0),AO119*$BI119),AO119*$BI119),0)</f>
        <v>0</v>
      </c>
      <c r="CS119" s="5">
        <f>IF($BI119&lt;&gt;"",IF('Capacity summary'!$C$14="Yes",IF(COUNTBLANK('Capacity summary'!$H31:$BG31)&lt;52,IF('Capacity summary'!AP31&lt;&gt;"",IF(LOWER('Capacity summary'!AP31)="x",$BI119*AP119,VALUE('Capacity summary'!AP31)),0),AP119*$BI119),AP119*$BI119),0)</f>
        <v>0</v>
      </c>
      <c r="CT119" s="5">
        <f>IF($BI119&lt;&gt;"",IF('Capacity summary'!$C$14="Yes",IF(COUNTBLANK('Capacity summary'!$H31:$BG31)&lt;52,IF('Capacity summary'!AQ31&lt;&gt;"",IF(LOWER('Capacity summary'!AQ31)="x",$BI119*AQ119,VALUE('Capacity summary'!AQ31)),0),AQ119*$BI119),AQ119*$BI119),0)</f>
        <v>0</v>
      </c>
      <c r="CU119" s="5">
        <f>IF($BI119&lt;&gt;"",IF('Capacity summary'!$C$14="Yes",IF(COUNTBLANK('Capacity summary'!$H31:$BG31)&lt;52,IF('Capacity summary'!AR31&lt;&gt;"",IF(LOWER('Capacity summary'!AR31)="x",$BI119*AR119,VALUE('Capacity summary'!AR31)),0),AR119*$BI119),AR119*$BI119),0)</f>
        <v>0</v>
      </c>
      <c r="CV119" s="5">
        <f>IF($BI119&lt;&gt;"",IF('Capacity summary'!$C$14="Yes",IF(COUNTBLANK('Capacity summary'!$H31:$BG31)&lt;52,IF('Capacity summary'!AS31&lt;&gt;"",IF(LOWER('Capacity summary'!AS31)="x",$BI119*AS119,VALUE('Capacity summary'!AS31)),0),AS119*$BI119),AS119*$BI119),0)</f>
        <v>0</v>
      </c>
      <c r="CW119" s="5">
        <f>IF($BI119&lt;&gt;"",IF('Capacity summary'!$C$14="Yes",IF(COUNTBLANK('Capacity summary'!$H31:$BG31)&lt;52,IF('Capacity summary'!AT31&lt;&gt;"",IF(LOWER('Capacity summary'!AT31)="x",$BI119*AT119,VALUE('Capacity summary'!AT31)),0),AT119*$BI119),AT119*$BI119),0)</f>
        <v>0</v>
      </c>
      <c r="CX119" s="5">
        <f>IF($BI119&lt;&gt;"",IF('Capacity summary'!$C$14="Yes",IF(COUNTBLANK('Capacity summary'!$H31:$BG31)&lt;52,IF('Capacity summary'!AU31&lt;&gt;"",IF(LOWER('Capacity summary'!AU31)="x",$BI119*AU119,VALUE('Capacity summary'!AU31)),0),AU119*$BI119),AU119*$BI119),0)</f>
        <v>0</v>
      </c>
      <c r="CY119" s="5">
        <f>IF($BI119&lt;&gt;"",IF('Capacity summary'!$C$14="Yes",IF(COUNTBLANK('Capacity summary'!$H31:$BG31)&lt;52,IF('Capacity summary'!AV31&lt;&gt;"",IF(LOWER('Capacity summary'!AV31)="x",$BI119*AV119,VALUE('Capacity summary'!AV31)),0),AV119*$BI119),AV119*$BI119),0)</f>
        <v>0</v>
      </c>
      <c r="CZ119" s="5">
        <f>IF($BI119&lt;&gt;"",IF('Capacity summary'!$C$14="Yes",IF(COUNTBLANK('Capacity summary'!$H31:$BG31)&lt;52,IF('Capacity summary'!AW31&lt;&gt;"",IF(LOWER('Capacity summary'!AW31)="x",$BI119*AW119,VALUE('Capacity summary'!AW31)),0),AW119*$BI119),AW119*$BI119),0)</f>
        <v>0</v>
      </c>
      <c r="DA119" s="5">
        <f>IF($BI119&lt;&gt;"",IF('Capacity summary'!$C$14="Yes",IF(COUNTBLANK('Capacity summary'!$H31:$BG31)&lt;52,IF('Capacity summary'!AX31&lt;&gt;"",IF(LOWER('Capacity summary'!AX31)="x",$BI119*AX119,VALUE('Capacity summary'!AX31)),0),AX119*$BI119),AX119*$BI119),0)</f>
        <v>0</v>
      </c>
      <c r="DB119" s="5">
        <f>IF($BI119&lt;&gt;"",IF('Capacity summary'!$C$14="Yes",IF(COUNTBLANK('Capacity summary'!$H31:$BG31)&lt;52,IF('Capacity summary'!AY31&lt;&gt;"",IF(LOWER('Capacity summary'!AY31)="x",$BI119*AY119,VALUE('Capacity summary'!AY31)),0),AY119*$BI119),AY119*$BI119),0)</f>
        <v>0</v>
      </c>
      <c r="DC119" s="5">
        <f>IF($BI119&lt;&gt;"",IF('Capacity summary'!$C$14="Yes",IF(COUNTBLANK('Capacity summary'!$H31:$BG31)&lt;52,IF('Capacity summary'!AZ31&lt;&gt;"",IF(LOWER('Capacity summary'!AZ31)="x",$BI119*AZ119,VALUE('Capacity summary'!AZ31)),0),AZ119*$BI119),AZ119*$BI119),0)</f>
        <v>0</v>
      </c>
      <c r="DD119" s="5">
        <f>IF($BI119&lt;&gt;"",IF('Capacity summary'!$C$14="Yes",IF(COUNTBLANK('Capacity summary'!$H31:$BG31)&lt;52,IF('Capacity summary'!BA31&lt;&gt;"",IF(LOWER('Capacity summary'!BA31)="x",$BI119*BA119,VALUE('Capacity summary'!BA31)),0),BA119*$BI119),BA119*$BI119),0)</f>
        <v>0</v>
      </c>
      <c r="DE119" s="5">
        <f>IF($BI119&lt;&gt;"",IF('Capacity summary'!$C$14="Yes",IF(COUNTBLANK('Capacity summary'!$H31:$BG31)&lt;52,IF('Capacity summary'!BB31&lt;&gt;"",IF(LOWER('Capacity summary'!BB31)="x",$BI119*BB119,VALUE('Capacity summary'!BB31)),0),BB119*$BI119),BB119*$BI119),0)</f>
        <v>0</v>
      </c>
      <c r="DF119" s="5">
        <f>IF($BI119&lt;&gt;"",IF('Capacity summary'!$C$14="Yes",IF(COUNTBLANK('Capacity summary'!$H31:$BG31)&lt;52,IF('Capacity summary'!BC31&lt;&gt;"",IF(LOWER('Capacity summary'!BC31)="x",$BI119*BC119,VALUE('Capacity summary'!BC31)),0),BC119*$BI119),BC119*$BI119),0)</f>
        <v>0</v>
      </c>
      <c r="DG119" s="5">
        <f>IF($BI119&lt;&gt;"",IF('Capacity summary'!$C$14="Yes",IF(COUNTBLANK('Capacity summary'!$H31:$BG31)&lt;52,IF('Capacity summary'!BD31&lt;&gt;"",IF(LOWER('Capacity summary'!BD31)="x",$BI119*BD119,VALUE('Capacity summary'!BD31)),0),BD119*$BI119),BD119*$BI119),0)</f>
        <v>0</v>
      </c>
      <c r="DH119" s="5">
        <f>IF($BI119&lt;&gt;"",IF('Capacity summary'!$C$14="Yes",IF(COUNTBLANK('Capacity summary'!$H31:$BG31)&lt;52,IF('Capacity summary'!BE31&lt;&gt;"",IF(LOWER('Capacity summary'!BE31)="x",$BI119*BE119,VALUE('Capacity summary'!BE31)),0),BE119*$BI119),BE119*$BI119),0)</f>
        <v>0</v>
      </c>
      <c r="DI119" s="5">
        <f>IF($BI119&lt;&gt;"",IF('Capacity summary'!$C$14="Yes",IF(COUNTBLANK('Capacity summary'!$H31:$BG31)&lt;52,IF('Capacity summary'!BF31&lt;&gt;"",IF(LOWER('Capacity summary'!BF31)="x",$BI119*BF119,VALUE('Capacity summary'!BF31)),0),BF119*$BI119),BF119*$BI119),0)</f>
        <v>0</v>
      </c>
      <c r="DJ119" s="5">
        <f>IF($BI119&lt;&gt;"",IF('Capacity summary'!$C$14="Yes",IF(COUNTBLANK('Capacity summary'!$H31:$BG31)&lt;52,IF('Capacity summary'!BG31&lt;&gt;"",IF(LOWER('Capacity summary'!BG31)="x",$BI119*BG119,VALUE('Capacity summary'!BG31)),0),BG119*$BI119),BG119*$BI119),0)</f>
        <v>0</v>
      </c>
      <c r="DK119" s="391">
        <f t="shared" si="8"/>
        <v>0</v>
      </c>
      <c r="DL119" s="5">
        <f t="shared" si="9"/>
        <v>0</v>
      </c>
    </row>
    <row r="120" spans="3:116" x14ac:dyDescent="0.2">
      <c r="C120" s="67" t="str">
        <f>ROW(A9)&amp;". "&amp;Capacity!N25</f>
        <v xml:space="preserve">9. </v>
      </c>
      <c r="D120" s="67">
        <f>'Capacity setup'!C126</f>
        <v>0</v>
      </c>
      <c r="E120" s="67">
        <f>'Capacity setup'!D126</f>
        <v>0</v>
      </c>
      <c r="F120" s="67">
        <f>'Capacity setup'!E126</f>
        <v>0</v>
      </c>
      <c r="H120" s="67">
        <f ca="1">IF(LOWER(Capacity!$V25)="x",IF(AND(SUMIF(Capacity_Resource,$D120,'Critical resources (hide)'!U$6:U$105)+SUMIF(Capacity_Resource,$E120,'Critical resources (hide)'!U$6:U$105)+SUMIF(Capacity_Resource,$F120,'Critical resources (hide)'!U$6:U$105)&gt;0,$E$1=2),0,1),0)</f>
        <v>1</v>
      </c>
      <c r="I120" s="67">
        <f ca="1">IF(LOWER(Capacity!$V25)="x",IF(AND(SUMIF(Capacity_Resource,$D120,'Critical resources (hide)'!V$6:V$105)+SUMIF(Capacity_Resource,$E120,'Critical resources (hide)'!V$6:V$105)+SUMIF(Capacity_Resource,$F120,'Critical resources (hide)'!V$6:V$105)&gt;0,$E$1=2),0,1),0)</f>
        <v>1</v>
      </c>
      <c r="J120" s="67">
        <f ca="1">IF(LOWER(Capacity!$V25)="x",IF(AND(SUMIF(Capacity_Resource,$D120,'Critical resources (hide)'!W$6:W$105)+SUMIF(Capacity_Resource,$E120,'Critical resources (hide)'!W$6:W$105)+SUMIF(Capacity_Resource,$F120,'Critical resources (hide)'!W$6:W$105)&gt;0,$E$1=2),0,1),0)</f>
        <v>1</v>
      </c>
      <c r="K120" s="67">
        <f ca="1">IF(LOWER(Capacity!$V25)="x",IF(AND(SUMIF(Capacity_Resource,$D120,'Critical resources (hide)'!X$6:X$105)+SUMIF(Capacity_Resource,$E120,'Critical resources (hide)'!X$6:X$105)+SUMIF(Capacity_Resource,$F120,'Critical resources (hide)'!X$6:X$105)&gt;0,$E$1=2),0,1),0)</f>
        <v>1</v>
      </c>
      <c r="L120" s="67">
        <f ca="1">IF(LOWER(Capacity!$V25)="x",IF(AND(SUMIF(Capacity_Resource,$D120,'Critical resources (hide)'!Y$6:Y$105)+SUMIF(Capacity_Resource,$E120,'Critical resources (hide)'!Y$6:Y$105)+SUMIF(Capacity_Resource,$F120,'Critical resources (hide)'!Y$6:Y$105)&gt;0,$E$1=2),0,1),0)</f>
        <v>1</v>
      </c>
      <c r="M120" s="67">
        <f ca="1">IF(LOWER(Capacity!$V25)="x",IF(AND(SUMIF(Capacity_Resource,$D120,'Critical resources (hide)'!Z$6:Z$105)+SUMIF(Capacity_Resource,$E120,'Critical resources (hide)'!Z$6:Z$105)+SUMIF(Capacity_Resource,$F120,'Critical resources (hide)'!Z$6:Z$105)&gt;0,$E$1=2),0,1),0)</f>
        <v>1</v>
      </c>
      <c r="N120" s="67">
        <f ca="1">IF(LOWER(Capacity!$V25)="x",IF(AND(SUMIF(Capacity_Resource,$D120,'Critical resources (hide)'!AA$6:AA$105)+SUMIF(Capacity_Resource,$E120,'Critical resources (hide)'!AA$6:AA$105)+SUMIF(Capacity_Resource,$F120,'Critical resources (hide)'!AA$6:AA$105)&gt;0,$E$1=2),0,1),0)</f>
        <v>1</v>
      </c>
      <c r="O120" s="67">
        <f ca="1">IF(LOWER(Capacity!$V25)="x",IF(AND(SUMIF(Capacity_Resource,$D120,'Critical resources (hide)'!AB$6:AB$105)+SUMIF(Capacity_Resource,$E120,'Critical resources (hide)'!AB$6:AB$105)+SUMIF(Capacity_Resource,$F120,'Critical resources (hide)'!AB$6:AB$105)&gt;0,$E$1=2),0,1),0)</f>
        <v>1</v>
      </c>
      <c r="P120" s="67">
        <f ca="1">IF(LOWER(Capacity!$V25)="x",IF(AND(SUMIF(Capacity_Resource,$D120,'Critical resources (hide)'!AC$6:AC$105)+SUMIF(Capacity_Resource,$E120,'Critical resources (hide)'!AC$6:AC$105)+SUMIF(Capacity_Resource,$F120,'Critical resources (hide)'!AC$6:AC$105)&gt;0,$E$1=2),0,1),0)</f>
        <v>1</v>
      </c>
      <c r="Q120" s="67">
        <f ca="1">IF(LOWER(Capacity!$V25)="x",IF(AND(SUMIF(Capacity_Resource,$D120,'Critical resources (hide)'!AD$6:AD$105)+SUMIF(Capacity_Resource,$E120,'Critical resources (hide)'!AD$6:AD$105)+SUMIF(Capacity_Resource,$F120,'Critical resources (hide)'!AD$6:AD$105)&gt;0,$E$1=2),0,1),0)</f>
        <v>1</v>
      </c>
      <c r="R120" s="67">
        <f ca="1">IF(LOWER(Capacity!$V25)="x",IF(AND(SUMIF(Capacity_Resource,$D120,'Critical resources (hide)'!AE$6:AE$105)+SUMIF(Capacity_Resource,$E120,'Critical resources (hide)'!AE$6:AE$105)+SUMIF(Capacity_Resource,$F120,'Critical resources (hide)'!AE$6:AE$105)&gt;0,$E$1=2),0,1),0)</f>
        <v>1</v>
      </c>
      <c r="S120" s="67">
        <f ca="1">IF(LOWER(Capacity!$V25)="x",IF(AND(SUMIF(Capacity_Resource,$D120,'Critical resources (hide)'!AF$6:AF$105)+SUMIF(Capacity_Resource,$E120,'Critical resources (hide)'!AF$6:AF$105)+SUMIF(Capacity_Resource,$F120,'Critical resources (hide)'!AF$6:AF$105)&gt;0,$E$1=2),0,1),0)</f>
        <v>1</v>
      </c>
      <c r="T120" s="67">
        <f ca="1">IF(LOWER(Capacity!$V25)="x",IF(AND(SUMIF(Capacity_Resource,$D120,'Critical resources (hide)'!AG$6:AG$105)+SUMIF(Capacity_Resource,$E120,'Critical resources (hide)'!AG$6:AG$105)+SUMIF(Capacity_Resource,$F120,'Critical resources (hide)'!AG$6:AG$105)&gt;0,$E$1=2),0,1),0)</f>
        <v>1</v>
      </c>
      <c r="U120" s="67">
        <f ca="1">IF(LOWER(Capacity!$V25)="x",IF(AND(SUMIF(Capacity_Resource,$D120,'Critical resources (hide)'!AH$6:AH$105)+SUMIF(Capacity_Resource,$E120,'Critical resources (hide)'!AH$6:AH$105)+SUMIF(Capacity_Resource,$F120,'Critical resources (hide)'!AH$6:AH$105)&gt;0,$E$1=2),0,1),0)</f>
        <v>1</v>
      </c>
      <c r="V120" s="67">
        <f ca="1">IF(LOWER(Capacity!$V25)="x",IF(AND(SUMIF(Capacity_Resource,$D120,'Critical resources (hide)'!AI$6:AI$105)+SUMIF(Capacity_Resource,$E120,'Critical resources (hide)'!AI$6:AI$105)+SUMIF(Capacity_Resource,$F120,'Critical resources (hide)'!AI$6:AI$105)&gt;0,$E$1=2),0,1),0)</f>
        <v>1</v>
      </c>
      <c r="W120" s="67">
        <f ca="1">IF(LOWER(Capacity!$V25)="x",IF(AND(SUMIF(Capacity_Resource,$D120,'Critical resources (hide)'!AJ$6:AJ$105)+SUMIF(Capacity_Resource,$E120,'Critical resources (hide)'!AJ$6:AJ$105)+SUMIF(Capacity_Resource,$F120,'Critical resources (hide)'!AJ$6:AJ$105)&gt;0,$E$1=2),0,1),0)</f>
        <v>1</v>
      </c>
      <c r="X120" s="67">
        <f ca="1">IF(LOWER(Capacity!$V25)="x",IF(AND(SUMIF(Capacity_Resource,$D120,'Critical resources (hide)'!AK$6:AK$105)+SUMIF(Capacity_Resource,$E120,'Critical resources (hide)'!AK$6:AK$105)+SUMIF(Capacity_Resource,$F120,'Critical resources (hide)'!AK$6:AK$105)&gt;0,$E$1=2),0,1),0)</f>
        <v>1</v>
      </c>
      <c r="Y120" s="67">
        <f ca="1">IF(LOWER(Capacity!$V25)="x",IF(AND(SUMIF(Capacity_Resource,$D120,'Critical resources (hide)'!AL$6:AL$105)+SUMIF(Capacity_Resource,$E120,'Critical resources (hide)'!AL$6:AL$105)+SUMIF(Capacity_Resource,$F120,'Critical resources (hide)'!AL$6:AL$105)&gt;0,$E$1=2),0,1),0)</f>
        <v>1</v>
      </c>
      <c r="Z120" s="67">
        <f ca="1">IF(LOWER(Capacity!$V25)="x",IF(AND(SUMIF(Capacity_Resource,$D120,'Critical resources (hide)'!AM$6:AM$105)+SUMIF(Capacity_Resource,$E120,'Critical resources (hide)'!AM$6:AM$105)+SUMIF(Capacity_Resource,$F120,'Critical resources (hide)'!AM$6:AM$105)&gt;0,$E$1=2),0,1),0)</f>
        <v>1</v>
      </c>
      <c r="AA120" s="67">
        <f ca="1">IF(LOWER(Capacity!$V25)="x",IF(AND(SUMIF(Capacity_Resource,$D120,'Critical resources (hide)'!AN$6:AN$105)+SUMIF(Capacity_Resource,$E120,'Critical resources (hide)'!AN$6:AN$105)+SUMIF(Capacity_Resource,$F120,'Critical resources (hide)'!AN$6:AN$105)&gt;0,$E$1=2),0,1),0)</f>
        <v>1</v>
      </c>
      <c r="AB120" s="67">
        <f ca="1">IF(LOWER(Capacity!$V25)="x",IF(AND(SUMIF(Capacity_Resource,$D120,'Critical resources (hide)'!AO$6:AO$105)+SUMIF(Capacity_Resource,$E120,'Critical resources (hide)'!AO$6:AO$105)+SUMIF(Capacity_Resource,$F120,'Critical resources (hide)'!AO$6:AO$105)&gt;0,$E$1=2),0,1),0)</f>
        <v>1</v>
      </c>
      <c r="AC120" s="67">
        <f ca="1">IF(LOWER(Capacity!$V25)="x",IF(AND(SUMIF(Capacity_Resource,$D120,'Critical resources (hide)'!AP$6:AP$105)+SUMIF(Capacity_Resource,$E120,'Critical resources (hide)'!AP$6:AP$105)+SUMIF(Capacity_Resource,$F120,'Critical resources (hide)'!AP$6:AP$105)&gt;0,$E$1=2),0,1),0)</f>
        <v>1</v>
      </c>
      <c r="AD120" s="67">
        <f ca="1">IF(LOWER(Capacity!$V25)="x",IF(AND(SUMIF(Capacity_Resource,$D120,'Critical resources (hide)'!AQ$6:AQ$105)+SUMIF(Capacity_Resource,$E120,'Critical resources (hide)'!AQ$6:AQ$105)+SUMIF(Capacity_Resource,$F120,'Critical resources (hide)'!AQ$6:AQ$105)&gt;0,$E$1=2),0,1),0)</f>
        <v>1</v>
      </c>
      <c r="AE120" s="67">
        <f ca="1">IF(LOWER(Capacity!$V25)="x",IF(AND(SUMIF(Capacity_Resource,$D120,'Critical resources (hide)'!AR$6:AR$105)+SUMIF(Capacity_Resource,$E120,'Critical resources (hide)'!AR$6:AR$105)+SUMIF(Capacity_Resource,$F120,'Critical resources (hide)'!AR$6:AR$105)&gt;0,$E$1=2),0,1),0)</f>
        <v>1</v>
      </c>
      <c r="AF120" s="67">
        <f ca="1">IF(LOWER(Capacity!$V25)="x",IF(AND(SUMIF(Capacity_Resource,$D120,'Critical resources (hide)'!AS$6:AS$105)+SUMIF(Capacity_Resource,$E120,'Critical resources (hide)'!AS$6:AS$105)+SUMIF(Capacity_Resource,$F120,'Critical resources (hide)'!AS$6:AS$105)&gt;0,$E$1=2),0,1),0)</f>
        <v>1</v>
      </c>
      <c r="AG120" s="67">
        <f ca="1">IF(LOWER(Capacity!$V25)="x",IF(AND(SUMIF(Capacity_Resource,$D120,'Critical resources (hide)'!AT$6:AT$105)+SUMIF(Capacity_Resource,$E120,'Critical resources (hide)'!AT$6:AT$105)+SUMIF(Capacity_Resource,$F120,'Critical resources (hide)'!AT$6:AT$105)&gt;0,$E$1=2),0,1),0)</f>
        <v>1</v>
      </c>
      <c r="AH120" s="67">
        <f ca="1">IF(LOWER(Capacity!$V25)="x",IF(AND(SUMIF(Capacity_Resource,$D120,'Critical resources (hide)'!AU$6:AU$105)+SUMIF(Capacity_Resource,$E120,'Critical resources (hide)'!AU$6:AU$105)+SUMIF(Capacity_Resource,$F120,'Critical resources (hide)'!AU$6:AU$105)&gt;0,$E$1=2),0,1),0)</f>
        <v>1</v>
      </c>
      <c r="AI120" s="67">
        <f ca="1">IF(LOWER(Capacity!$V25)="x",IF(AND(SUMIF(Capacity_Resource,$D120,'Critical resources (hide)'!AV$6:AV$105)+SUMIF(Capacity_Resource,$E120,'Critical resources (hide)'!AV$6:AV$105)+SUMIF(Capacity_Resource,$F120,'Critical resources (hide)'!AV$6:AV$105)&gt;0,$E$1=2),0,1),0)</f>
        <v>1</v>
      </c>
      <c r="AJ120" s="67">
        <f ca="1">IF(LOWER(Capacity!$V25)="x",IF(AND(SUMIF(Capacity_Resource,$D120,'Critical resources (hide)'!AW$6:AW$105)+SUMIF(Capacity_Resource,$E120,'Critical resources (hide)'!AW$6:AW$105)+SUMIF(Capacity_Resource,$F120,'Critical resources (hide)'!AW$6:AW$105)&gt;0,$E$1=2),0,1),0)</f>
        <v>1</v>
      </c>
      <c r="AK120" s="67">
        <f ca="1">IF(LOWER(Capacity!$V25)="x",IF(AND(SUMIF(Capacity_Resource,$D120,'Critical resources (hide)'!AX$6:AX$105)+SUMIF(Capacity_Resource,$E120,'Critical resources (hide)'!AX$6:AX$105)+SUMIF(Capacity_Resource,$F120,'Critical resources (hide)'!AX$6:AX$105)&gt;0,$E$1=2),0,1),0)</f>
        <v>1</v>
      </c>
      <c r="AL120" s="67">
        <f ca="1">IF(LOWER(Capacity!$V25)="x",IF(AND(SUMIF(Capacity_Resource,$D120,'Critical resources (hide)'!AY$6:AY$105)+SUMIF(Capacity_Resource,$E120,'Critical resources (hide)'!AY$6:AY$105)+SUMIF(Capacity_Resource,$F120,'Critical resources (hide)'!AY$6:AY$105)&gt;0,$E$1=2),0,1),0)</f>
        <v>1</v>
      </c>
      <c r="AM120" s="67">
        <f ca="1">IF(LOWER(Capacity!$V25)="x",IF(AND(SUMIF(Capacity_Resource,$D120,'Critical resources (hide)'!AZ$6:AZ$105)+SUMIF(Capacity_Resource,$E120,'Critical resources (hide)'!AZ$6:AZ$105)+SUMIF(Capacity_Resource,$F120,'Critical resources (hide)'!AZ$6:AZ$105)&gt;0,$E$1=2),0,1),0)</f>
        <v>1</v>
      </c>
      <c r="AN120" s="67">
        <f ca="1">IF(LOWER(Capacity!$V25)="x",IF(AND(SUMIF(Capacity_Resource,$D120,'Critical resources (hide)'!BA$6:BA$105)+SUMIF(Capacity_Resource,$E120,'Critical resources (hide)'!BA$6:BA$105)+SUMIF(Capacity_Resource,$F120,'Critical resources (hide)'!BA$6:BA$105)&gt;0,$E$1=2),0,1),0)</f>
        <v>1</v>
      </c>
      <c r="AO120" s="67">
        <f ca="1">IF(LOWER(Capacity!$V25)="x",IF(AND(SUMIF(Capacity_Resource,$D120,'Critical resources (hide)'!BB$6:BB$105)+SUMIF(Capacity_Resource,$E120,'Critical resources (hide)'!BB$6:BB$105)+SUMIF(Capacity_Resource,$F120,'Critical resources (hide)'!BB$6:BB$105)&gt;0,$E$1=2),0,1),0)</f>
        <v>1</v>
      </c>
      <c r="AP120" s="67">
        <f ca="1">IF(LOWER(Capacity!$V25)="x",IF(AND(SUMIF(Capacity_Resource,$D120,'Critical resources (hide)'!BC$6:BC$105)+SUMIF(Capacity_Resource,$E120,'Critical resources (hide)'!BC$6:BC$105)+SUMIF(Capacity_Resource,$F120,'Critical resources (hide)'!BC$6:BC$105)&gt;0,$E$1=2),0,1),0)</f>
        <v>1</v>
      </c>
      <c r="AQ120" s="67">
        <f ca="1">IF(LOWER(Capacity!$V25)="x",IF(AND(SUMIF(Capacity_Resource,$D120,'Critical resources (hide)'!BD$6:BD$105)+SUMIF(Capacity_Resource,$E120,'Critical resources (hide)'!BD$6:BD$105)+SUMIF(Capacity_Resource,$F120,'Critical resources (hide)'!BD$6:BD$105)&gt;0,$E$1=2),0,1),0)</f>
        <v>1</v>
      </c>
      <c r="AR120" s="67">
        <f ca="1">IF(LOWER(Capacity!$V25)="x",IF(AND(SUMIF(Capacity_Resource,$D120,'Critical resources (hide)'!BE$6:BE$105)+SUMIF(Capacity_Resource,$E120,'Critical resources (hide)'!BE$6:BE$105)+SUMIF(Capacity_Resource,$F120,'Critical resources (hide)'!BE$6:BE$105)&gt;0,$E$1=2),0,1),0)</f>
        <v>1</v>
      </c>
      <c r="AS120" s="67">
        <f ca="1">IF(LOWER(Capacity!$V25)="x",IF(AND(SUMIF(Capacity_Resource,$D120,'Critical resources (hide)'!BF$6:BF$105)+SUMIF(Capacity_Resource,$E120,'Critical resources (hide)'!BF$6:BF$105)+SUMIF(Capacity_Resource,$F120,'Critical resources (hide)'!BF$6:BF$105)&gt;0,$E$1=2),0,1),0)</f>
        <v>1</v>
      </c>
      <c r="AT120" s="67">
        <f ca="1">IF(LOWER(Capacity!$V25)="x",IF(AND(SUMIF(Capacity_Resource,$D120,'Critical resources (hide)'!BG$6:BG$105)+SUMIF(Capacity_Resource,$E120,'Critical resources (hide)'!BG$6:BG$105)+SUMIF(Capacity_Resource,$F120,'Critical resources (hide)'!BG$6:BG$105)&gt;0,$E$1=2),0,1),0)</f>
        <v>1</v>
      </c>
      <c r="AU120" s="67">
        <f ca="1">IF(LOWER(Capacity!$V25)="x",IF(AND(SUMIF(Capacity_Resource,$D120,'Critical resources (hide)'!BH$6:BH$105)+SUMIF(Capacity_Resource,$E120,'Critical resources (hide)'!BH$6:BH$105)+SUMIF(Capacity_Resource,$F120,'Critical resources (hide)'!BH$6:BH$105)&gt;0,$E$1=2),0,1),0)</f>
        <v>1</v>
      </c>
      <c r="AV120" s="67">
        <f ca="1">IF(LOWER(Capacity!$V25)="x",IF(AND(SUMIF(Capacity_Resource,$D120,'Critical resources (hide)'!BI$6:BI$105)+SUMIF(Capacity_Resource,$E120,'Critical resources (hide)'!BI$6:BI$105)+SUMIF(Capacity_Resource,$F120,'Critical resources (hide)'!BI$6:BI$105)&gt;0,$E$1=2),0,1),0)</f>
        <v>1</v>
      </c>
      <c r="AW120" s="67">
        <f ca="1">IF(LOWER(Capacity!$V25)="x",IF(AND(SUMIF(Capacity_Resource,$D120,'Critical resources (hide)'!BJ$6:BJ$105)+SUMIF(Capacity_Resource,$E120,'Critical resources (hide)'!BJ$6:BJ$105)+SUMIF(Capacity_Resource,$F120,'Critical resources (hide)'!BJ$6:BJ$105)&gt;0,$E$1=2),0,1),0)</f>
        <v>1</v>
      </c>
      <c r="AX120" s="67">
        <f ca="1">IF(LOWER(Capacity!$V25)="x",IF(AND(SUMIF(Capacity_Resource,$D120,'Critical resources (hide)'!BK$6:BK$105)+SUMIF(Capacity_Resource,$E120,'Critical resources (hide)'!BK$6:BK$105)+SUMIF(Capacity_Resource,$F120,'Critical resources (hide)'!BK$6:BK$105)&gt;0,$E$1=2),0,1),0)</f>
        <v>1</v>
      </c>
      <c r="AY120" s="67">
        <f ca="1">IF(LOWER(Capacity!$V25)="x",IF(AND(SUMIF(Capacity_Resource,$D120,'Critical resources (hide)'!BL$6:BL$105)+SUMIF(Capacity_Resource,$E120,'Critical resources (hide)'!BL$6:BL$105)+SUMIF(Capacity_Resource,$F120,'Critical resources (hide)'!BL$6:BL$105)&gt;0,$E$1=2),0,1),0)</f>
        <v>1</v>
      </c>
      <c r="AZ120" s="67">
        <f ca="1">IF(LOWER(Capacity!$V25)="x",IF(AND(SUMIF(Capacity_Resource,$D120,'Critical resources (hide)'!BM$6:BM$105)+SUMIF(Capacity_Resource,$E120,'Critical resources (hide)'!BM$6:BM$105)+SUMIF(Capacity_Resource,$F120,'Critical resources (hide)'!BM$6:BM$105)&gt;0,$E$1=2),0,1),0)</f>
        <v>1</v>
      </c>
      <c r="BA120" s="67">
        <f ca="1">IF(LOWER(Capacity!$V25)="x",IF(AND(SUMIF(Capacity_Resource,$D120,'Critical resources (hide)'!BN$6:BN$105)+SUMIF(Capacity_Resource,$E120,'Critical resources (hide)'!BN$6:BN$105)+SUMIF(Capacity_Resource,$F120,'Critical resources (hide)'!BN$6:BN$105)&gt;0,$E$1=2),0,1),0)</f>
        <v>1</v>
      </c>
      <c r="BB120" s="67">
        <f ca="1">IF(LOWER(Capacity!$V25)="x",IF(AND(SUMIF(Capacity_Resource,$D120,'Critical resources (hide)'!BO$6:BO$105)+SUMIF(Capacity_Resource,$E120,'Critical resources (hide)'!BO$6:BO$105)+SUMIF(Capacity_Resource,$F120,'Critical resources (hide)'!BO$6:BO$105)&gt;0,$E$1=2),0,1),0)</f>
        <v>1</v>
      </c>
      <c r="BC120" s="67">
        <f ca="1">IF(LOWER(Capacity!$V25)="x",IF(AND(SUMIF(Capacity_Resource,$D120,'Critical resources (hide)'!BP$6:BP$105)+SUMIF(Capacity_Resource,$E120,'Critical resources (hide)'!BP$6:BP$105)+SUMIF(Capacity_Resource,$F120,'Critical resources (hide)'!BP$6:BP$105)&gt;0,$E$1=2),0,1),0)</f>
        <v>1</v>
      </c>
      <c r="BD120" s="67">
        <f ca="1">IF(LOWER(Capacity!$V25)="x",IF(AND(SUMIF(Capacity_Resource,$D120,'Critical resources (hide)'!BQ$6:BQ$105)+SUMIF(Capacity_Resource,$E120,'Critical resources (hide)'!BQ$6:BQ$105)+SUMIF(Capacity_Resource,$F120,'Critical resources (hide)'!BQ$6:BQ$105)&gt;0,$E$1=2),0,1),0)</f>
        <v>1</v>
      </c>
      <c r="BE120" s="67">
        <f ca="1">IF(LOWER(Capacity!$V25)="x",IF(AND(SUMIF(Capacity_Resource,$D120,'Critical resources (hide)'!BR$6:BR$105)+SUMIF(Capacity_Resource,$E120,'Critical resources (hide)'!BR$6:BR$105)+SUMIF(Capacity_Resource,$F120,'Critical resources (hide)'!BR$6:BR$105)&gt;0,$E$1=2),0,1),0)</f>
        <v>1</v>
      </c>
      <c r="BF120" s="67">
        <f ca="1">IF(LOWER(Capacity!$V25)="x",IF(AND(SUMIF(Capacity_Resource,$D120,'Critical resources (hide)'!BS$6:BS$105)+SUMIF(Capacity_Resource,$E120,'Critical resources (hide)'!BS$6:BS$105)+SUMIF(Capacity_Resource,$F120,'Critical resources (hide)'!BS$6:BS$105)&gt;0,$E$1=2),0,1),0)</f>
        <v>1</v>
      </c>
      <c r="BG120" s="67">
        <f ca="1">IF(LOWER(Capacity!$V25)="x",IF(AND(SUMIF(Capacity_Resource,$D120,'Critical resources (hide)'!BT$6:BT$105)+SUMIF(Capacity_Resource,$E120,'Critical resources (hide)'!BT$6:BT$105)+SUMIF(Capacity_Resource,$F120,'Critical resources (hide)'!BT$6:BT$105)&gt;0,$E$1=2),0,1),0)</f>
        <v>1</v>
      </c>
      <c r="BH120" s="67">
        <f>IF(ROW(A9)&lt;=Capacity!$M$16,IF('Capacity summary'!$C$14="No",SUM(H120:BG120),'Capacity summary'!$E32),0)</f>
        <v>0</v>
      </c>
      <c r="BI120" s="67" t="str">
        <f>IF(BH120&gt;0,IF(BH120&lt;Capacity!Q25,Capacity!R25,Capacity!T25/'Capacity calculation (hide)'!BH120),"")</f>
        <v/>
      </c>
      <c r="BJ120" s="5"/>
      <c r="BK120" s="5">
        <f>IF($BI120&lt;&gt;"",IF('Capacity summary'!$C$14="Yes",IF(COUNTBLANK('Capacity summary'!$H32:$BG32)&lt;52,IF('Capacity summary'!H32&lt;&gt;"",IF(LOWER('Capacity summary'!H32)="x",$BI120*H120,VALUE('Capacity summary'!H32)),0),H120*$BI120),H120*$BI120),0)</f>
        <v>0</v>
      </c>
      <c r="BL120" s="5">
        <f>IF($BI120&lt;&gt;"",IF('Capacity summary'!$C$14="Yes",IF(COUNTBLANK('Capacity summary'!$H32:$BG32)&lt;52,IF('Capacity summary'!I32&lt;&gt;"",IF(LOWER('Capacity summary'!I32)="x",$BI120*I120,VALUE('Capacity summary'!I32)),0),I120*$BI120),I120*$BI120),0)</f>
        <v>0</v>
      </c>
      <c r="BM120" s="5">
        <f>IF($BI120&lt;&gt;"",IF('Capacity summary'!$C$14="Yes",IF(COUNTBLANK('Capacity summary'!$H32:$BG32)&lt;52,IF('Capacity summary'!J32&lt;&gt;"",IF(LOWER('Capacity summary'!J32)="x",$BI120*J120,VALUE('Capacity summary'!J32)),0),J120*$BI120),J120*$BI120),0)</f>
        <v>0</v>
      </c>
      <c r="BN120" s="5">
        <f>IF($BI120&lt;&gt;"",IF('Capacity summary'!$C$14="Yes",IF(COUNTBLANK('Capacity summary'!$H32:$BG32)&lt;52,IF('Capacity summary'!K32&lt;&gt;"",IF(LOWER('Capacity summary'!K32)="x",$BI120*K120,VALUE('Capacity summary'!K32)),0),K120*$BI120),K120*$BI120),0)</f>
        <v>0</v>
      </c>
      <c r="BO120" s="5">
        <f>IF($BI120&lt;&gt;"",IF('Capacity summary'!$C$14="Yes",IF(COUNTBLANK('Capacity summary'!$H32:$BG32)&lt;52,IF('Capacity summary'!L32&lt;&gt;"",IF(LOWER('Capacity summary'!L32)="x",$BI120*L120,VALUE('Capacity summary'!L32)),0),L120*$BI120),L120*$BI120),0)</f>
        <v>0</v>
      </c>
      <c r="BP120" s="5">
        <f>IF($BI120&lt;&gt;"",IF('Capacity summary'!$C$14="Yes",IF(COUNTBLANK('Capacity summary'!$H32:$BG32)&lt;52,IF('Capacity summary'!M32&lt;&gt;"",IF(LOWER('Capacity summary'!M32)="x",$BI120*M120,VALUE('Capacity summary'!M32)),0),M120*$BI120),M120*$BI120),0)</f>
        <v>0</v>
      </c>
      <c r="BQ120" s="5">
        <f>IF($BI120&lt;&gt;"",IF('Capacity summary'!$C$14="Yes",IF(COUNTBLANK('Capacity summary'!$H32:$BG32)&lt;52,IF('Capacity summary'!N32&lt;&gt;"",IF(LOWER('Capacity summary'!N32)="x",$BI120*N120,VALUE('Capacity summary'!N32)),0),N120*$BI120),N120*$BI120),0)</f>
        <v>0</v>
      </c>
      <c r="BR120" s="5">
        <f>IF($BI120&lt;&gt;"",IF('Capacity summary'!$C$14="Yes",IF(COUNTBLANK('Capacity summary'!$H32:$BG32)&lt;52,IF('Capacity summary'!O32&lt;&gt;"",IF(LOWER('Capacity summary'!O32)="x",$BI120*O120,VALUE('Capacity summary'!O32)),0),O120*$BI120),O120*$BI120),0)</f>
        <v>0</v>
      </c>
      <c r="BS120" s="5">
        <f>IF($BI120&lt;&gt;"",IF('Capacity summary'!$C$14="Yes",IF(COUNTBLANK('Capacity summary'!$H32:$BG32)&lt;52,IF('Capacity summary'!P32&lt;&gt;"",IF(LOWER('Capacity summary'!P32)="x",$BI120*P120,VALUE('Capacity summary'!P32)),0),P120*$BI120),P120*$BI120),0)</f>
        <v>0</v>
      </c>
      <c r="BT120" s="5">
        <f>IF($BI120&lt;&gt;"",IF('Capacity summary'!$C$14="Yes",IF(COUNTBLANK('Capacity summary'!$H32:$BG32)&lt;52,IF('Capacity summary'!Q32&lt;&gt;"",IF(LOWER('Capacity summary'!Q32)="x",$BI120*Q120,VALUE('Capacity summary'!Q32)),0),Q120*$BI120),Q120*$BI120),0)</f>
        <v>0</v>
      </c>
      <c r="BU120" s="5">
        <f>IF($BI120&lt;&gt;"",IF('Capacity summary'!$C$14="Yes",IF(COUNTBLANK('Capacity summary'!$H32:$BG32)&lt;52,IF('Capacity summary'!R32&lt;&gt;"",IF(LOWER('Capacity summary'!R32)="x",$BI120*R120,VALUE('Capacity summary'!R32)),0),R120*$BI120),R120*$BI120),0)</f>
        <v>0</v>
      </c>
      <c r="BV120" s="5">
        <f>IF($BI120&lt;&gt;"",IF('Capacity summary'!$C$14="Yes",IF(COUNTBLANK('Capacity summary'!$H32:$BG32)&lt;52,IF('Capacity summary'!S32&lt;&gt;"",IF(LOWER('Capacity summary'!S32)="x",$BI120*S120,VALUE('Capacity summary'!S32)),0),S120*$BI120),S120*$BI120),0)</f>
        <v>0</v>
      </c>
      <c r="BW120" s="5">
        <f>IF($BI120&lt;&gt;"",IF('Capacity summary'!$C$14="Yes",IF(COUNTBLANK('Capacity summary'!$H32:$BG32)&lt;52,IF('Capacity summary'!T32&lt;&gt;"",IF(LOWER('Capacity summary'!T32)="x",$BI120*T120,VALUE('Capacity summary'!T32)),0),T120*$BI120),T120*$BI120),0)</f>
        <v>0</v>
      </c>
      <c r="BX120" s="5">
        <f>IF($BI120&lt;&gt;"",IF('Capacity summary'!$C$14="Yes",IF(COUNTBLANK('Capacity summary'!$H32:$BG32)&lt;52,IF('Capacity summary'!U32&lt;&gt;"",IF(LOWER('Capacity summary'!U32)="x",$BI120*U120,VALUE('Capacity summary'!U32)),0),U120*$BI120),U120*$BI120),0)</f>
        <v>0</v>
      </c>
      <c r="BY120" s="5">
        <f>IF($BI120&lt;&gt;"",IF('Capacity summary'!$C$14="Yes",IF(COUNTBLANK('Capacity summary'!$H32:$BG32)&lt;52,IF('Capacity summary'!V32&lt;&gt;"",IF(LOWER('Capacity summary'!V32)="x",$BI120*V120,VALUE('Capacity summary'!V32)),0),V120*$BI120),V120*$BI120),0)</f>
        <v>0</v>
      </c>
      <c r="BZ120" s="5">
        <f>IF($BI120&lt;&gt;"",IF('Capacity summary'!$C$14="Yes",IF(COUNTBLANK('Capacity summary'!$H32:$BG32)&lt;52,IF('Capacity summary'!W32&lt;&gt;"",IF(LOWER('Capacity summary'!W32)="x",$BI120*W120,VALUE('Capacity summary'!W32)),0),W120*$BI120),W120*$BI120),0)</f>
        <v>0</v>
      </c>
      <c r="CA120" s="5">
        <f>IF($BI120&lt;&gt;"",IF('Capacity summary'!$C$14="Yes",IF(COUNTBLANK('Capacity summary'!$H32:$BG32)&lt;52,IF('Capacity summary'!X32&lt;&gt;"",IF(LOWER('Capacity summary'!X32)="x",$BI120*X120,VALUE('Capacity summary'!X32)),0),X120*$BI120),X120*$BI120),0)</f>
        <v>0</v>
      </c>
      <c r="CB120" s="5">
        <f>IF($BI120&lt;&gt;"",IF('Capacity summary'!$C$14="Yes",IF(COUNTBLANK('Capacity summary'!$H32:$BG32)&lt;52,IF('Capacity summary'!Y32&lt;&gt;"",IF(LOWER('Capacity summary'!Y32)="x",$BI120*Y120,VALUE('Capacity summary'!Y32)),0),Y120*$BI120),Y120*$BI120),0)</f>
        <v>0</v>
      </c>
      <c r="CC120" s="5">
        <f>IF($BI120&lt;&gt;"",IF('Capacity summary'!$C$14="Yes",IF(COUNTBLANK('Capacity summary'!$H32:$BG32)&lt;52,IF('Capacity summary'!Z32&lt;&gt;"",IF(LOWER('Capacity summary'!Z32)="x",$BI120*Z120,VALUE('Capacity summary'!Z32)),0),Z120*$BI120),Z120*$BI120),0)</f>
        <v>0</v>
      </c>
      <c r="CD120" s="5">
        <f>IF($BI120&lt;&gt;"",IF('Capacity summary'!$C$14="Yes",IF(COUNTBLANK('Capacity summary'!$H32:$BG32)&lt;52,IF('Capacity summary'!AA32&lt;&gt;"",IF(LOWER('Capacity summary'!AA32)="x",$BI120*AA120,VALUE('Capacity summary'!AA32)),0),AA120*$BI120),AA120*$BI120),0)</f>
        <v>0</v>
      </c>
      <c r="CE120" s="5">
        <f>IF($BI120&lt;&gt;"",IF('Capacity summary'!$C$14="Yes",IF(COUNTBLANK('Capacity summary'!$H32:$BG32)&lt;52,IF('Capacity summary'!AB32&lt;&gt;"",IF(LOWER('Capacity summary'!AB32)="x",$BI120*AB120,VALUE('Capacity summary'!AB32)),0),AB120*$BI120),AB120*$BI120),0)</f>
        <v>0</v>
      </c>
      <c r="CF120" s="5">
        <f>IF($BI120&lt;&gt;"",IF('Capacity summary'!$C$14="Yes",IF(COUNTBLANK('Capacity summary'!$H32:$BG32)&lt;52,IF('Capacity summary'!AC32&lt;&gt;"",IF(LOWER('Capacity summary'!AC32)="x",$BI120*AC120,VALUE('Capacity summary'!AC32)),0),AC120*$BI120),AC120*$BI120),0)</f>
        <v>0</v>
      </c>
      <c r="CG120" s="5">
        <f>IF($BI120&lt;&gt;"",IF('Capacity summary'!$C$14="Yes",IF(COUNTBLANK('Capacity summary'!$H32:$BG32)&lt;52,IF('Capacity summary'!AD32&lt;&gt;"",IF(LOWER('Capacity summary'!AD32)="x",$BI120*AD120,VALUE('Capacity summary'!AD32)),0),AD120*$BI120),AD120*$BI120),0)</f>
        <v>0</v>
      </c>
      <c r="CH120" s="5">
        <f>IF($BI120&lt;&gt;"",IF('Capacity summary'!$C$14="Yes",IF(COUNTBLANK('Capacity summary'!$H32:$BG32)&lt;52,IF('Capacity summary'!AE32&lt;&gt;"",IF(LOWER('Capacity summary'!AE32)="x",$BI120*AE120,VALUE('Capacity summary'!AE32)),0),AE120*$BI120),AE120*$BI120),0)</f>
        <v>0</v>
      </c>
      <c r="CI120" s="5">
        <f>IF($BI120&lt;&gt;"",IF('Capacity summary'!$C$14="Yes",IF(COUNTBLANK('Capacity summary'!$H32:$BG32)&lt;52,IF('Capacity summary'!AF32&lt;&gt;"",IF(LOWER('Capacity summary'!AF32)="x",$BI120*AF120,VALUE('Capacity summary'!AF32)),0),AF120*$BI120),AF120*$BI120),0)</f>
        <v>0</v>
      </c>
      <c r="CJ120" s="5">
        <f>IF($BI120&lt;&gt;"",IF('Capacity summary'!$C$14="Yes",IF(COUNTBLANK('Capacity summary'!$H32:$BG32)&lt;52,IF('Capacity summary'!AG32&lt;&gt;"",IF(LOWER('Capacity summary'!AG32)="x",$BI120*AG120,VALUE('Capacity summary'!AG32)),0),AG120*$BI120),AG120*$BI120),0)</f>
        <v>0</v>
      </c>
      <c r="CK120" s="5">
        <f>IF($BI120&lt;&gt;"",IF('Capacity summary'!$C$14="Yes",IF(COUNTBLANK('Capacity summary'!$H32:$BG32)&lt;52,IF('Capacity summary'!AH32&lt;&gt;"",IF(LOWER('Capacity summary'!AH32)="x",$BI120*AH120,VALUE('Capacity summary'!AH32)),0),AH120*$BI120),AH120*$BI120),0)</f>
        <v>0</v>
      </c>
      <c r="CL120" s="5">
        <f>IF($BI120&lt;&gt;"",IF('Capacity summary'!$C$14="Yes",IF(COUNTBLANK('Capacity summary'!$H32:$BG32)&lt;52,IF('Capacity summary'!AI32&lt;&gt;"",IF(LOWER('Capacity summary'!AI32)="x",$BI120*AI120,VALUE('Capacity summary'!AI32)),0),AI120*$BI120),AI120*$BI120),0)</f>
        <v>0</v>
      </c>
      <c r="CM120" s="5">
        <f>IF($BI120&lt;&gt;"",IF('Capacity summary'!$C$14="Yes",IF(COUNTBLANK('Capacity summary'!$H32:$BG32)&lt;52,IF('Capacity summary'!AJ32&lt;&gt;"",IF(LOWER('Capacity summary'!AJ32)="x",$BI120*AJ120,VALUE('Capacity summary'!AJ32)),0),AJ120*$BI120),AJ120*$BI120),0)</f>
        <v>0</v>
      </c>
      <c r="CN120" s="5">
        <f>IF($BI120&lt;&gt;"",IF('Capacity summary'!$C$14="Yes",IF(COUNTBLANK('Capacity summary'!$H32:$BG32)&lt;52,IF('Capacity summary'!AK32&lt;&gt;"",IF(LOWER('Capacity summary'!AK32)="x",$BI120*AK120,VALUE('Capacity summary'!AK32)),0),AK120*$BI120),AK120*$BI120),0)</f>
        <v>0</v>
      </c>
      <c r="CO120" s="5">
        <f>IF($BI120&lt;&gt;"",IF('Capacity summary'!$C$14="Yes",IF(COUNTBLANK('Capacity summary'!$H32:$BG32)&lt;52,IF('Capacity summary'!AL32&lt;&gt;"",IF(LOWER('Capacity summary'!AL32)="x",$BI120*AL120,VALUE('Capacity summary'!AL32)),0),AL120*$BI120),AL120*$BI120),0)</f>
        <v>0</v>
      </c>
      <c r="CP120" s="5">
        <f>IF($BI120&lt;&gt;"",IF('Capacity summary'!$C$14="Yes",IF(COUNTBLANK('Capacity summary'!$H32:$BG32)&lt;52,IF('Capacity summary'!AM32&lt;&gt;"",IF(LOWER('Capacity summary'!AM32)="x",$BI120*AM120,VALUE('Capacity summary'!AM32)),0),AM120*$BI120),AM120*$BI120),0)</f>
        <v>0</v>
      </c>
      <c r="CQ120" s="5">
        <f>IF($BI120&lt;&gt;"",IF('Capacity summary'!$C$14="Yes",IF(COUNTBLANK('Capacity summary'!$H32:$BG32)&lt;52,IF('Capacity summary'!AN32&lt;&gt;"",IF(LOWER('Capacity summary'!AN32)="x",$BI120*AN120,VALUE('Capacity summary'!AN32)),0),AN120*$BI120),AN120*$BI120),0)</f>
        <v>0</v>
      </c>
      <c r="CR120" s="5">
        <f>IF($BI120&lt;&gt;"",IF('Capacity summary'!$C$14="Yes",IF(COUNTBLANK('Capacity summary'!$H32:$BG32)&lt;52,IF('Capacity summary'!AO32&lt;&gt;"",IF(LOWER('Capacity summary'!AO32)="x",$BI120*AO120,VALUE('Capacity summary'!AO32)),0),AO120*$BI120),AO120*$BI120),0)</f>
        <v>0</v>
      </c>
      <c r="CS120" s="5">
        <f>IF($BI120&lt;&gt;"",IF('Capacity summary'!$C$14="Yes",IF(COUNTBLANK('Capacity summary'!$H32:$BG32)&lt;52,IF('Capacity summary'!AP32&lt;&gt;"",IF(LOWER('Capacity summary'!AP32)="x",$BI120*AP120,VALUE('Capacity summary'!AP32)),0),AP120*$BI120),AP120*$BI120),0)</f>
        <v>0</v>
      </c>
      <c r="CT120" s="5">
        <f>IF($BI120&lt;&gt;"",IF('Capacity summary'!$C$14="Yes",IF(COUNTBLANK('Capacity summary'!$H32:$BG32)&lt;52,IF('Capacity summary'!AQ32&lt;&gt;"",IF(LOWER('Capacity summary'!AQ32)="x",$BI120*AQ120,VALUE('Capacity summary'!AQ32)),0),AQ120*$BI120),AQ120*$BI120),0)</f>
        <v>0</v>
      </c>
      <c r="CU120" s="5">
        <f>IF($BI120&lt;&gt;"",IF('Capacity summary'!$C$14="Yes",IF(COUNTBLANK('Capacity summary'!$H32:$BG32)&lt;52,IF('Capacity summary'!AR32&lt;&gt;"",IF(LOWER('Capacity summary'!AR32)="x",$BI120*AR120,VALUE('Capacity summary'!AR32)),0),AR120*$BI120),AR120*$BI120),0)</f>
        <v>0</v>
      </c>
      <c r="CV120" s="5">
        <f>IF($BI120&lt;&gt;"",IF('Capacity summary'!$C$14="Yes",IF(COUNTBLANK('Capacity summary'!$H32:$BG32)&lt;52,IF('Capacity summary'!AS32&lt;&gt;"",IF(LOWER('Capacity summary'!AS32)="x",$BI120*AS120,VALUE('Capacity summary'!AS32)),0),AS120*$BI120),AS120*$BI120),0)</f>
        <v>0</v>
      </c>
      <c r="CW120" s="5">
        <f>IF($BI120&lt;&gt;"",IF('Capacity summary'!$C$14="Yes",IF(COUNTBLANK('Capacity summary'!$H32:$BG32)&lt;52,IF('Capacity summary'!AT32&lt;&gt;"",IF(LOWER('Capacity summary'!AT32)="x",$BI120*AT120,VALUE('Capacity summary'!AT32)),0),AT120*$BI120),AT120*$BI120),0)</f>
        <v>0</v>
      </c>
      <c r="CX120" s="5">
        <f>IF($BI120&lt;&gt;"",IF('Capacity summary'!$C$14="Yes",IF(COUNTBLANK('Capacity summary'!$H32:$BG32)&lt;52,IF('Capacity summary'!AU32&lt;&gt;"",IF(LOWER('Capacity summary'!AU32)="x",$BI120*AU120,VALUE('Capacity summary'!AU32)),0),AU120*$BI120),AU120*$BI120),0)</f>
        <v>0</v>
      </c>
      <c r="CY120" s="5">
        <f>IF($BI120&lt;&gt;"",IF('Capacity summary'!$C$14="Yes",IF(COUNTBLANK('Capacity summary'!$H32:$BG32)&lt;52,IF('Capacity summary'!AV32&lt;&gt;"",IF(LOWER('Capacity summary'!AV32)="x",$BI120*AV120,VALUE('Capacity summary'!AV32)),0),AV120*$BI120),AV120*$BI120),0)</f>
        <v>0</v>
      </c>
      <c r="CZ120" s="5">
        <f>IF($BI120&lt;&gt;"",IF('Capacity summary'!$C$14="Yes",IF(COUNTBLANK('Capacity summary'!$H32:$BG32)&lt;52,IF('Capacity summary'!AW32&lt;&gt;"",IF(LOWER('Capacity summary'!AW32)="x",$BI120*AW120,VALUE('Capacity summary'!AW32)),0),AW120*$BI120),AW120*$BI120),0)</f>
        <v>0</v>
      </c>
      <c r="DA120" s="5">
        <f>IF($BI120&lt;&gt;"",IF('Capacity summary'!$C$14="Yes",IF(COUNTBLANK('Capacity summary'!$H32:$BG32)&lt;52,IF('Capacity summary'!AX32&lt;&gt;"",IF(LOWER('Capacity summary'!AX32)="x",$BI120*AX120,VALUE('Capacity summary'!AX32)),0),AX120*$BI120),AX120*$BI120),0)</f>
        <v>0</v>
      </c>
      <c r="DB120" s="5">
        <f>IF($BI120&lt;&gt;"",IF('Capacity summary'!$C$14="Yes",IF(COUNTBLANK('Capacity summary'!$H32:$BG32)&lt;52,IF('Capacity summary'!AY32&lt;&gt;"",IF(LOWER('Capacity summary'!AY32)="x",$BI120*AY120,VALUE('Capacity summary'!AY32)),0),AY120*$BI120),AY120*$BI120),0)</f>
        <v>0</v>
      </c>
      <c r="DC120" s="5">
        <f>IF($BI120&lt;&gt;"",IF('Capacity summary'!$C$14="Yes",IF(COUNTBLANK('Capacity summary'!$H32:$BG32)&lt;52,IF('Capacity summary'!AZ32&lt;&gt;"",IF(LOWER('Capacity summary'!AZ32)="x",$BI120*AZ120,VALUE('Capacity summary'!AZ32)),0),AZ120*$BI120),AZ120*$BI120),0)</f>
        <v>0</v>
      </c>
      <c r="DD120" s="5">
        <f>IF($BI120&lt;&gt;"",IF('Capacity summary'!$C$14="Yes",IF(COUNTBLANK('Capacity summary'!$H32:$BG32)&lt;52,IF('Capacity summary'!BA32&lt;&gt;"",IF(LOWER('Capacity summary'!BA32)="x",$BI120*BA120,VALUE('Capacity summary'!BA32)),0),BA120*$BI120),BA120*$BI120),0)</f>
        <v>0</v>
      </c>
      <c r="DE120" s="5">
        <f>IF($BI120&lt;&gt;"",IF('Capacity summary'!$C$14="Yes",IF(COUNTBLANK('Capacity summary'!$H32:$BG32)&lt;52,IF('Capacity summary'!BB32&lt;&gt;"",IF(LOWER('Capacity summary'!BB32)="x",$BI120*BB120,VALUE('Capacity summary'!BB32)),0),BB120*$BI120),BB120*$BI120),0)</f>
        <v>0</v>
      </c>
      <c r="DF120" s="5">
        <f>IF($BI120&lt;&gt;"",IF('Capacity summary'!$C$14="Yes",IF(COUNTBLANK('Capacity summary'!$H32:$BG32)&lt;52,IF('Capacity summary'!BC32&lt;&gt;"",IF(LOWER('Capacity summary'!BC32)="x",$BI120*BC120,VALUE('Capacity summary'!BC32)),0),BC120*$BI120),BC120*$BI120),0)</f>
        <v>0</v>
      </c>
      <c r="DG120" s="5">
        <f>IF($BI120&lt;&gt;"",IF('Capacity summary'!$C$14="Yes",IF(COUNTBLANK('Capacity summary'!$H32:$BG32)&lt;52,IF('Capacity summary'!BD32&lt;&gt;"",IF(LOWER('Capacity summary'!BD32)="x",$BI120*BD120,VALUE('Capacity summary'!BD32)),0),BD120*$BI120),BD120*$BI120),0)</f>
        <v>0</v>
      </c>
      <c r="DH120" s="5">
        <f>IF($BI120&lt;&gt;"",IF('Capacity summary'!$C$14="Yes",IF(COUNTBLANK('Capacity summary'!$H32:$BG32)&lt;52,IF('Capacity summary'!BE32&lt;&gt;"",IF(LOWER('Capacity summary'!BE32)="x",$BI120*BE120,VALUE('Capacity summary'!BE32)),0),BE120*$BI120),BE120*$BI120),0)</f>
        <v>0</v>
      </c>
      <c r="DI120" s="5">
        <f>IF($BI120&lt;&gt;"",IF('Capacity summary'!$C$14="Yes",IF(COUNTBLANK('Capacity summary'!$H32:$BG32)&lt;52,IF('Capacity summary'!BF32&lt;&gt;"",IF(LOWER('Capacity summary'!BF32)="x",$BI120*BF120,VALUE('Capacity summary'!BF32)),0),BF120*$BI120),BF120*$BI120),0)</f>
        <v>0</v>
      </c>
      <c r="DJ120" s="5">
        <f>IF($BI120&lt;&gt;"",IF('Capacity summary'!$C$14="Yes",IF(COUNTBLANK('Capacity summary'!$H32:$BG32)&lt;52,IF('Capacity summary'!BG32&lt;&gt;"",IF(LOWER('Capacity summary'!BG32)="x",$BI120*BG120,VALUE('Capacity summary'!BG32)),0),BG120*$BI120),BG120*$BI120),0)</f>
        <v>0</v>
      </c>
      <c r="DK120" s="391">
        <f t="shared" si="8"/>
        <v>0</v>
      </c>
      <c r="DL120" s="5">
        <f t="shared" si="9"/>
        <v>0</v>
      </c>
    </row>
    <row r="121" spans="3:116" x14ac:dyDescent="0.2">
      <c r="C121" s="67" t="str">
        <f>ROW(A10)&amp;". "&amp;Capacity!N26</f>
        <v xml:space="preserve">10. </v>
      </c>
      <c r="D121" s="67">
        <f>'Capacity setup'!C127</f>
        <v>0</v>
      </c>
      <c r="E121" s="67">
        <f>'Capacity setup'!D127</f>
        <v>0</v>
      </c>
      <c r="F121" s="67">
        <f>'Capacity setup'!E127</f>
        <v>0</v>
      </c>
      <c r="H121" s="67">
        <f ca="1">IF(LOWER(Capacity!$V26)="x",IF(AND(SUMIF(Capacity_Resource,$D121,'Critical resources (hide)'!U$6:U$105)+SUMIF(Capacity_Resource,$E121,'Critical resources (hide)'!U$6:U$105)+SUMIF(Capacity_Resource,$F121,'Critical resources (hide)'!U$6:U$105)&gt;0,$E$1=2),0,1),0)</f>
        <v>1</v>
      </c>
      <c r="I121" s="67">
        <f ca="1">IF(LOWER(Capacity!$V26)="x",IF(AND(SUMIF(Capacity_Resource,$D121,'Critical resources (hide)'!V$6:V$105)+SUMIF(Capacity_Resource,$E121,'Critical resources (hide)'!V$6:V$105)+SUMIF(Capacity_Resource,$F121,'Critical resources (hide)'!V$6:V$105)&gt;0,$E$1=2),0,1),0)</f>
        <v>1</v>
      </c>
      <c r="J121" s="67">
        <f ca="1">IF(LOWER(Capacity!$V26)="x",IF(AND(SUMIF(Capacity_Resource,$D121,'Critical resources (hide)'!W$6:W$105)+SUMIF(Capacity_Resource,$E121,'Critical resources (hide)'!W$6:W$105)+SUMIF(Capacity_Resource,$F121,'Critical resources (hide)'!W$6:W$105)&gt;0,$E$1=2),0,1),0)</f>
        <v>1</v>
      </c>
      <c r="K121" s="67">
        <f ca="1">IF(LOWER(Capacity!$V26)="x",IF(AND(SUMIF(Capacity_Resource,$D121,'Critical resources (hide)'!X$6:X$105)+SUMIF(Capacity_Resource,$E121,'Critical resources (hide)'!X$6:X$105)+SUMIF(Capacity_Resource,$F121,'Critical resources (hide)'!X$6:X$105)&gt;0,$E$1=2),0,1),0)</f>
        <v>1</v>
      </c>
      <c r="L121" s="67">
        <f ca="1">IF(LOWER(Capacity!$V26)="x",IF(AND(SUMIF(Capacity_Resource,$D121,'Critical resources (hide)'!Y$6:Y$105)+SUMIF(Capacity_Resource,$E121,'Critical resources (hide)'!Y$6:Y$105)+SUMIF(Capacity_Resource,$F121,'Critical resources (hide)'!Y$6:Y$105)&gt;0,$E$1=2),0,1),0)</f>
        <v>1</v>
      </c>
      <c r="M121" s="67">
        <f ca="1">IF(LOWER(Capacity!$V26)="x",IF(AND(SUMIF(Capacity_Resource,$D121,'Critical resources (hide)'!Z$6:Z$105)+SUMIF(Capacity_Resource,$E121,'Critical resources (hide)'!Z$6:Z$105)+SUMIF(Capacity_Resource,$F121,'Critical resources (hide)'!Z$6:Z$105)&gt;0,$E$1=2),0,1),0)</f>
        <v>1</v>
      </c>
      <c r="N121" s="67">
        <f ca="1">IF(LOWER(Capacity!$V26)="x",IF(AND(SUMIF(Capacity_Resource,$D121,'Critical resources (hide)'!AA$6:AA$105)+SUMIF(Capacity_Resource,$E121,'Critical resources (hide)'!AA$6:AA$105)+SUMIF(Capacity_Resource,$F121,'Critical resources (hide)'!AA$6:AA$105)&gt;0,$E$1=2),0,1),0)</f>
        <v>1</v>
      </c>
      <c r="O121" s="67">
        <f ca="1">IF(LOWER(Capacity!$V26)="x",IF(AND(SUMIF(Capacity_Resource,$D121,'Critical resources (hide)'!AB$6:AB$105)+SUMIF(Capacity_Resource,$E121,'Critical resources (hide)'!AB$6:AB$105)+SUMIF(Capacity_Resource,$F121,'Critical resources (hide)'!AB$6:AB$105)&gt;0,$E$1=2),0,1),0)</f>
        <v>1</v>
      </c>
      <c r="P121" s="67">
        <f ca="1">IF(LOWER(Capacity!$V26)="x",IF(AND(SUMIF(Capacity_Resource,$D121,'Critical resources (hide)'!AC$6:AC$105)+SUMIF(Capacity_Resource,$E121,'Critical resources (hide)'!AC$6:AC$105)+SUMIF(Capacity_Resource,$F121,'Critical resources (hide)'!AC$6:AC$105)&gt;0,$E$1=2),0,1),0)</f>
        <v>1</v>
      </c>
      <c r="Q121" s="67">
        <f ca="1">IF(LOWER(Capacity!$V26)="x",IF(AND(SUMIF(Capacity_Resource,$D121,'Critical resources (hide)'!AD$6:AD$105)+SUMIF(Capacity_Resource,$E121,'Critical resources (hide)'!AD$6:AD$105)+SUMIF(Capacity_Resource,$F121,'Critical resources (hide)'!AD$6:AD$105)&gt;0,$E$1=2),0,1),0)</f>
        <v>1</v>
      </c>
      <c r="R121" s="67">
        <f ca="1">IF(LOWER(Capacity!$V26)="x",IF(AND(SUMIF(Capacity_Resource,$D121,'Critical resources (hide)'!AE$6:AE$105)+SUMIF(Capacity_Resource,$E121,'Critical resources (hide)'!AE$6:AE$105)+SUMIF(Capacity_Resource,$F121,'Critical resources (hide)'!AE$6:AE$105)&gt;0,$E$1=2),0,1),0)</f>
        <v>1</v>
      </c>
      <c r="S121" s="67">
        <f ca="1">IF(LOWER(Capacity!$V26)="x",IF(AND(SUMIF(Capacity_Resource,$D121,'Critical resources (hide)'!AF$6:AF$105)+SUMIF(Capacity_Resource,$E121,'Critical resources (hide)'!AF$6:AF$105)+SUMIF(Capacity_Resource,$F121,'Critical resources (hide)'!AF$6:AF$105)&gt;0,$E$1=2),0,1),0)</f>
        <v>1</v>
      </c>
      <c r="T121" s="67">
        <f ca="1">IF(LOWER(Capacity!$V26)="x",IF(AND(SUMIF(Capacity_Resource,$D121,'Critical resources (hide)'!AG$6:AG$105)+SUMIF(Capacity_Resource,$E121,'Critical resources (hide)'!AG$6:AG$105)+SUMIF(Capacity_Resource,$F121,'Critical resources (hide)'!AG$6:AG$105)&gt;0,$E$1=2),0,1),0)</f>
        <v>1</v>
      </c>
      <c r="U121" s="67">
        <f ca="1">IF(LOWER(Capacity!$V26)="x",IF(AND(SUMIF(Capacity_Resource,$D121,'Critical resources (hide)'!AH$6:AH$105)+SUMIF(Capacity_Resource,$E121,'Critical resources (hide)'!AH$6:AH$105)+SUMIF(Capacity_Resource,$F121,'Critical resources (hide)'!AH$6:AH$105)&gt;0,$E$1=2),0,1),0)</f>
        <v>1</v>
      </c>
      <c r="V121" s="67">
        <f ca="1">IF(LOWER(Capacity!$V26)="x",IF(AND(SUMIF(Capacity_Resource,$D121,'Critical resources (hide)'!AI$6:AI$105)+SUMIF(Capacity_Resource,$E121,'Critical resources (hide)'!AI$6:AI$105)+SUMIF(Capacity_Resource,$F121,'Critical resources (hide)'!AI$6:AI$105)&gt;0,$E$1=2),0,1),0)</f>
        <v>1</v>
      </c>
      <c r="W121" s="67">
        <f ca="1">IF(LOWER(Capacity!$V26)="x",IF(AND(SUMIF(Capacity_Resource,$D121,'Critical resources (hide)'!AJ$6:AJ$105)+SUMIF(Capacity_Resource,$E121,'Critical resources (hide)'!AJ$6:AJ$105)+SUMIF(Capacity_Resource,$F121,'Critical resources (hide)'!AJ$6:AJ$105)&gt;0,$E$1=2),0,1),0)</f>
        <v>1</v>
      </c>
      <c r="X121" s="67">
        <f ca="1">IF(LOWER(Capacity!$V26)="x",IF(AND(SUMIF(Capacity_Resource,$D121,'Critical resources (hide)'!AK$6:AK$105)+SUMIF(Capacity_Resource,$E121,'Critical resources (hide)'!AK$6:AK$105)+SUMIF(Capacity_Resource,$F121,'Critical resources (hide)'!AK$6:AK$105)&gt;0,$E$1=2),0,1),0)</f>
        <v>1</v>
      </c>
      <c r="Y121" s="67">
        <f ca="1">IF(LOWER(Capacity!$V26)="x",IF(AND(SUMIF(Capacity_Resource,$D121,'Critical resources (hide)'!AL$6:AL$105)+SUMIF(Capacity_Resource,$E121,'Critical resources (hide)'!AL$6:AL$105)+SUMIF(Capacity_Resource,$F121,'Critical resources (hide)'!AL$6:AL$105)&gt;0,$E$1=2),0,1),0)</f>
        <v>1</v>
      </c>
      <c r="Z121" s="67">
        <f ca="1">IF(LOWER(Capacity!$V26)="x",IF(AND(SUMIF(Capacity_Resource,$D121,'Critical resources (hide)'!AM$6:AM$105)+SUMIF(Capacity_Resource,$E121,'Critical resources (hide)'!AM$6:AM$105)+SUMIF(Capacity_Resource,$F121,'Critical resources (hide)'!AM$6:AM$105)&gt;0,$E$1=2),0,1),0)</f>
        <v>1</v>
      </c>
      <c r="AA121" s="67">
        <f ca="1">IF(LOWER(Capacity!$V26)="x",IF(AND(SUMIF(Capacity_Resource,$D121,'Critical resources (hide)'!AN$6:AN$105)+SUMIF(Capacity_Resource,$E121,'Critical resources (hide)'!AN$6:AN$105)+SUMIF(Capacity_Resource,$F121,'Critical resources (hide)'!AN$6:AN$105)&gt;0,$E$1=2),0,1),0)</f>
        <v>1</v>
      </c>
      <c r="AB121" s="67">
        <f ca="1">IF(LOWER(Capacity!$V26)="x",IF(AND(SUMIF(Capacity_Resource,$D121,'Critical resources (hide)'!AO$6:AO$105)+SUMIF(Capacity_Resource,$E121,'Critical resources (hide)'!AO$6:AO$105)+SUMIF(Capacity_Resource,$F121,'Critical resources (hide)'!AO$6:AO$105)&gt;0,$E$1=2),0,1),0)</f>
        <v>1</v>
      </c>
      <c r="AC121" s="67">
        <f ca="1">IF(LOWER(Capacity!$V26)="x",IF(AND(SUMIF(Capacity_Resource,$D121,'Critical resources (hide)'!AP$6:AP$105)+SUMIF(Capacity_Resource,$E121,'Critical resources (hide)'!AP$6:AP$105)+SUMIF(Capacity_Resource,$F121,'Critical resources (hide)'!AP$6:AP$105)&gt;0,$E$1=2),0,1),0)</f>
        <v>1</v>
      </c>
      <c r="AD121" s="67">
        <f ca="1">IF(LOWER(Capacity!$V26)="x",IF(AND(SUMIF(Capacity_Resource,$D121,'Critical resources (hide)'!AQ$6:AQ$105)+SUMIF(Capacity_Resource,$E121,'Critical resources (hide)'!AQ$6:AQ$105)+SUMIF(Capacity_Resource,$F121,'Critical resources (hide)'!AQ$6:AQ$105)&gt;0,$E$1=2),0,1),0)</f>
        <v>1</v>
      </c>
      <c r="AE121" s="67">
        <f ca="1">IF(LOWER(Capacity!$V26)="x",IF(AND(SUMIF(Capacity_Resource,$D121,'Critical resources (hide)'!AR$6:AR$105)+SUMIF(Capacity_Resource,$E121,'Critical resources (hide)'!AR$6:AR$105)+SUMIF(Capacity_Resource,$F121,'Critical resources (hide)'!AR$6:AR$105)&gt;0,$E$1=2),0,1),0)</f>
        <v>1</v>
      </c>
      <c r="AF121" s="67">
        <f ca="1">IF(LOWER(Capacity!$V26)="x",IF(AND(SUMIF(Capacity_Resource,$D121,'Critical resources (hide)'!AS$6:AS$105)+SUMIF(Capacity_Resource,$E121,'Critical resources (hide)'!AS$6:AS$105)+SUMIF(Capacity_Resource,$F121,'Critical resources (hide)'!AS$6:AS$105)&gt;0,$E$1=2),0,1),0)</f>
        <v>1</v>
      </c>
      <c r="AG121" s="67">
        <f ca="1">IF(LOWER(Capacity!$V26)="x",IF(AND(SUMIF(Capacity_Resource,$D121,'Critical resources (hide)'!AT$6:AT$105)+SUMIF(Capacity_Resource,$E121,'Critical resources (hide)'!AT$6:AT$105)+SUMIF(Capacity_Resource,$F121,'Critical resources (hide)'!AT$6:AT$105)&gt;0,$E$1=2),0,1),0)</f>
        <v>1</v>
      </c>
      <c r="AH121" s="67">
        <f ca="1">IF(LOWER(Capacity!$V26)="x",IF(AND(SUMIF(Capacity_Resource,$D121,'Critical resources (hide)'!AU$6:AU$105)+SUMIF(Capacity_Resource,$E121,'Critical resources (hide)'!AU$6:AU$105)+SUMIF(Capacity_Resource,$F121,'Critical resources (hide)'!AU$6:AU$105)&gt;0,$E$1=2),0,1),0)</f>
        <v>1</v>
      </c>
      <c r="AI121" s="67">
        <f ca="1">IF(LOWER(Capacity!$V26)="x",IF(AND(SUMIF(Capacity_Resource,$D121,'Critical resources (hide)'!AV$6:AV$105)+SUMIF(Capacity_Resource,$E121,'Critical resources (hide)'!AV$6:AV$105)+SUMIF(Capacity_Resource,$F121,'Critical resources (hide)'!AV$6:AV$105)&gt;0,$E$1=2),0,1),0)</f>
        <v>1</v>
      </c>
      <c r="AJ121" s="67">
        <f ca="1">IF(LOWER(Capacity!$V26)="x",IF(AND(SUMIF(Capacity_Resource,$D121,'Critical resources (hide)'!AW$6:AW$105)+SUMIF(Capacity_Resource,$E121,'Critical resources (hide)'!AW$6:AW$105)+SUMIF(Capacity_Resource,$F121,'Critical resources (hide)'!AW$6:AW$105)&gt;0,$E$1=2),0,1),0)</f>
        <v>1</v>
      </c>
      <c r="AK121" s="67">
        <f ca="1">IF(LOWER(Capacity!$V26)="x",IF(AND(SUMIF(Capacity_Resource,$D121,'Critical resources (hide)'!AX$6:AX$105)+SUMIF(Capacity_Resource,$E121,'Critical resources (hide)'!AX$6:AX$105)+SUMIF(Capacity_Resource,$F121,'Critical resources (hide)'!AX$6:AX$105)&gt;0,$E$1=2),0,1),0)</f>
        <v>1</v>
      </c>
      <c r="AL121" s="67">
        <f ca="1">IF(LOWER(Capacity!$V26)="x",IF(AND(SUMIF(Capacity_Resource,$D121,'Critical resources (hide)'!AY$6:AY$105)+SUMIF(Capacity_Resource,$E121,'Critical resources (hide)'!AY$6:AY$105)+SUMIF(Capacity_Resource,$F121,'Critical resources (hide)'!AY$6:AY$105)&gt;0,$E$1=2),0,1),0)</f>
        <v>1</v>
      </c>
      <c r="AM121" s="67">
        <f ca="1">IF(LOWER(Capacity!$V26)="x",IF(AND(SUMIF(Capacity_Resource,$D121,'Critical resources (hide)'!AZ$6:AZ$105)+SUMIF(Capacity_Resource,$E121,'Critical resources (hide)'!AZ$6:AZ$105)+SUMIF(Capacity_Resource,$F121,'Critical resources (hide)'!AZ$6:AZ$105)&gt;0,$E$1=2),0,1),0)</f>
        <v>1</v>
      </c>
      <c r="AN121" s="67">
        <f ca="1">IF(LOWER(Capacity!$V26)="x",IF(AND(SUMIF(Capacity_Resource,$D121,'Critical resources (hide)'!BA$6:BA$105)+SUMIF(Capacity_Resource,$E121,'Critical resources (hide)'!BA$6:BA$105)+SUMIF(Capacity_Resource,$F121,'Critical resources (hide)'!BA$6:BA$105)&gt;0,$E$1=2),0,1),0)</f>
        <v>1</v>
      </c>
      <c r="AO121" s="67">
        <f ca="1">IF(LOWER(Capacity!$V26)="x",IF(AND(SUMIF(Capacity_Resource,$D121,'Critical resources (hide)'!BB$6:BB$105)+SUMIF(Capacity_Resource,$E121,'Critical resources (hide)'!BB$6:BB$105)+SUMIF(Capacity_Resource,$F121,'Critical resources (hide)'!BB$6:BB$105)&gt;0,$E$1=2),0,1),0)</f>
        <v>1</v>
      </c>
      <c r="AP121" s="67">
        <f ca="1">IF(LOWER(Capacity!$V26)="x",IF(AND(SUMIF(Capacity_Resource,$D121,'Critical resources (hide)'!BC$6:BC$105)+SUMIF(Capacity_Resource,$E121,'Critical resources (hide)'!BC$6:BC$105)+SUMIF(Capacity_Resource,$F121,'Critical resources (hide)'!BC$6:BC$105)&gt;0,$E$1=2),0,1),0)</f>
        <v>1</v>
      </c>
      <c r="AQ121" s="67">
        <f ca="1">IF(LOWER(Capacity!$V26)="x",IF(AND(SUMIF(Capacity_Resource,$D121,'Critical resources (hide)'!BD$6:BD$105)+SUMIF(Capacity_Resource,$E121,'Critical resources (hide)'!BD$6:BD$105)+SUMIF(Capacity_Resource,$F121,'Critical resources (hide)'!BD$6:BD$105)&gt;0,$E$1=2),0,1),0)</f>
        <v>1</v>
      </c>
      <c r="AR121" s="67">
        <f ca="1">IF(LOWER(Capacity!$V26)="x",IF(AND(SUMIF(Capacity_Resource,$D121,'Critical resources (hide)'!BE$6:BE$105)+SUMIF(Capacity_Resource,$E121,'Critical resources (hide)'!BE$6:BE$105)+SUMIF(Capacity_Resource,$F121,'Critical resources (hide)'!BE$6:BE$105)&gt;0,$E$1=2),0,1),0)</f>
        <v>1</v>
      </c>
      <c r="AS121" s="67">
        <f ca="1">IF(LOWER(Capacity!$V26)="x",IF(AND(SUMIF(Capacity_Resource,$D121,'Critical resources (hide)'!BF$6:BF$105)+SUMIF(Capacity_Resource,$E121,'Critical resources (hide)'!BF$6:BF$105)+SUMIF(Capacity_Resource,$F121,'Critical resources (hide)'!BF$6:BF$105)&gt;0,$E$1=2),0,1),0)</f>
        <v>1</v>
      </c>
      <c r="AT121" s="67">
        <f ca="1">IF(LOWER(Capacity!$V26)="x",IF(AND(SUMIF(Capacity_Resource,$D121,'Critical resources (hide)'!BG$6:BG$105)+SUMIF(Capacity_Resource,$E121,'Critical resources (hide)'!BG$6:BG$105)+SUMIF(Capacity_Resource,$F121,'Critical resources (hide)'!BG$6:BG$105)&gt;0,$E$1=2),0,1),0)</f>
        <v>1</v>
      </c>
      <c r="AU121" s="67">
        <f ca="1">IF(LOWER(Capacity!$V26)="x",IF(AND(SUMIF(Capacity_Resource,$D121,'Critical resources (hide)'!BH$6:BH$105)+SUMIF(Capacity_Resource,$E121,'Critical resources (hide)'!BH$6:BH$105)+SUMIF(Capacity_Resource,$F121,'Critical resources (hide)'!BH$6:BH$105)&gt;0,$E$1=2),0,1),0)</f>
        <v>1</v>
      </c>
      <c r="AV121" s="67">
        <f ca="1">IF(LOWER(Capacity!$V26)="x",IF(AND(SUMIF(Capacity_Resource,$D121,'Critical resources (hide)'!BI$6:BI$105)+SUMIF(Capacity_Resource,$E121,'Critical resources (hide)'!BI$6:BI$105)+SUMIF(Capacity_Resource,$F121,'Critical resources (hide)'!BI$6:BI$105)&gt;0,$E$1=2),0,1),0)</f>
        <v>1</v>
      </c>
      <c r="AW121" s="67">
        <f ca="1">IF(LOWER(Capacity!$V26)="x",IF(AND(SUMIF(Capacity_Resource,$D121,'Critical resources (hide)'!BJ$6:BJ$105)+SUMIF(Capacity_Resource,$E121,'Critical resources (hide)'!BJ$6:BJ$105)+SUMIF(Capacity_Resource,$F121,'Critical resources (hide)'!BJ$6:BJ$105)&gt;0,$E$1=2),0,1),0)</f>
        <v>1</v>
      </c>
      <c r="AX121" s="67">
        <f ca="1">IF(LOWER(Capacity!$V26)="x",IF(AND(SUMIF(Capacity_Resource,$D121,'Critical resources (hide)'!BK$6:BK$105)+SUMIF(Capacity_Resource,$E121,'Critical resources (hide)'!BK$6:BK$105)+SUMIF(Capacity_Resource,$F121,'Critical resources (hide)'!BK$6:BK$105)&gt;0,$E$1=2),0,1),0)</f>
        <v>1</v>
      </c>
      <c r="AY121" s="67">
        <f ca="1">IF(LOWER(Capacity!$V26)="x",IF(AND(SUMIF(Capacity_Resource,$D121,'Critical resources (hide)'!BL$6:BL$105)+SUMIF(Capacity_Resource,$E121,'Critical resources (hide)'!BL$6:BL$105)+SUMIF(Capacity_Resource,$F121,'Critical resources (hide)'!BL$6:BL$105)&gt;0,$E$1=2),0,1),0)</f>
        <v>1</v>
      </c>
      <c r="AZ121" s="67">
        <f ca="1">IF(LOWER(Capacity!$V26)="x",IF(AND(SUMIF(Capacity_Resource,$D121,'Critical resources (hide)'!BM$6:BM$105)+SUMIF(Capacity_Resource,$E121,'Critical resources (hide)'!BM$6:BM$105)+SUMIF(Capacity_Resource,$F121,'Critical resources (hide)'!BM$6:BM$105)&gt;0,$E$1=2),0,1),0)</f>
        <v>1</v>
      </c>
      <c r="BA121" s="67">
        <f ca="1">IF(LOWER(Capacity!$V26)="x",IF(AND(SUMIF(Capacity_Resource,$D121,'Critical resources (hide)'!BN$6:BN$105)+SUMIF(Capacity_Resource,$E121,'Critical resources (hide)'!BN$6:BN$105)+SUMIF(Capacity_Resource,$F121,'Critical resources (hide)'!BN$6:BN$105)&gt;0,$E$1=2),0,1),0)</f>
        <v>1</v>
      </c>
      <c r="BB121" s="67">
        <f ca="1">IF(LOWER(Capacity!$V26)="x",IF(AND(SUMIF(Capacity_Resource,$D121,'Critical resources (hide)'!BO$6:BO$105)+SUMIF(Capacity_Resource,$E121,'Critical resources (hide)'!BO$6:BO$105)+SUMIF(Capacity_Resource,$F121,'Critical resources (hide)'!BO$6:BO$105)&gt;0,$E$1=2),0,1),0)</f>
        <v>1</v>
      </c>
      <c r="BC121" s="67">
        <f ca="1">IF(LOWER(Capacity!$V26)="x",IF(AND(SUMIF(Capacity_Resource,$D121,'Critical resources (hide)'!BP$6:BP$105)+SUMIF(Capacity_Resource,$E121,'Critical resources (hide)'!BP$6:BP$105)+SUMIF(Capacity_Resource,$F121,'Critical resources (hide)'!BP$6:BP$105)&gt;0,$E$1=2),0,1),0)</f>
        <v>1</v>
      </c>
      <c r="BD121" s="67">
        <f ca="1">IF(LOWER(Capacity!$V26)="x",IF(AND(SUMIF(Capacity_Resource,$D121,'Critical resources (hide)'!BQ$6:BQ$105)+SUMIF(Capacity_Resource,$E121,'Critical resources (hide)'!BQ$6:BQ$105)+SUMIF(Capacity_Resource,$F121,'Critical resources (hide)'!BQ$6:BQ$105)&gt;0,$E$1=2),0,1),0)</f>
        <v>1</v>
      </c>
      <c r="BE121" s="67">
        <f ca="1">IF(LOWER(Capacity!$V26)="x",IF(AND(SUMIF(Capacity_Resource,$D121,'Critical resources (hide)'!BR$6:BR$105)+SUMIF(Capacity_Resource,$E121,'Critical resources (hide)'!BR$6:BR$105)+SUMIF(Capacity_Resource,$F121,'Critical resources (hide)'!BR$6:BR$105)&gt;0,$E$1=2),0,1),0)</f>
        <v>1</v>
      </c>
      <c r="BF121" s="67">
        <f ca="1">IF(LOWER(Capacity!$V26)="x",IF(AND(SUMIF(Capacity_Resource,$D121,'Critical resources (hide)'!BS$6:BS$105)+SUMIF(Capacity_Resource,$E121,'Critical resources (hide)'!BS$6:BS$105)+SUMIF(Capacity_Resource,$F121,'Critical resources (hide)'!BS$6:BS$105)&gt;0,$E$1=2),0,1),0)</f>
        <v>1</v>
      </c>
      <c r="BG121" s="67">
        <f ca="1">IF(LOWER(Capacity!$V26)="x",IF(AND(SUMIF(Capacity_Resource,$D121,'Critical resources (hide)'!BT$6:BT$105)+SUMIF(Capacity_Resource,$E121,'Critical resources (hide)'!BT$6:BT$105)+SUMIF(Capacity_Resource,$F121,'Critical resources (hide)'!BT$6:BT$105)&gt;0,$E$1=2),0,1),0)</f>
        <v>1</v>
      </c>
      <c r="BH121" s="67">
        <f>IF(ROW(A10)&lt;=Capacity!$M$16,IF('Capacity summary'!$C$14="No",SUM(H121:BG121),'Capacity summary'!$E33),0)</f>
        <v>0</v>
      </c>
      <c r="BI121" s="67" t="str">
        <f>IF(BH121&gt;0,IF(BH121&lt;Capacity!Q26,Capacity!R26,Capacity!T26/'Capacity calculation (hide)'!BH121),"")</f>
        <v/>
      </c>
      <c r="BJ121" s="5"/>
      <c r="BK121" s="5">
        <f>IF($BI121&lt;&gt;"",IF('Capacity summary'!$C$14="Yes",IF(COUNTBLANK('Capacity summary'!$H33:$BG33)&lt;52,IF('Capacity summary'!H33&lt;&gt;"",IF(LOWER('Capacity summary'!H33)="x",$BI121*H121,VALUE('Capacity summary'!H33)),0),H121*$BI121),H121*$BI121),0)</f>
        <v>0</v>
      </c>
      <c r="BL121" s="5">
        <f>IF($BI121&lt;&gt;"",IF('Capacity summary'!$C$14="Yes",IF(COUNTBLANK('Capacity summary'!$H33:$BG33)&lt;52,IF('Capacity summary'!I33&lt;&gt;"",IF(LOWER('Capacity summary'!I33)="x",$BI121*I121,VALUE('Capacity summary'!I33)),0),I121*$BI121),I121*$BI121),0)</f>
        <v>0</v>
      </c>
      <c r="BM121" s="5">
        <f>IF($BI121&lt;&gt;"",IF('Capacity summary'!$C$14="Yes",IF(COUNTBLANK('Capacity summary'!$H33:$BG33)&lt;52,IF('Capacity summary'!J33&lt;&gt;"",IF(LOWER('Capacity summary'!J33)="x",$BI121*J121,VALUE('Capacity summary'!J33)),0),J121*$BI121),J121*$BI121),0)</f>
        <v>0</v>
      </c>
      <c r="BN121" s="5">
        <f>IF($BI121&lt;&gt;"",IF('Capacity summary'!$C$14="Yes",IF(COUNTBLANK('Capacity summary'!$H33:$BG33)&lt;52,IF('Capacity summary'!K33&lt;&gt;"",IF(LOWER('Capacity summary'!K33)="x",$BI121*K121,VALUE('Capacity summary'!K33)),0),K121*$BI121),K121*$BI121),0)</f>
        <v>0</v>
      </c>
      <c r="BO121" s="5">
        <f>IF($BI121&lt;&gt;"",IF('Capacity summary'!$C$14="Yes",IF(COUNTBLANK('Capacity summary'!$H33:$BG33)&lt;52,IF('Capacity summary'!L33&lt;&gt;"",IF(LOWER('Capacity summary'!L33)="x",$BI121*L121,VALUE('Capacity summary'!L33)),0),L121*$BI121),L121*$BI121),0)</f>
        <v>0</v>
      </c>
      <c r="BP121" s="5">
        <f>IF($BI121&lt;&gt;"",IF('Capacity summary'!$C$14="Yes",IF(COUNTBLANK('Capacity summary'!$H33:$BG33)&lt;52,IF('Capacity summary'!M33&lt;&gt;"",IF(LOWER('Capacity summary'!M33)="x",$BI121*M121,VALUE('Capacity summary'!M33)),0),M121*$BI121),M121*$BI121),0)</f>
        <v>0</v>
      </c>
      <c r="BQ121" s="5">
        <f>IF($BI121&lt;&gt;"",IF('Capacity summary'!$C$14="Yes",IF(COUNTBLANK('Capacity summary'!$H33:$BG33)&lt;52,IF('Capacity summary'!N33&lt;&gt;"",IF(LOWER('Capacity summary'!N33)="x",$BI121*N121,VALUE('Capacity summary'!N33)),0),N121*$BI121),N121*$BI121),0)</f>
        <v>0</v>
      </c>
      <c r="BR121" s="5">
        <f>IF($BI121&lt;&gt;"",IF('Capacity summary'!$C$14="Yes",IF(COUNTBLANK('Capacity summary'!$H33:$BG33)&lt;52,IF('Capacity summary'!O33&lt;&gt;"",IF(LOWER('Capacity summary'!O33)="x",$BI121*O121,VALUE('Capacity summary'!O33)),0),O121*$BI121),O121*$BI121),0)</f>
        <v>0</v>
      </c>
      <c r="BS121" s="5">
        <f>IF($BI121&lt;&gt;"",IF('Capacity summary'!$C$14="Yes",IF(COUNTBLANK('Capacity summary'!$H33:$BG33)&lt;52,IF('Capacity summary'!P33&lt;&gt;"",IF(LOWER('Capacity summary'!P33)="x",$BI121*P121,VALUE('Capacity summary'!P33)),0),P121*$BI121),P121*$BI121),0)</f>
        <v>0</v>
      </c>
      <c r="BT121" s="5">
        <f>IF($BI121&lt;&gt;"",IF('Capacity summary'!$C$14="Yes",IF(COUNTBLANK('Capacity summary'!$H33:$BG33)&lt;52,IF('Capacity summary'!Q33&lt;&gt;"",IF(LOWER('Capacity summary'!Q33)="x",$BI121*Q121,VALUE('Capacity summary'!Q33)),0),Q121*$BI121),Q121*$BI121),0)</f>
        <v>0</v>
      </c>
      <c r="BU121" s="5">
        <f>IF($BI121&lt;&gt;"",IF('Capacity summary'!$C$14="Yes",IF(COUNTBLANK('Capacity summary'!$H33:$BG33)&lt;52,IF('Capacity summary'!R33&lt;&gt;"",IF(LOWER('Capacity summary'!R33)="x",$BI121*R121,VALUE('Capacity summary'!R33)),0),R121*$BI121),R121*$BI121),0)</f>
        <v>0</v>
      </c>
      <c r="BV121" s="5">
        <f>IF($BI121&lt;&gt;"",IF('Capacity summary'!$C$14="Yes",IF(COUNTBLANK('Capacity summary'!$H33:$BG33)&lt;52,IF('Capacity summary'!S33&lt;&gt;"",IF(LOWER('Capacity summary'!S33)="x",$BI121*S121,VALUE('Capacity summary'!S33)),0),S121*$BI121),S121*$BI121),0)</f>
        <v>0</v>
      </c>
      <c r="BW121" s="5">
        <f>IF($BI121&lt;&gt;"",IF('Capacity summary'!$C$14="Yes",IF(COUNTBLANK('Capacity summary'!$H33:$BG33)&lt;52,IF('Capacity summary'!T33&lt;&gt;"",IF(LOWER('Capacity summary'!T33)="x",$BI121*T121,VALUE('Capacity summary'!T33)),0),T121*$BI121),T121*$BI121),0)</f>
        <v>0</v>
      </c>
      <c r="BX121" s="5">
        <f>IF($BI121&lt;&gt;"",IF('Capacity summary'!$C$14="Yes",IF(COUNTBLANK('Capacity summary'!$H33:$BG33)&lt;52,IF('Capacity summary'!U33&lt;&gt;"",IF(LOWER('Capacity summary'!U33)="x",$BI121*U121,VALUE('Capacity summary'!U33)),0),U121*$BI121),U121*$BI121),0)</f>
        <v>0</v>
      </c>
      <c r="BY121" s="5">
        <f>IF($BI121&lt;&gt;"",IF('Capacity summary'!$C$14="Yes",IF(COUNTBLANK('Capacity summary'!$H33:$BG33)&lt;52,IF('Capacity summary'!V33&lt;&gt;"",IF(LOWER('Capacity summary'!V33)="x",$BI121*V121,VALUE('Capacity summary'!V33)),0),V121*$BI121),V121*$BI121),0)</f>
        <v>0</v>
      </c>
      <c r="BZ121" s="5">
        <f>IF($BI121&lt;&gt;"",IF('Capacity summary'!$C$14="Yes",IF(COUNTBLANK('Capacity summary'!$H33:$BG33)&lt;52,IF('Capacity summary'!W33&lt;&gt;"",IF(LOWER('Capacity summary'!W33)="x",$BI121*W121,VALUE('Capacity summary'!W33)),0),W121*$BI121),W121*$BI121),0)</f>
        <v>0</v>
      </c>
      <c r="CA121" s="5">
        <f>IF($BI121&lt;&gt;"",IF('Capacity summary'!$C$14="Yes",IF(COUNTBLANK('Capacity summary'!$H33:$BG33)&lt;52,IF('Capacity summary'!X33&lt;&gt;"",IF(LOWER('Capacity summary'!X33)="x",$BI121*X121,VALUE('Capacity summary'!X33)),0),X121*$BI121),X121*$BI121),0)</f>
        <v>0</v>
      </c>
      <c r="CB121" s="5">
        <f>IF($BI121&lt;&gt;"",IF('Capacity summary'!$C$14="Yes",IF(COUNTBLANK('Capacity summary'!$H33:$BG33)&lt;52,IF('Capacity summary'!Y33&lt;&gt;"",IF(LOWER('Capacity summary'!Y33)="x",$BI121*Y121,VALUE('Capacity summary'!Y33)),0),Y121*$BI121),Y121*$BI121),0)</f>
        <v>0</v>
      </c>
      <c r="CC121" s="5">
        <f>IF($BI121&lt;&gt;"",IF('Capacity summary'!$C$14="Yes",IF(COUNTBLANK('Capacity summary'!$H33:$BG33)&lt;52,IF('Capacity summary'!Z33&lt;&gt;"",IF(LOWER('Capacity summary'!Z33)="x",$BI121*Z121,VALUE('Capacity summary'!Z33)),0),Z121*$BI121),Z121*$BI121),0)</f>
        <v>0</v>
      </c>
      <c r="CD121" s="5">
        <f>IF($BI121&lt;&gt;"",IF('Capacity summary'!$C$14="Yes",IF(COUNTBLANK('Capacity summary'!$H33:$BG33)&lt;52,IF('Capacity summary'!AA33&lt;&gt;"",IF(LOWER('Capacity summary'!AA33)="x",$BI121*AA121,VALUE('Capacity summary'!AA33)),0),AA121*$BI121),AA121*$BI121),0)</f>
        <v>0</v>
      </c>
      <c r="CE121" s="5">
        <f>IF($BI121&lt;&gt;"",IF('Capacity summary'!$C$14="Yes",IF(COUNTBLANK('Capacity summary'!$H33:$BG33)&lt;52,IF('Capacity summary'!AB33&lt;&gt;"",IF(LOWER('Capacity summary'!AB33)="x",$BI121*AB121,VALUE('Capacity summary'!AB33)),0),AB121*$BI121),AB121*$BI121),0)</f>
        <v>0</v>
      </c>
      <c r="CF121" s="5">
        <f>IF($BI121&lt;&gt;"",IF('Capacity summary'!$C$14="Yes",IF(COUNTBLANK('Capacity summary'!$H33:$BG33)&lt;52,IF('Capacity summary'!AC33&lt;&gt;"",IF(LOWER('Capacity summary'!AC33)="x",$BI121*AC121,VALUE('Capacity summary'!AC33)),0),AC121*$BI121),AC121*$BI121),0)</f>
        <v>0</v>
      </c>
      <c r="CG121" s="5">
        <f>IF($BI121&lt;&gt;"",IF('Capacity summary'!$C$14="Yes",IF(COUNTBLANK('Capacity summary'!$H33:$BG33)&lt;52,IF('Capacity summary'!AD33&lt;&gt;"",IF(LOWER('Capacity summary'!AD33)="x",$BI121*AD121,VALUE('Capacity summary'!AD33)),0),AD121*$BI121),AD121*$BI121),0)</f>
        <v>0</v>
      </c>
      <c r="CH121" s="5">
        <f>IF($BI121&lt;&gt;"",IF('Capacity summary'!$C$14="Yes",IF(COUNTBLANK('Capacity summary'!$H33:$BG33)&lt;52,IF('Capacity summary'!AE33&lt;&gt;"",IF(LOWER('Capacity summary'!AE33)="x",$BI121*AE121,VALUE('Capacity summary'!AE33)),0),AE121*$BI121),AE121*$BI121),0)</f>
        <v>0</v>
      </c>
      <c r="CI121" s="5">
        <f>IF($BI121&lt;&gt;"",IF('Capacity summary'!$C$14="Yes",IF(COUNTBLANK('Capacity summary'!$H33:$BG33)&lt;52,IF('Capacity summary'!AF33&lt;&gt;"",IF(LOWER('Capacity summary'!AF33)="x",$BI121*AF121,VALUE('Capacity summary'!AF33)),0),AF121*$BI121),AF121*$BI121),0)</f>
        <v>0</v>
      </c>
      <c r="CJ121" s="5">
        <f>IF($BI121&lt;&gt;"",IF('Capacity summary'!$C$14="Yes",IF(COUNTBLANK('Capacity summary'!$H33:$BG33)&lt;52,IF('Capacity summary'!AG33&lt;&gt;"",IF(LOWER('Capacity summary'!AG33)="x",$BI121*AG121,VALUE('Capacity summary'!AG33)),0),AG121*$BI121),AG121*$BI121),0)</f>
        <v>0</v>
      </c>
      <c r="CK121" s="5">
        <f>IF($BI121&lt;&gt;"",IF('Capacity summary'!$C$14="Yes",IF(COUNTBLANK('Capacity summary'!$H33:$BG33)&lt;52,IF('Capacity summary'!AH33&lt;&gt;"",IF(LOWER('Capacity summary'!AH33)="x",$BI121*AH121,VALUE('Capacity summary'!AH33)),0),AH121*$BI121),AH121*$BI121),0)</f>
        <v>0</v>
      </c>
      <c r="CL121" s="5">
        <f>IF($BI121&lt;&gt;"",IF('Capacity summary'!$C$14="Yes",IF(COUNTBLANK('Capacity summary'!$H33:$BG33)&lt;52,IF('Capacity summary'!AI33&lt;&gt;"",IF(LOWER('Capacity summary'!AI33)="x",$BI121*AI121,VALUE('Capacity summary'!AI33)),0),AI121*$BI121),AI121*$BI121),0)</f>
        <v>0</v>
      </c>
      <c r="CM121" s="5">
        <f>IF($BI121&lt;&gt;"",IF('Capacity summary'!$C$14="Yes",IF(COUNTBLANK('Capacity summary'!$H33:$BG33)&lt;52,IF('Capacity summary'!AJ33&lt;&gt;"",IF(LOWER('Capacity summary'!AJ33)="x",$BI121*AJ121,VALUE('Capacity summary'!AJ33)),0),AJ121*$BI121),AJ121*$BI121),0)</f>
        <v>0</v>
      </c>
      <c r="CN121" s="5">
        <f>IF($BI121&lt;&gt;"",IF('Capacity summary'!$C$14="Yes",IF(COUNTBLANK('Capacity summary'!$H33:$BG33)&lt;52,IF('Capacity summary'!AK33&lt;&gt;"",IF(LOWER('Capacity summary'!AK33)="x",$BI121*AK121,VALUE('Capacity summary'!AK33)),0),AK121*$BI121),AK121*$BI121),0)</f>
        <v>0</v>
      </c>
      <c r="CO121" s="5">
        <f>IF($BI121&lt;&gt;"",IF('Capacity summary'!$C$14="Yes",IF(COUNTBLANK('Capacity summary'!$H33:$BG33)&lt;52,IF('Capacity summary'!AL33&lt;&gt;"",IF(LOWER('Capacity summary'!AL33)="x",$BI121*AL121,VALUE('Capacity summary'!AL33)),0),AL121*$BI121),AL121*$BI121),0)</f>
        <v>0</v>
      </c>
      <c r="CP121" s="5">
        <f>IF($BI121&lt;&gt;"",IF('Capacity summary'!$C$14="Yes",IF(COUNTBLANK('Capacity summary'!$H33:$BG33)&lt;52,IF('Capacity summary'!AM33&lt;&gt;"",IF(LOWER('Capacity summary'!AM33)="x",$BI121*AM121,VALUE('Capacity summary'!AM33)),0),AM121*$BI121),AM121*$BI121),0)</f>
        <v>0</v>
      </c>
      <c r="CQ121" s="5">
        <f>IF($BI121&lt;&gt;"",IF('Capacity summary'!$C$14="Yes",IF(COUNTBLANK('Capacity summary'!$H33:$BG33)&lt;52,IF('Capacity summary'!AN33&lt;&gt;"",IF(LOWER('Capacity summary'!AN33)="x",$BI121*AN121,VALUE('Capacity summary'!AN33)),0),AN121*$BI121),AN121*$BI121),0)</f>
        <v>0</v>
      </c>
      <c r="CR121" s="5">
        <f>IF($BI121&lt;&gt;"",IF('Capacity summary'!$C$14="Yes",IF(COUNTBLANK('Capacity summary'!$H33:$BG33)&lt;52,IF('Capacity summary'!AO33&lt;&gt;"",IF(LOWER('Capacity summary'!AO33)="x",$BI121*AO121,VALUE('Capacity summary'!AO33)),0),AO121*$BI121),AO121*$BI121),0)</f>
        <v>0</v>
      </c>
      <c r="CS121" s="5">
        <f>IF($BI121&lt;&gt;"",IF('Capacity summary'!$C$14="Yes",IF(COUNTBLANK('Capacity summary'!$H33:$BG33)&lt;52,IF('Capacity summary'!AP33&lt;&gt;"",IF(LOWER('Capacity summary'!AP33)="x",$BI121*AP121,VALUE('Capacity summary'!AP33)),0),AP121*$BI121),AP121*$BI121),0)</f>
        <v>0</v>
      </c>
      <c r="CT121" s="5">
        <f>IF($BI121&lt;&gt;"",IF('Capacity summary'!$C$14="Yes",IF(COUNTBLANK('Capacity summary'!$H33:$BG33)&lt;52,IF('Capacity summary'!AQ33&lt;&gt;"",IF(LOWER('Capacity summary'!AQ33)="x",$BI121*AQ121,VALUE('Capacity summary'!AQ33)),0),AQ121*$BI121),AQ121*$BI121),0)</f>
        <v>0</v>
      </c>
      <c r="CU121" s="5">
        <f>IF($BI121&lt;&gt;"",IF('Capacity summary'!$C$14="Yes",IF(COUNTBLANK('Capacity summary'!$H33:$BG33)&lt;52,IF('Capacity summary'!AR33&lt;&gt;"",IF(LOWER('Capacity summary'!AR33)="x",$BI121*AR121,VALUE('Capacity summary'!AR33)),0),AR121*$BI121),AR121*$BI121),0)</f>
        <v>0</v>
      </c>
      <c r="CV121" s="5">
        <f>IF($BI121&lt;&gt;"",IF('Capacity summary'!$C$14="Yes",IF(COUNTBLANK('Capacity summary'!$H33:$BG33)&lt;52,IF('Capacity summary'!AS33&lt;&gt;"",IF(LOWER('Capacity summary'!AS33)="x",$BI121*AS121,VALUE('Capacity summary'!AS33)),0),AS121*$BI121),AS121*$BI121),0)</f>
        <v>0</v>
      </c>
      <c r="CW121" s="5">
        <f>IF($BI121&lt;&gt;"",IF('Capacity summary'!$C$14="Yes",IF(COUNTBLANK('Capacity summary'!$H33:$BG33)&lt;52,IF('Capacity summary'!AT33&lt;&gt;"",IF(LOWER('Capacity summary'!AT33)="x",$BI121*AT121,VALUE('Capacity summary'!AT33)),0),AT121*$BI121),AT121*$BI121),0)</f>
        <v>0</v>
      </c>
      <c r="CX121" s="5">
        <f>IF($BI121&lt;&gt;"",IF('Capacity summary'!$C$14="Yes",IF(COUNTBLANK('Capacity summary'!$H33:$BG33)&lt;52,IF('Capacity summary'!AU33&lt;&gt;"",IF(LOWER('Capacity summary'!AU33)="x",$BI121*AU121,VALUE('Capacity summary'!AU33)),0),AU121*$BI121),AU121*$BI121),0)</f>
        <v>0</v>
      </c>
      <c r="CY121" s="5">
        <f>IF($BI121&lt;&gt;"",IF('Capacity summary'!$C$14="Yes",IF(COUNTBLANK('Capacity summary'!$H33:$BG33)&lt;52,IF('Capacity summary'!AV33&lt;&gt;"",IF(LOWER('Capacity summary'!AV33)="x",$BI121*AV121,VALUE('Capacity summary'!AV33)),0),AV121*$BI121),AV121*$BI121),0)</f>
        <v>0</v>
      </c>
      <c r="CZ121" s="5">
        <f>IF($BI121&lt;&gt;"",IF('Capacity summary'!$C$14="Yes",IF(COUNTBLANK('Capacity summary'!$H33:$BG33)&lt;52,IF('Capacity summary'!AW33&lt;&gt;"",IF(LOWER('Capacity summary'!AW33)="x",$BI121*AW121,VALUE('Capacity summary'!AW33)),0),AW121*$BI121),AW121*$BI121),0)</f>
        <v>0</v>
      </c>
      <c r="DA121" s="5">
        <f>IF($BI121&lt;&gt;"",IF('Capacity summary'!$C$14="Yes",IF(COUNTBLANK('Capacity summary'!$H33:$BG33)&lt;52,IF('Capacity summary'!AX33&lt;&gt;"",IF(LOWER('Capacity summary'!AX33)="x",$BI121*AX121,VALUE('Capacity summary'!AX33)),0),AX121*$BI121),AX121*$BI121),0)</f>
        <v>0</v>
      </c>
      <c r="DB121" s="5">
        <f>IF($BI121&lt;&gt;"",IF('Capacity summary'!$C$14="Yes",IF(COUNTBLANK('Capacity summary'!$H33:$BG33)&lt;52,IF('Capacity summary'!AY33&lt;&gt;"",IF(LOWER('Capacity summary'!AY33)="x",$BI121*AY121,VALUE('Capacity summary'!AY33)),0),AY121*$BI121),AY121*$BI121),0)</f>
        <v>0</v>
      </c>
      <c r="DC121" s="5">
        <f>IF($BI121&lt;&gt;"",IF('Capacity summary'!$C$14="Yes",IF(COUNTBLANK('Capacity summary'!$H33:$BG33)&lt;52,IF('Capacity summary'!AZ33&lt;&gt;"",IF(LOWER('Capacity summary'!AZ33)="x",$BI121*AZ121,VALUE('Capacity summary'!AZ33)),0),AZ121*$BI121),AZ121*$BI121),0)</f>
        <v>0</v>
      </c>
      <c r="DD121" s="5">
        <f>IF($BI121&lt;&gt;"",IF('Capacity summary'!$C$14="Yes",IF(COUNTBLANK('Capacity summary'!$H33:$BG33)&lt;52,IF('Capacity summary'!BA33&lt;&gt;"",IF(LOWER('Capacity summary'!BA33)="x",$BI121*BA121,VALUE('Capacity summary'!BA33)),0),BA121*$BI121),BA121*$BI121),0)</f>
        <v>0</v>
      </c>
      <c r="DE121" s="5">
        <f>IF($BI121&lt;&gt;"",IF('Capacity summary'!$C$14="Yes",IF(COUNTBLANK('Capacity summary'!$H33:$BG33)&lt;52,IF('Capacity summary'!BB33&lt;&gt;"",IF(LOWER('Capacity summary'!BB33)="x",$BI121*BB121,VALUE('Capacity summary'!BB33)),0),BB121*$BI121),BB121*$BI121),0)</f>
        <v>0</v>
      </c>
      <c r="DF121" s="5">
        <f>IF($BI121&lt;&gt;"",IF('Capacity summary'!$C$14="Yes",IF(COUNTBLANK('Capacity summary'!$H33:$BG33)&lt;52,IF('Capacity summary'!BC33&lt;&gt;"",IF(LOWER('Capacity summary'!BC33)="x",$BI121*BC121,VALUE('Capacity summary'!BC33)),0),BC121*$BI121),BC121*$BI121),0)</f>
        <v>0</v>
      </c>
      <c r="DG121" s="5">
        <f>IF($BI121&lt;&gt;"",IF('Capacity summary'!$C$14="Yes",IF(COUNTBLANK('Capacity summary'!$H33:$BG33)&lt;52,IF('Capacity summary'!BD33&lt;&gt;"",IF(LOWER('Capacity summary'!BD33)="x",$BI121*BD121,VALUE('Capacity summary'!BD33)),0),BD121*$BI121),BD121*$BI121),0)</f>
        <v>0</v>
      </c>
      <c r="DH121" s="5">
        <f>IF($BI121&lt;&gt;"",IF('Capacity summary'!$C$14="Yes",IF(COUNTBLANK('Capacity summary'!$H33:$BG33)&lt;52,IF('Capacity summary'!BE33&lt;&gt;"",IF(LOWER('Capacity summary'!BE33)="x",$BI121*BE121,VALUE('Capacity summary'!BE33)),0),BE121*$BI121),BE121*$BI121),0)</f>
        <v>0</v>
      </c>
      <c r="DI121" s="5">
        <f>IF($BI121&lt;&gt;"",IF('Capacity summary'!$C$14="Yes",IF(COUNTBLANK('Capacity summary'!$H33:$BG33)&lt;52,IF('Capacity summary'!BF33&lt;&gt;"",IF(LOWER('Capacity summary'!BF33)="x",$BI121*BF121,VALUE('Capacity summary'!BF33)),0),BF121*$BI121),BF121*$BI121),0)</f>
        <v>0</v>
      </c>
      <c r="DJ121" s="5">
        <f>IF($BI121&lt;&gt;"",IF('Capacity summary'!$C$14="Yes",IF(COUNTBLANK('Capacity summary'!$H33:$BG33)&lt;52,IF('Capacity summary'!BG33&lt;&gt;"",IF(LOWER('Capacity summary'!BG33)="x",$BI121*BG121,VALUE('Capacity summary'!BG33)),0),BG121*$BI121),BG121*$BI121),0)</f>
        <v>0</v>
      </c>
      <c r="DK121" s="391">
        <f t="shared" si="8"/>
        <v>0</v>
      </c>
      <c r="DL121" s="5">
        <f t="shared" si="9"/>
        <v>0</v>
      </c>
    </row>
    <row r="122" spans="3:116" x14ac:dyDescent="0.2">
      <c r="C122" s="67" t="str">
        <f>ROW(A11)&amp;". "&amp;Capacity!N27</f>
        <v xml:space="preserve">11. </v>
      </c>
      <c r="D122" s="67">
        <f>'Capacity setup'!C128</f>
        <v>0</v>
      </c>
      <c r="E122" s="67">
        <f>'Capacity setup'!D128</f>
        <v>0</v>
      </c>
      <c r="F122" s="67">
        <f>'Capacity setup'!E128</f>
        <v>0</v>
      </c>
      <c r="H122" s="67">
        <f ca="1">IF(LOWER(Capacity!$V27)="x",IF(AND(SUMIF(Capacity_Resource,$D122,'Critical resources (hide)'!U$6:U$105)+SUMIF(Capacity_Resource,$E122,'Critical resources (hide)'!U$6:U$105)+SUMIF(Capacity_Resource,$F122,'Critical resources (hide)'!U$6:U$105)&gt;0,$E$1=2),0,1),0)</f>
        <v>1</v>
      </c>
      <c r="I122" s="67">
        <f ca="1">IF(LOWER(Capacity!$V27)="x",IF(AND(SUMIF(Capacity_Resource,$D122,'Critical resources (hide)'!V$6:V$105)+SUMIF(Capacity_Resource,$E122,'Critical resources (hide)'!V$6:V$105)+SUMIF(Capacity_Resource,$F122,'Critical resources (hide)'!V$6:V$105)&gt;0,$E$1=2),0,1),0)</f>
        <v>1</v>
      </c>
      <c r="J122" s="67">
        <f ca="1">IF(LOWER(Capacity!$V27)="x",IF(AND(SUMIF(Capacity_Resource,$D122,'Critical resources (hide)'!W$6:W$105)+SUMIF(Capacity_Resource,$E122,'Critical resources (hide)'!W$6:W$105)+SUMIF(Capacity_Resource,$F122,'Critical resources (hide)'!W$6:W$105)&gt;0,$E$1=2),0,1),0)</f>
        <v>1</v>
      </c>
      <c r="K122" s="67">
        <f ca="1">IF(LOWER(Capacity!$V27)="x",IF(AND(SUMIF(Capacity_Resource,$D122,'Critical resources (hide)'!X$6:X$105)+SUMIF(Capacity_Resource,$E122,'Critical resources (hide)'!X$6:X$105)+SUMIF(Capacity_Resource,$F122,'Critical resources (hide)'!X$6:X$105)&gt;0,$E$1=2),0,1),0)</f>
        <v>1</v>
      </c>
      <c r="L122" s="67">
        <f ca="1">IF(LOWER(Capacity!$V27)="x",IF(AND(SUMIF(Capacity_Resource,$D122,'Critical resources (hide)'!Y$6:Y$105)+SUMIF(Capacity_Resource,$E122,'Critical resources (hide)'!Y$6:Y$105)+SUMIF(Capacity_Resource,$F122,'Critical resources (hide)'!Y$6:Y$105)&gt;0,$E$1=2),0,1),0)</f>
        <v>1</v>
      </c>
      <c r="M122" s="67">
        <f ca="1">IF(LOWER(Capacity!$V27)="x",IF(AND(SUMIF(Capacity_Resource,$D122,'Critical resources (hide)'!Z$6:Z$105)+SUMIF(Capacity_Resource,$E122,'Critical resources (hide)'!Z$6:Z$105)+SUMIF(Capacity_Resource,$F122,'Critical resources (hide)'!Z$6:Z$105)&gt;0,$E$1=2),0,1),0)</f>
        <v>1</v>
      </c>
      <c r="N122" s="67">
        <f ca="1">IF(LOWER(Capacity!$V27)="x",IF(AND(SUMIF(Capacity_Resource,$D122,'Critical resources (hide)'!AA$6:AA$105)+SUMIF(Capacity_Resource,$E122,'Critical resources (hide)'!AA$6:AA$105)+SUMIF(Capacity_Resource,$F122,'Critical resources (hide)'!AA$6:AA$105)&gt;0,$E$1=2),0,1),0)</f>
        <v>1</v>
      </c>
      <c r="O122" s="67">
        <f ca="1">IF(LOWER(Capacity!$V27)="x",IF(AND(SUMIF(Capacity_Resource,$D122,'Critical resources (hide)'!AB$6:AB$105)+SUMIF(Capacity_Resource,$E122,'Critical resources (hide)'!AB$6:AB$105)+SUMIF(Capacity_Resource,$F122,'Critical resources (hide)'!AB$6:AB$105)&gt;0,$E$1=2),0,1),0)</f>
        <v>1</v>
      </c>
      <c r="P122" s="67">
        <f ca="1">IF(LOWER(Capacity!$V27)="x",IF(AND(SUMIF(Capacity_Resource,$D122,'Critical resources (hide)'!AC$6:AC$105)+SUMIF(Capacity_Resource,$E122,'Critical resources (hide)'!AC$6:AC$105)+SUMIF(Capacity_Resource,$F122,'Critical resources (hide)'!AC$6:AC$105)&gt;0,$E$1=2),0,1),0)</f>
        <v>1</v>
      </c>
      <c r="Q122" s="67">
        <f ca="1">IF(LOWER(Capacity!$V27)="x",IF(AND(SUMIF(Capacity_Resource,$D122,'Critical resources (hide)'!AD$6:AD$105)+SUMIF(Capacity_Resource,$E122,'Critical resources (hide)'!AD$6:AD$105)+SUMIF(Capacity_Resource,$F122,'Critical resources (hide)'!AD$6:AD$105)&gt;0,$E$1=2),0,1),0)</f>
        <v>1</v>
      </c>
      <c r="R122" s="67">
        <f ca="1">IF(LOWER(Capacity!$V27)="x",IF(AND(SUMIF(Capacity_Resource,$D122,'Critical resources (hide)'!AE$6:AE$105)+SUMIF(Capacity_Resource,$E122,'Critical resources (hide)'!AE$6:AE$105)+SUMIF(Capacity_Resource,$F122,'Critical resources (hide)'!AE$6:AE$105)&gt;0,$E$1=2),0,1),0)</f>
        <v>1</v>
      </c>
      <c r="S122" s="67">
        <f ca="1">IF(LOWER(Capacity!$V27)="x",IF(AND(SUMIF(Capacity_Resource,$D122,'Critical resources (hide)'!AF$6:AF$105)+SUMIF(Capacity_Resource,$E122,'Critical resources (hide)'!AF$6:AF$105)+SUMIF(Capacity_Resource,$F122,'Critical resources (hide)'!AF$6:AF$105)&gt;0,$E$1=2),0,1),0)</f>
        <v>1</v>
      </c>
      <c r="T122" s="67">
        <f ca="1">IF(LOWER(Capacity!$V27)="x",IF(AND(SUMIF(Capacity_Resource,$D122,'Critical resources (hide)'!AG$6:AG$105)+SUMIF(Capacity_Resource,$E122,'Critical resources (hide)'!AG$6:AG$105)+SUMIF(Capacity_Resource,$F122,'Critical resources (hide)'!AG$6:AG$105)&gt;0,$E$1=2),0,1),0)</f>
        <v>1</v>
      </c>
      <c r="U122" s="67">
        <f ca="1">IF(LOWER(Capacity!$V27)="x",IF(AND(SUMIF(Capacity_Resource,$D122,'Critical resources (hide)'!AH$6:AH$105)+SUMIF(Capacity_Resource,$E122,'Critical resources (hide)'!AH$6:AH$105)+SUMIF(Capacity_Resource,$F122,'Critical resources (hide)'!AH$6:AH$105)&gt;0,$E$1=2),0,1),0)</f>
        <v>1</v>
      </c>
      <c r="V122" s="67">
        <f ca="1">IF(LOWER(Capacity!$V27)="x",IF(AND(SUMIF(Capacity_Resource,$D122,'Critical resources (hide)'!AI$6:AI$105)+SUMIF(Capacity_Resource,$E122,'Critical resources (hide)'!AI$6:AI$105)+SUMIF(Capacity_Resource,$F122,'Critical resources (hide)'!AI$6:AI$105)&gt;0,$E$1=2),0,1),0)</f>
        <v>1</v>
      </c>
      <c r="W122" s="67">
        <f ca="1">IF(LOWER(Capacity!$V27)="x",IF(AND(SUMIF(Capacity_Resource,$D122,'Critical resources (hide)'!AJ$6:AJ$105)+SUMIF(Capacity_Resource,$E122,'Critical resources (hide)'!AJ$6:AJ$105)+SUMIF(Capacity_Resource,$F122,'Critical resources (hide)'!AJ$6:AJ$105)&gt;0,$E$1=2),0,1),0)</f>
        <v>1</v>
      </c>
      <c r="X122" s="67">
        <f ca="1">IF(LOWER(Capacity!$V27)="x",IF(AND(SUMIF(Capacity_Resource,$D122,'Critical resources (hide)'!AK$6:AK$105)+SUMIF(Capacity_Resource,$E122,'Critical resources (hide)'!AK$6:AK$105)+SUMIF(Capacity_Resource,$F122,'Critical resources (hide)'!AK$6:AK$105)&gt;0,$E$1=2),0,1),0)</f>
        <v>1</v>
      </c>
      <c r="Y122" s="67">
        <f ca="1">IF(LOWER(Capacity!$V27)="x",IF(AND(SUMIF(Capacity_Resource,$D122,'Critical resources (hide)'!AL$6:AL$105)+SUMIF(Capacity_Resource,$E122,'Critical resources (hide)'!AL$6:AL$105)+SUMIF(Capacity_Resource,$F122,'Critical resources (hide)'!AL$6:AL$105)&gt;0,$E$1=2),0,1),0)</f>
        <v>1</v>
      </c>
      <c r="Z122" s="67">
        <f ca="1">IF(LOWER(Capacity!$V27)="x",IF(AND(SUMIF(Capacity_Resource,$D122,'Critical resources (hide)'!AM$6:AM$105)+SUMIF(Capacity_Resource,$E122,'Critical resources (hide)'!AM$6:AM$105)+SUMIF(Capacity_Resource,$F122,'Critical resources (hide)'!AM$6:AM$105)&gt;0,$E$1=2),0,1),0)</f>
        <v>1</v>
      </c>
      <c r="AA122" s="67">
        <f ca="1">IF(LOWER(Capacity!$V27)="x",IF(AND(SUMIF(Capacity_Resource,$D122,'Critical resources (hide)'!AN$6:AN$105)+SUMIF(Capacity_Resource,$E122,'Critical resources (hide)'!AN$6:AN$105)+SUMIF(Capacity_Resource,$F122,'Critical resources (hide)'!AN$6:AN$105)&gt;0,$E$1=2),0,1),0)</f>
        <v>1</v>
      </c>
      <c r="AB122" s="67">
        <f ca="1">IF(LOWER(Capacity!$V27)="x",IF(AND(SUMIF(Capacity_Resource,$D122,'Critical resources (hide)'!AO$6:AO$105)+SUMIF(Capacity_Resource,$E122,'Critical resources (hide)'!AO$6:AO$105)+SUMIF(Capacity_Resource,$F122,'Critical resources (hide)'!AO$6:AO$105)&gt;0,$E$1=2),0,1),0)</f>
        <v>1</v>
      </c>
      <c r="AC122" s="67">
        <f ca="1">IF(LOWER(Capacity!$V27)="x",IF(AND(SUMIF(Capacity_Resource,$D122,'Critical resources (hide)'!AP$6:AP$105)+SUMIF(Capacity_Resource,$E122,'Critical resources (hide)'!AP$6:AP$105)+SUMIF(Capacity_Resource,$F122,'Critical resources (hide)'!AP$6:AP$105)&gt;0,$E$1=2),0,1),0)</f>
        <v>1</v>
      </c>
      <c r="AD122" s="67">
        <f ca="1">IF(LOWER(Capacity!$V27)="x",IF(AND(SUMIF(Capacity_Resource,$D122,'Critical resources (hide)'!AQ$6:AQ$105)+SUMIF(Capacity_Resource,$E122,'Critical resources (hide)'!AQ$6:AQ$105)+SUMIF(Capacity_Resource,$F122,'Critical resources (hide)'!AQ$6:AQ$105)&gt;0,$E$1=2),0,1),0)</f>
        <v>1</v>
      </c>
      <c r="AE122" s="67">
        <f ca="1">IF(LOWER(Capacity!$V27)="x",IF(AND(SUMIF(Capacity_Resource,$D122,'Critical resources (hide)'!AR$6:AR$105)+SUMIF(Capacity_Resource,$E122,'Critical resources (hide)'!AR$6:AR$105)+SUMIF(Capacity_Resource,$F122,'Critical resources (hide)'!AR$6:AR$105)&gt;0,$E$1=2),0,1),0)</f>
        <v>1</v>
      </c>
      <c r="AF122" s="67">
        <f ca="1">IF(LOWER(Capacity!$V27)="x",IF(AND(SUMIF(Capacity_Resource,$D122,'Critical resources (hide)'!AS$6:AS$105)+SUMIF(Capacity_Resource,$E122,'Critical resources (hide)'!AS$6:AS$105)+SUMIF(Capacity_Resource,$F122,'Critical resources (hide)'!AS$6:AS$105)&gt;0,$E$1=2),0,1),0)</f>
        <v>1</v>
      </c>
      <c r="AG122" s="67">
        <f ca="1">IF(LOWER(Capacity!$V27)="x",IF(AND(SUMIF(Capacity_Resource,$D122,'Critical resources (hide)'!AT$6:AT$105)+SUMIF(Capacity_Resource,$E122,'Critical resources (hide)'!AT$6:AT$105)+SUMIF(Capacity_Resource,$F122,'Critical resources (hide)'!AT$6:AT$105)&gt;0,$E$1=2),0,1),0)</f>
        <v>1</v>
      </c>
      <c r="AH122" s="67">
        <f ca="1">IF(LOWER(Capacity!$V27)="x",IF(AND(SUMIF(Capacity_Resource,$D122,'Critical resources (hide)'!AU$6:AU$105)+SUMIF(Capacity_Resource,$E122,'Critical resources (hide)'!AU$6:AU$105)+SUMIF(Capacity_Resource,$F122,'Critical resources (hide)'!AU$6:AU$105)&gt;0,$E$1=2),0,1),0)</f>
        <v>1</v>
      </c>
      <c r="AI122" s="67">
        <f ca="1">IF(LOWER(Capacity!$V27)="x",IF(AND(SUMIF(Capacity_Resource,$D122,'Critical resources (hide)'!AV$6:AV$105)+SUMIF(Capacity_Resource,$E122,'Critical resources (hide)'!AV$6:AV$105)+SUMIF(Capacity_Resource,$F122,'Critical resources (hide)'!AV$6:AV$105)&gt;0,$E$1=2),0,1),0)</f>
        <v>1</v>
      </c>
      <c r="AJ122" s="67">
        <f ca="1">IF(LOWER(Capacity!$V27)="x",IF(AND(SUMIF(Capacity_Resource,$D122,'Critical resources (hide)'!AW$6:AW$105)+SUMIF(Capacity_Resource,$E122,'Critical resources (hide)'!AW$6:AW$105)+SUMIF(Capacity_Resource,$F122,'Critical resources (hide)'!AW$6:AW$105)&gt;0,$E$1=2),0,1),0)</f>
        <v>1</v>
      </c>
      <c r="AK122" s="67">
        <f ca="1">IF(LOWER(Capacity!$V27)="x",IF(AND(SUMIF(Capacity_Resource,$D122,'Critical resources (hide)'!AX$6:AX$105)+SUMIF(Capacity_Resource,$E122,'Critical resources (hide)'!AX$6:AX$105)+SUMIF(Capacity_Resource,$F122,'Critical resources (hide)'!AX$6:AX$105)&gt;0,$E$1=2),0,1),0)</f>
        <v>1</v>
      </c>
      <c r="AL122" s="67">
        <f ca="1">IF(LOWER(Capacity!$V27)="x",IF(AND(SUMIF(Capacity_Resource,$D122,'Critical resources (hide)'!AY$6:AY$105)+SUMIF(Capacity_Resource,$E122,'Critical resources (hide)'!AY$6:AY$105)+SUMIF(Capacity_Resource,$F122,'Critical resources (hide)'!AY$6:AY$105)&gt;0,$E$1=2),0,1),0)</f>
        <v>1</v>
      </c>
      <c r="AM122" s="67">
        <f ca="1">IF(LOWER(Capacity!$V27)="x",IF(AND(SUMIF(Capacity_Resource,$D122,'Critical resources (hide)'!AZ$6:AZ$105)+SUMIF(Capacity_Resource,$E122,'Critical resources (hide)'!AZ$6:AZ$105)+SUMIF(Capacity_Resource,$F122,'Critical resources (hide)'!AZ$6:AZ$105)&gt;0,$E$1=2),0,1),0)</f>
        <v>1</v>
      </c>
      <c r="AN122" s="67">
        <f ca="1">IF(LOWER(Capacity!$V27)="x",IF(AND(SUMIF(Capacity_Resource,$D122,'Critical resources (hide)'!BA$6:BA$105)+SUMIF(Capacity_Resource,$E122,'Critical resources (hide)'!BA$6:BA$105)+SUMIF(Capacity_Resource,$F122,'Critical resources (hide)'!BA$6:BA$105)&gt;0,$E$1=2),0,1),0)</f>
        <v>1</v>
      </c>
      <c r="AO122" s="67">
        <f ca="1">IF(LOWER(Capacity!$V27)="x",IF(AND(SUMIF(Capacity_Resource,$D122,'Critical resources (hide)'!BB$6:BB$105)+SUMIF(Capacity_Resource,$E122,'Critical resources (hide)'!BB$6:BB$105)+SUMIF(Capacity_Resource,$F122,'Critical resources (hide)'!BB$6:BB$105)&gt;0,$E$1=2),0,1),0)</f>
        <v>1</v>
      </c>
      <c r="AP122" s="67">
        <f ca="1">IF(LOWER(Capacity!$V27)="x",IF(AND(SUMIF(Capacity_Resource,$D122,'Critical resources (hide)'!BC$6:BC$105)+SUMIF(Capacity_Resource,$E122,'Critical resources (hide)'!BC$6:BC$105)+SUMIF(Capacity_Resource,$F122,'Critical resources (hide)'!BC$6:BC$105)&gt;0,$E$1=2),0,1),0)</f>
        <v>1</v>
      </c>
      <c r="AQ122" s="67">
        <f ca="1">IF(LOWER(Capacity!$V27)="x",IF(AND(SUMIF(Capacity_Resource,$D122,'Critical resources (hide)'!BD$6:BD$105)+SUMIF(Capacity_Resource,$E122,'Critical resources (hide)'!BD$6:BD$105)+SUMIF(Capacity_Resource,$F122,'Critical resources (hide)'!BD$6:BD$105)&gt;0,$E$1=2),0,1),0)</f>
        <v>1</v>
      </c>
      <c r="AR122" s="67">
        <f ca="1">IF(LOWER(Capacity!$V27)="x",IF(AND(SUMIF(Capacity_Resource,$D122,'Critical resources (hide)'!BE$6:BE$105)+SUMIF(Capacity_Resource,$E122,'Critical resources (hide)'!BE$6:BE$105)+SUMIF(Capacity_Resource,$F122,'Critical resources (hide)'!BE$6:BE$105)&gt;0,$E$1=2),0,1),0)</f>
        <v>1</v>
      </c>
      <c r="AS122" s="67">
        <f ca="1">IF(LOWER(Capacity!$V27)="x",IF(AND(SUMIF(Capacity_Resource,$D122,'Critical resources (hide)'!BF$6:BF$105)+SUMIF(Capacity_Resource,$E122,'Critical resources (hide)'!BF$6:BF$105)+SUMIF(Capacity_Resource,$F122,'Critical resources (hide)'!BF$6:BF$105)&gt;0,$E$1=2),0,1),0)</f>
        <v>1</v>
      </c>
      <c r="AT122" s="67">
        <f ca="1">IF(LOWER(Capacity!$V27)="x",IF(AND(SUMIF(Capacity_Resource,$D122,'Critical resources (hide)'!BG$6:BG$105)+SUMIF(Capacity_Resource,$E122,'Critical resources (hide)'!BG$6:BG$105)+SUMIF(Capacity_Resource,$F122,'Critical resources (hide)'!BG$6:BG$105)&gt;0,$E$1=2),0,1),0)</f>
        <v>1</v>
      </c>
      <c r="AU122" s="67">
        <f ca="1">IF(LOWER(Capacity!$V27)="x",IF(AND(SUMIF(Capacity_Resource,$D122,'Critical resources (hide)'!BH$6:BH$105)+SUMIF(Capacity_Resource,$E122,'Critical resources (hide)'!BH$6:BH$105)+SUMIF(Capacity_Resource,$F122,'Critical resources (hide)'!BH$6:BH$105)&gt;0,$E$1=2),0,1),0)</f>
        <v>1</v>
      </c>
      <c r="AV122" s="67">
        <f ca="1">IF(LOWER(Capacity!$V27)="x",IF(AND(SUMIF(Capacity_Resource,$D122,'Critical resources (hide)'!BI$6:BI$105)+SUMIF(Capacity_Resource,$E122,'Critical resources (hide)'!BI$6:BI$105)+SUMIF(Capacity_Resource,$F122,'Critical resources (hide)'!BI$6:BI$105)&gt;0,$E$1=2),0,1),0)</f>
        <v>1</v>
      </c>
      <c r="AW122" s="67">
        <f ca="1">IF(LOWER(Capacity!$V27)="x",IF(AND(SUMIF(Capacity_Resource,$D122,'Critical resources (hide)'!BJ$6:BJ$105)+SUMIF(Capacity_Resource,$E122,'Critical resources (hide)'!BJ$6:BJ$105)+SUMIF(Capacity_Resource,$F122,'Critical resources (hide)'!BJ$6:BJ$105)&gt;0,$E$1=2),0,1),0)</f>
        <v>1</v>
      </c>
      <c r="AX122" s="67">
        <f ca="1">IF(LOWER(Capacity!$V27)="x",IF(AND(SUMIF(Capacity_Resource,$D122,'Critical resources (hide)'!BK$6:BK$105)+SUMIF(Capacity_Resource,$E122,'Critical resources (hide)'!BK$6:BK$105)+SUMIF(Capacity_Resource,$F122,'Critical resources (hide)'!BK$6:BK$105)&gt;0,$E$1=2),0,1),0)</f>
        <v>1</v>
      </c>
      <c r="AY122" s="67">
        <f ca="1">IF(LOWER(Capacity!$V27)="x",IF(AND(SUMIF(Capacity_Resource,$D122,'Critical resources (hide)'!BL$6:BL$105)+SUMIF(Capacity_Resource,$E122,'Critical resources (hide)'!BL$6:BL$105)+SUMIF(Capacity_Resource,$F122,'Critical resources (hide)'!BL$6:BL$105)&gt;0,$E$1=2),0,1),0)</f>
        <v>1</v>
      </c>
      <c r="AZ122" s="67">
        <f ca="1">IF(LOWER(Capacity!$V27)="x",IF(AND(SUMIF(Capacity_Resource,$D122,'Critical resources (hide)'!BM$6:BM$105)+SUMIF(Capacity_Resource,$E122,'Critical resources (hide)'!BM$6:BM$105)+SUMIF(Capacity_Resource,$F122,'Critical resources (hide)'!BM$6:BM$105)&gt;0,$E$1=2),0,1),0)</f>
        <v>1</v>
      </c>
      <c r="BA122" s="67">
        <f ca="1">IF(LOWER(Capacity!$V27)="x",IF(AND(SUMIF(Capacity_Resource,$D122,'Critical resources (hide)'!BN$6:BN$105)+SUMIF(Capacity_Resource,$E122,'Critical resources (hide)'!BN$6:BN$105)+SUMIF(Capacity_Resource,$F122,'Critical resources (hide)'!BN$6:BN$105)&gt;0,$E$1=2),0,1),0)</f>
        <v>1</v>
      </c>
      <c r="BB122" s="67">
        <f ca="1">IF(LOWER(Capacity!$V27)="x",IF(AND(SUMIF(Capacity_Resource,$D122,'Critical resources (hide)'!BO$6:BO$105)+SUMIF(Capacity_Resource,$E122,'Critical resources (hide)'!BO$6:BO$105)+SUMIF(Capacity_Resource,$F122,'Critical resources (hide)'!BO$6:BO$105)&gt;0,$E$1=2),0,1),0)</f>
        <v>1</v>
      </c>
      <c r="BC122" s="67">
        <f ca="1">IF(LOWER(Capacity!$V27)="x",IF(AND(SUMIF(Capacity_Resource,$D122,'Critical resources (hide)'!BP$6:BP$105)+SUMIF(Capacity_Resource,$E122,'Critical resources (hide)'!BP$6:BP$105)+SUMIF(Capacity_Resource,$F122,'Critical resources (hide)'!BP$6:BP$105)&gt;0,$E$1=2),0,1),0)</f>
        <v>1</v>
      </c>
      <c r="BD122" s="67">
        <f ca="1">IF(LOWER(Capacity!$V27)="x",IF(AND(SUMIF(Capacity_Resource,$D122,'Critical resources (hide)'!BQ$6:BQ$105)+SUMIF(Capacity_Resource,$E122,'Critical resources (hide)'!BQ$6:BQ$105)+SUMIF(Capacity_Resource,$F122,'Critical resources (hide)'!BQ$6:BQ$105)&gt;0,$E$1=2),0,1),0)</f>
        <v>1</v>
      </c>
      <c r="BE122" s="67">
        <f ca="1">IF(LOWER(Capacity!$V27)="x",IF(AND(SUMIF(Capacity_Resource,$D122,'Critical resources (hide)'!BR$6:BR$105)+SUMIF(Capacity_Resource,$E122,'Critical resources (hide)'!BR$6:BR$105)+SUMIF(Capacity_Resource,$F122,'Critical resources (hide)'!BR$6:BR$105)&gt;0,$E$1=2),0,1),0)</f>
        <v>1</v>
      </c>
      <c r="BF122" s="67">
        <f ca="1">IF(LOWER(Capacity!$V27)="x",IF(AND(SUMIF(Capacity_Resource,$D122,'Critical resources (hide)'!BS$6:BS$105)+SUMIF(Capacity_Resource,$E122,'Critical resources (hide)'!BS$6:BS$105)+SUMIF(Capacity_Resource,$F122,'Critical resources (hide)'!BS$6:BS$105)&gt;0,$E$1=2),0,1),0)</f>
        <v>1</v>
      </c>
      <c r="BG122" s="67">
        <f ca="1">IF(LOWER(Capacity!$V27)="x",IF(AND(SUMIF(Capacity_Resource,$D122,'Critical resources (hide)'!BT$6:BT$105)+SUMIF(Capacity_Resource,$E122,'Critical resources (hide)'!BT$6:BT$105)+SUMIF(Capacity_Resource,$F122,'Critical resources (hide)'!BT$6:BT$105)&gt;0,$E$1=2),0,1),0)</f>
        <v>1</v>
      </c>
      <c r="BH122" s="67">
        <f>IF(ROW(A11)&lt;=Capacity!$M$16,IF('Capacity summary'!$C$14="No",SUM(H122:BG122),'Capacity summary'!$E34),0)</f>
        <v>0</v>
      </c>
      <c r="BI122" s="67" t="str">
        <f>IF(BH122&gt;0,IF(BH122&lt;Capacity!Q27,Capacity!R27,Capacity!T27/'Capacity calculation (hide)'!BH122),"")</f>
        <v/>
      </c>
      <c r="BJ122" s="5"/>
      <c r="BK122" s="5">
        <f>IF($BI122&lt;&gt;"",IF('Capacity summary'!$C$14="Yes",IF(COUNTBLANK('Capacity summary'!$H34:$BG34)&lt;52,IF('Capacity summary'!H34&lt;&gt;"",IF(LOWER('Capacity summary'!H34)="x",$BI122*H122,VALUE('Capacity summary'!H34)),0),H122*$BI122),H122*$BI122),0)</f>
        <v>0</v>
      </c>
      <c r="BL122" s="5">
        <f>IF($BI122&lt;&gt;"",IF('Capacity summary'!$C$14="Yes",IF(COUNTBLANK('Capacity summary'!$H34:$BG34)&lt;52,IF('Capacity summary'!I34&lt;&gt;"",IF(LOWER('Capacity summary'!I34)="x",$BI122*I122,VALUE('Capacity summary'!I34)),0),I122*$BI122),I122*$BI122),0)</f>
        <v>0</v>
      </c>
      <c r="BM122" s="5">
        <f>IF($BI122&lt;&gt;"",IF('Capacity summary'!$C$14="Yes",IF(COUNTBLANK('Capacity summary'!$H34:$BG34)&lt;52,IF('Capacity summary'!J34&lt;&gt;"",IF(LOWER('Capacity summary'!J34)="x",$BI122*J122,VALUE('Capacity summary'!J34)),0),J122*$BI122),J122*$BI122),0)</f>
        <v>0</v>
      </c>
      <c r="BN122" s="5">
        <f>IF($BI122&lt;&gt;"",IF('Capacity summary'!$C$14="Yes",IF(COUNTBLANK('Capacity summary'!$H34:$BG34)&lt;52,IF('Capacity summary'!K34&lt;&gt;"",IF(LOWER('Capacity summary'!K34)="x",$BI122*K122,VALUE('Capacity summary'!K34)),0),K122*$BI122),K122*$BI122),0)</f>
        <v>0</v>
      </c>
      <c r="BO122" s="5">
        <f>IF($BI122&lt;&gt;"",IF('Capacity summary'!$C$14="Yes",IF(COUNTBLANK('Capacity summary'!$H34:$BG34)&lt;52,IF('Capacity summary'!L34&lt;&gt;"",IF(LOWER('Capacity summary'!L34)="x",$BI122*L122,VALUE('Capacity summary'!L34)),0),L122*$BI122),L122*$BI122),0)</f>
        <v>0</v>
      </c>
      <c r="BP122" s="5">
        <f>IF($BI122&lt;&gt;"",IF('Capacity summary'!$C$14="Yes",IF(COUNTBLANK('Capacity summary'!$H34:$BG34)&lt;52,IF('Capacity summary'!M34&lt;&gt;"",IF(LOWER('Capacity summary'!M34)="x",$BI122*M122,VALUE('Capacity summary'!M34)),0),M122*$BI122),M122*$BI122),0)</f>
        <v>0</v>
      </c>
      <c r="BQ122" s="5">
        <f>IF($BI122&lt;&gt;"",IF('Capacity summary'!$C$14="Yes",IF(COUNTBLANK('Capacity summary'!$H34:$BG34)&lt;52,IF('Capacity summary'!N34&lt;&gt;"",IF(LOWER('Capacity summary'!N34)="x",$BI122*N122,VALUE('Capacity summary'!N34)),0),N122*$BI122),N122*$BI122),0)</f>
        <v>0</v>
      </c>
      <c r="BR122" s="5">
        <f>IF($BI122&lt;&gt;"",IF('Capacity summary'!$C$14="Yes",IF(COUNTBLANK('Capacity summary'!$H34:$BG34)&lt;52,IF('Capacity summary'!O34&lt;&gt;"",IF(LOWER('Capacity summary'!O34)="x",$BI122*O122,VALUE('Capacity summary'!O34)),0),O122*$BI122),O122*$BI122),0)</f>
        <v>0</v>
      </c>
      <c r="BS122" s="5">
        <f>IF($BI122&lt;&gt;"",IF('Capacity summary'!$C$14="Yes",IF(COUNTBLANK('Capacity summary'!$H34:$BG34)&lt;52,IF('Capacity summary'!P34&lt;&gt;"",IF(LOWER('Capacity summary'!P34)="x",$BI122*P122,VALUE('Capacity summary'!P34)),0),P122*$BI122),P122*$BI122),0)</f>
        <v>0</v>
      </c>
      <c r="BT122" s="5">
        <f>IF($BI122&lt;&gt;"",IF('Capacity summary'!$C$14="Yes",IF(COUNTBLANK('Capacity summary'!$H34:$BG34)&lt;52,IF('Capacity summary'!Q34&lt;&gt;"",IF(LOWER('Capacity summary'!Q34)="x",$BI122*Q122,VALUE('Capacity summary'!Q34)),0),Q122*$BI122),Q122*$BI122),0)</f>
        <v>0</v>
      </c>
      <c r="BU122" s="5">
        <f>IF($BI122&lt;&gt;"",IF('Capacity summary'!$C$14="Yes",IF(COUNTBLANK('Capacity summary'!$H34:$BG34)&lt;52,IF('Capacity summary'!R34&lt;&gt;"",IF(LOWER('Capacity summary'!R34)="x",$BI122*R122,VALUE('Capacity summary'!R34)),0),R122*$BI122),R122*$BI122),0)</f>
        <v>0</v>
      </c>
      <c r="BV122" s="5">
        <f>IF($BI122&lt;&gt;"",IF('Capacity summary'!$C$14="Yes",IF(COUNTBLANK('Capacity summary'!$H34:$BG34)&lt;52,IF('Capacity summary'!S34&lt;&gt;"",IF(LOWER('Capacity summary'!S34)="x",$BI122*S122,VALUE('Capacity summary'!S34)),0),S122*$BI122),S122*$BI122),0)</f>
        <v>0</v>
      </c>
      <c r="BW122" s="5">
        <f>IF($BI122&lt;&gt;"",IF('Capacity summary'!$C$14="Yes",IF(COUNTBLANK('Capacity summary'!$H34:$BG34)&lt;52,IF('Capacity summary'!T34&lt;&gt;"",IF(LOWER('Capacity summary'!T34)="x",$BI122*T122,VALUE('Capacity summary'!T34)),0),T122*$BI122),T122*$BI122),0)</f>
        <v>0</v>
      </c>
      <c r="BX122" s="5">
        <f>IF($BI122&lt;&gt;"",IF('Capacity summary'!$C$14="Yes",IF(COUNTBLANK('Capacity summary'!$H34:$BG34)&lt;52,IF('Capacity summary'!U34&lt;&gt;"",IF(LOWER('Capacity summary'!U34)="x",$BI122*U122,VALUE('Capacity summary'!U34)),0),U122*$BI122),U122*$BI122),0)</f>
        <v>0</v>
      </c>
      <c r="BY122" s="5">
        <f>IF($BI122&lt;&gt;"",IF('Capacity summary'!$C$14="Yes",IF(COUNTBLANK('Capacity summary'!$H34:$BG34)&lt;52,IF('Capacity summary'!V34&lt;&gt;"",IF(LOWER('Capacity summary'!V34)="x",$BI122*V122,VALUE('Capacity summary'!V34)),0),V122*$BI122),V122*$BI122),0)</f>
        <v>0</v>
      </c>
      <c r="BZ122" s="5">
        <f>IF($BI122&lt;&gt;"",IF('Capacity summary'!$C$14="Yes",IF(COUNTBLANK('Capacity summary'!$H34:$BG34)&lt;52,IF('Capacity summary'!W34&lt;&gt;"",IF(LOWER('Capacity summary'!W34)="x",$BI122*W122,VALUE('Capacity summary'!W34)),0),W122*$BI122),W122*$BI122),0)</f>
        <v>0</v>
      </c>
      <c r="CA122" s="5">
        <f>IF($BI122&lt;&gt;"",IF('Capacity summary'!$C$14="Yes",IF(COUNTBLANK('Capacity summary'!$H34:$BG34)&lt;52,IF('Capacity summary'!X34&lt;&gt;"",IF(LOWER('Capacity summary'!X34)="x",$BI122*X122,VALUE('Capacity summary'!X34)),0),X122*$BI122),X122*$BI122),0)</f>
        <v>0</v>
      </c>
      <c r="CB122" s="5">
        <f>IF($BI122&lt;&gt;"",IF('Capacity summary'!$C$14="Yes",IF(COUNTBLANK('Capacity summary'!$H34:$BG34)&lt;52,IF('Capacity summary'!Y34&lt;&gt;"",IF(LOWER('Capacity summary'!Y34)="x",$BI122*Y122,VALUE('Capacity summary'!Y34)),0),Y122*$BI122),Y122*$BI122),0)</f>
        <v>0</v>
      </c>
      <c r="CC122" s="5">
        <f>IF($BI122&lt;&gt;"",IF('Capacity summary'!$C$14="Yes",IF(COUNTBLANK('Capacity summary'!$H34:$BG34)&lt;52,IF('Capacity summary'!Z34&lt;&gt;"",IF(LOWER('Capacity summary'!Z34)="x",$BI122*Z122,VALUE('Capacity summary'!Z34)),0),Z122*$BI122),Z122*$BI122),0)</f>
        <v>0</v>
      </c>
      <c r="CD122" s="5">
        <f>IF($BI122&lt;&gt;"",IF('Capacity summary'!$C$14="Yes",IF(COUNTBLANK('Capacity summary'!$H34:$BG34)&lt;52,IF('Capacity summary'!AA34&lt;&gt;"",IF(LOWER('Capacity summary'!AA34)="x",$BI122*AA122,VALUE('Capacity summary'!AA34)),0),AA122*$BI122),AA122*$BI122),0)</f>
        <v>0</v>
      </c>
      <c r="CE122" s="5">
        <f>IF($BI122&lt;&gt;"",IF('Capacity summary'!$C$14="Yes",IF(COUNTBLANK('Capacity summary'!$H34:$BG34)&lt;52,IF('Capacity summary'!AB34&lt;&gt;"",IF(LOWER('Capacity summary'!AB34)="x",$BI122*AB122,VALUE('Capacity summary'!AB34)),0),AB122*$BI122),AB122*$BI122),0)</f>
        <v>0</v>
      </c>
      <c r="CF122" s="5">
        <f>IF($BI122&lt;&gt;"",IF('Capacity summary'!$C$14="Yes",IF(COUNTBLANK('Capacity summary'!$H34:$BG34)&lt;52,IF('Capacity summary'!AC34&lt;&gt;"",IF(LOWER('Capacity summary'!AC34)="x",$BI122*AC122,VALUE('Capacity summary'!AC34)),0),AC122*$BI122),AC122*$BI122),0)</f>
        <v>0</v>
      </c>
      <c r="CG122" s="5">
        <f>IF($BI122&lt;&gt;"",IF('Capacity summary'!$C$14="Yes",IF(COUNTBLANK('Capacity summary'!$H34:$BG34)&lt;52,IF('Capacity summary'!AD34&lt;&gt;"",IF(LOWER('Capacity summary'!AD34)="x",$BI122*AD122,VALUE('Capacity summary'!AD34)),0),AD122*$BI122),AD122*$BI122),0)</f>
        <v>0</v>
      </c>
      <c r="CH122" s="5">
        <f>IF($BI122&lt;&gt;"",IF('Capacity summary'!$C$14="Yes",IF(COUNTBLANK('Capacity summary'!$H34:$BG34)&lt;52,IF('Capacity summary'!AE34&lt;&gt;"",IF(LOWER('Capacity summary'!AE34)="x",$BI122*AE122,VALUE('Capacity summary'!AE34)),0),AE122*$BI122),AE122*$BI122),0)</f>
        <v>0</v>
      </c>
      <c r="CI122" s="5">
        <f>IF($BI122&lt;&gt;"",IF('Capacity summary'!$C$14="Yes",IF(COUNTBLANK('Capacity summary'!$H34:$BG34)&lt;52,IF('Capacity summary'!AF34&lt;&gt;"",IF(LOWER('Capacity summary'!AF34)="x",$BI122*AF122,VALUE('Capacity summary'!AF34)),0),AF122*$BI122),AF122*$BI122),0)</f>
        <v>0</v>
      </c>
      <c r="CJ122" s="5">
        <f>IF($BI122&lt;&gt;"",IF('Capacity summary'!$C$14="Yes",IF(COUNTBLANK('Capacity summary'!$H34:$BG34)&lt;52,IF('Capacity summary'!AG34&lt;&gt;"",IF(LOWER('Capacity summary'!AG34)="x",$BI122*AG122,VALUE('Capacity summary'!AG34)),0),AG122*$BI122),AG122*$BI122),0)</f>
        <v>0</v>
      </c>
      <c r="CK122" s="5">
        <f>IF($BI122&lt;&gt;"",IF('Capacity summary'!$C$14="Yes",IF(COUNTBLANK('Capacity summary'!$H34:$BG34)&lt;52,IF('Capacity summary'!AH34&lt;&gt;"",IF(LOWER('Capacity summary'!AH34)="x",$BI122*AH122,VALUE('Capacity summary'!AH34)),0),AH122*$BI122),AH122*$BI122),0)</f>
        <v>0</v>
      </c>
      <c r="CL122" s="5">
        <f>IF($BI122&lt;&gt;"",IF('Capacity summary'!$C$14="Yes",IF(COUNTBLANK('Capacity summary'!$H34:$BG34)&lt;52,IF('Capacity summary'!AI34&lt;&gt;"",IF(LOWER('Capacity summary'!AI34)="x",$BI122*AI122,VALUE('Capacity summary'!AI34)),0),AI122*$BI122),AI122*$BI122),0)</f>
        <v>0</v>
      </c>
      <c r="CM122" s="5">
        <f>IF($BI122&lt;&gt;"",IF('Capacity summary'!$C$14="Yes",IF(COUNTBLANK('Capacity summary'!$H34:$BG34)&lt;52,IF('Capacity summary'!AJ34&lt;&gt;"",IF(LOWER('Capacity summary'!AJ34)="x",$BI122*AJ122,VALUE('Capacity summary'!AJ34)),0),AJ122*$BI122),AJ122*$BI122),0)</f>
        <v>0</v>
      </c>
      <c r="CN122" s="5">
        <f>IF($BI122&lt;&gt;"",IF('Capacity summary'!$C$14="Yes",IF(COUNTBLANK('Capacity summary'!$H34:$BG34)&lt;52,IF('Capacity summary'!AK34&lt;&gt;"",IF(LOWER('Capacity summary'!AK34)="x",$BI122*AK122,VALUE('Capacity summary'!AK34)),0),AK122*$BI122),AK122*$BI122),0)</f>
        <v>0</v>
      </c>
      <c r="CO122" s="5">
        <f>IF($BI122&lt;&gt;"",IF('Capacity summary'!$C$14="Yes",IF(COUNTBLANK('Capacity summary'!$H34:$BG34)&lt;52,IF('Capacity summary'!AL34&lt;&gt;"",IF(LOWER('Capacity summary'!AL34)="x",$BI122*AL122,VALUE('Capacity summary'!AL34)),0),AL122*$BI122),AL122*$BI122),0)</f>
        <v>0</v>
      </c>
      <c r="CP122" s="5">
        <f>IF($BI122&lt;&gt;"",IF('Capacity summary'!$C$14="Yes",IF(COUNTBLANK('Capacity summary'!$H34:$BG34)&lt;52,IF('Capacity summary'!AM34&lt;&gt;"",IF(LOWER('Capacity summary'!AM34)="x",$BI122*AM122,VALUE('Capacity summary'!AM34)),0),AM122*$BI122),AM122*$BI122),0)</f>
        <v>0</v>
      </c>
      <c r="CQ122" s="5">
        <f>IF($BI122&lt;&gt;"",IF('Capacity summary'!$C$14="Yes",IF(COUNTBLANK('Capacity summary'!$H34:$BG34)&lt;52,IF('Capacity summary'!AN34&lt;&gt;"",IF(LOWER('Capacity summary'!AN34)="x",$BI122*AN122,VALUE('Capacity summary'!AN34)),0),AN122*$BI122),AN122*$BI122),0)</f>
        <v>0</v>
      </c>
      <c r="CR122" s="5">
        <f>IF($BI122&lt;&gt;"",IF('Capacity summary'!$C$14="Yes",IF(COUNTBLANK('Capacity summary'!$H34:$BG34)&lt;52,IF('Capacity summary'!AO34&lt;&gt;"",IF(LOWER('Capacity summary'!AO34)="x",$BI122*AO122,VALUE('Capacity summary'!AO34)),0),AO122*$BI122),AO122*$BI122),0)</f>
        <v>0</v>
      </c>
      <c r="CS122" s="5">
        <f>IF($BI122&lt;&gt;"",IF('Capacity summary'!$C$14="Yes",IF(COUNTBLANK('Capacity summary'!$H34:$BG34)&lt;52,IF('Capacity summary'!AP34&lt;&gt;"",IF(LOWER('Capacity summary'!AP34)="x",$BI122*AP122,VALUE('Capacity summary'!AP34)),0),AP122*$BI122),AP122*$BI122),0)</f>
        <v>0</v>
      </c>
      <c r="CT122" s="5">
        <f>IF($BI122&lt;&gt;"",IF('Capacity summary'!$C$14="Yes",IF(COUNTBLANK('Capacity summary'!$H34:$BG34)&lt;52,IF('Capacity summary'!AQ34&lt;&gt;"",IF(LOWER('Capacity summary'!AQ34)="x",$BI122*AQ122,VALUE('Capacity summary'!AQ34)),0),AQ122*$BI122),AQ122*$BI122),0)</f>
        <v>0</v>
      </c>
      <c r="CU122" s="5">
        <f>IF($BI122&lt;&gt;"",IF('Capacity summary'!$C$14="Yes",IF(COUNTBLANK('Capacity summary'!$H34:$BG34)&lt;52,IF('Capacity summary'!AR34&lt;&gt;"",IF(LOWER('Capacity summary'!AR34)="x",$BI122*AR122,VALUE('Capacity summary'!AR34)),0),AR122*$BI122),AR122*$BI122),0)</f>
        <v>0</v>
      </c>
      <c r="CV122" s="5">
        <f>IF($BI122&lt;&gt;"",IF('Capacity summary'!$C$14="Yes",IF(COUNTBLANK('Capacity summary'!$H34:$BG34)&lt;52,IF('Capacity summary'!AS34&lt;&gt;"",IF(LOWER('Capacity summary'!AS34)="x",$BI122*AS122,VALUE('Capacity summary'!AS34)),0),AS122*$BI122),AS122*$BI122),0)</f>
        <v>0</v>
      </c>
      <c r="CW122" s="5">
        <f>IF($BI122&lt;&gt;"",IF('Capacity summary'!$C$14="Yes",IF(COUNTBLANK('Capacity summary'!$H34:$BG34)&lt;52,IF('Capacity summary'!AT34&lt;&gt;"",IF(LOWER('Capacity summary'!AT34)="x",$BI122*AT122,VALUE('Capacity summary'!AT34)),0),AT122*$BI122),AT122*$BI122),0)</f>
        <v>0</v>
      </c>
      <c r="CX122" s="5">
        <f>IF($BI122&lt;&gt;"",IF('Capacity summary'!$C$14="Yes",IF(COUNTBLANK('Capacity summary'!$H34:$BG34)&lt;52,IF('Capacity summary'!AU34&lt;&gt;"",IF(LOWER('Capacity summary'!AU34)="x",$BI122*AU122,VALUE('Capacity summary'!AU34)),0),AU122*$BI122),AU122*$BI122),0)</f>
        <v>0</v>
      </c>
      <c r="CY122" s="5">
        <f>IF($BI122&lt;&gt;"",IF('Capacity summary'!$C$14="Yes",IF(COUNTBLANK('Capacity summary'!$H34:$BG34)&lt;52,IF('Capacity summary'!AV34&lt;&gt;"",IF(LOWER('Capacity summary'!AV34)="x",$BI122*AV122,VALUE('Capacity summary'!AV34)),0),AV122*$BI122),AV122*$BI122),0)</f>
        <v>0</v>
      </c>
      <c r="CZ122" s="5">
        <f>IF($BI122&lt;&gt;"",IF('Capacity summary'!$C$14="Yes",IF(COUNTBLANK('Capacity summary'!$H34:$BG34)&lt;52,IF('Capacity summary'!AW34&lt;&gt;"",IF(LOWER('Capacity summary'!AW34)="x",$BI122*AW122,VALUE('Capacity summary'!AW34)),0),AW122*$BI122),AW122*$BI122),0)</f>
        <v>0</v>
      </c>
      <c r="DA122" s="5">
        <f>IF($BI122&lt;&gt;"",IF('Capacity summary'!$C$14="Yes",IF(COUNTBLANK('Capacity summary'!$H34:$BG34)&lt;52,IF('Capacity summary'!AX34&lt;&gt;"",IF(LOWER('Capacity summary'!AX34)="x",$BI122*AX122,VALUE('Capacity summary'!AX34)),0),AX122*$BI122),AX122*$BI122),0)</f>
        <v>0</v>
      </c>
      <c r="DB122" s="5">
        <f>IF($BI122&lt;&gt;"",IF('Capacity summary'!$C$14="Yes",IF(COUNTBLANK('Capacity summary'!$H34:$BG34)&lt;52,IF('Capacity summary'!AY34&lt;&gt;"",IF(LOWER('Capacity summary'!AY34)="x",$BI122*AY122,VALUE('Capacity summary'!AY34)),0),AY122*$BI122),AY122*$BI122),0)</f>
        <v>0</v>
      </c>
      <c r="DC122" s="5">
        <f>IF($BI122&lt;&gt;"",IF('Capacity summary'!$C$14="Yes",IF(COUNTBLANK('Capacity summary'!$H34:$BG34)&lt;52,IF('Capacity summary'!AZ34&lt;&gt;"",IF(LOWER('Capacity summary'!AZ34)="x",$BI122*AZ122,VALUE('Capacity summary'!AZ34)),0),AZ122*$BI122),AZ122*$BI122),0)</f>
        <v>0</v>
      </c>
      <c r="DD122" s="5">
        <f>IF($BI122&lt;&gt;"",IF('Capacity summary'!$C$14="Yes",IF(COUNTBLANK('Capacity summary'!$H34:$BG34)&lt;52,IF('Capacity summary'!BA34&lt;&gt;"",IF(LOWER('Capacity summary'!BA34)="x",$BI122*BA122,VALUE('Capacity summary'!BA34)),0),BA122*$BI122),BA122*$BI122),0)</f>
        <v>0</v>
      </c>
      <c r="DE122" s="5">
        <f>IF($BI122&lt;&gt;"",IF('Capacity summary'!$C$14="Yes",IF(COUNTBLANK('Capacity summary'!$H34:$BG34)&lt;52,IF('Capacity summary'!BB34&lt;&gt;"",IF(LOWER('Capacity summary'!BB34)="x",$BI122*BB122,VALUE('Capacity summary'!BB34)),0),BB122*$BI122),BB122*$BI122),0)</f>
        <v>0</v>
      </c>
      <c r="DF122" s="5">
        <f>IF($BI122&lt;&gt;"",IF('Capacity summary'!$C$14="Yes",IF(COUNTBLANK('Capacity summary'!$H34:$BG34)&lt;52,IF('Capacity summary'!BC34&lt;&gt;"",IF(LOWER('Capacity summary'!BC34)="x",$BI122*BC122,VALUE('Capacity summary'!BC34)),0),BC122*$BI122),BC122*$BI122),0)</f>
        <v>0</v>
      </c>
      <c r="DG122" s="5">
        <f>IF($BI122&lt;&gt;"",IF('Capacity summary'!$C$14="Yes",IF(COUNTBLANK('Capacity summary'!$H34:$BG34)&lt;52,IF('Capacity summary'!BD34&lt;&gt;"",IF(LOWER('Capacity summary'!BD34)="x",$BI122*BD122,VALUE('Capacity summary'!BD34)),0),BD122*$BI122),BD122*$BI122),0)</f>
        <v>0</v>
      </c>
      <c r="DH122" s="5">
        <f>IF($BI122&lt;&gt;"",IF('Capacity summary'!$C$14="Yes",IF(COUNTBLANK('Capacity summary'!$H34:$BG34)&lt;52,IF('Capacity summary'!BE34&lt;&gt;"",IF(LOWER('Capacity summary'!BE34)="x",$BI122*BE122,VALUE('Capacity summary'!BE34)),0),BE122*$BI122),BE122*$BI122),0)</f>
        <v>0</v>
      </c>
      <c r="DI122" s="5">
        <f>IF($BI122&lt;&gt;"",IF('Capacity summary'!$C$14="Yes",IF(COUNTBLANK('Capacity summary'!$H34:$BG34)&lt;52,IF('Capacity summary'!BF34&lt;&gt;"",IF(LOWER('Capacity summary'!BF34)="x",$BI122*BF122,VALUE('Capacity summary'!BF34)),0),BF122*$BI122),BF122*$BI122),0)</f>
        <v>0</v>
      </c>
      <c r="DJ122" s="5">
        <f>IF($BI122&lt;&gt;"",IF('Capacity summary'!$C$14="Yes",IF(COUNTBLANK('Capacity summary'!$H34:$BG34)&lt;52,IF('Capacity summary'!BG34&lt;&gt;"",IF(LOWER('Capacity summary'!BG34)="x",$BI122*BG122,VALUE('Capacity summary'!BG34)),0),BG122*$BI122),BG122*$BI122),0)</f>
        <v>0</v>
      </c>
      <c r="DK122" s="391">
        <f t="shared" si="8"/>
        <v>0</v>
      </c>
      <c r="DL122" s="5">
        <f t="shared" si="9"/>
        <v>0</v>
      </c>
    </row>
    <row r="123" spans="3:116" x14ac:dyDescent="0.2">
      <c r="C123" s="67" t="str">
        <f>ROW(A12)&amp;". "&amp;Capacity!N28</f>
        <v xml:space="preserve">12. </v>
      </c>
      <c r="D123" s="67">
        <f>'Capacity setup'!C129</f>
        <v>0</v>
      </c>
      <c r="E123" s="67">
        <f>'Capacity setup'!D129</f>
        <v>0</v>
      </c>
      <c r="F123" s="67">
        <f>'Capacity setup'!E129</f>
        <v>0</v>
      </c>
      <c r="H123" s="67">
        <f ca="1">IF(LOWER(Capacity!$V28)="x",IF(AND(SUMIF(Capacity_Resource,$D123,'Critical resources (hide)'!U$6:U$105)+SUMIF(Capacity_Resource,$E123,'Critical resources (hide)'!U$6:U$105)+SUMIF(Capacity_Resource,$F123,'Critical resources (hide)'!U$6:U$105)&gt;0,$E$1=2),0,1),0)</f>
        <v>1</v>
      </c>
      <c r="I123" s="67">
        <f ca="1">IF(LOWER(Capacity!$V28)="x",IF(AND(SUMIF(Capacity_Resource,$D123,'Critical resources (hide)'!V$6:V$105)+SUMIF(Capacity_Resource,$E123,'Critical resources (hide)'!V$6:V$105)+SUMIF(Capacity_Resource,$F123,'Critical resources (hide)'!V$6:V$105)&gt;0,$E$1=2),0,1),0)</f>
        <v>1</v>
      </c>
      <c r="J123" s="67">
        <f ca="1">IF(LOWER(Capacity!$V28)="x",IF(AND(SUMIF(Capacity_Resource,$D123,'Critical resources (hide)'!W$6:W$105)+SUMIF(Capacity_Resource,$E123,'Critical resources (hide)'!W$6:W$105)+SUMIF(Capacity_Resource,$F123,'Critical resources (hide)'!W$6:W$105)&gt;0,$E$1=2),0,1),0)</f>
        <v>1</v>
      </c>
      <c r="K123" s="67">
        <f ca="1">IF(LOWER(Capacity!$V28)="x",IF(AND(SUMIF(Capacity_Resource,$D123,'Critical resources (hide)'!X$6:X$105)+SUMIF(Capacity_Resource,$E123,'Critical resources (hide)'!X$6:X$105)+SUMIF(Capacity_Resource,$F123,'Critical resources (hide)'!X$6:X$105)&gt;0,$E$1=2),0,1),0)</f>
        <v>1</v>
      </c>
      <c r="L123" s="67">
        <f ca="1">IF(LOWER(Capacity!$V28)="x",IF(AND(SUMIF(Capacity_Resource,$D123,'Critical resources (hide)'!Y$6:Y$105)+SUMIF(Capacity_Resource,$E123,'Critical resources (hide)'!Y$6:Y$105)+SUMIF(Capacity_Resource,$F123,'Critical resources (hide)'!Y$6:Y$105)&gt;0,$E$1=2),0,1),0)</f>
        <v>1</v>
      </c>
      <c r="M123" s="67">
        <f ca="1">IF(LOWER(Capacity!$V28)="x",IF(AND(SUMIF(Capacity_Resource,$D123,'Critical resources (hide)'!Z$6:Z$105)+SUMIF(Capacity_Resource,$E123,'Critical resources (hide)'!Z$6:Z$105)+SUMIF(Capacity_Resource,$F123,'Critical resources (hide)'!Z$6:Z$105)&gt;0,$E$1=2),0,1),0)</f>
        <v>1</v>
      </c>
      <c r="N123" s="67">
        <f ca="1">IF(LOWER(Capacity!$V28)="x",IF(AND(SUMIF(Capacity_Resource,$D123,'Critical resources (hide)'!AA$6:AA$105)+SUMIF(Capacity_Resource,$E123,'Critical resources (hide)'!AA$6:AA$105)+SUMIF(Capacity_Resource,$F123,'Critical resources (hide)'!AA$6:AA$105)&gt;0,$E$1=2),0,1),0)</f>
        <v>1</v>
      </c>
      <c r="O123" s="67">
        <f ca="1">IF(LOWER(Capacity!$V28)="x",IF(AND(SUMIF(Capacity_Resource,$D123,'Critical resources (hide)'!AB$6:AB$105)+SUMIF(Capacity_Resource,$E123,'Critical resources (hide)'!AB$6:AB$105)+SUMIF(Capacity_Resource,$F123,'Critical resources (hide)'!AB$6:AB$105)&gt;0,$E$1=2),0,1),0)</f>
        <v>1</v>
      </c>
      <c r="P123" s="67">
        <f ca="1">IF(LOWER(Capacity!$V28)="x",IF(AND(SUMIF(Capacity_Resource,$D123,'Critical resources (hide)'!AC$6:AC$105)+SUMIF(Capacity_Resource,$E123,'Critical resources (hide)'!AC$6:AC$105)+SUMIF(Capacity_Resource,$F123,'Critical resources (hide)'!AC$6:AC$105)&gt;0,$E$1=2),0,1),0)</f>
        <v>1</v>
      </c>
      <c r="Q123" s="67">
        <f ca="1">IF(LOWER(Capacity!$V28)="x",IF(AND(SUMIF(Capacity_Resource,$D123,'Critical resources (hide)'!AD$6:AD$105)+SUMIF(Capacity_Resource,$E123,'Critical resources (hide)'!AD$6:AD$105)+SUMIF(Capacity_Resource,$F123,'Critical resources (hide)'!AD$6:AD$105)&gt;0,$E$1=2),0,1),0)</f>
        <v>1</v>
      </c>
      <c r="R123" s="67">
        <f ca="1">IF(LOWER(Capacity!$V28)="x",IF(AND(SUMIF(Capacity_Resource,$D123,'Critical resources (hide)'!AE$6:AE$105)+SUMIF(Capacity_Resource,$E123,'Critical resources (hide)'!AE$6:AE$105)+SUMIF(Capacity_Resource,$F123,'Critical resources (hide)'!AE$6:AE$105)&gt;0,$E$1=2),0,1),0)</f>
        <v>1</v>
      </c>
      <c r="S123" s="67">
        <f ca="1">IF(LOWER(Capacity!$V28)="x",IF(AND(SUMIF(Capacity_Resource,$D123,'Critical resources (hide)'!AF$6:AF$105)+SUMIF(Capacity_Resource,$E123,'Critical resources (hide)'!AF$6:AF$105)+SUMIF(Capacity_Resource,$F123,'Critical resources (hide)'!AF$6:AF$105)&gt;0,$E$1=2),0,1),0)</f>
        <v>1</v>
      </c>
      <c r="T123" s="67">
        <f ca="1">IF(LOWER(Capacity!$V28)="x",IF(AND(SUMIF(Capacity_Resource,$D123,'Critical resources (hide)'!AG$6:AG$105)+SUMIF(Capacity_Resource,$E123,'Critical resources (hide)'!AG$6:AG$105)+SUMIF(Capacity_Resource,$F123,'Critical resources (hide)'!AG$6:AG$105)&gt;0,$E$1=2),0,1),0)</f>
        <v>1</v>
      </c>
      <c r="U123" s="67">
        <f ca="1">IF(LOWER(Capacity!$V28)="x",IF(AND(SUMIF(Capacity_Resource,$D123,'Critical resources (hide)'!AH$6:AH$105)+SUMIF(Capacity_Resource,$E123,'Critical resources (hide)'!AH$6:AH$105)+SUMIF(Capacity_Resource,$F123,'Critical resources (hide)'!AH$6:AH$105)&gt;0,$E$1=2),0,1),0)</f>
        <v>1</v>
      </c>
      <c r="V123" s="67">
        <f ca="1">IF(LOWER(Capacity!$V28)="x",IF(AND(SUMIF(Capacity_Resource,$D123,'Critical resources (hide)'!AI$6:AI$105)+SUMIF(Capacity_Resource,$E123,'Critical resources (hide)'!AI$6:AI$105)+SUMIF(Capacity_Resource,$F123,'Critical resources (hide)'!AI$6:AI$105)&gt;0,$E$1=2),0,1),0)</f>
        <v>1</v>
      </c>
      <c r="W123" s="67">
        <f ca="1">IF(LOWER(Capacity!$V28)="x",IF(AND(SUMIF(Capacity_Resource,$D123,'Critical resources (hide)'!AJ$6:AJ$105)+SUMIF(Capacity_Resource,$E123,'Critical resources (hide)'!AJ$6:AJ$105)+SUMIF(Capacity_Resource,$F123,'Critical resources (hide)'!AJ$6:AJ$105)&gt;0,$E$1=2),0,1),0)</f>
        <v>1</v>
      </c>
      <c r="X123" s="67">
        <f ca="1">IF(LOWER(Capacity!$V28)="x",IF(AND(SUMIF(Capacity_Resource,$D123,'Critical resources (hide)'!AK$6:AK$105)+SUMIF(Capacity_Resource,$E123,'Critical resources (hide)'!AK$6:AK$105)+SUMIF(Capacity_Resource,$F123,'Critical resources (hide)'!AK$6:AK$105)&gt;0,$E$1=2),0,1),0)</f>
        <v>1</v>
      </c>
      <c r="Y123" s="67">
        <f ca="1">IF(LOWER(Capacity!$V28)="x",IF(AND(SUMIF(Capacity_Resource,$D123,'Critical resources (hide)'!AL$6:AL$105)+SUMIF(Capacity_Resource,$E123,'Critical resources (hide)'!AL$6:AL$105)+SUMIF(Capacity_Resource,$F123,'Critical resources (hide)'!AL$6:AL$105)&gt;0,$E$1=2),0,1),0)</f>
        <v>1</v>
      </c>
      <c r="Z123" s="67">
        <f ca="1">IF(LOWER(Capacity!$V28)="x",IF(AND(SUMIF(Capacity_Resource,$D123,'Critical resources (hide)'!AM$6:AM$105)+SUMIF(Capacity_Resource,$E123,'Critical resources (hide)'!AM$6:AM$105)+SUMIF(Capacity_Resource,$F123,'Critical resources (hide)'!AM$6:AM$105)&gt;0,$E$1=2),0,1),0)</f>
        <v>1</v>
      </c>
      <c r="AA123" s="67">
        <f ca="1">IF(LOWER(Capacity!$V28)="x",IF(AND(SUMIF(Capacity_Resource,$D123,'Critical resources (hide)'!AN$6:AN$105)+SUMIF(Capacity_Resource,$E123,'Critical resources (hide)'!AN$6:AN$105)+SUMIF(Capacity_Resource,$F123,'Critical resources (hide)'!AN$6:AN$105)&gt;0,$E$1=2),0,1),0)</f>
        <v>1</v>
      </c>
      <c r="AB123" s="67">
        <f ca="1">IF(LOWER(Capacity!$V28)="x",IF(AND(SUMIF(Capacity_Resource,$D123,'Critical resources (hide)'!AO$6:AO$105)+SUMIF(Capacity_Resource,$E123,'Critical resources (hide)'!AO$6:AO$105)+SUMIF(Capacity_Resource,$F123,'Critical resources (hide)'!AO$6:AO$105)&gt;0,$E$1=2),0,1),0)</f>
        <v>1</v>
      </c>
      <c r="AC123" s="67">
        <f ca="1">IF(LOWER(Capacity!$V28)="x",IF(AND(SUMIF(Capacity_Resource,$D123,'Critical resources (hide)'!AP$6:AP$105)+SUMIF(Capacity_Resource,$E123,'Critical resources (hide)'!AP$6:AP$105)+SUMIF(Capacity_Resource,$F123,'Critical resources (hide)'!AP$6:AP$105)&gt;0,$E$1=2),0,1),0)</f>
        <v>1</v>
      </c>
      <c r="AD123" s="67">
        <f ca="1">IF(LOWER(Capacity!$V28)="x",IF(AND(SUMIF(Capacity_Resource,$D123,'Critical resources (hide)'!AQ$6:AQ$105)+SUMIF(Capacity_Resource,$E123,'Critical resources (hide)'!AQ$6:AQ$105)+SUMIF(Capacity_Resource,$F123,'Critical resources (hide)'!AQ$6:AQ$105)&gt;0,$E$1=2),0,1),0)</f>
        <v>1</v>
      </c>
      <c r="AE123" s="67">
        <f ca="1">IF(LOWER(Capacity!$V28)="x",IF(AND(SUMIF(Capacity_Resource,$D123,'Critical resources (hide)'!AR$6:AR$105)+SUMIF(Capacity_Resource,$E123,'Critical resources (hide)'!AR$6:AR$105)+SUMIF(Capacity_Resource,$F123,'Critical resources (hide)'!AR$6:AR$105)&gt;0,$E$1=2),0,1),0)</f>
        <v>1</v>
      </c>
      <c r="AF123" s="67">
        <f ca="1">IF(LOWER(Capacity!$V28)="x",IF(AND(SUMIF(Capacity_Resource,$D123,'Critical resources (hide)'!AS$6:AS$105)+SUMIF(Capacity_Resource,$E123,'Critical resources (hide)'!AS$6:AS$105)+SUMIF(Capacity_Resource,$F123,'Critical resources (hide)'!AS$6:AS$105)&gt;0,$E$1=2),0,1),0)</f>
        <v>1</v>
      </c>
      <c r="AG123" s="67">
        <f ca="1">IF(LOWER(Capacity!$V28)="x",IF(AND(SUMIF(Capacity_Resource,$D123,'Critical resources (hide)'!AT$6:AT$105)+SUMIF(Capacity_Resource,$E123,'Critical resources (hide)'!AT$6:AT$105)+SUMIF(Capacity_Resource,$F123,'Critical resources (hide)'!AT$6:AT$105)&gt;0,$E$1=2),0,1),0)</f>
        <v>1</v>
      </c>
      <c r="AH123" s="67">
        <f ca="1">IF(LOWER(Capacity!$V28)="x",IF(AND(SUMIF(Capacity_Resource,$D123,'Critical resources (hide)'!AU$6:AU$105)+SUMIF(Capacity_Resource,$E123,'Critical resources (hide)'!AU$6:AU$105)+SUMIF(Capacity_Resource,$F123,'Critical resources (hide)'!AU$6:AU$105)&gt;0,$E$1=2),0,1),0)</f>
        <v>1</v>
      </c>
      <c r="AI123" s="67">
        <f ca="1">IF(LOWER(Capacity!$V28)="x",IF(AND(SUMIF(Capacity_Resource,$D123,'Critical resources (hide)'!AV$6:AV$105)+SUMIF(Capacity_Resource,$E123,'Critical resources (hide)'!AV$6:AV$105)+SUMIF(Capacity_Resource,$F123,'Critical resources (hide)'!AV$6:AV$105)&gt;0,$E$1=2),0,1),0)</f>
        <v>1</v>
      </c>
      <c r="AJ123" s="67">
        <f ca="1">IF(LOWER(Capacity!$V28)="x",IF(AND(SUMIF(Capacity_Resource,$D123,'Critical resources (hide)'!AW$6:AW$105)+SUMIF(Capacity_Resource,$E123,'Critical resources (hide)'!AW$6:AW$105)+SUMIF(Capacity_Resource,$F123,'Critical resources (hide)'!AW$6:AW$105)&gt;0,$E$1=2),0,1),0)</f>
        <v>1</v>
      </c>
      <c r="AK123" s="67">
        <f ca="1">IF(LOWER(Capacity!$V28)="x",IF(AND(SUMIF(Capacity_Resource,$D123,'Critical resources (hide)'!AX$6:AX$105)+SUMIF(Capacity_Resource,$E123,'Critical resources (hide)'!AX$6:AX$105)+SUMIF(Capacity_Resource,$F123,'Critical resources (hide)'!AX$6:AX$105)&gt;0,$E$1=2),0,1),0)</f>
        <v>1</v>
      </c>
      <c r="AL123" s="67">
        <f ca="1">IF(LOWER(Capacity!$V28)="x",IF(AND(SUMIF(Capacity_Resource,$D123,'Critical resources (hide)'!AY$6:AY$105)+SUMIF(Capacity_Resource,$E123,'Critical resources (hide)'!AY$6:AY$105)+SUMIF(Capacity_Resource,$F123,'Critical resources (hide)'!AY$6:AY$105)&gt;0,$E$1=2),0,1),0)</f>
        <v>1</v>
      </c>
      <c r="AM123" s="67">
        <f ca="1">IF(LOWER(Capacity!$V28)="x",IF(AND(SUMIF(Capacity_Resource,$D123,'Critical resources (hide)'!AZ$6:AZ$105)+SUMIF(Capacity_Resource,$E123,'Critical resources (hide)'!AZ$6:AZ$105)+SUMIF(Capacity_Resource,$F123,'Critical resources (hide)'!AZ$6:AZ$105)&gt;0,$E$1=2),0,1),0)</f>
        <v>1</v>
      </c>
      <c r="AN123" s="67">
        <f ca="1">IF(LOWER(Capacity!$V28)="x",IF(AND(SUMIF(Capacity_Resource,$D123,'Critical resources (hide)'!BA$6:BA$105)+SUMIF(Capacity_Resource,$E123,'Critical resources (hide)'!BA$6:BA$105)+SUMIF(Capacity_Resource,$F123,'Critical resources (hide)'!BA$6:BA$105)&gt;0,$E$1=2),0,1),0)</f>
        <v>1</v>
      </c>
      <c r="AO123" s="67">
        <f ca="1">IF(LOWER(Capacity!$V28)="x",IF(AND(SUMIF(Capacity_Resource,$D123,'Critical resources (hide)'!BB$6:BB$105)+SUMIF(Capacity_Resource,$E123,'Critical resources (hide)'!BB$6:BB$105)+SUMIF(Capacity_Resource,$F123,'Critical resources (hide)'!BB$6:BB$105)&gt;0,$E$1=2),0,1),0)</f>
        <v>1</v>
      </c>
      <c r="AP123" s="67">
        <f ca="1">IF(LOWER(Capacity!$V28)="x",IF(AND(SUMIF(Capacity_Resource,$D123,'Critical resources (hide)'!BC$6:BC$105)+SUMIF(Capacity_Resource,$E123,'Critical resources (hide)'!BC$6:BC$105)+SUMIF(Capacity_Resource,$F123,'Critical resources (hide)'!BC$6:BC$105)&gt;0,$E$1=2),0,1),0)</f>
        <v>1</v>
      </c>
      <c r="AQ123" s="67">
        <f ca="1">IF(LOWER(Capacity!$V28)="x",IF(AND(SUMIF(Capacity_Resource,$D123,'Critical resources (hide)'!BD$6:BD$105)+SUMIF(Capacity_Resource,$E123,'Critical resources (hide)'!BD$6:BD$105)+SUMIF(Capacity_Resource,$F123,'Critical resources (hide)'!BD$6:BD$105)&gt;0,$E$1=2),0,1),0)</f>
        <v>1</v>
      </c>
      <c r="AR123" s="67">
        <f ca="1">IF(LOWER(Capacity!$V28)="x",IF(AND(SUMIF(Capacity_Resource,$D123,'Critical resources (hide)'!BE$6:BE$105)+SUMIF(Capacity_Resource,$E123,'Critical resources (hide)'!BE$6:BE$105)+SUMIF(Capacity_Resource,$F123,'Critical resources (hide)'!BE$6:BE$105)&gt;0,$E$1=2),0,1),0)</f>
        <v>1</v>
      </c>
      <c r="AS123" s="67">
        <f ca="1">IF(LOWER(Capacity!$V28)="x",IF(AND(SUMIF(Capacity_Resource,$D123,'Critical resources (hide)'!BF$6:BF$105)+SUMIF(Capacity_Resource,$E123,'Critical resources (hide)'!BF$6:BF$105)+SUMIF(Capacity_Resource,$F123,'Critical resources (hide)'!BF$6:BF$105)&gt;0,$E$1=2),0,1),0)</f>
        <v>1</v>
      </c>
      <c r="AT123" s="67">
        <f ca="1">IF(LOWER(Capacity!$V28)="x",IF(AND(SUMIF(Capacity_Resource,$D123,'Critical resources (hide)'!BG$6:BG$105)+SUMIF(Capacity_Resource,$E123,'Critical resources (hide)'!BG$6:BG$105)+SUMIF(Capacity_Resource,$F123,'Critical resources (hide)'!BG$6:BG$105)&gt;0,$E$1=2),0,1),0)</f>
        <v>1</v>
      </c>
      <c r="AU123" s="67">
        <f ca="1">IF(LOWER(Capacity!$V28)="x",IF(AND(SUMIF(Capacity_Resource,$D123,'Critical resources (hide)'!BH$6:BH$105)+SUMIF(Capacity_Resource,$E123,'Critical resources (hide)'!BH$6:BH$105)+SUMIF(Capacity_Resource,$F123,'Critical resources (hide)'!BH$6:BH$105)&gt;0,$E$1=2),0,1),0)</f>
        <v>1</v>
      </c>
      <c r="AV123" s="67">
        <f ca="1">IF(LOWER(Capacity!$V28)="x",IF(AND(SUMIF(Capacity_Resource,$D123,'Critical resources (hide)'!BI$6:BI$105)+SUMIF(Capacity_Resource,$E123,'Critical resources (hide)'!BI$6:BI$105)+SUMIF(Capacity_Resource,$F123,'Critical resources (hide)'!BI$6:BI$105)&gt;0,$E$1=2),0,1),0)</f>
        <v>1</v>
      </c>
      <c r="AW123" s="67">
        <f ca="1">IF(LOWER(Capacity!$V28)="x",IF(AND(SUMIF(Capacity_Resource,$D123,'Critical resources (hide)'!BJ$6:BJ$105)+SUMIF(Capacity_Resource,$E123,'Critical resources (hide)'!BJ$6:BJ$105)+SUMIF(Capacity_Resource,$F123,'Critical resources (hide)'!BJ$6:BJ$105)&gt;0,$E$1=2),0,1),0)</f>
        <v>1</v>
      </c>
      <c r="AX123" s="67">
        <f ca="1">IF(LOWER(Capacity!$V28)="x",IF(AND(SUMIF(Capacity_Resource,$D123,'Critical resources (hide)'!BK$6:BK$105)+SUMIF(Capacity_Resource,$E123,'Critical resources (hide)'!BK$6:BK$105)+SUMIF(Capacity_Resource,$F123,'Critical resources (hide)'!BK$6:BK$105)&gt;0,$E$1=2),0,1),0)</f>
        <v>1</v>
      </c>
      <c r="AY123" s="67">
        <f ca="1">IF(LOWER(Capacity!$V28)="x",IF(AND(SUMIF(Capacity_Resource,$D123,'Critical resources (hide)'!BL$6:BL$105)+SUMIF(Capacity_Resource,$E123,'Critical resources (hide)'!BL$6:BL$105)+SUMIF(Capacity_Resource,$F123,'Critical resources (hide)'!BL$6:BL$105)&gt;0,$E$1=2),0,1),0)</f>
        <v>1</v>
      </c>
      <c r="AZ123" s="67">
        <f ca="1">IF(LOWER(Capacity!$V28)="x",IF(AND(SUMIF(Capacity_Resource,$D123,'Critical resources (hide)'!BM$6:BM$105)+SUMIF(Capacity_Resource,$E123,'Critical resources (hide)'!BM$6:BM$105)+SUMIF(Capacity_Resource,$F123,'Critical resources (hide)'!BM$6:BM$105)&gt;0,$E$1=2),0,1),0)</f>
        <v>1</v>
      </c>
      <c r="BA123" s="67">
        <f ca="1">IF(LOWER(Capacity!$V28)="x",IF(AND(SUMIF(Capacity_Resource,$D123,'Critical resources (hide)'!BN$6:BN$105)+SUMIF(Capacity_Resource,$E123,'Critical resources (hide)'!BN$6:BN$105)+SUMIF(Capacity_Resource,$F123,'Critical resources (hide)'!BN$6:BN$105)&gt;0,$E$1=2),0,1),0)</f>
        <v>1</v>
      </c>
      <c r="BB123" s="67">
        <f ca="1">IF(LOWER(Capacity!$V28)="x",IF(AND(SUMIF(Capacity_Resource,$D123,'Critical resources (hide)'!BO$6:BO$105)+SUMIF(Capacity_Resource,$E123,'Critical resources (hide)'!BO$6:BO$105)+SUMIF(Capacity_Resource,$F123,'Critical resources (hide)'!BO$6:BO$105)&gt;0,$E$1=2),0,1),0)</f>
        <v>1</v>
      </c>
      <c r="BC123" s="67">
        <f ca="1">IF(LOWER(Capacity!$V28)="x",IF(AND(SUMIF(Capacity_Resource,$D123,'Critical resources (hide)'!BP$6:BP$105)+SUMIF(Capacity_Resource,$E123,'Critical resources (hide)'!BP$6:BP$105)+SUMIF(Capacity_Resource,$F123,'Critical resources (hide)'!BP$6:BP$105)&gt;0,$E$1=2),0,1),0)</f>
        <v>1</v>
      </c>
      <c r="BD123" s="67">
        <f ca="1">IF(LOWER(Capacity!$V28)="x",IF(AND(SUMIF(Capacity_Resource,$D123,'Critical resources (hide)'!BQ$6:BQ$105)+SUMIF(Capacity_Resource,$E123,'Critical resources (hide)'!BQ$6:BQ$105)+SUMIF(Capacity_Resource,$F123,'Critical resources (hide)'!BQ$6:BQ$105)&gt;0,$E$1=2),0,1),0)</f>
        <v>1</v>
      </c>
      <c r="BE123" s="67">
        <f ca="1">IF(LOWER(Capacity!$V28)="x",IF(AND(SUMIF(Capacity_Resource,$D123,'Critical resources (hide)'!BR$6:BR$105)+SUMIF(Capacity_Resource,$E123,'Critical resources (hide)'!BR$6:BR$105)+SUMIF(Capacity_Resource,$F123,'Critical resources (hide)'!BR$6:BR$105)&gt;0,$E$1=2),0,1),0)</f>
        <v>1</v>
      </c>
      <c r="BF123" s="67">
        <f ca="1">IF(LOWER(Capacity!$V28)="x",IF(AND(SUMIF(Capacity_Resource,$D123,'Critical resources (hide)'!BS$6:BS$105)+SUMIF(Capacity_Resource,$E123,'Critical resources (hide)'!BS$6:BS$105)+SUMIF(Capacity_Resource,$F123,'Critical resources (hide)'!BS$6:BS$105)&gt;0,$E$1=2),0,1),0)</f>
        <v>1</v>
      </c>
      <c r="BG123" s="67">
        <f ca="1">IF(LOWER(Capacity!$V28)="x",IF(AND(SUMIF(Capacity_Resource,$D123,'Critical resources (hide)'!BT$6:BT$105)+SUMIF(Capacity_Resource,$E123,'Critical resources (hide)'!BT$6:BT$105)+SUMIF(Capacity_Resource,$F123,'Critical resources (hide)'!BT$6:BT$105)&gt;0,$E$1=2),0,1),0)</f>
        <v>1</v>
      </c>
      <c r="BH123" s="67">
        <f>IF(ROW(A12)&lt;=Capacity!$M$16,IF('Capacity summary'!$C$14="No",SUM(H123:BG123),'Capacity summary'!$E35),0)</f>
        <v>0</v>
      </c>
      <c r="BI123" s="67" t="str">
        <f>IF(BH123&gt;0,IF(BH123&lt;Capacity!Q28,Capacity!R28,Capacity!T28/'Capacity calculation (hide)'!BH123),"")</f>
        <v/>
      </c>
      <c r="BJ123" s="5"/>
      <c r="BK123" s="5">
        <f>IF($BI123&lt;&gt;"",IF('Capacity summary'!$C$14="Yes",IF(COUNTBLANK('Capacity summary'!$H35:$BG35)&lt;52,IF('Capacity summary'!H35&lt;&gt;"",IF(LOWER('Capacity summary'!H35)="x",$BI123*H123,VALUE('Capacity summary'!H35)),0),H123*$BI123),H123*$BI123),0)</f>
        <v>0</v>
      </c>
      <c r="BL123" s="5">
        <f>IF($BI123&lt;&gt;"",IF('Capacity summary'!$C$14="Yes",IF(COUNTBLANK('Capacity summary'!$H35:$BG35)&lt;52,IF('Capacity summary'!I35&lt;&gt;"",IF(LOWER('Capacity summary'!I35)="x",$BI123*I123,VALUE('Capacity summary'!I35)),0),I123*$BI123),I123*$BI123),0)</f>
        <v>0</v>
      </c>
      <c r="BM123" s="5">
        <f>IF($BI123&lt;&gt;"",IF('Capacity summary'!$C$14="Yes",IF(COUNTBLANK('Capacity summary'!$H35:$BG35)&lt;52,IF('Capacity summary'!J35&lt;&gt;"",IF(LOWER('Capacity summary'!J35)="x",$BI123*J123,VALUE('Capacity summary'!J35)),0),J123*$BI123),J123*$BI123),0)</f>
        <v>0</v>
      </c>
      <c r="BN123" s="5">
        <f>IF($BI123&lt;&gt;"",IF('Capacity summary'!$C$14="Yes",IF(COUNTBLANK('Capacity summary'!$H35:$BG35)&lt;52,IF('Capacity summary'!K35&lt;&gt;"",IF(LOWER('Capacity summary'!K35)="x",$BI123*K123,VALUE('Capacity summary'!K35)),0),K123*$BI123),K123*$BI123),0)</f>
        <v>0</v>
      </c>
      <c r="BO123" s="5">
        <f>IF($BI123&lt;&gt;"",IF('Capacity summary'!$C$14="Yes",IF(COUNTBLANK('Capacity summary'!$H35:$BG35)&lt;52,IF('Capacity summary'!L35&lt;&gt;"",IF(LOWER('Capacity summary'!L35)="x",$BI123*L123,VALUE('Capacity summary'!L35)),0),L123*$BI123),L123*$BI123),0)</f>
        <v>0</v>
      </c>
      <c r="BP123" s="5">
        <f>IF($BI123&lt;&gt;"",IF('Capacity summary'!$C$14="Yes",IF(COUNTBLANK('Capacity summary'!$H35:$BG35)&lt;52,IF('Capacity summary'!M35&lt;&gt;"",IF(LOWER('Capacity summary'!M35)="x",$BI123*M123,VALUE('Capacity summary'!M35)),0),M123*$BI123),M123*$BI123),0)</f>
        <v>0</v>
      </c>
      <c r="BQ123" s="5">
        <f>IF($BI123&lt;&gt;"",IF('Capacity summary'!$C$14="Yes",IF(COUNTBLANK('Capacity summary'!$H35:$BG35)&lt;52,IF('Capacity summary'!N35&lt;&gt;"",IF(LOWER('Capacity summary'!N35)="x",$BI123*N123,VALUE('Capacity summary'!N35)),0),N123*$BI123),N123*$BI123),0)</f>
        <v>0</v>
      </c>
      <c r="BR123" s="5">
        <f>IF($BI123&lt;&gt;"",IF('Capacity summary'!$C$14="Yes",IF(COUNTBLANK('Capacity summary'!$H35:$BG35)&lt;52,IF('Capacity summary'!O35&lt;&gt;"",IF(LOWER('Capacity summary'!O35)="x",$BI123*O123,VALUE('Capacity summary'!O35)),0),O123*$BI123),O123*$BI123),0)</f>
        <v>0</v>
      </c>
      <c r="BS123" s="5">
        <f>IF($BI123&lt;&gt;"",IF('Capacity summary'!$C$14="Yes",IF(COUNTBLANK('Capacity summary'!$H35:$BG35)&lt;52,IF('Capacity summary'!P35&lt;&gt;"",IF(LOWER('Capacity summary'!P35)="x",$BI123*P123,VALUE('Capacity summary'!P35)),0),P123*$BI123),P123*$BI123),0)</f>
        <v>0</v>
      </c>
      <c r="BT123" s="5">
        <f>IF($BI123&lt;&gt;"",IF('Capacity summary'!$C$14="Yes",IF(COUNTBLANK('Capacity summary'!$H35:$BG35)&lt;52,IF('Capacity summary'!Q35&lt;&gt;"",IF(LOWER('Capacity summary'!Q35)="x",$BI123*Q123,VALUE('Capacity summary'!Q35)),0),Q123*$BI123),Q123*$BI123),0)</f>
        <v>0</v>
      </c>
      <c r="BU123" s="5">
        <f>IF($BI123&lt;&gt;"",IF('Capacity summary'!$C$14="Yes",IF(COUNTBLANK('Capacity summary'!$H35:$BG35)&lt;52,IF('Capacity summary'!R35&lt;&gt;"",IF(LOWER('Capacity summary'!R35)="x",$BI123*R123,VALUE('Capacity summary'!R35)),0),R123*$BI123),R123*$BI123),0)</f>
        <v>0</v>
      </c>
      <c r="BV123" s="5">
        <f>IF($BI123&lt;&gt;"",IF('Capacity summary'!$C$14="Yes",IF(COUNTBLANK('Capacity summary'!$H35:$BG35)&lt;52,IF('Capacity summary'!S35&lt;&gt;"",IF(LOWER('Capacity summary'!S35)="x",$BI123*S123,VALUE('Capacity summary'!S35)),0),S123*$BI123),S123*$BI123),0)</f>
        <v>0</v>
      </c>
      <c r="BW123" s="5">
        <f>IF($BI123&lt;&gt;"",IF('Capacity summary'!$C$14="Yes",IF(COUNTBLANK('Capacity summary'!$H35:$BG35)&lt;52,IF('Capacity summary'!T35&lt;&gt;"",IF(LOWER('Capacity summary'!T35)="x",$BI123*T123,VALUE('Capacity summary'!T35)),0),T123*$BI123),T123*$BI123),0)</f>
        <v>0</v>
      </c>
      <c r="BX123" s="5">
        <f>IF($BI123&lt;&gt;"",IF('Capacity summary'!$C$14="Yes",IF(COUNTBLANK('Capacity summary'!$H35:$BG35)&lt;52,IF('Capacity summary'!U35&lt;&gt;"",IF(LOWER('Capacity summary'!U35)="x",$BI123*U123,VALUE('Capacity summary'!U35)),0),U123*$BI123),U123*$BI123),0)</f>
        <v>0</v>
      </c>
      <c r="BY123" s="5">
        <f>IF($BI123&lt;&gt;"",IF('Capacity summary'!$C$14="Yes",IF(COUNTBLANK('Capacity summary'!$H35:$BG35)&lt;52,IF('Capacity summary'!V35&lt;&gt;"",IF(LOWER('Capacity summary'!V35)="x",$BI123*V123,VALUE('Capacity summary'!V35)),0),V123*$BI123),V123*$BI123),0)</f>
        <v>0</v>
      </c>
      <c r="BZ123" s="5">
        <f>IF($BI123&lt;&gt;"",IF('Capacity summary'!$C$14="Yes",IF(COUNTBLANK('Capacity summary'!$H35:$BG35)&lt;52,IF('Capacity summary'!W35&lt;&gt;"",IF(LOWER('Capacity summary'!W35)="x",$BI123*W123,VALUE('Capacity summary'!W35)),0),W123*$BI123),W123*$BI123),0)</f>
        <v>0</v>
      </c>
      <c r="CA123" s="5">
        <f>IF($BI123&lt;&gt;"",IF('Capacity summary'!$C$14="Yes",IF(COUNTBLANK('Capacity summary'!$H35:$BG35)&lt;52,IF('Capacity summary'!X35&lt;&gt;"",IF(LOWER('Capacity summary'!X35)="x",$BI123*X123,VALUE('Capacity summary'!X35)),0),X123*$BI123),X123*$BI123),0)</f>
        <v>0</v>
      </c>
      <c r="CB123" s="5">
        <f>IF($BI123&lt;&gt;"",IF('Capacity summary'!$C$14="Yes",IF(COUNTBLANK('Capacity summary'!$H35:$BG35)&lt;52,IF('Capacity summary'!Y35&lt;&gt;"",IF(LOWER('Capacity summary'!Y35)="x",$BI123*Y123,VALUE('Capacity summary'!Y35)),0),Y123*$BI123),Y123*$BI123),0)</f>
        <v>0</v>
      </c>
      <c r="CC123" s="5">
        <f>IF($BI123&lt;&gt;"",IF('Capacity summary'!$C$14="Yes",IF(COUNTBLANK('Capacity summary'!$H35:$BG35)&lt;52,IF('Capacity summary'!Z35&lt;&gt;"",IF(LOWER('Capacity summary'!Z35)="x",$BI123*Z123,VALUE('Capacity summary'!Z35)),0),Z123*$BI123),Z123*$BI123),0)</f>
        <v>0</v>
      </c>
      <c r="CD123" s="5">
        <f>IF($BI123&lt;&gt;"",IF('Capacity summary'!$C$14="Yes",IF(COUNTBLANK('Capacity summary'!$H35:$BG35)&lt;52,IF('Capacity summary'!AA35&lt;&gt;"",IF(LOWER('Capacity summary'!AA35)="x",$BI123*AA123,VALUE('Capacity summary'!AA35)),0),AA123*$BI123),AA123*$BI123),0)</f>
        <v>0</v>
      </c>
      <c r="CE123" s="5">
        <f>IF($BI123&lt;&gt;"",IF('Capacity summary'!$C$14="Yes",IF(COUNTBLANK('Capacity summary'!$H35:$BG35)&lt;52,IF('Capacity summary'!AB35&lt;&gt;"",IF(LOWER('Capacity summary'!AB35)="x",$BI123*AB123,VALUE('Capacity summary'!AB35)),0),AB123*$BI123),AB123*$BI123),0)</f>
        <v>0</v>
      </c>
      <c r="CF123" s="5">
        <f>IF($BI123&lt;&gt;"",IF('Capacity summary'!$C$14="Yes",IF(COUNTBLANK('Capacity summary'!$H35:$BG35)&lt;52,IF('Capacity summary'!AC35&lt;&gt;"",IF(LOWER('Capacity summary'!AC35)="x",$BI123*AC123,VALUE('Capacity summary'!AC35)),0),AC123*$BI123),AC123*$BI123),0)</f>
        <v>0</v>
      </c>
      <c r="CG123" s="5">
        <f>IF($BI123&lt;&gt;"",IF('Capacity summary'!$C$14="Yes",IF(COUNTBLANK('Capacity summary'!$H35:$BG35)&lt;52,IF('Capacity summary'!AD35&lt;&gt;"",IF(LOWER('Capacity summary'!AD35)="x",$BI123*AD123,VALUE('Capacity summary'!AD35)),0),AD123*$BI123),AD123*$BI123),0)</f>
        <v>0</v>
      </c>
      <c r="CH123" s="5">
        <f>IF($BI123&lt;&gt;"",IF('Capacity summary'!$C$14="Yes",IF(COUNTBLANK('Capacity summary'!$H35:$BG35)&lt;52,IF('Capacity summary'!AE35&lt;&gt;"",IF(LOWER('Capacity summary'!AE35)="x",$BI123*AE123,VALUE('Capacity summary'!AE35)),0),AE123*$BI123),AE123*$BI123),0)</f>
        <v>0</v>
      </c>
      <c r="CI123" s="5">
        <f>IF($BI123&lt;&gt;"",IF('Capacity summary'!$C$14="Yes",IF(COUNTBLANK('Capacity summary'!$H35:$BG35)&lt;52,IF('Capacity summary'!AF35&lt;&gt;"",IF(LOWER('Capacity summary'!AF35)="x",$BI123*AF123,VALUE('Capacity summary'!AF35)),0),AF123*$BI123),AF123*$BI123),0)</f>
        <v>0</v>
      </c>
      <c r="CJ123" s="5">
        <f>IF($BI123&lt;&gt;"",IF('Capacity summary'!$C$14="Yes",IF(COUNTBLANK('Capacity summary'!$H35:$BG35)&lt;52,IF('Capacity summary'!AG35&lt;&gt;"",IF(LOWER('Capacity summary'!AG35)="x",$BI123*AG123,VALUE('Capacity summary'!AG35)),0),AG123*$BI123),AG123*$BI123),0)</f>
        <v>0</v>
      </c>
      <c r="CK123" s="5">
        <f>IF($BI123&lt;&gt;"",IF('Capacity summary'!$C$14="Yes",IF(COUNTBLANK('Capacity summary'!$H35:$BG35)&lt;52,IF('Capacity summary'!AH35&lt;&gt;"",IF(LOWER('Capacity summary'!AH35)="x",$BI123*AH123,VALUE('Capacity summary'!AH35)),0),AH123*$BI123),AH123*$BI123),0)</f>
        <v>0</v>
      </c>
      <c r="CL123" s="5">
        <f>IF($BI123&lt;&gt;"",IF('Capacity summary'!$C$14="Yes",IF(COUNTBLANK('Capacity summary'!$H35:$BG35)&lt;52,IF('Capacity summary'!AI35&lt;&gt;"",IF(LOWER('Capacity summary'!AI35)="x",$BI123*AI123,VALUE('Capacity summary'!AI35)),0),AI123*$BI123),AI123*$BI123),0)</f>
        <v>0</v>
      </c>
      <c r="CM123" s="5">
        <f>IF($BI123&lt;&gt;"",IF('Capacity summary'!$C$14="Yes",IF(COUNTBLANK('Capacity summary'!$H35:$BG35)&lt;52,IF('Capacity summary'!AJ35&lt;&gt;"",IF(LOWER('Capacity summary'!AJ35)="x",$BI123*AJ123,VALUE('Capacity summary'!AJ35)),0),AJ123*$BI123),AJ123*$BI123),0)</f>
        <v>0</v>
      </c>
      <c r="CN123" s="5">
        <f>IF($BI123&lt;&gt;"",IF('Capacity summary'!$C$14="Yes",IF(COUNTBLANK('Capacity summary'!$H35:$BG35)&lt;52,IF('Capacity summary'!AK35&lt;&gt;"",IF(LOWER('Capacity summary'!AK35)="x",$BI123*AK123,VALUE('Capacity summary'!AK35)),0),AK123*$BI123),AK123*$BI123),0)</f>
        <v>0</v>
      </c>
      <c r="CO123" s="5">
        <f>IF($BI123&lt;&gt;"",IF('Capacity summary'!$C$14="Yes",IF(COUNTBLANK('Capacity summary'!$H35:$BG35)&lt;52,IF('Capacity summary'!AL35&lt;&gt;"",IF(LOWER('Capacity summary'!AL35)="x",$BI123*AL123,VALUE('Capacity summary'!AL35)),0),AL123*$BI123),AL123*$BI123),0)</f>
        <v>0</v>
      </c>
      <c r="CP123" s="5">
        <f>IF($BI123&lt;&gt;"",IF('Capacity summary'!$C$14="Yes",IF(COUNTBLANK('Capacity summary'!$H35:$BG35)&lt;52,IF('Capacity summary'!AM35&lt;&gt;"",IF(LOWER('Capacity summary'!AM35)="x",$BI123*AM123,VALUE('Capacity summary'!AM35)),0),AM123*$BI123),AM123*$BI123),0)</f>
        <v>0</v>
      </c>
      <c r="CQ123" s="5">
        <f>IF($BI123&lt;&gt;"",IF('Capacity summary'!$C$14="Yes",IF(COUNTBLANK('Capacity summary'!$H35:$BG35)&lt;52,IF('Capacity summary'!AN35&lt;&gt;"",IF(LOWER('Capacity summary'!AN35)="x",$BI123*AN123,VALUE('Capacity summary'!AN35)),0),AN123*$BI123),AN123*$BI123),0)</f>
        <v>0</v>
      </c>
      <c r="CR123" s="5">
        <f>IF($BI123&lt;&gt;"",IF('Capacity summary'!$C$14="Yes",IF(COUNTBLANK('Capacity summary'!$H35:$BG35)&lt;52,IF('Capacity summary'!AO35&lt;&gt;"",IF(LOWER('Capacity summary'!AO35)="x",$BI123*AO123,VALUE('Capacity summary'!AO35)),0),AO123*$BI123),AO123*$BI123),0)</f>
        <v>0</v>
      </c>
      <c r="CS123" s="5">
        <f>IF($BI123&lt;&gt;"",IF('Capacity summary'!$C$14="Yes",IF(COUNTBLANK('Capacity summary'!$H35:$BG35)&lt;52,IF('Capacity summary'!AP35&lt;&gt;"",IF(LOWER('Capacity summary'!AP35)="x",$BI123*AP123,VALUE('Capacity summary'!AP35)),0),AP123*$BI123),AP123*$BI123),0)</f>
        <v>0</v>
      </c>
      <c r="CT123" s="5">
        <f>IF($BI123&lt;&gt;"",IF('Capacity summary'!$C$14="Yes",IF(COUNTBLANK('Capacity summary'!$H35:$BG35)&lt;52,IF('Capacity summary'!AQ35&lt;&gt;"",IF(LOWER('Capacity summary'!AQ35)="x",$BI123*AQ123,VALUE('Capacity summary'!AQ35)),0),AQ123*$BI123),AQ123*$BI123),0)</f>
        <v>0</v>
      </c>
      <c r="CU123" s="5">
        <f>IF($BI123&lt;&gt;"",IF('Capacity summary'!$C$14="Yes",IF(COUNTBLANK('Capacity summary'!$H35:$BG35)&lt;52,IF('Capacity summary'!AR35&lt;&gt;"",IF(LOWER('Capacity summary'!AR35)="x",$BI123*AR123,VALUE('Capacity summary'!AR35)),0),AR123*$BI123),AR123*$BI123),0)</f>
        <v>0</v>
      </c>
      <c r="CV123" s="5">
        <f>IF($BI123&lt;&gt;"",IF('Capacity summary'!$C$14="Yes",IF(COUNTBLANK('Capacity summary'!$H35:$BG35)&lt;52,IF('Capacity summary'!AS35&lt;&gt;"",IF(LOWER('Capacity summary'!AS35)="x",$BI123*AS123,VALUE('Capacity summary'!AS35)),0),AS123*$BI123),AS123*$BI123),0)</f>
        <v>0</v>
      </c>
      <c r="CW123" s="5">
        <f>IF($BI123&lt;&gt;"",IF('Capacity summary'!$C$14="Yes",IF(COUNTBLANK('Capacity summary'!$H35:$BG35)&lt;52,IF('Capacity summary'!AT35&lt;&gt;"",IF(LOWER('Capacity summary'!AT35)="x",$BI123*AT123,VALUE('Capacity summary'!AT35)),0),AT123*$BI123),AT123*$BI123),0)</f>
        <v>0</v>
      </c>
      <c r="CX123" s="5">
        <f>IF($BI123&lt;&gt;"",IF('Capacity summary'!$C$14="Yes",IF(COUNTBLANK('Capacity summary'!$H35:$BG35)&lt;52,IF('Capacity summary'!AU35&lt;&gt;"",IF(LOWER('Capacity summary'!AU35)="x",$BI123*AU123,VALUE('Capacity summary'!AU35)),0),AU123*$BI123),AU123*$BI123),0)</f>
        <v>0</v>
      </c>
      <c r="CY123" s="5">
        <f>IF($BI123&lt;&gt;"",IF('Capacity summary'!$C$14="Yes",IF(COUNTBLANK('Capacity summary'!$H35:$BG35)&lt;52,IF('Capacity summary'!AV35&lt;&gt;"",IF(LOWER('Capacity summary'!AV35)="x",$BI123*AV123,VALUE('Capacity summary'!AV35)),0),AV123*$BI123),AV123*$BI123),0)</f>
        <v>0</v>
      </c>
      <c r="CZ123" s="5">
        <f>IF($BI123&lt;&gt;"",IF('Capacity summary'!$C$14="Yes",IF(COUNTBLANK('Capacity summary'!$H35:$BG35)&lt;52,IF('Capacity summary'!AW35&lt;&gt;"",IF(LOWER('Capacity summary'!AW35)="x",$BI123*AW123,VALUE('Capacity summary'!AW35)),0),AW123*$BI123),AW123*$BI123),0)</f>
        <v>0</v>
      </c>
      <c r="DA123" s="5">
        <f>IF($BI123&lt;&gt;"",IF('Capacity summary'!$C$14="Yes",IF(COUNTBLANK('Capacity summary'!$H35:$BG35)&lt;52,IF('Capacity summary'!AX35&lt;&gt;"",IF(LOWER('Capacity summary'!AX35)="x",$BI123*AX123,VALUE('Capacity summary'!AX35)),0),AX123*$BI123),AX123*$BI123),0)</f>
        <v>0</v>
      </c>
      <c r="DB123" s="5">
        <f>IF($BI123&lt;&gt;"",IF('Capacity summary'!$C$14="Yes",IF(COUNTBLANK('Capacity summary'!$H35:$BG35)&lt;52,IF('Capacity summary'!AY35&lt;&gt;"",IF(LOWER('Capacity summary'!AY35)="x",$BI123*AY123,VALUE('Capacity summary'!AY35)),0),AY123*$BI123),AY123*$BI123),0)</f>
        <v>0</v>
      </c>
      <c r="DC123" s="5">
        <f>IF($BI123&lt;&gt;"",IF('Capacity summary'!$C$14="Yes",IF(COUNTBLANK('Capacity summary'!$H35:$BG35)&lt;52,IF('Capacity summary'!AZ35&lt;&gt;"",IF(LOWER('Capacity summary'!AZ35)="x",$BI123*AZ123,VALUE('Capacity summary'!AZ35)),0),AZ123*$BI123),AZ123*$BI123),0)</f>
        <v>0</v>
      </c>
      <c r="DD123" s="5">
        <f>IF($BI123&lt;&gt;"",IF('Capacity summary'!$C$14="Yes",IF(COUNTBLANK('Capacity summary'!$H35:$BG35)&lt;52,IF('Capacity summary'!BA35&lt;&gt;"",IF(LOWER('Capacity summary'!BA35)="x",$BI123*BA123,VALUE('Capacity summary'!BA35)),0),BA123*$BI123),BA123*$BI123),0)</f>
        <v>0</v>
      </c>
      <c r="DE123" s="5">
        <f>IF($BI123&lt;&gt;"",IF('Capacity summary'!$C$14="Yes",IF(COUNTBLANK('Capacity summary'!$H35:$BG35)&lt;52,IF('Capacity summary'!BB35&lt;&gt;"",IF(LOWER('Capacity summary'!BB35)="x",$BI123*BB123,VALUE('Capacity summary'!BB35)),0),BB123*$BI123),BB123*$BI123),0)</f>
        <v>0</v>
      </c>
      <c r="DF123" s="5">
        <f>IF($BI123&lt;&gt;"",IF('Capacity summary'!$C$14="Yes",IF(COUNTBLANK('Capacity summary'!$H35:$BG35)&lt;52,IF('Capacity summary'!BC35&lt;&gt;"",IF(LOWER('Capacity summary'!BC35)="x",$BI123*BC123,VALUE('Capacity summary'!BC35)),0),BC123*$BI123),BC123*$BI123),0)</f>
        <v>0</v>
      </c>
      <c r="DG123" s="5">
        <f>IF($BI123&lt;&gt;"",IF('Capacity summary'!$C$14="Yes",IF(COUNTBLANK('Capacity summary'!$H35:$BG35)&lt;52,IF('Capacity summary'!BD35&lt;&gt;"",IF(LOWER('Capacity summary'!BD35)="x",$BI123*BD123,VALUE('Capacity summary'!BD35)),0),BD123*$BI123),BD123*$BI123),0)</f>
        <v>0</v>
      </c>
      <c r="DH123" s="5">
        <f>IF($BI123&lt;&gt;"",IF('Capacity summary'!$C$14="Yes",IF(COUNTBLANK('Capacity summary'!$H35:$BG35)&lt;52,IF('Capacity summary'!BE35&lt;&gt;"",IF(LOWER('Capacity summary'!BE35)="x",$BI123*BE123,VALUE('Capacity summary'!BE35)),0),BE123*$BI123),BE123*$BI123),0)</f>
        <v>0</v>
      </c>
      <c r="DI123" s="5">
        <f>IF($BI123&lt;&gt;"",IF('Capacity summary'!$C$14="Yes",IF(COUNTBLANK('Capacity summary'!$H35:$BG35)&lt;52,IF('Capacity summary'!BF35&lt;&gt;"",IF(LOWER('Capacity summary'!BF35)="x",$BI123*BF123,VALUE('Capacity summary'!BF35)),0),BF123*$BI123),BF123*$BI123),0)</f>
        <v>0</v>
      </c>
      <c r="DJ123" s="5">
        <f>IF($BI123&lt;&gt;"",IF('Capacity summary'!$C$14="Yes",IF(COUNTBLANK('Capacity summary'!$H35:$BG35)&lt;52,IF('Capacity summary'!BG35&lt;&gt;"",IF(LOWER('Capacity summary'!BG35)="x",$BI123*BG123,VALUE('Capacity summary'!BG35)),0),BG123*$BI123),BG123*$BI123),0)</f>
        <v>0</v>
      </c>
      <c r="DK123" s="391">
        <f t="shared" si="8"/>
        <v>0</v>
      </c>
      <c r="DL123" s="5">
        <f t="shared" si="9"/>
        <v>0</v>
      </c>
    </row>
    <row r="124" spans="3:116" x14ac:dyDescent="0.2">
      <c r="C124" s="67" t="str">
        <f>ROW(A13)&amp;". "&amp;Capacity!N29</f>
        <v xml:space="preserve">13. </v>
      </c>
      <c r="D124" s="67">
        <f>'Capacity setup'!C130</f>
        <v>0</v>
      </c>
      <c r="E124" s="67">
        <f>'Capacity setup'!D130</f>
        <v>0</v>
      </c>
      <c r="F124" s="67">
        <f>'Capacity setup'!E130</f>
        <v>0</v>
      </c>
      <c r="H124" s="67">
        <f ca="1">IF(LOWER(Capacity!$V29)="x",IF(AND(SUMIF(Capacity_Resource,$D124,'Critical resources (hide)'!U$6:U$105)+SUMIF(Capacity_Resource,$E124,'Critical resources (hide)'!U$6:U$105)+SUMIF(Capacity_Resource,$F124,'Critical resources (hide)'!U$6:U$105)&gt;0,$E$1=2),0,1),0)</f>
        <v>1</v>
      </c>
      <c r="I124" s="67">
        <f ca="1">IF(LOWER(Capacity!$V29)="x",IF(AND(SUMIF(Capacity_Resource,$D124,'Critical resources (hide)'!V$6:V$105)+SUMIF(Capacity_Resource,$E124,'Critical resources (hide)'!V$6:V$105)+SUMIF(Capacity_Resource,$F124,'Critical resources (hide)'!V$6:V$105)&gt;0,$E$1=2),0,1),0)</f>
        <v>1</v>
      </c>
      <c r="J124" s="67">
        <f ca="1">IF(LOWER(Capacity!$V29)="x",IF(AND(SUMIF(Capacity_Resource,$D124,'Critical resources (hide)'!W$6:W$105)+SUMIF(Capacity_Resource,$E124,'Critical resources (hide)'!W$6:W$105)+SUMIF(Capacity_Resource,$F124,'Critical resources (hide)'!W$6:W$105)&gt;0,$E$1=2),0,1),0)</f>
        <v>1</v>
      </c>
      <c r="K124" s="67">
        <f ca="1">IF(LOWER(Capacity!$V29)="x",IF(AND(SUMIF(Capacity_Resource,$D124,'Critical resources (hide)'!X$6:X$105)+SUMIF(Capacity_Resource,$E124,'Critical resources (hide)'!X$6:X$105)+SUMIF(Capacity_Resource,$F124,'Critical resources (hide)'!X$6:X$105)&gt;0,$E$1=2),0,1),0)</f>
        <v>1</v>
      </c>
      <c r="L124" s="67">
        <f ca="1">IF(LOWER(Capacity!$V29)="x",IF(AND(SUMIF(Capacity_Resource,$D124,'Critical resources (hide)'!Y$6:Y$105)+SUMIF(Capacity_Resource,$E124,'Critical resources (hide)'!Y$6:Y$105)+SUMIF(Capacity_Resource,$F124,'Critical resources (hide)'!Y$6:Y$105)&gt;0,$E$1=2),0,1),0)</f>
        <v>1</v>
      </c>
      <c r="M124" s="67">
        <f ca="1">IF(LOWER(Capacity!$V29)="x",IF(AND(SUMIF(Capacity_Resource,$D124,'Critical resources (hide)'!Z$6:Z$105)+SUMIF(Capacity_Resource,$E124,'Critical resources (hide)'!Z$6:Z$105)+SUMIF(Capacity_Resource,$F124,'Critical resources (hide)'!Z$6:Z$105)&gt;0,$E$1=2),0,1),0)</f>
        <v>1</v>
      </c>
      <c r="N124" s="67">
        <f ca="1">IF(LOWER(Capacity!$V29)="x",IF(AND(SUMIF(Capacity_Resource,$D124,'Critical resources (hide)'!AA$6:AA$105)+SUMIF(Capacity_Resource,$E124,'Critical resources (hide)'!AA$6:AA$105)+SUMIF(Capacity_Resource,$F124,'Critical resources (hide)'!AA$6:AA$105)&gt;0,$E$1=2),0,1),0)</f>
        <v>1</v>
      </c>
      <c r="O124" s="67">
        <f ca="1">IF(LOWER(Capacity!$V29)="x",IF(AND(SUMIF(Capacity_Resource,$D124,'Critical resources (hide)'!AB$6:AB$105)+SUMIF(Capacity_Resource,$E124,'Critical resources (hide)'!AB$6:AB$105)+SUMIF(Capacity_Resource,$F124,'Critical resources (hide)'!AB$6:AB$105)&gt;0,$E$1=2),0,1),0)</f>
        <v>1</v>
      </c>
      <c r="P124" s="67">
        <f ca="1">IF(LOWER(Capacity!$V29)="x",IF(AND(SUMIF(Capacity_Resource,$D124,'Critical resources (hide)'!AC$6:AC$105)+SUMIF(Capacity_Resource,$E124,'Critical resources (hide)'!AC$6:AC$105)+SUMIF(Capacity_Resource,$F124,'Critical resources (hide)'!AC$6:AC$105)&gt;0,$E$1=2),0,1),0)</f>
        <v>1</v>
      </c>
      <c r="Q124" s="67">
        <f ca="1">IF(LOWER(Capacity!$V29)="x",IF(AND(SUMIF(Capacity_Resource,$D124,'Critical resources (hide)'!AD$6:AD$105)+SUMIF(Capacity_Resource,$E124,'Critical resources (hide)'!AD$6:AD$105)+SUMIF(Capacity_Resource,$F124,'Critical resources (hide)'!AD$6:AD$105)&gt;0,$E$1=2),0,1),0)</f>
        <v>1</v>
      </c>
      <c r="R124" s="67">
        <f ca="1">IF(LOWER(Capacity!$V29)="x",IF(AND(SUMIF(Capacity_Resource,$D124,'Critical resources (hide)'!AE$6:AE$105)+SUMIF(Capacity_Resource,$E124,'Critical resources (hide)'!AE$6:AE$105)+SUMIF(Capacity_Resource,$F124,'Critical resources (hide)'!AE$6:AE$105)&gt;0,$E$1=2),0,1),0)</f>
        <v>1</v>
      </c>
      <c r="S124" s="67">
        <f ca="1">IF(LOWER(Capacity!$V29)="x",IF(AND(SUMIF(Capacity_Resource,$D124,'Critical resources (hide)'!AF$6:AF$105)+SUMIF(Capacity_Resource,$E124,'Critical resources (hide)'!AF$6:AF$105)+SUMIF(Capacity_Resource,$F124,'Critical resources (hide)'!AF$6:AF$105)&gt;0,$E$1=2),0,1),0)</f>
        <v>1</v>
      </c>
      <c r="T124" s="67">
        <f ca="1">IF(LOWER(Capacity!$V29)="x",IF(AND(SUMIF(Capacity_Resource,$D124,'Critical resources (hide)'!AG$6:AG$105)+SUMIF(Capacity_Resource,$E124,'Critical resources (hide)'!AG$6:AG$105)+SUMIF(Capacity_Resource,$F124,'Critical resources (hide)'!AG$6:AG$105)&gt;0,$E$1=2),0,1),0)</f>
        <v>1</v>
      </c>
      <c r="U124" s="67">
        <f ca="1">IF(LOWER(Capacity!$V29)="x",IF(AND(SUMIF(Capacity_Resource,$D124,'Critical resources (hide)'!AH$6:AH$105)+SUMIF(Capacity_Resource,$E124,'Critical resources (hide)'!AH$6:AH$105)+SUMIF(Capacity_Resource,$F124,'Critical resources (hide)'!AH$6:AH$105)&gt;0,$E$1=2),0,1),0)</f>
        <v>1</v>
      </c>
      <c r="V124" s="67">
        <f ca="1">IF(LOWER(Capacity!$V29)="x",IF(AND(SUMIF(Capacity_Resource,$D124,'Critical resources (hide)'!AI$6:AI$105)+SUMIF(Capacity_Resource,$E124,'Critical resources (hide)'!AI$6:AI$105)+SUMIF(Capacity_Resource,$F124,'Critical resources (hide)'!AI$6:AI$105)&gt;0,$E$1=2),0,1),0)</f>
        <v>1</v>
      </c>
      <c r="W124" s="67">
        <f ca="1">IF(LOWER(Capacity!$V29)="x",IF(AND(SUMIF(Capacity_Resource,$D124,'Critical resources (hide)'!AJ$6:AJ$105)+SUMIF(Capacity_Resource,$E124,'Critical resources (hide)'!AJ$6:AJ$105)+SUMIF(Capacity_Resource,$F124,'Critical resources (hide)'!AJ$6:AJ$105)&gt;0,$E$1=2),0,1),0)</f>
        <v>1</v>
      </c>
      <c r="X124" s="67">
        <f ca="1">IF(LOWER(Capacity!$V29)="x",IF(AND(SUMIF(Capacity_Resource,$D124,'Critical resources (hide)'!AK$6:AK$105)+SUMIF(Capacity_Resource,$E124,'Critical resources (hide)'!AK$6:AK$105)+SUMIF(Capacity_Resource,$F124,'Critical resources (hide)'!AK$6:AK$105)&gt;0,$E$1=2),0,1),0)</f>
        <v>1</v>
      </c>
      <c r="Y124" s="67">
        <f ca="1">IF(LOWER(Capacity!$V29)="x",IF(AND(SUMIF(Capacity_Resource,$D124,'Critical resources (hide)'!AL$6:AL$105)+SUMIF(Capacity_Resource,$E124,'Critical resources (hide)'!AL$6:AL$105)+SUMIF(Capacity_Resource,$F124,'Critical resources (hide)'!AL$6:AL$105)&gt;0,$E$1=2),0,1),0)</f>
        <v>1</v>
      </c>
      <c r="Z124" s="67">
        <f ca="1">IF(LOWER(Capacity!$V29)="x",IF(AND(SUMIF(Capacity_Resource,$D124,'Critical resources (hide)'!AM$6:AM$105)+SUMIF(Capacity_Resource,$E124,'Critical resources (hide)'!AM$6:AM$105)+SUMIF(Capacity_Resource,$F124,'Critical resources (hide)'!AM$6:AM$105)&gt;0,$E$1=2),0,1),0)</f>
        <v>1</v>
      </c>
      <c r="AA124" s="67">
        <f ca="1">IF(LOWER(Capacity!$V29)="x",IF(AND(SUMIF(Capacity_Resource,$D124,'Critical resources (hide)'!AN$6:AN$105)+SUMIF(Capacity_Resource,$E124,'Critical resources (hide)'!AN$6:AN$105)+SUMIF(Capacity_Resource,$F124,'Critical resources (hide)'!AN$6:AN$105)&gt;0,$E$1=2),0,1),0)</f>
        <v>1</v>
      </c>
      <c r="AB124" s="67">
        <f ca="1">IF(LOWER(Capacity!$V29)="x",IF(AND(SUMIF(Capacity_Resource,$D124,'Critical resources (hide)'!AO$6:AO$105)+SUMIF(Capacity_Resource,$E124,'Critical resources (hide)'!AO$6:AO$105)+SUMIF(Capacity_Resource,$F124,'Critical resources (hide)'!AO$6:AO$105)&gt;0,$E$1=2),0,1),0)</f>
        <v>1</v>
      </c>
      <c r="AC124" s="67">
        <f ca="1">IF(LOWER(Capacity!$V29)="x",IF(AND(SUMIF(Capacity_Resource,$D124,'Critical resources (hide)'!AP$6:AP$105)+SUMIF(Capacity_Resource,$E124,'Critical resources (hide)'!AP$6:AP$105)+SUMIF(Capacity_Resource,$F124,'Critical resources (hide)'!AP$6:AP$105)&gt;0,$E$1=2),0,1),0)</f>
        <v>1</v>
      </c>
      <c r="AD124" s="67">
        <f ca="1">IF(LOWER(Capacity!$V29)="x",IF(AND(SUMIF(Capacity_Resource,$D124,'Critical resources (hide)'!AQ$6:AQ$105)+SUMIF(Capacity_Resource,$E124,'Critical resources (hide)'!AQ$6:AQ$105)+SUMIF(Capacity_Resource,$F124,'Critical resources (hide)'!AQ$6:AQ$105)&gt;0,$E$1=2),0,1),0)</f>
        <v>1</v>
      </c>
      <c r="AE124" s="67">
        <f ca="1">IF(LOWER(Capacity!$V29)="x",IF(AND(SUMIF(Capacity_Resource,$D124,'Critical resources (hide)'!AR$6:AR$105)+SUMIF(Capacity_Resource,$E124,'Critical resources (hide)'!AR$6:AR$105)+SUMIF(Capacity_Resource,$F124,'Critical resources (hide)'!AR$6:AR$105)&gt;0,$E$1=2),0,1),0)</f>
        <v>1</v>
      </c>
      <c r="AF124" s="67">
        <f ca="1">IF(LOWER(Capacity!$V29)="x",IF(AND(SUMIF(Capacity_Resource,$D124,'Critical resources (hide)'!AS$6:AS$105)+SUMIF(Capacity_Resource,$E124,'Critical resources (hide)'!AS$6:AS$105)+SUMIF(Capacity_Resource,$F124,'Critical resources (hide)'!AS$6:AS$105)&gt;0,$E$1=2),0,1),0)</f>
        <v>1</v>
      </c>
      <c r="AG124" s="67">
        <f ca="1">IF(LOWER(Capacity!$V29)="x",IF(AND(SUMIF(Capacity_Resource,$D124,'Critical resources (hide)'!AT$6:AT$105)+SUMIF(Capacity_Resource,$E124,'Critical resources (hide)'!AT$6:AT$105)+SUMIF(Capacity_Resource,$F124,'Critical resources (hide)'!AT$6:AT$105)&gt;0,$E$1=2),0,1),0)</f>
        <v>1</v>
      </c>
      <c r="AH124" s="67">
        <f ca="1">IF(LOWER(Capacity!$V29)="x",IF(AND(SUMIF(Capacity_Resource,$D124,'Critical resources (hide)'!AU$6:AU$105)+SUMIF(Capacity_Resource,$E124,'Critical resources (hide)'!AU$6:AU$105)+SUMIF(Capacity_Resource,$F124,'Critical resources (hide)'!AU$6:AU$105)&gt;0,$E$1=2),0,1),0)</f>
        <v>1</v>
      </c>
      <c r="AI124" s="67">
        <f ca="1">IF(LOWER(Capacity!$V29)="x",IF(AND(SUMIF(Capacity_Resource,$D124,'Critical resources (hide)'!AV$6:AV$105)+SUMIF(Capacity_Resource,$E124,'Critical resources (hide)'!AV$6:AV$105)+SUMIF(Capacity_Resource,$F124,'Critical resources (hide)'!AV$6:AV$105)&gt;0,$E$1=2),0,1),0)</f>
        <v>1</v>
      </c>
      <c r="AJ124" s="67">
        <f ca="1">IF(LOWER(Capacity!$V29)="x",IF(AND(SUMIF(Capacity_Resource,$D124,'Critical resources (hide)'!AW$6:AW$105)+SUMIF(Capacity_Resource,$E124,'Critical resources (hide)'!AW$6:AW$105)+SUMIF(Capacity_Resource,$F124,'Critical resources (hide)'!AW$6:AW$105)&gt;0,$E$1=2),0,1),0)</f>
        <v>1</v>
      </c>
      <c r="AK124" s="67">
        <f ca="1">IF(LOWER(Capacity!$V29)="x",IF(AND(SUMIF(Capacity_Resource,$D124,'Critical resources (hide)'!AX$6:AX$105)+SUMIF(Capacity_Resource,$E124,'Critical resources (hide)'!AX$6:AX$105)+SUMIF(Capacity_Resource,$F124,'Critical resources (hide)'!AX$6:AX$105)&gt;0,$E$1=2),0,1),0)</f>
        <v>1</v>
      </c>
      <c r="AL124" s="67">
        <f ca="1">IF(LOWER(Capacity!$V29)="x",IF(AND(SUMIF(Capacity_Resource,$D124,'Critical resources (hide)'!AY$6:AY$105)+SUMIF(Capacity_Resource,$E124,'Critical resources (hide)'!AY$6:AY$105)+SUMIF(Capacity_Resource,$F124,'Critical resources (hide)'!AY$6:AY$105)&gt;0,$E$1=2),0,1),0)</f>
        <v>1</v>
      </c>
      <c r="AM124" s="67">
        <f ca="1">IF(LOWER(Capacity!$V29)="x",IF(AND(SUMIF(Capacity_Resource,$D124,'Critical resources (hide)'!AZ$6:AZ$105)+SUMIF(Capacity_Resource,$E124,'Critical resources (hide)'!AZ$6:AZ$105)+SUMIF(Capacity_Resource,$F124,'Critical resources (hide)'!AZ$6:AZ$105)&gt;0,$E$1=2),0,1),0)</f>
        <v>1</v>
      </c>
      <c r="AN124" s="67">
        <f ca="1">IF(LOWER(Capacity!$V29)="x",IF(AND(SUMIF(Capacity_Resource,$D124,'Critical resources (hide)'!BA$6:BA$105)+SUMIF(Capacity_Resource,$E124,'Critical resources (hide)'!BA$6:BA$105)+SUMIF(Capacity_Resource,$F124,'Critical resources (hide)'!BA$6:BA$105)&gt;0,$E$1=2),0,1),0)</f>
        <v>1</v>
      </c>
      <c r="AO124" s="67">
        <f ca="1">IF(LOWER(Capacity!$V29)="x",IF(AND(SUMIF(Capacity_Resource,$D124,'Critical resources (hide)'!BB$6:BB$105)+SUMIF(Capacity_Resource,$E124,'Critical resources (hide)'!BB$6:BB$105)+SUMIF(Capacity_Resource,$F124,'Critical resources (hide)'!BB$6:BB$105)&gt;0,$E$1=2),0,1),0)</f>
        <v>1</v>
      </c>
      <c r="AP124" s="67">
        <f ca="1">IF(LOWER(Capacity!$V29)="x",IF(AND(SUMIF(Capacity_Resource,$D124,'Critical resources (hide)'!BC$6:BC$105)+SUMIF(Capacity_Resource,$E124,'Critical resources (hide)'!BC$6:BC$105)+SUMIF(Capacity_Resource,$F124,'Critical resources (hide)'!BC$6:BC$105)&gt;0,$E$1=2),0,1),0)</f>
        <v>1</v>
      </c>
      <c r="AQ124" s="67">
        <f ca="1">IF(LOWER(Capacity!$V29)="x",IF(AND(SUMIF(Capacity_Resource,$D124,'Critical resources (hide)'!BD$6:BD$105)+SUMIF(Capacity_Resource,$E124,'Critical resources (hide)'!BD$6:BD$105)+SUMIF(Capacity_Resource,$F124,'Critical resources (hide)'!BD$6:BD$105)&gt;0,$E$1=2),0,1),0)</f>
        <v>1</v>
      </c>
      <c r="AR124" s="67">
        <f ca="1">IF(LOWER(Capacity!$V29)="x",IF(AND(SUMIF(Capacity_Resource,$D124,'Critical resources (hide)'!BE$6:BE$105)+SUMIF(Capacity_Resource,$E124,'Critical resources (hide)'!BE$6:BE$105)+SUMIF(Capacity_Resource,$F124,'Critical resources (hide)'!BE$6:BE$105)&gt;0,$E$1=2),0,1),0)</f>
        <v>1</v>
      </c>
      <c r="AS124" s="67">
        <f ca="1">IF(LOWER(Capacity!$V29)="x",IF(AND(SUMIF(Capacity_Resource,$D124,'Critical resources (hide)'!BF$6:BF$105)+SUMIF(Capacity_Resource,$E124,'Critical resources (hide)'!BF$6:BF$105)+SUMIF(Capacity_Resource,$F124,'Critical resources (hide)'!BF$6:BF$105)&gt;0,$E$1=2),0,1),0)</f>
        <v>1</v>
      </c>
      <c r="AT124" s="67">
        <f ca="1">IF(LOWER(Capacity!$V29)="x",IF(AND(SUMIF(Capacity_Resource,$D124,'Critical resources (hide)'!BG$6:BG$105)+SUMIF(Capacity_Resource,$E124,'Critical resources (hide)'!BG$6:BG$105)+SUMIF(Capacity_Resource,$F124,'Critical resources (hide)'!BG$6:BG$105)&gt;0,$E$1=2),0,1),0)</f>
        <v>1</v>
      </c>
      <c r="AU124" s="67">
        <f ca="1">IF(LOWER(Capacity!$V29)="x",IF(AND(SUMIF(Capacity_Resource,$D124,'Critical resources (hide)'!BH$6:BH$105)+SUMIF(Capacity_Resource,$E124,'Critical resources (hide)'!BH$6:BH$105)+SUMIF(Capacity_Resource,$F124,'Critical resources (hide)'!BH$6:BH$105)&gt;0,$E$1=2),0,1),0)</f>
        <v>1</v>
      </c>
      <c r="AV124" s="67">
        <f ca="1">IF(LOWER(Capacity!$V29)="x",IF(AND(SUMIF(Capacity_Resource,$D124,'Critical resources (hide)'!BI$6:BI$105)+SUMIF(Capacity_Resource,$E124,'Critical resources (hide)'!BI$6:BI$105)+SUMIF(Capacity_Resource,$F124,'Critical resources (hide)'!BI$6:BI$105)&gt;0,$E$1=2),0,1),0)</f>
        <v>1</v>
      </c>
      <c r="AW124" s="67">
        <f ca="1">IF(LOWER(Capacity!$V29)="x",IF(AND(SUMIF(Capacity_Resource,$D124,'Critical resources (hide)'!BJ$6:BJ$105)+SUMIF(Capacity_Resource,$E124,'Critical resources (hide)'!BJ$6:BJ$105)+SUMIF(Capacity_Resource,$F124,'Critical resources (hide)'!BJ$6:BJ$105)&gt;0,$E$1=2),0,1),0)</f>
        <v>1</v>
      </c>
      <c r="AX124" s="67">
        <f ca="1">IF(LOWER(Capacity!$V29)="x",IF(AND(SUMIF(Capacity_Resource,$D124,'Critical resources (hide)'!BK$6:BK$105)+SUMIF(Capacity_Resource,$E124,'Critical resources (hide)'!BK$6:BK$105)+SUMIF(Capacity_Resource,$F124,'Critical resources (hide)'!BK$6:BK$105)&gt;0,$E$1=2),0,1),0)</f>
        <v>1</v>
      </c>
      <c r="AY124" s="67">
        <f ca="1">IF(LOWER(Capacity!$V29)="x",IF(AND(SUMIF(Capacity_Resource,$D124,'Critical resources (hide)'!BL$6:BL$105)+SUMIF(Capacity_Resource,$E124,'Critical resources (hide)'!BL$6:BL$105)+SUMIF(Capacity_Resource,$F124,'Critical resources (hide)'!BL$6:BL$105)&gt;0,$E$1=2),0,1),0)</f>
        <v>1</v>
      </c>
      <c r="AZ124" s="67">
        <f ca="1">IF(LOWER(Capacity!$V29)="x",IF(AND(SUMIF(Capacity_Resource,$D124,'Critical resources (hide)'!BM$6:BM$105)+SUMIF(Capacity_Resource,$E124,'Critical resources (hide)'!BM$6:BM$105)+SUMIF(Capacity_Resource,$F124,'Critical resources (hide)'!BM$6:BM$105)&gt;0,$E$1=2),0,1),0)</f>
        <v>1</v>
      </c>
      <c r="BA124" s="67">
        <f ca="1">IF(LOWER(Capacity!$V29)="x",IF(AND(SUMIF(Capacity_Resource,$D124,'Critical resources (hide)'!BN$6:BN$105)+SUMIF(Capacity_Resource,$E124,'Critical resources (hide)'!BN$6:BN$105)+SUMIF(Capacity_Resource,$F124,'Critical resources (hide)'!BN$6:BN$105)&gt;0,$E$1=2),0,1),0)</f>
        <v>1</v>
      </c>
      <c r="BB124" s="67">
        <f ca="1">IF(LOWER(Capacity!$V29)="x",IF(AND(SUMIF(Capacity_Resource,$D124,'Critical resources (hide)'!BO$6:BO$105)+SUMIF(Capacity_Resource,$E124,'Critical resources (hide)'!BO$6:BO$105)+SUMIF(Capacity_Resource,$F124,'Critical resources (hide)'!BO$6:BO$105)&gt;0,$E$1=2),0,1),0)</f>
        <v>1</v>
      </c>
      <c r="BC124" s="67">
        <f ca="1">IF(LOWER(Capacity!$V29)="x",IF(AND(SUMIF(Capacity_Resource,$D124,'Critical resources (hide)'!BP$6:BP$105)+SUMIF(Capacity_Resource,$E124,'Critical resources (hide)'!BP$6:BP$105)+SUMIF(Capacity_Resource,$F124,'Critical resources (hide)'!BP$6:BP$105)&gt;0,$E$1=2),0,1),0)</f>
        <v>1</v>
      </c>
      <c r="BD124" s="67">
        <f ca="1">IF(LOWER(Capacity!$V29)="x",IF(AND(SUMIF(Capacity_Resource,$D124,'Critical resources (hide)'!BQ$6:BQ$105)+SUMIF(Capacity_Resource,$E124,'Critical resources (hide)'!BQ$6:BQ$105)+SUMIF(Capacity_Resource,$F124,'Critical resources (hide)'!BQ$6:BQ$105)&gt;0,$E$1=2),0,1),0)</f>
        <v>1</v>
      </c>
      <c r="BE124" s="67">
        <f ca="1">IF(LOWER(Capacity!$V29)="x",IF(AND(SUMIF(Capacity_Resource,$D124,'Critical resources (hide)'!BR$6:BR$105)+SUMIF(Capacity_Resource,$E124,'Critical resources (hide)'!BR$6:BR$105)+SUMIF(Capacity_Resource,$F124,'Critical resources (hide)'!BR$6:BR$105)&gt;0,$E$1=2),0,1),0)</f>
        <v>1</v>
      </c>
      <c r="BF124" s="67">
        <f ca="1">IF(LOWER(Capacity!$V29)="x",IF(AND(SUMIF(Capacity_Resource,$D124,'Critical resources (hide)'!BS$6:BS$105)+SUMIF(Capacity_Resource,$E124,'Critical resources (hide)'!BS$6:BS$105)+SUMIF(Capacity_Resource,$F124,'Critical resources (hide)'!BS$6:BS$105)&gt;0,$E$1=2),0,1),0)</f>
        <v>1</v>
      </c>
      <c r="BG124" s="67">
        <f ca="1">IF(LOWER(Capacity!$V29)="x",IF(AND(SUMIF(Capacity_Resource,$D124,'Critical resources (hide)'!BT$6:BT$105)+SUMIF(Capacity_Resource,$E124,'Critical resources (hide)'!BT$6:BT$105)+SUMIF(Capacity_Resource,$F124,'Critical resources (hide)'!BT$6:BT$105)&gt;0,$E$1=2),0,1),0)</f>
        <v>1</v>
      </c>
      <c r="BH124" s="67">
        <f>IF(ROW(A13)&lt;=Capacity!$M$16,IF('Capacity summary'!$C$14="No",SUM(H124:BG124),'Capacity summary'!$E36),0)</f>
        <v>0</v>
      </c>
      <c r="BI124" s="67" t="str">
        <f>IF(BH124&gt;0,IF(BH124&lt;Capacity!Q29,Capacity!R29,Capacity!T29/'Capacity calculation (hide)'!BH124),"")</f>
        <v/>
      </c>
      <c r="BJ124" s="5"/>
      <c r="BK124" s="5">
        <f>IF($BI124&lt;&gt;"",IF('Capacity summary'!$C$14="Yes",IF(COUNTBLANK('Capacity summary'!$H36:$BG36)&lt;52,IF('Capacity summary'!H36&lt;&gt;"",IF(LOWER('Capacity summary'!H36)="x",$BI124*H124,VALUE('Capacity summary'!H36)),0),H124*$BI124),H124*$BI124),0)</f>
        <v>0</v>
      </c>
      <c r="BL124" s="5">
        <f>IF($BI124&lt;&gt;"",IF('Capacity summary'!$C$14="Yes",IF(COUNTBLANK('Capacity summary'!$H36:$BG36)&lt;52,IF('Capacity summary'!I36&lt;&gt;"",IF(LOWER('Capacity summary'!I36)="x",$BI124*I124,VALUE('Capacity summary'!I36)),0),I124*$BI124),I124*$BI124),0)</f>
        <v>0</v>
      </c>
      <c r="BM124" s="5">
        <f>IF($BI124&lt;&gt;"",IF('Capacity summary'!$C$14="Yes",IF(COUNTBLANK('Capacity summary'!$H36:$BG36)&lt;52,IF('Capacity summary'!J36&lt;&gt;"",IF(LOWER('Capacity summary'!J36)="x",$BI124*J124,VALUE('Capacity summary'!J36)),0),J124*$BI124),J124*$BI124),0)</f>
        <v>0</v>
      </c>
      <c r="BN124" s="5">
        <f>IF($BI124&lt;&gt;"",IF('Capacity summary'!$C$14="Yes",IF(COUNTBLANK('Capacity summary'!$H36:$BG36)&lt;52,IF('Capacity summary'!K36&lt;&gt;"",IF(LOWER('Capacity summary'!K36)="x",$BI124*K124,VALUE('Capacity summary'!K36)),0),K124*$BI124),K124*$BI124),0)</f>
        <v>0</v>
      </c>
      <c r="BO124" s="5">
        <f>IF($BI124&lt;&gt;"",IF('Capacity summary'!$C$14="Yes",IF(COUNTBLANK('Capacity summary'!$H36:$BG36)&lt;52,IF('Capacity summary'!L36&lt;&gt;"",IF(LOWER('Capacity summary'!L36)="x",$BI124*L124,VALUE('Capacity summary'!L36)),0),L124*$BI124),L124*$BI124),0)</f>
        <v>0</v>
      </c>
      <c r="BP124" s="5">
        <f>IF($BI124&lt;&gt;"",IF('Capacity summary'!$C$14="Yes",IF(COUNTBLANK('Capacity summary'!$H36:$BG36)&lt;52,IF('Capacity summary'!M36&lt;&gt;"",IF(LOWER('Capacity summary'!M36)="x",$BI124*M124,VALUE('Capacity summary'!M36)),0),M124*$BI124),M124*$BI124),0)</f>
        <v>0</v>
      </c>
      <c r="BQ124" s="5">
        <f>IF($BI124&lt;&gt;"",IF('Capacity summary'!$C$14="Yes",IF(COUNTBLANK('Capacity summary'!$H36:$BG36)&lt;52,IF('Capacity summary'!N36&lt;&gt;"",IF(LOWER('Capacity summary'!N36)="x",$BI124*N124,VALUE('Capacity summary'!N36)),0),N124*$BI124),N124*$BI124),0)</f>
        <v>0</v>
      </c>
      <c r="BR124" s="5">
        <f>IF($BI124&lt;&gt;"",IF('Capacity summary'!$C$14="Yes",IF(COUNTBLANK('Capacity summary'!$H36:$BG36)&lt;52,IF('Capacity summary'!O36&lt;&gt;"",IF(LOWER('Capacity summary'!O36)="x",$BI124*O124,VALUE('Capacity summary'!O36)),0),O124*$BI124),O124*$BI124),0)</f>
        <v>0</v>
      </c>
      <c r="BS124" s="5">
        <f>IF($BI124&lt;&gt;"",IF('Capacity summary'!$C$14="Yes",IF(COUNTBLANK('Capacity summary'!$H36:$BG36)&lt;52,IF('Capacity summary'!P36&lt;&gt;"",IF(LOWER('Capacity summary'!P36)="x",$BI124*P124,VALUE('Capacity summary'!P36)),0),P124*$BI124),P124*$BI124),0)</f>
        <v>0</v>
      </c>
      <c r="BT124" s="5">
        <f>IF($BI124&lt;&gt;"",IF('Capacity summary'!$C$14="Yes",IF(COUNTBLANK('Capacity summary'!$H36:$BG36)&lt;52,IF('Capacity summary'!Q36&lt;&gt;"",IF(LOWER('Capacity summary'!Q36)="x",$BI124*Q124,VALUE('Capacity summary'!Q36)),0),Q124*$BI124),Q124*$BI124),0)</f>
        <v>0</v>
      </c>
      <c r="BU124" s="5">
        <f>IF($BI124&lt;&gt;"",IF('Capacity summary'!$C$14="Yes",IF(COUNTBLANK('Capacity summary'!$H36:$BG36)&lt;52,IF('Capacity summary'!R36&lt;&gt;"",IF(LOWER('Capacity summary'!R36)="x",$BI124*R124,VALUE('Capacity summary'!R36)),0),R124*$BI124),R124*$BI124),0)</f>
        <v>0</v>
      </c>
      <c r="BV124" s="5">
        <f>IF($BI124&lt;&gt;"",IF('Capacity summary'!$C$14="Yes",IF(COUNTBLANK('Capacity summary'!$H36:$BG36)&lt;52,IF('Capacity summary'!S36&lt;&gt;"",IF(LOWER('Capacity summary'!S36)="x",$BI124*S124,VALUE('Capacity summary'!S36)),0),S124*$BI124),S124*$BI124),0)</f>
        <v>0</v>
      </c>
      <c r="BW124" s="5">
        <f>IF($BI124&lt;&gt;"",IF('Capacity summary'!$C$14="Yes",IF(COUNTBLANK('Capacity summary'!$H36:$BG36)&lt;52,IF('Capacity summary'!T36&lt;&gt;"",IF(LOWER('Capacity summary'!T36)="x",$BI124*T124,VALUE('Capacity summary'!T36)),0),T124*$BI124),T124*$BI124),0)</f>
        <v>0</v>
      </c>
      <c r="BX124" s="5">
        <f>IF($BI124&lt;&gt;"",IF('Capacity summary'!$C$14="Yes",IF(COUNTBLANK('Capacity summary'!$H36:$BG36)&lt;52,IF('Capacity summary'!U36&lt;&gt;"",IF(LOWER('Capacity summary'!U36)="x",$BI124*U124,VALUE('Capacity summary'!U36)),0),U124*$BI124),U124*$BI124),0)</f>
        <v>0</v>
      </c>
      <c r="BY124" s="5">
        <f>IF($BI124&lt;&gt;"",IF('Capacity summary'!$C$14="Yes",IF(COUNTBLANK('Capacity summary'!$H36:$BG36)&lt;52,IF('Capacity summary'!V36&lt;&gt;"",IF(LOWER('Capacity summary'!V36)="x",$BI124*V124,VALUE('Capacity summary'!V36)),0),V124*$BI124),V124*$BI124),0)</f>
        <v>0</v>
      </c>
      <c r="BZ124" s="5">
        <f>IF($BI124&lt;&gt;"",IF('Capacity summary'!$C$14="Yes",IF(COUNTBLANK('Capacity summary'!$H36:$BG36)&lt;52,IF('Capacity summary'!W36&lt;&gt;"",IF(LOWER('Capacity summary'!W36)="x",$BI124*W124,VALUE('Capacity summary'!W36)),0),W124*$BI124),W124*$BI124),0)</f>
        <v>0</v>
      </c>
      <c r="CA124" s="5">
        <f>IF($BI124&lt;&gt;"",IF('Capacity summary'!$C$14="Yes",IF(COUNTBLANK('Capacity summary'!$H36:$BG36)&lt;52,IF('Capacity summary'!X36&lt;&gt;"",IF(LOWER('Capacity summary'!X36)="x",$BI124*X124,VALUE('Capacity summary'!X36)),0),X124*$BI124),X124*$BI124),0)</f>
        <v>0</v>
      </c>
      <c r="CB124" s="5">
        <f>IF($BI124&lt;&gt;"",IF('Capacity summary'!$C$14="Yes",IF(COUNTBLANK('Capacity summary'!$H36:$BG36)&lt;52,IF('Capacity summary'!Y36&lt;&gt;"",IF(LOWER('Capacity summary'!Y36)="x",$BI124*Y124,VALUE('Capacity summary'!Y36)),0),Y124*$BI124),Y124*$BI124),0)</f>
        <v>0</v>
      </c>
      <c r="CC124" s="5">
        <f>IF($BI124&lt;&gt;"",IF('Capacity summary'!$C$14="Yes",IF(COUNTBLANK('Capacity summary'!$H36:$BG36)&lt;52,IF('Capacity summary'!Z36&lt;&gt;"",IF(LOWER('Capacity summary'!Z36)="x",$BI124*Z124,VALUE('Capacity summary'!Z36)),0),Z124*$BI124),Z124*$BI124),0)</f>
        <v>0</v>
      </c>
      <c r="CD124" s="5">
        <f>IF($BI124&lt;&gt;"",IF('Capacity summary'!$C$14="Yes",IF(COUNTBLANK('Capacity summary'!$H36:$BG36)&lt;52,IF('Capacity summary'!AA36&lt;&gt;"",IF(LOWER('Capacity summary'!AA36)="x",$BI124*AA124,VALUE('Capacity summary'!AA36)),0),AA124*$BI124),AA124*$BI124),0)</f>
        <v>0</v>
      </c>
      <c r="CE124" s="5">
        <f>IF($BI124&lt;&gt;"",IF('Capacity summary'!$C$14="Yes",IF(COUNTBLANK('Capacity summary'!$H36:$BG36)&lt;52,IF('Capacity summary'!AB36&lt;&gt;"",IF(LOWER('Capacity summary'!AB36)="x",$BI124*AB124,VALUE('Capacity summary'!AB36)),0),AB124*$BI124),AB124*$BI124),0)</f>
        <v>0</v>
      </c>
      <c r="CF124" s="5">
        <f>IF($BI124&lt;&gt;"",IF('Capacity summary'!$C$14="Yes",IF(COUNTBLANK('Capacity summary'!$H36:$BG36)&lt;52,IF('Capacity summary'!AC36&lt;&gt;"",IF(LOWER('Capacity summary'!AC36)="x",$BI124*AC124,VALUE('Capacity summary'!AC36)),0),AC124*$BI124),AC124*$BI124),0)</f>
        <v>0</v>
      </c>
      <c r="CG124" s="5">
        <f>IF($BI124&lt;&gt;"",IF('Capacity summary'!$C$14="Yes",IF(COUNTBLANK('Capacity summary'!$H36:$BG36)&lt;52,IF('Capacity summary'!AD36&lt;&gt;"",IF(LOWER('Capacity summary'!AD36)="x",$BI124*AD124,VALUE('Capacity summary'!AD36)),0),AD124*$BI124),AD124*$BI124),0)</f>
        <v>0</v>
      </c>
      <c r="CH124" s="5">
        <f>IF($BI124&lt;&gt;"",IF('Capacity summary'!$C$14="Yes",IF(COUNTBLANK('Capacity summary'!$H36:$BG36)&lt;52,IF('Capacity summary'!AE36&lt;&gt;"",IF(LOWER('Capacity summary'!AE36)="x",$BI124*AE124,VALUE('Capacity summary'!AE36)),0),AE124*$BI124),AE124*$BI124),0)</f>
        <v>0</v>
      </c>
      <c r="CI124" s="5">
        <f>IF($BI124&lt;&gt;"",IF('Capacity summary'!$C$14="Yes",IF(COUNTBLANK('Capacity summary'!$H36:$BG36)&lt;52,IF('Capacity summary'!AF36&lt;&gt;"",IF(LOWER('Capacity summary'!AF36)="x",$BI124*AF124,VALUE('Capacity summary'!AF36)),0),AF124*$BI124),AF124*$BI124),0)</f>
        <v>0</v>
      </c>
      <c r="CJ124" s="5">
        <f>IF($BI124&lt;&gt;"",IF('Capacity summary'!$C$14="Yes",IF(COUNTBLANK('Capacity summary'!$H36:$BG36)&lt;52,IF('Capacity summary'!AG36&lt;&gt;"",IF(LOWER('Capacity summary'!AG36)="x",$BI124*AG124,VALUE('Capacity summary'!AG36)),0),AG124*$BI124),AG124*$BI124),0)</f>
        <v>0</v>
      </c>
      <c r="CK124" s="5">
        <f>IF($BI124&lt;&gt;"",IF('Capacity summary'!$C$14="Yes",IF(COUNTBLANK('Capacity summary'!$H36:$BG36)&lt;52,IF('Capacity summary'!AH36&lt;&gt;"",IF(LOWER('Capacity summary'!AH36)="x",$BI124*AH124,VALUE('Capacity summary'!AH36)),0),AH124*$BI124),AH124*$BI124),0)</f>
        <v>0</v>
      </c>
      <c r="CL124" s="5">
        <f>IF($BI124&lt;&gt;"",IF('Capacity summary'!$C$14="Yes",IF(COUNTBLANK('Capacity summary'!$H36:$BG36)&lt;52,IF('Capacity summary'!AI36&lt;&gt;"",IF(LOWER('Capacity summary'!AI36)="x",$BI124*AI124,VALUE('Capacity summary'!AI36)),0),AI124*$BI124),AI124*$BI124),0)</f>
        <v>0</v>
      </c>
      <c r="CM124" s="5">
        <f>IF($BI124&lt;&gt;"",IF('Capacity summary'!$C$14="Yes",IF(COUNTBLANK('Capacity summary'!$H36:$BG36)&lt;52,IF('Capacity summary'!AJ36&lt;&gt;"",IF(LOWER('Capacity summary'!AJ36)="x",$BI124*AJ124,VALUE('Capacity summary'!AJ36)),0),AJ124*$BI124),AJ124*$BI124),0)</f>
        <v>0</v>
      </c>
      <c r="CN124" s="5">
        <f>IF($BI124&lt;&gt;"",IF('Capacity summary'!$C$14="Yes",IF(COUNTBLANK('Capacity summary'!$H36:$BG36)&lt;52,IF('Capacity summary'!AK36&lt;&gt;"",IF(LOWER('Capacity summary'!AK36)="x",$BI124*AK124,VALUE('Capacity summary'!AK36)),0),AK124*$BI124),AK124*$BI124),0)</f>
        <v>0</v>
      </c>
      <c r="CO124" s="5">
        <f>IF($BI124&lt;&gt;"",IF('Capacity summary'!$C$14="Yes",IF(COUNTBLANK('Capacity summary'!$H36:$BG36)&lt;52,IF('Capacity summary'!AL36&lt;&gt;"",IF(LOWER('Capacity summary'!AL36)="x",$BI124*AL124,VALUE('Capacity summary'!AL36)),0),AL124*$BI124),AL124*$BI124),0)</f>
        <v>0</v>
      </c>
      <c r="CP124" s="5">
        <f>IF($BI124&lt;&gt;"",IF('Capacity summary'!$C$14="Yes",IF(COUNTBLANK('Capacity summary'!$H36:$BG36)&lt;52,IF('Capacity summary'!AM36&lt;&gt;"",IF(LOWER('Capacity summary'!AM36)="x",$BI124*AM124,VALUE('Capacity summary'!AM36)),0),AM124*$BI124),AM124*$BI124),0)</f>
        <v>0</v>
      </c>
      <c r="CQ124" s="5">
        <f>IF($BI124&lt;&gt;"",IF('Capacity summary'!$C$14="Yes",IF(COUNTBLANK('Capacity summary'!$H36:$BG36)&lt;52,IF('Capacity summary'!AN36&lt;&gt;"",IF(LOWER('Capacity summary'!AN36)="x",$BI124*AN124,VALUE('Capacity summary'!AN36)),0),AN124*$BI124),AN124*$BI124),0)</f>
        <v>0</v>
      </c>
      <c r="CR124" s="5">
        <f>IF($BI124&lt;&gt;"",IF('Capacity summary'!$C$14="Yes",IF(COUNTBLANK('Capacity summary'!$H36:$BG36)&lt;52,IF('Capacity summary'!AO36&lt;&gt;"",IF(LOWER('Capacity summary'!AO36)="x",$BI124*AO124,VALUE('Capacity summary'!AO36)),0),AO124*$BI124),AO124*$BI124),0)</f>
        <v>0</v>
      </c>
      <c r="CS124" s="5">
        <f>IF($BI124&lt;&gt;"",IF('Capacity summary'!$C$14="Yes",IF(COUNTBLANK('Capacity summary'!$H36:$BG36)&lt;52,IF('Capacity summary'!AP36&lt;&gt;"",IF(LOWER('Capacity summary'!AP36)="x",$BI124*AP124,VALUE('Capacity summary'!AP36)),0),AP124*$BI124),AP124*$BI124),0)</f>
        <v>0</v>
      </c>
      <c r="CT124" s="5">
        <f>IF($BI124&lt;&gt;"",IF('Capacity summary'!$C$14="Yes",IF(COUNTBLANK('Capacity summary'!$H36:$BG36)&lt;52,IF('Capacity summary'!AQ36&lt;&gt;"",IF(LOWER('Capacity summary'!AQ36)="x",$BI124*AQ124,VALUE('Capacity summary'!AQ36)),0),AQ124*$BI124),AQ124*$BI124),0)</f>
        <v>0</v>
      </c>
      <c r="CU124" s="5">
        <f>IF($BI124&lt;&gt;"",IF('Capacity summary'!$C$14="Yes",IF(COUNTBLANK('Capacity summary'!$H36:$BG36)&lt;52,IF('Capacity summary'!AR36&lt;&gt;"",IF(LOWER('Capacity summary'!AR36)="x",$BI124*AR124,VALUE('Capacity summary'!AR36)),0),AR124*$BI124),AR124*$BI124),0)</f>
        <v>0</v>
      </c>
      <c r="CV124" s="5">
        <f>IF($BI124&lt;&gt;"",IF('Capacity summary'!$C$14="Yes",IF(COUNTBLANK('Capacity summary'!$H36:$BG36)&lt;52,IF('Capacity summary'!AS36&lt;&gt;"",IF(LOWER('Capacity summary'!AS36)="x",$BI124*AS124,VALUE('Capacity summary'!AS36)),0),AS124*$BI124),AS124*$BI124),0)</f>
        <v>0</v>
      </c>
      <c r="CW124" s="5">
        <f>IF($BI124&lt;&gt;"",IF('Capacity summary'!$C$14="Yes",IF(COUNTBLANK('Capacity summary'!$H36:$BG36)&lt;52,IF('Capacity summary'!AT36&lt;&gt;"",IF(LOWER('Capacity summary'!AT36)="x",$BI124*AT124,VALUE('Capacity summary'!AT36)),0),AT124*$BI124),AT124*$BI124),0)</f>
        <v>0</v>
      </c>
      <c r="CX124" s="5">
        <f>IF($BI124&lt;&gt;"",IF('Capacity summary'!$C$14="Yes",IF(COUNTBLANK('Capacity summary'!$H36:$BG36)&lt;52,IF('Capacity summary'!AU36&lt;&gt;"",IF(LOWER('Capacity summary'!AU36)="x",$BI124*AU124,VALUE('Capacity summary'!AU36)),0),AU124*$BI124),AU124*$BI124),0)</f>
        <v>0</v>
      </c>
      <c r="CY124" s="5">
        <f>IF($BI124&lt;&gt;"",IF('Capacity summary'!$C$14="Yes",IF(COUNTBLANK('Capacity summary'!$H36:$BG36)&lt;52,IF('Capacity summary'!AV36&lt;&gt;"",IF(LOWER('Capacity summary'!AV36)="x",$BI124*AV124,VALUE('Capacity summary'!AV36)),0),AV124*$BI124),AV124*$BI124),0)</f>
        <v>0</v>
      </c>
      <c r="CZ124" s="5">
        <f>IF($BI124&lt;&gt;"",IF('Capacity summary'!$C$14="Yes",IF(COUNTBLANK('Capacity summary'!$H36:$BG36)&lt;52,IF('Capacity summary'!AW36&lt;&gt;"",IF(LOWER('Capacity summary'!AW36)="x",$BI124*AW124,VALUE('Capacity summary'!AW36)),0),AW124*$BI124),AW124*$BI124),0)</f>
        <v>0</v>
      </c>
      <c r="DA124" s="5">
        <f>IF($BI124&lt;&gt;"",IF('Capacity summary'!$C$14="Yes",IF(COUNTBLANK('Capacity summary'!$H36:$BG36)&lt;52,IF('Capacity summary'!AX36&lt;&gt;"",IF(LOWER('Capacity summary'!AX36)="x",$BI124*AX124,VALUE('Capacity summary'!AX36)),0),AX124*$BI124),AX124*$BI124),0)</f>
        <v>0</v>
      </c>
      <c r="DB124" s="5">
        <f>IF($BI124&lt;&gt;"",IF('Capacity summary'!$C$14="Yes",IF(COUNTBLANK('Capacity summary'!$H36:$BG36)&lt;52,IF('Capacity summary'!AY36&lt;&gt;"",IF(LOWER('Capacity summary'!AY36)="x",$BI124*AY124,VALUE('Capacity summary'!AY36)),0),AY124*$BI124),AY124*$BI124),0)</f>
        <v>0</v>
      </c>
      <c r="DC124" s="5">
        <f>IF($BI124&lt;&gt;"",IF('Capacity summary'!$C$14="Yes",IF(COUNTBLANK('Capacity summary'!$H36:$BG36)&lt;52,IF('Capacity summary'!AZ36&lt;&gt;"",IF(LOWER('Capacity summary'!AZ36)="x",$BI124*AZ124,VALUE('Capacity summary'!AZ36)),0),AZ124*$BI124),AZ124*$BI124),0)</f>
        <v>0</v>
      </c>
      <c r="DD124" s="5">
        <f>IF($BI124&lt;&gt;"",IF('Capacity summary'!$C$14="Yes",IF(COUNTBLANK('Capacity summary'!$H36:$BG36)&lt;52,IF('Capacity summary'!BA36&lt;&gt;"",IF(LOWER('Capacity summary'!BA36)="x",$BI124*BA124,VALUE('Capacity summary'!BA36)),0),BA124*$BI124),BA124*$BI124),0)</f>
        <v>0</v>
      </c>
      <c r="DE124" s="5">
        <f>IF($BI124&lt;&gt;"",IF('Capacity summary'!$C$14="Yes",IF(COUNTBLANK('Capacity summary'!$H36:$BG36)&lt;52,IF('Capacity summary'!BB36&lt;&gt;"",IF(LOWER('Capacity summary'!BB36)="x",$BI124*BB124,VALUE('Capacity summary'!BB36)),0),BB124*$BI124),BB124*$BI124),0)</f>
        <v>0</v>
      </c>
      <c r="DF124" s="5">
        <f>IF($BI124&lt;&gt;"",IF('Capacity summary'!$C$14="Yes",IF(COUNTBLANK('Capacity summary'!$H36:$BG36)&lt;52,IF('Capacity summary'!BC36&lt;&gt;"",IF(LOWER('Capacity summary'!BC36)="x",$BI124*BC124,VALUE('Capacity summary'!BC36)),0),BC124*$BI124),BC124*$BI124),0)</f>
        <v>0</v>
      </c>
      <c r="DG124" s="5">
        <f>IF($BI124&lt;&gt;"",IF('Capacity summary'!$C$14="Yes",IF(COUNTBLANK('Capacity summary'!$H36:$BG36)&lt;52,IF('Capacity summary'!BD36&lt;&gt;"",IF(LOWER('Capacity summary'!BD36)="x",$BI124*BD124,VALUE('Capacity summary'!BD36)),0),BD124*$BI124),BD124*$BI124),0)</f>
        <v>0</v>
      </c>
      <c r="DH124" s="5">
        <f>IF($BI124&lt;&gt;"",IF('Capacity summary'!$C$14="Yes",IF(COUNTBLANK('Capacity summary'!$H36:$BG36)&lt;52,IF('Capacity summary'!BE36&lt;&gt;"",IF(LOWER('Capacity summary'!BE36)="x",$BI124*BE124,VALUE('Capacity summary'!BE36)),0),BE124*$BI124),BE124*$BI124),0)</f>
        <v>0</v>
      </c>
      <c r="DI124" s="5">
        <f>IF($BI124&lt;&gt;"",IF('Capacity summary'!$C$14="Yes",IF(COUNTBLANK('Capacity summary'!$H36:$BG36)&lt;52,IF('Capacity summary'!BF36&lt;&gt;"",IF(LOWER('Capacity summary'!BF36)="x",$BI124*BF124,VALUE('Capacity summary'!BF36)),0),BF124*$BI124),BF124*$BI124),0)</f>
        <v>0</v>
      </c>
      <c r="DJ124" s="5">
        <f>IF($BI124&lt;&gt;"",IF('Capacity summary'!$C$14="Yes",IF(COUNTBLANK('Capacity summary'!$H36:$BG36)&lt;52,IF('Capacity summary'!BG36&lt;&gt;"",IF(LOWER('Capacity summary'!BG36)="x",$BI124*BG124,VALUE('Capacity summary'!BG36)),0),BG124*$BI124),BG124*$BI124),0)</f>
        <v>0</v>
      </c>
      <c r="DK124" s="391">
        <f t="shared" si="8"/>
        <v>0</v>
      </c>
      <c r="DL124" s="5">
        <f t="shared" si="9"/>
        <v>0</v>
      </c>
    </row>
    <row r="125" spans="3:116" x14ac:dyDescent="0.2">
      <c r="C125" s="67" t="str">
        <f>ROW(A14)&amp;". "&amp;Capacity!N30</f>
        <v xml:space="preserve">14. </v>
      </c>
      <c r="D125" s="67">
        <f>'Capacity setup'!C131</f>
        <v>0</v>
      </c>
      <c r="E125" s="67">
        <f>'Capacity setup'!D131</f>
        <v>0</v>
      </c>
      <c r="F125" s="67">
        <f>'Capacity setup'!E131</f>
        <v>0</v>
      </c>
      <c r="H125" s="67">
        <f ca="1">IF(LOWER(Capacity!$V30)="x",IF(AND(SUMIF(Capacity_Resource,$D125,'Critical resources (hide)'!U$6:U$105)+SUMIF(Capacity_Resource,$E125,'Critical resources (hide)'!U$6:U$105)+SUMIF(Capacity_Resource,$F125,'Critical resources (hide)'!U$6:U$105)&gt;0,$E$1=2),0,1),0)</f>
        <v>1</v>
      </c>
      <c r="I125" s="67">
        <f ca="1">IF(LOWER(Capacity!$V30)="x",IF(AND(SUMIF(Capacity_Resource,$D125,'Critical resources (hide)'!V$6:V$105)+SUMIF(Capacity_Resource,$E125,'Critical resources (hide)'!V$6:V$105)+SUMIF(Capacity_Resource,$F125,'Critical resources (hide)'!V$6:V$105)&gt;0,$E$1=2),0,1),0)</f>
        <v>1</v>
      </c>
      <c r="J125" s="67">
        <f ca="1">IF(LOWER(Capacity!$V30)="x",IF(AND(SUMIF(Capacity_Resource,$D125,'Critical resources (hide)'!W$6:W$105)+SUMIF(Capacity_Resource,$E125,'Critical resources (hide)'!W$6:W$105)+SUMIF(Capacity_Resource,$F125,'Critical resources (hide)'!W$6:W$105)&gt;0,$E$1=2),0,1),0)</f>
        <v>1</v>
      </c>
      <c r="K125" s="67">
        <f ca="1">IF(LOWER(Capacity!$V30)="x",IF(AND(SUMIF(Capacity_Resource,$D125,'Critical resources (hide)'!X$6:X$105)+SUMIF(Capacity_Resource,$E125,'Critical resources (hide)'!X$6:X$105)+SUMIF(Capacity_Resource,$F125,'Critical resources (hide)'!X$6:X$105)&gt;0,$E$1=2),0,1),0)</f>
        <v>1</v>
      </c>
      <c r="L125" s="67">
        <f ca="1">IF(LOWER(Capacity!$V30)="x",IF(AND(SUMIF(Capacity_Resource,$D125,'Critical resources (hide)'!Y$6:Y$105)+SUMIF(Capacity_Resource,$E125,'Critical resources (hide)'!Y$6:Y$105)+SUMIF(Capacity_Resource,$F125,'Critical resources (hide)'!Y$6:Y$105)&gt;0,$E$1=2),0,1),0)</f>
        <v>1</v>
      </c>
      <c r="M125" s="67">
        <f ca="1">IF(LOWER(Capacity!$V30)="x",IF(AND(SUMIF(Capacity_Resource,$D125,'Critical resources (hide)'!Z$6:Z$105)+SUMIF(Capacity_Resource,$E125,'Critical resources (hide)'!Z$6:Z$105)+SUMIF(Capacity_Resource,$F125,'Critical resources (hide)'!Z$6:Z$105)&gt;0,$E$1=2),0,1),0)</f>
        <v>1</v>
      </c>
      <c r="N125" s="67">
        <f ca="1">IF(LOWER(Capacity!$V30)="x",IF(AND(SUMIF(Capacity_Resource,$D125,'Critical resources (hide)'!AA$6:AA$105)+SUMIF(Capacity_Resource,$E125,'Critical resources (hide)'!AA$6:AA$105)+SUMIF(Capacity_Resource,$F125,'Critical resources (hide)'!AA$6:AA$105)&gt;0,$E$1=2),0,1),0)</f>
        <v>1</v>
      </c>
      <c r="O125" s="67">
        <f ca="1">IF(LOWER(Capacity!$V30)="x",IF(AND(SUMIF(Capacity_Resource,$D125,'Critical resources (hide)'!AB$6:AB$105)+SUMIF(Capacity_Resource,$E125,'Critical resources (hide)'!AB$6:AB$105)+SUMIF(Capacity_Resource,$F125,'Critical resources (hide)'!AB$6:AB$105)&gt;0,$E$1=2),0,1),0)</f>
        <v>1</v>
      </c>
      <c r="P125" s="67">
        <f ca="1">IF(LOWER(Capacity!$V30)="x",IF(AND(SUMIF(Capacity_Resource,$D125,'Critical resources (hide)'!AC$6:AC$105)+SUMIF(Capacity_Resource,$E125,'Critical resources (hide)'!AC$6:AC$105)+SUMIF(Capacity_Resource,$F125,'Critical resources (hide)'!AC$6:AC$105)&gt;0,$E$1=2),0,1),0)</f>
        <v>1</v>
      </c>
      <c r="Q125" s="67">
        <f ca="1">IF(LOWER(Capacity!$V30)="x",IF(AND(SUMIF(Capacity_Resource,$D125,'Critical resources (hide)'!AD$6:AD$105)+SUMIF(Capacity_Resource,$E125,'Critical resources (hide)'!AD$6:AD$105)+SUMIF(Capacity_Resource,$F125,'Critical resources (hide)'!AD$6:AD$105)&gt;0,$E$1=2),0,1),0)</f>
        <v>1</v>
      </c>
      <c r="R125" s="67">
        <f ca="1">IF(LOWER(Capacity!$V30)="x",IF(AND(SUMIF(Capacity_Resource,$D125,'Critical resources (hide)'!AE$6:AE$105)+SUMIF(Capacity_Resource,$E125,'Critical resources (hide)'!AE$6:AE$105)+SUMIF(Capacity_Resource,$F125,'Critical resources (hide)'!AE$6:AE$105)&gt;0,$E$1=2),0,1),0)</f>
        <v>1</v>
      </c>
      <c r="S125" s="67">
        <f ca="1">IF(LOWER(Capacity!$V30)="x",IF(AND(SUMIF(Capacity_Resource,$D125,'Critical resources (hide)'!AF$6:AF$105)+SUMIF(Capacity_Resource,$E125,'Critical resources (hide)'!AF$6:AF$105)+SUMIF(Capacity_Resource,$F125,'Critical resources (hide)'!AF$6:AF$105)&gt;0,$E$1=2),0,1),0)</f>
        <v>1</v>
      </c>
      <c r="T125" s="67">
        <f ca="1">IF(LOWER(Capacity!$V30)="x",IF(AND(SUMIF(Capacity_Resource,$D125,'Critical resources (hide)'!AG$6:AG$105)+SUMIF(Capacity_Resource,$E125,'Critical resources (hide)'!AG$6:AG$105)+SUMIF(Capacity_Resource,$F125,'Critical resources (hide)'!AG$6:AG$105)&gt;0,$E$1=2),0,1),0)</f>
        <v>1</v>
      </c>
      <c r="U125" s="67">
        <f ca="1">IF(LOWER(Capacity!$V30)="x",IF(AND(SUMIF(Capacity_Resource,$D125,'Critical resources (hide)'!AH$6:AH$105)+SUMIF(Capacity_Resource,$E125,'Critical resources (hide)'!AH$6:AH$105)+SUMIF(Capacity_Resource,$F125,'Critical resources (hide)'!AH$6:AH$105)&gt;0,$E$1=2),0,1),0)</f>
        <v>1</v>
      </c>
      <c r="V125" s="67">
        <f ca="1">IF(LOWER(Capacity!$V30)="x",IF(AND(SUMIF(Capacity_Resource,$D125,'Critical resources (hide)'!AI$6:AI$105)+SUMIF(Capacity_Resource,$E125,'Critical resources (hide)'!AI$6:AI$105)+SUMIF(Capacity_Resource,$F125,'Critical resources (hide)'!AI$6:AI$105)&gt;0,$E$1=2),0,1),0)</f>
        <v>1</v>
      </c>
      <c r="W125" s="67">
        <f ca="1">IF(LOWER(Capacity!$V30)="x",IF(AND(SUMIF(Capacity_Resource,$D125,'Critical resources (hide)'!AJ$6:AJ$105)+SUMIF(Capacity_Resource,$E125,'Critical resources (hide)'!AJ$6:AJ$105)+SUMIF(Capacity_Resource,$F125,'Critical resources (hide)'!AJ$6:AJ$105)&gt;0,$E$1=2),0,1),0)</f>
        <v>1</v>
      </c>
      <c r="X125" s="67">
        <f ca="1">IF(LOWER(Capacity!$V30)="x",IF(AND(SUMIF(Capacity_Resource,$D125,'Critical resources (hide)'!AK$6:AK$105)+SUMIF(Capacity_Resource,$E125,'Critical resources (hide)'!AK$6:AK$105)+SUMIF(Capacity_Resource,$F125,'Critical resources (hide)'!AK$6:AK$105)&gt;0,$E$1=2),0,1),0)</f>
        <v>1</v>
      </c>
      <c r="Y125" s="67">
        <f ca="1">IF(LOWER(Capacity!$V30)="x",IF(AND(SUMIF(Capacity_Resource,$D125,'Critical resources (hide)'!AL$6:AL$105)+SUMIF(Capacity_Resource,$E125,'Critical resources (hide)'!AL$6:AL$105)+SUMIF(Capacity_Resource,$F125,'Critical resources (hide)'!AL$6:AL$105)&gt;0,$E$1=2),0,1),0)</f>
        <v>1</v>
      </c>
      <c r="Z125" s="67">
        <f ca="1">IF(LOWER(Capacity!$V30)="x",IF(AND(SUMIF(Capacity_Resource,$D125,'Critical resources (hide)'!AM$6:AM$105)+SUMIF(Capacity_Resource,$E125,'Critical resources (hide)'!AM$6:AM$105)+SUMIF(Capacity_Resource,$F125,'Critical resources (hide)'!AM$6:AM$105)&gt;0,$E$1=2),0,1),0)</f>
        <v>1</v>
      </c>
      <c r="AA125" s="67">
        <f ca="1">IF(LOWER(Capacity!$V30)="x",IF(AND(SUMIF(Capacity_Resource,$D125,'Critical resources (hide)'!AN$6:AN$105)+SUMIF(Capacity_Resource,$E125,'Critical resources (hide)'!AN$6:AN$105)+SUMIF(Capacity_Resource,$F125,'Critical resources (hide)'!AN$6:AN$105)&gt;0,$E$1=2),0,1),0)</f>
        <v>1</v>
      </c>
      <c r="AB125" s="67">
        <f ca="1">IF(LOWER(Capacity!$V30)="x",IF(AND(SUMIF(Capacity_Resource,$D125,'Critical resources (hide)'!AO$6:AO$105)+SUMIF(Capacity_Resource,$E125,'Critical resources (hide)'!AO$6:AO$105)+SUMIF(Capacity_Resource,$F125,'Critical resources (hide)'!AO$6:AO$105)&gt;0,$E$1=2),0,1),0)</f>
        <v>1</v>
      </c>
      <c r="AC125" s="67">
        <f ca="1">IF(LOWER(Capacity!$V30)="x",IF(AND(SUMIF(Capacity_Resource,$D125,'Critical resources (hide)'!AP$6:AP$105)+SUMIF(Capacity_Resource,$E125,'Critical resources (hide)'!AP$6:AP$105)+SUMIF(Capacity_Resource,$F125,'Critical resources (hide)'!AP$6:AP$105)&gt;0,$E$1=2),0,1),0)</f>
        <v>1</v>
      </c>
      <c r="AD125" s="67">
        <f ca="1">IF(LOWER(Capacity!$V30)="x",IF(AND(SUMIF(Capacity_Resource,$D125,'Critical resources (hide)'!AQ$6:AQ$105)+SUMIF(Capacity_Resource,$E125,'Critical resources (hide)'!AQ$6:AQ$105)+SUMIF(Capacity_Resource,$F125,'Critical resources (hide)'!AQ$6:AQ$105)&gt;0,$E$1=2),0,1),0)</f>
        <v>1</v>
      </c>
      <c r="AE125" s="67">
        <f ca="1">IF(LOWER(Capacity!$V30)="x",IF(AND(SUMIF(Capacity_Resource,$D125,'Critical resources (hide)'!AR$6:AR$105)+SUMIF(Capacity_Resource,$E125,'Critical resources (hide)'!AR$6:AR$105)+SUMIF(Capacity_Resource,$F125,'Critical resources (hide)'!AR$6:AR$105)&gt;0,$E$1=2),0,1),0)</f>
        <v>1</v>
      </c>
      <c r="AF125" s="67">
        <f ca="1">IF(LOWER(Capacity!$V30)="x",IF(AND(SUMIF(Capacity_Resource,$D125,'Critical resources (hide)'!AS$6:AS$105)+SUMIF(Capacity_Resource,$E125,'Critical resources (hide)'!AS$6:AS$105)+SUMIF(Capacity_Resource,$F125,'Critical resources (hide)'!AS$6:AS$105)&gt;0,$E$1=2),0,1),0)</f>
        <v>1</v>
      </c>
      <c r="AG125" s="67">
        <f ca="1">IF(LOWER(Capacity!$V30)="x",IF(AND(SUMIF(Capacity_Resource,$D125,'Critical resources (hide)'!AT$6:AT$105)+SUMIF(Capacity_Resource,$E125,'Critical resources (hide)'!AT$6:AT$105)+SUMIF(Capacity_Resource,$F125,'Critical resources (hide)'!AT$6:AT$105)&gt;0,$E$1=2),0,1),0)</f>
        <v>1</v>
      </c>
      <c r="AH125" s="67">
        <f ca="1">IF(LOWER(Capacity!$V30)="x",IF(AND(SUMIF(Capacity_Resource,$D125,'Critical resources (hide)'!AU$6:AU$105)+SUMIF(Capacity_Resource,$E125,'Critical resources (hide)'!AU$6:AU$105)+SUMIF(Capacity_Resource,$F125,'Critical resources (hide)'!AU$6:AU$105)&gt;0,$E$1=2),0,1),0)</f>
        <v>1</v>
      </c>
      <c r="AI125" s="67">
        <f ca="1">IF(LOWER(Capacity!$V30)="x",IF(AND(SUMIF(Capacity_Resource,$D125,'Critical resources (hide)'!AV$6:AV$105)+SUMIF(Capacity_Resource,$E125,'Critical resources (hide)'!AV$6:AV$105)+SUMIF(Capacity_Resource,$F125,'Critical resources (hide)'!AV$6:AV$105)&gt;0,$E$1=2),0,1),0)</f>
        <v>1</v>
      </c>
      <c r="AJ125" s="67">
        <f ca="1">IF(LOWER(Capacity!$V30)="x",IF(AND(SUMIF(Capacity_Resource,$D125,'Critical resources (hide)'!AW$6:AW$105)+SUMIF(Capacity_Resource,$E125,'Critical resources (hide)'!AW$6:AW$105)+SUMIF(Capacity_Resource,$F125,'Critical resources (hide)'!AW$6:AW$105)&gt;0,$E$1=2),0,1),0)</f>
        <v>1</v>
      </c>
      <c r="AK125" s="67">
        <f ca="1">IF(LOWER(Capacity!$V30)="x",IF(AND(SUMIF(Capacity_Resource,$D125,'Critical resources (hide)'!AX$6:AX$105)+SUMIF(Capacity_Resource,$E125,'Critical resources (hide)'!AX$6:AX$105)+SUMIF(Capacity_Resource,$F125,'Critical resources (hide)'!AX$6:AX$105)&gt;0,$E$1=2),0,1),0)</f>
        <v>1</v>
      </c>
      <c r="AL125" s="67">
        <f ca="1">IF(LOWER(Capacity!$V30)="x",IF(AND(SUMIF(Capacity_Resource,$D125,'Critical resources (hide)'!AY$6:AY$105)+SUMIF(Capacity_Resource,$E125,'Critical resources (hide)'!AY$6:AY$105)+SUMIF(Capacity_Resource,$F125,'Critical resources (hide)'!AY$6:AY$105)&gt;0,$E$1=2),0,1),0)</f>
        <v>1</v>
      </c>
      <c r="AM125" s="67">
        <f ca="1">IF(LOWER(Capacity!$V30)="x",IF(AND(SUMIF(Capacity_Resource,$D125,'Critical resources (hide)'!AZ$6:AZ$105)+SUMIF(Capacity_Resource,$E125,'Critical resources (hide)'!AZ$6:AZ$105)+SUMIF(Capacity_Resource,$F125,'Critical resources (hide)'!AZ$6:AZ$105)&gt;0,$E$1=2),0,1),0)</f>
        <v>1</v>
      </c>
      <c r="AN125" s="67">
        <f ca="1">IF(LOWER(Capacity!$V30)="x",IF(AND(SUMIF(Capacity_Resource,$D125,'Critical resources (hide)'!BA$6:BA$105)+SUMIF(Capacity_Resource,$E125,'Critical resources (hide)'!BA$6:BA$105)+SUMIF(Capacity_Resource,$F125,'Critical resources (hide)'!BA$6:BA$105)&gt;0,$E$1=2),0,1),0)</f>
        <v>1</v>
      </c>
      <c r="AO125" s="67">
        <f ca="1">IF(LOWER(Capacity!$V30)="x",IF(AND(SUMIF(Capacity_Resource,$D125,'Critical resources (hide)'!BB$6:BB$105)+SUMIF(Capacity_Resource,$E125,'Critical resources (hide)'!BB$6:BB$105)+SUMIF(Capacity_Resource,$F125,'Critical resources (hide)'!BB$6:BB$105)&gt;0,$E$1=2),0,1),0)</f>
        <v>1</v>
      </c>
      <c r="AP125" s="67">
        <f ca="1">IF(LOWER(Capacity!$V30)="x",IF(AND(SUMIF(Capacity_Resource,$D125,'Critical resources (hide)'!BC$6:BC$105)+SUMIF(Capacity_Resource,$E125,'Critical resources (hide)'!BC$6:BC$105)+SUMIF(Capacity_Resource,$F125,'Critical resources (hide)'!BC$6:BC$105)&gt;0,$E$1=2),0,1),0)</f>
        <v>1</v>
      </c>
      <c r="AQ125" s="67">
        <f ca="1">IF(LOWER(Capacity!$V30)="x",IF(AND(SUMIF(Capacity_Resource,$D125,'Critical resources (hide)'!BD$6:BD$105)+SUMIF(Capacity_Resource,$E125,'Critical resources (hide)'!BD$6:BD$105)+SUMIF(Capacity_Resource,$F125,'Critical resources (hide)'!BD$6:BD$105)&gt;0,$E$1=2),0,1),0)</f>
        <v>1</v>
      </c>
      <c r="AR125" s="67">
        <f ca="1">IF(LOWER(Capacity!$V30)="x",IF(AND(SUMIF(Capacity_Resource,$D125,'Critical resources (hide)'!BE$6:BE$105)+SUMIF(Capacity_Resource,$E125,'Critical resources (hide)'!BE$6:BE$105)+SUMIF(Capacity_Resource,$F125,'Critical resources (hide)'!BE$6:BE$105)&gt;0,$E$1=2),0,1),0)</f>
        <v>1</v>
      </c>
      <c r="AS125" s="67">
        <f ca="1">IF(LOWER(Capacity!$V30)="x",IF(AND(SUMIF(Capacity_Resource,$D125,'Critical resources (hide)'!BF$6:BF$105)+SUMIF(Capacity_Resource,$E125,'Critical resources (hide)'!BF$6:BF$105)+SUMIF(Capacity_Resource,$F125,'Critical resources (hide)'!BF$6:BF$105)&gt;0,$E$1=2),0,1),0)</f>
        <v>1</v>
      </c>
      <c r="AT125" s="67">
        <f ca="1">IF(LOWER(Capacity!$V30)="x",IF(AND(SUMIF(Capacity_Resource,$D125,'Critical resources (hide)'!BG$6:BG$105)+SUMIF(Capacity_Resource,$E125,'Critical resources (hide)'!BG$6:BG$105)+SUMIF(Capacity_Resource,$F125,'Critical resources (hide)'!BG$6:BG$105)&gt;0,$E$1=2),0,1),0)</f>
        <v>1</v>
      </c>
      <c r="AU125" s="67">
        <f ca="1">IF(LOWER(Capacity!$V30)="x",IF(AND(SUMIF(Capacity_Resource,$D125,'Critical resources (hide)'!BH$6:BH$105)+SUMIF(Capacity_Resource,$E125,'Critical resources (hide)'!BH$6:BH$105)+SUMIF(Capacity_Resource,$F125,'Critical resources (hide)'!BH$6:BH$105)&gt;0,$E$1=2),0,1),0)</f>
        <v>1</v>
      </c>
      <c r="AV125" s="67">
        <f ca="1">IF(LOWER(Capacity!$V30)="x",IF(AND(SUMIF(Capacity_Resource,$D125,'Critical resources (hide)'!BI$6:BI$105)+SUMIF(Capacity_Resource,$E125,'Critical resources (hide)'!BI$6:BI$105)+SUMIF(Capacity_Resource,$F125,'Critical resources (hide)'!BI$6:BI$105)&gt;0,$E$1=2),0,1),0)</f>
        <v>1</v>
      </c>
      <c r="AW125" s="67">
        <f ca="1">IF(LOWER(Capacity!$V30)="x",IF(AND(SUMIF(Capacity_Resource,$D125,'Critical resources (hide)'!BJ$6:BJ$105)+SUMIF(Capacity_Resource,$E125,'Critical resources (hide)'!BJ$6:BJ$105)+SUMIF(Capacity_Resource,$F125,'Critical resources (hide)'!BJ$6:BJ$105)&gt;0,$E$1=2),0,1),0)</f>
        <v>1</v>
      </c>
      <c r="AX125" s="67">
        <f ca="1">IF(LOWER(Capacity!$V30)="x",IF(AND(SUMIF(Capacity_Resource,$D125,'Critical resources (hide)'!BK$6:BK$105)+SUMIF(Capacity_Resource,$E125,'Critical resources (hide)'!BK$6:BK$105)+SUMIF(Capacity_Resource,$F125,'Critical resources (hide)'!BK$6:BK$105)&gt;0,$E$1=2),0,1),0)</f>
        <v>1</v>
      </c>
      <c r="AY125" s="67">
        <f ca="1">IF(LOWER(Capacity!$V30)="x",IF(AND(SUMIF(Capacity_Resource,$D125,'Critical resources (hide)'!BL$6:BL$105)+SUMIF(Capacity_Resource,$E125,'Critical resources (hide)'!BL$6:BL$105)+SUMIF(Capacity_Resource,$F125,'Critical resources (hide)'!BL$6:BL$105)&gt;0,$E$1=2),0,1),0)</f>
        <v>1</v>
      </c>
      <c r="AZ125" s="67">
        <f ca="1">IF(LOWER(Capacity!$V30)="x",IF(AND(SUMIF(Capacity_Resource,$D125,'Critical resources (hide)'!BM$6:BM$105)+SUMIF(Capacity_Resource,$E125,'Critical resources (hide)'!BM$6:BM$105)+SUMIF(Capacity_Resource,$F125,'Critical resources (hide)'!BM$6:BM$105)&gt;0,$E$1=2),0,1),0)</f>
        <v>1</v>
      </c>
      <c r="BA125" s="67">
        <f ca="1">IF(LOWER(Capacity!$V30)="x",IF(AND(SUMIF(Capacity_Resource,$D125,'Critical resources (hide)'!BN$6:BN$105)+SUMIF(Capacity_Resource,$E125,'Critical resources (hide)'!BN$6:BN$105)+SUMIF(Capacity_Resource,$F125,'Critical resources (hide)'!BN$6:BN$105)&gt;0,$E$1=2),0,1),0)</f>
        <v>1</v>
      </c>
      <c r="BB125" s="67">
        <f ca="1">IF(LOWER(Capacity!$V30)="x",IF(AND(SUMIF(Capacity_Resource,$D125,'Critical resources (hide)'!BO$6:BO$105)+SUMIF(Capacity_Resource,$E125,'Critical resources (hide)'!BO$6:BO$105)+SUMIF(Capacity_Resource,$F125,'Critical resources (hide)'!BO$6:BO$105)&gt;0,$E$1=2),0,1),0)</f>
        <v>1</v>
      </c>
      <c r="BC125" s="67">
        <f ca="1">IF(LOWER(Capacity!$V30)="x",IF(AND(SUMIF(Capacity_Resource,$D125,'Critical resources (hide)'!BP$6:BP$105)+SUMIF(Capacity_Resource,$E125,'Critical resources (hide)'!BP$6:BP$105)+SUMIF(Capacity_Resource,$F125,'Critical resources (hide)'!BP$6:BP$105)&gt;0,$E$1=2),0,1),0)</f>
        <v>1</v>
      </c>
      <c r="BD125" s="67">
        <f ca="1">IF(LOWER(Capacity!$V30)="x",IF(AND(SUMIF(Capacity_Resource,$D125,'Critical resources (hide)'!BQ$6:BQ$105)+SUMIF(Capacity_Resource,$E125,'Critical resources (hide)'!BQ$6:BQ$105)+SUMIF(Capacity_Resource,$F125,'Critical resources (hide)'!BQ$6:BQ$105)&gt;0,$E$1=2),0,1),0)</f>
        <v>1</v>
      </c>
      <c r="BE125" s="67">
        <f ca="1">IF(LOWER(Capacity!$V30)="x",IF(AND(SUMIF(Capacity_Resource,$D125,'Critical resources (hide)'!BR$6:BR$105)+SUMIF(Capacity_Resource,$E125,'Critical resources (hide)'!BR$6:BR$105)+SUMIF(Capacity_Resource,$F125,'Critical resources (hide)'!BR$6:BR$105)&gt;0,$E$1=2),0,1),0)</f>
        <v>1</v>
      </c>
      <c r="BF125" s="67">
        <f ca="1">IF(LOWER(Capacity!$V30)="x",IF(AND(SUMIF(Capacity_Resource,$D125,'Critical resources (hide)'!BS$6:BS$105)+SUMIF(Capacity_Resource,$E125,'Critical resources (hide)'!BS$6:BS$105)+SUMIF(Capacity_Resource,$F125,'Critical resources (hide)'!BS$6:BS$105)&gt;0,$E$1=2),0,1),0)</f>
        <v>1</v>
      </c>
      <c r="BG125" s="67">
        <f ca="1">IF(LOWER(Capacity!$V30)="x",IF(AND(SUMIF(Capacity_Resource,$D125,'Critical resources (hide)'!BT$6:BT$105)+SUMIF(Capacity_Resource,$E125,'Critical resources (hide)'!BT$6:BT$105)+SUMIF(Capacity_Resource,$F125,'Critical resources (hide)'!BT$6:BT$105)&gt;0,$E$1=2),0,1),0)</f>
        <v>1</v>
      </c>
      <c r="BH125" s="67">
        <f>IF(ROW(A14)&lt;=Capacity!$M$16,IF('Capacity summary'!$C$14="No",SUM(H125:BG125),'Capacity summary'!$E37),0)</f>
        <v>0</v>
      </c>
      <c r="BI125" s="67" t="str">
        <f>IF(BH125&gt;0,IF(BH125&lt;Capacity!Q30,Capacity!R30,Capacity!T30/'Capacity calculation (hide)'!BH125),"")</f>
        <v/>
      </c>
      <c r="BJ125" s="5"/>
      <c r="BK125" s="5">
        <f>IF($BI125&lt;&gt;"",IF('Capacity summary'!$C$14="Yes",IF(COUNTBLANK('Capacity summary'!$H37:$BG37)&lt;52,IF('Capacity summary'!H37&lt;&gt;"",IF(LOWER('Capacity summary'!H37)="x",$BI125*H125,VALUE('Capacity summary'!H37)),0),H125*$BI125),H125*$BI125),0)</f>
        <v>0</v>
      </c>
      <c r="BL125" s="5">
        <f>IF($BI125&lt;&gt;"",IF('Capacity summary'!$C$14="Yes",IF(COUNTBLANK('Capacity summary'!$H37:$BG37)&lt;52,IF('Capacity summary'!I37&lt;&gt;"",IF(LOWER('Capacity summary'!I37)="x",$BI125*I125,VALUE('Capacity summary'!I37)),0),I125*$BI125),I125*$BI125),0)</f>
        <v>0</v>
      </c>
      <c r="BM125" s="5">
        <f>IF($BI125&lt;&gt;"",IF('Capacity summary'!$C$14="Yes",IF(COUNTBLANK('Capacity summary'!$H37:$BG37)&lt;52,IF('Capacity summary'!J37&lt;&gt;"",IF(LOWER('Capacity summary'!J37)="x",$BI125*J125,VALUE('Capacity summary'!J37)),0),J125*$BI125),J125*$BI125),0)</f>
        <v>0</v>
      </c>
      <c r="BN125" s="5">
        <f>IF($BI125&lt;&gt;"",IF('Capacity summary'!$C$14="Yes",IF(COUNTBLANK('Capacity summary'!$H37:$BG37)&lt;52,IF('Capacity summary'!K37&lt;&gt;"",IF(LOWER('Capacity summary'!K37)="x",$BI125*K125,VALUE('Capacity summary'!K37)),0),K125*$BI125),K125*$BI125),0)</f>
        <v>0</v>
      </c>
      <c r="BO125" s="5">
        <f>IF($BI125&lt;&gt;"",IF('Capacity summary'!$C$14="Yes",IF(COUNTBLANK('Capacity summary'!$H37:$BG37)&lt;52,IF('Capacity summary'!L37&lt;&gt;"",IF(LOWER('Capacity summary'!L37)="x",$BI125*L125,VALUE('Capacity summary'!L37)),0),L125*$BI125),L125*$BI125),0)</f>
        <v>0</v>
      </c>
      <c r="BP125" s="5">
        <f>IF($BI125&lt;&gt;"",IF('Capacity summary'!$C$14="Yes",IF(COUNTBLANK('Capacity summary'!$H37:$BG37)&lt;52,IF('Capacity summary'!M37&lt;&gt;"",IF(LOWER('Capacity summary'!M37)="x",$BI125*M125,VALUE('Capacity summary'!M37)),0),M125*$BI125),M125*$BI125),0)</f>
        <v>0</v>
      </c>
      <c r="BQ125" s="5">
        <f>IF($BI125&lt;&gt;"",IF('Capacity summary'!$C$14="Yes",IF(COUNTBLANK('Capacity summary'!$H37:$BG37)&lt;52,IF('Capacity summary'!N37&lt;&gt;"",IF(LOWER('Capacity summary'!N37)="x",$BI125*N125,VALUE('Capacity summary'!N37)),0),N125*$BI125),N125*$BI125),0)</f>
        <v>0</v>
      </c>
      <c r="BR125" s="5">
        <f>IF($BI125&lt;&gt;"",IF('Capacity summary'!$C$14="Yes",IF(COUNTBLANK('Capacity summary'!$H37:$BG37)&lt;52,IF('Capacity summary'!O37&lt;&gt;"",IF(LOWER('Capacity summary'!O37)="x",$BI125*O125,VALUE('Capacity summary'!O37)),0),O125*$BI125),O125*$BI125),0)</f>
        <v>0</v>
      </c>
      <c r="BS125" s="5">
        <f>IF($BI125&lt;&gt;"",IF('Capacity summary'!$C$14="Yes",IF(COUNTBLANK('Capacity summary'!$H37:$BG37)&lt;52,IF('Capacity summary'!P37&lt;&gt;"",IF(LOWER('Capacity summary'!P37)="x",$BI125*P125,VALUE('Capacity summary'!P37)),0),P125*$BI125),P125*$BI125),0)</f>
        <v>0</v>
      </c>
      <c r="BT125" s="5">
        <f>IF($BI125&lt;&gt;"",IF('Capacity summary'!$C$14="Yes",IF(COUNTBLANK('Capacity summary'!$H37:$BG37)&lt;52,IF('Capacity summary'!Q37&lt;&gt;"",IF(LOWER('Capacity summary'!Q37)="x",$BI125*Q125,VALUE('Capacity summary'!Q37)),0),Q125*$BI125),Q125*$BI125),0)</f>
        <v>0</v>
      </c>
      <c r="BU125" s="5">
        <f>IF($BI125&lt;&gt;"",IF('Capacity summary'!$C$14="Yes",IF(COUNTBLANK('Capacity summary'!$H37:$BG37)&lt;52,IF('Capacity summary'!R37&lt;&gt;"",IF(LOWER('Capacity summary'!R37)="x",$BI125*R125,VALUE('Capacity summary'!R37)),0),R125*$BI125),R125*$BI125),0)</f>
        <v>0</v>
      </c>
      <c r="BV125" s="5">
        <f>IF($BI125&lt;&gt;"",IF('Capacity summary'!$C$14="Yes",IF(COUNTBLANK('Capacity summary'!$H37:$BG37)&lt;52,IF('Capacity summary'!S37&lt;&gt;"",IF(LOWER('Capacity summary'!S37)="x",$BI125*S125,VALUE('Capacity summary'!S37)),0),S125*$BI125),S125*$BI125),0)</f>
        <v>0</v>
      </c>
      <c r="BW125" s="5">
        <f>IF($BI125&lt;&gt;"",IF('Capacity summary'!$C$14="Yes",IF(COUNTBLANK('Capacity summary'!$H37:$BG37)&lt;52,IF('Capacity summary'!T37&lt;&gt;"",IF(LOWER('Capacity summary'!T37)="x",$BI125*T125,VALUE('Capacity summary'!T37)),0),T125*$BI125),T125*$BI125),0)</f>
        <v>0</v>
      </c>
      <c r="BX125" s="5">
        <f>IF($BI125&lt;&gt;"",IF('Capacity summary'!$C$14="Yes",IF(COUNTBLANK('Capacity summary'!$H37:$BG37)&lt;52,IF('Capacity summary'!U37&lt;&gt;"",IF(LOWER('Capacity summary'!U37)="x",$BI125*U125,VALUE('Capacity summary'!U37)),0),U125*$BI125),U125*$BI125),0)</f>
        <v>0</v>
      </c>
      <c r="BY125" s="5">
        <f>IF($BI125&lt;&gt;"",IF('Capacity summary'!$C$14="Yes",IF(COUNTBLANK('Capacity summary'!$H37:$BG37)&lt;52,IF('Capacity summary'!V37&lt;&gt;"",IF(LOWER('Capacity summary'!V37)="x",$BI125*V125,VALUE('Capacity summary'!V37)),0),V125*$BI125),V125*$BI125),0)</f>
        <v>0</v>
      </c>
      <c r="BZ125" s="5">
        <f>IF($BI125&lt;&gt;"",IF('Capacity summary'!$C$14="Yes",IF(COUNTBLANK('Capacity summary'!$H37:$BG37)&lt;52,IF('Capacity summary'!W37&lt;&gt;"",IF(LOWER('Capacity summary'!W37)="x",$BI125*W125,VALUE('Capacity summary'!W37)),0),W125*$BI125),W125*$BI125),0)</f>
        <v>0</v>
      </c>
      <c r="CA125" s="5">
        <f>IF($BI125&lt;&gt;"",IF('Capacity summary'!$C$14="Yes",IF(COUNTBLANK('Capacity summary'!$H37:$BG37)&lt;52,IF('Capacity summary'!X37&lt;&gt;"",IF(LOWER('Capacity summary'!X37)="x",$BI125*X125,VALUE('Capacity summary'!X37)),0),X125*$BI125),X125*$BI125),0)</f>
        <v>0</v>
      </c>
      <c r="CB125" s="5">
        <f>IF($BI125&lt;&gt;"",IF('Capacity summary'!$C$14="Yes",IF(COUNTBLANK('Capacity summary'!$H37:$BG37)&lt;52,IF('Capacity summary'!Y37&lt;&gt;"",IF(LOWER('Capacity summary'!Y37)="x",$BI125*Y125,VALUE('Capacity summary'!Y37)),0),Y125*$BI125),Y125*$BI125),0)</f>
        <v>0</v>
      </c>
      <c r="CC125" s="5">
        <f>IF($BI125&lt;&gt;"",IF('Capacity summary'!$C$14="Yes",IF(COUNTBLANK('Capacity summary'!$H37:$BG37)&lt;52,IF('Capacity summary'!Z37&lt;&gt;"",IF(LOWER('Capacity summary'!Z37)="x",$BI125*Z125,VALUE('Capacity summary'!Z37)),0),Z125*$BI125),Z125*$BI125),0)</f>
        <v>0</v>
      </c>
      <c r="CD125" s="5">
        <f>IF($BI125&lt;&gt;"",IF('Capacity summary'!$C$14="Yes",IF(COUNTBLANK('Capacity summary'!$H37:$BG37)&lt;52,IF('Capacity summary'!AA37&lt;&gt;"",IF(LOWER('Capacity summary'!AA37)="x",$BI125*AA125,VALUE('Capacity summary'!AA37)),0),AA125*$BI125),AA125*$BI125),0)</f>
        <v>0</v>
      </c>
      <c r="CE125" s="5">
        <f>IF($BI125&lt;&gt;"",IF('Capacity summary'!$C$14="Yes",IF(COUNTBLANK('Capacity summary'!$H37:$BG37)&lt;52,IF('Capacity summary'!AB37&lt;&gt;"",IF(LOWER('Capacity summary'!AB37)="x",$BI125*AB125,VALUE('Capacity summary'!AB37)),0),AB125*$BI125),AB125*$BI125),0)</f>
        <v>0</v>
      </c>
      <c r="CF125" s="5">
        <f>IF($BI125&lt;&gt;"",IF('Capacity summary'!$C$14="Yes",IF(COUNTBLANK('Capacity summary'!$H37:$BG37)&lt;52,IF('Capacity summary'!AC37&lt;&gt;"",IF(LOWER('Capacity summary'!AC37)="x",$BI125*AC125,VALUE('Capacity summary'!AC37)),0),AC125*$BI125),AC125*$BI125),0)</f>
        <v>0</v>
      </c>
      <c r="CG125" s="5">
        <f>IF($BI125&lt;&gt;"",IF('Capacity summary'!$C$14="Yes",IF(COUNTBLANK('Capacity summary'!$H37:$BG37)&lt;52,IF('Capacity summary'!AD37&lt;&gt;"",IF(LOWER('Capacity summary'!AD37)="x",$BI125*AD125,VALUE('Capacity summary'!AD37)),0),AD125*$BI125),AD125*$BI125),0)</f>
        <v>0</v>
      </c>
      <c r="CH125" s="5">
        <f>IF($BI125&lt;&gt;"",IF('Capacity summary'!$C$14="Yes",IF(COUNTBLANK('Capacity summary'!$H37:$BG37)&lt;52,IF('Capacity summary'!AE37&lt;&gt;"",IF(LOWER('Capacity summary'!AE37)="x",$BI125*AE125,VALUE('Capacity summary'!AE37)),0),AE125*$BI125),AE125*$BI125),0)</f>
        <v>0</v>
      </c>
      <c r="CI125" s="5">
        <f>IF($BI125&lt;&gt;"",IF('Capacity summary'!$C$14="Yes",IF(COUNTBLANK('Capacity summary'!$H37:$BG37)&lt;52,IF('Capacity summary'!AF37&lt;&gt;"",IF(LOWER('Capacity summary'!AF37)="x",$BI125*AF125,VALUE('Capacity summary'!AF37)),0),AF125*$BI125),AF125*$BI125),0)</f>
        <v>0</v>
      </c>
      <c r="CJ125" s="5">
        <f>IF($BI125&lt;&gt;"",IF('Capacity summary'!$C$14="Yes",IF(COUNTBLANK('Capacity summary'!$H37:$BG37)&lt;52,IF('Capacity summary'!AG37&lt;&gt;"",IF(LOWER('Capacity summary'!AG37)="x",$BI125*AG125,VALUE('Capacity summary'!AG37)),0),AG125*$BI125),AG125*$BI125),0)</f>
        <v>0</v>
      </c>
      <c r="CK125" s="5">
        <f>IF($BI125&lt;&gt;"",IF('Capacity summary'!$C$14="Yes",IF(COUNTBLANK('Capacity summary'!$H37:$BG37)&lt;52,IF('Capacity summary'!AH37&lt;&gt;"",IF(LOWER('Capacity summary'!AH37)="x",$BI125*AH125,VALUE('Capacity summary'!AH37)),0),AH125*$BI125),AH125*$BI125),0)</f>
        <v>0</v>
      </c>
      <c r="CL125" s="5">
        <f>IF($BI125&lt;&gt;"",IF('Capacity summary'!$C$14="Yes",IF(COUNTBLANK('Capacity summary'!$H37:$BG37)&lt;52,IF('Capacity summary'!AI37&lt;&gt;"",IF(LOWER('Capacity summary'!AI37)="x",$BI125*AI125,VALUE('Capacity summary'!AI37)),0),AI125*$BI125),AI125*$BI125),0)</f>
        <v>0</v>
      </c>
      <c r="CM125" s="5">
        <f>IF($BI125&lt;&gt;"",IF('Capacity summary'!$C$14="Yes",IF(COUNTBLANK('Capacity summary'!$H37:$BG37)&lt;52,IF('Capacity summary'!AJ37&lt;&gt;"",IF(LOWER('Capacity summary'!AJ37)="x",$BI125*AJ125,VALUE('Capacity summary'!AJ37)),0),AJ125*$BI125),AJ125*$BI125),0)</f>
        <v>0</v>
      </c>
      <c r="CN125" s="5">
        <f>IF($BI125&lt;&gt;"",IF('Capacity summary'!$C$14="Yes",IF(COUNTBLANK('Capacity summary'!$H37:$BG37)&lt;52,IF('Capacity summary'!AK37&lt;&gt;"",IF(LOWER('Capacity summary'!AK37)="x",$BI125*AK125,VALUE('Capacity summary'!AK37)),0),AK125*$BI125),AK125*$BI125),0)</f>
        <v>0</v>
      </c>
      <c r="CO125" s="5">
        <f>IF($BI125&lt;&gt;"",IF('Capacity summary'!$C$14="Yes",IF(COUNTBLANK('Capacity summary'!$H37:$BG37)&lt;52,IF('Capacity summary'!AL37&lt;&gt;"",IF(LOWER('Capacity summary'!AL37)="x",$BI125*AL125,VALUE('Capacity summary'!AL37)),0),AL125*$BI125),AL125*$BI125),0)</f>
        <v>0</v>
      </c>
      <c r="CP125" s="5">
        <f>IF($BI125&lt;&gt;"",IF('Capacity summary'!$C$14="Yes",IF(COUNTBLANK('Capacity summary'!$H37:$BG37)&lt;52,IF('Capacity summary'!AM37&lt;&gt;"",IF(LOWER('Capacity summary'!AM37)="x",$BI125*AM125,VALUE('Capacity summary'!AM37)),0),AM125*$BI125),AM125*$BI125),0)</f>
        <v>0</v>
      </c>
      <c r="CQ125" s="5">
        <f>IF($BI125&lt;&gt;"",IF('Capacity summary'!$C$14="Yes",IF(COUNTBLANK('Capacity summary'!$H37:$BG37)&lt;52,IF('Capacity summary'!AN37&lt;&gt;"",IF(LOWER('Capacity summary'!AN37)="x",$BI125*AN125,VALUE('Capacity summary'!AN37)),0),AN125*$BI125),AN125*$BI125),0)</f>
        <v>0</v>
      </c>
      <c r="CR125" s="5">
        <f>IF($BI125&lt;&gt;"",IF('Capacity summary'!$C$14="Yes",IF(COUNTBLANK('Capacity summary'!$H37:$BG37)&lt;52,IF('Capacity summary'!AO37&lt;&gt;"",IF(LOWER('Capacity summary'!AO37)="x",$BI125*AO125,VALUE('Capacity summary'!AO37)),0),AO125*$BI125),AO125*$BI125),0)</f>
        <v>0</v>
      </c>
      <c r="CS125" s="5">
        <f>IF($BI125&lt;&gt;"",IF('Capacity summary'!$C$14="Yes",IF(COUNTBLANK('Capacity summary'!$H37:$BG37)&lt;52,IF('Capacity summary'!AP37&lt;&gt;"",IF(LOWER('Capacity summary'!AP37)="x",$BI125*AP125,VALUE('Capacity summary'!AP37)),0),AP125*$BI125),AP125*$BI125),0)</f>
        <v>0</v>
      </c>
      <c r="CT125" s="5">
        <f>IF($BI125&lt;&gt;"",IF('Capacity summary'!$C$14="Yes",IF(COUNTBLANK('Capacity summary'!$H37:$BG37)&lt;52,IF('Capacity summary'!AQ37&lt;&gt;"",IF(LOWER('Capacity summary'!AQ37)="x",$BI125*AQ125,VALUE('Capacity summary'!AQ37)),0),AQ125*$BI125),AQ125*$BI125),0)</f>
        <v>0</v>
      </c>
      <c r="CU125" s="5">
        <f>IF($BI125&lt;&gt;"",IF('Capacity summary'!$C$14="Yes",IF(COUNTBLANK('Capacity summary'!$H37:$BG37)&lt;52,IF('Capacity summary'!AR37&lt;&gt;"",IF(LOWER('Capacity summary'!AR37)="x",$BI125*AR125,VALUE('Capacity summary'!AR37)),0),AR125*$BI125),AR125*$BI125),0)</f>
        <v>0</v>
      </c>
      <c r="CV125" s="5">
        <f>IF($BI125&lt;&gt;"",IF('Capacity summary'!$C$14="Yes",IF(COUNTBLANK('Capacity summary'!$H37:$BG37)&lt;52,IF('Capacity summary'!AS37&lt;&gt;"",IF(LOWER('Capacity summary'!AS37)="x",$BI125*AS125,VALUE('Capacity summary'!AS37)),0),AS125*$BI125),AS125*$BI125),0)</f>
        <v>0</v>
      </c>
      <c r="CW125" s="5">
        <f>IF($BI125&lt;&gt;"",IF('Capacity summary'!$C$14="Yes",IF(COUNTBLANK('Capacity summary'!$H37:$BG37)&lt;52,IF('Capacity summary'!AT37&lt;&gt;"",IF(LOWER('Capacity summary'!AT37)="x",$BI125*AT125,VALUE('Capacity summary'!AT37)),0),AT125*$BI125),AT125*$BI125),0)</f>
        <v>0</v>
      </c>
      <c r="CX125" s="5">
        <f>IF($BI125&lt;&gt;"",IF('Capacity summary'!$C$14="Yes",IF(COUNTBLANK('Capacity summary'!$H37:$BG37)&lt;52,IF('Capacity summary'!AU37&lt;&gt;"",IF(LOWER('Capacity summary'!AU37)="x",$BI125*AU125,VALUE('Capacity summary'!AU37)),0),AU125*$BI125),AU125*$BI125),0)</f>
        <v>0</v>
      </c>
      <c r="CY125" s="5">
        <f>IF($BI125&lt;&gt;"",IF('Capacity summary'!$C$14="Yes",IF(COUNTBLANK('Capacity summary'!$H37:$BG37)&lt;52,IF('Capacity summary'!AV37&lt;&gt;"",IF(LOWER('Capacity summary'!AV37)="x",$BI125*AV125,VALUE('Capacity summary'!AV37)),0),AV125*$BI125),AV125*$BI125),0)</f>
        <v>0</v>
      </c>
      <c r="CZ125" s="5">
        <f>IF($BI125&lt;&gt;"",IF('Capacity summary'!$C$14="Yes",IF(COUNTBLANK('Capacity summary'!$H37:$BG37)&lt;52,IF('Capacity summary'!AW37&lt;&gt;"",IF(LOWER('Capacity summary'!AW37)="x",$BI125*AW125,VALUE('Capacity summary'!AW37)),0),AW125*$BI125),AW125*$BI125),0)</f>
        <v>0</v>
      </c>
      <c r="DA125" s="5">
        <f>IF($BI125&lt;&gt;"",IF('Capacity summary'!$C$14="Yes",IF(COUNTBLANK('Capacity summary'!$H37:$BG37)&lt;52,IF('Capacity summary'!AX37&lt;&gt;"",IF(LOWER('Capacity summary'!AX37)="x",$BI125*AX125,VALUE('Capacity summary'!AX37)),0),AX125*$BI125),AX125*$BI125),0)</f>
        <v>0</v>
      </c>
      <c r="DB125" s="5">
        <f>IF($BI125&lt;&gt;"",IF('Capacity summary'!$C$14="Yes",IF(COUNTBLANK('Capacity summary'!$H37:$BG37)&lt;52,IF('Capacity summary'!AY37&lt;&gt;"",IF(LOWER('Capacity summary'!AY37)="x",$BI125*AY125,VALUE('Capacity summary'!AY37)),0),AY125*$BI125),AY125*$BI125),0)</f>
        <v>0</v>
      </c>
      <c r="DC125" s="5">
        <f>IF($BI125&lt;&gt;"",IF('Capacity summary'!$C$14="Yes",IF(COUNTBLANK('Capacity summary'!$H37:$BG37)&lt;52,IF('Capacity summary'!AZ37&lt;&gt;"",IF(LOWER('Capacity summary'!AZ37)="x",$BI125*AZ125,VALUE('Capacity summary'!AZ37)),0),AZ125*$BI125),AZ125*$BI125),0)</f>
        <v>0</v>
      </c>
      <c r="DD125" s="5">
        <f>IF($BI125&lt;&gt;"",IF('Capacity summary'!$C$14="Yes",IF(COUNTBLANK('Capacity summary'!$H37:$BG37)&lt;52,IF('Capacity summary'!BA37&lt;&gt;"",IF(LOWER('Capacity summary'!BA37)="x",$BI125*BA125,VALUE('Capacity summary'!BA37)),0),BA125*$BI125),BA125*$BI125),0)</f>
        <v>0</v>
      </c>
      <c r="DE125" s="5">
        <f>IF($BI125&lt;&gt;"",IF('Capacity summary'!$C$14="Yes",IF(COUNTBLANK('Capacity summary'!$H37:$BG37)&lt;52,IF('Capacity summary'!BB37&lt;&gt;"",IF(LOWER('Capacity summary'!BB37)="x",$BI125*BB125,VALUE('Capacity summary'!BB37)),0),BB125*$BI125),BB125*$BI125),0)</f>
        <v>0</v>
      </c>
      <c r="DF125" s="5">
        <f>IF($BI125&lt;&gt;"",IF('Capacity summary'!$C$14="Yes",IF(COUNTBLANK('Capacity summary'!$H37:$BG37)&lt;52,IF('Capacity summary'!BC37&lt;&gt;"",IF(LOWER('Capacity summary'!BC37)="x",$BI125*BC125,VALUE('Capacity summary'!BC37)),0),BC125*$BI125),BC125*$BI125),0)</f>
        <v>0</v>
      </c>
      <c r="DG125" s="5">
        <f>IF($BI125&lt;&gt;"",IF('Capacity summary'!$C$14="Yes",IF(COUNTBLANK('Capacity summary'!$H37:$BG37)&lt;52,IF('Capacity summary'!BD37&lt;&gt;"",IF(LOWER('Capacity summary'!BD37)="x",$BI125*BD125,VALUE('Capacity summary'!BD37)),0),BD125*$BI125),BD125*$BI125),0)</f>
        <v>0</v>
      </c>
      <c r="DH125" s="5">
        <f>IF($BI125&lt;&gt;"",IF('Capacity summary'!$C$14="Yes",IF(COUNTBLANK('Capacity summary'!$H37:$BG37)&lt;52,IF('Capacity summary'!BE37&lt;&gt;"",IF(LOWER('Capacity summary'!BE37)="x",$BI125*BE125,VALUE('Capacity summary'!BE37)),0),BE125*$BI125),BE125*$BI125),0)</f>
        <v>0</v>
      </c>
      <c r="DI125" s="5">
        <f>IF($BI125&lt;&gt;"",IF('Capacity summary'!$C$14="Yes",IF(COUNTBLANK('Capacity summary'!$H37:$BG37)&lt;52,IF('Capacity summary'!BF37&lt;&gt;"",IF(LOWER('Capacity summary'!BF37)="x",$BI125*BF125,VALUE('Capacity summary'!BF37)),0),BF125*$BI125),BF125*$BI125),0)</f>
        <v>0</v>
      </c>
      <c r="DJ125" s="5">
        <f>IF($BI125&lt;&gt;"",IF('Capacity summary'!$C$14="Yes",IF(COUNTBLANK('Capacity summary'!$H37:$BG37)&lt;52,IF('Capacity summary'!BG37&lt;&gt;"",IF(LOWER('Capacity summary'!BG37)="x",$BI125*BG125,VALUE('Capacity summary'!BG37)),0),BG125*$BI125),BG125*$BI125),0)</f>
        <v>0</v>
      </c>
      <c r="DK125" s="391">
        <f t="shared" si="8"/>
        <v>0</v>
      </c>
      <c r="DL125" s="5">
        <f t="shared" si="9"/>
        <v>0</v>
      </c>
    </row>
    <row r="126" spans="3:116" x14ac:dyDescent="0.2">
      <c r="C126" s="67" t="str">
        <f>ROW(A15)&amp;". "&amp;Capacity!N31</f>
        <v xml:space="preserve">15. </v>
      </c>
      <c r="D126" s="67">
        <f>'Capacity setup'!C132</f>
        <v>0</v>
      </c>
      <c r="E126" s="67">
        <f>'Capacity setup'!D132</f>
        <v>0</v>
      </c>
      <c r="F126" s="67">
        <f>'Capacity setup'!E132</f>
        <v>0</v>
      </c>
      <c r="H126" s="67">
        <f ca="1">IF(LOWER(Capacity!$V31)="x",IF(AND(SUMIF(Capacity_Resource,$D126,'Critical resources (hide)'!U$6:U$105)+SUMIF(Capacity_Resource,$E126,'Critical resources (hide)'!U$6:U$105)+SUMIF(Capacity_Resource,$F126,'Critical resources (hide)'!U$6:U$105)&gt;0,$E$1=2),0,1),0)</f>
        <v>1</v>
      </c>
      <c r="I126" s="67">
        <f ca="1">IF(LOWER(Capacity!$V31)="x",IF(AND(SUMIF(Capacity_Resource,$D126,'Critical resources (hide)'!V$6:V$105)+SUMIF(Capacity_Resource,$E126,'Critical resources (hide)'!V$6:V$105)+SUMIF(Capacity_Resource,$F126,'Critical resources (hide)'!V$6:V$105)&gt;0,$E$1=2),0,1),0)</f>
        <v>1</v>
      </c>
      <c r="J126" s="67">
        <f ca="1">IF(LOWER(Capacity!$V31)="x",IF(AND(SUMIF(Capacity_Resource,$D126,'Critical resources (hide)'!W$6:W$105)+SUMIF(Capacity_Resource,$E126,'Critical resources (hide)'!W$6:W$105)+SUMIF(Capacity_Resource,$F126,'Critical resources (hide)'!W$6:W$105)&gt;0,$E$1=2),0,1),0)</f>
        <v>1</v>
      </c>
      <c r="K126" s="67">
        <f ca="1">IF(LOWER(Capacity!$V31)="x",IF(AND(SUMIF(Capacity_Resource,$D126,'Critical resources (hide)'!X$6:X$105)+SUMIF(Capacity_Resource,$E126,'Critical resources (hide)'!X$6:X$105)+SUMIF(Capacity_Resource,$F126,'Critical resources (hide)'!X$6:X$105)&gt;0,$E$1=2),0,1),0)</f>
        <v>1</v>
      </c>
      <c r="L126" s="67">
        <f ca="1">IF(LOWER(Capacity!$V31)="x",IF(AND(SUMIF(Capacity_Resource,$D126,'Critical resources (hide)'!Y$6:Y$105)+SUMIF(Capacity_Resource,$E126,'Critical resources (hide)'!Y$6:Y$105)+SUMIF(Capacity_Resource,$F126,'Critical resources (hide)'!Y$6:Y$105)&gt;0,$E$1=2),0,1),0)</f>
        <v>1</v>
      </c>
      <c r="M126" s="67">
        <f ca="1">IF(LOWER(Capacity!$V31)="x",IF(AND(SUMIF(Capacity_Resource,$D126,'Critical resources (hide)'!Z$6:Z$105)+SUMIF(Capacity_Resource,$E126,'Critical resources (hide)'!Z$6:Z$105)+SUMIF(Capacity_Resource,$F126,'Critical resources (hide)'!Z$6:Z$105)&gt;0,$E$1=2),0,1),0)</f>
        <v>1</v>
      </c>
      <c r="N126" s="67">
        <f ca="1">IF(LOWER(Capacity!$V31)="x",IF(AND(SUMIF(Capacity_Resource,$D126,'Critical resources (hide)'!AA$6:AA$105)+SUMIF(Capacity_Resource,$E126,'Critical resources (hide)'!AA$6:AA$105)+SUMIF(Capacity_Resource,$F126,'Critical resources (hide)'!AA$6:AA$105)&gt;0,$E$1=2),0,1),0)</f>
        <v>1</v>
      </c>
      <c r="O126" s="67">
        <f ca="1">IF(LOWER(Capacity!$V31)="x",IF(AND(SUMIF(Capacity_Resource,$D126,'Critical resources (hide)'!AB$6:AB$105)+SUMIF(Capacity_Resource,$E126,'Critical resources (hide)'!AB$6:AB$105)+SUMIF(Capacity_Resource,$F126,'Critical resources (hide)'!AB$6:AB$105)&gt;0,$E$1=2),0,1),0)</f>
        <v>1</v>
      </c>
      <c r="P126" s="67">
        <f ca="1">IF(LOWER(Capacity!$V31)="x",IF(AND(SUMIF(Capacity_Resource,$D126,'Critical resources (hide)'!AC$6:AC$105)+SUMIF(Capacity_Resource,$E126,'Critical resources (hide)'!AC$6:AC$105)+SUMIF(Capacity_Resource,$F126,'Critical resources (hide)'!AC$6:AC$105)&gt;0,$E$1=2),0,1),0)</f>
        <v>1</v>
      </c>
      <c r="Q126" s="67">
        <f ca="1">IF(LOWER(Capacity!$V31)="x",IF(AND(SUMIF(Capacity_Resource,$D126,'Critical resources (hide)'!AD$6:AD$105)+SUMIF(Capacity_Resource,$E126,'Critical resources (hide)'!AD$6:AD$105)+SUMIF(Capacity_Resource,$F126,'Critical resources (hide)'!AD$6:AD$105)&gt;0,$E$1=2),0,1),0)</f>
        <v>1</v>
      </c>
      <c r="R126" s="67">
        <f ca="1">IF(LOWER(Capacity!$V31)="x",IF(AND(SUMIF(Capacity_Resource,$D126,'Critical resources (hide)'!AE$6:AE$105)+SUMIF(Capacity_Resource,$E126,'Critical resources (hide)'!AE$6:AE$105)+SUMIF(Capacity_Resource,$F126,'Critical resources (hide)'!AE$6:AE$105)&gt;0,$E$1=2),0,1),0)</f>
        <v>1</v>
      </c>
      <c r="S126" s="67">
        <f ca="1">IF(LOWER(Capacity!$V31)="x",IF(AND(SUMIF(Capacity_Resource,$D126,'Critical resources (hide)'!AF$6:AF$105)+SUMIF(Capacity_Resource,$E126,'Critical resources (hide)'!AF$6:AF$105)+SUMIF(Capacity_Resource,$F126,'Critical resources (hide)'!AF$6:AF$105)&gt;0,$E$1=2),0,1),0)</f>
        <v>1</v>
      </c>
      <c r="T126" s="67">
        <f ca="1">IF(LOWER(Capacity!$V31)="x",IF(AND(SUMIF(Capacity_Resource,$D126,'Critical resources (hide)'!AG$6:AG$105)+SUMIF(Capacity_Resource,$E126,'Critical resources (hide)'!AG$6:AG$105)+SUMIF(Capacity_Resource,$F126,'Critical resources (hide)'!AG$6:AG$105)&gt;0,$E$1=2),0,1),0)</f>
        <v>1</v>
      </c>
      <c r="U126" s="67">
        <f ca="1">IF(LOWER(Capacity!$V31)="x",IF(AND(SUMIF(Capacity_Resource,$D126,'Critical resources (hide)'!AH$6:AH$105)+SUMIF(Capacity_Resource,$E126,'Critical resources (hide)'!AH$6:AH$105)+SUMIF(Capacity_Resource,$F126,'Critical resources (hide)'!AH$6:AH$105)&gt;0,$E$1=2),0,1),0)</f>
        <v>1</v>
      </c>
      <c r="V126" s="67">
        <f ca="1">IF(LOWER(Capacity!$V31)="x",IF(AND(SUMIF(Capacity_Resource,$D126,'Critical resources (hide)'!AI$6:AI$105)+SUMIF(Capacity_Resource,$E126,'Critical resources (hide)'!AI$6:AI$105)+SUMIF(Capacity_Resource,$F126,'Critical resources (hide)'!AI$6:AI$105)&gt;0,$E$1=2),0,1),0)</f>
        <v>1</v>
      </c>
      <c r="W126" s="67">
        <f ca="1">IF(LOWER(Capacity!$V31)="x",IF(AND(SUMIF(Capacity_Resource,$D126,'Critical resources (hide)'!AJ$6:AJ$105)+SUMIF(Capacity_Resource,$E126,'Critical resources (hide)'!AJ$6:AJ$105)+SUMIF(Capacity_Resource,$F126,'Critical resources (hide)'!AJ$6:AJ$105)&gt;0,$E$1=2),0,1),0)</f>
        <v>1</v>
      </c>
      <c r="X126" s="67">
        <f ca="1">IF(LOWER(Capacity!$V31)="x",IF(AND(SUMIF(Capacity_Resource,$D126,'Critical resources (hide)'!AK$6:AK$105)+SUMIF(Capacity_Resource,$E126,'Critical resources (hide)'!AK$6:AK$105)+SUMIF(Capacity_Resource,$F126,'Critical resources (hide)'!AK$6:AK$105)&gt;0,$E$1=2),0,1),0)</f>
        <v>1</v>
      </c>
      <c r="Y126" s="67">
        <f ca="1">IF(LOWER(Capacity!$V31)="x",IF(AND(SUMIF(Capacity_Resource,$D126,'Critical resources (hide)'!AL$6:AL$105)+SUMIF(Capacity_Resource,$E126,'Critical resources (hide)'!AL$6:AL$105)+SUMIF(Capacity_Resource,$F126,'Critical resources (hide)'!AL$6:AL$105)&gt;0,$E$1=2),0,1),0)</f>
        <v>1</v>
      </c>
      <c r="Z126" s="67">
        <f ca="1">IF(LOWER(Capacity!$V31)="x",IF(AND(SUMIF(Capacity_Resource,$D126,'Critical resources (hide)'!AM$6:AM$105)+SUMIF(Capacity_Resource,$E126,'Critical resources (hide)'!AM$6:AM$105)+SUMIF(Capacity_Resource,$F126,'Critical resources (hide)'!AM$6:AM$105)&gt;0,$E$1=2),0,1),0)</f>
        <v>1</v>
      </c>
      <c r="AA126" s="67">
        <f ca="1">IF(LOWER(Capacity!$V31)="x",IF(AND(SUMIF(Capacity_Resource,$D126,'Critical resources (hide)'!AN$6:AN$105)+SUMIF(Capacity_Resource,$E126,'Critical resources (hide)'!AN$6:AN$105)+SUMIF(Capacity_Resource,$F126,'Critical resources (hide)'!AN$6:AN$105)&gt;0,$E$1=2),0,1),0)</f>
        <v>1</v>
      </c>
      <c r="AB126" s="67">
        <f ca="1">IF(LOWER(Capacity!$V31)="x",IF(AND(SUMIF(Capacity_Resource,$D126,'Critical resources (hide)'!AO$6:AO$105)+SUMIF(Capacity_Resource,$E126,'Critical resources (hide)'!AO$6:AO$105)+SUMIF(Capacity_Resource,$F126,'Critical resources (hide)'!AO$6:AO$105)&gt;0,$E$1=2),0,1),0)</f>
        <v>1</v>
      </c>
      <c r="AC126" s="67">
        <f ca="1">IF(LOWER(Capacity!$V31)="x",IF(AND(SUMIF(Capacity_Resource,$D126,'Critical resources (hide)'!AP$6:AP$105)+SUMIF(Capacity_Resource,$E126,'Critical resources (hide)'!AP$6:AP$105)+SUMIF(Capacity_Resource,$F126,'Critical resources (hide)'!AP$6:AP$105)&gt;0,$E$1=2),0,1),0)</f>
        <v>1</v>
      </c>
      <c r="AD126" s="67">
        <f ca="1">IF(LOWER(Capacity!$V31)="x",IF(AND(SUMIF(Capacity_Resource,$D126,'Critical resources (hide)'!AQ$6:AQ$105)+SUMIF(Capacity_Resource,$E126,'Critical resources (hide)'!AQ$6:AQ$105)+SUMIF(Capacity_Resource,$F126,'Critical resources (hide)'!AQ$6:AQ$105)&gt;0,$E$1=2),0,1),0)</f>
        <v>1</v>
      </c>
      <c r="AE126" s="67">
        <f ca="1">IF(LOWER(Capacity!$V31)="x",IF(AND(SUMIF(Capacity_Resource,$D126,'Critical resources (hide)'!AR$6:AR$105)+SUMIF(Capacity_Resource,$E126,'Critical resources (hide)'!AR$6:AR$105)+SUMIF(Capacity_Resource,$F126,'Critical resources (hide)'!AR$6:AR$105)&gt;0,$E$1=2),0,1),0)</f>
        <v>1</v>
      </c>
      <c r="AF126" s="67">
        <f ca="1">IF(LOWER(Capacity!$V31)="x",IF(AND(SUMIF(Capacity_Resource,$D126,'Critical resources (hide)'!AS$6:AS$105)+SUMIF(Capacity_Resource,$E126,'Critical resources (hide)'!AS$6:AS$105)+SUMIF(Capacity_Resource,$F126,'Critical resources (hide)'!AS$6:AS$105)&gt;0,$E$1=2),0,1),0)</f>
        <v>1</v>
      </c>
      <c r="AG126" s="67">
        <f ca="1">IF(LOWER(Capacity!$V31)="x",IF(AND(SUMIF(Capacity_Resource,$D126,'Critical resources (hide)'!AT$6:AT$105)+SUMIF(Capacity_Resource,$E126,'Critical resources (hide)'!AT$6:AT$105)+SUMIF(Capacity_Resource,$F126,'Critical resources (hide)'!AT$6:AT$105)&gt;0,$E$1=2),0,1),0)</f>
        <v>1</v>
      </c>
      <c r="AH126" s="67">
        <f ca="1">IF(LOWER(Capacity!$V31)="x",IF(AND(SUMIF(Capacity_Resource,$D126,'Critical resources (hide)'!AU$6:AU$105)+SUMIF(Capacity_Resource,$E126,'Critical resources (hide)'!AU$6:AU$105)+SUMIF(Capacity_Resource,$F126,'Critical resources (hide)'!AU$6:AU$105)&gt;0,$E$1=2),0,1),0)</f>
        <v>1</v>
      </c>
      <c r="AI126" s="67">
        <f ca="1">IF(LOWER(Capacity!$V31)="x",IF(AND(SUMIF(Capacity_Resource,$D126,'Critical resources (hide)'!AV$6:AV$105)+SUMIF(Capacity_Resource,$E126,'Critical resources (hide)'!AV$6:AV$105)+SUMIF(Capacity_Resource,$F126,'Critical resources (hide)'!AV$6:AV$105)&gt;0,$E$1=2),0,1),0)</f>
        <v>1</v>
      </c>
      <c r="AJ126" s="67">
        <f ca="1">IF(LOWER(Capacity!$V31)="x",IF(AND(SUMIF(Capacity_Resource,$D126,'Critical resources (hide)'!AW$6:AW$105)+SUMIF(Capacity_Resource,$E126,'Critical resources (hide)'!AW$6:AW$105)+SUMIF(Capacity_Resource,$F126,'Critical resources (hide)'!AW$6:AW$105)&gt;0,$E$1=2),0,1),0)</f>
        <v>1</v>
      </c>
      <c r="AK126" s="67">
        <f ca="1">IF(LOWER(Capacity!$V31)="x",IF(AND(SUMIF(Capacity_Resource,$D126,'Critical resources (hide)'!AX$6:AX$105)+SUMIF(Capacity_Resource,$E126,'Critical resources (hide)'!AX$6:AX$105)+SUMIF(Capacity_Resource,$F126,'Critical resources (hide)'!AX$6:AX$105)&gt;0,$E$1=2),0,1),0)</f>
        <v>1</v>
      </c>
      <c r="AL126" s="67">
        <f ca="1">IF(LOWER(Capacity!$V31)="x",IF(AND(SUMIF(Capacity_Resource,$D126,'Critical resources (hide)'!AY$6:AY$105)+SUMIF(Capacity_Resource,$E126,'Critical resources (hide)'!AY$6:AY$105)+SUMIF(Capacity_Resource,$F126,'Critical resources (hide)'!AY$6:AY$105)&gt;0,$E$1=2),0,1),0)</f>
        <v>1</v>
      </c>
      <c r="AM126" s="67">
        <f ca="1">IF(LOWER(Capacity!$V31)="x",IF(AND(SUMIF(Capacity_Resource,$D126,'Critical resources (hide)'!AZ$6:AZ$105)+SUMIF(Capacity_Resource,$E126,'Critical resources (hide)'!AZ$6:AZ$105)+SUMIF(Capacity_Resource,$F126,'Critical resources (hide)'!AZ$6:AZ$105)&gt;0,$E$1=2),0,1),0)</f>
        <v>1</v>
      </c>
      <c r="AN126" s="67">
        <f ca="1">IF(LOWER(Capacity!$V31)="x",IF(AND(SUMIF(Capacity_Resource,$D126,'Critical resources (hide)'!BA$6:BA$105)+SUMIF(Capacity_Resource,$E126,'Critical resources (hide)'!BA$6:BA$105)+SUMIF(Capacity_Resource,$F126,'Critical resources (hide)'!BA$6:BA$105)&gt;0,$E$1=2),0,1),0)</f>
        <v>1</v>
      </c>
      <c r="AO126" s="67">
        <f ca="1">IF(LOWER(Capacity!$V31)="x",IF(AND(SUMIF(Capacity_Resource,$D126,'Critical resources (hide)'!BB$6:BB$105)+SUMIF(Capacity_Resource,$E126,'Critical resources (hide)'!BB$6:BB$105)+SUMIF(Capacity_Resource,$F126,'Critical resources (hide)'!BB$6:BB$105)&gt;0,$E$1=2),0,1),0)</f>
        <v>1</v>
      </c>
      <c r="AP126" s="67">
        <f ca="1">IF(LOWER(Capacity!$V31)="x",IF(AND(SUMIF(Capacity_Resource,$D126,'Critical resources (hide)'!BC$6:BC$105)+SUMIF(Capacity_Resource,$E126,'Critical resources (hide)'!BC$6:BC$105)+SUMIF(Capacity_Resource,$F126,'Critical resources (hide)'!BC$6:BC$105)&gt;0,$E$1=2),0,1),0)</f>
        <v>1</v>
      </c>
      <c r="AQ126" s="67">
        <f ca="1">IF(LOWER(Capacity!$V31)="x",IF(AND(SUMIF(Capacity_Resource,$D126,'Critical resources (hide)'!BD$6:BD$105)+SUMIF(Capacity_Resource,$E126,'Critical resources (hide)'!BD$6:BD$105)+SUMIF(Capacity_Resource,$F126,'Critical resources (hide)'!BD$6:BD$105)&gt;0,$E$1=2),0,1),0)</f>
        <v>1</v>
      </c>
      <c r="AR126" s="67">
        <f ca="1">IF(LOWER(Capacity!$V31)="x",IF(AND(SUMIF(Capacity_Resource,$D126,'Critical resources (hide)'!BE$6:BE$105)+SUMIF(Capacity_Resource,$E126,'Critical resources (hide)'!BE$6:BE$105)+SUMIF(Capacity_Resource,$F126,'Critical resources (hide)'!BE$6:BE$105)&gt;0,$E$1=2),0,1),0)</f>
        <v>1</v>
      </c>
      <c r="AS126" s="67">
        <f ca="1">IF(LOWER(Capacity!$V31)="x",IF(AND(SUMIF(Capacity_Resource,$D126,'Critical resources (hide)'!BF$6:BF$105)+SUMIF(Capacity_Resource,$E126,'Critical resources (hide)'!BF$6:BF$105)+SUMIF(Capacity_Resource,$F126,'Critical resources (hide)'!BF$6:BF$105)&gt;0,$E$1=2),0,1),0)</f>
        <v>1</v>
      </c>
      <c r="AT126" s="67">
        <f ca="1">IF(LOWER(Capacity!$V31)="x",IF(AND(SUMIF(Capacity_Resource,$D126,'Critical resources (hide)'!BG$6:BG$105)+SUMIF(Capacity_Resource,$E126,'Critical resources (hide)'!BG$6:BG$105)+SUMIF(Capacity_Resource,$F126,'Critical resources (hide)'!BG$6:BG$105)&gt;0,$E$1=2),0,1),0)</f>
        <v>1</v>
      </c>
      <c r="AU126" s="67">
        <f ca="1">IF(LOWER(Capacity!$V31)="x",IF(AND(SUMIF(Capacity_Resource,$D126,'Critical resources (hide)'!BH$6:BH$105)+SUMIF(Capacity_Resource,$E126,'Critical resources (hide)'!BH$6:BH$105)+SUMIF(Capacity_Resource,$F126,'Critical resources (hide)'!BH$6:BH$105)&gt;0,$E$1=2),0,1),0)</f>
        <v>1</v>
      </c>
      <c r="AV126" s="67">
        <f ca="1">IF(LOWER(Capacity!$V31)="x",IF(AND(SUMIF(Capacity_Resource,$D126,'Critical resources (hide)'!BI$6:BI$105)+SUMIF(Capacity_Resource,$E126,'Critical resources (hide)'!BI$6:BI$105)+SUMIF(Capacity_Resource,$F126,'Critical resources (hide)'!BI$6:BI$105)&gt;0,$E$1=2),0,1),0)</f>
        <v>1</v>
      </c>
      <c r="AW126" s="67">
        <f ca="1">IF(LOWER(Capacity!$V31)="x",IF(AND(SUMIF(Capacity_Resource,$D126,'Critical resources (hide)'!BJ$6:BJ$105)+SUMIF(Capacity_Resource,$E126,'Critical resources (hide)'!BJ$6:BJ$105)+SUMIF(Capacity_Resource,$F126,'Critical resources (hide)'!BJ$6:BJ$105)&gt;0,$E$1=2),0,1),0)</f>
        <v>1</v>
      </c>
      <c r="AX126" s="67">
        <f ca="1">IF(LOWER(Capacity!$V31)="x",IF(AND(SUMIF(Capacity_Resource,$D126,'Critical resources (hide)'!BK$6:BK$105)+SUMIF(Capacity_Resource,$E126,'Critical resources (hide)'!BK$6:BK$105)+SUMIF(Capacity_Resource,$F126,'Critical resources (hide)'!BK$6:BK$105)&gt;0,$E$1=2),0,1),0)</f>
        <v>1</v>
      </c>
      <c r="AY126" s="67">
        <f ca="1">IF(LOWER(Capacity!$V31)="x",IF(AND(SUMIF(Capacity_Resource,$D126,'Critical resources (hide)'!BL$6:BL$105)+SUMIF(Capacity_Resource,$E126,'Critical resources (hide)'!BL$6:BL$105)+SUMIF(Capacity_Resource,$F126,'Critical resources (hide)'!BL$6:BL$105)&gt;0,$E$1=2),0,1),0)</f>
        <v>1</v>
      </c>
      <c r="AZ126" s="67">
        <f ca="1">IF(LOWER(Capacity!$V31)="x",IF(AND(SUMIF(Capacity_Resource,$D126,'Critical resources (hide)'!BM$6:BM$105)+SUMIF(Capacity_Resource,$E126,'Critical resources (hide)'!BM$6:BM$105)+SUMIF(Capacity_Resource,$F126,'Critical resources (hide)'!BM$6:BM$105)&gt;0,$E$1=2),0,1),0)</f>
        <v>1</v>
      </c>
      <c r="BA126" s="67">
        <f ca="1">IF(LOWER(Capacity!$V31)="x",IF(AND(SUMIF(Capacity_Resource,$D126,'Critical resources (hide)'!BN$6:BN$105)+SUMIF(Capacity_Resource,$E126,'Critical resources (hide)'!BN$6:BN$105)+SUMIF(Capacity_Resource,$F126,'Critical resources (hide)'!BN$6:BN$105)&gt;0,$E$1=2),0,1),0)</f>
        <v>1</v>
      </c>
      <c r="BB126" s="67">
        <f ca="1">IF(LOWER(Capacity!$V31)="x",IF(AND(SUMIF(Capacity_Resource,$D126,'Critical resources (hide)'!BO$6:BO$105)+SUMIF(Capacity_Resource,$E126,'Critical resources (hide)'!BO$6:BO$105)+SUMIF(Capacity_Resource,$F126,'Critical resources (hide)'!BO$6:BO$105)&gt;0,$E$1=2),0,1),0)</f>
        <v>1</v>
      </c>
      <c r="BC126" s="67">
        <f ca="1">IF(LOWER(Capacity!$V31)="x",IF(AND(SUMIF(Capacity_Resource,$D126,'Critical resources (hide)'!BP$6:BP$105)+SUMIF(Capacity_Resource,$E126,'Critical resources (hide)'!BP$6:BP$105)+SUMIF(Capacity_Resource,$F126,'Critical resources (hide)'!BP$6:BP$105)&gt;0,$E$1=2),0,1),0)</f>
        <v>1</v>
      </c>
      <c r="BD126" s="67">
        <f ca="1">IF(LOWER(Capacity!$V31)="x",IF(AND(SUMIF(Capacity_Resource,$D126,'Critical resources (hide)'!BQ$6:BQ$105)+SUMIF(Capacity_Resource,$E126,'Critical resources (hide)'!BQ$6:BQ$105)+SUMIF(Capacity_Resource,$F126,'Critical resources (hide)'!BQ$6:BQ$105)&gt;0,$E$1=2),0,1),0)</f>
        <v>1</v>
      </c>
      <c r="BE126" s="67">
        <f ca="1">IF(LOWER(Capacity!$V31)="x",IF(AND(SUMIF(Capacity_Resource,$D126,'Critical resources (hide)'!BR$6:BR$105)+SUMIF(Capacity_Resource,$E126,'Critical resources (hide)'!BR$6:BR$105)+SUMIF(Capacity_Resource,$F126,'Critical resources (hide)'!BR$6:BR$105)&gt;0,$E$1=2),0,1),0)</f>
        <v>1</v>
      </c>
      <c r="BF126" s="67">
        <f ca="1">IF(LOWER(Capacity!$V31)="x",IF(AND(SUMIF(Capacity_Resource,$D126,'Critical resources (hide)'!BS$6:BS$105)+SUMIF(Capacity_Resource,$E126,'Critical resources (hide)'!BS$6:BS$105)+SUMIF(Capacity_Resource,$F126,'Critical resources (hide)'!BS$6:BS$105)&gt;0,$E$1=2),0,1),0)</f>
        <v>1</v>
      </c>
      <c r="BG126" s="67">
        <f ca="1">IF(LOWER(Capacity!$V31)="x",IF(AND(SUMIF(Capacity_Resource,$D126,'Critical resources (hide)'!BT$6:BT$105)+SUMIF(Capacity_Resource,$E126,'Critical resources (hide)'!BT$6:BT$105)+SUMIF(Capacity_Resource,$F126,'Critical resources (hide)'!BT$6:BT$105)&gt;0,$E$1=2),0,1),0)</f>
        <v>1</v>
      </c>
      <c r="BH126" s="67">
        <f>IF(ROW(A15)&lt;=Capacity!$M$16,IF('Capacity summary'!$C$14="No",SUM(H126:BG126),'Capacity summary'!$E38),0)</f>
        <v>0</v>
      </c>
      <c r="BI126" s="67" t="str">
        <f>IF(BH126&gt;0,IF(BH126&lt;Capacity!Q31,Capacity!R31,Capacity!T31/'Capacity calculation (hide)'!BH126),"")</f>
        <v/>
      </c>
      <c r="BJ126" s="5"/>
      <c r="BK126" s="5">
        <f>IF($BI126&lt;&gt;"",IF('Capacity summary'!$C$14="Yes",IF(COUNTBLANK('Capacity summary'!$H38:$BG38)&lt;52,IF('Capacity summary'!H38&lt;&gt;"",IF(LOWER('Capacity summary'!H38)="x",$BI126*H126,VALUE('Capacity summary'!H38)),0),H126*$BI126),H126*$BI126),0)</f>
        <v>0</v>
      </c>
      <c r="BL126" s="5">
        <f>IF($BI126&lt;&gt;"",IF('Capacity summary'!$C$14="Yes",IF(COUNTBLANK('Capacity summary'!$H38:$BG38)&lt;52,IF('Capacity summary'!I38&lt;&gt;"",IF(LOWER('Capacity summary'!I38)="x",$BI126*I126,VALUE('Capacity summary'!I38)),0),I126*$BI126),I126*$BI126),0)</f>
        <v>0</v>
      </c>
      <c r="BM126" s="5">
        <f>IF($BI126&lt;&gt;"",IF('Capacity summary'!$C$14="Yes",IF(COUNTBLANK('Capacity summary'!$H38:$BG38)&lt;52,IF('Capacity summary'!J38&lt;&gt;"",IF(LOWER('Capacity summary'!J38)="x",$BI126*J126,VALUE('Capacity summary'!J38)),0),J126*$BI126),J126*$BI126),0)</f>
        <v>0</v>
      </c>
      <c r="BN126" s="5">
        <f>IF($BI126&lt;&gt;"",IF('Capacity summary'!$C$14="Yes",IF(COUNTBLANK('Capacity summary'!$H38:$BG38)&lt;52,IF('Capacity summary'!K38&lt;&gt;"",IF(LOWER('Capacity summary'!K38)="x",$BI126*K126,VALUE('Capacity summary'!K38)),0),K126*$BI126),K126*$BI126),0)</f>
        <v>0</v>
      </c>
      <c r="BO126" s="5">
        <f>IF($BI126&lt;&gt;"",IF('Capacity summary'!$C$14="Yes",IF(COUNTBLANK('Capacity summary'!$H38:$BG38)&lt;52,IF('Capacity summary'!L38&lt;&gt;"",IF(LOWER('Capacity summary'!L38)="x",$BI126*L126,VALUE('Capacity summary'!L38)),0),L126*$BI126),L126*$BI126),0)</f>
        <v>0</v>
      </c>
      <c r="BP126" s="5">
        <f>IF($BI126&lt;&gt;"",IF('Capacity summary'!$C$14="Yes",IF(COUNTBLANK('Capacity summary'!$H38:$BG38)&lt;52,IF('Capacity summary'!M38&lt;&gt;"",IF(LOWER('Capacity summary'!M38)="x",$BI126*M126,VALUE('Capacity summary'!M38)),0),M126*$BI126),M126*$BI126),0)</f>
        <v>0</v>
      </c>
      <c r="BQ126" s="5">
        <f>IF($BI126&lt;&gt;"",IF('Capacity summary'!$C$14="Yes",IF(COUNTBLANK('Capacity summary'!$H38:$BG38)&lt;52,IF('Capacity summary'!N38&lt;&gt;"",IF(LOWER('Capacity summary'!N38)="x",$BI126*N126,VALUE('Capacity summary'!N38)),0),N126*$BI126),N126*$BI126),0)</f>
        <v>0</v>
      </c>
      <c r="BR126" s="5">
        <f>IF($BI126&lt;&gt;"",IF('Capacity summary'!$C$14="Yes",IF(COUNTBLANK('Capacity summary'!$H38:$BG38)&lt;52,IF('Capacity summary'!O38&lt;&gt;"",IF(LOWER('Capacity summary'!O38)="x",$BI126*O126,VALUE('Capacity summary'!O38)),0),O126*$BI126),O126*$BI126),0)</f>
        <v>0</v>
      </c>
      <c r="BS126" s="5">
        <f>IF($BI126&lt;&gt;"",IF('Capacity summary'!$C$14="Yes",IF(COUNTBLANK('Capacity summary'!$H38:$BG38)&lt;52,IF('Capacity summary'!P38&lt;&gt;"",IF(LOWER('Capacity summary'!P38)="x",$BI126*P126,VALUE('Capacity summary'!P38)),0),P126*$BI126),P126*$BI126),0)</f>
        <v>0</v>
      </c>
      <c r="BT126" s="5">
        <f>IF($BI126&lt;&gt;"",IF('Capacity summary'!$C$14="Yes",IF(COUNTBLANK('Capacity summary'!$H38:$BG38)&lt;52,IF('Capacity summary'!Q38&lt;&gt;"",IF(LOWER('Capacity summary'!Q38)="x",$BI126*Q126,VALUE('Capacity summary'!Q38)),0),Q126*$BI126),Q126*$BI126),0)</f>
        <v>0</v>
      </c>
      <c r="BU126" s="5">
        <f>IF($BI126&lt;&gt;"",IF('Capacity summary'!$C$14="Yes",IF(COUNTBLANK('Capacity summary'!$H38:$BG38)&lt;52,IF('Capacity summary'!R38&lt;&gt;"",IF(LOWER('Capacity summary'!R38)="x",$BI126*R126,VALUE('Capacity summary'!R38)),0),R126*$BI126),R126*$BI126),0)</f>
        <v>0</v>
      </c>
      <c r="BV126" s="5">
        <f>IF($BI126&lt;&gt;"",IF('Capacity summary'!$C$14="Yes",IF(COUNTBLANK('Capacity summary'!$H38:$BG38)&lt;52,IF('Capacity summary'!S38&lt;&gt;"",IF(LOWER('Capacity summary'!S38)="x",$BI126*S126,VALUE('Capacity summary'!S38)),0),S126*$BI126),S126*$BI126),0)</f>
        <v>0</v>
      </c>
      <c r="BW126" s="5">
        <f>IF($BI126&lt;&gt;"",IF('Capacity summary'!$C$14="Yes",IF(COUNTBLANK('Capacity summary'!$H38:$BG38)&lt;52,IF('Capacity summary'!T38&lt;&gt;"",IF(LOWER('Capacity summary'!T38)="x",$BI126*T126,VALUE('Capacity summary'!T38)),0),T126*$BI126),T126*$BI126),0)</f>
        <v>0</v>
      </c>
      <c r="BX126" s="5">
        <f>IF($BI126&lt;&gt;"",IF('Capacity summary'!$C$14="Yes",IF(COUNTBLANK('Capacity summary'!$H38:$BG38)&lt;52,IF('Capacity summary'!U38&lt;&gt;"",IF(LOWER('Capacity summary'!U38)="x",$BI126*U126,VALUE('Capacity summary'!U38)),0),U126*$BI126),U126*$BI126),0)</f>
        <v>0</v>
      </c>
      <c r="BY126" s="5">
        <f>IF($BI126&lt;&gt;"",IF('Capacity summary'!$C$14="Yes",IF(COUNTBLANK('Capacity summary'!$H38:$BG38)&lt;52,IF('Capacity summary'!V38&lt;&gt;"",IF(LOWER('Capacity summary'!V38)="x",$BI126*V126,VALUE('Capacity summary'!V38)),0),V126*$BI126),V126*$BI126),0)</f>
        <v>0</v>
      </c>
      <c r="BZ126" s="5">
        <f>IF($BI126&lt;&gt;"",IF('Capacity summary'!$C$14="Yes",IF(COUNTBLANK('Capacity summary'!$H38:$BG38)&lt;52,IF('Capacity summary'!W38&lt;&gt;"",IF(LOWER('Capacity summary'!W38)="x",$BI126*W126,VALUE('Capacity summary'!W38)),0),W126*$BI126),W126*$BI126),0)</f>
        <v>0</v>
      </c>
      <c r="CA126" s="5">
        <f>IF($BI126&lt;&gt;"",IF('Capacity summary'!$C$14="Yes",IF(COUNTBLANK('Capacity summary'!$H38:$BG38)&lt;52,IF('Capacity summary'!X38&lt;&gt;"",IF(LOWER('Capacity summary'!X38)="x",$BI126*X126,VALUE('Capacity summary'!X38)),0),X126*$BI126),X126*$BI126),0)</f>
        <v>0</v>
      </c>
      <c r="CB126" s="5">
        <f>IF($BI126&lt;&gt;"",IF('Capacity summary'!$C$14="Yes",IF(COUNTBLANK('Capacity summary'!$H38:$BG38)&lt;52,IF('Capacity summary'!Y38&lt;&gt;"",IF(LOWER('Capacity summary'!Y38)="x",$BI126*Y126,VALUE('Capacity summary'!Y38)),0),Y126*$BI126),Y126*$BI126),0)</f>
        <v>0</v>
      </c>
      <c r="CC126" s="5">
        <f>IF($BI126&lt;&gt;"",IF('Capacity summary'!$C$14="Yes",IF(COUNTBLANK('Capacity summary'!$H38:$BG38)&lt;52,IF('Capacity summary'!Z38&lt;&gt;"",IF(LOWER('Capacity summary'!Z38)="x",$BI126*Z126,VALUE('Capacity summary'!Z38)),0),Z126*$BI126),Z126*$BI126),0)</f>
        <v>0</v>
      </c>
      <c r="CD126" s="5">
        <f>IF($BI126&lt;&gt;"",IF('Capacity summary'!$C$14="Yes",IF(COUNTBLANK('Capacity summary'!$H38:$BG38)&lt;52,IF('Capacity summary'!AA38&lt;&gt;"",IF(LOWER('Capacity summary'!AA38)="x",$BI126*AA126,VALUE('Capacity summary'!AA38)),0),AA126*$BI126),AA126*$BI126),0)</f>
        <v>0</v>
      </c>
      <c r="CE126" s="5">
        <f>IF($BI126&lt;&gt;"",IF('Capacity summary'!$C$14="Yes",IF(COUNTBLANK('Capacity summary'!$H38:$BG38)&lt;52,IF('Capacity summary'!AB38&lt;&gt;"",IF(LOWER('Capacity summary'!AB38)="x",$BI126*AB126,VALUE('Capacity summary'!AB38)),0),AB126*$BI126),AB126*$BI126),0)</f>
        <v>0</v>
      </c>
      <c r="CF126" s="5">
        <f>IF($BI126&lt;&gt;"",IF('Capacity summary'!$C$14="Yes",IF(COUNTBLANK('Capacity summary'!$H38:$BG38)&lt;52,IF('Capacity summary'!AC38&lt;&gt;"",IF(LOWER('Capacity summary'!AC38)="x",$BI126*AC126,VALUE('Capacity summary'!AC38)),0),AC126*$BI126),AC126*$BI126),0)</f>
        <v>0</v>
      </c>
      <c r="CG126" s="5">
        <f>IF($BI126&lt;&gt;"",IF('Capacity summary'!$C$14="Yes",IF(COUNTBLANK('Capacity summary'!$H38:$BG38)&lt;52,IF('Capacity summary'!AD38&lt;&gt;"",IF(LOWER('Capacity summary'!AD38)="x",$BI126*AD126,VALUE('Capacity summary'!AD38)),0),AD126*$BI126),AD126*$BI126),0)</f>
        <v>0</v>
      </c>
      <c r="CH126" s="5">
        <f>IF($BI126&lt;&gt;"",IF('Capacity summary'!$C$14="Yes",IF(COUNTBLANK('Capacity summary'!$H38:$BG38)&lt;52,IF('Capacity summary'!AE38&lt;&gt;"",IF(LOWER('Capacity summary'!AE38)="x",$BI126*AE126,VALUE('Capacity summary'!AE38)),0),AE126*$BI126),AE126*$BI126),0)</f>
        <v>0</v>
      </c>
      <c r="CI126" s="5">
        <f>IF($BI126&lt;&gt;"",IF('Capacity summary'!$C$14="Yes",IF(COUNTBLANK('Capacity summary'!$H38:$BG38)&lt;52,IF('Capacity summary'!AF38&lt;&gt;"",IF(LOWER('Capacity summary'!AF38)="x",$BI126*AF126,VALUE('Capacity summary'!AF38)),0),AF126*$BI126),AF126*$BI126),0)</f>
        <v>0</v>
      </c>
      <c r="CJ126" s="5">
        <f>IF($BI126&lt;&gt;"",IF('Capacity summary'!$C$14="Yes",IF(COUNTBLANK('Capacity summary'!$H38:$BG38)&lt;52,IF('Capacity summary'!AG38&lt;&gt;"",IF(LOWER('Capacity summary'!AG38)="x",$BI126*AG126,VALUE('Capacity summary'!AG38)),0),AG126*$BI126),AG126*$BI126),0)</f>
        <v>0</v>
      </c>
      <c r="CK126" s="5">
        <f>IF($BI126&lt;&gt;"",IF('Capacity summary'!$C$14="Yes",IF(COUNTBLANK('Capacity summary'!$H38:$BG38)&lt;52,IF('Capacity summary'!AH38&lt;&gt;"",IF(LOWER('Capacity summary'!AH38)="x",$BI126*AH126,VALUE('Capacity summary'!AH38)),0),AH126*$BI126),AH126*$BI126),0)</f>
        <v>0</v>
      </c>
      <c r="CL126" s="5">
        <f>IF($BI126&lt;&gt;"",IF('Capacity summary'!$C$14="Yes",IF(COUNTBLANK('Capacity summary'!$H38:$BG38)&lt;52,IF('Capacity summary'!AI38&lt;&gt;"",IF(LOWER('Capacity summary'!AI38)="x",$BI126*AI126,VALUE('Capacity summary'!AI38)),0),AI126*$BI126),AI126*$BI126),0)</f>
        <v>0</v>
      </c>
      <c r="CM126" s="5">
        <f>IF($BI126&lt;&gt;"",IF('Capacity summary'!$C$14="Yes",IF(COUNTBLANK('Capacity summary'!$H38:$BG38)&lt;52,IF('Capacity summary'!AJ38&lt;&gt;"",IF(LOWER('Capacity summary'!AJ38)="x",$BI126*AJ126,VALUE('Capacity summary'!AJ38)),0),AJ126*$BI126),AJ126*$BI126),0)</f>
        <v>0</v>
      </c>
      <c r="CN126" s="5">
        <f>IF($BI126&lt;&gt;"",IF('Capacity summary'!$C$14="Yes",IF(COUNTBLANK('Capacity summary'!$H38:$BG38)&lt;52,IF('Capacity summary'!AK38&lt;&gt;"",IF(LOWER('Capacity summary'!AK38)="x",$BI126*AK126,VALUE('Capacity summary'!AK38)),0),AK126*$BI126),AK126*$BI126),0)</f>
        <v>0</v>
      </c>
      <c r="CO126" s="5">
        <f>IF($BI126&lt;&gt;"",IF('Capacity summary'!$C$14="Yes",IF(COUNTBLANK('Capacity summary'!$H38:$BG38)&lt;52,IF('Capacity summary'!AL38&lt;&gt;"",IF(LOWER('Capacity summary'!AL38)="x",$BI126*AL126,VALUE('Capacity summary'!AL38)),0),AL126*$BI126),AL126*$BI126),0)</f>
        <v>0</v>
      </c>
      <c r="CP126" s="5">
        <f>IF($BI126&lt;&gt;"",IF('Capacity summary'!$C$14="Yes",IF(COUNTBLANK('Capacity summary'!$H38:$BG38)&lt;52,IF('Capacity summary'!AM38&lt;&gt;"",IF(LOWER('Capacity summary'!AM38)="x",$BI126*AM126,VALUE('Capacity summary'!AM38)),0),AM126*$BI126),AM126*$BI126),0)</f>
        <v>0</v>
      </c>
      <c r="CQ126" s="5">
        <f>IF($BI126&lt;&gt;"",IF('Capacity summary'!$C$14="Yes",IF(COUNTBLANK('Capacity summary'!$H38:$BG38)&lt;52,IF('Capacity summary'!AN38&lt;&gt;"",IF(LOWER('Capacity summary'!AN38)="x",$BI126*AN126,VALUE('Capacity summary'!AN38)),0),AN126*$BI126),AN126*$BI126),0)</f>
        <v>0</v>
      </c>
      <c r="CR126" s="5">
        <f>IF($BI126&lt;&gt;"",IF('Capacity summary'!$C$14="Yes",IF(COUNTBLANK('Capacity summary'!$H38:$BG38)&lt;52,IF('Capacity summary'!AO38&lt;&gt;"",IF(LOWER('Capacity summary'!AO38)="x",$BI126*AO126,VALUE('Capacity summary'!AO38)),0),AO126*$BI126),AO126*$BI126),0)</f>
        <v>0</v>
      </c>
      <c r="CS126" s="5">
        <f>IF($BI126&lt;&gt;"",IF('Capacity summary'!$C$14="Yes",IF(COUNTBLANK('Capacity summary'!$H38:$BG38)&lt;52,IF('Capacity summary'!AP38&lt;&gt;"",IF(LOWER('Capacity summary'!AP38)="x",$BI126*AP126,VALUE('Capacity summary'!AP38)),0),AP126*$BI126),AP126*$BI126),0)</f>
        <v>0</v>
      </c>
      <c r="CT126" s="5">
        <f>IF($BI126&lt;&gt;"",IF('Capacity summary'!$C$14="Yes",IF(COUNTBLANK('Capacity summary'!$H38:$BG38)&lt;52,IF('Capacity summary'!AQ38&lt;&gt;"",IF(LOWER('Capacity summary'!AQ38)="x",$BI126*AQ126,VALUE('Capacity summary'!AQ38)),0),AQ126*$BI126),AQ126*$BI126),0)</f>
        <v>0</v>
      </c>
      <c r="CU126" s="5">
        <f>IF($BI126&lt;&gt;"",IF('Capacity summary'!$C$14="Yes",IF(COUNTBLANK('Capacity summary'!$H38:$BG38)&lt;52,IF('Capacity summary'!AR38&lt;&gt;"",IF(LOWER('Capacity summary'!AR38)="x",$BI126*AR126,VALUE('Capacity summary'!AR38)),0),AR126*$BI126),AR126*$BI126),0)</f>
        <v>0</v>
      </c>
      <c r="CV126" s="5">
        <f>IF($BI126&lt;&gt;"",IF('Capacity summary'!$C$14="Yes",IF(COUNTBLANK('Capacity summary'!$H38:$BG38)&lt;52,IF('Capacity summary'!AS38&lt;&gt;"",IF(LOWER('Capacity summary'!AS38)="x",$BI126*AS126,VALUE('Capacity summary'!AS38)),0),AS126*$BI126),AS126*$BI126),0)</f>
        <v>0</v>
      </c>
      <c r="CW126" s="5">
        <f>IF($BI126&lt;&gt;"",IF('Capacity summary'!$C$14="Yes",IF(COUNTBLANK('Capacity summary'!$H38:$BG38)&lt;52,IF('Capacity summary'!AT38&lt;&gt;"",IF(LOWER('Capacity summary'!AT38)="x",$BI126*AT126,VALUE('Capacity summary'!AT38)),0),AT126*$BI126),AT126*$BI126),0)</f>
        <v>0</v>
      </c>
      <c r="CX126" s="5">
        <f>IF($BI126&lt;&gt;"",IF('Capacity summary'!$C$14="Yes",IF(COUNTBLANK('Capacity summary'!$H38:$BG38)&lt;52,IF('Capacity summary'!AU38&lt;&gt;"",IF(LOWER('Capacity summary'!AU38)="x",$BI126*AU126,VALUE('Capacity summary'!AU38)),0),AU126*$BI126),AU126*$BI126),0)</f>
        <v>0</v>
      </c>
      <c r="CY126" s="5">
        <f>IF($BI126&lt;&gt;"",IF('Capacity summary'!$C$14="Yes",IF(COUNTBLANK('Capacity summary'!$H38:$BG38)&lt;52,IF('Capacity summary'!AV38&lt;&gt;"",IF(LOWER('Capacity summary'!AV38)="x",$BI126*AV126,VALUE('Capacity summary'!AV38)),0),AV126*$BI126),AV126*$BI126),0)</f>
        <v>0</v>
      </c>
      <c r="CZ126" s="5">
        <f>IF($BI126&lt;&gt;"",IF('Capacity summary'!$C$14="Yes",IF(COUNTBLANK('Capacity summary'!$H38:$BG38)&lt;52,IF('Capacity summary'!AW38&lt;&gt;"",IF(LOWER('Capacity summary'!AW38)="x",$BI126*AW126,VALUE('Capacity summary'!AW38)),0),AW126*$BI126),AW126*$BI126),0)</f>
        <v>0</v>
      </c>
      <c r="DA126" s="5">
        <f>IF($BI126&lt;&gt;"",IF('Capacity summary'!$C$14="Yes",IF(COUNTBLANK('Capacity summary'!$H38:$BG38)&lt;52,IF('Capacity summary'!AX38&lt;&gt;"",IF(LOWER('Capacity summary'!AX38)="x",$BI126*AX126,VALUE('Capacity summary'!AX38)),0),AX126*$BI126),AX126*$BI126),0)</f>
        <v>0</v>
      </c>
      <c r="DB126" s="5">
        <f>IF($BI126&lt;&gt;"",IF('Capacity summary'!$C$14="Yes",IF(COUNTBLANK('Capacity summary'!$H38:$BG38)&lt;52,IF('Capacity summary'!AY38&lt;&gt;"",IF(LOWER('Capacity summary'!AY38)="x",$BI126*AY126,VALUE('Capacity summary'!AY38)),0),AY126*$BI126),AY126*$BI126),0)</f>
        <v>0</v>
      </c>
      <c r="DC126" s="5">
        <f>IF($BI126&lt;&gt;"",IF('Capacity summary'!$C$14="Yes",IF(COUNTBLANK('Capacity summary'!$H38:$BG38)&lt;52,IF('Capacity summary'!AZ38&lt;&gt;"",IF(LOWER('Capacity summary'!AZ38)="x",$BI126*AZ126,VALUE('Capacity summary'!AZ38)),0),AZ126*$BI126),AZ126*$BI126),0)</f>
        <v>0</v>
      </c>
      <c r="DD126" s="5">
        <f>IF($BI126&lt;&gt;"",IF('Capacity summary'!$C$14="Yes",IF(COUNTBLANK('Capacity summary'!$H38:$BG38)&lt;52,IF('Capacity summary'!BA38&lt;&gt;"",IF(LOWER('Capacity summary'!BA38)="x",$BI126*BA126,VALUE('Capacity summary'!BA38)),0),BA126*$BI126),BA126*$BI126),0)</f>
        <v>0</v>
      </c>
      <c r="DE126" s="5">
        <f>IF($BI126&lt;&gt;"",IF('Capacity summary'!$C$14="Yes",IF(COUNTBLANK('Capacity summary'!$H38:$BG38)&lt;52,IF('Capacity summary'!BB38&lt;&gt;"",IF(LOWER('Capacity summary'!BB38)="x",$BI126*BB126,VALUE('Capacity summary'!BB38)),0),BB126*$BI126),BB126*$BI126),0)</f>
        <v>0</v>
      </c>
      <c r="DF126" s="5">
        <f>IF($BI126&lt;&gt;"",IF('Capacity summary'!$C$14="Yes",IF(COUNTBLANK('Capacity summary'!$H38:$BG38)&lt;52,IF('Capacity summary'!BC38&lt;&gt;"",IF(LOWER('Capacity summary'!BC38)="x",$BI126*BC126,VALUE('Capacity summary'!BC38)),0),BC126*$BI126),BC126*$BI126),0)</f>
        <v>0</v>
      </c>
      <c r="DG126" s="5">
        <f>IF($BI126&lt;&gt;"",IF('Capacity summary'!$C$14="Yes",IF(COUNTBLANK('Capacity summary'!$H38:$BG38)&lt;52,IF('Capacity summary'!BD38&lt;&gt;"",IF(LOWER('Capacity summary'!BD38)="x",$BI126*BD126,VALUE('Capacity summary'!BD38)),0),BD126*$BI126),BD126*$BI126),0)</f>
        <v>0</v>
      </c>
      <c r="DH126" s="5">
        <f>IF($BI126&lt;&gt;"",IF('Capacity summary'!$C$14="Yes",IF(COUNTBLANK('Capacity summary'!$H38:$BG38)&lt;52,IF('Capacity summary'!BE38&lt;&gt;"",IF(LOWER('Capacity summary'!BE38)="x",$BI126*BE126,VALUE('Capacity summary'!BE38)),0),BE126*$BI126),BE126*$BI126),0)</f>
        <v>0</v>
      </c>
      <c r="DI126" s="5">
        <f>IF($BI126&lt;&gt;"",IF('Capacity summary'!$C$14="Yes",IF(COUNTBLANK('Capacity summary'!$H38:$BG38)&lt;52,IF('Capacity summary'!BF38&lt;&gt;"",IF(LOWER('Capacity summary'!BF38)="x",$BI126*BF126,VALUE('Capacity summary'!BF38)),0),BF126*$BI126),BF126*$BI126),0)</f>
        <v>0</v>
      </c>
      <c r="DJ126" s="5">
        <f>IF($BI126&lt;&gt;"",IF('Capacity summary'!$C$14="Yes",IF(COUNTBLANK('Capacity summary'!$H38:$BG38)&lt;52,IF('Capacity summary'!BG38&lt;&gt;"",IF(LOWER('Capacity summary'!BG38)="x",$BI126*BG126,VALUE('Capacity summary'!BG38)),0),BG126*$BI126),BG126*$BI126),0)</f>
        <v>0</v>
      </c>
      <c r="DK126" s="391">
        <f t="shared" si="8"/>
        <v>0</v>
      </c>
      <c r="DL126" s="5">
        <f t="shared" si="9"/>
        <v>0</v>
      </c>
    </row>
    <row r="127" spans="3:116" x14ac:dyDescent="0.2">
      <c r="C127" s="67" t="str">
        <f>ROW(A16)&amp;". "&amp;Capacity!N32</f>
        <v xml:space="preserve">16. </v>
      </c>
      <c r="D127" s="67">
        <f>'Capacity setup'!C133</f>
        <v>0</v>
      </c>
      <c r="E127" s="67">
        <f>'Capacity setup'!D133</f>
        <v>0</v>
      </c>
      <c r="F127" s="67">
        <f>'Capacity setup'!E133</f>
        <v>0</v>
      </c>
      <c r="H127" s="67">
        <f ca="1">IF(LOWER(Capacity!$V32)="x",IF(AND(SUMIF(Capacity_Resource,$D127,'Critical resources (hide)'!U$6:U$105)+SUMIF(Capacity_Resource,$E127,'Critical resources (hide)'!U$6:U$105)+SUMIF(Capacity_Resource,$F127,'Critical resources (hide)'!U$6:U$105)&gt;0,$E$1=2),0,1),0)</f>
        <v>1</v>
      </c>
      <c r="I127" s="67">
        <f ca="1">IF(LOWER(Capacity!$V32)="x",IF(AND(SUMIF(Capacity_Resource,$D127,'Critical resources (hide)'!V$6:V$105)+SUMIF(Capacity_Resource,$E127,'Critical resources (hide)'!V$6:V$105)+SUMIF(Capacity_Resource,$F127,'Critical resources (hide)'!V$6:V$105)&gt;0,$E$1=2),0,1),0)</f>
        <v>1</v>
      </c>
      <c r="J127" s="67">
        <f ca="1">IF(LOWER(Capacity!$V32)="x",IF(AND(SUMIF(Capacity_Resource,$D127,'Critical resources (hide)'!W$6:W$105)+SUMIF(Capacity_Resource,$E127,'Critical resources (hide)'!W$6:W$105)+SUMIF(Capacity_Resource,$F127,'Critical resources (hide)'!W$6:W$105)&gt;0,$E$1=2),0,1),0)</f>
        <v>1</v>
      </c>
      <c r="K127" s="67">
        <f ca="1">IF(LOWER(Capacity!$V32)="x",IF(AND(SUMIF(Capacity_Resource,$D127,'Critical resources (hide)'!X$6:X$105)+SUMIF(Capacity_Resource,$E127,'Critical resources (hide)'!X$6:X$105)+SUMIF(Capacity_Resource,$F127,'Critical resources (hide)'!X$6:X$105)&gt;0,$E$1=2),0,1),0)</f>
        <v>1</v>
      </c>
      <c r="L127" s="67">
        <f ca="1">IF(LOWER(Capacity!$V32)="x",IF(AND(SUMIF(Capacity_Resource,$D127,'Critical resources (hide)'!Y$6:Y$105)+SUMIF(Capacity_Resource,$E127,'Critical resources (hide)'!Y$6:Y$105)+SUMIF(Capacity_Resource,$F127,'Critical resources (hide)'!Y$6:Y$105)&gt;0,$E$1=2),0,1),0)</f>
        <v>1</v>
      </c>
      <c r="M127" s="67">
        <f ca="1">IF(LOWER(Capacity!$V32)="x",IF(AND(SUMIF(Capacity_Resource,$D127,'Critical resources (hide)'!Z$6:Z$105)+SUMIF(Capacity_Resource,$E127,'Critical resources (hide)'!Z$6:Z$105)+SUMIF(Capacity_Resource,$F127,'Critical resources (hide)'!Z$6:Z$105)&gt;0,$E$1=2),0,1),0)</f>
        <v>1</v>
      </c>
      <c r="N127" s="67">
        <f ca="1">IF(LOWER(Capacity!$V32)="x",IF(AND(SUMIF(Capacity_Resource,$D127,'Critical resources (hide)'!AA$6:AA$105)+SUMIF(Capacity_Resource,$E127,'Critical resources (hide)'!AA$6:AA$105)+SUMIF(Capacity_Resource,$F127,'Critical resources (hide)'!AA$6:AA$105)&gt;0,$E$1=2),0,1),0)</f>
        <v>1</v>
      </c>
      <c r="O127" s="67">
        <f ca="1">IF(LOWER(Capacity!$V32)="x",IF(AND(SUMIF(Capacity_Resource,$D127,'Critical resources (hide)'!AB$6:AB$105)+SUMIF(Capacity_Resource,$E127,'Critical resources (hide)'!AB$6:AB$105)+SUMIF(Capacity_Resource,$F127,'Critical resources (hide)'!AB$6:AB$105)&gt;0,$E$1=2),0,1),0)</f>
        <v>1</v>
      </c>
      <c r="P127" s="67">
        <f ca="1">IF(LOWER(Capacity!$V32)="x",IF(AND(SUMIF(Capacity_Resource,$D127,'Critical resources (hide)'!AC$6:AC$105)+SUMIF(Capacity_Resource,$E127,'Critical resources (hide)'!AC$6:AC$105)+SUMIF(Capacity_Resource,$F127,'Critical resources (hide)'!AC$6:AC$105)&gt;0,$E$1=2),0,1),0)</f>
        <v>1</v>
      </c>
      <c r="Q127" s="67">
        <f ca="1">IF(LOWER(Capacity!$V32)="x",IF(AND(SUMIF(Capacity_Resource,$D127,'Critical resources (hide)'!AD$6:AD$105)+SUMIF(Capacity_Resource,$E127,'Critical resources (hide)'!AD$6:AD$105)+SUMIF(Capacity_Resource,$F127,'Critical resources (hide)'!AD$6:AD$105)&gt;0,$E$1=2),0,1),0)</f>
        <v>1</v>
      </c>
      <c r="R127" s="67">
        <f ca="1">IF(LOWER(Capacity!$V32)="x",IF(AND(SUMIF(Capacity_Resource,$D127,'Critical resources (hide)'!AE$6:AE$105)+SUMIF(Capacity_Resource,$E127,'Critical resources (hide)'!AE$6:AE$105)+SUMIF(Capacity_Resource,$F127,'Critical resources (hide)'!AE$6:AE$105)&gt;0,$E$1=2),0,1),0)</f>
        <v>1</v>
      </c>
      <c r="S127" s="67">
        <f ca="1">IF(LOWER(Capacity!$V32)="x",IF(AND(SUMIF(Capacity_Resource,$D127,'Critical resources (hide)'!AF$6:AF$105)+SUMIF(Capacity_Resource,$E127,'Critical resources (hide)'!AF$6:AF$105)+SUMIF(Capacity_Resource,$F127,'Critical resources (hide)'!AF$6:AF$105)&gt;0,$E$1=2),0,1),0)</f>
        <v>1</v>
      </c>
      <c r="T127" s="67">
        <f ca="1">IF(LOWER(Capacity!$V32)="x",IF(AND(SUMIF(Capacity_Resource,$D127,'Critical resources (hide)'!AG$6:AG$105)+SUMIF(Capacity_Resource,$E127,'Critical resources (hide)'!AG$6:AG$105)+SUMIF(Capacity_Resource,$F127,'Critical resources (hide)'!AG$6:AG$105)&gt;0,$E$1=2),0,1),0)</f>
        <v>1</v>
      </c>
      <c r="U127" s="67">
        <f ca="1">IF(LOWER(Capacity!$V32)="x",IF(AND(SUMIF(Capacity_Resource,$D127,'Critical resources (hide)'!AH$6:AH$105)+SUMIF(Capacity_Resource,$E127,'Critical resources (hide)'!AH$6:AH$105)+SUMIF(Capacity_Resource,$F127,'Critical resources (hide)'!AH$6:AH$105)&gt;0,$E$1=2),0,1),0)</f>
        <v>1</v>
      </c>
      <c r="V127" s="67">
        <f ca="1">IF(LOWER(Capacity!$V32)="x",IF(AND(SUMIF(Capacity_Resource,$D127,'Critical resources (hide)'!AI$6:AI$105)+SUMIF(Capacity_Resource,$E127,'Critical resources (hide)'!AI$6:AI$105)+SUMIF(Capacity_Resource,$F127,'Critical resources (hide)'!AI$6:AI$105)&gt;0,$E$1=2),0,1),0)</f>
        <v>1</v>
      </c>
      <c r="W127" s="67">
        <f ca="1">IF(LOWER(Capacity!$V32)="x",IF(AND(SUMIF(Capacity_Resource,$D127,'Critical resources (hide)'!AJ$6:AJ$105)+SUMIF(Capacity_Resource,$E127,'Critical resources (hide)'!AJ$6:AJ$105)+SUMIF(Capacity_Resource,$F127,'Critical resources (hide)'!AJ$6:AJ$105)&gt;0,$E$1=2),0,1),0)</f>
        <v>1</v>
      </c>
      <c r="X127" s="67">
        <f ca="1">IF(LOWER(Capacity!$V32)="x",IF(AND(SUMIF(Capacity_Resource,$D127,'Critical resources (hide)'!AK$6:AK$105)+SUMIF(Capacity_Resource,$E127,'Critical resources (hide)'!AK$6:AK$105)+SUMIF(Capacity_Resource,$F127,'Critical resources (hide)'!AK$6:AK$105)&gt;0,$E$1=2),0,1),0)</f>
        <v>1</v>
      </c>
      <c r="Y127" s="67">
        <f ca="1">IF(LOWER(Capacity!$V32)="x",IF(AND(SUMIF(Capacity_Resource,$D127,'Critical resources (hide)'!AL$6:AL$105)+SUMIF(Capacity_Resource,$E127,'Critical resources (hide)'!AL$6:AL$105)+SUMIF(Capacity_Resource,$F127,'Critical resources (hide)'!AL$6:AL$105)&gt;0,$E$1=2),0,1),0)</f>
        <v>1</v>
      </c>
      <c r="Z127" s="67">
        <f ca="1">IF(LOWER(Capacity!$V32)="x",IF(AND(SUMIF(Capacity_Resource,$D127,'Critical resources (hide)'!AM$6:AM$105)+SUMIF(Capacity_Resource,$E127,'Critical resources (hide)'!AM$6:AM$105)+SUMIF(Capacity_Resource,$F127,'Critical resources (hide)'!AM$6:AM$105)&gt;0,$E$1=2),0,1),0)</f>
        <v>1</v>
      </c>
      <c r="AA127" s="67">
        <f ca="1">IF(LOWER(Capacity!$V32)="x",IF(AND(SUMIF(Capacity_Resource,$D127,'Critical resources (hide)'!AN$6:AN$105)+SUMIF(Capacity_Resource,$E127,'Critical resources (hide)'!AN$6:AN$105)+SUMIF(Capacity_Resource,$F127,'Critical resources (hide)'!AN$6:AN$105)&gt;0,$E$1=2),0,1),0)</f>
        <v>1</v>
      </c>
      <c r="AB127" s="67">
        <f ca="1">IF(LOWER(Capacity!$V32)="x",IF(AND(SUMIF(Capacity_Resource,$D127,'Critical resources (hide)'!AO$6:AO$105)+SUMIF(Capacity_Resource,$E127,'Critical resources (hide)'!AO$6:AO$105)+SUMIF(Capacity_Resource,$F127,'Critical resources (hide)'!AO$6:AO$105)&gt;0,$E$1=2),0,1),0)</f>
        <v>1</v>
      </c>
      <c r="AC127" s="67">
        <f ca="1">IF(LOWER(Capacity!$V32)="x",IF(AND(SUMIF(Capacity_Resource,$D127,'Critical resources (hide)'!AP$6:AP$105)+SUMIF(Capacity_Resource,$E127,'Critical resources (hide)'!AP$6:AP$105)+SUMIF(Capacity_Resource,$F127,'Critical resources (hide)'!AP$6:AP$105)&gt;0,$E$1=2),0,1),0)</f>
        <v>1</v>
      </c>
      <c r="AD127" s="67">
        <f ca="1">IF(LOWER(Capacity!$V32)="x",IF(AND(SUMIF(Capacity_Resource,$D127,'Critical resources (hide)'!AQ$6:AQ$105)+SUMIF(Capacity_Resource,$E127,'Critical resources (hide)'!AQ$6:AQ$105)+SUMIF(Capacity_Resource,$F127,'Critical resources (hide)'!AQ$6:AQ$105)&gt;0,$E$1=2),0,1),0)</f>
        <v>1</v>
      </c>
      <c r="AE127" s="67">
        <f ca="1">IF(LOWER(Capacity!$V32)="x",IF(AND(SUMIF(Capacity_Resource,$D127,'Critical resources (hide)'!AR$6:AR$105)+SUMIF(Capacity_Resource,$E127,'Critical resources (hide)'!AR$6:AR$105)+SUMIF(Capacity_Resource,$F127,'Critical resources (hide)'!AR$6:AR$105)&gt;0,$E$1=2),0,1),0)</f>
        <v>1</v>
      </c>
      <c r="AF127" s="67">
        <f ca="1">IF(LOWER(Capacity!$V32)="x",IF(AND(SUMIF(Capacity_Resource,$D127,'Critical resources (hide)'!AS$6:AS$105)+SUMIF(Capacity_Resource,$E127,'Critical resources (hide)'!AS$6:AS$105)+SUMIF(Capacity_Resource,$F127,'Critical resources (hide)'!AS$6:AS$105)&gt;0,$E$1=2),0,1),0)</f>
        <v>1</v>
      </c>
      <c r="AG127" s="67">
        <f ca="1">IF(LOWER(Capacity!$V32)="x",IF(AND(SUMIF(Capacity_Resource,$D127,'Critical resources (hide)'!AT$6:AT$105)+SUMIF(Capacity_Resource,$E127,'Critical resources (hide)'!AT$6:AT$105)+SUMIF(Capacity_Resource,$F127,'Critical resources (hide)'!AT$6:AT$105)&gt;0,$E$1=2),0,1),0)</f>
        <v>1</v>
      </c>
      <c r="AH127" s="67">
        <f ca="1">IF(LOWER(Capacity!$V32)="x",IF(AND(SUMIF(Capacity_Resource,$D127,'Critical resources (hide)'!AU$6:AU$105)+SUMIF(Capacity_Resource,$E127,'Critical resources (hide)'!AU$6:AU$105)+SUMIF(Capacity_Resource,$F127,'Critical resources (hide)'!AU$6:AU$105)&gt;0,$E$1=2),0,1),0)</f>
        <v>1</v>
      </c>
      <c r="AI127" s="67">
        <f ca="1">IF(LOWER(Capacity!$V32)="x",IF(AND(SUMIF(Capacity_Resource,$D127,'Critical resources (hide)'!AV$6:AV$105)+SUMIF(Capacity_Resource,$E127,'Critical resources (hide)'!AV$6:AV$105)+SUMIF(Capacity_Resource,$F127,'Critical resources (hide)'!AV$6:AV$105)&gt;0,$E$1=2),0,1),0)</f>
        <v>1</v>
      </c>
      <c r="AJ127" s="67">
        <f ca="1">IF(LOWER(Capacity!$V32)="x",IF(AND(SUMIF(Capacity_Resource,$D127,'Critical resources (hide)'!AW$6:AW$105)+SUMIF(Capacity_Resource,$E127,'Critical resources (hide)'!AW$6:AW$105)+SUMIF(Capacity_Resource,$F127,'Critical resources (hide)'!AW$6:AW$105)&gt;0,$E$1=2),0,1),0)</f>
        <v>1</v>
      </c>
      <c r="AK127" s="67">
        <f ca="1">IF(LOWER(Capacity!$V32)="x",IF(AND(SUMIF(Capacity_Resource,$D127,'Critical resources (hide)'!AX$6:AX$105)+SUMIF(Capacity_Resource,$E127,'Critical resources (hide)'!AX$6:AX$105)+SUMIF(Capacity_Resource,$F127,'Critical resources (hide)'!AX$6:AX$105)&gt;0,$E$1=2),0,1),0)</f>
        <v>1</v>
      </c>
      <c r="AL127" s="67">
        <f ca="1">IF(LOWER(Capacity!$V32)="x",IF(AND(SUMIF(Capacity_Resource,$D127,'Critical resources (hide)'!AY$6:AY$105)+SUMIF(Capacity_Resource,$E127,'Critical resources (hide)'!AY$6:AY$105)+SUMIF(Capacity_Resource,$F127,'Critical resources (hide)'!AY$6:AY$105)&gt;0,$E$1=2),0,1),0)</f>
        <v>1</v>
      </c>
      <c r="AM127" s="67">
        <f ca="1">IF(LOWER(Capacity!$V32)="x",IF(AND(SUMIF(Capacity_Resource,$D127,'Critical resources (hide)'!AZ$6:AZ$105)+SUMIF(Capacity_Resource,$E127,'Critical resources (hide)'!AZ$6:AZ$105)+SUMIF(Capacity_Resource,$F127,'Critical resources (hide)'!AZ$6:AZ$105)&gt;0,$E$1=2),0,1),0)</f>
        <v>1</v>
      </c>
      <c r="AN127" s="67">
        <f ca="1">IF(LOWER(Capacity!$V32)="x",IF(AND(SUMIF(Capacity_Resource,$D127,'Critical resources (hide)'!BA$6:BA$105)+SUMIF(Capacity_Resource,$E127,'Critical resources (hide)'!BA$6:BA$105)+SUMIF(Capacity_Resource,$F127,'Critical resources (hide)'!BA$6:BA$105)&gt;0,$E$1=2),0,1),0)</f>
        <v>1</v>
      </c>
      <c r="AO127" s="67">
        <f ca="1">IF(LOWER(Capacity!$V32)="x",IF(AND(SUMIF(Capacity_Resource,$D127,'Critical resources (hide)'!BB$6:BB$105)+SUMIF(Capacity_Resource,$E127,'Critical resources (hide)'!BB$6:BB$105)+SUMIF(Capacity_Resource,$F127,'Critical resources (hide)'!BB$6:BB$105)&gt;0,$E$1=2),0,1),0)</f>
        <v>1</v>
      </c>
      <c r="AP127" s="67">
        <f ca="1">IF(LOWER(Capacity!$V32)="x",IF(AND(SUMIF(Capacity_Resource,$D127,'Critical resources (hide)'!BC$6:BC$105)+SUMIF(Capacity_Resource,$E127,'Critical resources (hide)'!BC$6:BC$105)+SUMIF(Capacity_Resource,$F127,'Critical resources (hide)'!BC$6:BC$105)&gt;0,$E$1=2),0,1),0)</f>
        <v>1</v>
      </c>
      <c r="AQ127" s="67">
        <f ca="1">IF(LOWER(Capacity!$V32)="x",IF(AND(SUMIF(Capacity_Resource,$D127,'Critical resources (hide)'!BD$6:BD$105)+SUMIF(Capacity_Resource,$E127,'Critical resources (hide)'!BD$6:BD$105)+SUMIF(Capacity_Resource,$F127,'Critical resources (hide)'!BD$6:BD$105)&gt;0,$E$1=2),0,1),0)</f>
        <v>1</v>
      </c>
      <c r="AR127" s="67">
        <f ca="1">IF(LOWER(Capacity!$V32)="x",IF(AND(SUMIF(Capacity_Resource,$D127,'Critical resources (hide)'!BE$6:BE$105)+SUMIF(Capacity_Resource,$E127,'Critical resources (hide)'!BE$6:BE$105)+SUMIF(Capacity_Resource,$F127,'Critical resources (hide)'!BE$6:BE$105)&gt;0,$E$1=2),0,1),0)</f>
        <v>1</v>
      </c>
      <c r="AS127" s="67">
        <f ca="1">IF(LOWER(Capacity!$V32)="x",IF(AND(SUMIF(Capacity_Resource,$D127,'Critical resources (hide)'!BF$6:BF$105)+SUMIF(Capacity_Resource,$E127,'Critical resources (hide)'!BF$6:BF$105)+SUMIF(Capacity_Resource,$F127,'Critical resources (hide)'!BF$6:BF$105)&gt;0,$E$1=2),0,1),0)</f>
        <v>1</v>
      </c>
      <c r="AT127" s="67">
        <f ca="1">IF(LOWER(Capacity!$V32)="x",IF(AND(SUMIF(Capacity_Resource,$D127,'Critical resources (hide)'!BG$6:BG$105)+SUMIF(Capacity_Resource,$E127,'Critical resources (hide)'!BG$6:BG$105)+SUMIF(Capacity_Resource,$F127,'Critical resources (hide)'!BG$6:BG$105)&gt;0,$E$1=2),0,1),0)</f>
        <v>1</v>
      </c>
      <c r="AU127" s="67">
        <f ca="1">IF(LOWER(Capacity!$V32)="x",IF(AND(SUMIF(Capacity_Resource,$D127,'Critical resources (hide)'!BH$6:BH$105)+SUMIF(Capacity_Resource,$E127,'Critical resources (hide)'!BH$6:BH$105)+SUMIF(Capacity_Resource,$F127,'Critical resources (hide)'!BH$6:BH$105)&gt;0,$E$1=2),0,1),0)</f>
        <v>1</v>
      </c>
      <c r="AV127" s="67">
        <f ca="1">IF(LOWER(Capacity!$V32)="x",IF(AND(SUMIF(Capacity_Resource,$D127,'Critical resources (hide)'!BI$6:BI$105)+SUMIF(Capacity_Resource,$E127,'Critical resources (hide)'!BI$6:BI$105)+SUMIF(Capacity_Resource,$F127,'Critical resources (hide)'!BI$6:BI$105)&gt;0,$E$1=2),0,1),0)</f>
        <v>1</v>
      </c>
      <c r="AW127" s="67">
        <f ca="1">IF(LOWER(Capacity!$V32)="x",IF(AND(SUMIF(Capacity_Resource,$D127,'Critical resources (hide)'!BJ$6:BJ$105)+SUMIF(Capacity_Resource,$E127,'Critical resources (hide)'!BJ$6:BJ$105)+SUMIF(Capacity_Resource,$F127,'Critical resources (hide)'!BJ$6:BJ$105)&gt;0,$E$1=2),0,1),0)</f>
        <v>1</v>
      </c>
      <c r="AX127" s="67">
        <f ca="1">IF(LOWER(Capacity!$V32)="x",IF(AND(SUMIF(Capacity_Resource,$D127,'Critical resources (hide)'!BK$6:BK$105)+SUMIF(Capacity_Resource,$E127,'Critical resources (hide)'!BK$6:BK$105)+SUMIF(Capacity_Resource,$F127,'Critical resources (hide)'!BK$6:BK$105)&gt;0,$E$1=2),0,1),0)</f>
        <v>1</v>
      </c>
      <c r="AY127" s="67">
        <f ca="1">IF(LOWER(Capacity!$V32)="x",IF(AND(SUMIF(Capacity_Resource,$D127,'Critical resources (hide)'!BL$6:BL$105)+SUMIF(Capacity_Resource,$E127,'Critical resources (hide)'!BL$6:BL$105)+SUMIF(Capacity_Resource,$F127,'Critical resources (hide)'!BL$6:BL$105)&gt;0,$E$1=2),0,1),0)</f>
        <v>1</v>
      </c>
      <c r="AZ127" s="67">
        <f ca="1">IF(LOWER(Capacity!$V32)="x",IF(AND(SUMIF(Capacity_Resource,$D127,'Critical resources (hide)'!BM$6:BM$105)+SUMIF(Capacity_Resource,$E127,'Critical resources (hide)'!BM$6:BM$105)+SUMIF(Capacity_Resource,$F127,'Critical resources (hide)'!BM$6:BM$105)&gt;0,$E$1=2),0,1),0)</f>
        <v>1</v>
      </c>
      <c r="BA127" s="67">
        <f ca="1">IF(LOWER(Capacity!$V32)="x",IF(AND(SUMIF(Capacity_Resource,$D127,'Critical resources (hide)'!BN$6:BN$105)+SUMIF(Capacity_Resource,$E127,'Critical resources (hide)'!BN$6:BN$105)+SUMIF(Capacity_Resource,$F127,'Critical resources (hide)'!BN$6:BN$105)&gt;0,$E$1=2),0,1),0)</f>
        <v>1</v>
      </c>
      <c r="BB127" s="67">
        <f ca="1">IF(LOWER(Capacity!$V32)="x",IF(AND(SUMIF(Capacity_Resource,$D127,'Critical resources (hide)'!BO$6:BO$105)+SUMIF(Capacity_Resource,$E127,'Critical resources (hide)'!BO$6:BO$105)+SUMIF(Capacity_Resource,$F127,'Critical resources (hide)'!BO$6:BO$105)&gt;0,$E$1=2),0,1),0)</f>
        <v>1</v>
      </c>
      <c r="BC127" s="67">
        <f ca="1">IF(LOWER(Capacity!$V32)="x",IF(AND(SUMIF(Capacity_Resource,$D127,'Critical resources (hide)'!BP$6:BP$105)+SUMIF(Capacity_Resource,$E127,'Critical resources (hide)'!BP$6:BP$105)+SUMIF(Capacity_Resource,$F127,'Critical resources (hide)'!BP$6:BP$105)&gt;0,$E$1=2),0,1),0)</f>
        <v>1</v>
      </c>
      <c r="BD127" s="67">
        <f ca="1">IF(LOWER(Capacity!$V32)="x",IF(AND(SUMIF(Capacity_Resource,$D127,'Critical resources (hide)'!BQ$6:BQ$105)+SUMIF(Capacity_Resource,$E127,'Critical resources (hide)'!BQ$6:BQ$105)+SUMIF(Capacity_Resource,$F127,'Critical resources (hide)'!BQ$6:BQ$105)&gt;0,$E$1=2),0,1),0)</f>
        <v>1</v>
      </c>
      <c r="BE127" s="67">
        <f ca="1">IF(LOWER(Capacity!$V32)="x",IF(AND(SUMIF(Capacity_Resource,$D127,'Critical resources (hide)'!BR$6:BR$105)+SUMIF(Capacity_Resource,$E127,'Critical resources (hide)'!BR$6:BR$105)+SUMIF(Capacity_Resource,$F127,'Critical resources (hide)'!BR$6:BR$105)&gt;0,$E$1=2),0,1),0)</f>
        <v>1</v>
      </c>
      <c r="BF127" s="67">
        <f ca="1">IF(LOWER(Capacity!$V32)="x",IF(AND(SUMIF(Capacity_Resource,$D127,'Critical resources (hide)'!BS$6:BS$105)+SUMIF(Capacity_Resource,$E127,'Critical resources (hide)'!BS$6:BS$105)+SUMIF(Capacity_Resource,$F127,'Critical resources (hide)'!BS$6:BS$105)&gt;0,$E$1=2),0,1),0)</f>
        <v>1</v>
      </c>
      <c r="BG127" s="67">
        <f ca="1">IF(LOWER(Capacity!$V32)="x",IF(AND(SUMIF(Capacity_Resource,$D127,'Critical resources (hide)'!BT$6:BT$105)+SUMIF(Capacity_Resource,$E127,'Critical resources (hide)'!BT$6:BT$105)+SUMIF(Capacity_Resource,$F127,'Critical resources (hide)'!BT$6:BT$105)&gt;0,$E$1=2),0,1),0)</f>
        <v>1</v>
      </c>
      <c r="BH127" s="67">
        <f>IF(ROW(A16)&lt;=Capacity!$M$16,IF('Capacity summary'!$C$14="No",SUM(H127:BG127),'Capacity summary'!$E39),0)</f>
        <v>0</v>
      </c>
      <c r="BI127" s="67" t="str">
        <f>IF(BH127&gt;0,IF(BH127&lt;Capacity!Q32,Capacity!R32,Capacity!T32/'Capacity calculation (hide)'!BH127),"")</f>
        <v/>
      </c>
      <c r="BJ127" s="5"/>
      <c r="BK127" s="5">
        <f>IF($BI127&lt;&gt;"",IF('Capacity summary'!$C$14="Yes",IF(COUNTBLANK('Capacity summary'!$H39:$BG39)&lt;52,IF('Capacity summary'!H39&lt;&gt;"",IF(LOWER('Capacity summary'!H39)="x",$BI127*H127,VALUE('Capacity summary'!H39)),0),H127*$BI127),H127*$BI127),0)</f>
        <v>0</v>
      </c>
      <c r="BL127" s="5">
        <f>IF($BI127&lt;&gt;"",IF('Capacity summary'!$C$14="Yes",IF(COUNTBLANK('Capacity summary'!$H39:$BG39)&lt;52,IF('Capacity summary'!I39&lt;&gt;"",IF(LOWER('Capacity summary'!I39)="x",$BI127*I127,VALUE('Capacity summary'!I39)),0),I127*$BI127),I127*$BI127),0)</f>
        <v>0</v>
      </c>
      <c r="BM127" s="5">
        <f>IF($BI127&lt;&gt;"",IF('Capacity summary'!$C$14="Yes",IF(COUNTBLANK('Capacity summary'!$H39:$BG39)&lt;52,IF('Capacity summary'!J39&lt;&gt;"",IF(LOWER('Capacity summary'!J39)="x",$BI127*J127,VALUE('Capacity summary'!J39)),0),J127*$BI127),J127*$BI127),0)</f>
        <v>0</v>
      </c>
      <c r="BN127" s="5">
        <f>IF($BI127&lt;&gt;"",IF('Capacity summary'!$C$14="Yes",IF(COUNTBLANK('Capacity summary'!$H39:$BG39)&lt;52,IF('Capacity summary'!K39&lt;&gt;"",IF(LOWER('Capacity summary'!K39)="x",$BI127*K127,VALUE('Capacity summary'!K39)),0),K127*$BI127),K127*$BI127),0)</f>
        <v>0</v>
      </c>
      <c r="BO127" s="5">
        <f>IF($BI127&lt;&gt;"",IF('Capacity summary'!$C$14="Yes",IF(COUNTBLANK('Capacity summary'!$H39:$BG39)&lt;52,IF('Capacity summary'!L39&lt;&gt;"",IF(LOWER('Capacity summary'!L39)="x",$BI127*L127,VALUE('Capacity summary'!L39)),0),L127*$BI127),L127*$BI127),0)</f>
        <v>0</v>
      </c>
      <c r="BP127" s="5">
        <f>IF($BI127&lt;&gt;"",IF('Capacity summary'!$C$14="Yes",IF(COUNTBLANK('Capacity summary'!$H39:$BG39)&lt;52,IF('Capacity summary'!M39&lt;&gt;"",IF(LOWER('Capacity summary'!M39)="x",$BI127*M127,VALUE('Capacity summary'!M39)),0),M127*$BI127),M127*$BI127),0)</f>
        <v>0</v>
      </c>
      <c r="BQ127" s="5">
        <f>IF($BI127&lt;&gt;"",IF('Capacity summary'!$C$14="Yes",IF(COUNTBLANK('Capacity summary'!$H39:$BG39)&lt;52,IF('Capacity summary'!N39&lt;&gt;"",IF(LOWER('Capacity summary'!N39)="x",$BI127*N127,VALUE('Capacity summary'!N39)),0),N127*$BI127),N127*$BI127),0)</f>
        <v>0</v>
      </c>
      <c r="BR127" s="5">
        <f>IF($BI127&lt;&gt;"",IF('Capacity summary'!$C$14="Yes",IF(COUNTBLANK('Capacity summary'!$H39:$BG39)&lt;52,IF('Capacity summary'!O39&lt;&gt;"",IF(LOWER('Capacity summary'!O39)="x",$BI127*O127,VALUE('Capacity summary'!O39)),0),O127*$BI127),O127*$BI127),0)</f>
        <v>0</v>
      </c>
      <c r="BS127" s="5">
        <f>IF($BI127&lt;&gt;"",IF('Capacity summary'!$C$14="Yes",IF(COUNTBLANK('Capacity summary'!$H39:$BG39)&lt;52,IF('Capacity summary'!P39&lt;&gt;"",IF(LOWER('Capacity summary'!P39)="x",$BI127*P127,VALUE('Capacity summary'!P39)),0),P127*$BI127),P127*$BI127),0)</f>
        <v>0</v>
      </c>
      <c r="BT127" s="5">
        <f>IF($BI127&lt;&gt;"",IF('Capacity summary'!$C$14="Yes",IF(COUNTBLANK('Capacity summary'!$H39:$BG39)&lt;52,IF('Capacity summary'!Q39&lt;&gt;"",IF(LOWER('Capacity summary'!Q39)="x",$BI127*Q127,VALUE('Capacity summary'!Q39)),0),Q127*$BI127),Q127*$BI127),0)</f>
        <v>0</v>
      </c>
      <c r="BU127" s="5">
        <f>IF($BI127&lt;&gt;"",IF('Capacity summary'!$C$14="Yes",IF(COUNTBLANK('Capacity summary'!$H39:$BG39)&lt;52,IF('Capacity summary'!R39&lt;&gt;"",IF(LOWER('Capacity summary'!R39)="x",$BI127*R127,VALUE('Capacity summary'!R39)),0),R127*$BI127),R127*$BI127),0)</f>
        <v>0</v>
      </c>
      <c r="BV127" s="5">
        <f>IF($BI127&lt;&gt;"",IF('Capacity summary'!$C$14="Yes",IF(COUNTBLANK('Capacity summary'!$H39:$BG39)&lt;52,IF('Capacity summary'!S39&lt;&gt;"",IF(LOWER('Capacity summary'!S39)="x",$BI127*S127,VALUE('Capacity summary'!S39)),0),S127*$BI127),S127*$BI127),0)</f>
        <v>0</v>
      </c>
      <c r="BW127" s="5">
        <f>IF($BI127&lt;&gt;"",IF('Capacity summary'!$C$14="Yes",IF(COUNTBLANK('Capacity summary'!$H39:$BG39)&lt;52,IF('Capacity summary'!T39&lt;&gt;"",IF(LOWER('Capacity summary'!T39)="x",$BI127*T127,VALUE('Capacity summary'!T39)),0),T127*$BI127),T127*$BI127),0)</f>
        <v>0</v>
      </c>
      <c r="BX127" s="5">
        <f>IF($BI127&lt;&gt;"",IF('Capacity summary'!$C$14="Yes",IF(COUNTBLANK('Capacity summary'!$H39:$BG39)&lt;52,IF('Capacity summary'!U39&lt;&gt;"",IF(LOWER('Capacity summary'!U39)="x",$BI127*U127,VALUE('Capacity summary'!U39)),0),U127*$BI127),U127*$BI127),0)</f>
        <v>0</v>
      </c>
      <c r="BY127" s="5">
        <f>IF($BI127&lt;&gt;"",IF('Capacity summary'!$C$14="Yes",IF(COUNTBLANK('Capacity summary'!$H39:$BG39)&lt;52,IF('Capacity summary'!V39&lt;&gt;"",IF(LOWER('Capacity summary'!V39)="x",$BI127*V127,VALUE('Capacity summary'!V39)),0),V127*$BI127),V127*$BI127),0)</f>
        <v>0</v>
      </c>
      <c r="BZ127" s="5">
        <f>IF($BI127&lt;&gt;"",IF('Capacity summary'!$C$14="Yes",IF(COUNTBLANK('Capacity summary'!$H39:$BG39)&lt;52,IF('Capacity summary'!W39&lt;&gt;"",IF(LOWER('Capacity summary'!W39)="x",$BI127*W127,VALUE('Capacity summary'!W39)),0),W127*$BI127),W127*$BI127),0)</f>
        <v>0</v>
      </c>
      <c r="CA127" s="5">
        <f>IF($BI127&lt;&gt;"",IF('Capacity summary'!$C$14="Yes",IF(COUNTBLANK('Capacity summary'!$H39:$BG39)&lt;52,IF('Capacity summary'!X39&lt;&gt;"",IF(LOWER('Capacity summary'!X39)="x",$BI127*X127,VALUE('Capacity summary'!X39)),0),X127*$BI127),X127*$BI127),0)</f>
        <v>0</v>
      </c>
      <c r="CB127" s="5">
        <f>IF($BI127&lt;&gt;"",IF('Capacity summary'!$C$14="Yes",IF(COUNTBLANK('Capacity summary'!$H39:$BG39)&lt;52,IF('Capacity summary'!Y39&lt;&gt;"",IF(LOWER('Capacity summary'!Y39)="x",$BI127*Y127,VALUE('Capacity summary'!Y39)),0),Y127*$BI127),Y127*$BI127),0)</f>
        <v>0</v>
      </c>
      <c r="CC127" s="5">
        <f>IF($BI127&lt;&gt;"",IF('Capacity summary'!$C$14="Yes",IF(COUNTBLANK('Capacity summary'!$H39:$BG39)&lt;52,IF('Capacity summary'!Z39&lt;&gt;"",IF(LOWER('Capacity summary'!Z39)="x",$BI127*Z127,VALUE('Capacity summary'!Z39)),0),Z127*$BI127),Z127*$BI127),0)</f>
        <v>0</v>
      </c>
      <c r="CD127" s="5">
        <f>IF($BI127&lt;&gt;"",IF('Capacity summary'!$C$14="Yes",IF(COUNTBLANK('Capacity summary'!$H39:$BG39)&lt;52,IF('Capacity summary'!AA39&lt;&gt;"",IF(LOWER('Capacity summary'!AA39)="x",$BI127*AA127,VALUE('Capacity summary'!AA39)),0),AA127*$BI127),AA127*$BI127),0)</f>
        <v>0</v>
      </c>
      <c r="CE127" s="5">
        <f>IF($BI127&lt;&gt;"",IF('Capacity summary'!$C$14="Yes",IF(COUNTBLANK('Capacity summary'!$H39:$BG39)&lt;52,IF('Capacity summary'!AB39&lt;&gt;"",IF(LOWER('Capacity summary'!AB39)="x",$BI127*AB127,VALUE('Capacity summary'!AB39)),0),AB127*$BI127),AB127*$BI127),0)</f>
        <v>0</v>
      </c>
      <c r="CF127" s="5">
        <f>IF($BI127&lt;&gt;"",IF('Capacity summary'!$C$14="Yes",IF(COUNTBLANK('Capacity summary'!$H39:$BG39)&lt;52,IF('Capacity summary'!AC39&lt;&gt;"",IF(LOWER('Capacity summary'!AC39)="x",$BI127*AC127,VALUE('Capacity summary'!AC39)),0),AC127*$BI127),AC127*$BI127),0)</f>
        <v>0</v>
      </c>
      <c r="CG127" s="5">
        <f>IF($BI127&lt;&gt;"",IF('Capacity summary'!$C$14="Yes",IF(COUNTBLANK('Capacity summary'!$H39:$BG39)&lt;52,IF('Capacity summary'!AD39&lt;&gt;"",IF(LOWER('Capacity summary'!AD39)="x",$BI127*AD127,VALUE('Capacity summary'!AD39)),0),AD127*$BI127),AD127*$BI127),0)</f>
        <v>0</v>
      </c>
      <c r="CH127" s="5">
        <f>IF($BI127&lt;&gt;"",IF('Capacity summary'!$C$14="Yes",IF(COUNTBLANK('Capacity summary'!$H39:$BG39)&lt;52,IF('Capacity summary'!AE39&lt;&gt;"",IF(LOWER('Capacity summary'!AE39)="x",$BI127*AE127,VALUE('Capacity summary'!AE39)),0),AE127*$BI127),AE127*$BI127),0)</f>
        <v>0</v>
      </c>
      <c r="CI127" s="5">
        <f>IF($BI127&lt;&gt;"",IF('Capacity summary'!$C$14="Yes",IF(COUNTBLANK('Capacity summary'!$H39:$BG39)&lt;52,IF('Capacity summary'!AF39&lt;&gt;"",IF(LOWER('Capacity summary'!AF39)="x",$BI127*AF127,VALUE('Capacity summary'!AF39)),0),AF127*$BI127),AF127*$BI127),0)</f>
        <v>0</v>
      </c>
      <c r="CJ127" s="5">
        <f>IF($BI127&lt;&gt;"",IF('Capacity summary'!$C$14="Yes",IF(COUNTBLANK('Capacity summary'!$H39:$BG39)&lt;52,IF('Capacity summary'!AG39&lt;&gt;"",IF(LOWER('Capacity summary'!AG39)="x",$BI127*AG127,VALUE('Capacity summary'!AG39)),0),AG127*$BI127),AG127*$BI127),0)</f>
        <v>0</v>
      </c>
      <c r="CK127" s="5">
        <f>IF($BI127&lt;&gt;"",IF('Capacity summary'!$C$14="Yes",IF(COUNTBLANK('Capacity summary'!$H39:$BG39)&lt;52,IF('Capacity summary'!AH39&lt;&gt;"",IF(LOWER('Capacity summary'!AH39)="x",$BI127*AH127,VALUE('Capacity summary'!AH39)),0),AH127*$BI127),AH127*$BI127),0)</f>
        <v>0</v>
      </c>
      <c r="CL127" s="5">
        <f>IF($BI127&lt;&gt;"",IF('Capacity summary'!$C$14="Yes",IF(COUNTBLANK('Capacity summary'!$H39:$BG39)&lt;52,IF('Capacity summary'!AI39&lt;&gt;"",IF(LOWER('Capacity summary'!AI39)="x",$BI127*AI127,VALUE('Capacity summary'!AI39)),0),AI127*$BI127),AI127*$BI127),0)</f>
        <v>0</v>
      </c>
      <c r="CM127" s="5">
        <f>IF($BI127&lt;&gt;"",IF('Capacity summary'!$C$14="Yes",IF(COUNTBLANK('Capacity summary'!$H39:$BG39)&lt;52,IF('Capacity summary'!AJ39&lt;&gt;"",IF(LOWER('Capacity summary'!AJ39)="x",$BI127*AJ127,VALUE('Capacity summary'!AJ39)),0),AJ127*$BI127),AJ127*$BI127),0)</f>
        <v>0</v>
      </c>
      <c r="CN127" s="5">
        <f>IF($BI127&lt;&gt;"",IF('Capacity summary'!$C$14="Yes",IF(COUNTBLANK('Capacity summary'!$H39:$BG39)&lt;52,IF('Capacity summary'!AK39&lt;&gt;"",IF(LOWER('Capacity summary'!AK39)="x",$BI127*AK127,VALUE('Capacity summary'!AK39)),0),AK127*$BI127),AK127*$BI127),0)</f>
        <v>0</v>
      </c>
      <c r="CO127" s="5">
        <f>IF($BI127&lt;&gt;"",IF('Capacity summary'!$C$14="Yes",IF(COUNTBLANK('Capacity summary'!$H39:$BG39)&lt;52,IF('Capacity summary'!AL39&lt;&gt;"",IF(LOWER('Capacity summary'!AL39)="x",$BI127*AL127,VALUE('Capacity summary'!AL39)),0),AL127*$BI127),AL127*$BI127),0)</f>
        <v>0</v>
      </c>
      <c r="CP127" s="5">
        <f>IF($BI127&lt;&gt;"",IF('Capacity summary'!$C$14="Yes",IF(COUNTBLANK('Capacity summary'!$H39:$BG39)&lt;52,IF('Capacity summary'!AM39&lt;&gt;"",IF(LOWER('Capacity summary'!AM39)="x",$BI127*AM127,VALUE('Capacity summary'!AM39)),0),AM127*$BI127),AM127*$BI127),0)</f>
        <v>0</v>
      </c>
      <c r="CQ127" s="5">
        <f>IF($BI127&lt;&gt;"",IF('Capacity summary'!$C$14="Yes",IF(COUNTBLANK('Capacity summary'!$H39:$BG39)&lt;52,IF('Capacity summary'!AN39&lt;&gt;"",IF(LOWER('Capacity summary'!AN39)="x",$BI127*AN127,VALUE('Capacity summary'!AN39)),0),AN127*$BI127),AN127*$BI127),0)</f>
        <v>0</v>
      </c>
      <c r="CR127" s="5">
        <f>IF($BI127&lt;&gt;"",IF('Capacity summary'!$C$14="Yes",IF(COUNTBLANK('Capacity summary'!$H39:$BG39)&lt;52,IF('Capacity summary'!AO39&lt;&gt;"",IF(LOWER('Capacity summary'!AO39)="x",$BI127*AO127,VALUE('Capacity summary'!AO39)),0),AO127*$BI127),AO127*$BI127),0)</f>
        <v>0</v>
      </c>
      <c r="CS127" s="5">
        <f>IF($BI127&lt;&gt;"",IF('Capacity summary'!$C$14="Yes",IF(COUNTBLANK('Capacity summary'!$H39:$BG39)&lt;52,IF('Capacity summary'!AP39&lt;&gt;"",IF(LOWER('Capacity summary'!AP39)="x",$BI127*AP127,VALUE('Capacity summary'!AP39)),0),AP127*$BI127),AP127*$BI127),0)</f>
        <v>0</v>
      </c>
      <c r="CT127" s="5">
        <f>IF($BI127&lt;&gt;"",IF('Capacity summary'!$C$14="Yes",IF(COUNTBLANK('Capacity summary'!$H39:$BG39)&lt;52,IF('Capacity summary'!AQ39&lt;&gt;"",IF(LOWER('Capacity summary'!AQ39)="x",$BI127*AQ127,VALUE('Capacity summary'!AQ39)),0),AQ127*$BI127),AQ127*$BI127),0)</f>
        <v>0</v>
      </c>
      <c r="CU127" s="5">
        <f>IF($BI127&lt;&gt;"",IF('Capacity summary'!$C$14="Yes",IF(COUNTBLANK('Capacity summary'!$H39:$BG39)&lt;52,IF('Capacity summary'!AR39&lt;&gt;"",IF(LOWER('Capacity summary'!AR39)="x",$BI127*AR127,VALUE('Capacity summary'!AR39)),0),AR127*$BI127),AR127*$BI127),0)</f>
        <v>0</v>
      </c>
      <c r="CV127" s="5">
        <f>IF($BI127&lt;&gt;"",IF('Capacity summary'!$C$14="Yes",IF(COUNTBLANK('Capacity summary'!$H39:$BG39)&lt;52,IF('Capacity summary'!AS39&lt;&gt;"",IF(LOWER('Capacity summary'!AS39)="x",$BI127*AS127,VALUE('Capacity summary'!AS39)),0),AS127*$BI127),AS127*$BI127),0)</f>
        <v>0</v>
      </c>
      <c r="CW127" s="5">
        <f>IF($BI127&lt;&gt;"",IF('Capacity summary'!$C$14="Yes",IF(COUNTBLANK('Capacity summary'!$H39:$BG39)&lt;52,IF('Capacity summary'!AT39&lt;&gt;"",IF(LOWER('Capacity summary'!AT39)="x",$BI127*AT127,VALUE('Capacity summary'!AT39)),0),AT127*$BI127),AT127*$BI127),0)</f>
        <v>0</v>
      </c>
      <c r="CX127" s="5">
        <f>IF($BI127&lt;&gt;"",IF('Capacity summary'!$C$14="Yes",IF(COUNTBLANK('Capacity summary'!$H39:$BG39)&lt;52,IF('Capacity summary'!AU39&lt;&gt;"",IF(LOWER('Capacity summary'!AU39)="x",$BI127*AU127,VALUE('Capacity summary'!AU39)),0),AU127*$BI127),AU127*$BI127),0)</f>
        <v>0</v>
      </c>
      <c r="CY127" s="5">
        <f>IF($BI127&lt;&gt;"",IF('Capacity summary'!$C$14="Yes",IF(COUNTBLANK('Capacity summary'!$H39:$BG39)&lt;52,IF('Capacity summary'!AV39&lt;&gt;"",IF(LOWER('Capacity summary'!AV39)="x",$BI127*AV127,VALUE('Capacity summary'!AV39)),0),AV127*$BI127),AV127*$BI127),0)</f>
        <v>0</v>
      </c>
      <c r="CZ127" s="5">
        <f>IF($BI127&lt;&gt;"",IF('Capacity summary'!$C$14="Yes",IF(COUNTBLANK('Capacity summary'!$H39:$BG39)&lt;52,IF('Capacity summary'!AW39&lt;&gt;"",IF(LOWER('Capacity summary'!AW39)="x",$BI127*AW127,VALUE('Capacity summary'!AW39)),0),AW127*$BI127),AW127*$BI127),0)</f>
        <v>0</v>
      </c>
      <c r="DA127" s="5">
        <f>IF($BI127&lt;&gt;"",IF('Capacity summary'!$C$14="Yes",IF(COUNTBLANK('Capacity summary'!$H39:$BG39)&lt;52,IF('Capacity summary'!AX39&lt;&gt;"",IF(LOWER('Capacity summary'!AX39)="x",$BI127*AX127,VALUE('Capacity summary'!AX39)),0),AX127*$BI127),AX127*$BI127),0)</f>
        <v>0</v>
      </c>
      <c r="DB127" s="5">
        <f>IF($BI127&lt;&gt;"",IF('Capacity summary'!$C$14="Yes",IF(COUNTBLANK('Capacity summary'!$H39:$BG39)&lt;52,IF('Capacity summary'!AY39&lt;&gt;"",IF(LOWER('Capacity summary'!AY39)="x",$BI127*AY127,VALUE('Capacity summary'!AY39)),0),AY127*$BI127),AY127*$BI127),0)</f>
        <v>0</v>
      </c>
      <c r="DC127" s="5">
        <f>IF($BI127&lt;&gt;"",IF('Capacity summary'!$C$14="Yes",IF(COUNTBLANK('Capacity summary'!$H39:$BG39)&lt;52,IF('Capacity summary'!AZ39&lt;&gt;"",IF(LOWER('Capacity summary'!AZ39)="x",$BI127*AZ127,VALUE('Capacity summary'!AZ39)),0),AZ127*$BI127),AZ127*$BI127),0)</f>
        <v>0</v>
      </c>
      <c r="DD127" s="5">
        <f>IF($BI127&lt;&gt;"",IF('Capacity summary'!$C$14="Yes",IF(COUNTBLANK('Capacity summary'!$H39:$BG39)&lt;52,IF('Capacity summary'!BA39&lt;&gt;"",IF(LOWER('Capacity summary'!BA39)="x",$BI127*BA127,VALUE('Capacity summary'!BA39)),0),BA127*$BI127),BA127*$BI127),0)</f>
        <v>0</v>
      </c>
      <c r="DE127" s="5">
        <f>IF($BI127&lt;&gt;"",IF('Capacity summary'!$C$14="Yes",IF(COUNTBLANK('Capacity summary'!$H39:$BG39)&lt;52,IF('Capacity summary'!BB39&lt;&gt;"",IF(LOWER('Capacity summary'!BB39)="x",$BI127*BB127,VALUE('Capacity summary'!BB39)),0),BB127*$BI127),BB127*$BI127),0)</f>
        <v>0</v>
      </c>
      <c r="DF127" s="5">
        <f>IF($BI127&lt;&gt;"",IF('Capacity summary'!$C$14="Yes",IF(COUNTBLANK('Capacity summary'!$H39:$BG39)&lt;52,IF('Capacity summary'!BC39&lt;&gt;"",IF(LOWER('Capacity summary'!BC39)="x",$BI127*BC127,VALUE('Capacity summary'!BC39)),0),BC127*$BI127),BC127*$BI127),0)</f>
        <v>0</v>
      </c>
      <c r="DG127" s="5">
        <f>IF($BI127&lt;&gt;"",IF('Capacity summary'!$C$14="Yes",IF(COUNTBLANK('Capacity summary'!$H39:$BG39)&lt;52,IF('Capacity summary'!BD39&lt;&gt;"",IF(LOWER('Capacity summary'!BD39)="x",$BI127*BD127,VALUE('Capacity summary'!BD39)),0),BD127*$BI127),BD127*$BI127),0)</f>
        <v>0</v>
      </c>
      <c r="DH127" s="5">
        <f>IF($BI127&lt;&gt;"",IF('Capacity summary'!$C$14="Yes",IF(COUNTBLANK('Capacity summary'!$H39:$BG39)&lt;52,IF('Capacity summary'!BE39&lt;&gt;"",IF(LOWER('Capacity summary'!BE39)="x",$BI127*BE127,VALUE('Capacity summary'!BE39)),0),BE127*$BI127),BE127*$BI127),0)</f>
        <v>0</v>
      </c>
      <c r="DI127" s="5">
        <f>IF($BI127&lt;&gt;"",IF('Capacity summary'!$C$14="Yes",IF(COUNTBLANK('Capacity summary'!$H39:$BG39)&lt;52,IF('Capacity summary'!BF39&lt;&gt;"",IF(LOWER('Capacity summary'!BF39)="x",$BI127*BF127,VALUE('Capacity summary'!BF39)),0),BF127*$BI127),BF127*$BI127),0)</f>
        <v>0</v>
      </c>
      <c r="DJ127" s="5">
        <f>IF($BI127&lt;&gt;"",IF('Capacity summary'!$C$14="Yes",IF(COUNTBLANK('Capacity summary'!$H39:$BG39)&lt;52,IF('Capacity summary'!BG39&lt;&gt;"",IF(LOWER('Capacity summary'!BG39)="x",$BI127*BG127,VALUE('Capacity summary'!BG39)),0),BG127*$BI127),BG127*$BI127),0)</f>
        <v>0</v>
      </c>
      <c r="DK127" s="391">
        <f t="shared" si="8"/>
        <v>0</v>
      </c>
      <c r="DL127" s="5">
        <f t="shared" si="9"/>
        <v>0</v>
      </c>
    </row>
    <row r="128" spans="3:116" x14ac:dyDescent="0.2">
      <c r="C128" s="67" t="str">
        <f>ROW(A17)&amp;". "&amp;Capacity!N33</f>
        <v xml:space="preserve">17. </v>
      </c>
      <c r="D128" s="67">
        <f>'Capacity setup'!C134</f>
        <v>0</v>
      </c>
      <c r="E128" s="67">
        <f>'Capacity setup'!D134</f>
        <v>0</v>
      </c>
      <c r="F128" s="67">
        <f>'Capacity setup'!E134</f>
        <v>0</v>
      </c>
      <c r="H128" s="67">
        <f ca="1">IF(LOWER(Capacity!$V33)="x",IF(AND(SUMIF(Capacity_Resource,$D128,'Critical resources (hide)'!U$6:U$105)+SUMIF(Capacity_Resource,$E128,'Critical resources (hide)'!U$6:U$105)+SUMIF(Capacity_Resource,$F128,'Critical resources (hide)'!U$6:U$105)&gt;0,$E$1=2),0,1),0)</f>
        <v>1</v>
      </c>
      <c r="I128" s="67">
        <f ca="1">IF(LOWER(Capacity!$V33)="x",IF(AND(SUMIF(Capacity_Resource,$D128,'Critical resources (hide)'!V$6:V$105)+SUMIF(Capacity_Resource,$E128,'Critical resources (hide)'!V$6:V$105)+SUMIF(Capacity_Resource,$F128,'Critical resources (hide)'!V$6:V$105)&gt;0,$E$1=2),0,1),0)</f>
        <v>1</v>
      </c>
      <c r="J128" s="67">
        <f ca="1">IF(LOWER(Capacity!$V33)="x",IF(AND(SUMIF(Capacity_Resource,$D128,'Critical resources (hide)'!W$6:W$105)+SUMIF(Capacity_Resource,$E128,'Critical resources (hide)'!W$6:W$105)+SUMIF(Capacity_Resource,$F128,'Critical resources (hide)'!W$6:W$105)&gt;0,$E$1=2),0,1),0)</f>
        <v>1</v>
      </c>
      <c r="K128" s="67">
        <f ca="1">IF(LOWER(Capacity!$V33)="x",IF(AND(SUMIF(Capacity_Resource,$D128,'Critical resources (hide)'!X$6:X$105)+SUMIF(Capacity_Resource,$E128,'Critical resources (hide)'!X$6:X$105)+SUMIF(Capacity_Resource,$F128,'Critical resources (hide)'!X$6:X$105)&gt;0,$E$1=2),0,1),0)</f>
        <v>1</v>
      </c>
      <c r="L128" s="67">
        <f ca="1">IF(LOWER(Capacity!$V33)="x",IF(AND(SUMIF(Capacity_Resource,$D128,'Critical resources (hide)'!Y$6:Y$105)+SUMIF(Capacity_Resource,$E128,'Critical resources (hide)'!Y$6:Y$105)+SUMIF(Capacity_Resource,$F128,'Critical resources (hide)'!Y$6:Y$105)&gt;0,$E$1=2),0,1),0)</f>
        <v>1</v>
      </c>
      <c r="M128" s="67">
        <f ca="1">IF(LOWER(Capacity!$V33)="x",IF(AND(SUMIF(Capacity_Resource,$D128,'Critical resources (hide)'!Z$6:Z$105)+SUMIF(Capacity_Resource,$E128,'Critical resources (hide)'!Z$6:Z$105)+SUMIF(Capacity_Resource,$F128,'Critical resources (hide)'!Z$6:Z$105)&gt;0,$E$1=2),0,1),0)</f>
        <v>1</v>
      </c>
      <c r="N128" s="67">
        <f ca="1">IF(LOWER(Capacity!$V33)="x",IF(AND(SUMIF(Capacity_Resource,$D128,'Critical resources (hide)'!AA$6:AA$105)+SUMIF(Capacity_Resource,$E128,'Critical resources (hide)'!AA$6:AA$105)+SUMIF(Capacity_Resource,$F128,'Critical resources (hide)'!AA$6:AA$105)&gt;0,$E$1=2),0,1),0)</f>
        <v>1</v>
      </c>
      <c r="O128" s="67">
        <f ca="1">IF(LOWER(Capacity!$V33)="x",IF(AND(SUMIF(Capacity_Resource,$D128,'Critical resources (hide)'!AB$6:AB$105)+SUMIF(Capacity_Resource,$E128,'Critical resources (hide)'!AB$6:AB$105)+SUMIF(Capacity_Resource,$F128,'Critical resources (hide)'!AB$6:AB$105)&gt;0,$E$1=2),0,1),0)</f>
        <v>1</v>
      </c>
      <c r="P128" s="67">
        <f ca="1">IF(LOWER(Capacity!$V33)="x",IF(AND(SUMIF(Capacity_Resource,$D128,'Critical resources (hide)'!AC$6:AC$105)+SUMIF(Capacity_Resource,$E128,'Critical resources (hide)'!AC$6:AC$105)+SUMIF(Capacity_Resource,$F128,'Critical resources (hide)'!AC$6:AC$105)&gt;0,$E$1=2),0,1),0)</f>
        <v>1</v>
      </c>
      <c r="Q128" s="67">
        <f ca="1">IF(LOWER(Capacity!$V33)="x",IF(AND(SUMIF(Capacity_Resource,$D128,'Critical resources (hide)'!AD$6:AD$105)+SUMIF(Capacity_Resource,$E128,'Critical resources (hide)'!AD$6:AD$105)+SUMIF(Capacity_Resource,$F128,'Critical resources (hide)'!AD$6:AD$105)&gt;0,$E$1=2),0,1),0)</f>
        <v>1</v>
      </c>
      <c r="R128" s="67">
        <f ca="1">IF(LOWER(Capacity!$V33)="x",IF(AND(SUMIF(Capacity_Resource,$D128,'Critical resources (hide)'!AE$6:AE$105)+SUMIF(Capacity_Resource,$E128,'Critical resources (hide)'!AE$6:AE$105)+SUMIF(Capacity_Resource,$F128,'Critical resources (hide)'!AE$6:AE$105)&gt;0,$E$1=2),0,1),0)</f>
        <v>1</v>
      </c>
      <c r="S128" s="67">
        <f ca="1">IF(LOWER(Capacity!$V33)="x",IF(AND(SUMIF(Capacity_Resource,$D128,'Critical resources (hide)'!AF$6:AF$105)+SUMIF(Capacity_Resource,$E128,'Critical resources (hide)'!AF$6:AF$105)+SUMIF(Capacity_Resource,$F128,'Critical resources (hide)'!AF$6:AF$105)&gt;0,$E$1=2),0,1),0)</f>
        <v>1</v>
      </c>
      <c r="T128" s="67">
        <f ca="1">IF(LOWER(Capacity!$V33)="x",IF(AND(SUMIF(Capacity_Resource,$D128,'Critical resources (hide)'!AG$6:AG$105)+SUMIF(Capacity_Resource,$E128,'Critical resources (hide)'!AG$6:AG$105)+SUMIF(Capacity_Resource,$F128,'Critical resources (hide)'!AG$6:AG$105)&gt;0,$E$1=2),0,1),0)</f>
        <v>1</v>
      </c>
      <c r="U128" s="67">
        <f ca="1">IF(LOWER(Capacity!$V33)="x",IF(AND(SUMIF(Capacity_Resource,$D128,'Critical resources (hide)'!AH$6:AH$105)+SUMIF(Capacity_Resource,$E128,'Critical resources (hide)'!AH$6:AH$105)+SUMIF(Capacity_Resource,$F128,'Critical resources (hide)'!AH$6:AH$105)&gt;0,$E$1=2),0,1),0)</f>
        <v>1</v>
      </c>
      <c r="V128" s="67">
        <f ca="1">IF(LOWER(Capacity!$V33)="x",IF(AND(SUMIF(Capacity_Resource,$D128,'Critical resources (hide)'!AI$6:AI$105)+SUMIF(Capacity_Resource,$E128,'Critical resources (hide)'!AI$6:AI$105)+SUMIF(Capacity_Resource,$F128,'Critical resources (hide)'!AI$6:AI$105)&gt;0,$E$1=2),0,1),0)</f>
        <v>1</v>
      </c>
      <c r="W128" s="67">
        <f ca="1">IF(LOWER(Capacity!$V33)="x",IF(AND(SUMIF(Capacity_Resource,$D128,'Critical resources (hide)'!AJ$6:AJ$105)+SUMIF(Capacity_Resource,$E128,'Critical resources (hide)'!AJ$6:AJ$105)+SUMIF(Capacity_Resource,$F128,'Critical resources (hide)'!AJ$6:AJ$105)&gt;0,$E$1=2),0,1),0)</f>
        <v>1</v>
      </c>
      <c r="X128" s="67">
        <f ca="1">IF(LOWER(Capacity!$V33)="x",IF(AND(SUMIF(Capacity_Resource,$D128,'Critical resources (hide)'!AK$6:AK$105)+SUMIF(Capacity_Resource,$E128,'Critical resources (hide)'!AK$6:AK$105)+SUMIF(Capacity_Resource,$F128,'Critical resources (hide)'!AK$6:AK$105)&gt;0,$E$1=2),0,1),0)</f>
        <v>1</v>
      </c>
      <c r="Y128" s="67">
        <f ca="1">IF(LOWER(Capacity!$V33)="x",IF(AND(SUMIF(Capacity_Resource,$D128,'Critical resources (hide)'!AL$6:AL$105)+SUMIF(Capacity_Resource,$E128,'Critical resources (hide)'!AL$6:AL$105)+SUMIF(Capacity_Resource,$F128,'Critical resources (hide)'!AL$6:AL$105)&gt;0,$E$1=2),0,1),0)</f>
        <v>1</v>
      </c>
      <c r="Z128" s="67">
        <f ca="1">IF(LOWER(Capacity!$V33)="x",IF(AND(SUMIF(Capacity_Resource,$D128,'Critical resources (hide)'!AM$6:AM$105)+SUMIF(Capacity_Resource,$E128,'Critical resources (hide)'!AM$6:AM$105)+SUMIF(Capacity_Resource,$F128,'Critical resources (hide)'!AM$6:AM$105)&gt;0,$E$1=2),0,1),0)</f>
        <v>1</v>
      </c>
      <c r="AA128" s="67">
        <f ca="1">IF(LOWER(Capacity!$V33)="x",IF(AND(SUMIF(Capacity_Resource,$D128,'Critical resources (hide)'!AN$6:AN$105)+SUMIF(Capacity_Resource,$E128,'Critical resources (hide)'!AN$6:AN$105)+SUMIF(Capacity_Resource,$F128,'Critical resources (hide)'!AN$6:AN$105)&gt;0,$E$1=2),0,1),0)</f>
        <v>1</v>
      </c>
      <c r="AB128" s="67">
        <f ca="1">IF(LOWER(Capacity!$V33)="x",IF(AND(SUMIF(Capacity_Resource,$D128,'Critical resources (hide)'!AO$6:AO$105)+SUMIF(Capacity_Resource,$E128,'Critical resources (hide)'!AO$6:AO$105)+SUMIF(Capacity_Resource,$F128,'Critical resources (hide)'!AO$6:AO$105)&gt;0,$E$1=2),0,1),0)</f>
        <v>1</v>
      </c>
      <c r="AC128" s="67">
        <f ca="1">IF(LOWER(Capacity!$V33)="x",IF(AND(SUMIF(Capacity_Resource,$D128,'Critical resources (hide)'!AP$6:AP$105)+SUMIF(Capacity_Resource,$E128,'Critical resources (hide)'!AP$6:AP$105)+SUMIF(Capacity_Resource,$F128,'Critical resources (hide)'!AP$6:AP$105)&gt;0,$E$1=2),0,1),0)</f>
        <v>1</v>
      </c>
      <c r="AD128" s="67">
        <f ca="1">IF(LOWER(Capacity!$V33)="x",IF(AND(SUMIF(Capacity_Resource,$D128,'Critical resources (hide)'!AQ$6:AQ$105)+SUMIF(Capacity_Resource,$E128,'Critical resources (hide)'!AQ$6:AQ$105)+SUMIF(Capacity_Resource,$F128,'Critical resources (hide)'!AQ$6:AQ$105)&gt;0,$E$1=2),0,1),0)</f>
        <v>1</v>
      </c>
      <c r="AE128" s="67">
        <f ca="1">IF(LOWER(Capacity!$V33)="x",IF(AND(SUMIF(Capacity_Resource,$D128,'Critical resources (hide)'!AR$6:AR$105)+SUMIF(Capacity_Resource,$E128,'Critical resources (hide)'!AR$6:AR$105)+SUMIF(Capacity_Resource,$F128,'Critical resources (hide)'!AR$6:AR$105)&gt;0,$E$1=2),0,1),0)</f>
        <v>1</v>
      </c>
      <c r="AF128" s="67">
        <f ca="1">IF(LOWER(Capacity!$V33)="x",IF(AND(SUMIF(Capacity_Resource,$D128,'Critical resources (hide)'!AS$6:AS$105)+SUMIF(Capacity_Resource,$E128,'Critical resources (hide)'!AS$6:AS$105)+SUMIF(Capacity_Resource,$F128,'Critical resources (hide)'!AS$6:AS$105)&gt;0,$E$1=2),0,1),0)</f>
        <v>1</v>
      </c>
      <c r="AG128" s="67">
        <f ca="1">IF(LOWER(Capacity!$V33)="x",IF(AND(SUMIF(Capacity_Resource,$D128,'Critical resources (hide)'!AT$6:AT$105)+SUMIF(Capacity_Resource,$E128,'Critical resources (hide)'!AT$6:AT$105)+SUMIF(Capacity_Resource,$F128,'Critical resources (hide)'!AT$6:AT$105)&gt;0,$E$1=2),0,1),0)</f>
        <v>1</v>
      </c>
      <c r="AH128" s="67">
        <f ca="1">IF(LOWER(Capacity!$V33)="x",IF(AND(SUMIF(Capacity_Resource,$D128,'Critical resources (hide)'!AU$6:AU$105)+SUMIF(Capacity_Resource,$E128,'Critical resources (hide)'!AU$6:AU$105)+SUMIF(Capacity_Resource,$F128,'Critical resources (hide)'!AU$6:AU$105)&gt;0,$E$1=2),0,1),0)</f>
        <v>1</v>
      </c>
      <c r="AI128" s="67">
        <f ca="1">IF(LOWER(Capacity!$V33)="x",IF(AND(SUMIF(Capacity_Resource,$D128,'Critical resources (hide)'!AV$6:AV$105)+SUMIF(Capacity_Resource,$E128,'Critical resources (hide)'!AV$6:AV$105)+SUMIF(Capacity_Resource,$F128,'Critical resources (hide)'!AV$6:AV$105)&gt;0,$E$1=2),0,1),0)</f>
        <v>1</v>
      </c>
      <c r="AJ128" s="67">
        <f ca="1">IF(LOWER(Capacity!$V33)="x",IF(AND(SUMIF(Capacity_Resource,$D128,'Critical resources (hide)'!AW$6:AW$105)+SUMIF(Capacity_Resource,$E128,'Critical resources (hide)'!AW$6:AW$105)+SUMIF(Capacity_Resource,$F128,'Critical resources (hide)'!AW$6:AW$105)&gt;0,$E$1=2),0,1),0)</f>
        <v>1</v>
      </c>
      <c r="AK128" s="67">
        <f ca="1">IF(LOWER(Capacity!$V33)="x",IF(AND(SUMIF(Capacity_Resource,$D128,'Critical resources (hide)'!AX$6:AX$105)+SUMIF(Capacity_Resource,$E128,'Critical resources (hide)'!AX$6:AX$105)+SUMIF(Capacity_Resource,$F128,'Critical resources (hide)'!AX$6:AX$105)&gt;0,$E$1=2),0,1),0)</f>
        <v>1</v>
      </c>
      <c r="AL128" s="67">
        <f ca="1">IF(LOWER(Capacity!$V33)="x",IF(AND(SUMIF(Capacity_Resource,$D128,'Critical resources (hide)'!AY$6:AY$105)+SUMIF(Capacity_Resource,$E128,'Critical resources (hide)'!AY$6:AY$105)+SUMIF(Capacity_Resource,$F128,'Critical resources (hide)'!AY$6:AY$105)&gt;0,$E$1=2),0,1),0)</f>
        <v>1</v>
      </c>
      <c r="AM128" s="67">
        <f ca="1">IF(LOWER(Capacity!$V33)="x",IF(AND(SUMIF(Capacity_Resource,$D128,'Critical resources (hide)'!AZ$6:AZ$105)+SUMIF(Capacity_Resource,$E128,'Critical resources (hide)'!AZ$6:AZ$105)+SUMIF(Capacity_Resource,$F128,'Critical resources (hide)'!AZ$6:AZ$105)&gt;0,$E$1=2),0,1),0)</f>
        <v>1</v>
      </c>
      <c r="AN128" s="67">
        <f ca="1">IF(LOWER(Capacity!$V33)="x",IF(AND(SUMIF(Capacity_Resource,$D128,'Critical resources (hide)'!BA$6:BA$105)+SUMIF(Capacity_Resource,$E128,'Critical resources (hide)'!BA$6:BA$105)+SUMIF(Capacity_Resource,$F128,'Critical resources (hide)'!BA$6:BA$105)&gt;0,$E$1=2),0,1),0)</f>
        <v>1</v>
      </c>
      <c r="AO128" s="67">
        <f ca="1">IF(LOWER(Capacity!$V33)="x",IF(AND(SUMIF(Capacity_Resource,$D128,'Critical resources (hide)'!BB$6:BB$105)+SUMIF(Capacity_Resource,$E128,'Critical resources (hide)'!BB$6:BB$105)+SUMIF(Capacity_Resource,$F128,'Critical resources (hide)'!BB$6:BB$105)&gt;0,$E$1=2),0,1),0)</f>
        <v>1</v>
      </c>
      <c r="AP128" s="67">
        <f ca="1">IF(LOWER(Capacity!$V33)="x",IF(AND(SUMIF(Capacity_Resource,$D128,'Critical resources (hide)'!BC$6:BC$105)+SUMIF(Capacity_Resource,$E128,'Critical resources (hide)'!BC$6:BC$105)+SUMIF(Capacity_Resource,$F128,'Critical resources (hide)'!BC$6:BC$105)&gt;0,$E$1=2),0,1),0)</f>
        <v>1</v>
      </c>
      <c r="AQ128" s="67">
        <f ca="1">IF(LOWER(Capacity!$V33)="x",IF(AND(SUMIF(Capacity_Resource,$D128,'Critical resources (hide)'!BD$6:BD$105)+SUMIF(Capacity_Resource,$E128,'Critical resources (hide)'!BD$6:BD$105)+SUMIF(Capacity_Resource,$F128,'Critical resources (hide)'!BD$6:BD$105)&gt;0,$E$1=2),0,1),0)</f>
        <v>1</v>
      </c>
      <c r="AR128" s="67">
        <f ca="1">IF(LOWER(Capacity!$V33)="x",IF(AND(SUMIF(Capacity_Resource,$D128,'Critical resources (hide)'!BE$6:BE$105)+SUMIF(Capacity_Resource,$E128,'Critical resources (hide)'!BE$6:BE$105)+SUMIF(Capacity_Resource,$F128,'Critical resources (hide)'!BE$6:BE$105)&gt;0,$E$1=2),0,1),0)</f>
        <v>1</v>
      </c>
      <c r="AS128" s="67">
        <f ca="1">IF(LOWER(Capacity!$V33)="x",IF(AND(SUMIF(Capacity_Resource,$D128,'Critical resources (hide)'!BF$6:BF$105)+SUMIF(Capacity_Resource,$E128,'Critical resources (hide)'!BF$6:BF$105)+SUMIF(Capacity_Resource,$F128,'Critical resources (hide)'!BF$6:BF$105)&gt;0,$E$1=2),0,1),0)</f>
        <v>1</v>
      </c>
      <c r="AT128" s="67">
        <f ca="1">IF(LOWER(Capacity!$V33)="x",IF(AND(SUMIF(Capacity_Resource,$D128,'Critical resources (hide)'!BG$6:BG$105)+SUMIF(Capacity_Resource,$E128,'Critical resources (hide)'!BG$6:BG$105)+SUMIF(Capacity_Resource,$F128,'Critical resources (hide)'!BG$6:BG$105)&gt;0,$E$1=2),0,1),0)</f>
        <v>1</v>
      </c>
      <c r="AU128" s="67">
        <f ca="1">IF(LOWER(Capacity!$V33)="x",IF(AND(SUMIF(Capacity_Resource,$D128,'Critical resources (hide)'!BH$6:BH$105)+SUMIF(Capacity_Resource,$E128,'Critical resources (hide)'!BH$6:BH$105)+SUMIF(Capacity_Resource,$F128,'Critical resources (hide)'!BH$6:BH$105)&gt;0,$E$1=2),0,1),0)</f>
        <v>1</v>
      </c>
      <c r="AV128" s="67">
        <f ca="1">IF(LOWER(Capacity!$V33)="x",IF(AND(SUMIF(Capacity_Resource,$D128,'Critical resources (hide)'!BI$6:BI$105)+SUMIF(Capacity_Resource,$E128,'Critical resources (hide)'!BI$6:BI$105)+SUMIF(Capacity_Resource,$F128,'Critical resources (hide)'!BI$6:BI$105)&gt;0,$E$1=2),0,1),0)</f>
        <v>1</v>
      </c>
      <c r="AW128" s="67">
        <f ca="1">IF(LOWER(Capacity!$V33)="x",IF(AND(SUMIF(Capacity_Resource,$D128,'Critical resources (hide)'!BJ$6:BJ$105)+SUMIF(Capacity_Resource,$E128,'Critical resources (hide)'!BJ$6:BJ$105)+SUMIF(Capacity_Resource,$F128,'Critical resources (hide)'!BJ$6:BJ$105)&gt;0,$E$1=2),0,1),0)</f>
        <v>1</v>
      </c>
      <c r="AX128" s="67">
        <f ca="1">IF(LOWER(Capacity!$V33)="x",IF(AND(SUMIF(Capacity_Resource,$D128,'Critical resources (hide)'!BK$6:BK$105)+SUMIF(Capacity_Resource,$E128,'Critical resources (hide)'!BK$6:BK$105)+SUMIF(Capacity_Resource,$F128,'Critical resources (hide)'!BK$6:BK$105)&gt;0,$E$1=2),0,1),0)</f>
        <v>1</v>
      </c>
      <c r="AY128" s="67">
        <f ca="1">IF(LOWER(Capacity!$V33)="x",IF(AND(SUMIF(Capacity_Resource,$D128,'Critical resources (hide)'!BL$6:BL$105)+SUMIF(Capacity_Resource,$E128,'Critical resources (hide)'!BL$6:BL$105)+SUMIF(Capacity_Resource,$F128,'Critical resources (hide)'!BL$6:BL$105)&gt;0,$E$1=2),0,1),0)</f>
        <v>1</v>
      </c>
      <c r="AZ128" s="67">
        <f ca="1">IF(LOWER(Capacity!$V33)="x",IF(AND(SUMIF(Capacity_Resource,$D128,'Critical resources (hide)'!BM$6:BM$105)+SUMIF(Capacity_Resource,$E128,'Critical resources (hide)'!BM$6:BM$105)+SUMIF(Capacity_Resource,$F128,'Critical resources (hide)'!BM$6:BM$105)&gt;0,$E$1=2),0,1),0)</f>
        <v>1</v>
      </c>
      <c r="BA128" s="67">
        <f ca="1">IF(LOWER(Capacity!$V33)="x",IF(AND(SUMIF(Capacity_Resource,$D128,'Critical resources (hide)'!BN$6:BN$105)+SUMIF(Capacity_Resource,$E128,'Critical resources (hide)'!BN$6:BN$105)+SUMIF(Capacity_Resource,$F128,'Critical resources (hide)'!BN$6:BN$105)&gt;0,$E$1=2),0,1),0)</f>
        <v>1</v>
      </c>
      <c r="BB128" s="67">
        <f ca="1">IF(LOWER(Capacity!$V33)="x",IF(AND(SUMIF(Capacity_Resource,$D128,'Critical resources (hide)'!BO$6:BO$105)+SUMIF(Capacity_Resource,$E128,'Critical resources (hide)'!BO$6:BO$105)+SUMIF(Capacity_Resource,$F128,'Critical resources (hide)'!BO$6:BO$105)&gt;0,$E$1=2),0,1),0)</f>
        <v>1</v>
      </c>
      <c r="BC128" s="67">
        <f ca="1">IF(LOWER(Capacity!$V33)="x",IF(AND(SUMIF(Capacity_Resource,$D128,'Critical resources (hide)'!BP$6:BP$105)+SUMIF(Capacity_Resource,$E128,'Critical resources (hide)'!BP$6:BP$105)+SUMIF(Capacity_Resource,$F128,'Critical resources (hide)'!BP$6:BP$105)&gt;0,$E$1=2),0,1),0)</f>
        <v>1</v>
      </c>
      <c r="BD128" s="67">
        <f ca="1">IF(LOWER(Capacity!$V33)="x",IF(AND(SUMIF(Capacity_Resource,$D128,'Critical resources (hide)'!BQ$6:BQ$105)+SUMIF(Capacity_Resource,$E128,'Critical resources (hide)'!BQ$6:BQ$105)+SUMIF(Capacity_Resource,$F128,'Critical resources (hide)'!BQ$6:BQ$105)&gt;0,$E$1=2),0,1),0)</f>
        <v>1</v>
      </c>
      <c r="BE128" s="67">
        <f ca="1">IF(LOWER(Capacity!$V33)="x",IF(AND(SUMIF(Capacity_Resource,$D128,'Critical resources (hide)'!BR$6:BR$105)+SUMIF(Capacity_Resource,$E128,'Critical resources (hide)'!BR$6:BR$105)+SUMIF(Capacity_Resource,$F128,'Critical resources (hide)'!BR$6:BR$105)&gt;0,$E$1=2),0,1),0)</f>
        <v>1</v>
      </c>
      <c r="BF128" s="67">
        <f ca="1">IF(LOWER(Capacity!$V33)="x",IF(AND(SUMIF(Capacity_Resource,$D128,'Critical resources (hide)'!BS$6:BS$105)+SUMIF(Capacity_Resource,$E128,'Critical resources (hide)'!BS$6:BS$105)+SUMIF(Capacity_Resource,$F128,'Critical resources (hide)'!BS$6:BS$105)&gt;0,$E$1=2),0,1),0)</f>
        <v>1</v>
      </c>
      <c r="BG128" s="67">
        <f ca="1">IF(LOWER(Capacity!$V33)="x",IF(AND(SUMIF(Capacity_Resource,$D128,'Critical resources (hide)'!BT$6:BT$105)+SUMIF(Capacity_Resource,$E128,'Critical resources (hide)'!BT$6:BT$105)+SUMIF(Capacity_Resource,$F128,'Critical resources (hide)'!BT$6:BT$105)&gt;0,$E$1=2),0,1),0)</f>
        <v>1</v>
      </c>
      <c r="BH128" s="67">
        <f>IF(ROW(A17)&lt;=Capacity!$M$16,IF('Capacity summary'!$C$14="No",SUM(H128:BG128),'Capacity summary'!$E40),0)</f>
        <v>0</v>
      </c>
      <c r="BI128" s="67" t="str">
        <f>IF(BH128&gt;0,IF(BH128&lt;Capacity!Q33,Capacity!R33,Capacity!T33/'Capacity calculation (hide)'!BH128),"")</f>
        <v/>
      </c>
      <c r="BJ128" s="5"/>
      <c r="BK128" s="5">
        <f>IF($BI128&lt;&gt;"",IF('Capacity summary'!$C$14="Yes",IF(COUNTBLANK('Capacity summary'!$H40:$BG40)&lt;52,IF('Capacity summary'!H40&lt;&gt;"",IF(LOWER('Capacity summary'!H40)="x",$BI128*H128,VALUE('Capacity summary'!H40)),0),H128*$BI128),H128*$BI128),0)</f>
        <v>0</v>
      </c>
      <c r="BL128" s="5">
        <f>IF($BI128&lt;&gt;"",IF('Capacity summary'!$C$14="Yes",IF(COUNTBLANK('Capacity summary'!$H40:$BG40)&lt;52,IF('Capacity summary'!I40&lt;&gt;"",IF(LOWER('Capacity summary'!I40)="x",$BI128*I128,VALUE('Capacity summary'!I40)),0),I128*$BI128),I128*$BI128),0)</f>
        <v>0</v>
      </c>
      <c r="BM128" s="5">
        <f>IF($BI128&lt;&gt;"",IF('Capacity summary'!$C$14="Yes",IF(COUNTBLANK('Capacity summary'!$H40:$BG40)&lt;52,IF('Capacity summary'!J40&lt;&gt;"",IF(LOWER('Capacity summary'!J40)="x",$BI128*J128,VALUE('Capacity summary'!J40)),0),J128*$BI128),J128*$BI128),0)</f>
        <v>0</v>
      </c>
      <c r="BN128" s="5">
        <f>IF($BI128&lt;&gt;"",IF('Capacity summary'!$C$14="Yes",IF(COUNTBLANK('Capacity summary'!$H40:$BG40)&lt;52,IF('Capacity summary'!K40&lt;&gt;"",IF(LOWER('Capacity summary'!K40)="x",$BI128*K128,VALUE('Capacity summary'!K40)),0),K128*$BI128),K128*$BI128),0)</f>
        <v>0</v>
      </c>
      <c r="BO128" s="5">
        <f>IF($BI128&lt;&gt;"",IF('Capacity summary'!$C$14="Yes",IF(COUNTBLANK('Capacity summary'!$H40:$BG40)&lt;52,IF('Capacity summary'!L40&lt;&gt;"",IF(LOWER('Capacity summary'!L40)="x",$BI128*L128,VALUE('Capacity summary'!L40)),0),L128*$BI128),L128*$BI128),0)</f>
        <v>0</v>
      </c>
      <c r="BP128" s="5">
        <f>IF($BI128&lt;&gt;"",IF('Capacity summary'!$C$14="Yes",IF(COUNTBLANK('Capacity summary'!$H40:$BG40)&lt;52,IF('Capacity summary'!M40&lt;&gt;"",IF(LOWER('Capacity summary'!M40)="x",$BI128*M128,VALUE('Capacity summary'!M40)),0),M128*$BI128),M128*$BI128),0)</f>
        <v>0</v>
      </c>
      <c r="BQ128" s="5">
        <f>IF($BI128&lt;&gt;"",IF('Capacity summary'!$C$14="Yes",IF(COUNTBLANK('Capacity summary'!$H40:$BG40)&lt;52,IF('Capacity summary'!N40&lt;&gt;"",IF(LOWER('Capacity summary'!N40)="x",$BI128*N128,VALUE('Capacity summary'!N40)),0),N128*$BI128),N128*$BI128),0)</f>
        <v>0</v>
      </c>
      <c r="BR128" s="5">
        <f>IF($BI128&lt;&gt;"",IF('Capacity summary'!$C$14="Yes",IF(COUNTBLANK('Capacity summary'!$H40:$BG40)&lt;52,IF('Capacity summary'!O40&lt;&gt;"",IF(LOWER('Capacity summary'!O40)="x",$BI128*O128,VALUE('Capacity summary'!O40)),0),O128*$BI128),O128*$BI128),0)</f>
        <v>0</v>
      </c>
      <c r="BS128" s="5">
        <f>IF($BI128&lt;&gt;"",IF('Capacity summary'!$C$14="Yes",IF(COUNTBLANK('Capacity summary'!$H40:$BG40)&lt;52,IF('Capacity summary'!P40&lt;&gt;"",IF(LOWER('Capacity summary'!P40)="x",$BI128*P128,VALUE('Capacity summary'!P40)),0),P128*$BI128),P128*$BI128),0)</f>
        <v>0</v>
      </c>
      <c r="BT128" s="5">
        <f>IF($BI128&lt;&gt;"",IF('Capacity summary'!$C$14="Yes",IF(COUNTBLANK('Capacity summary'!$H40:$BG40)&lt;52,IF('Capacity summary'!Q40&lt;&gt;"",IF(LOWER('Capacity summary'!Q40)="x",$BI128*Q128,VALUE('Capacity summary'!Q40)),0),Q128*$BI128),Q128*$BI128),0)</f>
        <v>0</v>
      </c>
      <c r="BU128" s="5">
        <f>IF($BI128&lt;&gt;"",IF('Capacity summary'!$C$14="Yes",IF(COUNTBLANK('Capacity summary'!$H40:$BG40)&lt;52,IF('Capacity summary'!R40&lt;&gt;"",IF(LOWER('Capacity summary'!R40)="x",$BI128*R128,VALUE('Capacity summary'!R40)),0),R128*$BI128),R128*$BI128),0)</f>
        <v>0</v>
      </c>
      <c r="BV128" s="5">
        <f>IF($BI128&lt;&gt;"",IF('Capacity summary'!$C$14="Yes",IF(COUNTBLANK('Capacity summary'!$H40:$BG40)&lt;52,IF('Capacity summary'!S40&lt;&gt;"",IF(LOWER('Capacity summary'!S40)="x",$BI128*S128,VALUE('Capacity summary'!S40)),0),S128*$BI128),S128*$BI128),0)</f>
        <v>0</v>
      </c>
      <c r="BW128" s="5">
        <f>IF($BI128&lt;&gt;"",IF('Capacity summary'!$C$14="Yes",IF(COUNTBLANK('Capacity summary'!$H40:$BG40)&lt;52,IF('Capacity summary'!T40&lt;&gt;"",IF(LOWER('Capacity summary'!T40)="x",$BI128*T128,VALUE('Capacity summary'!T40)),0),T128*$BI128),T128*$BI128),0)</f>
        <v>0</v>
      </c>
      <c r="BX128" s="5">
        <f>IF($BI128&lt;&gt;"",IF('Capacity summary'!$C$14="Yes",IF(COUNTBLANK('Capacity summary'!$H40:$BG40)&lt;52,IF('Capacity summary'!U40&lt;&gt;"",IF(LOWER('Capacity summary'!U40)="x",$BI128*U128,VALUE('Capacity summary'!U40)),0),U128*$BI128),U128*$BI128),0)</f>
        <v>0</v>
      </c>
      <c r="BY128" s="5">
        <f>IF($BI128&lt;&gt;"",IF('Capacity summary'!$C$14="Yes",IF(COUNTBLANK('Capacity summary'!$H40:$BG40)&lt;52,IF('Capacity summary'!V40&lt;&gt;"",IF(LOWER('Capacity summary'!V40)="x",$BI128*V128,VALUE('Capacity summary'!V40)),0),V128*$BI128),V128*$BI128),0)</f>
        <v>0</v>
      </c>
      <c r="BZ128" s="5">
        <f>IF($BI128&lt;&gt;"",IF('Capacity summary'!$C$14="Yes",IF(COUNTBLANK('Capacity summary'!$H40:$BG40)&lt;52,IF('Capacity summary'!W40&lt;&gt;"",IF(LOWER('Capacity summary'!W40)="x",$BI128*W128,VALUE('Capacity summary'!W40)),0),W128*$BI128),W128*$BI128),0)</f>
        <v>0</v>
      </c>
      <c r="CA128" s="5">
        <f>IF($BI128&lt;&gt;"",IF('Capacity summary'!$C$14="Yes",IF(COUNTBLANK('Capacity summary'!$H40:$BG40)&lt;52,IF('Capacity summary'!X40&lt;&gt;"",IF(LOWER('Capacity summary'!X40)="x",$BI128*X128,VALUE('Capacity summary'!X40)),0),X128*$BI128),X128*$BI128),0)</f>
        <v>0</v>
      </c>
      <c r="CB128" s="5">
        <f>IF($BI128&lt;&gt;"",IF('Capacity summary'!$C$14="Yes",IF(COUNTBLANK('Capacity summary'!$H40:$BG40)&lt;52,IF('Capacity summary'!Y40&lt;&gt;"",IF(LOWER('Capacity summary'!Y40)="x",$BI128*Y128,VALUE('Capacity summary'!Y40)),0),Y128*$BI128),Y128*$BI128),0)</f>
        <v>0</v>
      </c>
      <c r="CC128" s="5">
        <f>IF($BI128&lt;&gt;"",IF('Capacity summary'!$C$14="Yes",IF(COUNTBLANK('Capacity summary'!$H40:$BG40)&lt;52,IF('Capacity summary'!Z40&lt;&gt;"",IF(LOWER('Capacity summary'!Z40)="x",$BI128*Z128,VALUE('Capacity summary'!Z40)),0),Z128*$BI128),Z128*$BI128),0)</f>
        <v>0</v>
      </c>
      <c r="CD128" s="5">
        <f>IF($BI128&lt;&gt;"",IF('Capacity summary'!$C$14="Yes",IF(COUNTBLANK('Capacity summary'!$H40:$BG40)&lt;52,IF('Capacity summary'!AA40&lt;&gt;"",IF(LOWER('Capacity summary'!AA40)="x",$BI128*AA128,VALUE('Capacity summary'!AA40)),0),AA128*$BI128),AA128*$BI128),0)</f>
        <v>0</v>
      </c>
      <c r="CE128" s="5">
        <f>IF($BI128&lt;&gt;"",IF('Capacity summary'!$C$14="Yes",IF(COUNTBLANK('Capacity summary'!$H40:$BG40)&lt;52,IF('Capacity summary'!AB40&lt;&gt;"",IF(LOWER('Capacity summary'!AB40)="x",$BI128*AB128,VALUE('Capacity summary'!AB40)),0),AB128*$BI128),AB128*$BI128),0)</f>
        <v>0</v>
      </c>
      <c r="CF128" s="5">
        <f>IF($BI128&lt;&gt;"",IF('Capacity summary'!$C$14="Yes",IF(COUNTBLANK('Capacity summary'!$H40:$BG40)&lt;52,IF('Capacity summary'!AC40&lt;&gt;"",IF(LOWER('Capacity summary'!AC40)="x",$BI128*AC128,VALUE('Capacity summary'!AC40)),0),AC128*$BI128),AC128*$BI128),0)</f>
        <v>0</v>
      </c>
      <c r="CG128" s="5">
        <f>IF($BI128&lt;&gt;"",IF('Capacity summary'!$C$14="Yes",IF(COUNTBLANK('Capacity summary'!$H40:$BG40)&lt;52,IF('Capacity summary'!AD40&lt;&gt;"",IF(LOWER('Capacity summary'!AD40)="x",$BI128*AD128,VALUE('Capacity summary'!AD40)),0),AD128*$BI128),AD128*$BI128),0)</f>
        <v>0</v>
      </c>
      <c r="CH128" s="5">
        <f>IF($BI128&lt;&gt;"",IF('Capacity summary'!$C$14="Yes",IF(COUNTBLANK('Capacity summary'!$H40:$BG40)&lt;52,IF('Capacity summary'!AE40&lt;&gt;"",IF(LOWER('Capacity summary'!AE40)="x",$BI128*AE128,VALUE('Capacity summary'!AE40)),0),AE128*$BI128),AE128*$BI128),0)</f>
        <v>0</v>
      </c>
      <c r="CI128" s="5">
        <f>IF($BI128&lt;&gt;"",IF('Capacity summary'!$C$14="Yes",IF(COUNTBLANK('Capacity summary'!$H40:$BG40)&lt;52,IF('Capacity summary'!AF40&lt;&gt;"",IF(LOWER('Capacity summary'!AF40)="x",$BI128*AF128,VALUE('Capacity summary'!AF40)),0),AF128*$BI128),AF128*$BI128),0)</f>
        <v>0</v>
      </c>
      <c r="CJ128" s="5">
        <f>IF($BI128&lt;&gt;"",IF('Capacity summary'!$C$14="Yes",IF(COUNTBLANK('Capacity summary'!$H40:$BG40)&lt;52,IF('Capacity summary'!AG40&lt;&gt;"",IF(LOWER('Capacity summary'!AG40)="x",$BI128*AG128,VALUE('Capacity summary'!AG40)),0),AG128*$BI128),AG128*$BI128),0)</f>
        <v>0</v>
      </c>
      <c r="CK128" s="5">
        <f>IF($BI128&lt;&gt;"",IF('Capacity summary'!$C$14="Yes",IF(COUNTBLANK('Capacity summary'!$H40:$BG40)&lt;52,IF('Capacity summary'!AH40&lt;&gt;"",IF(LOWER('Capacity summary'!AH40)="x",$BI128*AH128,VALUE('Capacity summary'!AH40)),0),AH128*$BI128),AH128*$BI128),0)</f>
        <v>0</v>
      </c>
      <c r="CL128" s="5">
        <f>IF($BI128&lt;&gt;"",IF('Capacity summary'!$C$14="Yes",IF(COUNTBLANK('Capacity summary'!$H40:$BG40)&lt;52,IF('Capacity summary'!AI40&lt;&gt;"",IF(LOWER('Capacity summary'!AI40)="x",$BI128*AI128,VALUE('Capacity summary'!AI40)),0),AI128*$BI128),AI128*$BI128),0)</f>
        <v>0</v>
      </c>
      <c r="CM128" s="5">
        <f>IF($BI128&lt;&gt;"",IF('Capacity summary'!$C$14="Yes",IF(COUNTBLANK('Capacity summary'!$H40:$BG40)&lt;52,IF('Capacity summary'!AJ40&lt;&gt;"",IF(LOWER('Capacity summary'!AJ40)="x",$BI128*AJ128,VALUE('Capacity summary'!AJ40)),0),AJ128*$BI128),AJ128*$BI128),0)</f>
        <v>0</v>
      </c>
      <c r="CN128" s="5">
        <f>IF($BI128&lt;&gt;"",IF('Capacity summary'!$C$14="Yes",IF(COUNTBLANK('Capacity summary'!$H40:$BG40)&lt;52,IF('Capacity summary'!AK40&lt;&gt;"",IF(LOWER('Capacity summary'!AK40)="x",$BI128*AK128,VALUE('Capacity summary'!AK40)),0),AK128*$BI128),AK128*$BI128),0)</f>
        <v>0</v>
      </c>
      <c r="CO128" s="5">
        <f>IF($BI128&lt;&gt;"",IF('Capacity summary'!$C$14="Yes",IF(COUNTBLANK('Capacity summary'!$H40:$BG40)&lt;52,IF('Capacity summary'!AL40&lt;&gt;"",IF(LOWER('Capacity summary'!AL40)="x",$BI128*AL128,VALUE('Capacity summary'!AL40)),0),AL128*$BI128),AL128*$BI128),0)</f>
        <v>0</v>
      </c>
      <c r="CP128" s="5">
        <f>IF($BI128&lt;&gt;"",IF('Capacity summary'!$C$14="Yes",IF(COUNTBLANK('Capacity summary'!$H40:$BG40)&lt;52,IF('Capacity summary'!AM40&lt;&gt;"",IF(LOWER('Capacity summary'!AM40)="x",$BI128*AM128,VALUE('Capacity summary'!AM40)),0),AM128*$BI128),AM128*$BI128),0)</f>
        <v>0</v>
      </c>
      <c r="CQ128" s="5">
        <f>IF($BI128&lt;&gt;"",IF('Capacity summary'!$C$14="Yes",IF(COUNTBLANK('Capacity summary'!$H40:$BG40)&lt;52,IF('Capacity summary'!AN40&lt;&gt;"",IF(LOWER('Capacity summary'!AN40)="x",$BI128*AN128,VALUE('Capacity summary'!AN40)),0),AN128*$BI128),AN128*$BI128),0)</f>
        <v>0</v>
      </c>
      <c r="CR128" s="5">
        <f>IF($BI128&lt;&gt;"",IF('Capacity summary'!$C$14="Yes",IF(COUNTBLANK('Capacity summary'!$H40:$BG40)&lt;52,IF('Capacity summary'!AO40&lt;&gt;"",IF(LOWER('Capacity summary'!AO40)="x",$BI128*AO128,VALUE('Capacity summary'!AO40)),0),AO128*$BI128),AO128*$BI128),0)</f>
        <v>0</v>
      </c>
      <c r="CS128" s="5">
        <f>IF($BI128&lt;&gt;"",IF('Capacity summary'!$C$14="Yes",IF(COUNTBLANK('Capacity summary'!$H40:$BG40)&lt;52,IF('Capacity summary'!AP40&lt;&gt;"",IF(LOWER('Capacity summary'!AP40)="x",$BI128*AP128,VALUE('Capacity summary'!AP40)),0),AP128*$BI128),AP128*$BI128),0)</f>
        <v>0</v>
      </c>
      <c r="CT128" s="5">
        <f>IF($BI128&lt;&gt;"",IF('Capacity summary'!$C$14="Yes",IF(COUNTBLANK('Capacity summary'!$H40:$BG40)&lt;52,IF('Capacity summary'!AQ40&lt;&gt;"",IF(LOWER('Capacity summary'!AQ40)="x",$BI128*AQ128,VALUE('Capacity summary'!AQ40)),0),AQ128*$BI128),AQ128*$BI128),0)</f>
        <v>0</v>
      </c>
      <c r="CU128" s="5">
        <f>IF($BI128&lt;&gt;"",IF('Capacity summary'!$C$14="Yes",IF(COUNTBLANK('Capacity summary'!$H40:$BG40)&lt;52,IF('Capacity summary'!AR40&lt;&gt;"",IF(LOWER('Capacity summary'!AR40)="x",$BI128*AR128,VALUE('Capacity summary'!AR40)),0),AR128*$BI128),AR128*$BI128),0)</f>
        <v>0</v>
      </c>
      <c r="CV128" s="5">
        <f>IF($BI128&lt;&gt;"",IF('Capacity summary'!$C$14="Yes",IF(COUNTBLANK('Capacity summary'!$H40:$BG40)&lt;52,IF('Capacity summary'!AS40&lt;&gt;"",IF(LOWER('Capacity summary'!AS40)="x",$BI128*AS128,VALUE('Capacity summary'!AS40)),0),AS128*$BI128),AS128*$BI128),0)</f>
        <v>0</v>
      </c>
      <c r="CW128" s="5">
        <f>IF($BI128&lt;&gt;"",IF('Capacity summary'!$C$14="Yes",IF(COUNTBLANK('Capacity summary'!$H40:$BG40)&lt;52,IF('Capacity summary'!AT40&lt;&gt;"",IF(LOWER('Capacity summary'!AT40)="x",$BI128*AT128,VALUE('Capacity summary'!AT40)),0),AT128*$BI128),AT128*$BI128),0)</f>
        <v>0</v>
      </c>
      <c r="CX128" s="5">
        <f>IF($BI128&lt;&gt;"",IF('Capacity summary'!$C$14="Yes",IF(COUNTBLANK('Capacity summary'!$H40:$BG40)&lt;52,IF('Capacity summary'!AU40&lt;&gt;"",IF(LOWER('Capacity summary'!AU40)="x",$BI128*AU128,VALUE('Capacity summary'!AU40)),0),AU128*$BI128),AU128*$BI128),0)</f>
        <v>0</v>
      </c>
      <c r="CY128" s="5">
        <f>IF($BI128&lt;&gt;"",IF('Capacity summary'!$C$14="Yes",IF(COUNTBLANK('Capacity summary'!$H40:$BG40)&lt;52,IF('Capacity summary'!AV40&lt;&gt;"",IF(LOWER('Capacity summary'!AV40)="x",$BI128*AV128,VALUE('Capacity summary'!AV40)),0),AV128*$BI128),AV128*$BI128),0)</f>
        <v>0</v>
      </c>
      <c r="CZ128" s="5">
        <f>IF($BI128&lt;&gt;"",IF('Capacity summary'!$C$14="Yes",IF(COUNTBLANK('Capacity summary'!$H40:$BG40)&lt;52,IF('Capacity summary'!AW40&lt;&gt;"",IF(LOWER('Capacity summary'!AW40)="x",$BI128*AW128,VALUE('Capacity summary'!AW40)),0),AW128*$BI128),AW128*$BI128),0)</f>
        <v>0</v>
      </c>
      <c r="DA128" s="5">
        <f>IF($BI128&lt;&gt;"",IF('Capacity summary'!$C$14="Yes",IF(COUNTBLANK('Capacity summary'!$H40:$BG40)&lt;52,IF('Capacity summary'!AX40&lt;&gt;"",IF(LOWER('Capacity summary'!AX40)="x",$BI128*AX128,VALUE('Capacity summary'!AX40)),0),AX128*$BI128),AX128*$BI128),0)</f>
        <v>0</v>
      </c>
      <c r="DB128" s="5">
        <f>IF($BI128&lt;&gt;"",IF('Capacity summary'!$C$14="Yes",IF(COUNTBLANK('Capacity summary'!$H40:$BG40)&lt;52,IF('Capacity summary'!AY40&lt;&gt;"",IF(LOWER('Capacity summary'!AY40)="x",$BI128*AY128,VALUE('Capacity summary'!AY40)),0),AY128*$BI128),AY128*$BI128),0)</f>
        <v>0</v>
      </c>
      <c r="DC128" s="5">
        <f>IF($BI128&lt;&gt;"",IF('Capacity summary'!$C$14="Yes",IF(COUNTBLANK('Capacity summary'!$H40:$BG40)&lt;52,IF('Capacity summary'!AZ40&lt;&gt;"",IF(LOWER('Capacity summary'!AZ40)="x",$BI128*AZ128,VALUE('Capacity summary'!AZ40)),0),AZ128*$BI128),AZ128*$BI128),0)</f>
        <v>0</v>
      </c>
      <c r="DD128" s="5">
        <f>IF($BI128&lt;&gt;"",IF('Capacity summary'!$C$14="Yes",IF(COUNTBLANK('Capacity summary'!$H40:$BG40)&lt;52,IF('Capacity summary'!BA40&lt;&gt;"",IF(LOWER('Capacity summary'!BA40)="x",$BI128*BA128,VALUE('Capacity summary'!BA40)),0),BA128*$BI128),BA128*$BI128),0)</f>
        <v>0</v>
      </c>
      <c r="DE128" s="5">
        <f>IF($BI128&lt;&gt;"",IF('Capacity summary'!$C$14="Yes",IF(COUNTBLANK('Capacity summary'!$H40:$BG40)&lt;52,IF('Capacity summary'!BB40&lt;&gt;"",IF(LOWER('Capacity summary'!BB40)="x",$BI128*BB128,VALUE('Capacity summary'!BB40)),0),BB128*$BI128),BB128*$BI128),0)</f>
        <v>0</v>
      </c>
      <c r="DF128" s="5">
        <f>IF($BI128&lt;&gt;"",IF('Capacity summary'!$C$14="Yes",IF(COUNTBLANK('Capacity summary'!$H40:$BG40)&lt;52,IF('Capacity summary'!BC40&lt;&gt;"",IF(LOWER('Capacity summary'!BC40)="x",$BI128*BC128,VALUE('Capacity summary'!BC40)),0),BC128*$BI128),BC128*$BI128),0)</f>
        <v>0</v>
      </c>
      <c r="DG128" s="5">
        <f>IF($BI128&lt;&gt;"",IF('Capacity summary'!$C$14="Yes",IF(COUNTBLANK('Capacity summary'!$H40:$BG40)&lt;52,IF('Capacity summary'!BD40&lt;&gt;"",IF(LOWER('Capacity summary'!BD40)="x",$BI128*BD128,VALUE('Capacity summary'!BD40)),0),BD128*$BI128),BD128*$BI128),0)</f>
        <v>0</v>
      </c>
      <c r="DH128" s="5">
        <f>IF($BI128&lt;&gt;"",IF('Capacity summary'!$C$14="Yes",IF(COUNTBLANK('Capacity summary'!$H40:$BG40)&lt;52,IF('Capacity summary'!BE40&lt;&gt;"",IF(LOWER('Capacity summary'!BE40)="x",$BI128*BE128,VALUE('Capacity summary'!BE40)),0),BE128*$BI128),BE128*$BI128),0)</f>
        <v>0</v>
      </c>
      <c r="DI128" s="5">
        <f>IF($BI128&lt;&gt;"",IF('Capacity summary'!$C$14="Yes",IF(COUNTBLANK('Capacity summary'!$H40:$BG40)&lt;52,IF('Capacity summary'!BF40&lt;&gt;"",IF(LOWER('Capacity summary'!BF40)="x",$BI128*BF128,VALUE('Capacity summary'!BF40)),0),BF128*$BI128),BF128*$BI128),0)</f>
        <v>0</v>
      </c>
      <c r="DJ128" s="5">
        <f>IF($BI128&lt;&gt;"",IF('Capacity summary'!$C$14="Yes",IF(COUNTBLANK('Capacity summary'!$H40:$BG40)&lt;52,IF('Capacity summary'!BG40&lt;&gt;"",IF(LOWER('Capacity summary'!BG40)="x",$BI128*BG128,VALUE('Capacity summary'!BG40)),0),BG128*$BI128),BG128*$BI128),0)</f>
        <v>0</v>
      </c>
      <c r="DK128" s="391">
        <f t="shared" si="8"/>
        <v>0</v>
      </c>
      <c r="DL128" s="5">
        <f t="shared" si="9"/>
        <v>0</v>
      </c>
    </row>
    <row r="129" spans="3:116" x14ac:dyDescent="0.2">
      <c r="C129" s="67" t="str">
        <f>ROW(A18)&amp;". "&amp;Capacity!N34</f>
        <v xml:space="preserve">18. </v>
      </c>
      <c r="D129" s="67">
        <f>'Capacity setup'!C135</f>
        <v>0</v>
      </c>
      <c r="E129" s="67">
        <f>'Capacity setup'!D135</f>
        <v>0</v>
      </c>
      <c r="F129" s="67">
        <f>'Capacity setup'!E135</f>
        <v>0</v>
      </c>
      <c r="H129" s="67">
        <f ca="1">IF(LOWER(Capacity!$V34)="x",IF(AND(SUMIF(Capacity_Resource,$D129,'Critical resources (hide)'!U$6:U$105)+SUMIF(Capacity_Resource,$E129,'Critical resources (hide)'!U$6:U$105)+SUMIF(Capacity_Resource,$F129,'Critical resources (hide)'!U$6:U$105)&gt;0,$E$1=2),0,1),0)</f>
        <v>1</v>
      </c>
      <c r="I129" s="67">
        <f ca="1">IF(LOWER(Capacity!$V34)="x",IF(AND(SUMIF(Capacity_Resource,$D129,'Critical resources (hide)'!V$6:V$105)+SUMIF(Capacity_Resource,$E129,'Critical resources (hide)'!V$6:V$105)+SUMIF(Capacity_Resource,$F129,'Critical resources (hide)'!V$6:V$105)&gt;0,$E$1=2),0,1),0)</f>
        <v>1</v>
      </c>
      <c r="J129" s="67">
        <f ca="1">IF(LOWER(Capacity!$V34)="x",IF(AND(SUMIF(Capacity_Resource,$D129,'Critical resources (hide)'!W$6:W$105)+SUMIF(Capacity_Resource,$E129,'Critical resources (hide)'!W$6:W$105)+SUMIF(Capacity_Resource,$F129,'Critical resources (hide)'!W$6:W$105)&gt;0,$E$1=2),0,1),0)</f>
        <v>1</v>
      </c>
      <c r="K129" s="67">
        <f ca="1">IF(LOWER(Capacity!$V34)="x",IF(AND(SUMIF(Capacity_Resource,$D129,'Critical resources (hide)'!X$6:X$105)+SUMIF(Capacity_Resource,$E129,'Critical resources (hide)'!X$6:X$105)+SUMIF(Capacity_Resource,$F129,'Critical resources (hide)'!X$6:X$105)&gt;0,$E$1=2),0,1),0)</f>
        <v>1</v>
      </c>
      <c r="L129" s="67">
        <f ca="1">IF(LOWER(Capacity!$V34)="x",IF(AND(SUMIF(Capacity_Resource,$D129,'Critical resources (hide)'!Y$6:Y$105)+SUMIF(Capacity_Resource,$E129,'Critical resources (hide)'!Y$6:Y$105)+SUMIF(Capacity_Resource,$F129,'Critical resources (hide)'!Y$6:Y$105)&gt;0,$E$1=2),0,1),0)</f>
        <v>1</v>
      </c>
      <c r="M129" s="67">
        <f ca="1">IF(LOWER(Capacity!$V34)="x",IF(AND(SUMIF(Capacity_Resource,$D129,'Critical resources (hide)'!Z$6:Z$105)+SUMIF(Capacity_Resource,$E129,'Critical resources (hide)'!Z$6:Z$105)+SUMIF(Capacity_Resource,$F129,'Critical resources (hide)'!Z$6:Z$105)&gt;0,$E$1=2),0,1),0)</f>
        <v>1</v>
      </c>
      <c r="N129" s="67">
        <f ca="1">IF(LOWER(Capacity!$V34)="x",IF(AND(SUMIF(Capacity_Resource,$D129,'Critical resources (hide)'!AA$6:AA$105)+SUMIF(Capacity_Resource,$E129,'Critical resources (hide)'!AA$6:AA$105)+SUMIF(Capacity_Resource,$F129,'Critical resources (hide)'!AA$6:AA$105)&gt;0,$E$1=2),0,1),0)</f>
        <v>1</v>
      </c>
      <c r="O129" s="67">
        <f ca="1">IF(LOWER(Capacity!$V34)="x",IF(AND(SUMIF(Capacity_Resource,$D129,'Critical resources (hide)'!AB$6:AB$105)+SUMIF(Capacity_Resource,$E129,'Critical resources (hide)'!AB$6:AB$105)+SUMIF(Capacity_Resource,$F129,'Critical resources (hide)'!AB$6:AB$105)&gt;0,$E$1=2),0,1),0)</f>
        <v>1</v>
      </c>
      <c r="P129" s="67">
        <f ca="1">IF(LOWER(Capacity!$V34)="x",IF(AND(SUMIF(Capacity_Resource,$D129,'Critical resources (hide)'!AC$6:AC$105)+SUMIF(Capacity_Resource,$E129,'Critical resources (hide)'!AC$6:AC$105)+SUMIF(Capacity_Resource,$F129,'Critical resources (hide)'!AC$6:AC$105)&gt;0,$E$1=2),0,1),0)</f>
        <v>1</v>
      </c>
      <c r="Q129" s="67">
        <f ca="1">IF(LOWER(Capacity!$V34)="x",IF(AND(SUMIF(Capacity_Resource,$D129,'Critical resources (hide)'!AD$6:AD$105)+SUMIF(Capacity_Resource,$E129,'Critical resources (hide)'!AD$6:AD$105)+SUMIF(Capacity_Resource,$F129,'Critical resources (hide)'!AD$6:AD$105)&gt;0,$E$1=2),0,1),0)</f>
        <v>1</v>
      </c>
      <c r="R129" s="67">
        <f ca="1">IF(LOWER(Capacity!$V34)="x",IF(AND(SUMIF(Capacity_Resource,$D129,'Critical resources (hide)'!AE$6:AE$105)+SUMIF(Capacity_Resource,$E129,'Critical resources (hide)'!AE$6:AE$105)+SUMIF(Capacity_Resource,$F129,'Critical resources (hide)'!AE$6:AE$105)&gt;0,$E$1=2),0,1),0)</f>
        <v>1</v>
      </c>
      <c r="S129" s="67">
        <f ca="1">IF(LOWER(Capacity!$V34)="x",IF(AND(SUMIF(Capacity_Resource,$D129,'Critical resources (hide)'!AF$6:AF$105)+SUMIF(Capacity_Resource,$E129,'Critical resources (hide)'!AF$6:AF$105)+SUMIF(Capacity_Resource,$F129,'Critical resources (hide)'!AF$6:AF$105)&gt;0,$E$1=2),0,1),0)</f>
        <v>1</v>
      </c>
      <c r="T129" s="67">
        <f ca="1">IF(LOWER(Capacity!$V34)="x",IF(AND(SUMIF(Capacity_Resource,$D129,'Critical resources (hide)'!AG$6:AG$105)+SUMIF(Capacity_Resource,$E129,'Critical resources (hide)'!AG$6:AG$105)+SUMIF(Capacity_Resource,$F129,'Critical resources (hide)'!AG$6:AG$105)&gt;0,$E$1=2),0,1),0)</f>
        <v>1</v>
      </c>
      <c r="U129" s="67">
        <f ca="1">IF(LOWER(Capacity!$V34)="x",IF(AND(SUMIF(Capacity_Resource,$D129,'Critical resources (hide)'!AH$6:AH$105)+SUMIF(Capacity_Resource,$E129,'Critical resources (hide)'!AH$6:AH$105)+SUMIF(Capacity_Resource,$F129,'Critical resources (hide)'!AH$6:AH$105)&gt;0,$E$1=2),0,1),0)</f>
        <v>1</v>
      </c>
      <c r="V129" s="67">
        <f ca="1">IF(LOWER(Capacity!$V34)="x",IF(AND(SUMIF(Capacity_Resource,$D129,'Critical resources (hide)'!AI$6:AI$105)+SUMIF(Capacity_Resource,$E129,'Critical resources (hide)'!AI$6:AI$105)+SUMIF(Capacity_Resource,$F129,'Critical resources (hide)'!AI$6:AI$105)&gt;0,$E$1=2),0,1),0)</f>
        <v>1</v>
      </c>
      <c r="W129" s="67">
        <f ca="1">IF(LOWER(Capacity!$V34)="x",IF(AND(SUMIF(Capacity_Resource,$D129,'Critical resources (hide)'!AJ$6:AJ$105)+SUMIF(Capacity_Resource,$E129,'Critical resources (hide)'!AJ$6:AJ$105)+SUMIF(Capacity_Resource,$F129,'Critical resources (hide)'!AJ$6:AJ$105)&gt;0,$E$1=2),0,1),0)</f>
        <v>1</v>
      </c>
      <c r="X129" s="67">
        <f ca="1">IF(LOWER(Capacity!$V34)="x",IF(AND(SUMIF(Capacity_Resource,$D129,'Critical resources (hide)'!AK$6:AK$105)+SUMIF(Capacity_Resource,$E129,'Critical resources (hide)'!AK$6:AK$105)+SUMIF(Capacity_Resource,$F129,'Critical resources (hide)'!AK$6:AK$105)&gt;0,$E$1=2),0,1),0)</f>
        <v>1</v>
      </c>
      <c r="Y129" s="67">
        <f ca="1">IF(LOWER(Capacity!$V34)="x",IF(AND(SUMIF(Capacity_Resource,$D129,'Critical resources (hide)'!AL$6:AL$105)+SUMIF(Capacity_Resource,$E129,'Critical resources (hide)'!AL$6:AL$105)+SUMIF(Capacity_Resource,$F129,'Critical resources (hide)'!AL$6:AL$105)&gt;0,$E$1=2),0,1),0)</f>
        <v>1</v>
      </c>
      <c r="Z129" s="67">
        <f ca="1">IF(LOWER(Capacity!$V34)="x",IF(AND(SUMIF(Capacity_Resource,$D129,'Critical resources (hide)'!AM$6:AM$105)+SUMIF(Capacity_Resource,$E129,'Critical resources (hide)'!AM$6:AM$105)+SUMIF(Capacity_Resource,$F129,'Critical resources (hide)'!AM$6:AM$105)&gt;0,$E$1=2),0,1),0)</f>
        <v>1</v>
      </c>
      <c r="AA129" s="67">
        <f ca="1">IF(LOWER(Capacity!$V34)="x",IF(AND(SUMIF(Capacity_Resource,$D129,'Critical resources (hide)'!AN$6:AN$105)+SUMIF(Capacity_Resource,$E129,'Critical resources (hide)'!AN$6:AN$105)+SUMIF(Capacity_Resource,$F129,'Critical resources (hide)'!AN$6:AN$105)&gt;0,$E$1=2),0,1),0)</f>
        <v>1</v>
      </c>
      <c r="AB129" s="67">
        <f ca="1">IF(LOWER(Capacity!$V34)="x",IF(AND(SUMIF(Capacity_Resource,$D129,'Critical resources (hide)'!AO$6:AO$105)+SUMIF(Capacity_Resource,$E129,'Critical resources (hide)'!AO$6:AO$105)+SUMIF(Capacity_Resource,$F129,'Critical resources (hide)'!AO$6:AO$105)&gt;0,$E$1=2),0,1),0)</f>
        <v>1</v>
      </c>
      <c r="AC129" s="67">
        <f ca="1">IF(LOWER(Capacity!$V34)="x",IF(AND(SUMIF(Capacity_Resource,$D129,'Critical resources (hide)'!AP$6:AP$105)+SUMIF(Capacity_Resource,$E129,'Critical resources (hide)'!AP$6:AP$105)+SUMIF(Capacity_Resource,$F129,'Critical resources (hide)'!AP$6:AP$105)&gt;0,$E$1=2),0,1),0)</f>
        <v>1</v>
      </c>
      <c r="AD129" s="67">
        <f ca="1">IF(LOWER(Capacity!$V34)="x",IF(AND(SUMIF(Capacity_Resource,$D129,'Critical resources (hide)'!AQ$6:AQ$105)+SUMIF(Capacity_Resource,$E129,'Critical resources (hide)'!AQ$6:AQ$105)+SUMIF(Capacity_Resource,$F129,'Critical resources (hide)'!AQ$6:AQ$105)&gt;0,$E$1=2),0,1),0)</f>
        <v>1</v>
      </c>
      <c r="AE129" s="67">
        <f ca="1">IF(LOWER(Capacity!$V34)="x",IF(AND(SUMIF(Capacity_Resource,$D129,'Critical resources (hide)'!AR$6:AR$105)+SUMIF(Capacity_Resource,$E129,'Critical resources (hide)'!AR$6:AR$105)+SUMIF(Capacity_Resource,$F129,'Critical resources (hide)'!AR$6:AR$105)&gt;0,$E$1=2),0,1),0)</f>
        <v>1</v>
      </c>
      <c r="AF129" s="67">
        <f ca="1">IF(LOWER(Capacity!$V34)="x",IF(AND(SUMIF(Capacity_Resource,$D129,'Critical resources (hide)'!AS$6:AS$105)+SUMIF(Capacity_Resource,$E129,'Critical resources (hide)'!AS$6:AS$105)+SUMIF(Capacity_Resource,$F129,'Critical resources (hide)'!AS$6:AS$105)&gt;0,$E$1=2),0,1),0)</f>
        <v>1</v>
      </c>
      <c r="AG129" s="67">
        <f ca="1">IF(LOWER(Capacity!$V34)="x",IF(AND(SUMIF(Capacity_Resource,$D129,'Critical resources (hide)'!AT$6:AT$105)+SUMIF(Capacity_Resource,$E129,'Critical resources (hide)'!AT$6:AT$105)+SUMIF(Capacity_Resource,$F129,'Critical resources (hide)'!AT$6:AT$105)&gt;0,$E$1=2),0,1),0)</f>
        <v>1</v>
      </c>
      <c r="AH129" s="67">
        <f ca="1">IF(LOWER(Capacity!$V34)="x",IF(AND(SUMIF(Capacity_Resource,$D129,'Critical resources (hide)'!AU$6:AU$105)+SUMIF(Capacity_Resource,$E129,'Critical resources (hide)'!AU$6:AU$105)+SUMIF(Capacity_Resource,$F129,'Critical resources (hide)'!AU$6:AU$105)&gt;0,$E$1=2),0,1),0)</f>
        <v>1</v>
      </c>
      <c r="AI129" s="67">
        <f ca="1">IF(LOWER(Capacity!$V34)="x",IF(AND(SUMIF(Capacity_Resource,$D129,'Critical resources (hide)'!AV$6:AV$105)+SUMIF(Capacity_Resource,$E129,'Critical resources (hide)'!AV$6:AV$105)+SUMIF(Capacity_Resource,$F129,'Critical resources (hide)'!AV$6:AV$105)&gt;0,$E$1=2),0,1),0)</f>
        <v>1</v>
      </c>
      <c r="AJ129" s="67">
        <f ca="1">IF(LOWER(Capacity!$V34)="x",IF(AND(SUMIF(Capacity_Resource,$D129,'Critical resources (hide)'!AW$6:AW$105)+SUMIF(Capacity_Resource,$E129,'Critical resources (hide)'!AW$6:AW$105)+SUMIF(Capacity_Resource,$F129,'Critical resources (hide)'!AW$6:AW$105)&gt;0,$E$1=2),0,1),0)</f>
        <v>1</v>
      </c>
      <c r="AK129" s="67">
        <f ca="1">IF(LOWER(Capacity!$V34)="x",IF(AND(SUMIF(Capacity_Resource,$D129,'Critical resources (hide)'!AX$6:AX$105)+SUMIF(Capacity_Resource,$E129,'Critical resources (hide)'!AX$6:AX$105)+SUMIF(Capacity_Resource,$F129,'Critical resources (hide)'!AX$6:AX$105)&gt;0,$E$1=2),0,1),0)</f>
        <v>1</v>
      </c>
      <c r="AL129" s="67">
        <f ca="1">IF(LOWER(Capacity!$V34)="x",IF(AND(SUMIF(Capacity_Resource,$D129,'Critical resources (hide)'!AY$6:AY$105)+SUMIF(Capacity_Resource,$E129,'Critical resources (hide)'!AY$6:AY$105)+SUMIF(Capacity_Resource,$F129,'Critical resources (hide)'!AY$6:AY$105)&gt;0,$E$1=2),0,1),0)</f>
        <v>1</v>
      </c>
      <c r="AM129" s="67">
        <f ca="1">IF(LOWER(Capacity!$V34)="x",IF(AND(SUMIF(Capacity_Resource,$D129,'Critical resources (hide)'!AZ$6:AZ$105)+SUMIF(Capacity_Resource,$E129,'Critical resources (hide)'!AZ$6:AZ$105)+SUMIF(Capacity_Resource,$F129,'Critical resources (hide)'!AZ$6:AZ$105)&gt;0,$E$1=2),0,1),0)</f>
        <v>1</v>
      </c>
      <c r="AN129" s="67">
        <f ca="1">IF(LOWER(Capacity!$V34)="x",IF(AND(SUMIF(Capacity_Resource,$D129,'Critical resources (hide)'!BA$6:BA$105)+SUMIF(Capacity_Resource,$E129,'Critical resources (hide)'!BA$6:BA$105)+SUMIF(Capacity_Resource,$F129,'Critical resources (hide)'!BA$6:BA$105)&gt;0,$E$1=2),0,1),0)</f>
        <v>1</v>
      </c>
      <c r="AO129" s="67">
        <f ca="1">IF(LOWER(Capacity!$V34)="x",IF(AND(SUMIF(Capacity_Resource,$D129,'Critical resources (hide)'!BB$6:BB$105)+SUMIF(Capacity_Resource,$E129,'Critical resources (hide)'!BB$6:BB$105)+SUMIF(Capacity_Resource,$F129,'Critical resources (hide)'!BB$6:BB$105)&gt;0,$E$1=2),0,1),0)</f>
        <v>1</v>
      </c>
      <c r="AP129" s="67">
        <f ca="1">IF(LOWER(Capacity!$V34)="x",IF(AND(SUMIF(Capacity_Resource,$D129,'Critical resources (hide)'!BC$6:BC$105)+SUMIF(Capacity_Resource,$E129,'Critical resources (hide)'!BC$6:BC$105)+SUMIF(Capacity_Resource,$F129,'Critical resources (hide)'!BC$6:BC$105)&gt;0,$E$1=2),0,1),0)</f>
        <v>1</v>
      </c>
      <c r="AQ129" s="67">
        <f ca="1">IF(LOWER(Capacity!$V34)="x",IF(AND(SUMIF(Capacity_Resource,$D129,'Critical resources (hide)'!BD$6:BD$105)+SUMIF(Capacity_Resource,$E129,'Critical resources (hide)'!BD$6:BD$105)+SUMIF(Capacity_Resource,$F129,'Critical resources (hide)'!BD$6:BD$105)&gt;0,$E$1=2),0,1),0)</f>
        <v>1</v>
      </c>
      <c r="AR129" s="67">
        <f ca="1">IF(LOWER(Capacity!$V34)="x",IF(AND(SUMIF(Capacity_Resource,$D129,'Critical resources (hide)'!BE$6:BE$105)+SUMIF(Capacity_Resource,$E129,'Critical resources (hide)'!BE$6:BE$105)+SUMIF(Capacity_Resource,$F129,'Critical resources (hide)'!BE$6:BE$105)&gt;0,$E$1=2),0,1),0)</f>
        <v>1</v>
      </c>
      <c r="AS129" s="67">
        <f ca="1">IF(LOWER(Capacity!$V34)="x",IF(AND(SUMIF(Capacity_Resource,$D129,'Critical resources (hide)'!BF$6:BF$105)+SUMIF(Capacity_Resource,$E129,'Critical resources (hide)'!BF$6:BF$105)+SUMIF(Capacity_Resource,$F129,'Critical resources (hide)'!BF$6:BF$105)&gt;0,$E$1=2),0,1),0)</f>
        <v>1</v>
      </c>
      <c r="AT129" s="67">
        <f ca="1">IF(LOWER(Capacity!$V34)="x",IF(AND(SUMIF(Capacity_Resource,$D129,'Critical resources (hide)'!BG$6:BG$105)+SUMIF(Capacity_Resource,$E129,'Critical resources (hide)'!BG$6:BG$105)+SUMIF(Capacity_Resource,$F129,'Critical resources (hide)'!BG$6:BG$105)&gt;0,$E$1=2),0,1),0)</f>
        <v>1</v>
      </c>
      <c r="AU129" s="67">
        <f ca="1">IF(LOWER(Capacity!$V34)="x",IF(AND(SUMIF(Capacity_Resource,$D129,'Critical resources (hide)'!BH$6:BH$105)+SUMIF(Capacity_Resource,$E129,'Critical resources (hide)'!BH$6:BH$105)+SUMIF(Capacity_Resource,$F129,'Critical resources (hide)'!BH$6:BH$105)&gt;0,$E$1=2),0,1),0)</f>
        <v>1</v>
      </c>
      <c r="AV129" s="67">
        <f ca="1">IF(LOWER(Capacity!$V34)="x",IF(AND(SUMIF(Capacity_Resource,$D129,'Critical resources (hide)'!BI$6:BI$105)+SUMIF(Capacity_Resource,$E129,'Critical resources (hide)'!BI$6:BI$105)+SUMIF(Capacity_Resource,$F129,'Critical resources (hide)'!BI$6:BI$105)&gt;0,$E$1=2),0,1),0)</f>
        <v>1</v>
      </c>
      <c r="AW129" s="67">
        <f ca="1">IF(LOWER(Capacity!$V34)="x",IF(AND(SUMIF(Capacity_Resource,$D129,'Critical resources (hide)'!BJ$6:BJ$105)+SUMIF(Capacity_Resource,$E129,'Critical resources (hide)'!BJ$6:BJ$105)+SUMIF(Capacity_Resource,$F129,'Critical resources (hide)'!BJ$6:BJ$105)&gt;0,$E$1=2),0,1),0)</f>
        <v>1</v>
      </c>
      <c r="AX129" s="67">
        <f ca="1">IF(LOWER(Capacity!$V34)="x",IF(AND(SUMIF(Capacity_Resource,$D129,'Critical resources (hide)'!BK$6:BK$105)+SUMIF(Capacity_Resource,$E129,'Critical resources (hide)'!BK$6:BK$105)+SUMIF(Capacity_Resource,$F129,'Critical resources (hide)'!BK$6:BK$105)&gt;0,$E$1=2),0,1),0)</f>
        <v>1</v>
      </c>
      <c r="AY129" s="67">
        <f ca="1">IF(LOWER(Capacity!$V34)="x",IF(AND(SUMIF(Capacity_Resource,$D129,'Critical resources (hide)'!BL$6:BL$105)+SUMIF(Capacity_Resource,$E129,'Critical resources (hide)'!BL$6:BL$105)+SUMIF(Capacity_Resource,$F129,'Critical resources (hide)'!BL$6:BL$105)&gt;0,$E$1=2),0,1),0)</f>
        <v>1</v>
      </c>
      <c r="AZ129" s="67">
        <f ca="1">IF(LOWER(Capacity!$V34)="x",IF(AND(SUMIF(Capacity_Resource,$D129,'Critical resources (hide)'!BM$6:BM$105)+SUMIF(Capacity_Resource,$E129,'Critical resources (hide)'!BM$6:BM$105)+SUMIF(Capacity_Resource,$F129,'Critical resources (hide)'!BM$6:BM$105)&gt;0,$E$1=2),0,1),0)</f>
        <v>1</v>
      </c>
      <c r="BA129" s="67">
        <f ca="1">IF(LOWER(Capacity!$V34)="x",IF(AND(SUMIF(Capacity_Resource,$D129,'Critical resources (hide)'!BN$6:BN$105)+SUMIF(Capacity_Resource,$E129,'Critical resources (hide)'!BN$6:BN$105)+SUMIF(Capacity_Resource,$F129,'Critical resources (hide)'!BN$6:BN$105)&gt;0,$E$1=2),0,1),0)</f>
        <v>1</v>
      </c>
      <c r="BB129" s="67">
        <f ca="1">IF(LOWER(Capacity!$V34)="x",IF(AND(SUMIF(Capacity_Resource,$D129,'Critical resources (hide)'!BO$6:BO$105)+SUMIF(Capacity_Resource,$E129,'Critical resources (hide)'!BO$6:BO$105)+SUMIF(Capacity_Resource,$F129,'Critical resources (hide)'!BO$6:BO$105)&gt;0,$E$1=2),0,1),0)</f>
        <v>1</v>
      </c>
      <c r="BC129" s="67">
        <f ca="1">IF(LOWER(Capacity!$V34)="x",IF(AND(SUMIF(Capacity_Resource,$D129,'Critical resources (hide)'!BP$6:BP$105)+SUMIF(Capacity_Resource,$E129,'Critical resources (hide)'!BP$6:BP$105)+SUMIF(Capacity_Resource,$F129,'Critical resources (hide)'!BP$6:BP$105)&gt;0,$E$1=2),0,1),0)</f>
        <v>1</v>
      </c>
      <c r="BD129" s="67">
        <f ca="1">IF(LOWER(Capacity!$V34)="x",IF(AND(SUMIF(Capacity_Resource,$D129,'Critical resources (hide)'!BQ$6:BQ$105)+SUMIF(Capacity_Resource,$E129,'Critical resources (hide)'!BQ$6:BQ$105)+SUMIF(Capacity_Resource,$F129,'Critical resources (hide)'!BQ$6:BQ$105)&gt;0,$E$1=2),0,1),0)</f>
        <v>1</v>
      </c>
      <c r="BE129" s="67">
        <f ca="1">IF(LOWER(Capacity!$V34)="x",IF(AND(SUMIF(Capacity_Resource,$D129,'Critical resources (hide)'!BR$6:BR$105)+SUMIF(Capacity_Resource,$E129,'Critical resources (hide)'!BR$6:BR$105)+SUMIF(Capacity_Resource,$F129,'Critical resources (hide)'!BR$6:BR$105)&gt;0,$E$1=2),0,1),0)</f>
        <v>1</v>
      </c>
      <c r="BF129" s="67">
        <f ca="1">IF(LOWER(Capacity!$V34)="x",IF(AND(SUMIF(Capacity_Resource,$D129,'Critical resources (hide)'!BS$6:BS$105)+SUMIF(Capacity_Resource,$E129,'Critical resources (hide)'!BS$6:BS$105)+SUMIF(Capacity_Resource,$F129,'Critical resources (hide)'!BS$6:BS$105)&gt;0,$E$1=2),0,1),0)</f>
        <v>1</v>
      </c>
      <c r="BG129" s="67">
        <f ca="1">IF(LOWER(Capacity!$V34)="x",IF(AND(SUMIF(Capacity_Resource,$D129,'Critical resources (hide)'!BT$6:BT$105)+SUMIF(Capacity_Resource,$E129,'Critical resources (hide)'!BT$6:BT$105)+SUMIF(Capacity_Resource,$F129,'Critical resources (hide)'!BT$6:BT$105)&gt;0,$E$1=2),0,1),0)</f>
        <v>1</v>
      </c>
      <c r="BH129" s="67">
        <f>IF(ROW(A18)&lt;=Capacity!$M$16,IF('Capacity summary'!$C$14="No",SUM(H129:BG129),'Capacity summary'!$E41),0)</f>
        <v>0</v>
      </c>
      <c r="BI129" s="67" t="str">
        <f>IF(BH129&gt;0,IF(BH129&lt;Capacity!Q34,Capacity!R34,Capacity!T34/'Capacity calculation (hide)'!BH129),"")</f>
        <v/>
      </c>
      <c r="BJ129" s="5"/>
      <c r="BK129" s="5">
        <f>IF($BI129&lt;&gt;"",IF('Capacity summary'!$C$14="Yes",IF(COUNTBLANK('Capacity summary'!$H41:$BG41)&lt;52,IF('Capacity summary'!H41&lt;&gt;"",IF(LOWER('Capacity summary'!H41)="x",$BI129*H129,VALUE('Capacity summary'!H41)),0),H129*$BI129),H129*$BI129),0)</f>
        <v>0</v>
      </c>
      <c r="BL129" s="5">
        <f>IF($BI129&lt;&gt;"",IF('Capacity summary'!$C$14="Yes",IF(COUNTBLANK('Capacity summary'!$H41:$BG41)&lt;52,IF('Capacity summary'!I41&lt;&gt;"",IF(LOWER('Capacity summary'!I41)="x",$BI129*I129,VALUE('Capacity summary'!I41)),0),I129*$BI129),I129*$BI129),0)</f>
        <v>0</v>
      </c>
      <c r="BM129" s="5">
        <f>IF($BI129&lt;&gt;"",IF('Capacity summary'!$C$14="Yes",IF(COUNTBLANK('Capacity summary'!$H41:$BG41)&lt;52,IF('Capacity summary'!J41&lt;&gt;"",IF(LOWER('Capacity summary'!J41)="x",$BI129*J129,VALUE('Capacity summary'!J41)),0),J129*$BI129),J129*$BI129),0)</f>
        <v>0</v>
      </c>
      <c r="BN129" s="5">
        <f>IF($BI129&lt;&gt;"",IF('Capacity summary'!$C$14="Yes",IF(COUNTBLANK('Capacity summary'!$H41:$BG41)&lt;52,IF('Capacity summary'!K41&lt;&gt;"",IF(LOWER('Capacity summary'!K41)="x",$BI129*K129,VALUE('Capacity summary'!K41)),0),K129*$BI129),K129*$BI129),0)</f>
        <v>0</v>
      </c>
      <c r="BO129" s="5">
        <f>IF($BI129&lt;&gt;"",IF('Capacity summary'!$C$14="Yes",IF(COUNTBLANK('Capacity summary'!$H41:$BG41)&lt;52,IF('Capacity summary'!L41&lt;&gt;"",IF(LOWER('Capacity summary'!L41)="x",$BI129*L129,VALUE('Capacity summary'!L41)),0),L129*$BI129),L129*$BI129),0)</f>
        <v>0</v>
      </c>
      <c r="BP129" s="5">
        <f>IF($BI129&lt;&gt;"",IF('Capacity summary'!$C$14="Yes",IF(COUNTBLANK('Capacity summary'!$H41:$BG41)&lt;52,IF('Capacity summary'!M41&lt;&gt;"",IF(LOWER('Capacity summary'!M41)="x",$BI129*M129,VALUE('Capacity summary'!M41)),0),M129*$BI129),M129*$BI129),0)</f>
        <v>0</v>
      </c>
      <c r="BQ129" s="5">
        <f>IF($BI129&lt;&gt;"",IF('Capacity summary'!$C$14="Yes",IF(COUNTBLANK('Capacity summary'!$H41:$BG41)&lt;52,IF('Capacity summary'!N41&lt;&gt;"",IF(LOWER('Capacity summary'!N41)="x",$BI129*N129,VALUE('Capacity summary'!N41)),0),N129*$BI129),N129*$BI129),0)</f>
        <v>0</v>
      </c>
      <c r="BR129" s="5">
        <f>IF($BI129&lt;&gt;"",IF('Capacity summary'!$C$14="Yes",IF(COUNTBLANK('Capacity summary'!$H41:$BG41)&lt;52,IF('Capacity summary'!O41&lt;&gt;"",IF(LOWER('Capacity summary'!O41)="x",$BI129*O129,VALUE('Capacity summary'!O41)),0),O129*$BI129),O129*$BI129),0)</f>
        <v>0</v>
      </c>
      <c r="BS129" s="5">
        <f>IF($BI129&lt;&gt;"",IF('Capacity summary'!$C$14="Yes",IF(COUNTBLANK('Capacity summary'!$H41:$BG41)&lt;52,IF('Capacity summary'!P41&lt;&gt;"",IF(LOWER('Capacity summary'!P41)="x",$BI129*P129,VALUE('Capacity summary'!P41)),0),P129*$BI129),P129*$BI129),0)</f>
        <v>0</v>
      </c>
      <c r="BT129" s="5">
        <f>IF($BI129&lt;&gt;"",IF('Capacity summary'!$C$14="Yes",IF(COUNTBLANK('Capacity summary'!$H41:$BG41)&lt;52,IF('Capacity summary'!Q41&lt;&gt;"",IF(LOWER('Capacity summary'!Q41)="x",$BI129*Q129,VALUE('Capacity summary'!Q41)),0),Q129*$BI129),Q129*$BI129),0)</f>
        <v>0</v>
      </c>
      <c r="BU129" s="5">
        <f>IF($BI129&lt;&gt;"",IF('Capacity summary'!$C$14="Yes",IF(COUNTBLANK('Capacity summary'!$H41:$BG41)&lt;52,IF('Capacity summary'!R41&lt;&gt;"",IF(LOWER('Capacity summary'!R41)="x",$BI129*R129,VALUE('Capacity summary'!R41)),0),R129*$BI129),R129*$BI129),0)</f>
        <v>0</v>
      </c>
      <c r="BV129" s="5">
        <f>IF($BI129&lt;&gt;"",IF('Capacity summary'!$C$14="Yes",IF(COUNTBLANK('Capacity summary'!$H41:$BG41)&lt;52,IF('Capacity summary'!S41&lt;&gt;"",IF(LOWER('Capacity summary'!S41)="x",$BI129*S129,VALUE('Capacity summary'!S41)),0),S129*$BI129),S129*$BI129),0)</f>
        <v>0</v>
      </c>
      <c r="BW129" s="5">
        <f>IF($BI129&lt;&gt;"",IF('Capacity summary'!$C$14="Yes",IF(COUNTBLANK('Capacity summary'!$H41:$BG41)&lt;52,IF('Capacity summary'!T41&lt;&gt;"",IF(LOWER('Capacity summary'!T41)="x",$BI129*T129,VALUE('Capacity summary'!T41)),0),T129*$BI129),T129*$BI129),0)</f>
        <v>0</v>
      </c>
      <c r="BX129" s="5">
        <f>IF($BI129&lt;&gt;"",IF('Capacity summary'!$C$14="Yes",IF(COUNTBLANK('Capacity summary'!$H41:$BG41)&lt;52,IF('Capacity summary'!U41&lt;&gt;"",IF(LOWER('Capacity summary'!U41)="x",$BI129*U129,VALUE('Capacity summary'!U41)),0),U129*$BI129),U129*$BI129),0)</f>
        <v>0</v>
      </c>
      <c r="BY129" s="5">
        <f>IF($BI129&lt;&gt;"",IF('Capacity summary'!$C$14="Yes",IF(COUNTBLANK('Capacity summary'!$H41:$BG41)&lt;52,IF('Capacity summary'!V41&lt;&gt;"",IF(LOWER('Capacity summary'!V41)="x",$BI129*V129,VALUE('Capacity summary'!V41)),0),V129*$BI129),V129*$BI129),0)</f>
        <v>0</v>
      </c>
      <c r="BZ129" s="5">
        <f>IF($BI129&lt;&gt;"",IF('Capacity summary'!$C$14="Yes",IF(COUNTBLANK('Capacity summary'!$H41:$BG41)&lt;52,IF('Capacity summary'!W41&lt;&gt;"",IF(LOWER('Capacity summary'!W41)="x",$BI129*W129,VALUE('Capacity summary'!W41)),0),W129*$BI129),W129*$BI129),0)</f>
        <v>0</v>
      </c>
      <c r="CA129" s="5">
        <f>IF($BI129&lt;&gt;"",IF('Capacity summary'!$C$14="Yes",IF(COUNTBLANK('Capacity summary'!$H41:$BG41)&lt;52,IF('Capacity summary'!X41&lt;&gt;"",IF(LOWER('Capacity summary'!X41)="x",$BI129*X129,VALUE('Capacity summary'!X41)),0),X129*$BI129),X129*$BI129),0)</f>
        <v>0</v>
      </c>
      <c r="CB129" s="5">
        <f>IF($BI129&lt;&gt;"",IF('Capacity summary'!$C$14="Yes",IF(COUNTBLANK('Capacity summary'!$H41:$BG41)&lt;52,IF('Capacity summary'!Y41&lt;&gt;"",IF(LOWER('Capacity summary'!Y41)="x",$BI129*Y129,VALUE('Capacity summary'!Y41)),0),Y129*$BI129),Y129*$BI129),0)</f>
        <v>0</v>
      </c>
      <c r="CC129" s="5">
        <f>IF($BI129&lt;&gt;"",IF('Capacity summary'!$C$14="Yes",IF(COUNTBLANK('Capacity summary'!$H41:$BG41)&lt;52,IF('Capacity summary'!Z41&lt;&gt;"",IF(LOWER('Capacity summary'!Z41)="x",$BI129*Z129,VALUE('Capacity summary'!Z41)),0),Z129*$BI129),Z129*$BI129),0)</f>
        <v>0</v>
      </c>
      <c r="CD129" s="5">
        <f>IF($BI129&lt;&gt;"",IF('Capacity summary'!$C$14="Yes",IF(COUNTBLANK('Capacity summary'!$H41:$BG41)&lt;52,IF('Capacity summary'!AA41&lt;&gt;"",IF(LOWER('Capacity summary'!AA41)="x",$BI129*AA129,VALUE('Capacity summary'!AA41)),0),AA129*$BI129),AA129*$BI129),0)</f>
        <v>0</v>
      </c>
      <c r="CE129" s="5">
        <f>IF($BI129&lt;&gt;"",IF('Capacity summary'!$C$14="Yes",IF(COUNTBLANK('Capacity summary'!$H41:$BG41)&lt;52,IF('Capacity summary'!AB41&lt;&gt;"",IF(LOWER('Capacity summary'!AB41)="x",$BI129*AB129,VALUE('Capacity summary'!AB41)),0),AB129*$BI129),AB129*$BI129),0)</f>
        <v>0</v>
      </c>
      <c r="CF129" s="5">
        <f>IF($BI129&lt;&gt;"",IF('Capacity summary'!$C$14="Yes",IF(COUNTBLANK('Capacity summary'!$H41:$BG41)&lt;52,IF('Capacity summary'!AC41&lt;&gt;"",IF(LOWER('Capacity summary'!AC41)="x",$BI129*AC129,VALUE('Capacity summary'!AC41)),0),AC129*$BI129),AC129*$BI129),0)</f>
        <v>0</v>
      </c>
      <c r="CG129" s="5">
        <f>IF($BI129&lt;&gt;"",IF('Capacity summary'!$C$14="Yes",IF(COUNTBLANK('Capacity summary'!$H41:$BG41)&lt;52,IF('Capacity summary'!AD41&lt;&gt;"",IF(LOWER('Capacity summary'!AD41)="x",$BI129*AD129,VALUE('Capacity summary'!AD41)),0),AD129*$BI129),AD129*$BI129),0)</f>
        <v>0</v>
      </c>
      <c r="CH129" s="5">
        <f>IF($BI129&lt;&gt;"",IF('Capacity summary'!$C$14="Yes",IF(COUNTBLANK('Capacity summary'!$H41:$BG41)&lt;52,IF('Capacity summary'!AE41&lt;&gt;"",IF(LOWER('Capacity summary'!AE41)="x",$BI129*AE129,VALUE('Capacity summary'!AE41)),0),AE129*$BI129),AE129*$BI129),0)</f>
        <v>0</v>
      </c>
      <c r="CI129" s="5">
        <f>IF($BI129&lt;&gt;"",IF('Capacity summary'!$C$14="Yes",IF(COUNTBLANK('Capacity summary'!$H41:$BG41)&lt;52,IF('Capacity summary'!AF41&lt;&gt;"",IF(LOWER('Capacity summary'!AF41)="x",$BI129*AF129,VALUE('Capacity summary'!AF41)),0),AF129*$BI129),AF129*$BI129),0)</f>
        <v>0</v>
      </c>
      <c r="CJ129" s="5">
        <f>IF($BI129&lt;&gt;"",IF('Capacity summary'!$C$14="Yes",IF(COUNTBLANK('Capacity summary'!$H41:$BG41)&lt;52,IF('Capacity summary'!AG41&lt;&gt;"",IF(LOWER('Capacity summary'!AG41)="x",$BI129*AG129,VALUE('Capacity summary'!AG41)),0),AG129*$BI129),AG129*$BI129),0)</f>
        <v>0</v>
      </c>
      <c r="CK129" s="5">
        <f>IF($BI129&lt;&gt;"",IF('Capacity summary'!$C$14="Yes",IF(COUNTBLANK('Capacity summary'!$H41:$BG41)&lt;52,IF('Capacity summary'!AH41&lt;&gt;"",IF(LOWER('Capacity summary'!AH41)="x",$BI129*AH129,VALUE('Capacity summary'!AH41)),0),AH129*$BI129),AH129*$BI129),0)</f>
        <v>0</v>
      </c>
      <c r="CL129" s="5">
        <f>IF($BI129&lt;&gt;"",IF('Capacity summary'!$C$14="Yes",IF(COUNTBLANK('Capacity summary'!$H41:$BG41)&lt;52,IF('Capacity summary'!AI41&lt;&gt;"",IF(LOWER('Capacity summary'!AI41)="x",$BI129*AI129,VALUE('Capacity summary'!AI41)),0),AI129*$BI129),AI129*$BI129),0)</f>
        <v>0</v>
      </c>
      <c r="CM129" s="5">
        <f>IF($BI129&lt;&gt;"",IF('Capacity summary'!$C$14="Yes",IF(COUNTBLANK('Capacity summary'!$H41:$BG41)&lt;52,IF('Capacity summary'!AJ41&lt;&gt;"",IF(LOWER('Capacity summary'!AJ41)="x",$BI129*AJ129,VALUE('Capacity summary'!AJ41)),0),AJ129*$BI129),AJ129*$BI129),0)</f>
        <v>0</v>
      </c>
      <c r="CN129" s="5">
        <f>IF($BI129&lt;&gt;"",IF('Capacity summary'!$C$14="Yes",IF(COUNTBLANK('Capacity summary'!$H41:$BG41)&lt;52,IF('Capacity summary'!AK41&lt;&gt;"",IF(LOWER('Capacity summary'!AK41)="x",$BI129*AK129,VALUE('Capacity summary'!AK41)),0),AK129*$BI129),AK129*$BI129),0)</f>
        <v>0</v>
      </c>
      <c r="CO129" s="5">
        <f>IF($BI129&lt;&gt;"",IF('Capacity summary'!$C$14="Yes",IF(COUNTBLANK('Capacity summary'!$H41:$BG41)&lt;52,IF('Capacity summary'!AL41&lt;&gt;"",IF(LOWER('Capacity summary'!AL41)="x",$BI129*AL129,VALUE('Capacity summary'!AL41)),0),AL129*$BI129),AL129*$BI129),0)</f>
        <v>0</v>
      </c>
      <c r="CP129" s="5">
        <f>IF($BI129&lt;&gt;"",IF('Capacity summary'!$C$14="Yes",IF(COUNTBLANK('Capacity summary'!$H41:$BG41)&lt;52,IF('Capacity summary'!AM41&lt;&gt;"",IF(LOWER('Capacity summary'!AM41)="x",$BI129*AM129,VALUE('Capacity summary'!AM41)),0),AM129*$BI129),AM129*$BI129),0)</f>
        <v>0</v>
      </c>
      <c r="CQ129" s="5">
        <f>IF($BI129&lt;&gt;"",IF('Capacity summary'!$C$14="Yes",IF(COUNTBLANK('Capacity summary'!$H41:$BG41)&lt;52,IF('Capacity summary'!AN41&lt;&gt;"",IF(LOWER('Capacity summary'!AN41)="x",$BI129*AN129,VALUE('Capacity summary'!AN41)),0),AN129*$BI129),AN129*$BI129),0)</f>
        <v>0</v>
      </c>
      <c r="CR129" s="5">
        <f>IF($BI129&lt;&gt;"",IF('Capacity summary'!$C$14="Yes",IF(COUNTBLANK('Capacity summary'!$H41:$BG41)&lt;52,IF('Capacity summary'!AO41&lt;&gt;"",IF(LOWER('Capacity summary'!AO41)="x",$BI129*AO129,VALUE('Capacity summary'!AO41)),0),AO129*$BI129),AO129*$BI129),0)</f>
        <v>0</v>
      </c>
      <c r="CS129" s="5">
        <f>IF($BI129&lt;&gt;"",IF('Capacity summary'!$C$14="Yes",IF(COUNTBLANK('Capacity summary'!$H41:$BG41)&lt;52,IF('Capacity summary'!AP41&lt;&gt;"",IF(LOWER('Capacity summary'!AP41)="x",$BI129*AP129,VALUE('Capacity summary'!AP41)),0),AP129*$BI129),AP129*$BI129),0)</f>
        <v>0</v>
      </c>
      <c r="CT129" s="5">
        <f>IF($BI129&lt;&gt;"",IF('Capacity summary'!$C$14="Yes",IF(COUNTBLANK('Capacity summary'!$H41:$BG41)&lt;52,IF('Capacity summary'!AQ41&lt;&gt;"",IF(LOWER('Capacity summary'!AQ41)="x",$BI129*AQ129,VALUE('Capacity summary'!AQ41)),0),AQ129*$BI129),AQ129*$BI129),0)</f>
        <v>0</v>
      </c>
      <c r="CU129" s="5">
        <f>IF($BI129&lt;&gt;"",IF('Capacity summary'!$C$14="Yes",IF(COUNTBLANK('Capacity summary'!$H41:$BG41)&lt;52,IF('Capacity summary'!AR41&lt;&gt;"",IF(LOWER('Capacity summary'!AR41)="x",$BI129*AR129,VALUE('Capacity summary'!AR41)),0),AR129*$BI129),AR129*$BI129),0)</f>
        <v>0</v>
      </c>
      <c r="CV129" s="5">
        <f>IF($BI129&lt;&gt;"",IF('Capacity summary'!$C$14="Yes",IF(COUNTBLANK('Capacity summary'!$H41:$BG41)&lt;52,IF('Capacity summary'!AS41&lt;&gt;"",IF(LOWER('Capacity summary'!AS41)="x",$BI129*AS129,VALUE('Capacity summary'!AS41)),0),AS129*$BI129),AS129*$BI129),0)</f>
        <v>0</v>
      </c>
      <c r="CW129" s="5">
        <f>IF($BI129&lt;&gt;"",IF('Capacity summary'!$C$14="Yes",IF(COUNTBLANK('Capacity summary'!$H41:$BG41)&lt;52,IF('Capacity summary'!AT41&lt;&gt;"",IF(LOWER('Capacity summary'!AT41)="x",$BI129*AT129,VALUE('Capacity summary'!AT41)),0),AT129*$BI129),AT129*$BI129),0)</f>
        <v>0</v>
      </c>
      <c r="CX129" s="5">
        <f>IF($BI129&lt;&gt;"",IF('Capacity summary'!$C$14="Yes",IF(COUNTBLANK('Capacity summary'!$H41:$BG41)&lt;52,IF('Capacity summary'!AU41&lt;&gt;"",IF(LOWER('Capacity summary'!AU41)="x",$BI129*AU129,VALUE('Capacity summary'!AU41)),0),AU129*$BI129),AU129*$BI129),0)</f>
        <v>0</v>
      </c>
      <c r="CY129" s="5">
        <f>IF($BI129&lt;&gt;"",IF('Capacity summary'!$C$14="Yes",IF(COUNTBLANK('Capacity summary'!$H41:$BG41)&lt;52,IF('Capacity summary'!AV41&lt;&gt;"",IF(LOWER('Capacity summary'!AV41)="x",$BI129*AV129,VALUE('Capacity summary'!AV41)),0),AV129*$BI129),AV129*$BI129),0)</f>
        <v>0</v>
      </c>
      <c r="CZ129" s="5">
        <f>IF($BI129&lt;&gt;"",IF('Capacity summary'!$C$14="Yes",IF(COUNTBLANK('Capacity summary'!$H41:$BG41)&lt;52,IF('Capacity summary'!AW41&lt;&gt;"",IF(LOWER('Capacity summary'!AW41)="x",$BI129*AW129,VALUE('Capacity summary'!AW41)),0),AW129*$BI129),AW129*$BI129),0)</f>
        <v>0</v>
      </c>
      <c r="DA129" s="5">
        <f>IF($BI129&lt;&gt;"",IF('Capacity summary'!$C$14="Yes",IF(COUNTBLANK('Capacity summary'!$H41:$BG41)&lt;52,IF('Capacity summary'!AX41&lt;&gt;"",IF(LOWER('Capacity summary'!AX41)="x",$BI129*AX129,VALUE('Capacity summary'!AX41)),0),AX129*$BI129),AX129*$BI129),0)</f>
        <v>0</v>
      </c>
      <c r="DB129" s="5">
        <f>IF($BI129&lt;&gt;"",IF('Capacity summary'!$C$14="Yes",IF(COUNTBLANK('Capacity summary'!$H41:$BG41)&lt;52,IF('Capacity summary'!AY41&lt;&gt;"",IF(LOWER('Capacity summary'!AY41)="x",$BI129*AY129,VALUE('Capacity summary'!AY41)),0),AY129*$BI129),AY129*$BI129),0)</f>
        <v>0</v>
      </c>
      <c r="DC129" s="5">
        <f>IF($BI129&lt;&gt;"",IF('Capacity summary'!$C$14="Yes",IF(COUNTBLANK('Capacity summary'!$H41:$BG41)&lt;52,IF('Capacity summary'!AZ41&lt;&gt;"",IF(LOWER('Capacity summary'!AZ41)="x",$BI129*AZ129,VALUE('Capacity summary'!AZ41)),0),AZ129*$BI129),AZ129*$BI129),0)</f>
        <v>0</v>
      </c>
      <c r="DD129" s="5">
        <f>IF($BI129&lt;&gt;"",IF('Capacity summary'!$C$14="Yes",IF(COUNTBLANK('Capacity summary'!$H41:$BG41)&lt;52,IF('Capacity summary'!BA41&lt;&gt;"",IF(LOWER('Capacity summary'!BA41)="x",$BI129*BA129,VALUE('Capacity summary'!BA41)),0),BA129*$BI129),BA129*$BI129),0)</f>
        <v>0</v>
      </c>
      <c r="DE129" s="5">
        <f>IF($BI129&lt;&gt;"",IF('Capacity summary'!$C$14="Yes",IF(COUNTBLANK('Capacity summary'!$H41:$BG41)&lt;52,IF('Capacity summary'!BB41&lt;&gt;"",IF(LOWER('Capacity summary'!BB41)="x",$BI129*BB129,VALUE('Capacity summary'!BB41)),0),BB129*$BI129),BB129*$BI129),0)</f>
        <v>0</v>
      </c>
      <c r="DF129" s="5">
        <f>IF($BI129&lt;&gt;"",IF('Capacity summary'!$C$14="Yes",IF(COUNTBLANK('Capacity summary'!$H41:$BG41)&lt;52,IF('Capacity summary'!BC41&lt;&gt;"",IF(LOWER('Capacity summary'!BC41)="x",$BI129*BC129,VALUE('Capacity summary'!BC41)),0),BC129*$BI129),BC129*$BI129),0)</f>
        <v>0</v>
      </c>
      <c r="DG129" s="5">
        <f>IF($BI129&lt;&gt;"",IF('Capacity summary'!$C$14="Yes",IF(COUNTBLANK('Capacity summary'!$H41:$BG41)&lt;52,IF('Capacity summary'!BD41&lt;&gt;"",IF(LOWER('Capacity summary'!BD41)="x",$BI129*BD129,VALUE('Capacity summary'!BD41)),0),BD129*$BI129),BD129*$BI129),0)</f>
        <v>0</v>
      </c>
      <c r="DH129" s="5">
        <f>IF($BI129&lt;&gt;"",IF('Capacity summary'!$C$14="Yes",IF(COUNTBLANK('Capacity summary'!$H41:$BG41)&lt;52,IF('Capacity summary'!BE41&lt;&gt;"",IF(LOWER('Capacity summary'!BE41)="x",$BI129*BE129,VALUE('Capacity summary'!BE41)),0),BE129*$BI129),BE129*$BI129),0)</f>
        <v>0</v>
      </c>
      <c r="DI129" s="5">
        <f>IF($BI129&lt;&gt;"",IF('Capacity summary'!$C$14="Yes",IF(COUNTBLANK('Capacity summary'!$H41:$BG41)&lt;52,IF('Capacity summary'!BF41&lt;&gt;"",IF(LOWER('Capacity summary'!BF41)="x",$BI129*BF129,VALUE('Capacity summary'!BF41)),0),BF129*$BI129),BF129*$BI129),0)</f>
        <v>0</v>
      </c>
      <c r="DJ129" s="5">
        <f>IF($BI129&lt;&gt;"",IF('Capacity summary'!$C$14="Yes",IF(COUNTBLANK('Capacity summary'!$H41:$BG41)&lt;52,IF('Capacity summary'!BG41&lt;&gt;"",IF(LOWER('Capacity summary'!BG41)="x",$BI129*BG129,VALUE('Capacity summary'!BG41)),0),BG129*$BI129),BG129*$BI129),0)</f>
        <v>0</v>
      </c>
      <c r="DK129" s="391">
        <f t="shared" si="8"/>
        <v>0</v>
      </c>
      <c r="DL129" s="5">
        <f t="shared" si="9"/>
        <v>0</v>
      </c>
    </row>
    <row r="130" spans="3:116" x14ac:dyDescent="0.2">
      <c r="C130" s="67" t="str">
        <f>ROW(A19)&amp;". "&amp;Capacity!N35</f>
        <v xml:space="preserve">19. </v>
      </c>
      <c r="D130" s="67">
        <f>'Capacity setup'!C136</f>
        <v>0</v>
      </c>
      <c r="E130" s="67">
        <f>'Capacity setup'!D136</f>
        <v>0</v>
      </c>
      <c r="F130" s="67">
        <f>'Capacity setup'!E136</f>
        <v>0</v>
      </c>
      <c r="H130" s="67">
        <f ca="1">IF(LOWER(Capacity!$V35)="x",IF(AND(SUMIF(Capacity_Resource,$D130,'Critical resources (hide)'!U$6:U$105)+SUMIF(Capacity_Resource,$E130,'Critical resources (hide)'!U$6:U$105)+SUMIF(Capacity_Resource,$F130,'Critical resources (hide)'!U$6:U$105)&gt;0,$E$1=2),0,1),0)</f>
        <v>1</v>
      </c>
      <c r="I130" s="67">
        <f ca="1">IF(LOWER(Capacity!$V35)="x",IF(AND(SUMIF(Capacity_Resource,$D130,'Critical resources (hide)'!V$6:V$105)+SUMIF(Capacity_Resource,$E130,'Critical resources (hide)'!V$6:V$105)+SUMIF(Capacity_Resource,$F130,'Critical resources (hide)'!V$6:V$105)&gt;0,$E$1=2),0,1),0)</f>
        <v>1</v>
      </c>
      <c r="J130" s="67">
        <f ca="1">IF(LOWER(Capacity!$V35)="x",IF(AND(SUMIF(Capacity_Resource,$D130,'Critical resources (hide)'!W$6:W$105)+SUMIF(Capacity_Resource,$E130,'Critical resources (hide)'!W$6:W$105)+SUMIF(Capacity_Resource,$F130,'Critical resources (hide)'!W$6:W$105)&gt;0,$E$1=2),0,1),0)</f>
        <v>1</v>
      </c>
      <c r="K130" s="67">
        <f ca="1">IF(LOWER(Capacity!$V35)="x",IF(AND(SUMIF(Capacity_Resource,$D130,'Critical resources (hide)'!X$6:X$105)+SUMIF(Capacity_Resource,$E130,'Critical resources (hide)'!X$6:X$105)+SUMIF(Capacity_Resource,$F130,'Critical resources (hide)'!X$6:X$105)&gt;0,$E$1=2),0,1),0)</f>
        <v>1</v>
      </c>
      <c r="L130" s="67">
        <f ca="1">IF(LOWER(Capacity!$V35)="x",IF(AND(SUMIF(Capacity_Resource,$D130,'Critical resources (hide)'!Y$6:Y$105)+SUMIF(Capacity_Resource,$E130,'Critical resources (hide)'!Y$6:Y$105)+SUMIF(Capacity_Resource,$F130,'Critical resources (hide)'!Y$6:Y$105)&gt;0,$E$1=2),0,1),0)</f>
        <v>1</v>
      </c>
      <c r="M130" s="67">
        <f ca="1">IF(LOWER(Capacity!$V35)="x",IF(AND(SUMIF(Capacity_Resource,$D130,'Critical resources (hide)'!Z$6:Z$105)+SUMIF(Capacity_Resource,$E130,'Critical resources (hide)'!Z$6:Z$105)+SUMIF(Capacity_Resource,$F130,'Critical resources (hide)'!Z$6:Z$105)&gt;0,$E$1=2),0,1),0)</f>
        <v>1</v>
      </c>
      <c r="N130" s="67">
        <f ca="1">IF(LOWER(Capacity!$V35)="x",IF(AND(SUMIF(Capacity_Resource,$D130,'Critical resources (hide)'!AA$6:AA$105)+SUMIF(Capacity_Resource,$E130,'Critical resources (hide)'!AA$6:AA$105)+SUMIF(Capacity_Resource,$F130,'Critical resources (hide)'!AA$6:AA$105)&gt;0,$E$1=2),0,1),0)</f>
        <v>1</v>
      </c>
      <c r="O130" s="67">
        <f ca="1">IF(LOWER(Capacity!$V35)="x",IF(AND(SUMIF(Capacity_Resource,$D130,'Critical resources (hide)'!AB$6:AB$105)+SUMIF(Capacity_Resource,$E130,'Critical resources (hide)'!AB$6:AB$105)+SUMIF(Capacity_Resource,$F130,'Critical resources (hide)'!AB$6:AB$105)&gt;0,$E$1=2),0,1),0)</f>
        <v>1</v>
      </c>
      <c r="P130" s="67">
        <f ca="1">IF(LOWER(Capacity!$V35)="x",IF(AND(SUMIF(Capacity_Resource,$D130,'Critical resources (hide)'!AC$6:AC$105)+SUMIF(Capacity_Resource,$E130,'Critical resources (hide)'!AC$6:AC$105)+SUMIF(Capacity_Resource,$F130,'Critical resources (hide)'!AC$6:AC$105)&gt;0,$E$1=2),0,1),0)</f>
        <v>1</v>
      </c>
      <c r="Q130" s="67">
        <f ca="1">IF(LOWER(Capacity!$V35)="x",IF(AND(SUMIF(Capacity_Resource,$D130,'Critical resources (hide)'!AD$6:AD$105)+SUMIF(Capacity_Resource,$E130,'Critical resources (hide)'!AD$6:AD$105)+SUMIF(Capacity_Resource,$F130,'Critical resources (hide)'!AD$6:AD$105)&gt;0,$E$1=2),0,1),0)</f>
        <v>1</v>
      </c>
      <c r="R130" s="67">
        <f ca="1">IF(LOWER(Capacity!$V35)="x",IF(AND(SUMIF(Capacity_Resource,$D130,'Critical resources (hide)'!AE$6:AE$105)+SUMIF(Capacity_Resource,$E130,'Critical resources (hide)'!AE$6:AE$105)+SUMIF(Capacity_Resource,$F130,'Critical resources (hide)'!AE$6:AE$105)&gt;0,$E$1=2),0,1),0)</f>
        <v>1</v>
      </c>
      <c r="S130" s="67">
        <f ca="1">IF(LOWER(Capacity!$V35)="x",IF(AND(SUMIF(Capacity_Resource,$D130,'Critical resources (hide)'!AF$6:AF$105)+SUMIF(Capacity_Resource,$E130,'Critical resources (hide)'!AF$6:AF$105)+SUMIF(Capacity_Resource,$F130,'Critical resources (hide)'!AF$6:AF$105)&gt;0,$E$1=2),0,1),0)</f>
        <v>1</v>
      </c>
      <c r="T130" s="67">
        <f ca="1">IF(LOWER(Capacity!$V35)="x",IF(AND(SUMIF(Capacity_Resource,$D130,'Critical resources (hide)'!AG$6:AG$105)+SUMIF(Capacity_Resource,$E130,'Critical resources (hide)'!AG$6:AG$105)+SUMIF(Capacity_Resource,$F130,'Critical resources (hide)'!AG$6:AG$105)&gt;0,$E$1=2),0,1),0)</f>
        <v>1</v>
      </c>
      <c r="U130" s="67">
        <f ca="1">IF(LOWER(Capacity!$V35)="x",IF(AND(SUMIF(Capacity_Resource,$D130,'Critical resources (hide)'!AH$6:AH$105)+SUMIF(Capacity_Resource,$E130,'Critical resources (hide)'!AH$6:AH$105)+SUMIF(Capacity_Resource,$F130,'Critical resources (hide)'!AH$6:AH$105)&gt;0,$E$1=2),0,1),0)</f>
        <v>1</v>
      </c>
      <c r="V130" s="67">
        <f ca="1">IF(LOWER(Capacity!$V35)="x",IF(AND(SUMIF(Capacity_Resource,$D130,'Critical resources (hide)'!AI$6:AI$105)+SUMIF(Capacity_Resource,$E130,'Critical resources (hide)'!AI$6:AI$105)+SUMIF(Capacity_Resource,$F130,'Critical resources (hide)'!AI$6:AI$105)&gt;0,$E$1=2),0,1),0)</f>
        <v>1</v>
      </c>
      <c r="W130" s="67">
        <f ca="1">IF(LOWER(Capacity!$V35)="x",IF(AND(SUMIF(Capacity_Resource,$D130,'Critical resources (hide)'!AJ$6:AJ$105)+SUMIF(Capacity_Resource,$E130,'Critical resources (hide)'!AJ$6:AJ$105)+SUMIF(Capacity_Resource,$F130,'Critical resources (hide)'!AJ$6:AJ$105)&gt;0,$E$1=2),0,1),0)</f>
        <v>1</v>
      </c>
      <c r="X130" s="67">
        <f ca="1">IF(LOWER(Capacity!$V35)="x",IF(AND(SUMIF(Capacity_Resource,$D130,'Critical resources (hide)'!AK$6:AK$105)+SUMIF(Capacity_Resource,$E130,'Critical resources (hide)'!AK$6:AK$105)+SUMIF(Capacity_Resource,$F130,'Critical resources (hide)'!AK$6:AK$105)&gt;0,$E$1=2),0,1),0)</f>
        <v>1</v>
      </c>
      <c r="Y130" s="67">
        <f ca="1">IF(LOWER(Capacity!$V35)="x",IF(AND(SUMIF(Capacity_Resource,$D130,'Critical resources (hide)'!AL$6:AL$105)+SUMIF(Capacity_Resource,$E130,'Critical resources (hide)'!AL$6:AL$105)+SUMIF(Capacity_Resource,$F130,'Critical resources (hide)'!AL$6:AL$105)&gt;0,$E$1=2),0,1),0)</f>
        <v>1</v>
      </c>
      <c r="Z130" s="67">
        <f ca="1">IF(LOWER(Capacity!$V35)="x",IF(AND(SUMIF(Capacity_Resource,$D130,'Critical resources (hide)'!AM$6:AM$105)+SUMIF(Capacity_Resource,$E130,'Critical resources (hide)'!AM$6:AM$105)+SUMIF(Capacity_Resource,$F130,'Critical resources (hide)'!AM$6:AM$105)&gt;0,$E$1=2),0,1),0)</f>
        <v>1</v>
      </c>
      <c r="AA130" s="67">
        <f ca="1">IF(LOWER(Capacity!$V35)="x",IF(AND(SUMIF(Capacity_Resource,$D130,'Critical resources (hide)'!AN$6:AN$105)+SUMIF(Capacity_Resource,$E130,'Critical resources (hide)'!AN$6:AN$105)+SUMIF(Capacity_Resource,$F130,'Critical resources (hide)'!AN$6:AN$105)&gt;0,$E$1=2),0,1),0)</f>
        <v>1</v>
      </c>
      <c r="AB130" s="67">
        <f ca="1">IF(LOWER(Capacity!$V35)="x",IF(AND(SUMIF(Capacity_Resource,$D130,'Critical resources (hide)'!AO$6:AO$105)+SUMIF(Capacity_Resource,$E130,'Critical resources (hide)'!AO$6:AO$105)+SUMIF(Capacity_Resource,$F130,'Critical resources (hide)'!AO$6:AO$105)&gt;0,$E$1=2),0,1),0)</f>
        <v>1</v>
      </c>
      <c r="AC130" s="67">
        <f ca="1">IF(LOWER(Capacity!$V35)="x",IF(AND(SUMIF(Capacity_Resource,$D130,'Critical resources (hide)'!AP$6:AP$105)+SUMIF(Capacity_Resource,$E130,'Critical resources (hide)'!AP$6:AP$105)+SUMIF(Capacity_Resource,$F130,'Critical resources (hide)'!AP$6:AP$105)&gt;0,$E$1=2),0,1),0)</f>
        <v>1</v>
      </c>
      <c r="AD130" s="67">
        <f ca="1">IF(LOWER(Capacity!$V35)="x",IF(AND(SUMIF(Capacity_Resource,$D130,'Critical resources (hide)'!AQ$6:AQ$105)+SUMIF(Capacity_Resource,$E130,'Critical resources (hide)'!AQ$6:AQ$105)+SUMIF(Capacity_Resource,$F130,'Critical resources (hide)'!AQ$6:AQ$105)&gt;0,$E$1=2),0,1),0)</f>
        <v>1</v>
      </c>
      <c r="AE130" s="67">
        <f ca="1">IF(LOWER(Capacity!$V35)="x",IF(AND(SUMIF(Capacity_Resource,$D130,'Critical resources (hide)'!AR$6:AR$105)+SUMIF(Capacity_Resource,$E130,'Critical resources (hide)'!AR$6:AR$105)+SUMIF(Capacity_Resource,$F130,'Critical resources (hide)'!AR$6:AR$105)&gt;0,$E$1=2),0,1),0)</f>
        <v>1</v>
      </c>
      <c r="AF130" s="67">
        <f ca="1">IF(LOWER(Capacity!$V35)="x",IF(AND(SUMIF(Capacity_Resource,$D130,'Critical resources (hide)'!AS$6:AS$105)+SUMIF(Capacity_Resource,$E130,'Critical resources (hide)'!AS$6:AS$105)+SUMIF(Capacity_Resource,$F130,'Critical resources (hide)'!AS$6:AS$105)&gt;0,$E$1=2),0,1),0)</f>
        <v>1</v>
      </c>
      <c r="AG130" s="67">
        <f ca="1">IF(LOWER(Capacity!$V35)="x",IF(AND(SUMIF(Capacity_Resource,$D130,'Critical resources (hide)'!AT$6:AT$105)+SUMIF(Capacity_Resource,$E130,'Critical resources (hide)'!AT$6:AT$105)+SUMIF(Capacity_Resource,$F130,'Critical resources (hide)'!AT$6:AT$105)&gt;0,$E$1=2),0,1),0)</f>
        <v>1</v>
      </c>
      <c r="AH130" s="67">
        <f ca="1">IF(LOWER(Capacity!$V35)="x",IF(AND(SUMIF(Capacity_Resource,$D130,'Critical resources (hide)'!AU$6:AU$105)+SUMIF(Capacity_Resource,$E130,'Critical resources (hide)'!AU$6:AU$105)+SUMIF(Capacity_Resource,$F130,'Critical resources (hide)'!AU$6:AU$105)&gt;0,$E$1=2),0,1),0)</f>
        <v>1</v>
      </c>
      <c r="AI130" s="67">
        <f ca="1">IF(LOWER(Capacity!$V35)="x",IF(AND(SUMIF(Capacity_Resource,$D130,'Critical resources (hide)'!AV$6:AV$105)+SUMIF(Capacity_Resource,$E130,'Critical resources (hide)'!AV$6:AV$105)+SUMIF(Capacity_Resource,$F130,'Critical resources (hide)'!AV$6:AV$105)&gt;0,$E$1=2),0,1),0)</f>
        <v>1</v>
      </c>
      <c r="AJ130" s="67">
        <f ca="1">IF(LOWER(Capacity!$V35)="x",IF(AND(SUMIF(Capacity_Resource,$D130,'Critical resources (hide)'!AW$6:AW$105)+SUMIF(Capacity_Resource,$E130,'Critical resources (hide)'!AW$6:AW$105)+SUMIF(Capacity_Resource,$F130,'Critical resources (hide)'!AW$6:AW$105)&gt;0,$E$1=2),0,1),0)</f>
        <v>1</v>
      </c>
      <c r="AK130" s="67">
        <f ca="1">IF(LOWER(Capacity!$V35)="x",IF(AND(SUMIF(Capacity_Resource,$D130,'Critical resources (hide)'!AX$6:AX$105)+SUMIF(Capacity_Resource,$E130,'Critical resources (hide)'!AX$6:AX$105)+SUMIF(Capacity_Resource,$F130,'Critical resources (hide)'!AX$6:AX$105)&gt;0,$E$1=2),0,1),0)</f>
        <v>1</v>
      </c>
      <c r="AL130" s="67">
        <f ca="1">IF(LOWER(Capacity!$V35)="x",IF(AND(SUMIF(Capacity_Resource,$D130,'Critical resources (hide)'!AY$6:AY$105)+SUMIF(Capacity_Resource,$E130,'Critical resources (hide)'!AY$6:AY$105)+SUMIF(Capacity_Resource,$F130,'Critical resources (hide)'!AY$6:AY$105)&gt;0,$E$1=2),0,1),0)</f>
        <v>1</v>
      </c>
      <c r="AM130" s="67">
        <f ca="1">IF(LOWER(Capacity!$V35)="x",IF(AND(SUMIF(Capacity_Resource,$D130,'Critical resources (hide)'!AZ$6:AZ$105)+SUMIF(Capacity_Resource,$E130,'Critical resources (hide)'!AZ$6:AZ$105)+SUMIF(Capacity_Resource,$F130,'Critical resources (hide)'!AZ$6:AZ$105)&gt;0,$E$1=2),0,1),0)</f>
        <v>1</v>
      </c>
      <c r="AN130" s="67">
        <f ca="1">IF(LOWER(Capacity!$V35)="x",IF(AND(SUMIF(Capacity_Resource,$D130,'Critical resources (hide)'!BA$6:BA$105)+SUMIF(Capacity_Resource,$E130,'Critical resources (hide)'!BA$6:BA$105)+SUMIF(Capacity_Resource,$F130,'Critical resources (hide)'!BA$6:BA$105)&gt;0,$E$1=2),0,1),0)</f>
        <v>1</v>
      </c>
      <c r="AO130" s="67">
        <f ca="1">IF(LOWER(Capacity!$V35)="x",IF(AND(SUMIF(Capacity_Resource,$D130,'Critical resources (hide)'!BB$6:BB$105)+SUMIF(Capacity_Resource,$E130,'Critical resources (hide)'!BB$6:BB$105)+SUMIF(Capacity_Resource,$F130,'Critical resources (hide)'!BB$6:BB$105)&gt;0,$E$1=2),0,1),0)</f>
        <v>1</v>
      </c>
      <c r="AP130" s="67">
        <f ca="1">IF(LOWER(Capacity!$V35)="x",IF(AND(SUMIF(Capacity_Resource,$D130,'Critical resources (hide)'!BC$6:BC$105)+SUMIF(Capacity_Resource,$E130,'Critical resources (hide)'!BC$6:BC$105)+SUMIF(Capacity_Resource,$F130,'Critical resources (hide)'!BC$6:BC$105)&gt;0,$E$1=2),0,1),0)</f>
        <v>1</v>
      </c>
      <c r="AQ130" s="67">
        <f ca="1">IF(LOWER(Capacity!$V35)="x",IF(AND(SUMIF(Capacity_Resource,$D130,'Critical resources (hide)'!BD$6:BD$105)+SUMIF(Capacity_Resource,$E130,'Critical resources (hide)'!BD$6:BD$105)+SUMIF(Capacity_Resource,$F130,'Critical resources (hide)'!BD$6:BD$105)&gt;0,$E$1=2),0,1),0)</f>
        <v>1</v>
      </c>
      <c r="AR130" s="67">
        <f ca="1">IF(LOWER(Capacity!$V35)="x",IF(AND(SUMIF(Capacity_Resource,$D130,'Critical resources (hide)'!BE$6:BE$105)+SUMIF(Capacity_Resource,$E130,'Critical resources (hide)'!BE$6:BE$105)+SUMIF(Capacity_Resource,$F130,'Critical resources (hide)'!BE$6:BE$105)&gt;0,$E$1=2),0,1),0)</f>
        <v>1</v>
      </c>
      <c r="AS130" s="67">
        <f ca="1">IF(LOWER(Capacity!$V35)="x",IF(AND(SUMIF(Capacity_Resource,$D130,'Critical resources (hide)'!BF$6:BF$105)+SUMIF(Capacity_Resource,$E130,'Critical resources (hide)'!BF$6:BF$105)+SUMIF(Capacity_Resource,$F130,'Critical resources (hide)'!BF$6:BF$105)&gt;0,$E$1=2),0,1),0)</f>
        <v>1</v>
      </c>
      <c r="AT130" s="67">
        <f ca="1">IF(LOWER(Capacity!$V35)="x",IF(AND(SUMIF(Capacity_Resource,$D130,'Critical resources (hide)'!BG$6:BG$105)+SUMIF(Capacity_Resource,$E130,'Critical resources (hide)'!BG$6:BG$105)+SUMIF(Capacity_Resource,$F130,'Critical resources (hide)'!BG$6:BG$105)&gt;0,$E$1=2),0,1),0)</f>
        <v>1</v>
      </c>
      <c r="AU130" s="67">
        <f ca="1">IF(LOWER(Capacity!$V35)="x",IF(AND(SUMIF(Capacity_Resource,$D130,'Critical resources (hide)'!BH$6:BH$105)+SUMIF(Capacity_Resource,$E130,'Critical resources (hide)'!BH$6:BH$105)+SUMIF(Capacity_Resource,$F130,'Critical resources (hide)'!BH$6:BH$105)&gt;0,$E$1=2),0,1),0)</f>
        <v>1</v>
      </c>
      <c r="AV130" s="67">
        <f ca="1">IF(LOWER(Capacity!$V35)="x",IF(AND(SUMIF(Capacity_Resource,$D130,'Critical resources (hide)'!BI$6:BI$105)+SUMIF(Capacity_Resource,$E130,'Critical resources (hide)'!BI$6:BI$105)+SUMIF(Capacity_Resource,$F130,'Critical resources (hide)'!BI$6:BI$105)&gt;0,$E$1=2),0,1),0)</f>
        <v>1</v>
      </c>
      <c r="AW130" s="67">
        <f ca="1">IF(LOWER(Capacity!$V35)="x",IF(AND(SUMIF(Capacity_Resource,$D130,'Critical resources (hide)'!BJ$6:BJ$105)+SUMIF(Capacity_Resource,$E130,'Critical resources (hide)'!BJ$6:BJ$105)+SUMIF(Capacity_Resource,$F130,'Critical resources (hide)'!BJ$6:BJ$105)&gt;0,$E$1=2),0,1),0)</f>
        <v>1</v>
      </c>
      <c r="AX130" s="67">
        <f ca="1">IF(LOWER(Capacity!$V35)="x",IF(AND(SUMIF(Capacity_Resource,$D130,'Critical resources (hide)'!BK$6:BK$105)+SUMIF(Capacity_Resource,$E130,'Critical resources (hide)'!BK$6:BK$105)+SUMIF(Capacity_Resource,$F130,'Critical resources (hide)'!BK$6:BK$105)&gt;0,$E$1=2),0,1),0)</f>
        <v>1</v>
      </c>
      <c r="AY130" s="67">
        <f ca="1">IF(LOWER(Capacity!$V35)="x",IF(AND(SUMIF(Capacity_Resource,$D130,'Critical resources (hide)'!BL$6:BL$105)+SUMIF(Capacity_Resource,$E130,'Critical resources (hide)'!BL$6:BL$105)+SUMIF(Capacity_Resource,$F130,'Critical resources (hide)'!BL$6:BL$105)&gt;0,$E$1=2),0,1),0)</f>
        <v>1</v>
      </c>
      <c r="AZ130" s="67">
        <f ca="1">IF(LOWER(Capacity!$V35)="x",IF(AND(SUMIF(Capacity_Resource,$D130,'Critical resources (hide)'!BM$6:BM$105)+SUMIF(Capacity_Resource,$E130,'Critical resources (hide)'!BM$6:BM$105)+SUMIF(Capacity_Resource,$F130,'Critical resources (hide)'!BM$6:BM$105)&gt;0,$E$1=2),0,1),0)</f>
        <v>1</v>
      </c>
      <c r="BA130" s="67">
        <f ca="1">IF(LOWER(Capacity!$V35)="x",IF(AND(SUMIF(Capacity_Resource,$D130,'Critical resources (hide)'!BN$6:BN$105)+SUMIF(Capacity_Resource,$E130,'Critical resources (hide)'!BN$6:BN$105)+SUMIF(Capacity_Resource,$F130,'Critical resources (hide)'!BN$6:BN$105)&gt;0,$E$1=2),0,1),0)</f>
        <v>1</v>
      </c>
      <c r="BB130" s="67">
        <f ca="1">IF(LOWER(Capacity!$V35)="x",IF(AND(SUMIF(Capacity_Resource,$D130,'Critical resources (hide)'!BO$6:BO$105)+SUMIF(Capacity_Resource,$E130,'Critical resources (hide)'!BO$6:BO$105)+SUMIF(Capacity_Resource,$F130,'Critical resources (hide)'!BO$6:BO$105)&gt;0,$E$1=2),0,1),0)</f>
        <v>1</v>
      </c>
      <c r="BC130" s="67">
        <f ca="1">IF(LOWER(Capacity!$V35)="x",IF(AND(SUMIF(Capacity_Resource,$D130,'Critical resources (hide)'!BP$6:BP$105)+SUMIF(Capacity_Resource,$E130,'Critical resources (hide)'!BP$6:BP$105)+SUMIF(Capacity_Resource,$F130,'Critical resources (hide)'!BP$6:BP$105)&gt;0,$E$1=2),0,1),0)</f>
        <v>1</v>
      </c>
      <c r="BD130" s="67">
        <f ca="1">IF(LOWER(Capacity!$V35)="x",IF(AND(SUMIF(Capacity_Resource,$D130,'Critical resources (hide)'!BQ$6:BQ$105)+SUMIF(Capacity_Resource,$E130,'Critical resources (hide)'!BQ$6:BQ$105)+SUMIF(Capacity_Resource,$F130,'Critical resources (hide)'!BQ$6:BQ$105)&gt;0,$E$1=2),0,1),0)</f>
        <v>1</v>
      </c>
      <c r="BE130" s="67">
        <f ca="1">IF(LOWER(Capacity!$V35)="x",IF(AND(SUMIF(Capacity_Resource,$D130,'Critical resources (hide)'!BR$6:BR$105)+SUMIF(Capacity_Resource,$E130,'Critical resources (hide)'!BR$6:BR$105)+SUMIF(Capacity_Resource,$F130,'Critical resources (hide)'!BR$6:BR$105)&gt;0,$E$1=2),0,1),0)</f>
        <v>1</v>
      </c>
      <c r="BF130" s="67">
        <f ca="1">IF(LOWER(Capacity!$V35)="x",IF(AND(SUMIF(Capacity_Resource,$D130,'Critical resources (hide)'!BS$6:BS$105)+SUMIF(Capacity_Resource,$E130,'Critical resources (hide)'!BS$6:BS$105)+SUMIF(Capacity_Resource,$F130,'Critical resources (hide)'!BS$6:BS$105)&gt;0,$E$1=2),0,1),0)</f>
        <v>1</v>
      </c>
      <c r="BG130" s="67">
        <f ca="1">IF(LOWER(Capacity!$V35)="x",IF(AND(SUMIF(Capacity_Resource,$D130,'Critical resources (hide)'!BT$6:BT$105)+SUMIF(Capacity_Resource,$E130,'Critical resources (hide)'!BT$6:BT$105)+SUMIF(Capacity_Resource,$F130,'Critical resources (hide)'!BT$6:BT$105)&gt;0,$E$1=2),0,1),0)</f>
        <v>1</v>
      </c>
      <c r="BH130" s="67">
        <f>IF(ROW(A19)&lt;=Capacity!$M$16,IF('Capacity summary'!$C$14="No",SUM(H130:BG130),'Capacity summary'!$E42),0)</f>
        <v>0</v>
      </c>
      <c r="BI130" s="67" t="str">
        <f>IF(BH130&gt;0,IF(BH130&lt;Capacity!Q35,Capacity!R35,Capacity!T35/'Capacity calculation (hide)'!BH130),"")</f>
        <v/>
      </c>
      <c r="BJ130" s="5"/>
      <c r="BK130" s="5">
        <f>IF($BI130&lt;&gt;"",IF('Capacity summary'!$C$14="Yes",IF(COUNTBLANK('Capacity summary'!$H42:$BG42)&lt;52,IF('Capacity summary'!H42&lt;&gt;"",IF(LOWER('Capacity summary'!H42)="x",$BI130*H130,VALUE('Capacity summary'!H42)),0),H130*$BI130),H130*$BI130),0)</f>
        <v>0</v>
      </c>
      <c r="BL130" s="5">
        <f>IF($BI130&lt;&gt;"",IF('Capacity summary'!$C$14="Yes",IF(COUNTBLANK('Capacity summary'!$H42:$BG42)&lt;52,IF('Capacity summary'!I42&lt;&gt;"",IF(LOWER('Capacity summary'!I42)="x",$BI130*I130,VALUE('Capacity summary'!I42)),0),I130*$BI130),I130*$BI130),0)</f>
        <v>0</v>
      </c>
      <c r="BM130" s="5">
        <f>IF($BI130&lt;&gt;"",IF('Capacity summary'!$C$14="Yes",IF(COUNTBLANK('Capacity summary'!$H42:$BG42)&lt;52,IF('Capacity summary'!J42&lt;&gt;"",IF(LOWER('Capacity summary'!J42)="x",$BI130*J130,VALUE('Capacity summary'!J42)),0),J130*$BI130),J130*$BI130),0)</f>
        <v>0</v>
      </c>
      <c r="BN130" s="5">
        <f>IF($BI130&lt;&gt;"",IF('Capacity summary'!$C$14="Yes",IF(COUNTBLANK('Capacity summary'!$H42:$BG42)&lt;52,IF('Capacity summary'!K42&lt;&gt;"",IF(LOWER('Capacity summary'!K42)="x",$BI130*K130,VALUE('Capacity summary'!K42)),0),K130*$BI130),K130*$BI130),0)</f>
        <v>0</v>
      </c>
      <c r="BO130" s="5">
        <f>IF($BI130&lt;&gt;"",IF('Capacity summary'!$C$14="Yes",IF(COUNTBLANK('Capacity summary'!$H42:$BG42)&lt;52,IF('Capacity summary'!L42&lt;&gt;"",IF(LOWER('Capacity summary'!L42)="x",$BI130*L130,VALUE('Capacity summary'!L42)),0),L130*$BI130),L130*$BI130),0)</f>
        <v>0</v>
      </c>
      <c r="BP130" s="5">
        <f>IF($BI130&lt;&gt;"",IF('Capacity summary'!$C$14="Yes",IF(COUNTBLANK('Capacity summary'!$H42:$BG42)&lt;52,IF('Capacity summary'!M42&lt;&gt;"",IF(LOWER('Capacity summary'!M42)="x",$BI130*M130,VALUE('Capacity summary'!M42)),0),M130*$BI130),M130*$BI130),0)</f>
        <v>0</v>
      </c>
      <c r="BQ130" s="5">
        <f>IF($BI130&lt;&gt;"",IF('Capacity summary'!$C$14="Yes",IF(COUNTBLANK('Capacity summary'!$H42:$BG42)&lt;52,IF('Capacity summary'!N42&lt;&gt;"",IF(LOWER('Capacity summary'!N42)="x",$BI130*N130,VALUE('Capacity summary'!N42)),0),N130*$BI130),N130*$BI130),0)</f>
        <v>0</v>
      </c>
      <c r="BR130" s="5">
        <f>IF($BI130&lt;&gt;"",IF('Capacity summary'!$C$14="Yes",IF(COUNTBLANK('Capacity summary'!$H42:$BG42)&lt;52,IF('Capacity summary'!O42&lt;&gt;"",IF(LOWER('Capacity summary'!O42)="x",$BI130*O130,VALUE('Capacity summary'!O42)),0),O130*$BI130),O130*$BI130),0)</f>
        <v>0</v>
      </c>
      <c r="BS130" s="5">
        <f>IF($BI130&lt;&gt;"",IF('Capacity summary'!$C$14="Yes",IF(COUNTBLANK('Capacity summary'!$H42:$BG42)&lt;52,IF('Capacity summary'!P42&lt;&gt;"",IF(LOWER('Capacity summary'!P42)="x",$BI130*P130,VALUE('Capacity summary'!P42)),0),P130*$BI130),P130*$BI130),0)</f>
        <v>0</v>
      </c>
      <c r="BT130" s="5">
        <f>IF($BI130&lt;&gt;"",IF('Capacity summary'!$C$14="Yes",IF(COUNTBLANK('Capacity summary'!$H42:$BG42)&lt;52,IF('Capacity summary'!Q42&lt;&gt;"",IF(LOWER('Capacity summary'!Q42)="x",$BI130*Q130,VALUE('Capacity summary'!Q42)),0),Q130*$BI130),Q130*$BI130),0)</f>
        <v>0</v>
      </c>
      <c r="BU130" s="5">
        <f>IF($BI130&lt;&gt;"",IF('Capacity summary'!$C$14="Yes",IF(COUNTBLANK('Capacity summary'!$H42:$BG42)&lt;52,IF('Capacity summary'!R42&lt;&gt;"",IF(LOWER('Capacity summary'!R42)="x",$BI130*R130,VALUE('Capacity summary'!R42)),0),R130*$BI130),R130*$BI130),0)</f>
        <v>0</v>
      </c>
      <c r="BV130" s="5">
        <f>IF($BI130&lt;&gt;"",IF('Capacity summary'!$C$14="Yes",IF(COUNTBLANK('Capacity summary'!$H42:$BG42)&lt;52,IF('Capacity summary'!S42&lt;&gt;"",IF(LOWER('Capacity summary'!S42)="x",$BI130*S130,VALUE('Capacity summary'!S42)),0),S130*$BI130),S130*$BI130),0)</f>
        <v>0</v>
      </c>
      <c r="BW130" s="5">
        <f>IF($BI130&lt;&gt;"",IF('Capacity summary'!$C$14="Yes",IF(COUNTBLANK('Capacity summary'!$H42:$BG42)&lt;52,IF('Capacity summary'!T42&lt;&gt;"",IF(LOWER('Capacity summary'!T42)="x",$BI130*T130,VALUE('Capacity summary'!T42)),0),T130*$BI130),T130*$BI130),0)</f>
        <v>0</v>
      </c>
      <c r="BX130" s="5">
        <f>IF($BI130&lt;&gt;"",IF('Capacity summary'!$C$14="Yes",IF(COUNTBLANK('Capacity summary'!$H42:$BG42)&lt;52,IF('Capacity summary'!U42&lt;&gt;"",IF(LOWER('Capacity summary'!U42)="x",$BI130*U130,VALUE('Capacity summary'!U42)),0),U130*$BI130),U130*$BI130),0)</f>
        <v>0</v>
      </c>
      <c r="BY130" s="5">
        <f>IF($BI130&lt;&gt;"",IF('Capacity summary'!$C$14="Yes",IF(COUNTBLANK('Capacity summary'!$H42:$BG42)&lt;52,IF('Capacity summary'!V42&lt;&gt;"",IF(LOWER('Capacity summary'!V42)="x",$BI130*V130,VALUE('Capacity summary'!V42)),0),V130*$BI130),V130*$BI130),0)</f>
        <v>0</v>
      </c>
      <c r="BZ130" s="5">
        <f>IF($BI130&lt;&gt;"",IF('Capacity summary'!$C$14="Yes",IF(COUNTBLANK('Capacity summary'!$H42:$BG42)&lt;52,IF('Capacity summary'!W42&lt;&gt;"",IF(LOWER('Capacity summary'!W42)="x",$BI130*W130,VALUE('Capacity summary'!W42)),0),W130*$BI130),W130*$BI130),0)</f>
        <v>0</v>
      </c>
      <c r="CA130" s="5">
        <f>IF($BI130&lt;&gt;"",IF('Capacity summary'!$C$14="Yes",IF(COUNTBLANK('Capacity summary'!$H42:$BG42)&lt;52,IF('Capacity summary'!X42&lt;&gt;"",IF(LOWER('Capacity summary'!X42)="x",$BI130*X130,VALUE('Capacity summary'!X42)),0),X130*$BI130),X130*$BI130),0)</f>
        <v>0</v>
      </c>
      <c r="CB130" s="5">
        <f>IF($BI130&lt;&gt;"",IF('Capacity summary'!$C$14="Yes",IF(COUNTBLANK('Capacity summary'!$H42:$BG42)&lt;52,IF('Capacity summary'!Y42&lt;&gt;"",IF(LOWER('Capacity summary'!Y42)="x",$BI130*Y130,VALUE('Capacity summary'!Y42)),0),Y130*$BI130),Y130*$BI130),0)</f>
        <v>0</v>
      </c>
      <c r="CC130" s="5">
        <f>IF($BI130&lt;&gt;"",IF('Capacity summary'!$C$14="Yes",IF(COUNTBLANK('Capacity summary'!$H42:$BG42)&lt;52,IF('Capacity summary'!Z42&lt;&gt;"",IF(LOWER('Capacity summary'!Z42)="x",$BI130*Z130,VALUE('Capacity summary'!Z42)),0),Z130*$BI130),Z130*$BI130),0)</f>
        <v>0</v>
      </c>
      <c r="CD130" s="5">
        <f>IF($BI130&lt;&gt;"",IF('Capacity summary'!$C$14="Yes",IF(COUNTBLANK('Capacity summary'!$H42:$BG42)&lt;52,IF('Capacity summary'!AA42&lt;&gt;"",IF(LOWER('Capacity summary'!AA42)="x",$BI130*AA130,VALUE('Capacity summary'!AA42)),0),AA130*$BI130),AA130*$BI130),0)</f>
        <v>0</v>
      </c>
      <c r="CE130" s="5">
        <f>IF($BI130&lt;&gt;"",IF('Capacity summary'!$C$14="Yes",IF(COUNTBLANK('Capacity summary'!$H42:$BG42)&lt;52,IF('Capacity summary'!AB42&lt;&gt;"",IF(LOWER('Capacity summary'!AB42)="x",$BI130*AB130,VALUE('Capacity summary'!AB42)),0),AB130*$BI130),AB130*$BI130),0)</f>
        <v>0</v>
      </c>
      <c r="CF130" s="5">
        <f>IF($BI130&lt;&gt;"",IF('Capacity summary'!$C$14="Yes",IF(COUNTBLANK('Capacity summary'!$H42:$BG42)&lt;52,IF('Capacity summary'!AC42&lt;&gt;"",IF(LOWER('Capacity summary'!AC42)="x",$BI130*AC130,VALUE('Capacity summary'!AC42)),0),AC130*$BI130),AC130*$BI130),0)</f>
        <v>0</v>
      </c>
      <c r="CG130" s="5">
        <f>IF($BI130&lt;&gt;"",IF('Capacity summary'!$C$14="Yes",IF(COUNTBLANK('Capacity summary'!$H42:$BG42)&lt;52,IF('Capacity summary'!AD42&lt;&gt;"",IF(LOWER('Capacity summary'!AD42)="x",$BI130*AD130,VALUE('Capacity summary'!AD42)),0),AD130*$BI130),AD130*$BI130),0)</f>
        <v>0</v>
      </c>
      <c r="CH130" s="5">
        <f>IF($BI130&lt;&gt;"",IF('Capacity summary'!$C$14="Yes",IF(COUNTBLANK('Capacity summary'!$H42:$BG42)&lt;52,IF('Capacity summary'!AE42&lt;&gt;"",IF(LOWER('Capacity summary'!AE42)="x",$BI130*AE130,VALUE('Capacity summary'!AE42)),0),AE130*$BI130),AE130*$BI130),0)</f>
        <v>0</v>
      </c>
      <c r="CI130" s="5">
        <f>IF($BI130&lt;&gt;"",IF('Capacity summary'!$C$14="Yes",IF(COUNTBLANK('Capacity summary'!$H42:$BG42)&lt;52,IF('Capacity summary'!AF42&lt;&gt;"",IF(LOWER('Capacity summary'!AF42)="x",$BI130*AF130,VALUE('Capacity summary'!AF42)),0),AF130*$BI130),AF130*$BI130),0)</f>
        <v>0</v>
      </c>
      <c r="CJ130" s="5">
        <f>IF($BI130&lt;&gt;"",IF('Capacity summary'!$C$14="Yes",IF(COUNTBLANK('Capacity summary'!$H42:$BG42)&lt;52,IF('Capacity summary'!AG42&lt;&gt;"",IF(LOWER('Capacity summary'!AG42)="x",$BI130*AG130,VALUE('Capacity summary'!AG42)),0),AG130*$BI130),AG130*$BI130),0)</f>
        <v>0</v>
      </c>
      <c r="CK130" s="5">
        <f>IF($BI130&lt;&gt;"",IF('Capacity summary'!$C$14="Yes",IF(COUNTBLANK('Capacity summary'!$H42:$BG42)&lt;52,IF('Capacity summary'!AH42&lt;&gt;"",IF(LOWER('Capacity summary'!AH42)="x",$BI130*AH130,VALUE('Capacity summary'!AH42)),0),AH130*$BI130),AH130*$BI130),0)</f>
        <v>0</v>
      </c>
      <c r="CL130" s="5">
        <f>IF($BI130&lt;&gt;"",IF('Capacity summary'!$C$14="Yes",IF(COUNTBLANK('Capacity summary'!$H42:$BG42)&lt;52,IF('Capacity summary'!AI42&lt;&gt;"",IF(LOWER('Capacity summary'!AI42)="x",$BI130*AI130,VALUE('Capacity summary'!AI42)),0),AI130*$BI130),AI130*$BI130),0)</f>
        <v>0</v>
      </c>
      <c r="CM130" s="5">
        <f>IF($BI130&lt;&gt;"",IF('Capacity summary'!$C$14="Yes",IF(COUNTBLANK('Capacity summary'!$H42:$BG42)&lt;52,IF('Capacity summary'!AJ42&lt;&gt;"",IF(LOWER('Capacity summary'!AJ42)="x",$BI130*AJ130,VALUE('Capacity summary'!AJ42)),0),AJ130*$BI130),AJ130*$BI130),0)</f>
        <v>0</v>
      </c>
      <c r="CN130" s="5">
        <f>IF($BI130&lt;&gt;"",IF('Capacity summary'!$C$14="Yes",IF(COUNTBLANK('Capacity summary'!$H42:$BG42)&lt;52,IF('Capacity summary'!AK42&lt;&gt;"",IF(LOWER('Capacity summary'!AK42)="x",$BI130*AK130,VALUE('Capacity summary'!AK42)),0),AK130*$BI130),AK130*$BI130),0)</f>
        <v>0</v>
      </c>
      <c r="CO130" s="5">
        <f>IF($BI130&lt;&gt;"",IF('Capacity summary'!$C$14="Yes",IF(COUNTBLANK('Capacity summary'!$H42:$BG42)&lt;52,IF('Capacity summary'!AL42&lt;&gt;"",IF(LOWER('Capacity summary'!AL42)="x",$BI130*AL130,VALUE('Capacity summary'!AL42)),0),AL130*$BI130),AL130*$BI130),0)</f>
        <v>0</v>
      </c>
      <c r="CP130" s="5">
        <f>IF($BI130&lt;&gt;"",IF('Capacity summary'!$C$14="Yes",IF(COUNTBLANK('Capacity summary'!$H42:$BG42)&lt;52,IF('Capacity summary'!AM42&lt;&gt;"",IF(LOWER('Capacity summary'!AM42)="x",$BI130*AM130,VALUE('Capacity summary'!AM42)),0),AM130*$BI130),AM130*$BI130),0)</f>
        <v>0</v>
      </c>
      <c r="CQ130" s="5">
        <f>IF($BI130&lt;&gt;"",IF('Capacity summary'!$C$14="Yes",IF(COUNTBLANK('Capacity summary'!$H42:$BG42)&lt;52,IF('Capacity summary'!AN42&lt;&gt;"",IF(LOWER('Capacity summary'!AN42)="x",$BI130*AN130,VALUE('Capacity summary'!AN42)),0),AN130*$BI130),AN130*$BI130),0)</f>
        <v>0</v>
      </c>
      <c r="CR130" s="5">
        <f>IF($BI130&lt;&gt;"",IF('Capacity summary'!$C$14="Yes",IF(COUNTBLANK('Capacity summary'!$H42:$BG42)&lt;52,IF('Capacity summary'!AO42&lt;&gt;"",IF(LOWER('Capacity summary'!AO42)="x",$BI130*AO130,VALUE('Capacity summary'!AO42)),0),AO130*$BI130),AO130*$BI130),0)</f>
        <v>0</v>
      </c>
      <c r="CS130" s="5">
        <f>IF($BI130&lt;&gt;"",IF('Capacity summary'!$C$14="Yes",IF(COUNTBLANK('Capacity summary'!$H42:$BG42)&lt;52,IF('Capacity summary'!AP42&lt;&gt;"",IF(LOWER('Capacity summary'!AP42)="x",$BI130*AP130,VALUE('Capacity summary'!AP42)),0),AP130*$BI130),AP130*$BI130),0)</f>
        <v>0</v>
      </c>
      <c r="CT130" s="5">
        <f>IF($BI130&lt;&gt;"",IF('Capacity summary'!$C$14="Yes",IF(COUNTBLANK('Capacity summary'!$H42:$BG42)&lt;52,IF('Capacity summary'!AQ42&lt;&gt;"",IF(LOWER('Capacity summary'!AQ42)="x",$BI130*AQ130,VALUE('Capacity summary'!AQ42)),0),AQ130*$BI130),AQ130*$BI130),0)</f>
        <v>0</v>
      </c>
      <c r="CU130" s="5">
        <f>IF($BI130&lt;&gt;"",IF('Capacity summary'!$C$14="Yes",IF(COUNTBLANK('Capacity summary'!$H42:$BG42)&lt;52,IF('Capacity summary'!AR42&lt;&gt;"",IF(LOWER('Capacity summary'!AR42)="x",$BI130*AR130,VALUE('Capacity summary'!AR42)),0),AR130*$BI130),AR130*$BI130),0)</f>
        <v>0</v>
      </c>
      <c r="CV130" s="5">
        <f>IF($BI130&lt;&gt;"",IF('Capacity summary'!$C$14="Yes",IF(COUNTBLANK('Capacity summary'!$H42:$BG42)&lt;52,IF('Capacity summary'!AS42&lt;&gt;"",IF(LOWER('Capacity summary'!AS42)="x",$BI130*AS130,VALUE('Capacity summary'!AS42)),0),AS130*$BI130),AS130*$BI130),0)</f>
        <v>0</v>
      </c>
      <c r="CW130" s="5">
        <f>IF($BI130&lt;&gt;"",IF('Capacity summary'!$C$14="Yes",IF(COUNTBLANK('Capacity summary'!$H42:$BG42)&lt;52,IF('Capacity summary'!AT42&lt;&gt;"",IF(LOWER('Capacity summary'!AT42)="x",$BI130*AT130,VALUE('Capacity summary'!AT42)),0),AT130*$BI130),AT130*$BI130),0)</f>
        <v>0</v>
      </c>
      <c r="CX130" s="5">
        <f>IF($BI130&lt;&gt;"",IF('Capacity summary'!$C$14="Yes",IF(COUNTBLANK('Capacity summary'!$H42:$BG42)&lt;52,IF('Capacity summary'!AU42&lt;&gt;"",IF(LOWER('Capacity summary'!AU42)="x",$BI130*AU130,VALUE('Capacity summary'!AU42)),0),AU130*$BI130),AU130*$BI130),0)</f>
        <v>0</v>
      </c>
      <c r="CY130" s="5">
        <f>IF($BI130&lt;&gt;"",IF('Capacity summary'!$C$14="Yes",IF(COUNTBLANK('Capacity summary'!$H42:$BG42)&lt;52,IF('Capacity summary'!AV42&lt;&gt;"",IF(LOWER('Capacity summary'!AV42)="x",$BI130*AV130,VALUE('Capacity summary'!AV42)),0),AV130*$BI130),AV130*$BI130),0)</f>
        <v>0</v>
      </c>
      <c r="CZ130" s="5">
        <f>IF($BI130&lt;&gt;"",IF('Capacity summary'!$C$14="Yes",IF(COUNTBLANK('Capacity summary'!$H42:$BG42)&lt;52,IF('Capacity summary'!AW42&lt;&gt;"",IF(LOWER('Capacity summary'!AW42)="x",$BI130*AW130,VALUE('Capacity summary'!AW42)),0),AW130*$BI130),AW130*$BI130),0)</f>
        <v>0</v>
      </c>
      <c r="DA130" s="5">
        <f>IF($BI130&lt;&gt;"",IF('Capacity summary'!$C$14="Yes",IF(COUNTBLANK('Capacity summary'!$H42:$BG42)&lt;52,IF('Capacity summary'!AX42&lt;&gt;"",IF(LOWER('Capacity summary'!AX42)="x",$BI130*AX130,VALUE('Capacity summary'!AX42)),0),AX130*$BI130),AX130*$BI130),0)</f>
        <v>0</v>
      </c>
      <c r="DB130" s="5">
        <f>IF($BI130&lt;&gt;"",IF('Capacity summary'!$C$14="Yes",IF(COUNTBLANK('Capacity summary'!$H42:$BG42)&lt;52,IF('Capacity summary'!AY42&lt;&gt;"",IF(LOWER('Capacity summary'!AY42)="x",$BI130*AY130,VALUE('Capacity summary'!AY42)),0),AY130*$BI130),AY130*$BI130),0)</f>
        <v>0</v>
      </c>
      <c r="DC130" s="5">
        <f>IF($BI130&lt;&gt;"",IF('Capacity summary'!$C$14="Yes",IF(COUNTBLANK('Capacity summary'!$H42:$BG42)&lt;52,IF('Capacity summary'!AZ42&lt;&gt;"",IF(LOWER('Capacity summary'!AZ42)="x",$BI130*AZ130,VALUE('Capacity summary'!AZ42)),0),AZ130*$BI130),AZ130*$BI130),0)</f>
        <v>0</v>
      </c>
      <c r="DD130" s="5">
        <f>IF($BI130&lt;&gt;"",IF('Capacity summary'!$C$14="Yes",IF(COUNTBLANK('Capacity summary'!$H42:$BG42)&lt;52,IF('Capacity summary'!BA42&lt;&gt;"",IF(LOWER('Capacity summary'!BA42)="x",$BI130*BA130,VALUE('Capacity summary'!BA42)),0),BA130*$BI130),BA130*$BI130),0)</f>
        <v>0</v>
      </c>
      <c r="DE130" s="5">
        <f>IF($BI130&lt;&gt;"",IF('Capacity summary'!$C$14="Yes",IF(COUNTBLANK('Capacity summary'!$H42:$BG42)&lt;52,IF('Capacity summary'!BB42&lt;&gt;"",IF(LOWER('Capacity summary'!BB42)="x",$BI130*BB130,VALUE('Capacity summary'!BB42)),0),BB130*$BI130),BB130*$BI130),0)</f>
        <v>0</v>
      </c>
      <c r="DF130" s="5">
        <f>IF($BI130&lt;&gt;"",IF('Capacity summary'!$C$14="Yes",IF(COUNTBLANK('Capacity summary'!$H42:$BG42)&lt;52,IF('Capacity summary'!BC42&lt;&gt;"",IF(LOWER('Capacity summary'!BC42)="x",$BI130*BC130,VALUE('Capacity summary'!BC42)),0),BC130*$BI130),BC130*$BI130),0)</f>
        <v>0</v>
      </c>
      <c r="DG130" s="5">
        <f>IF($BI130&lt;&gt;"",IF('Capacity summary'!$C$14="Yes",IF(COUNTBLANK('Capacity summary'!$H42:$BG42)&lt;52,IF('Capacity summary'!BD42&lt;&gt;"",IF(LOWER('Capacity summary'!BD42)="x",$BI130*BD130,VALUE('Capacity summary'!BD42)),0),BD130*$BI130),BD130*$BI130),0)</f>
        <v>0</v>
      </c>
      <c r="DH130" s="5">
        <f>IF($BI130&lt;&gt;"",IF('Capacity summary'!$C$14="Yes",IF(COUNTBLANK('Capacity summary'!$H42:$BG42)&lt;52,IF('Capacity summary'!BE42&lt;&gt;"",IF(LOWER('Capacity summary'!BE42)="x",$BI130*BE130,VALUE('Capacity summary'!BE42)),0),BE130*$BI130),BE130*$BI130),0)</f>
        <v>0</v>
      </c>
      <c r="DI130" s="5">
        <f>IF($BI130&lt;&gt;"",IF('Capacity summary'!$C$14="Yes",IF(COUNTBLANK('Capacity summary'!$H42:$BG42)&lt;52,IF('Capacity summary'!BF42&lt;&gt;"",IF(LOWER('Capacity summary'!BF42)="x",$BI130*BF130,VALUE('Capacity summary'!BF42)),0),BF130*$BI130),BF130*$BI130),0)</f>
        <v>0</v>
      </c>
      <c r="DJ130" s="5">
        <f>IF($BI130&lt;&gt;"",IF('Capacity summary'!$C$14="Yes",IF(COUNTBLANK('Capacity summary'!$H42:$BG42)&lt;52,IF('Capacity summary'!BG42&lt;&gt;"",IF(LOWER('Capacity summary'!BG42)="x",$BI130*BG130,VALUE('Capacity summary'!BG42)),0),BG130*$BI130),BG130*$BI130),0)</f>
        <v>0</v>
      </c>
      <c r="DK130" s="391">
        <f t="shared" si="8"/>
        <v>0</v>
      </c>
      <c r="DL130" s="5">
        <f t="shared" si="9"/>
        <v>0</v>
      </c>
    </row>
    <row r="131" spans="3:116" x14ac:dyDescent="0.2">
      <c r="C131" s="67" t="str">
        <f>ROW(A20)&amp;". "&amp;Capacity!N36</f>
        <v xml:space="preserve">20. </v>
      </c>
      <c r="D131" s="67">
        <f>'Capacity setup'!C137</f>
        <v>0</v>
      </c>
      <c r="E131" s="67">
        <f>'Capacity setup'!D137</f>
        <v>0</v>
      </c>
      <c r="F131" s="67">
        <f>'Capacity setup'!E137</f>
        <v>0</v>
      </c>
      <c r="H131" s="67">
        <f ca="1">IF(LOWER(Capacity!$V36)="x",IF(AND(SUMIF(Capacity_Resource,$D131,'Critical resources (hide)'!U$6:U$105)+SUMIF(Capacity_Resource,$E131,'Critical resources (hide)'!U$6:U$105)+SUMIF(Capacity_Resource,$F131,'Critical resources (hide)'!U$6:U$105)&gt;0,$E$1=2),0,1),0)</f>
        <v>1</v>
      </c>
      <c r="I131" s="67">
        <f ca="1">IF(LOWER(Capacity!$V36)="x",IF(AND(SUMIF(Capacity_Resource,$D131,'Critical resources (hide)'!V$6:V$105)+SUMIF(Capacity_Resource,$E131,'Critical resources (hide)'!V$6:V$105)+SUMIF(Capacity_Resource,$F131,'Critical resources (hide)'!V$6:V$105)&gt;0,$E$1=2),0,1),0)</f>
        <v>1</v>
      </c>
      <c r="J131" s="67">
        <f ca="1">IF(LOWER(Capacity!$V36)="x",IF(AND(SUMIF(Capacity_Resource,$D131,'Critical resources (hide)'!W$6:W$105)+SUMIF(Capacity_Resource,$E131,'Critical resources (hide)'!W$6:W$105)+SUMIF(Capacity_Resource,$F131,'Critical resources (hide)'!W$6:W$105)&gt;0,$E$1=2),0,1),0)</f>
        <v>1</v>
      </c>
      <c r="K131" s="67">
        <f ca="1">IF(LOWER(Capacity!$V36)="x",IF(AND(SUMIF(Capacity_Resource,$D131,'Critical resources (hide)'!X$6:X$105)+SUMIF(Capacity_Resource,$E131,'Critical resources (hide)'!X$6:X$105)+SUMIF(Capacity_Resource,$F131,'Critical resources (hide)'!X$6:X$105)&gt;0,$E$1=2),0,1),0)</f>
        <v>1</v>
      </c>
      <c r="L131" s="67">
        <f ca="1">IF(LOWER(Capacity!$V36)="x",IF(AND(SUMIF(Capacity_Resource,$D131,'Critical resources (hide)'!Y$6:Y$105)+SUMIF(Capacity_Resource,$E131,'Critical resources (hide)'!Y$6:Y$105)+SUMIF(Capacity_Resource,$F131,'Critical resources (hide)'!Y$6:Y$105)&gt;0,$E$1=2),0,1),0)</f>
        <v>1</v>
      </c>
      <c r="M131" s="67">
        <f ca="1">IF(LOWER(Capacity!$V36)="x",IF(AND(SUMIF(Capacity_Resource,$D131,'Critical resources (hide)'!Z$6:Z$105)+SUMIF(Capacity_Resource,$E131,'Critical resources (hide)'!Z$6:Z$105)+SUMIF(Capacity_Resource,$F131,'Critical resources (hide)'!Z$6:Z$105)&gt;0,$E$1=2),0,1),0)</f>
        <v>1</v>
      </c>
      <c r="N131" s="67">
        <f ca="1">IF(LOWER(Capacity!$V36)="x",IF(AND(SUMIF(Capacity_Resource,$D131,'Critical resources (hide)'!AA$6:AA$105)+SUMIF(Capacity_Resource,$E131,'Critical resources (hide)'!AA$6:AA$105)+SUMIF(Capacity_Resource,$F131,'Critical resources (hide)'!AA$6:AA$105)&gt;0,$E$1=2),0,1),0)</f>
        <v>1</v>
      </c>
      <c r="O131" s="67">
        <f ca="1">IF(LOWER(Capacity!$V36)="x",IF(AND(SUMIF(Capacity_Resource,$D131,'Critical resources (hide)'!AB$6:AB$105)+SUMIF(Capacity_Resource,$E131,'Critical resources (hide)'!AB$6:AB$105)+SUMIF(Capacity_Resource,$F131,'Critical resources (hide)'!AB$6:AB$105)&gt;0,$E$1=2),0,1),0)</f>
        <v>1</v>
      </c>
      <c r="P131" s="67">
        <f ca="1">IF(LOWER(Capacity!$V36)="x",IF(AND(SUMIF(Capacity_Resource,$D131,'Critical resources (hide)'!AC$6:AC$105)+SUMIF(Capacity_Resource,$E131,'Critical resources (hide)'!AC$6:AC$105)+SUMIF(Capacity_Resource,$F131,'Critical resources (hide)'!AC$6:AC$105)&gt;0,$E$1=2),0,1),0)</f>
        <v>1</v>
      </c>
      <c r="Q131" s="67">
        <f ca="1">IF(LOWER(Capacity!$V36)="x",IF(AND(SUMIF(Capacity_Resource,$D131,'Critical resources (hide)'!AD$6:AD$105)+SUMIF(Capacity_Resource,$E131,'Critical resources (hide)'!AD$6:AD$105)+SUMIF(Capacity_Resource,$F131,'Critical resources (hide)'!AD$6:AD$105)&gt;0,$E$1=2),0,1),0)</f>
        <v>1</v>
      </c>
      <c r="R131" s="67">
        <f ca="1">IF(LOWER(Capacity!$V36)="x",IF(AND(SUMIF(Capacity_Resource,$D131,'Critical resources (hide)'!AE$6:AE$105)+SUMIF(Capacity_Resource,$E131,'Critical resources (hide)'!AE$6:AE$105)+SUMIF(Capacity_Resource,$F131,'Critical resources (hide)'!AE$6:AE$105)&gt;0,$E$1=2),0,1),0)</f>
        <v>1</v>
      </c>
      <c r="S131" s="67">
        <f ca="1">IF(LOWER(Capacity!$V36)="x",IF(AND(SUMIF(Capacity_Resource,$D131,'Critical resources (hide)'!AF$6:AF$105)+SUMIF(Capacity_Resource,$E131,'Critical resources (hide)'!AF$6:AF$105)+SUMIF(Capacity_Resource,$F131,'Critical resources (hide)'!AF$6:AF$105)&gt;0,$E$1=2),0,1),0)</f>
        <v>1</v>
      </c>
      <c r="T131" s="67">
        <f ca="1">IF(LOWER(Capacity!$V36)="x",IF(AND(SUMIF(Capacity_Resource,$D131,'Critical resources (hide)'!AG$6:AG$105)+SUMIF(Capacity_Resource,$E131,'Critical resources (hide)'!AG$6:AG$105)+SUMIF(Capacity_Resource,$F131,'Critical resources (hide)'!AG$6:AG$105)&gt;0,$E$1=2),0,1),0)</f>
        <v>1</v>
      </c>
      <c r="U131" s="67">
        <f ca="1">IF(LOWER(Capacity!$V36)="x",IF(AND(SUMIF(Capacity_Resource,$D131,'Critical resources (hide)'!AH$6:AH$105)+SUMIF(Capacity_Resource,$E131,'Critical resources (hide)'!AH$6:AH$105)+SUMIF(Capacity_Resource,$F131,'Critical resources (hide)'!AH$6:AH$105)&gt;0,$E$1=2),0,1),0)</f>
        <v>1</v>
      </c>
      <c r="V131" s="67">
        <f ca="1">IF(LOWER(Capacity!$V36)="x",IF(AND(SUMIF(Capacity_Resource,$D131,'Critical resources (hide)'!AI$6:AI$105)+SUMIF(Capacity_Resource,$E131,'Critical resources (hide)'!AI$6:AI$105)+SUMIF(Capacity_Resource,$F131,'Critical resources (hide)'!AI$6:AI$105)&gt;0,$E$1=2),0,1),0)</f>
        <v>1</v>
      </c>
      <c r="W131" s="67">
        <f ca="1">IF(LOWER(Capacity!$V36)="x",IF(AND(SUMIF(Capacity_Resource,$D131,'Critical resources (hide)'!AJ$6:AJ$105)+SUMIF(Capacity_Resource,$E131,'Critical resources (hide)'!AJ$6:AJ$105)+SUMIF(Capacity_Resource,$F131,'Critical resources (hide)'!AJ$6:AJ$105)&gt;0,$E$1=2),0,1),0)</f>
        <v>1</v>
      </c>
      <c r="X131" s="67">
        <f ca="1">IF(LOWER(Capacity!$V36)="x",IF(AND(SUMIF(Capacity_Resource,$D131,'Critical resources (hide)'!AK$6:AK$105)+SUMIF(Capacity_Resource,$E131,'Critical resources (hide)'!AK$6:AK$105)+SUMIF(Capacity_Resource,$F131,'Critical resources (hide)'!AK$6:AK$105)&gt;0,$E$1=2),0,1),0)</f>
        <v>1</v>
      </c>
      <c r="Y131" s="67">
        <f ca="1">IF(LOWER(Capacity!$V36)="x",IF(AND(SUMIF(Capacity_Resource,$D131,'Critical resources (hide)'!AL$6:AL$105)+SUMIF(Capacity_Resource,$E131,'Critical resources (hide)'!AL$6:AL$105)+SUMIF(Capacity_Resource,$F131,'Critical resources (hide)'!AL$6:AL$105)&gt;0,$E$1=2),0,1),0)</f>
        <v>1</v>
      </c>
      <c r="Z131" s="67">
        <f ca="1">IF(LOWER(Capacity!$V36)="x",IF(AND(SUMIF(Capacity_Resource,$D131,'Critical resources (hide)'!AM$6:AM$105)+SUMIF(Capacity_Resource,$E131,'Critical resources (hide)'!AM$6:AM$105)+SUMIF(Capacity_Resource,$F131,'Critical resources (hide)'!AM$6:AM$105)&gt;0,$E$1=2),0,1),0)</f>
        <v>1</v>
      </c>
      <c r="AA131" s="67">
        <f ca="1">IF(LOWER(Capacity!$V36)="x",IF(AND(SUMIF(Capacity_Resource,$D131,'Critical resources (hide)'!AN$6:AN$105)+SUMIF(Capacity_Resource,$E131,'Critical resources (hide)'!AN$6:AN$105)+SUMIF(Capacity_Resource,$F131,'Critical resources (hide)'!AN$6:AN$105)&gt;0,$E$1=2),0,1),0)</f>
        <v>1</v>
      </c>
      <c r="AB131" s="67">
        <f ca="1">IF(LOWER(Capacity!$V36)="x",IF(AND(SUMIF(Capacity_Resource,$D131,'Critical resources (hide)'!AO$6:AO$105)+SUMIF(Capacity_Resource,$E131,'Critical resources (hide)'!AO$6:AO$105)+SUMIF(Capacity_Resource,$F131,'Critical resources (hide)'!AO$6:AO$105)&gt;0,$E$1=2),0,1),0)</f>
        <v>1</v>
      </c>
      <c r="AC131" s="67">
        <f ca="1">IF(LOWER(Capacity!$V36)="x",IF(AND(SUMIF(Capacity_Resource,$D131,'Critical resources (hide)'!AP$6:AP$105)+SUMIF(Capacity_Resource,$E131,'Critical resources (hide)'!AP$6:AP$105)+SUMIF(Capacity_Resource,$F131,'Critical resources (hide)'!AP$6:AP$105)&gt;0,$E$1=2),0,1),0)</f>
        <v>1</v>
      </c>
      <c r="AD131" s="67">
        <f ca="1">IF(LOWER(Capacity!$V36)="x",IF(AND(SUMIF(Capacity_Resource,$D131,'Critical resources (hide)'!AQ$6:AQ$105)+SUMIF(Capacity_Resource,$E131,'Critical resources (hide)'!AQ$6:AQ$105)+SUMIF(Capacity_Resource,$F131,'Critical resources (hide)'!AQ$6:AQ$105)&gt;0,$E$1=2),0,1),0)</f>
        <v>1</v>
      </c>
      <c r="AE131" s="67">
        <f ca="1">IF(LOWER(Capacity!$V36)="x",IF(AND(SUMIF(Capacity_Resource,$D131,'Critical resources (hide)'!AR$6:AR$105)+SUMIF(Capacity_Resource,$E131,'Critical resources (hide)'!AR$6:AR$105)+SUMIF(Capacity_Resource,$F131,'Critical resources (hide)'!AR$6:AR$105)&gt;0,$E$1=2),0,1),0)</f>
        <v>1</v>
      </c>
      <c r="AF131" s="67">
        <f ca="1">IF(LOWER(Capacity!$V36)="x",IF(AND(SUMIF(Capacity_Resource,$D131,'Critical resources (hide)'!AS$6:AS$105)+SUMIF(Capacity_Resource,$E131,'Critical resources (hide)'!AS$6:AS$105)+SUMIF(Capacity_Resource,$F131,'Critical resources (hide)'!AS$6:AS$105)&gt;0,$E$1=2),0,1),0)</f>
        <v>1</v>
      </c>
      <c r="AG131" s="67">
        <f ca="1">IF(LOWER(Capacity!$V36)="x",IF(AND(SUMIF(Capacity_Resource,$D131,'Critical resources (hide)'!AT$6:AT$105)+SUMIF(Capacity_Resource,$E131,'Critical resources (hide)'!AT$6:AT$105)+SUMIF(Capacity_Resource,$F131,'Critical resources (hide)'!AT$6:AT$105)&gt;0,$E$1=2),0,1),0)</f>
        <v>1</v>
      </c>
      <c r="AH131" s="67">
        <f ca="1">IF(LOWER(Capacity!$V36)="x",IF(AND(SUMIF(Capacity_Resource,$D131,'Critical resources (hide)'!AU$6:AU$105)+SUMIF(Capacity_Resource,$E131,'Critical resources (hide)'!AU$6:AU$105)+SUMIF(Capacity_Resource,$F131,'Critical resources (hide)'!AU$6:AU$105)&gt;0,$E$1=2),0,1),0)</f>
        <v>1</v>
      </c>
      <c r="AI131" s="67">
        <f ca="1">IF(LOWER(Capacity!$V36)="x",IF(AND(SUMIF(Capacity_Resource,$D131,'Critical resources (hide)'!AV$6:AV$105)+SUMIF(Capacity_Resource,$E131,'Critical resources (hide)'!AV$6:AV$105)+SUMIF(Capacity_Resource,$F131,'Critical resources (hide)'!AV$6:AV$105)&gt;0,$E$1=2),0,1),0)</f>
        <v>1</v>
      </c>
      <c r="AJ131" s="67">
        <f ca="1">IF(LOWER(Capacity!$V36)="x",IF(AND(SUMIF(Capacity_Resource,$D131,'Critical resources (hide)'!AW$6:AW$105)+SUMIF(Capacity_Resource,$E131,'Critical resources (hide)'!AW$6:AW$105)+SUMIF(Capacity_Resource,$F131,'Critical resources (hide)'!AW$6:AW$105)&gt;0,$E$1=2),0,1),0)</f>
        <v>1</v>
      </c>
      <c r="AK131" s="67">
        <f ca="1">IF(LOWER(Capacity!$V36)="x",IF(AND(SUMIF(Capacity_Resource,$D131,'Critical resources (hide)'!AX$6:AX$105)+SUMIF(Capacity_Resource,$E131,'Critical resources (hide)'!AX$6:AX$105)+SUMIF(Capacity_Resource,$F131,'Critical resources (hide)'!AX$6:AX$105)&gt;0,$E$1=2),0,1),0)</f>
        <v>1</v>
      </c>
      <c r="AL131" s="67">
        <f ca="1">IF(LOWER(Capacity!$V36)="x",IF(AND(SUMIF(Capacity_Resource,$D131,'Critical resources (hide)'!AY$6:AY$105)+SUMIF(Capacity_Resource,$E131,'Critical resources (hide)'!AY$6:AY$105)+SUMIF(Capacity_Resource,$F131,'Critical resources (hide)'!AY$6:AY$105)&gt;0,$E$1=2),0,1),0)</f>
        <v>1</v>
      </c>
      <c r="AM131" s="67">
        <f ca="1">IF(LOWER(Capacity!$V36)="x",IF(AND(SUMIF(Capacity_Resource,$D131,'Critical resources (hide)'!AZ$6:AZ$105)+SUMIF(Capacity_Resource,$E131,'Critical resources (hide)'!AZ$6:AZ$105)+SUMIF(Capacity_Resource,$F131,'Critical resources (hide)'!AZ$6:AZ$105)&gt;0,$E$1=2),0,1),0)</f>
        <v>1</v>
      </c>
      <c r="AN131" s="67">
        <f ca="1">IF(LOWER(Capacity!$V36)="x",IF(AND(SUMIF(Capacity_Resource,$D131,'Critical resources (hide)'!BA$6:BA$105)+SUMIF(Capacity_Resource,$E131,'Critical resources (hide)'!BA$6:BA$105)+SUMIF(Capacity_Resource,$F131,'Critical resources (hide)'!BA$6:BA$105)&gt;0,$E$1=2),0,1),0)</f>
        <v>1</v>
      </c>
      <c r="AO131" s="67">
        <f ca="1">IF(LOWER(Capacity!$V36)="x",IF(AND(SUMIF(Capacity_Resource,$D131,'Critical resources (hide)'!BB$6:BB$105)+SUMIF(Capacity_Resource,$E131,'Critical resources (hide)'!BB$6:BB$105)+SUMIF(Capacity_Resource,$F131,'Critical resources (hide)'!BB$6:BB$105)&gt;0,$E$1=2),0,1),0)</f>
        <v>1</v>
      </c>
      <c r="AP131" s="67">
        <f ca="1">IF(LOWER(Capacity!$V36)="x",IF(AND(SUMIF(Capacity_Resource,$D131,'Critical resources (hide)'!BC$6:BC$105)+SUMIF(Capacity_Resource,$E131,'Critical resources (hide)'!BC$6:BC$105)+SUMIF(Capacity_Resource,$F131,'Critical resources (hide)'!BC$6:BC$105)&gt;0,$E$1=2),0,1),0)</f>
        <v>1</v>
      </c>
      <c r="AQ131" s="67">
        <f ca="1">IF(LOWER(Capacity!$V36)="x",IF(AND(SUMIF(Capacity_Resource,$D131,'Critical resources (hide)'!BD$6:BD$105)+SUMIF(Capacity_Resource,$E131,'Critical resources (hide)'!BD$6:BD$105)+SUMIF(Capacity_Resource,$F131,'Critical resources (hide)'!BD$6:BD$105)&gt;0,$E$1=2),0,1),0)</f>
        <v>1</v>
      </c>
      <c r="AR131" s="67">
        <f ca="1">IF(LOWER(Capacity!$V36)="x",IF(AND(SUMIF(Capacity_Resource,$D131,'Critical resources (hide)'!BE$6:BE$105)+SUMIF(Capacity_Resource,$E131,'Critical resources (hide)'!BE$6:BE$105)+SUMIF(Capacity_Resource,$F131,'Critical resources (hide)'!BE$6:BE$105)&gt;0,$E$1=2),0,1),0)</f>
        <v>1</v>
      </c>
      <c r="AS131" s="67">
        <f ca="1">IF(LOWER(Capacity!$V36)="x",IF(AND(SUMIF(Capacity_Resource,$D131,'Critical resources (hide)'!BF$6:BF$105)+SUMIF(Capacity_Resource,$E131,'Critical resources (hide)'!BF$6:BF$105)+SUMIF(Capacity_Resource,$F131,'Critical resources (hide)'!BF$6:BF$105)&gt;0,$E$1=2),0,1),0)</f>
        <v>1</v>
      </c>
      <c r="AT131" s="67">
        <f ca="1">IF(LOWER(Capacity!$V36)="x",IF(AND(SUMIF(Capacity_Resource,$D131,'Critical resources (hide)'!BG$6:BG$105)+SUMIF(Capacity_Resource,$E131,'Critical resources (hide)'!BG$6:BG$105)+SUMIF(Capacity_Resource,$F131,'Critical resources (hide)'!BG$6:BG$105)&gt;0,$E$1=2),0,1),0)</f>
        <v>1</v>
      </c>
      <c r="AU131" s="67">
        <f ca="1">IF(LOWER(Capacity!$V36)="x",IF(AND(SUMIF(Capacity_Resource,$D131,'Critical resources (hide)'!BH$6:BH$105)+SUMIF(Capacity_Resource,$E131,'Critical resources (hide)'!BH$6:BH$105)+SUMIF(Capacity_Resource,$F131,'Critical resources (hide)'!BH$6:BH$105)&gt;0,$E$1=2),0,1),0)</f>
        <v>1</v>
      </c>
      <c r="AV131" s="67">
        <f ca="1">IF(LOWER(Capacity!$V36)="x",IF(AND(SUMIF(Capacity_Resource,$D131,'Critical resources (hide)'!BI$6:BI$105)+SUMIF(Capacity_Resource,$E131,'Critical resources (hide)'!BI$6:BI$105)+SUMIF(Capacity_Resource,$F131,'Critical resources (hide)'!BI$6:BI$105)&gt;0,$E$1=2),0,1),0)</f>
        <v>1</v>
      </c>
      <c r="AW131" s="67">
        <f ca="1">IF(LOWER(Capacity!$V36)="x",IF(AND(SUMIF(Capacity_Resource,$D131,'Critical resources (hide)'!BJ$6:BJ$105)+SUMIF(Capacity_Resource,$E131,'Critical resources (hide)'!BJ$6:BJ$105)+SUMIF(Capacity_Resource,$F131,'Critical resources (hide)'!BJ$6:BJ$105)&gt;0,$E$1=2),0,1),0)</f>
        <v>1</v>
      </c>
      <c r="AX131" s="67">
        <f ca="1">IF(LOWER(Capacity!$V36)="x",IF(AND(SUMIF(Capacity_Resource,$D131,'Critical resources (hide)'!BK$6:BK$105)+SUMIF(Capacity_Resource,$E131,'Critical resources (hide)'!BK$6:BK$105)+SUMIF(Capacity_Resource,$F131,'Critical resources (hide)'!BK$6:BK$105)&gt;0,$E$1=2),0,1),0)</f>
        <v>1</v>
      </c>
      <c r="AY131" s="67">
        <f ca="1">IF(LOWER(Capacity!$V36)="x",IF(AND(SUMIF(Capacity_Resource,$D131,'Critical resources (hide)'!BL$6:BL$105)+SUMIF(Capacity_Resource,$E131,'Critical resources (hide)'!BL$6:BL$105)+SUMIF(Capacity_Resource,$F131,'Critical resources (hide)'!BL$6:BL$105)&gt;0,$E$1=2),0,1),0)</f>
        <v>1</v>
      </c>
      <c r="AZ131" s="67">
        <f ca="1">IF(LOWER(Capacity!$V36)="x",IF(AND(SUMIF(Capacity_Resource,$D131,'Critical resources (hide)'!BM$6:BM$105)+SUMIF(Capacity_Resource,$E131,'Critical resources (hide)'!BM$6:BM$105)+SUMIF(Capacity_Resource,$F131,'Critical resources (hide)'!BM$6:BM$105)&gt;0,$E$1=2),0,1),0)</f>
        <v>1</v>
      </c>
      <c r="BA131" s="67">
        <f ca="1">IF(LOWER(Capacity!$V36)="x",IF(AND(SUMIF(Capacity_Resource,$D131,'Critical resources (hide)'!BN$6:BN$105)+SUMIF(Capacity_Resource,$E131,'Critical resources (hide)'!BN$6:BN$105)+SUMIF(Capacity_Resource,$F131,'Critical resources (hide)'!BN$6:BN$105)&gt;0,$E$1=2),0,1),0)</f>
        <v>1</v>
      </c>
      <c r="BB131" s="67">
        <f ca="1">IF(LOWER(Capacity!$V36)="x",IF(AND(SUMIF(Capacity_Resource,$D131,'Critical resources (hide)'!BO$6:BO$105)+SUMIF(Capacity_Resource,$E131,'Critical resources (hide)'!BO$6:BO$105)+SUMIF(Capacity_Resource,$F131,'Critical resources (hide)'!BO$6:BO$105)&gt;0,$E$1=2),0,1),0)</f>
        <v>1</v>
      </c>
      <c r="BC131" s="67">
        <f ca="1">IF(LOWER(Capacity!$V36)="x",IF(AND(SUMIF(Capacity_Resource,$D131,'Critical resources (hide)'!BP$6:BP$105)+SUMIF(Capacity_Resource,$E131,'Critical resources (hide)'!BP$6:BP$105)+SUMIF(Capacity_Resource,$F131,'Critical resources (hide)'!BP$6:BP$105)&gt;0,$E$1=2),0,1),0)</f>
        <v>1</v>
      </c>
      <c r="BD131" s="67">
        <f ca="1">IF(LOWER(Capacity!$V36)="x",IF(AND(SUMIF(Capacity_Resource,$D131,'Critical resources (hide)'!BQ$6:BQ$105)+SUMIF(Capacity_Resource,$E131,'Critical resources (hide)'!BQ$6:BQ$105)+SUMIF(Capacity_Resource,$F131,'Critical resources (hide)'!BQ$6:BQ$105)&gt;0,$E$1=2),0,1),0)</f>
        <v>1</v>
      </c>
      <c r="BE131" s="67">
        <f ca="1">IF(LOWER(Capacity!$V36)="x",IF(AND(SUMIF(Capacity_Resource,$D131,'Critical resources (hide)'!BR$6:BR$105)+SUMIF(Capacity_Resource,$E131,'Critical resources (hide)'!BR$6:BR$105)+SUMIF(Capacity_Resource,$F131,'Critical resources (hide)'!BR$6:BR$105)&gt;0,$E$1=2),0,1),0)</f>
        <v>1</v>
      </c>
      <c r="BF131" s="67">
        <f ca="1">IF(LOWER(Capacity!$V36)="x",IF(AND(SUMIF(Capacity_Resource,$D131,'Critical resources (hide)'!BS$6:BS$105)+SUMIF(Capacity_Resource,$E131,'Critical resources (hide)'!BS$6:BS$105)+SUMIF(Capacity_Resource,$F131,'Critical resources (hide)'!BS$6:BS$105)&gt;0,$E$1=2),0,1),0)</f>
        <v>1</v>
      </c>
      <c r="BG131" s="67">
        <f ca="1">IF(LOWER(Capacity!$V36)="x",IF(AND(SUMIF(Capacity_Resource,$D131,'Critical resources (hide)'!BT$6:BT$105)+SUMIF(Capacity_Resource,$E131,'Critical resources (hide)'!BT$6:BT$105)+SUMIF(Capacity_Resource,$F131,'Critical resources (hide)'!BT$6:BT$105)&gt;0,$E$1=2),0,1),0)</f>
        <v>1</v>
      </c>
      <c r="BH131" s="67">
        <f>IF(ROW(A20)&lt;=Capacity!$M$16,IF('Capacity summary'!$C$14="No",SUM(H131:BG131),'Capacity summary'!$E43),0)</f>
        <v>0</v>
      </c>
      <c r="BI131" s="67" t="str">
        <f>IF(BH131&gt;0,IF(BH131&lt;Capacity!Q36,Capacity!R36,Capacity!T36/'Capacity calculation (hide)'!BH131),"")</f>
        <v/>
      </c>
      <c r="BJ131" s="5"/>
      <c r="BK131" s="5">
        <f>IF($BI131&lt;&gt;"",IF('Capacity summary'!$C$14="Yes",IF(COUNTBLANK('Capacity summary'!$H43:$BG43)&lt;52,IF('Capacity summary'!H43&lt;&gt;"",IF(LOWER('Capacity summary'!H43)="x",$BI131*H131,VALUE('Capacity summary'!H43)),0),H131*$BI131),H131*$BI131),0)</f>
        <v>0</v>
      </c>
      <c r="BL131" s="5">
        <f>IF($BI131&lt;&gt;"",IF('Capacity summary'!$C$14="Yes",IF(COUNTBLANK('Capacity summary'!$H43:$BG43)&lt;52,IF('Capacity summary'!I43&lt;&gt;"",IF(LOWER('Capacity summary'!I43)="x",$BI131*I131,VALUE('Capacity summary'!I43)),0),I131*$BI131),I131*$BI131),0)</f>
        <v>0</v>
      </c>
      <c r="BM131" s="5">
        <f>IF($BI131&lt;&gt;"",IF('Capacity summary'!$C$14="Yes",IF(COUNTBLANK('Capacity summary'!$H43:$BG43)&lt;52,IF('Capacity summary'!J43&lt;&gt;"",IF(LOWER('Capacity summary'!J43)="x",$BI131*J131,VALUE('Capacity summary'!J43)),0),J131*$BI131),J131*$BI131),0)</f>
        <v>0</v>
      </c>
      <c r="BN131" s="5">
        <f>IF($BI131&lt;&gt;"",IF('Capacity summary'!$C$14="Yes",IF(COUNTBLANK('Capacity summary'!$H43:$BG43)&lt;52,IF('Capacity summary'!K43&lt;&gt;"",IF(LOWER('Capacity summary'!K43)="x",$BI131*K131,VALUE('Capacity summary'!K43)),0),K131*$BI131),K131*$BI131),0)</f>
        <v>0</v>
      </c>
      <c r="BO131" s="5">
        <f>IF($BI131&lt;&gt;"",IF('Capacity summary'!$C$14="Yes",IF(COUNTBLANK('Capacity summary'!$H43:$BG43)&lt;52,IF('Capacity summary'!L43&lt;&gt;"",IF(LOWER('Capacity summary'!L43)="x",$BI131*L131,VALUE('Capacity summary'!L43)),0),L131*$BI131),L131*$BI131),0)</f>
        <v>0</v>
      </c>
      <c r="BP131" s="5">
        <f>IF($BI131&lt;&gt;"",IF('Capacity summary'!$C$14="Yes",IF(COUNTBLANK('Capacity summary'!$H43:$BG43)&lt;52,IF('Capacity summary'!M43&lt;&gt;"",IF(LOWER('Capacity summary'!M43)="x",$BI131*M131,VALUE('Capacity summary'!M43)),0),M131*$BI131),M131*$BI131),0)</f>
        <v>0</v>
      </c>
      <c r="BQ131" s="5">
        <f>IF($BI131&lt;&gt;"",IF('Capacity summary'!$C$14="Yes",IF(COUNTBLANK('Capacity summary'!$H43:$BG43)&lt;52,IF('Capacity summary'!N43&lt;&gt;"",IF(LOWER('Capacity summary'!N43)="x",$BI131*N131,VALUE('Capacity summary'!N43)),0),N131*$BI131),N131*$BI131),0)</f>
        <v>0</v>
      </c>
      <c r="BR131" s="5">
        <f>IF($BI131&lt;&gt;"",IF('Capacity summary'!$C$14="Yes",IF(COUNTBLANK('Capacity summary'!$H43:$BG43)&lt;52,IF('Capacity summary'!O43&lt;&gt;"",IF(LOWER('Capacity summary'!O43)="x",$BI131*O131,VALUE('Capacity summary'!O43)),0),O131*$BI131),O131*$BI131),0)</f>
        <v>0</v>
      </c>
      <c r="BS131" s="5">
        <f>IF($BI131&lt;&gt;"",IF('Capacity summary'!$C$14="Yes",IF(COUNTBLANK('Capacity summary'!$H43:$BG43)&lt;52,IF('Capacity summary'!P43&lt;&gt;"",IF(LOWER('Capacity summary'!P43)="x",$BI131*P131,VALUE('Capacity summary'!P43)),0),P131*$BI131),P131*$BI131),0)</f>
        <v>0</v>
      </c>
      <c r="BT131" s="5">
        <f>IF($BI131&lt;&gt;"",IF('Capacity summary'!$C$14="Yes",IF(COUNTBLANK('Capacity summary'!$H43:$BG43)&lt;52,IF('Capacity summary'!Q43&lt;&gt;"",IF(LOWER('Capacity summary'!Q43)="x",$BI131*Q131,VALUE('Capacity summary'!Q43)),0),Q131*$BI131),Q131*$BI131),0)</f>
        <v>0</v>
      </c>
      <c r="BU131" s="5">
        <f>IF($BI131&lt;&gt;"",IF('Capacity summary'!$C$14="Yes",IF(COUNTBLANK('Capacity summary'!$H43:$BG43)&lt;52,IF('Capacity summary'!R43&lt;&gt;"",IF(LOWER('Capacity summary'!R43)="x",$BI131*R131,VALUE('Capacity summary'!R43)),0),R131*$BI131),R131*$BI131),0)</f>
        <v>0</v>
      </c>
      <c r="BV131" s="5">
        <f>IF($BI131&lt;&gt;"",IF('Capacity summary'!$C$14="Yes",IF(COUNTBLANK('Capacity summary'!$H43:$BG43)&lt;52,IF('Capacity summary'!S43&lt;&gt;"",IF(LOWER('Capacity summary'!S43)="x",$BI131*S131,VALUE('Capacity summary'!S43)),0),S131*$BI131),S131*$BI131),0)</f>
        <v>0</v>
      </c>
      <c r="BW131" s="5">
        <f>IF($BI131&lt;&gt;"",IF('Capacity summary'!$C$14="Yes",IF(COUNTBLANK('Capacity summary'!$H43:$BG43)&lt;52,IF('Capacity summary'!T43&lt;&gt;"",IF(LOWER('Capacity summary'!T43)="x",$BI131*T131,VALUE('Capacity summary'!T43)),0),T131*$BI131),T131*$BI131),0)</f>
        <v>0</v>
      </c>
      <c r="BX131" s="5">
        <f>IF($BI131&lt;&gt;"",IF('Capacity summary'!$C$14="Yes",IF(COUNTBLANK('Capacity summary'!$H43:$BG43)&lt;52,IF('Capacity summary'!U43&lt;&gt;"",IF(LOWER('Capacity summary'!U43)="x",$BI131*U131,VALUE('Capacity summary'!U43)),0),U131*$BI131),U131*$BI131),0)</f>
        <v>0</v>
      </c>
      <c r="BY131" s="5">
        <f>IF($BI131&lt;&gt;"",IF('Capacity summary'!$C$14="Yes",IF(COUNTBLANK('Capacity summary'!$H43:$BG43)&lt;52,IF('Capacity summary'!V43&lt;&gt;"",IF(LOWER('Capacity summary'!V43)="x",$BI131*V131,VALUE('Capacity summary'!V43)),0),V131*$BI131),V131*$BI131),0)</f>
        <v>0</v>
      </c>
      <c r="BZ131" s="5">
        <f>IF($BI131&lt;&gt;"",IF('Capacity summary'!$C$14="Yes",IF(COUNTBLANK('Capacity summary'!$H43:$BG43)&lt;52,IF('Capacity summary'!W43&lt;&gt;"",IF(LOWER('Capacity summary'!W43)="x",$BI131*W131,VALUE('Capacity summary'!W43)),0),W131*$BI131),W131*$BI131),0)</f>
        <v>0</v>
      </c>
      <c r="CA131" s="5">
        <f>IF($BI131&lt;&gt;"",IF('Capacity summary'!$C$14="Yes",IF(COUNTBLANK('Capacity summary'!$H43:$BG43)&lt;52,IF('Capacity summary'!X43&lt;&gt;"",IF(LOWER('Capacity summary'!X43)="x",$BI131*X131,VALUE('Capacity summary'!X43)),0),X131*$BI131),X131*$BI131),0)</f>
        <v>0</v>
      </c>
      <c r="CB131" s="5">
        <f>IF($BI131&lt;&gt;"",IF('Capacity summary'!$C$14="Yes",IF(COUNTBLANK('Capacity summary'!$H43:$BG43)&lt;52,IF('Capacity summary'!Y43&lt;&gt;"",IF(LOWER('Capacity summary'!Y43)="x",$BI131*Y131,VALUE('Capacity summary'!Y43)),0),Y131*$BI131),Y131*$BI131),0)</f>
        <v>0</v>
      </c>
      <c r="CC131" s="5">
        <f>IF($BI131&lt;&gt;"",IF('Capacity summary'!$C$14="Yes",IF(COUNTBLANK('Capacity summary'!$H43:$BG43)&lt;52,IF('Capacity summary'!Z43&lt;&gt;"",IF(LOWER('Capacity summary'!Z43)="x",$BI131*Z131,VALUE('Capacity summary'!Z43)),0),Z131*$BI131),Z131*$BI131),0)</f>
        <v>0</v>
      </c>
      <c r="CD131" s="5">
        <f>IF($BI131&lt;&gt;"",IF('Capacity summary'!$C$14="Yes",IF(COUNTBLANK('Capacity summary'!$H43:$BG43)&lt;52,IF('Capacity summary'!AA43&lt;&gt;"",IF(LOWER('Capacity summary'!AA43)="x",$BI131*AA131,VALUE('Capacity summary'!AA43)),0),AA131*$BI131),AA131*$BI131),0)</f>
        <v>0</v>
      </c>
      <c r="CE131" s="5">
        <f>IF($BI131&lt;&gt;"",IF('Capacity summary'!$C$14="Yes",IF(COUNTBLANK('Capacity summary'!$H43:$BG43)&lt;52,IF('Capacity summary'!AB43&lt;&gt;"",IF(LOWER('Capacity summary'!AB43)="x",$BI131*AB131,VALUE('Capacity summary'!AB43)),0),AB131*$BI131),AB131*$BI131),0)</f>
        <v>0</v>
      </c>
      <c r="CF131" s="5">
        <f>IF($BI131&lt;&gt;"",IF('Capacity summary'!$C$14="Yes",IF(COUNTBLANK('Capacity summary'!$H43:$BG43)&lt;52,IF('Capacity summary'!AC43&lt;&gt;"",IF(LOWER('Capacity summary'!AC43)="x",$BI131*AC131,VALUE('Capacity summary'!AC43)),0),AC131*$BI131),AC131*$BI131),0)</f>
        <v>0</v>
      </c>
      <c r="CG131" s="5">
        <f>IF($BI131&lt;&gt;"",IF('Capacity summary'!$C$14="Yes",IF(COUNTBLANK('Capacity summary'!$H43:$BG43)&lt;52,IF('Capacity summary'!AD43&lt;&gt;"",IF(LOWER('Capacity summary'!AD43)="x",$BI131*AD131,VALUE('Capacity summary'!AD43)),0),AD131*$BI131),AD131*$BI131),0)</f>
        <v>0</v>
      </c>
      <c r="CH131" s="5">
        <f>IF($BI131&lt;&gt;"",IF('Capacity summary'!$C$14="Yes",IF(COUNTBLANK('Capacity summary'!$H43:$BG43)&lt;52,IF('Capacity summary'!AE43&lt;&gt;"",IF(LOWER('Capacity summary'!AE43)="x",$BI131*AE131,VALUE('Capacity summary'!AE43)),0),AE131*$BI131),AE131*$BI131),0)</f>
        <v>0</v>
      </c>
      <c r="CI131" s="5">
        <f>IF($BI131&lt;&gt;"",IF('Capacity summary'!$C$14="Yes",IF(COUNTBLANK('Capacity summary'!$H43:$BG43)&lt;52,IF('Capacity summary'!AF43&lt;&gt;"",IF(LOWER('Capacity summary'!AF43)="x",$BI131*AF131,VALUE('Capacity summary'!AF43)),0),AF131*$BI131),AF131*$BI131),0)</f>
        <v>0</v>
      </c>
      <c r="CJ131" s="5">
        <f>IF($BI131&lt;&gt;"",IF('Capacity summary'!$C$14="Yes",IF(COUNTBLANK('Capacity summary'!$H43:$BG43)&lt;52,IF('Capacity summary'!AG43&lt;&gt;"",IF(LOWER('Capacity summary'!AG43)="x",$BI131*AG131,VALUE('Capacity summary'!AG43)),0),AG131*$BI131),AG131*$BI131),0)</f>
        <v>0</v>
      </c>
      <c r="CK131" s="5">
        <f>IF($BI131&lt;&gt;"",IF('Capacity summary'!$C$14="Yes",IF(COUNTBLANK('Capacity summary'!$H43:$BG43)&lt;52,IF('Capacity summary'!AH43&lt;&gt;"",IF(LOWER('Capacity summary'!AH43)="x",$BI131*AH131,VALUE('Capacity summary'!AH43)),0),AH131*$BI131),AH131*$BI131),0)</f>
        <v>0</v>
      </c>
      <c r="CL131" s="5">
        <f>IF($BI131&lt;&gt;"",IF('Capacity summary'!$C$14="Yes",IF(COUNTBLANK('Capacity summary'!$H43:$BG43)&lt;52,IF('Capacity summary'!AI43&lt;&gt;"",IF(LOWER('Capacity summary'!AI43)="x",$BI131*AI131,VALUE('Capacity summary'!AI43)),0),AI131*$BI131),AI131*$BI131),0)</f>
        <v>0</v>
      </c>
      <c r="CM131" s="5">
        <f>IF($BI131&lt;&gt;"",IF('Capacity summary'!$C$14="Yes",IF(COUNTBLANK('Capacity summary'!$H43:$BG43)&lt;52,IF('Capacity summary'!AJ43&lt;&gt;"",IF(LOWER('Capacity summary'!AJ43)="x",$BI131*AJ131,VALUE('Capacity summary'!AJ43)),0),AJ131*$BI131),AJ131*$BI131),0)</f>
        <v>0</v>
      </c>
      <c r="CN131" s="5">
        <f>IF($BI131&lt;&gt;"",IF('Capacity summary'!$C$14="Yes",IF(COUNTBLANK('Capacity summary'!$H43:$BG43)&lt;52,IF('Capacity summary'!AK43&lt;&gt;"",IF(LOWER('Capacity summary'!AK43)="x",$BI131*AK131,VALUE('Capacity summary'!AK43)),0),AK131*$BI131),AK131*$BI131),0)</f>
        <v>0</v>
      </c>
      <c r="CO131" s="5">
        <f>IF($BI131&lt;&gt;"",IF('Capacity summary'!$C$14="Yes",IF(COUNTBLANK('Capacity summary'!$H43:$BG43)&lt;52,IF('Capacity summary'!AL43&lt;&gt;"",IF(LOWER('Capacity summary'!AL43)="x",$BI131*AL131,VALUE('Capacity summary'!AL43)),0),AL131*$BI131),AL131*$BI131),0)</f>
        <v>0</v>
      </c>
      <c r="CP131" s="5">
        <f>IF($BI131&lt;&gt;"",IF('Capacity summary'!$C$14="Yes",IF(COUNTBLANK('Capacity summary'!$H43:$BG43)&lt;52,IF('Capacity summary'!AM43&lt;&gt;"",IF(LOWER('Capacity summary'!AM43)="x",$BI131*AM131,VALUE('Capacity summary'!AM43)),0),AM131*$BI131),AM131*$BI131),0)</f>
        <v>0</v>
      </c>
      <c r="CQ131" s="5">
        <f>IF($BI131&lt;&gt;"",IF('Capacity summary'!$C$14="Yes",IF(COUNTBLANK('Capacity summary'!$H43:$BG43)&lt;52,IF('Capacity summary'!AN43&lt;&gt;"",IF(LOWER('Capacity summary'!AN43)="x",$BI131*AN131,VALUE('Capacity summary'!AN43)),0),AN131*$BI131),AN131*$BI131),0)</f>
        <v>0</v>
      </c>
      <c r="CR131" s="5">
        <f>IF($BI131&lt;&gt;"",IF('Capacity summary'!$C$14="Yes",IF(COUNTBLANK('Capacity summary'!$H43:$BG43)&lt;52,IF('Capacity summary'!AO43&lt;&gt;"",IF(LOWER('Capacity summary'!AO43)="x",$BI131*AO131,VALUE('Capacity summary'!AO43)),0),AO131*$BI131),AO131*$BI131),0)</f>
        <v>0</v>
      </c>
      <c r="CS131" s="5">
        <f>IF($BI131&lt;&gt;"",IF('Capacity summary'!$C$14="Yes",IF(COUNTBLANK('Capacity summary'!$H43:$BG43)&lt;52,IF('Capacity summary'!AP43&lt;&gt;"",IF(LOWER('Capacity summary'!AP43)="x",$BI131*AP131,VALUE('Capacity summary'!AP43)),0),AP131*$BI131),AP131*$BI131),0)</f>
        <v>0</v>
      </c>
      <c r="CT131" s="5">
        <f>IF($BI131&lt;&gt;"",IF('Capacity summary'!$C$14="Yes",IF(COUNTBLANK('Capacity summary'!$H43:$BG43)&lt;52,IF('Capacity summary'!AQ43&lt;&gt;"",IF(LOWER('Capacity summary'!AQ43)="x",$BI131*AQ131,VALUE('Capacity summary'!AQ43)),0),AQ131*$BI131),AQ131*$BI131),0)</f>
        <v>0</v>
      </c>
      <c r="CU131" s="5">
        <f>IF($BI131&lt;&gt;"",IF('Capacity summary'!$C$14="Yes",IF(COUNTBLANK('Capacity summary'!$H43:$BG43)&lt;52,IF('Capacity summary'!AR43&lt;&gt;"",IF(LOWER('Capacity summary'!AR43)="x",$BI131*AR131,VALUE('Capacity summary'!AR43)),0),AR131*$BI131),AR131*$BI131),0)</f>
        <v>0</v>
      </c>
      <c r="CV131" s="5">
        <f>IF($BI131&lt;&gt;"",IF('Capacity summary'!$C$14="Yes",IF(COUNTBLANK('Capacity summary'!$H43:$BG43)&lt;52,IF('Capacity summary'!AS43&lt;&gt;"",IF(LOWER('Capacity summary'!AS43)="x",$BI131*AS131,VALUE('Capacity summary'!AS43)),0),AS131*$BI131),AS131*$BI131),0)</f>
        <v>0</v>
      </c>
      <c r="CW131" s="5">
        <f>IF($BI131&lt;&gt;"",IF('Capacity summary'!$C$14="Yes",IF(COUNTBLANK('Capacity summary'!$H43:$BG43)&lt;52,IF('Capacity summary'!AT43&lt;&gt;"",IF(LOWER('Capacity summary'!AT43)="x",$BI131*AT131,VALUE('Capacity summary'!AT43)),0),AT131*$BI131),AT131*$BI131),0)</f>
        <v>0</v>
      </c>
      <c r="CX131" s="5">
        <f>IF($BI131&lt;&gt;"",IF('Capacity summary'!$C$14="Yes",IF(COUNTBLANK('Capacity summary'!$H43:$BG43)&lt;52,IF('Capacity summary'!AU43&lt;&gt;"",IF(LOWER('Capacity summary'!AU43)="x",$BI131*AU131,VALUE('Capacity summary'!AU43)),0),AU131*$BI131),AU131*$BI131),0)</f>
        <v>0</v>
      </c>
      <c r="CY131" s="5">
        <f>IF($BI131&lt;&gt;"",IF('Capacity summary'!$C$14="Yes",IF(COUNTBLANK('Capacity summary'!$H43:$BG43)&lt;52,IF('Capacity summary'!AV43&lt;&gt;"",IF(LOWER('Capacity summary'!AV43)="x",$BI131*AV131,VALUE('Capacity summary'!AV43)),0),AV131*$BI131),AV131*$BI131),0)</f>
        <v>0</v>
      </c>
      <c r="CZ131" s="5">
        <f>IF($BI131&lt;&gt;"",IF('Capacity summary'!$C$14="Yes",IF(COUNTBLANK('Capacity summary'!$H43:$BG43)&lt;52,IF('Capacity summary'!AW43&lt;&gt;"",IF(LOWER('Capacity summary'!AW43)="x",$BI131*AW131,VALUE('Capacity summary'!AW43)),0),AW131*$BI131),AW131*$BI131),0)</f>
        <v>0</v>
      </c>
      <c r="DA131" s="5">
        <f>IF($BI131&lt;&gt;"",IF('Capacity summary'!$C$14="Yes",IF(COUNTBLANK('Capacity summary'!$H43:$BG43)&lt;52,IF('Capacity summary'!AX43&lt;&gt;"",IF(LOWER('Capacity summary'!AX43)="x",$BI131*AX131,VALUE('Capacity summary'!AX43)),0),AX131*$BI131),AX131*$BI131),0)</f>
        <v>0</v>
      </c>
      <c r="DB131" s="5">
        <f>IF($BI131&lt;&gt;"",IF('Capacity summary'!$C$14="Yes",IF(COUNTBLANK('Capacity summary'!$H43:$BG43)&lt;52,IF('Capacity summary'!AY43&lt;&gt;"",IF(LOWER('Capacity summary'!AY43)="x",$BI131*AY131,VALUE('Capacity summary'!AY43)),0),AY131*$BI131),AY131*$BI131),0)</f>
        <v>0</v>
      </c>
      <c r="DC131" s="5">
        <f>IF($BI131&lt;&gt;"",IF('Capacity summary'!$C$14="Yes",IF(COUNTBLANK('Capacity summary'!$H43:$BG43)&lt;52,IF('Capacity summary'!AZ43&lt;&gt;"",IF(LOWER('Capacity summary'!AZ43)="x",$BI131*AZ131,VALUE('Capacity summary'!AZ43)),0),AZ131*$BI131),AZ131*$BI131),0)</f>
        <v>0</v>
      </c>
      <c r="DD131" s="5">
        <f>IF($BI131&lt;&gt;"",IF('Capacity summary'!$C$14="Yes",IF(COUNTBLANK('Capacity summary'!$H43:$BG43)&lt;52,IF('Capacity summary'!BA43&lt;&gt;"",IF(LOWER('Capacity summary'!BA43)="x",$BI131*BA131,VALUE('Capacity summary'!BA43)),0),BA131*$BI131),BA131*$BI131),0)</f>
        <v>0</v>
      </c>
      <c r="DE131" s="5">
        <f>IF($BI131&lt;&gt;"",IF('Capacity summary'!$C$14="Yes",IF(COUNTBLANK('Capacity summary'!$H43:$BG43)&lt;52,IF('Capacity summary'!BB43&lt;&gt;"",IF(LOWER('Capacity summary'!BB43)="x",$BI131*BB131,VALUE('Capacity summary'!BB43)),0),BB131*$BI131),BB131*$BI131),0)</f>
        <v>0</v>
      </c>
      <c r="DF131" s="5">
        <f>IF($BI131&lt;&gt;"",IF('Capacity summary'!$C$14="Yes",IF(COUNTBLANK('Capacity summary'!$H43:$BG43)&lt;52,IF('Capacity summary'!BC43&lt;&gt;"",IF(LOWER('Capacity summary'!BC43)="x",$BI131*BC131,VALUE('Capacity summary'!BC43)),0),BC131*$BI131),BC131*$BI131),0)</f>
        <v>0</v>
      </c>
      <c r="DG131" s="5">
        <f>IF($BI131&lt;&gt;"",IF('Capacity summary'!$C$14="Yes",IF(COUNTBLANK('Capacity summary'!$H43:$BG43)&lt;52,IF('Capacity summary'!BD43&lt;&gt;"",IF(LOWER('Capacity summary'!BD43)="x",$BI131*BD131,VALUE('Capacity summary'!BD43)),0),BD131*$BI131),BD131*$BI131),0)</f>
        <v>0</v>
      </c>
      <c r="DH131" s="5">
        <f>IF($BI131&lt;&gt;"",IF('Capacity summary'!$C$14="Yes",IF(COUNTBLANK('Capacity summary'!$H43:$BG43)&lt;52,IF('Capacity summary'!BE43&lt;&gt;"",IF(LOWER('Capacity summary'!BE43)="x",$BI131*BE131,VALUE('Capacity summary'!BE43)),0),BE131*$BI131),BE131*$BI131),0)</f>
        <v>0</v>
      </c>
      <c r="DI131" s="5">
        <f>IF($BI131&lt;&gt;"",IF('Capacity summary'!$C$14="Yes",IF(COUNTBLANK('Capacity summary'!$H43:$BG43)&lt;52,IF('Capacity summary'!BF43&lt;&gt;"",IF(LOWER('Capacity summary'!BF43)="x",$BI131*BF131,VALUE('Capacity summary'!BF43)),0),BF131*$BI131),BF131*$BI131),0)</f>
        <v>0</v>
      </c>
      <c r="DJ131" s="5">
        <f>IF($BI131&lt;&gt;"",IF('Capacity summary'!$C$14="Yes",IF(COUNTBLANK('Capacity summary'!$H43:$BG43)&lt;52,IF('Capacity summary'!BG43&lt;&gt;"",IF(LOWER('Capacity summary'!BG43)="x",$BI131*BG131,VALUE('Capacity summary'!BG43)),0),BG131*$BI131),BG131*$BI131),0)</f>
        <v>0</v>
      </c>
      <c r="DK131" s="391">
        <f t="shared" si="8"/>
        <v>0</v>
      </c>
      <c r="DL131" s="5">
        <f t="shared" si="9"/>
        <v>0</v>
      </c>
    </row>
    <row r="132" spans="3:116" x14ac:dyDescent="0.2">
      <c r="C132" s="67" t="str">
        <f>ROW(A21)&amp;". "&amp;Capacity!N37</f>
        <v xml:space="preserve">21. </v>
      </c>
      <c r="D132" s="67">
        <f>'Capacity setup'!C138</f>
        <v>0</v>
      </c>
      <c r="E132" s="67">
        <f>'Capacity setup'!D138</f>
        <v>0</v>
      </c>
      <c r="F132" s="67">
        <f>'Capacity setup'!E138</f>
        <v>0</v>
      </c>
      <c r="H132" s="67">
        <f ca="1">IF(LOWER(Capacity!$V37)="x",IF(AND(SUMIF(Capacity_Resource,$D132,'Critical resources (hide)'!U$6:U$105)+SUMIF(Capacity_Resource,$E132,'Critical resources (hide)'!U$6:U$105)+SUMIF(Capacity_Resource,$F132,'Critical resources (hide)'!U$6:U$105)&gt;0,$E$1=2),0,1),0)</f>
        <v>1</v>
      </c>
      <c r="I132" s="67">
        <f ca="1">IF(LOWER(Capacity!$V37)="x",IF(AND(SUMIF(Capacity_Resource,$D132,'Critical resources (hide)'!V$6:V$105)+SUMIF(Capacity_Resource,$E132,'Critical resources (hide)'!V$6:V$105)+SUMIF(Capacity_Resource,$F132,'Critical resources (hide)'!V$6:V$105)&gt;0,$E$1=2),0,1),0)</f>
        <v>1</v>
      </c>
      <c r="J132" s="67">
        <f ca="1">IF(LOWER(Capacity!$V37)="x",IF(AND(SUMIF(Capacity_Resource,$D132,'Critical resources (hide)'!W$6:W$105)+SUMIF(Capacity_Resource,$E132,'Critical resources (hide)'!W$6:W$105)+SUMIF(Capacity_Resource,$F132,'Critical resources (hide)'!W$6:W$105)&gt;0,$E$1=2),0,1),0)</f>
        <v>1</v>
      </c>
      <c r="K132" s="67">
        <f ca="1">IF(LOWER(Capacity!$V37)="x",IF(AND(SUMIF(Capacity_Resource,$D132,'Critical resources (hide)'!X$6:X$105)+SUMIF(Capacity_Resource,$E132,'Critical resources (hide)'!X$6:X$105)+SUMIF(Capacity_Resource,$F132,'Critical resources (hide)'!X$6:X$105)&gt;0,$E$1=2),0,1),0)</f>
        <v>1</v>
      </c>
      <c r="L132" s="67">
        <f ca="1">IF(LOWER(Capacity!$V37)="x",IF(AND(SUMIF(Capacity_Resource,$D132,'Critical resources (hide)'!Y$6:Y$105)+SUMIF(Capacity_Resource,$E132,'Critical resources (hide)'!Y$6:Y$105)+SUMIF(Capacity_Resource,$F132,'Critical resources (hide)'!Y$6:Y$105)&gt;0,$E$1=2),0,1),0)</f>
        <v>1</v>
      </c>
      <c r="M132" s="67">
        <f ca="1">IF(LOWER(Capacity!$V37)="x",IF(AND(SUMIF(Capacity_Resource,$D132,'Critical resources (hide)'!Z$6:Z$105)+SUMIF(Capacity_Resource,$E132,'Critical resources (hide)'!Z$6:Z$105)+SUMIF(Capacity_Resource,$F132,'Critical resources (hide)'!Z$6:Z$105)&gt;0,$E$1=2),0,1),0)</f>
        <v>1</v>
      </c>
      <c r="N132" s="67">
        <f ca="1">IF(LOWER(Capacity!$V37)="x",IF(AND(SUMIF(Capacity_Resource,$D132,'Critical resources (hide)'!AA$6:AA$105)+SUMIF(Capacity_Resource,$E132,'Critical resources (hide)'!AA$6:AA$105)+SUMIF(Capacity_Resource,$F132,'Critical resources (hide)'!AA$6:AA$105)&gt;0,$E$1=2),0,1),0)</f>
        <v>1</v>
      </c>
      <c r="O132" s="67">
        <f ca="1">IF(LOWER(Capacity!$V37)="x",IF(AND(SUMIF(Capacity_Resource,$D132,'Critical resources (hide)'!AB$6:AB$105)+SUMIF(Capacity_Resource,$E132,'Critical resources (hide)'!AB$6:AB$105)+SUMIF(Capacity_Resource,$F132,'Critical resources (hide)'!AB$6:AB$105)&gt;0,$E$1=2),0,1),0)</f>
        <v>1</v>
      </c>
      <c r="P132" s="67">
        <f ca="1">IF(LOWER(Capacity!$V37)="x",IF(AND(SUMIF(Capacity_Resource,$D132,'Critical resources (hide)'!AC$6:AC$105)+SUMIF(Capacity_Resource,$E132,'Critical resources (hide)'!AC$6:AC$105)+SUMIF(Capacity_Resource,$F132,'Critical resources (hide)'!AC$6:AC$105)&gt;0,$E$1=2),0,1),0)</f>
        <v>1</v>
      </c>
      <c r="Q132" s="67">
        <f ca="1">IF(LOWER(Capacity!$V37)="x",IF(AND(SUMIF(Capacity_Resource,$D132,'Critical resources (hide)'!AD$6:AD$105)+SUMIF(Capacity_Resource,$E132,'Critical resources (hide)'!AD$6:AD$105)+SUMIF(Capacity_Resource,$F132,'Critical resources (hide)'!AD$6:AD$105)&gt;0,$E$1=2),0,1),0)</f>
        <v>1</v>
      </c>
      <c r="R132" s="67">
        <f ca="1">IF(LOWER(Capacity!$V37)="x",IF(AND(SUMIF(Capacity_Resource,$D132,'Critical resources (hide)'!AE$6:AE$105)+SUMIF(Capacity_Resource,$E132,'Critical resources (hide)'!AE$6:AE$105)+SUMIF(Capacity_Resource,$F132,'Critical resources (hide)'!AE$6:AE$105)&gt;0,$E$1=2),0,1),0)</f>
        <v>1</v>
      </c>
      <c r="S132" s="67">
        <f ca="1">IF(LOWER(Capacity!$V37)="x",IF(AND(SUMIF(Capacity_Resource,$D132,'Critical resources (hide)'!AF$6:AF$105)+SUMIF(Capacity_Resource,$E132,'Critical resources (hide)'!AF$6:AF$105)+SUMIF(Capacity_Resource,$F132,'Critical resources (hide)'!AF$6:AF$105)&gt;0,$E$1=2),0,1),0)</f>
        <v>1</v>
      </c>
      <c r="T132" s="67">
        <f ca="1">IF(LOWER(Capacity!$V37)="x",IF(AND(SUMIF(Capacity_Resource,$D132,'Critical resources (hide)'!AG$6:AG$105)+SUMIF(Capacity_Resource,$E132,'Critical resources (hide)'!AG$6:AG$105)+SUMIF(Capacity_Resource,$F132,'Critical resources (hide)'!AG$6:AG$105)&gt;0,$E$1=2),0,1),0)</f>
        <v>1</v>
      </c>
      <c r="U132" s="67">
        <f ca="1">IF(LOWER(Capacity!$V37)="x",IF(AND(SUMIF(Capacity_Resource,$D132,'Critical resources (hide)'!AH$6:AH$105)+SUMIF(Capacity_Resource,$E132,'Critical resources (hide)'!AH$6:AH$105)+SUMIF(Capacity_Resource,$F132,'Critical resources (hide)'!AH$6:AH$105)&gt;0,$E$1=2),0,1),0)</f>
        <v>1</v>
      </c>
      <c r="V132" s="67">
        <f ca="1">IF(LOWER(Capacity!$V37)="x",IF(AND(SUMIF(Capacity_Resource,$D132,'Critical resources (hide)'!AI$6:AI$105)+SUMIF(Capacity_Resource,$E132,'Critical resources (hide)'!AI$6:AI$105)+SUMIF(Capacity_Resource,$F132,'Critical resources (hide)'!AI$6:AI$105)&gt;0,$E$1=2),0,1),0)</f>
        <v>1</v>
      </c>
      <c r="W132" s="67">
        <f ca="1">IF(LOWER(Capacity!$V37)="x",IF(AND(SUMIF(Capacity_Resource,$D132,'Critical resources (hide)'!AJ$6:AJ$105)+SUMIF(Capacity_Resource,$E132,'Critical resources (hide)'!AJ$6:AJ$105)+SUMIF(Capacity_Resource,$F132,'Critical resources (hide)'!AJ$6:AJ$105)&gt;0,$E$1=2),0,1),0)</f>
        <v>1</v>
      </c>
      <c r="X132" s="67">
        <f ca="1">IF(LOWER(Capacity!$V37)="x",IF(AND(SUMIF(Capacity_Resource,$D132,'Critical resources (hide)'!AK$6:AK$105)+SUMIF(Capacity_Resource,$E132,'Critical resources (hide)'!AK$6:AK$105)+SUMIF(Capacity_Resource,$F132,'Critical resources (hide)'!AK$6:AK$105)&gt;0,$E$1=2),0,1),0)</f>
        <v>1</v>
      </c>
      <c r="Y132" s="67">
        <f ca="1">IF(LOWER(Capacity!$V37)="x",IF(AND(SUMIF(Capacity_Resource,$D132,'Critical resources (hide)'!AL$6:AL$105)+SUMIF(Capacity_Resource,$E132,'Critical resources (hide)'!AL$6:AL$105)+SUMIF(Capacity_Resource,$F132,'Critical resources (hide)'!AL$6:AL$105)&gt;0,$E$1=2),0,1),0)</f>
        <v>1</v>
      </c>
      <c r="Z132" s="67">
        <f ca="1">IF(LOWER(Capacity!$V37)="x",IF(AND(SUMIF(Capacity_Resource,$D132,'Critical resources (hide)'!AM$6:AM$105)+SUMIF(Capacity_Resource,$E132,'Critical resources (hide)'!AM$6:AM$105)+SUMIF(Capacity_Resource,$F132,'Critical resources (hide)'!AM$6:AM$105)&gt;0,$E$1=2),0,1),0)</f>
        <v>1</v>
      </c>
      <c r="AA132" s="67">
        <f ca="1">IF(LOWER(Capacity!$V37)="x",IF(AND(SUMIF(Capacity_Resource,$D132,'Critical resources (hide)'!AN$6:AN$105)+SUMIF(Capacity_Resource,$E132,'Critical resources (hide)'!AN$6:AN$105)+SUMIF(Capacity_Resource,$F132,'Critical resources (hide)'!AN$6:AN$105)&gt;0,$E$1=2),0,1),0)</f>
        <v>1</v>
      </c>
      <c r="AB132" s="67">
        <f ca="1">IF(LOWER(Capacity!$V37)="x",IF(AND(SUMIF(Capacity_Resource,$D132,'Critical resources (hide)'!AO$6:AO$105)+SUMIF(Capacity_Resource,$E132,'Critical resources (hide)'!AO$6:AO$105)+SUMIF(Capacity_Resource,$F132,'Critical resources (hide)'!AO$6:AO$105)&gt;0,$E$1=2),0,1),0)</f>
        <v>1</v>
      </c>
      <c r="AC132" s="67">
        <f ca="1">IF(LOWER(Capacity!$V37)="x",IF(AND(SUMIF(Capacity_Resource,$D132,'Critical resources (hide)'!AP$6:AP$105)+SUMIF(Capacity_Resource,$E132,'Critical resources (hide)'!AP$6:AP$105)+SUMIF(Capacity_Resource,$F132,'Critical resources (hide)'!AP$6:AP$105)&gt;0,$E$1=2),0,1),0)</f>
        <v>1</v>
      </c>
      <c r="AD132" s="67">
        <f ca="1">IF(LOWER(Capacity!$V37)="x",IF(AND(SUMIF(Capacity_Resource,$D132,'Critical resources (hide)'!AQ$6:AQ$105)+SUMIF(Capacity_Resource,$E132,'Critical resources (hide)'!AQ$6:AQ$105)+SUMIF(Capacity_Resource,$F132,'Critical resources (hide)'!AQ$6:AQ$105)&gt;0,$E$1=2),0,1),0)</f>
        <v>1</v>
      </c>
      <c r="AE132" s="67">
        <f ca="1">IF(LOWER(Capacity!$V37)="x",IF(AND(SUMIF(Capacity_Resource,$D132,'Critical resources (hide)'!AR$6:AR$105)+SUMIF(Capacity_Resource,$E132,'Critical resources (hide)'!AR$6:AR$105)+SUMIF(Capacity_Resource,$F132,'Critical resources (hide)'!AR$6:AR$105)&gt;0,$E$1=2),0,1),0)</f>
        <v>1</v>
      </c>
      <c r="AF132" s="67">
        <f ca="1">IF(LOWER(Capacity!$V37)="x",IF(AND(SUMIF(Capacity_Resource,$D132,'Critical resources (hide)'!AS$6:AS$105)+SUMIF(Capacity_Resource,$E132,'Critical resources (hide)'!AS$6:AS$105)+SUMIF(Capacity_Resource,$F132,'Critical resources (hide)'!AS$6:AS$105)&gt;0,$E$1=2),0,1),0)</f>
        <v>1</v>
      </c>
      <c r="AG132" s="67">
        <f ca="1">IF(LOWER(Capacity!$V37)="x",IF(AND(SUMIF(Capacity_Resource,$D132,'Critical resources (hide)'!AT$6:AT$105)+SUMIF(Capacity_Resource,$E132,'Critical resources (hide)'!AT$6:AT$105)+SUMIF(Capacity_Resource,$F132,'Critical resources (hide)'!AT$6:AT$105)&gt;0,$E$1=2),0,1),0)</f>
        <v>1</v>
      </c>
      <c r="AH132" s="67">
        <f ca="1">IF(LOWER(Capacity!$V37)="x",IF(AND(SUMIF(Capacity_Resource,$D132,'Critical resources (hide)'!AU$6:AU$105)+SUMIF(Capacity_Resource,$E132,'Critical resources (hide)'!AU$6:AU$105)+SUMIF(Capacity_Resource,$F132,'Critical resources (hide)'!AU$6:AU$105)&gt;0,$E$1=2),0,1),0)</f>
        <v>1</v>
      </c>
      <c r="AI132" s="67">
        <f ca="1">IF(LOWER(Capacity!$V37)="x",IF(AND(SUMIF(Capacity_Resource,$D132,'Critical resources (hide)'!AV$6:AV$105)+SUMIF(Capacity_Resource,$E132,'Critical resources (hide)'!AV$6:AV$105)+SUMIF(Capacity_Resource,$F132,'Critical resources (hide)'!AV$6:AV$105)&gt;0,$E$1=2),0,1),0)</f>
        <v>1</v>
      </c>
      <c r="AJ132" s="67">
        <f ca="1">IF(LOWER(Capacity!$V37)="x",IF(AND(SUMIF(Capacity_Resource,$D132,'Critical resources (hide)'!AW$6:AW$105)+SUMIF(Capacity_Resource,$E132,'Critical resources (hide)'!AW$6:AW$105)+SUMIF(Capacity_Resource,$F132,'Critical resources (hide)'!AW$6:AW$105)&gt;0,$E$1=2),0,1),0)</f>
        <v>1</v>
      </c>
      <c r="AK132" s="67">
        <f ca="1">IF(LOWER(Capacity!$V37)="x",IF(AND(SUMIF(Capacity_Resource,$D132,'Critical resources (hide)'!AX$6:AX$105)+SUMIF(Capacity_Resource,$E132,'Critical resources (hide)'!AX$6:AX$105)+SUMIF(Capacity_Resource,$F132,'Critical resources (hide)'!AX$6:AX$105)&gt;0,$E$1=2),0,1),0)</f>
        <v>1</v>
      </c>
      <c r="AL132" s="67">
        <f ca="1">IF(LOWER(Capacity!$V37)="x",IF(AND(SUMIF(Capacity_Resource,$D132,'Critical resources (hide)'!AY$6:AY$105)+SUMIF(Capacity_Resource,$E132,'Critical resources (hide)'!AY$6:AY$105)+SUMIF(Capacity_Resource,$F132,'Critical resources (hide)'!AY$6:AY$105)&gt;0,$E$1=2),0,1),0)</f>
        <v>1</v>
      </c>
      <c r="AM132" s="67">
        <f ca="1">IF(LOWER(Capacity!$V37)="x",IF(AND(SUMIF(Capacity_Resource,$D132,'Critical resources (hide)'!AZ$6:AZ$105)+SUMIF(Capacity_Resource,$E132,'Critical resources (hide)'!AZ$6:AZ$105)+SUMIF(Capacity_Resource,$F132,'Critical resources (hide)'!AZ$6:AZ$105)&gt;0,$E$1=2),0,1),0)</f>
        <v>1</v>
      </c>
      <c r="AN132" s="67">
        <f ca="1">IF(LOWER(Capacity!$V37)="x",IF(AND(SUMIF(Capacity_Resource,$D132,'Critical resources (hide)'!BA$6:BA$105)+SUMIF(Capacity_Resource,$E132,'Critical resources (hide)'!BA$6:BA$105)+SUMIF(Capacity_Resource,$F132,'Critical resources (hide)'!BA$6:BA$105)&gt;0,$E$1=2),0,1),0)</f>
        <v>1</v>
      </c>
      <c r="AO132" s="67">
        <f ca="1">IF(LOWER(Capacity!$V37)="x",IF(AND(SUMIF(Capacity_Resource,$D132,'Critical resources (hide)'!BB$6:BB$105)+SUMIF(Capacity_Resource,$E132,'Critical resources (hide)'!BB$6:BB$105)+SUMIF(Capacity_Resource,$F132,'Critical resources (hide)'!BB$6:BB$105)&gt;0,$E$1=2),0,1),0)</f>
        <v>1</v>
      </c>
      <c r="AP132" s="67">
        <f ca="1">IF(LOWER(Capacity!$V37)="x",IF(AND(SUMIF(Capacity_Resource,$D132,'Critical resources (hide)'!BC$6:BC$105)+SUMIF(Capacity_Resource,$E132,'Critical resources (hide)'!BC$6:BC$105)+SUMIF(Capacity_Resource,$F132,'Critical resources (hide)'!BC$6:BC$105)&gt;0,$E$1=2),0,1),0)</f>
        <v>1</v>
      </c>
      <c r="AQ132" s="67">
        <f ca="1">IF(LOWER(Capacity!$V37)="x",IF(AND(SUMIF(Capacity_Resource,$D132,'Critical resources (hide)'!BD$6:BD$105)+SUMIF(Capacity_Resource,$E132,'Critical resources (hide)'!BD$6:BD$105)+SUMIF(Capacity_Resource,$F132,'Critical resources (hide)'!BD$6:BD$105)&gt;0,$E$1=2),0,1),0)</f>
        <v>1</v>
      </c>
      <c r="AR132" s="67">
        <f ca="1">IF(LOWER(Capacity!$V37)="x",IF(AND(SUMIF(Capacity_Resource,$D132,'Critical resources (hide)'!BE$6:BE$105)+SUMIF(Capacity_Resource,$E132,'Critical resources (hide)'!BE$6:BE$105)+SUMIF(Capacity_Resource,$F132,'Critical resources (hide)'!BE$6:BE$105)&gt;0,$E$1=2),0,1),0)</f>
        <v>1</v>
      </c>
      <c r="AS132" s="67">
        <f ca="1">IF(LOWER(Capacity!$V37)="x",IF(AND(SUMIF(Capacity_Resource,$D132,'Critical resources (hide)'!BF$6:BF$105)+SUMIF(Capacity_Resource,$E132,'Critical resources (hide)'!BF$6:BF$105)+SUMIF(Capacity_Resource,$F132,'Critical resources (hide)'!BF$6:BF$105)&gt;0,$E$1=2),0,1),0)</f>
        <v>1</v>
      </c>
      <c r="AT132" s="67">
        <f ca="1">IF(LOWER(Capacity!$V37)="x",IF(AND(SUMIF(Capacity_Resource,$D132,'Critical resources (hide)'!BG$6:BG$105)+SUMIF(Capacity_Resource,$E132,'Critical resources (hide)'!BG$6:BG$105)+SUMIF(Capacity_Resource,$F132,'Critical resources (hide)'!BG$6:BG$105)&gt;0,$E$1=2),0,1),0)</f>
        <v>1</v>
      </c>
      <c r="AU132" s="67">
        <f ca="1">IF(LOWER(Capacity!$V37)="x",IF(AND(SUMIF(Capacity_Resource,$D132,'Critical resources (hide)'!BH$6:BH$105)+SUMIF(Capacity_Resource,$E132,'Critical resources (hide)'!BH$6:BH$105)+SUMIF(Capacity_Resource,$F132,'Critical resources (hide)'!BH$6:BH$105)&gt;0,$E$1=2),0,1),0)</f>
        <v>1</v>
      </c>
      <c r="AV132" s="67">
        <f ca="1">IF(LOWER(Capacity!$V37)="x",IF(AND(SUMIF(Capacity_Resource,$D132,'Critical resources (hide)'!BI$6:BI$105)+SUMIF(Capacity_Resource,$E132,'Critical resources (hide)'!BI$6:BI$105)+SUMIF(Capacity_Resource,$F132,'Critical resources (hide)'!BI$6:BI$105)&gt;0,$E$1=2),0,1),0)</f>
        <v>1</v>
      </c>
      <c r="AW132" s="67">
        <f ca="1">IF(LOWER(Capacity!$V37)="x",IF(AND(SUMIF(Capacity_Resource,$D132,'Critical resources (hide)'!BJ$6:BJ$105)+SUMIF(Capacity_Resource,$E132,'Critical resources (hide)'!BJ$6:BJ$105)+SUMIF(Capacity_Resource,$F132,'Critical resources (hide)'!BJ$6:BJ$105)&gt;0,$E$1=2),0,1),0)</f>
        <v>1</v>
      </c>
      <c r="AX132" s="67">
        <f ca="1">IF(LOWER(Capacity!$V37)="x",IF(AND(SUMIF(Capacity_Resource,$D132,'Critical resources (hide)'!BK$6:BK$105)+SUMIF(Capacity_Resource,$E132,'Critical resources (hide)'!BK$6:BK$105)+SUMIF(Capacity_Resource,$F132,'Critical resources (hide)'!BK$6:BK$105)&gt;0,$E$1=2),0,1),0)</f>
        <v>1</v>
      </c>
      <c r="AY132" s="67">
        <f ca="1">IF(LOWER(Capacity!$V37)="x",IF(AND(SUMIF(Capacity_Resource,$D132,'Critical resources (hide)'!BL$6:BL$105)+SUMIF(Capacity_Resource,$E132,'Critical resources (hide)'!BL$6:BL$105)+SUMIF(Capacity_Resource,$F132,'Critical resources (hide)'!BL$6:BL$105)&gt;0,$E$1=2),0,1),0)</f>
        <v>1</v>
      </c>
      <c r="AZ132" s="67">
        <f ca="1">IF(LOWER(Capacity!$V37)="x",IF(AND(SUMIF(Capacity_Resource,$D132,'Critical resources (hide)'!BM$6:BM$105)+SUMIF(Capacity_Resource,$E132,'Critical resources (hide)'!BM$6:BM$105)+SUMIF(Capacity_Resource,$F132,'Critical resources (hide)'!BM$6:BM$105)&gt;0,$E$1=2),0,1),0)</f>
        <v>1</v>
      </c>
      <c r="BA132" s="67">
        <f ca="1">IF(LOWER(Capacity!$V37)="x",IF(AND(SUMIF(Capacity_Resource,$D132,'Critical resources (hide)'!BN$6:BN$105)+SUMIF(Capacity_Resource,$E132,'Critical resources (hide)'!BN$6:BN$105)+SUMIF(Capacity_Resource,$F132,'Critical resources (hide)'!BN$6:BN$105)&gt;0,$E$1=2),0,1),0)</f>
        <v>1</v>
      </c>
      <c r="BB132" s="67">
        <f ca="1">IF(LOWER(Capacity!$V37)="x",IF(AND(SUMIF(Capacity_Resource,$D132,'Critical resources (hide)'!BO$6:BO$105)+SUMIF(Capacity_Resource,$E132,'Critical resources (hide)'!BO$6:BO$105)+SUMIF(Capacity_Resource,$F132,'Critical resources (hide)'!BO$6:BO$105)&gt;0,$E$1=2),0,1),0)</f>
        <v>1</v>
      </c>
      <c r="BC132" s="67">
        <f ca="1">IF(LOWER(Capacity!$V37)="x",IF(AND(SUMIF(Capacity_Resource,$D132,'Critical resources (hide)'!BP$6:BP$105)+SUMIF(Capacity_Resource,$E132,'Critical resources (hide)'!BP$6:BP$105)+SUMIF(Capacity_Resource,$F132,'Critical resources (hide)'!BP$6:BP$105)&gt;0,$E$1=2),0,1),0)</f>
        <v>1</v>
      </c>
      <c r="BD132" s="67">
        <f ca="1">IF(LOWER(Capacity!$V37)="x",IF(AND(SUMIF(Capacity_Resource,$D132,'Critical resources (hide)'!BQ$6:BQ$105)+SUMIF(Capacity_Resource,$E132,'Critical resources (hide)'!BQ$6:BQ$105)+SUMIF(Capacity_Resource,$F132,'Critical resources (hide)'!BQ$6:BQ$105)&gt;0,$E$1=2),0,1),0)</f>
        <v>1</v>
      </c>
      <c r="BE132" s="67">
        <f ca="1">IF(LOWER(Capacity!$V37)="x",IF(AND(SUMIF(Capacity_Resource,$D132,'Critical resources (hide)'!BR$6:BR$105)+SUMIF(Capacity_Resource,$E132,'Critical resources (hide)'!BR$6:BR$105)+SUMIF(Capacity_Resource,$F132,'Critical resources (hide)'!BR$6:BR$105)&gt;0,$E$1=2),0,1),0)</f>
        <v>1</v>
      </c>
      <c r="BF132" s="67">
        <f ca="1">IF(LOWER(Capacity!$V37)="x",IF(AND(SUMIF(Capacity_Resource,$D132,'Critical resources (hide)'!BS$6:BS$105)+SUMIF(Capacity_Resource,$E132,'Critical resources (hide)'!BS$6:BS$105)+SUMIF(Capacity_Resource,$F132,'Critical resources (hide)'!BS$6:BS$105)&gt;0,$E$1=2),0,1),0)</f>
        <v>1</v>
      </c>
      <c r="BG132" s="67">
        <f ca="1">IF(LOWER(Capacity!$V37)="x",IF(AND(SUMIF(Capacity_Resource,$D132,'Critical resources (hide)'!BT$6:BT$105)+SUMIF(Capacity_Resource,$E132,'Critical resources (hide)'!BT$6:BT$105)+SUMIF(Capacity_Resource,$F132,'Critical resources (hide)'!BT$6:BT$105)&gt;0,$E$1=2),0,1),0)</f>
        <v>1</v>
      </c>
      <c r="BH132" s="67">
        <f>IF(ROW(A21)&lt;=Capacity!$M$16,IF('Capacity summary'!$C$14="No",SUM(H132:BG132),'Capacity summary'!$E44),0)</f>
        <v>0</v>
      </c>
      <c r="BI132" s="67" t="str">
        <f>IF(BH132&gt;0,IF(BH132&lt;Capacity!Q37,Capacity!R37,Capacity!T37/'Capacity calculation (hide)'!BH132),"")</f>
        <v/>
      </c>
      <c r="BJ132" s="5"/>
      <c r="BK132" s="5">
        <f>IF($BI132&lt;&gt;"",IF('Capacity summary'!$C$14="Yes",IF(COUNTBLANK('Capacity summary'!$H44:$BG44)&lt;52,IF('Capacity summary'!H44&lt;&gt;"",IF(LOWER('Capacity summary'!H44)="x",$BI132*H132,VALUE('Capacity summary'!H44)),0),H132*$BI132),H132*$BI132),0)</f>
        <v>0</v>
      </c>
      <c r="BL132" s="5">
        <f>IF($BI132&lt;&gt;"",IF('Capacity summary'!$C$14="Yes",IF(COUNTBLANK('Capacity summary'!$H44:$BG44)&lt;52,IF('Capacity summary'!I44&lt;&gt;"",IF(LOWER('Capacity summary'!I44)="x",$BI132*I132,VALUE('Capacity summary'!I44)),0),I132*$BI132),I132*$BI132),0)</f>
        <v>0</v>
      </c>
      <c r="BM132" s="5">
        <f>IF($BI132&lt;&gt;"",IF('Capacity summary'!$C$14="Yes",IF(COUNTBLANK('Capacity summary'!$H44:$BG44)&lt;52,IF('Capacity summary'!J44&lt;&gt;"",IF(LOWER('Capacity summary'!J44)="x",$BI132*J132,VALUE('Capacity summary'!J44)),0),J132*$BI132),J132*$BI132),0)</f>
        <v>0</v>
      </c>
      <c r="BN132" s="5">
        <f>IF($BI132&lt;&gt;"",IF('Capacity summary'!$C$14="Yes",IF(COUNTBLANK('Capacity summary'!$H44:$BG44)&lt;52,IF('Capacity summary'!K44&lt;&gt;"",IF(LOWER('Capacity summary'!K44)="x",$BI132*K132,VALUE('Capacity summary'!K44)),0),K132*$BI132),K132*$BI132),0)</f>
        <v>0</v>
      </c>
      <c r="BO132" s="5">
        <f>IF($BI132&lt;&gt;"",IF('Capacity summary'!$C$14="Yes",IF(COUNTBLANK('Capacity summary'!$H44:$BG44)&lt;52,IF('Capacity summary'!L44&lt;&gt;"",IF(LOWER('Capacity summary'!L44)="x",$BI132*L132,VALUE('Capacity summary'!L44)),0),L132*$BI132),L132*$BI132),0)</f>
        <v>0</v>
      </c>
      <c r="BP132" s="5">
        <f>IF($BI132&lt;&gt;"",IF('Capacity summary'!$C$14="Yes",IF(COUNTBLANK('Capacity summary'!$H44:$BG44)&lt;52,IF('Capacity summary'!M44&lt;&gt;"",IF(LOWER('Capacity summary'!M44)="x",$BI132*M132,VALUE('Capacity summary'!M44)),0),M132*$BI132),M132*$BI132),0)</f>
        <v>0</v>
      </c>
      <c r="BQ132" s="5">
        <f>IF($BI132&lt;&gt;"",IF('Capacity summary'!$C$14="Yes",IF(COUNTBLANK('Capacity summary'!$H44:$BG44)&lt;52,IF('Capacity summary'!N44&lt;&gt;"",IF(LOWER('Capacity summary'!N44)="x",$BI132*N132,VALUE('Capacity summary'!N44)),0),N132*$BI132),N132*$BI132),0)</f>
        <v>0</v>
      </c>
      <c r="BR132" s="5">
        <f>IF($BI132&lt;&gt;"",IF('Capacity summary'!$C$14="Yes",IF(COUNTBLANK('Capacity summary'!$H44:$BG44)&lt;52,IF('Capacity summary'!O44&lt;&gt;"",IF(LOWER('Capacity summary'!O44)="x",$BI132*O132,VALUE('Capacity summary'!O44)),0),O132*$BI132),O132*$BI132),0)</f>
        <v>0</v>
      </c>
      <c r="BS132" s="5">
        <f>IF($BI132&lt;&gt;"",IF('Capacity summary'!$C$14="Yes",IF(COUNTBLANK('Capacity summary'!$H44:$BG44)&lt;52,IF('Capacity summary'!P44&lt;&gt;"",IF(LOWER('Capacity summary'!P44)="x",$BI132*P132,VALUE('Capacity summary'!P44)),0),P132*$BI132),P132*$BI132),0)</f>
        <v>0</v>
      </c>
      <c r="BT132" s="5">
        <f>IF($BI132&lt;&gt;"",IF('Capacity summary'!$C$14="Yes",IF(COUNTBLANK('Capacity summary'!$H44:$BG44)&lt;52,IF('Capacity summary'!Q44&lt;&gt;"",IF(LOWER('Capacity summary'!Q44)="x",$BI132*Q132,VALUE('Capacity summary'!Q44)),0),Q132*$BI132),Q132*$BI132),0)</f>
        <v>0</v>
      </c>
      <c r="BU132" s="5">
        <f>IF($BI132&lt;&gt;"",IF('Capacity summary'!$C$14="Yes",IF(COUNTBLANK('Capacity summary'!$H44:$BG44)&lt;52,IF('Capacity summary'!R44&lt;&gt;"",IF(LOWER('Capacity summary'!R44)="x",$BI132*R132,VALUE('Capacity summary'!R44)),0),R132*$BI132),R132*$BI132),0)</f>
        <v>0</v>
      </c>
      <c r="BV132" s="5">
        <f>IF($BI132&lt;&gt;"",IF('Capacity summary'!$C$14="Yes",IF(COUNTBLANK('Capacity summary'!$H44:$BG44)&lt;52,IF('Capacity summary'!S44&lt;&gt;"",IF(LOWER('Capacity summary'!S44)="x",$BI132*S132,VALUE('Capacity summary'!S44)),0),S132*$BI132),S132*$BI132),0)</f>
        <v>0</v>
      </c>
      <c r="BW132" s="5">
        <f>IF($BI132&lt;&gt;"",IF('Capacity summary'!$C$14="Yes",IF(COUNTBLANK('Capacity summary'!$H44:$BG44)&lt;52,IF('Capacity summary'!T44&lt;&gt;"",IF(LOWER('Capacity summary'!T44)="x",$BI132*T132,VALUE('Capacity summary'!T44)),0),T132*$BI132),T132*$BI132),0)</f>
        <v>0</v>
      </c>
      <c r="BX132" s="5">
        <f>IF($BI132&lt;&gt;"",IF('Capacity summary'!$C$14="Yes",IF(COUNTBLANK('Capacity summary'!$H44:$BG44)&lt;52,IF('Capacity summary'!U44&lt;&gt;"",IF(LOWER('Capacity summary'!U44)="x",$BI132*U132,VALUE('Capacity summary'!U44)),0),U132*$BI132),U132*$BI132),0)</f>
        <v>0</v>
      </c>
      <c r="BY132" s="5">
        <f>IF($BI132&lt;&gt;"",IF('Capacity summary'!$C$14="Yes",IF(COUNTBLANK('Capacity summary'!$H44:$BG44)&lt;52,IF('Capacity summary'!V44&lt;&gt;"",IF(LOWER('Capacity summary'!V44)="x",$BI132*V132,VALUE('Capacity summary'!V44)),0),V132*$BI132),V132*$BI132),0)</f>
        <v>0</v>
      </c>
      <c r="BZ132" s="5">
        <f>IF($BI132&lt;&gt;"",IF('Capacity summary'!$C$14="Yes",IF(COUNTBLANK('Capacity summary'!$H44:$BG44)&lt;52,IF('Capacity summary'!W44&lt;&gt;"",IF(LOWER('Capacity summary'!W44)="x",$BI132*W132,VALUE('Capacity summary'!W44)),0),W132*$BI132),W132*$BI132),0)</f>
        <v>0</v>
      </c>
      <c r="CA132" s="5">
        <f>IF($BI132&lt;&gt;"",IF('Capacity summary'!$C$14="Yes",IF(COUNTBLANK('Capacity summary'!$H44:$BG44)&lt;52,IF('Capacity summary'!X44&lt;&gt;"",IF(LOWER('Capacity summary'!X44)="x",$BI132*X132,VALUE('Capacity summary'!X44)),0),X132*$BI132),X132*$BI132),0)</f>
        <v>0</v>
      </c>
      <c r="CB132" s="5">
        <f>IF($BI132&lt;&gt;"",IF('Capacity summary'!$C$14="Yes",IF(COUNTBLANK('Capacity summary'!$H44:$BG44)&lt;52,IF('Capacity summary'!Y44&lt;&gt;"",IF(LOWER('Capacity summary'!Y44)="x",$BI132*Y132,VALUE('Capacity summary'!Y44)),0),Y132*$BI132),Y132*$BI132),0)</f>
        <v>0</v>
      </c>
      <c r="CC132" s="5">
        <f>IF($BI132&lt;&gt;"",IF('Capacity summary'!$C$14="Yes",IF(COUNTBLANK('Capacity summary'!$H44:$BG44)&lt;52,IF('Capacity summary'!Z44&lt;&gt;"",IF(LOWER('Capacity summary'!Z44)="x",$BI132*Z132,VALUE('Capacity summary'!Z44)),0),Z132*$BI132),Z132*$BI132),0)</f>
        <v>0</v>
      </c>
      <c r="CD132" s="5">
        <f>IF($BI132&lt;&gt;"",IF('Capacity summary'!$C$14="Yes",IF(COUNTBLANK('Capacity summary'!$H44:$BG44)&lt;52,IF('Capacity summary'!AA44&lt;&gt;"",IF(LOWER('Capacity summary'!AA44)="x",$BI132*AA132,VALUE('Capacity summary'!AA44)),0),AA132*$BI132),AA132*$BI132),0)</f>
        <v>0</v>
      </c>
      <c r="CE132" s="5">
        <f>IF($BI132&lt;&gt;"",IF('Capacity summary'!$C$14="Yes",IF(COUNTBLANK('Capacity summary'!$H44:$BG44)&lt;52,IF('Capacity summary'!AB44&lt;&gt;"",IF(LOWER('Capacity summary'!AB44)="x",$BI132*AB132,VALUE('Capacity summary'!AB44)),0),AB132*$BI132),AB132*$BI132),0)</f>
        <v>0</v>
      </c>
      <c r="CF132" s="5">
        <f>IF($BI132&lt;&gt;"",IF('Capacity summary'!$C$14="Yes",IF(COUNTBLANK('Capacity summary'!$H44:$BG44)&lt;52,IF('Capacity summary'!AC44&lt;&gt;"",IF(LOWER('Capacity summary'!AC44)="x",$BI132*AC132,VALUE('Capacity summary'!AC44)),0),AC132*$BI132),AC132*$BI132),0)</f>
        <v>0</v>
      </c>
      <c r="CG132" s="5">
        <f>IF($BI132&lt;&gt;"",IF('Capacity summary'!$C$14="Yes",IF(COUNTBLANK('Capacity summary'!$H44:$BG44)&lt;52,IF('Capacity summary'!AD44&lt;&gt;"",IF(LOWER('Capacity summary'!AD44)="x",$BI132*AD132,VALUE('Capacity summary'!AD44)),0),AD132*$BI132),AD132*$BI132),0)</f>
        <v>0</v>
      </c>
      <c r="CH132" s="5">
        <f>IF($BI132&lt;&gt;"",IF('Capacity summary'!$C$14="Yes",IF(COUNTBLANK('Capacity summary'!$H44:$BG44)&lt;52,IF('Capacity summary'!AE44&lt;&gt;"",IF(LOWER('Capacity summary'!AE44)="x",$BI132*AE132,VALUE('Capacity summary'!AE44)),0),AE132*$BI132),AE132*$BI132),0)</f>
        <v>0</v>
      </c>
      <c r="CI132" s="5">
        <f>IF($BI132&lt;&gt;"",IF('Capacity summary'!$C$14="Yes",IF(COUNTBLANK('Capacity summary'!$H44:$BG44)&lt;52,IF('Capacity summary'!AF44&lt;&gt;"",IF(LOWER('Capacity summary'!AF44)="x",$BI132*AF132,VALUE('Capacity summary'!AF44)),0),AF132*$BI132),AF132*$BI132),0)</f>
        <v>0</v>
      </c>
      <c r="CJ132" s="5">
        <f>IF($BI132&lt;&gt;"",IF('Capacity summary'!$C$14="Yes",IF(COUNTBLANK('Capacity summary'!$H44:$BG44)&lt;52,IF('Capacity summary'!AG44&lt;&gt;"",IF(LOWER('Capacity summary'!AG44)="x",$BI132*AG132,VALUE('Capacity summary'!AG44)),0),AG132*$BI132),AG132*$BI132),0)</f>
        <v>0</v>
      </c>
      <c r="CK132" s="5">
        <f>IF($BI132&lt;&gt;"",IF('Capacity summary'!$C$14="Yes",IF(COUNTBLANK('Capacity summary'!$H44:$BG44)&lt;52,IF('Capacity summary'!AH44&lt;&gt;"",IF(LOWER('Capacity summary'!AH44)="x",$BI132*AH132,VALUE('Capacity summary'!AH44)),0),AH132*$BI132),AH132*$BI132),0)</f>
        <v>0</v>
      </c>
      <c r="CL132" s="5">
        <f>IF($BI132&lt;&gt;"",IF('Capacity summary'!$C$14="Yes",IF(COUNTBLANK('Capacity summary'!$H44:$BG44)&lt;52,IF('Capacity summary'!AI44&lt;&gt;"",IF(LOWER('Capacity summary'!AI44)="x",$BI132*AI132,VALUE('Capacity summary'!AI44)),0),AI132*$BI132),AI132*$BI132),0)</f>
        <v>0</v>
      </c>
      <c r="CM132" s="5">
        <f>IF($BI132&lt;&gt;"",IF('Capacity summary'!$C$14="Yes",IF(COUNTBLANK('Capacity summary'!$H44:$BG44)&lt;52,IF('Capacity summary'!AJ44&lt;&gt;"",IF(LOWER('Capacity summary'!AJ44)="x",$BI132*AJ132,VALUE('Capacity summary'!AJ44)),0),AJ132*$BI132),AJ132*$BI132),0)</f>
        <v>0</v>
      </c>
      <c r="CN132" s="5">
        <f>IF($BI132&lt;&gt;"",IF('Capacity summary'!$C$14="Yes",IF(COUNTBLANK('Capacity summary'!$H44:$BG44)&lt;52,IF('Capacity summary'!AK44&lt;&gt;"",IF(LOWER('Capacity summary'!AK44)="x",$BI132*AK132,VALUE('Capacity summary'!AK44)),0),AK132*$BI132),AK132*$BI132),0)</f>
        <v>0</v>
      </c>
      <c r="CO132" s="5">
        <f>IF($BI132&lt;&gt;"",IF('Capacity summary'!$C$14="Yes",IF(COUNTBLANK('Capacity summary'!$H44:$BG44)&lt;52,IF('Capacity summary'!AL44&lt;&gt;"",IF(LOWER('Capacity summary'!AL44)="x",$BI132*AL132,VALUE('Capacity summary'!AL44)),0),AL132*$BI132),AL132*$BI132),0)</f>
        <v>0</v>
      </c>
      <c r="CP132" s="5">
        <f>IF($BI132&lt;&gt;"",IF('Capacity summary'!$C$14="Yes",IF(COUNTBLANK('Capacity summary'!$H44:$BG44)&lt;52,IF('Capacity summary'!AM44&lt;&gt;"",IF(LOWER('Capacity summary'!AM44)="x",$BI132*AM132,VALUE('Capacity summary'!AM44)),0),AM132*$BI132),AM132*$BI132),0)</f>
        <v>0</v>
      </c>
      <c r="CQ132" s="5">
        <f>IF($BI132&lt;&gt;"",IF('Capacity summary'!$C$14="Yes",IF(COUNTBLANK('Capacity summary'!$H44:$BG44)&lt;52,IF('Capacity summary'!AN44&lt;&gt;"",IF(LOWER('Capacity summary'!AN44)="x",$BI132*AN132,VALUE('Capacity summary'!AN44)),0),AN132*$BI132),AN132*$BI132),0)</f>
        <v>0</v>
      </c>
      <c r="CR132" s="5">
        <f>IF($BI132&lt;&gt;"",IF('Capacity summary'!$C$14="Yes",IF(COUNTBLANK('Capacity summary'!$H44:$BG44)&lt;52,IF('Capacity summary'!AO44&lt;&gt;"",IF(LOWER('Capacity summary'!AO44)="x",$BI132*AO132,VALUE('Capacity summary'!AO44)),0),AO132*$BI132),AO132*$BI132),0)</f>
        <v>0</v>
      </c>
      <c r="CS132" s="5">
        <f>IF($BI132&lt;&gt;"",IF('Capacity summary'!$C$14="Yes",IF(COUNTBLANK('Capacity summary'!$H44:$BG44)&lt;52,IF('Capacity summary'!AP44&lt;&gt;"",IF(LOWER('Capacity summary'!AP44)="x",$BI132*AP132,VALUE('Capacity summary'!AP44)),0),AP132*$BI132),AP132*$BI132),0)</f>
        <v>0</v>
      </c>
      <c r="CT132" s="5">
        <f>IF($BI132&lt;&gt;"",IF('Capacity summary'!$C$14="Yes",IF(COUNTBLANK('Capacity summary'!$H44:$BG44)&lt;52,IF('Capacity summary'!AQ44&lt;&gt;"",IF(LOWER('Capacity summary'!AQ44)="x",$BI132*AQ132,VALUE('Capacity summary'!AQ44)),0),AQ132*$BI132),AQ132*$BI132),0)</f>
        <v>0</v>
      </c>
      <c r="CU132" s="5">
        <f>IF($BI132&lt;&gt;"",IF('Capacity summary'!$C$14="Yes",IF(COUNTBLANK('Capacity summary'!$H44:$BG44)&lt;52,IF('Capacity summary'!AR44&lt;&gt;"",IF(LOWER('Capacity summary'!AR44)="x",$BI132*AR132,VALUE('Capacity summary'!AR44)),0),AR132*$BI132),AR132*$BI132),0)</f>
        <v>0</v>
      </c>
      <c r="CV132" s="5">
        <f>IF($BI132&lt;&gt;"",IF('Capacity summary'!$C$14="Yes",IF(COUNTBLANK('Capacity summary'!$H44:$BG44)&lt;52,IF('Capacity summary'!AS44&lt;&gt;"",IF(LOWER('Capacity summary'!AS44)="x",$BI132*AS132,VALUE('Capacity summary'!AS44)),0),AS132*$BI132),AS132*$BI132),0)</f>
        <v>0</v>
      </c>
      <c r="CW132" s="5">
        <f>IF($BI132&lt;&gt;"",IF('Capacity summary'!$C$14="Yes",IF(COUNTBLANK('Capacity summary'!$H44:$BG44)&lt;52,IF('Capacity summary'!AT44&lt;&gt;"",IF(LOWER('Capacity summary'!AT44)="x",$BI132*AT132,VALUE('Capacity summary'!AT44)),0),AT132*$BI132),AT132*$BI132),0)</f>
        <v>0</v>
      </c>
      <c r="CX132" s="5">
        <f>IF($BI132&lt;&gt;"",IF('Capacity summary'!$C$14="Yes",IF(COUNTBLANK('Capacity summary'!$H44:$BG44)&lt;52,IF('Capacity summary'!AU44&lt;&gt;"",IF(LOWER('Capacity summary'!AU44)="x",$BI132*AU132,VALUE('Capacity summary'!AU44)),0),AU132*$BI132),AU132*$BI132),0)</f>
        <v>0</v>
      </c>
      <c r="CY132" s="5">
        <f>IF($BI132&lt;&gt;"",IF('Capacity summary'!$C$14="Yes",IF(COUNTBLANK('Capacity summary'!$H44:$BG44)&lt;52,IF('Capacity summary'!AV44&lt;&gt;"",IF(LOWER('Capacity summary'!AV44)="x",$BI132*AV132,VALUE('Capacity summary'!AV44)),0),AV132*$BI132),AV132*$BI132),0)</f>
        <v>0</v>
      </c>
      <c r="CZ132" s="5">
        <f>IF($BI132&lt;&gt;"",IF('Capacity summary'!$C$14="Yes",IF(COUNTBLANK('Capacity summary'!$H44:$BG44)&lt;52,IF('Capacity summary'!AW44&lt;&gt;"",IF(LOWER('Capacity summary'!AW44)="x",$BI132*AW132,VALUE('Capacity summary'!AW44)),0),AW132*$BI132),AW132*$BI132),0)</f>
        <v>0</v>
      </c>
      <c r="DA132" s="5">
        <f>IF($BI132&lt;&gt;"",IF('Capacity summary'!$C$14="Yes",IF(COUNTBLANK('Capacity summary'!$H44:$BG44)&lt;52,IF('Capacity summary'!AX44&lt;&gt;"",IF(LOWER('Capacity summary'!AX44)="x",$BI132*AX132,VALUE('Capacity summary'!AX44)),0),AX132*$BI132),AX132*$BI132),0)</f>
        <v>0</v>
      </c>
      <c r="DB132" s="5">
        <f>IF($BI132&lt;&gt;"",IF('Capacity summary'!$C$14="Yes",IF(COUNTBLANK('Capacity summary'!$H44:$BG44)&lt;52,IF('Capacity summary'!AY44&lt;&gt;"",IF(LOWER('Capacity summary'!AY44)="x",$BI132*AY132,VALUE('Capacity summary'!AY44)),0),AY132*$BI132),AY132*$BI132),0)</f>
        <v>0</v>
      </c>
      <c r="DC132" s="5">
        <f>IF($BI132&lt;&gt;"",IF('Capacity summary'!$C$14="Yes",IF(COUNTBLANK('Capacity summary'!$H44:$BG44)&lt;52,IF('Capacity summary'!AZ44&lt;&gt;"",IF(LOWER('Capacity summary'!AZ44)="x",$BI132*AZ132,VALUE('Capacity summary'!AZ44)),0),AZ132*$BI132),AZ132*$BI132),0)</f>
        <v>0</v>
      </c>
      <c r="DD132" s="5">
        <f>IF($BI132&lt;&gt;"",IF('Capacity summary'!$C$14="Yes",IF(COUNTBLANK('Capacity summary'!$H44:$BG44)&lt;52,IF('Capacity summary'!BA44&lt;&gt;"",IF(LOWER('Capacity summary'!BA44)="x",$BI132*BA132,VALUE('Capacity summary'!BA44)),0),BA132*$BI132),BA132*$BI132),0)</f>
        <v>0</v>
      </c>
      <c r="DE132" s="5">
        <f>IF($BI132&lt;&gt;"",IF('Capacity summary'!$C$14="Yes",IF(COUNTBLANK('Capacity summary'!$H44:$BG44)&lt;52,IF('Capacity summary'!BB44&lt;&gt;"",IF(LOWER('Capacity summary'!BB44)="x",$BI132*BB132,VALUE('Capacity summary'!BB44)),0),BB132*$BI132),BB132*$BI132),0)</f>
        <v>0</v>
      </c>
      <c r="DF132" s="5">
        <f>IF($BI132&lt;&gt;"",IF('Capacity summary'!$C$14="Yes",IF(COUNTBLANK('Capacity summary'!$H44:$BG44)&lt;52,IF('Capacity summary'!BC44&lt;&gt;"",IF(LOWER('Capacity summary'!BC44)="x",$BI132*BC132,VALUE('Capacity summary'!BC44)),0),BC132*$BI132),BC132*$BI132),0)</f>
        <v>0</v>
      </c>
      <c r="DG132" s="5">
        <f>IF($BI132&lt;&gt;"",IF('Capacity summary'!$C$14="Yes",IF(COUNTBLANK('Capacity summary'!$H44:$BG44)&lt;52,IF('Capacity summary'!BD44&lt;&gt;"",IF(LOWER('Capacity summary'!BD44)="x",$BI132*BD132,VALUE('Capacity summary'!BD44)),0),BD132*$BI132),BD132*$BI132),0)</f>
        <v>0</v>
      </c>
      <c r="DH132" s="5">
        <f>IF($BI132&lt;&gt;"",IF('Capacity summary'!$C$14="Yes",IF(COUNTBLANK('Capacity summary'!$H44:$BG44)&lt;52,IF('Capacity summary'!BE44&lt;&gt;"",IF(LOWER('Capacity summary'!BE44)="x",$BI132*BE132,VALUE('Capacity summary'!BE44)),0),BE132*$BI132),BE132*$BI132),0)</f>
        <v>0</v>
      </c>
      <c r="DI132" s="5">
        <f>IF($BI132&lt;&gt;"",IF('Capacity summary'!$C$14="Yes",IF(COUNTBLANK('Capacity summary'!$H44:$BG44)&lt;52,IF('Capacity summary'!BF44&lt;&gt;"",IF(LOWER('Capacity summary'!BF44)="x",$BI132*BF132,VALUE('Capacity summary'!BF44)),0),BF132*$BI132),BF132*$BI132),0)</f>
        <v>0</v>
      </c>
      <c r="DJ132" s="5">
        <f>IF($BI132&lt;&gt;"",IF('Capacity summary'!$C$14="Yes",IF(COUNTBLANK('Capacity summary'!$H44:$BG44)&lt;52,IF('Capacity summary'!BG44&lt;&gt;"",IF(LOWER('Capacity summary'!BG44)="x",$BI132*BG132,VALUE('Capacity summary'!BG44)),0),BG132*$BI132),BG132*$BI132),0)</f>
        <v>0</v>
      </c>
      <c r="DK132" s="391">
        <f t="shared" si="8"/>
        <v>0</v>
      </c>
      <c r="DL132" s="5">
        <f t="shared" si="9"/>
        <v>0</v>
      </c>
    </row>
    <row r="133" spans="3:116" x14ac:dyDescent="0.2">
      <c r="C133" s="67" t="str">
        <f>ROW(A22)&amp;". "&amp;Capacity!N38</f>
        <v xml:space="preserve">22. </v>
      </c>
      <c r="D133" s="67">
        <f>'Capacity setup'!C139</f>
        <v>0</v>
      </c>
      <c r="E133" s="67">
        <f>'Capacity setup'!D139</f>
        <v>0</v>
      </c>
      <c r="F133" s="67">
        <f>'Capacity setup'!E139</f>
        <v>0</v>
      </c>
      <c r="H133" s="67">
        <f ca="1">IF(LOWER(Capacity!$V38)="x",IF(AND(SUMIF(Capacity_Resource,$D133,'Critical resources (hide)'!U$6:U$105)+SUMIF(Capacity_Resource,$E133,'Critical resources (hide)'!U$6:U$105)+SUMIF(Capacity_Resource,$F133,'Critical resources (hide)'!U$6:U$105)&gt;0,$E$1=2),0,1),0)</f>
        <v>1</v>
      </c>
      <c r="I133" s="67">
        <f ca="1">IF(LOWER(Capacity!$V38)="x",IF(AND(SUMIF(Capacity_Resource,$D133,'Critical resources (hide)'!V$6:V$105)+SUMIF(Capacity_Resource,$E133,'Critical resources (hide)'!V$6:V$105)+SUMIF(Capacity_Resource,$F133,'Critical resources (hide)'!V$6:V$105)&gt;0,$E$1=2),0,1),0)</f>
        <v>1</v>
      </c>
      <c r="J133" s="67">
        <f ca="1">IF(LOWER(Capacity!$V38)="x",IF(AND(SUMIF(Capacity_Resource,$D133,'Critical resources (hide)'!W$6:W$105)+SUMIF(Capacity_Resource,$E133,'Critical resources (hide)'!W$6:W$105)+SUMIF(Capacity_Resource,$F133,'Critical resources (hide)'!W$6:W$105)&gt;0,$E$1=2),0,1),0)</f>
        <v>1</v>
      </c>
      <c r="K133" s="67">
        <f ca="1">IF(LOWER(Capacity!$V38)="x",IF(AND(SUMIF(Capacity_Resource,$D133,'Critical resources (hide)'!X$6:X$105)+SUMIF(Capacity_Resource,$E133,'Critical resources (hide)'!X$6:X$105)+SUMIF(Capacity_Resource,$F133,'Critical resources (hide)'!X$6:X$105)&gt;0,$E$1=2),0,1),0)</f>
        <v>1</v>
      </c>
      <c r="L133" s="67">
        <f ca="1">IF(LOWER(Capacity!$V38)="x",IF(AND(SUMIF(Capacity_Resource,$D133,'Critical resources (hide)'!Y$6:Y$105)+SUMIF(Capacity_Resource,$E133,'Critical resources (hide)'!Y$6:Y$105)+SUMIF(Capacity_Resource,$F133,'Critical resources (hide)'!Y$6:Y$105)&gt;0,$E$1=2),0,1),0)</f>
        <v>1</v>
      </c>
      <c r="M133" s="67">
        <f ca="1">IF(LOWER(Capacity!$V38)="x",IF(AND(SUMIF(Capacity_Resource,$D133,'Critical resources (hide)'!Z$6:Z$105)+SUMIF(Capacity_Resource,$E133,'Critical resources (hide)'!Z$6:Z$105)+SUMIF(Capacity_Resource,$F133,'Critical resources (hide)'!Z$6:Z$105)&gt;0,$E$1=2),0,1),0)</f>
        <v>1</v>
      </c>
      <c r="N133" s="67">
        <f ca="1">IF(LOWER(Capacity!$V38)="x",IF(AND(SUMIF(Capacity_Resource,$D133,'Critical resources (hide)'!AA$6:AA$105)+SUMIF(Capacity_Resource,$E133,'Critical resources (hide)'!AA$6:AA$105)+SUMIF(Capacity_Resource,$F133,'Critical resources (hide)'!AA$6:AA$105)&gt;0,$E$1=2),0,1),0)</f>
        <v>1</v>
      </c>
      <c r="O133" s="67">
        <f ca="1">IF(LOWER(Capacity!$V38)="x",IF(AND(SUMIF(Capacity_Resource,$D133,'Critical resources (hide)'!AB$6:AB$105)+SUMIF(Capacity_Resource,$E133,'Critical resources (hide)'!AB$6:AB$105)+SUMIF(Capacity_Resource,$F133,'Critical resources (hide)'!AB$6:AB$105)&gt;0,$E$1=2),0,1),0)</f>
        <v>1</v>
      </c>
      <c r="P133" s="67">
        <f ca="1">IF(LOWER(Capacity!$V38)="x",IF(AND(SUMIF(Capacity_Resource,$D133,'Critical resources (hide)'!AC$6:AC$105)+SUMIF(Capacity_Resource,$E133,'Critical resources (hide)'!AC$6:AC$105)+SUMIF(Capacity_Resource,$F133,'Critical resources (hide)'!AC$6:AC$105)&gt;0,$E$1=2),0,1),0)</f>
        <v>1</v>
      </c>
      <c r="Q133" s="67">
        <f ca="1">IF(LOWER(Capacity!$V38)="x",IF(AND(SUMIF(Capacity_Resource,$D133,'Critical resources (hide)'!AD$6:AD$105)+SUMIF(Capacity_Resource,$E133,'Critical resources (hide)'!AD$6:AD$105)+SUMIF(Capacity_Resource,$F133,'Critical resources (hide)'!AD$6:AD$105)&gt;0,$E$1=2),0,1),0)</f>
        <v>1</v>
      </c>
      <c r="R133" s="67">
        <f ca="1">IF(LOWER(Capacity!$V38)="x",IF(AND(SUMIF(Capacity_Resource,$D133,'Critical resources (hide)'!AE$6:AE$105)+SUMIF(Capacity_Resource,$E133,'Critical resources (hide)'!AE$6:AE$105)+SUMIF(Capacity_Resource,$F133,'Critical resources (hide)'!AE$6:AE$105)&gt;0,$E$1=2),0,1),0)</f>
        <v>1</v>
      </c>
      <c r="S133" s="67">
        <f ca="1">IF(LOWER(Capacity!$V38)="x",IF(AND(SUMIF(Capacity_Resource,$D133,'Critical resources (hide)'!AF$6:AF$105)+SUMIF(Capacity_Resource,$E133,'Critical resources (hide)'!AF$6:AF$105)+SUMIF(Capacity_Resource,$F133,'Critical resources (hide)'!AF$6:AF$105)&gt;0,$E$1=2),0,1),0)</f>
        <v>1</v>
      </c>
      <c r="T133" s="67">
        <f ca="1">IF(LOWER(Capacity!$V38)="x",IF(AND(SUMIF(Capacity_Resource,$D133,'Critical resources (hide)'!AG$6:AG$105)+SUMIF(Capacity_Resource,$E133,'Critical resources (hide)'!AG$6:AG$105)+SUMIF(Capacity_Resource,$F133,'Critical resources (hide)'!AG$6:AG$105)&gt;0,$E$1=2),0,1),0)</f>
        <v>1</v>
      </c>
      <c r="U133" s="67">
        <f ca="1">IF(LOWER(Capacity!$V38)="x",IF(AND(SUMIF(Capacity_Resource,$D133,'Critical resources (hide)'!AH$6:AH$105)+SUMIF(Capacity_Resource,$E133,'Critical resources (hide)'!AH$6:AH$105)+SUMIF(Capacity_Resource,$F133,'Critical resources (hide)'!AH$6:AH$105)&gt;0,$E$1=2),0,1),0)</f>
        <v>1</v>
      </c>
      <c r="V133" s="67">
        <f ca="1">IF(LOWER(Capacity!$V38)="x",IF(AND(SUMIF(Capacity_Resource,$D133,'Critical resources (hide)'!AI$6:AI$105)+SUMIF(Capacity_Resource,$E133,'Critical resources (hide)'!AI$6:AI$105)+SUMIF(Capacity_Resource,$F133,'Critical resources (hide)'!AI$6:AI$105)&gt;0,$E$1=2),0,1),0)</f>
        <v>1</v>
      </c>
      <c r="W133" s="67">
        <f ca="1">IF(LOWER(Capacity!$V38)="x",IF(AND(SUMIF(Capacity_Resource,$D133,'Critical resources (hide)'!AJ$6:AJ$105)+SUMIF(Capacity_Resource,$E133,'Critical resources (hide)'!AJ$6:AJ$105)+SUMIF(Capacity_Resource,$F133,'Critical resources (hide)'!AJ$6:AJ$105)&gt;0,$E$1=2),0,1),0)</f>
        <v>1</v>
      </c>
      <c r="X133" s="67">
        <f ca="1">IF(LOWER(Capacity!$V38)="x",IF(AND(SUMIF(Capacity_Resource,$D133,'Critical resources (hide)'!AK$6:AK$105)+SUMIF(Capacity_Resource,$E133,'Critical resources (hide)'!AK$6:AK$105)+SUMIF(Capacity_Resource,$F133,'Critical resources (hide)'!AK$6:AK$105)&gt;0,$E$1=2),0,1),0)</f>
        <v>1</v>
      </c>
      <c r="Y133" s="67">
        <f ca="1">IF(LOWER(Capacity!$V38)="x",IF(AND(SUMIF(Capacity_Resource,$D133,'Critical resources (hide)'!AL$6:AL$105)+SUMIF(Capacity_Resource,$E133,'Critical resources (hide)'!AL$6:AL$105)+SUMIF(Capacity_Resource,$F133,'Critical resources (hide)'!AL$6:AL$105)&gt;0,$E$1=2),0,1),0)</f>
        <v>1</v>
      </c>
      <c r="Z133" s="67">
        <f ca="1">IF(LOWER(Capacity!$V38)="x",IF(AND(SUMIF(Capacity_Resource,$D133,'Critical resources (hide)'!AM$6:AM$105)+SUMIF(Capacity_Resource,$E133,'Critical resources (hide)'!AM$6:AM$105)+SUMIF(Capacity_Resource,$F133,'Critical resources (hide)'!AM$6:AM$105)&gt;0,$E$1=2),0,1),0)</f>
        <v>1</v>
      </c>
      <c r="AA133" s="67">
        <f ca="1">IF(LOWER(Capacity!$V38)="x",IF(AND(SUMIF(Capacity_Resource,$D133,'Critical resources (hide)'!AN$6:AN$105)+SUMIF(Capacity_Resource,$E133,'Critical resources (hide)'!AN$6:AN$105)+SUMIF(Capacity_Resource,$F133,'Critical resources (hide)'!AN$6:AN$105)&gt;0,$E$1=2),0,1),0)</f>
        <v>1</v>
      </c>
      <c r="AB133" s="67">
        <f ca="1">IF(LOWER(Capacity!$V38)="x",IF(AND(SUMIF(Capacity_Resource,$D133,'Critical resources (hide)'!AO$6:AO$105)+SUMIF(Capacity_Resource,$E133,'Critical resources (hide)'!AO$6:AO$105)+SUMIF(Capacity_Resource,$F133,'Critical resources (hide)'!AO$6:AO$105)&gt;0,$E$1=2),0,1),0)</f>
        <v>1</v>
      </c>
      <c r="AC133" s="67">
        <f ca="1">IF(LOWER(Capacity!$V38)="x",IF(AND(SUMIF(Capacity_Resource,$D133,'Critical resources (hide)'!AP$6:AP$105)+SUMIF(Capacity_Resource,$E133,'Critical resources (hide)'!AP$6:AP$105)+SUMIF(Capacity_Resource,$F133,'Critical resources (hide)'!AP$6:AP$105)&gt;0,$E$1=2),0,1),0)</f>
        <v>1</v>
      </c>
      <c r="AD133" s="67">
        <f ca="1">IF(LOWER(Capacity!$V38)="x",IF(AND(SUMIF(Capacity_Resource,$D133,'Critical resources (hide)'!AQ$6:AQ$105)+SUMIF(Capacity_Resource,$E133,'Critical resources (hide)'!AQ$6:AQ$105)+SUMIF(Capacity_Resource,$F133,'Critical resources (hide)'!AQ$6:AQ$105)&gt;0,$E$1=2),0,1),0)</f>
        <v>1</v>
      </c>
      <c r="AE133" s="67">
        <f ca="1">IF(LOWER(Capacity!$V38)="x",IF(AND(SUMIF(Capacity_Resource,$D133,'Critical resources (hide)'!AR$6:AR$105)+SUMIF(Capacity_Resource,$E133,'Critical resources (hide)'!AR$6:AR$105)+SUMIF(Capacity_Resource,$F133,'Critical resources (hide)'!AR$6:AR$105)&gt;0,$E$1=2),0,1),0)</f>
        <v>1</v>
      </c>
      <c r="AF133" s="67">
        <f ca="1">IF(LOWER(Capacity!$V38)="x",IF(AND(SUMIF(Capacity_Resource,$D133,'Critical resources (hide)'!AS$6:AS$105)+SUMIF(Capacity_Resource,$E133,'Critical resources (hide)'!AS$6:AS$105)+SUMIF(Capacity_Resource,$F133,'Critical resources (hide)'!AS$6:AS$105)&gt;0,$E$1=2),0,1),0)</f>
        <v>1</v>
      </c>
      <c r="AG133" s="67">
        <f ca="1">IF(LOWER(Capacity!$V38)="x",IF(AND(SUMIF(Capacity_Resource,$D133,'Critical resources (hide)'!AT$6:AT$105)+SUMIF(Capacity_Resource,$E133,'Critical resources (hide)'!AT$6:AT$105)+SUMIF(Capacity_Resource,$F133,'Critical resources (hide)'!AT$6:AT$105)&gt;0,$E$1=2),0,1),0)</f>
        <v>1</v>
      </c>
      <c r="AH133" s="67">
        <f ca="1">IF(LOWER(Capacity!$V38)="x",IF(AND(SUMIF(Capacity_Resource,$D133,'Critical resources (hide)'!AU$6:AU$105)+SUMIF(Capacity_Resource,$E133,'Critical resources (hide)'!AU$6:AU$105)+SUMIF(Capacity_Resource,$F133,'Critical resources (hide)'!AU$6:AU$105)&gt;0,$E$1=2),0,1),0)</f>
        <v>1</v>
      </c>
      <c r="AI133" s="67">
        <f ca="1">IF(LOWER(Capacity!$V38)="x",IF(AND(SUMIF(Capacity_Resource,$D133,'Critical resources (hide)'!AV$6:AV$105)+SUMIF(Capacity_Resource,$E133,'Critical resources (hide)'!AV$6:AV$105)+SUMIF(Capacity_Resource,$F133,'Critical resources (hide)'!AV$6:AV$105)&gt;0,$E$1=2),0,1),0)</f>
        <v>1</v>
      </c>
      <c r="AJ133" s="67">
        <f ca="1">IF(LOWER(Capacity!$V38)="x",IF(AND(SUMIF(Capacity_Resource,$D133,'Critical resources (hide)'!AW$6:AW$105)+SUMIF(Capacity_Resource,$E133,'Critical resources (hide)'!AW$6:AW$105)+SUMIF(Capacity_Resource,$F133,'Critical resources (hide)'!AW$6:AW$105)&gt;0,$E$1=2),0,1),0)</f>
        <v>1</v>
      </c>
      <c r="AK133" s="67">
        <f ca="1">IF(LOWER(Capacity!$V38)="x",IF(AND(SUMIF(Capacity_Resource,$D133,'Critical resources (hide)'!AX$6:AX$105)+SUMIF(Capacity_Resource,$E133,'Critical resources (hide)'!AX$6:AX$105)+SUMIF(Capacity_Resource,$F133,'Critical resources (hide)'!AX$6:AX$105)&gt;0,$E$1=2),0,1),0)</f>
        <v>1</v>
      </c>
      <c r="AL133" s="67">
        <f ca="1">IF(LOWER(Capacity!$V38)="x",IF(AND(SUMIF(Capacity_Resource,$D133,'Critical resources (hide)'!AY$6:AY$105)+SUMIF(Capacity_Resource,$E133,'Critical resources (hide)'!AY$6:AY$105)+SUMIF(Capacity_Resource,$F133,'Critical resources (hide)'!AY$6:AY$105)&gt;0,$E$1=2),0,1),0)</f>
        <v>1</v>
      </c>
      <c r="AM133" s="67">
        <f ca="1">IF(LOWER(Capacity!$V38)="x",IF(AND(SUMIF(Capacity_Resource,$D133,'Critical resources (hide)'!AZ$6:AZ$105)+SUMIF(Capacity_Resource,$E133,'Critical resources (hide)'!AZ$6:AZ$105)+SUMIF(Capacity_Resource,$F133,'Critical resources (hide)'!AZ$6:AZ$105)&gt;0,$E$1=2),0,1),0)</f>
        <v>1</v>
      </c>
      <c r="AN133" s="67">
        <f ca="1">IF(LOWER(Capacity!$V38)="x",IF(AND(SUMIF(Capacity_Resource,$D133,'Critical resources (hide)'!BA$6:BA$105)+SUMIF(Capacity_Resource,$E133,'Critical resources (hide)'!BA$6:BA$105)+SUMIF(Capacity_Resource,$F133,'Critical resources (hide)'!BA$6:BA$105)&gt;0,$E$1=2),0,1),0)</f>
        <v>1</v>
      </c>
      <c r="AO133" s="67">
        <f ca="1">IF(LOWER(Capacity!$V38)="x",IF(AND(SUMIF(Capacity_Resource,$D133,'Critical resources (hide)'!BB$6:BB$105)+SUMIF(Capacity_Resource,$E133,'Critical resources (hide)'!BB$6:BB$105)+SUMIF(Capacity_Resource,$F133,'Critical resources (hide)'!BB$6:BB$105)&gt;0,$E$1=2),0,1),0)</f>
        <v>1</v>
      </c>
      <c r="AP133" s="67">
        <f ca="1">IF(LOWER(Capacity!$V38)="x",IF(AND(SUMIF(Capacity_Resource,$D133,'Critical resources (hide)'!BC$6:BC$105)+SUMIF(Capacity_Resource,$E133,'Critical resources (hide)'!BC$6:BC$105)+SUMIF(Capacity_Resource,$F133,'Critical resources (hide)'!BC$6:BC$105)&gt;0,$E$1=2),0,1),0)</f>
        <v>1</v>
      </c>
      <c r="AQ133" s="67">
        <f ca="1">IF(LOWER(Capacity!$V38)="x",IF(AND(SUMIF(Capacity_Resource,$D133,'Critical resources (hide)'!BD$6:BD$105)+SUMIF(Capacity_Resource,$E133,'Critical resources (hide)'!BD$6:BD$105)+SUMIF(Capacity_Resource,$F133,'Critical resources (hide)'!BD$6:BD$105)&gt;0,$E$1=2),0,1),0)</f>
        <v>1</v>
      </c>
      <c r="AR133" s="67">
        <f ca="1">IF(LOWER(Capacity!$V38)="x",IF(AND(SUMIF(Capacity_Resource,$D133,'Critical resources (hide)'!BE$6:BE$105)+SUMIF(Capacity_Resource,$E133,'Critical resources (hide)'!BE$6:BE$105)+SUMIF(Capacity_Resource,$F133,'Critical resources (hide)'!BE$6:BE$105)&gt;0,$E$1=2),0,1),0)</f>
        <v>1</v>
      </c>
      <c r="AS133" s="67">
        <f ca="1">IF(LOWER(Capacity!$V38)="x",IF(AND(SUMIF(Capacity_Resource,$D133,'Critical resources (hide)'!BF$6:BF$105)+SUMIF(Capacity_Resource,$E133,'Critical resources (hide)'!BF$6:BF$105)+SUMIF(Capacity_Resource,$F133,'Critical resources (hide)'!BF$6:BF$105)&gt;0,$E$1=2),0,1),0)</f>
        <v>1</v>
      </c>
      <c r="AT133" s="67">
        <f ca="1">IF(LOWER(Capacity!$V38)="x",IF(AND(SUMIF(Capacity_Resource,$D133,'Critical resources (hide)'!BG$6:BG$105)+SUMIF(Capacity_Resource,$E133,'Critical resources (hide)'!BG$6:BG$105)+SUMIF(Capacity_Resource,$F133,'Critical resources (hide)'!BG$6:BG$105)&gt;0,$E$1=2),0,1),0)</f>
        <v>1</v>
      </c>
      <c r="AU133" s="67">
        <f ca="1">IF(LOWER(Capacity!$V38)="x",IF(AND(SUMIF(Capacity_Resource,$D133,'Critical resources (hide)'!BH$6:BH$105)+SUMIF(Capacity_Resource,$E133,'Critical resources (hide)'!BH$6:BH$105)+SUMIF(Capacity_Resource,$F133,'Critical resources (hide)'!BH$6:BH$105)&gt;0,$E$1=2),0,1),0)</f>
        <v>1</v>
      </c>
      <c r="AV133" s="67">
        <f ca="1">IF(LOWER(Capacity!$V38)="x",IF(AND(SUMIF(Capacity_Resource,$D133,'Critical resources (hide)'!BI$6:BI$105)+SUMIF(Capacity_Resource,$E133,'Critical resources (hide)'!BI$6:BI$105)+SUMIF(Capacity_Resource,$F133,'Critical resources (hide)'!BI$6:BI$105)&gt;0,$E$1=2),0,1),0)</f>
        <v>1</v>
      </c>
      <c r="AW133" s="67">
        <f ca="1">IF(LOWER(Capacity!$V38)="x",IF(AND(SUMIF(Capacity_Resource,$D133,'Critical resources (hide)'!BJ$6:BJ$105)+SUMIF(Capacity_Resource,$E133,'Critical resources (hide)'!BJ$6:BJ$105)+SUMIF(Capacity_Resource,$F133,'Critical resources (hide)'!BJ$6:BJ$105)&gt;0,$E$1=2),0,1),0)</f>
        <v>1</v>
      </c>
      <c r="AX133" s="67">
        <f ca="1">IF(LOWER(Capacity!$V38)="x",IF(AND(SUMIF(Capacity_Resource,$D133,'Critical resources (hide)'!BK$6:BK$105)+SUMIF(Capacity_Resource,$E133,'Critical resources (hide)'!BK$6:BK$105)+SUMIF(Capacity_Resource,$F133,'Critical resources (hide)'!BK$6:BK$105)&gt;0,$E$1=2),0,1),0)</f>
        <v>1</v>
      </c>
      <c r="AY133" s="67">
        <f ca="1">IF(LOWER(Capacity!$V38)="x",IF(AND(SUMIF(Capacity_Resource,$D133,'Critical resources (hide)'!BL$6:BL$105)+SUMIF(Capacity_Resource,$E133,'Critical resources (hide)'!BL$6:BL$105)+SUMIF(Capacity_Resource,$F133,'Critical resources (hide)'!BL$6:BL$105)&gt;0,$E$1=2),0,1),0)</f>
        <v>1</v>
      </c>
      <c r="AZ133" s="67">
        <f ca="1">IF(LOWER(Capacity!$V38)="x",IF(AND(SUMIF(Capacity_Resource,$D133,'Critical resources (hide)'!BM$6:BM$105)+SUMIF(Capacity_Resource,$E133,'Critical resources (hide)'!BM$6:BM$105)+SUMIF(Capacity_Resource,$F133,'Critical resources (hide)'!BM$6:BM$105)&gt;0,$E$1=2),0,1),0)</f>
        <v>1</v>
      </c>
      <c r="BA133" s="67">
        <f ca="1">IF(LOWER(Capacity!$V38)="x",IF(AND(SUMIF(Capacity_Resource,$D133,'Critical resources (hide)'!BN$6:BN$105)+SUMIF(Capacity_Resource,$E133,'Critical resources (hide)'!BN$6:BN$105)+SUMIF(Capacity_Resource,$F133,'Critical resources (hide)'!BN$6:BN$105)&gt;0,$E$1=2),0,1),0)</f>
        <v>1</v>
      </c>
      <c r="BB133" s="67">
        <f ca="1">IF(LOWER(Capacity!$V38)="x",IF(AND(SUMIF(Capacity_Resource,$D133,'Critical resources (hide)'!BO$6:BO$105)+SUMIF(Capacity_Resource,$E133,'Critical resources (hide)'!BO$6:BO$105)+SUMIF(Capacity_Resource,$F133,'Critical resources (hide)'!BO$6:BO$105)&gt;0,$E$1=2),0,1),0)</f>
        <v>1</v>
      </c>
      <c r="BC133" s="67">
        <f ca="1">IF(LOWER(Capacity!$V38)="x",IF(AND(SUMIF(Capacity_Resource,$D133,'Critical resources (hide)'!BP$6:BP$105)+SUMIF(Capacity_Resource,$E133,'Critical resources (hide)'!BP$6:BP$105)+SUMIF(Capacity_Resource,$F133,'Critical resources (hide)'!BP$6:BP$105)&gt;0,$E$1=2),0,1),0)</f>
        <v>1</v>
      </c>
      <c r="BD133" s="67">
        <f ca="1">IF(LOWER(Capacity!$V38)="x",IF(AND(SUMIF(Capacity_Resource,$D133,'Critical resources (hide)'!BQ$6:BQ$105)+SUMIF(Capacity_Resource,$E133,'Critical resources (hide)'!BQ$6:BQ$105)+SUMIF(Capacity_Resource,$F133,'Critical resources (hide)'!BQ$6:BQ$105)&gt;0,$E$1=2),0,1),0)</f>
        <v>1</v>
      </c>
      <c r="BE133" s="67">
        <f ca="1">IF(LOWER(Capacity!$V38)="x",IF(AND(SUMIF(Capacity_Resource,$D133,'Critical resources (hide)'!BR$6:BR$105)+SUMIF(Capacity_Resource,$E133,'Critical resources (hide)'!BR$6:BR$105)+SUMIF(Capacity_Resource,$F133,'Critical resources (hide)'!BR$6:BR$105)&gt;0,$E$1=2),0,1),0)</f>
        <v>1</v>
      </c>
      <c r="BF133" s="67">
        <f ca="1">IF(LOWER(Capacity!$V38)="x",IF(AND(SUMIF(Capacity_Resource,$D133,'Critical resources (hide)'!BS$6:BS$105)+SUMIF(Capacity_Resource,$E133,'Critical resources (hide)'!BS$6:BS$105)+SUMIF(Capacity_Resource,$F133,'Critical resources (hide)'!BS$6:BS$105)&gt;0,$E$1=2),0,1),0)</f>
        <v>1</v>
      </c>
      <c r="BG133" s="67">
        <f ca="1">IF(LOWER(Capacity!$V38)="x",IF(AND(SUMIF(Capacity_Resource,$D133,'Critical resources (hide)'!BT$6:BT$105)+SUMIF(Capacity_Resource,$E133,'Critical resources (hide)'!BT$6:BT$105)+SUMIF(Capacity_Resource,$F133,'Critical resources (hide)'!BT$6:BT$105)&gt;0,$E$1=2),0,1),0)</f>
        <v>1</v>
      </c>
      <c r="BH133" s="67">
        <f>IF(ROW(A22)&lt;=Capacity!$M$16,IF('Capacity summary'!$C$14="No",SUM(H133:BG133),'Capacity summary'!$E45),0)</f>
        <v>0</v>
      </c>
      <c r="BI133" s="67" t="str">
        <f>IF(BH133&gt;0,IF(BH133&lt;Capacity!Q38,Capacity!R38,Capacity!T38/'Capacity calculation (hide)'!BH133),"")</f>
        <v/>
      </c>
      <c r="BJ133" s="5"/>
      <c r="BK133" s="5">
        <f>IF($BI133&lt;&gt;"",IF('Capacity summary'!$C$14="Yes",IF(COUNTBLANK('Capacity summary'!$H45:$BG45)&lt;52,IF('Capacity summary'!H45&lt;&gt;"",IF(LOWER('Capacity summary'!H45)="x",$BI133*H133,VALUE('Capacity summary'!H45)),0),H133*$BI133),H133*$BI133),0)</f>
        <v>0</v>
      </c>
      <c r="BL133" s="5">
        <f>IF($BI133&lt;&gt;"",IF('Capacity summary'!$C$14="Yes",IF(COUNTBLANK('Capacity summary'!$H45:$BG45)&lt;52,IF('Capacity summary'!I45&lt;&gt;"",IF(LOWER('Capacity summary'!I45)="x",$BI133*I133,VALUE('Capacity summary'!I45)),0),I133*$BI133),I133*$BI133),0)</f>
        <v>0</v>
      </c>
      <c r="BM133" s="5">
        <f>IF($BI133&lt;&gt;"",IF('Capacity summary'!$C$14="Yes",IF(COUNTBLANK('Capacity summary'!$H45:$BG45)&lt;52,IF('Capacity summary'!J45&lt;&gt;"",IF(LOWER('Capacity summary'!J45)="x",$BI133*J133,VALUE('Capacity summary'!J45)),0),J133*$BI133),J133*$BI133),0)</f>
        <v>0</v>
      </c>
      <c r="BN133" s="5">
        <f>IF($BI133&lt;&gt;"",IF('Capacity summary'!$C$14="Yes",IF(COUNTBLANK('Capacity summary'!$H45:$BG45)&lt;52,IF('Capacity summary'!K45&lt;&gt;"",IF(LOWER('Capacity summary'!K45)="x",$BI133*K133,VALUE('Capacity summary'!K45)),0),K133*$BI133),K133*$BI133),0)</f>
        <v>0</v>
      </c>
      <c r="BO133" s="5">
        <f>IF($BI133&lt;&gt;"",IF('Capacity summary'!$C$14="Yes",IF(COUNTBLANK('Capacity summary'!$H45:$BG45)&lt;52,IF('Capacity summary'!L45&lt;&gt;"",IF(LOWER('Capacity summary'!L45)="x",$BI133*L133,VALUE('Capacity summary'!L45)),0),L133*$BI133),L133*$BI133),0)</f>
        <v>0</v>
      </c>
      <c r="BP133" s="5">
        <f>IF($BI133&lt;&gt;"",IF('Capacity summary'!$C$14="Yes",IF(COUNTBLANK('Capacity summary'!$H45:$BG45)&lt;52,IF('Capacity summary'!M45&lt;&gt;"",IF(LOWER('Capacity summary'!M45)="x",$BI133*M133,VALUE('Capacity summary'!M45)),0),M133*$BI133),M133*$BI133),0)</f>
        <v>0</v>
      </c>
      <c r="BQ133" s="5">
        <f>IF($BI133&lt;&gt;"",IF('Capacity summary'!$C$14="Yes",IF(COUNTBLANK('Capacity summary'!$H45:$BG45)&lt;52,IF('Capacity summary'!N45&lt;&gt;"",IF(LOWER('Capacity summary'!N45)="x",$BI133*N133,VALUE('Capacity summary'!N45)),0),N133*$BI133),N133*$BI133),0)</f>
        <v>0</v>
      </c>
      <c r="BR133" s="5">
        <f>IF($BI133&lt;&gt;"",IF('Capacity summary'!$C$14="Yes",IF(COUNTBLANK('Capacity summary'!$H45:$BG45)&lt;52,IF('Capacity summary'!O45&lt;&gt;"",IF(LOWER('Capacity summary'!O45)="x",$BI133*O133,VALUE('Capacity summary'!O45)),0),O133*$BI133),O133*$BI133),0)</f>
        <v>0</v>
      </c>
      <c r="BS133" s="5">
        <f>IF($BI133&lt;&gt;"",IF('Capacity summary'!$C$14="Yes",IF(COUNTBLANK('Capacity summary'!$H45:$BG45)&lt;52,IF('Capacity summary'!P45&lt;&gt;"",IF(LOWER('Capacity summary'!P45)="x",$BI133*P133,VALUE('Capacity summary'!P45)),0),P133*$BI133),P133*$BI133),0)</f>
        <v>0</v>
      </c>
      <c r="BT133" s="5">
        <f>IF($BI133&lt;&gt;"",IF('Capacity summary'!$C$14="Yes",IF(COUNTBLANK('Capacity summary'!$H45:$BG45)&lt;52,IF('Capacity summary'!Q45&lt;&gt;"",IF(LOWER('Capacity summary'!Q45)="x",$BI133*Q133,VALUE('Capacity summary'!Q45)),0),Q133*$BI133),Q133*$BI133),0)</f>
        <v>0</v>
      </c>
      <c r="BU133" s="5">
        <f>IF($BI133&lt;&gt;"",IF('Capacity summary'!$C$14="Yes",IF(COUNTBLANK('Capacity summary'!$H45:$BG45)&lt;52,IF('Capacity summary'!R45&lt;&gt;"",IF(LOWER('Capacity summary'!R45)="x",$BI133*R133,VALUE('Capacity summary'!R45)),0),R133*$BI133),R133*$BI133),0)</f>
        <v>0</v>
      </c>
      <c r="BV133" s="5">
        <f>IF($BI133&lt;&gt;"",IF('Capacity summary'!$C$14="Yes",IF(COUNTBLANK('Capacity summary'!$H45:$BG45)&lt;52,IF('Capacity summary'!S45&lt;&gt;"",IF(LOWER('Capacity summary'!S45)="x",$BI133*S133,VALUE('Capacity summary'!S45)),0),S133*$BI133),S133*$BI133),0)</f>
        <v>0</v>
      </c>
      <c r="BW133" s="5">
        <f>IF($BI133&lt;&gt;"",IF('Capacity summary'!$C$14="Yes",IF(COUNTBLANK('Capacity summary'!$H45:$BG45)&lt;52,IF('Capacity summary'!T45&lt;&gt;"",IF(LOWER('Capacity summary'!T45)="x",$BI133*T133,VALUE('Capacity summary'!T45)),0),T133*$BI133),T133*$BI133),0)</f>
        <v>0</v>
      </c>
      <c r="BX133" s="5">
        <f>IF($BI133&lt;&gt;"",IF('Capacity summary'!$C$14="Yes",IF(COUNTBLANK('Capacity summary'!$H45:$BG45)&lt;52,IF('Capacity summary'!U45&lt;&gt;"",IF(LOWER('Capacity summary'!U45)="x",$BI133*U133,VALUE('Capacity summary'!U45)),0),U133*$BI133),U133*$BI133),0)</f>
        <v>0</v>
      </c>
      <c r="BY133" s="5">
        <f>IF($BI133&lt;&gt;"",IF('Capacity summary'!$C$14="Yes",IF(COUNTBLANK('Capacity summary'!$H45:$BG45)&lt;52,IF('Capacity summary'!V45&lt;&gt;"",IF(LOWER('Capacity summary'!V45)="x",$BI133*V133,VALUE('Capacity summary'!V45)),0),V133*$BI133),V133*$BI133),0)</f>
        <v>0</v>
      </c>
      <c r="BZ133" s="5">
        <f>IF($BI133&lt;&gt;"",IF('Capacity summary'!$C$14="Yes",IF(COUNTBLANK('Capacity summary'!$H45:$BG45)&lt;52,IF('Capacity summary'!W45&lt;&gt;"",IF(LOWER('Capacity summary'!W45)="x",$BI133*W133,VALUE('Capacity summary'!W45)),0),W133*$BI133),W133*$BI133),0)</f>
        <v>0</v>
      </c>
      <c r="CA133" s="5">
        <f>IF($BI133&lt;&gt;"",IF('Capacity summary'!$C$14="Yes",IF(COUNTBLANK('Capacity summary'!$H45:$BG45)&lt;52,IF('Capacity summary'!X45&lt;&gt;"",IF(LOWER('Capacity summary'!X45)="x",$BI133*X133,VALUE('Capacity summary'!X45)),0),X133*$BI133),X133*$BI133),0)</f>
        <v>0</v>
      </c>
      <c r="CB133" s="5">
        <f>IF($BI133&lt;&gt;"",IF('Capacity summary'!$C$14="Yes",IF(COUNTBLANK('Capacity summary'!$H45:$BG45)&lt;52,IF('Capacity summary'!Y45&lt;&gt;"",IF(LOWER('Capacity summary'!Y45)="x",$BI133*Y133,VALUE('Capacity summary'!Y45)),0),Y133*$BI133),Y133*$BI133),0)</f>
        <v>0</v>
      </c>
      <c r="CC133" s="5">
        <f>IF($BI133&lt;&gt;"",IF('Capacity summary'!$C$14="Yes",IF(COUNTBLANK('Capacity summary'!$H45:$BG45)&lt;52,IF('Capacity summary'!Z45&lt;&gt;"",IF(LOWER('Capacity summary'!Z45)="x",$BI133*Z133,VALUE('Capacity summary'!Z45)),0),Z133*$BI133),Z133*$BI133),0)</f>
        <v>0</v>
      </c>
      <c r="CD133" s="5">
        <f>IF($BI133&lt;&gt;"",IF('Capacity summary'!$C$14="Yes",IF(COUNTBLANK('Capacity summary'!$H45:$BG45)&lt;52,IF('Capacity summary'!AA45&lt;&gt;"",IF(LOWER('Capacity summary'!AA45)="x",$BI133*AA133,VALUE('Capacity summary'!AA45)),0),AA133*$BI133),AA133*$BI133),0)</f>
        <v>0</v>
      </c>
      <c r="CE133" s="5">
        <f>IF($BI133&lt;&gt;"",IF('Capacity summary'!$C$14="Yes",IF(COUNTBLANK('Capacity summary'!$H45:$BG45)&lt;52,IF('Capacity summary'!AB45&lt;&gt;"",IF(LOWER('Capacity summary'!AB45)="x",$BI133*AB133,VALUE('Capacity summary'!AB45)),0),AB133*$BI133),AB133*$BI133),0)</f>
        <v>0</v>
      </c>
      <c r="CF133" s="5">
        <f>IF($BI133&lt;&gt;"",IF('Capacity summary'!$C$14="Yes",IF(COUNTBLANK('Capacity summary'!$H45:$BG45)&lt;52,IF('Capacity summary'!AC45&lt;&gt;"",IF(LOWER('Capacity summary'!AC45)="x",$BI133*AC133,VALUE('Capacity summary'!AC45)),0),AC133*$BI133),AC133*$BI133),0)</f>
        <v>0</v>
      </c>
      <c r="CG133" s="5">
        <f>IF($BI133&lt;&gt;"",IF('Capacity summary'!$C$14="Yes",IF(COUNTBLANK('Capacity summary'!$H45:$BG45)&lt;52,IF('Capacity summary'!AD45&lt;&gt;"",IF(LOWER('Capacity summary'!AD45)="x",$BI133*AD133,VALUE('Capacity summary'!AD45)),0),AD133*$BI133),AD133*$BI133),0)</f>
        <v>0</v>
      </c>
      <c r="CH133" s="5">
        <f>IF($BI133&lt;&gt;"",IF('Capacity summary'!$C$14="Yes",IF(COUNTBLANK('Capacity summary'!$H45:$BG45)&lt;52,IF('Capacity summary'!AE45&lt;&gt;"",IF(LOWER('Capacity summary'!AE45)="x",$BI133*AE133,VALUE('Capacity summary'!AE45)),0),AE133*$BI133),AE133*$BI133),0)</f>
        <v>0</v>
      </c>
      <c r="CI133" s="5">
        <f>IF($BI133&lt;&gt;"",IF('Capacity summary'!$C$14="Yes",IF(COUNTBLANK('Capacity summary'!$H45:$BG45)&lt;52,IF('Capacity summary'!AF45&lt;&gt;"",IF(LOWER('Capacity summary'!AF45)="x",$BI133*AF133,VALUE('Capacity summary'!AF45)),0),AF133*$BI133),AF133*$BI133),0)</f>
        <v>0</v>
      </c>
      <c r="CJ133" s="5">
        <f>IF($BI133&lt;&gt;"",IF('Capacity summary'!$C$14="Yes",IF(COUNTBLANK('Capacity summary'!$H45:$BG45)&lt;52,IF('Capacity summary'!AG45&lt;&gt;"",IF(LOWER('Capacity summary'!AG45)="x",$BI133*AG133,VALUE('Capacity summary'!AG45)),0),AG133*$BI133),AG133*$BI133),0)</f>
        <v>0</v>
      </c>
      <c r="CK133" s="5">
        <f>IF($BI133&lt;&gt;"",IF('Capacity summary'!$C$14="Yes",IF(COUNTBLANK('Capacity summary'!$H45:$BG45)&lt;52,IF('Capacity summary'!AH45&lt;&gt;"",IF(LOWER('Capacity summary'!AH45)="x",$BI133*AH133,VALUE('Capacity summary'!AH45)),0),AH133*$BI133),AH133*$BI133),0)</f>
        <v>0</v>
      </c>
      <c r="CL133" s="5">
        <f>IF($BI133&lt;&gt;"",IF('Capacity summary'!$C$14="Yes",IF(COUNTBLANK('Capacity summary'!$H45:$BG45)&lt;52,IF('Capacity summary'!AI45&lt;&gt;"",IF(LOWER('Capacity summary'!AI45)="x",$BI133*AI133,VALUE('Capacity summary'!AI45)),0),AI133*$BI133),AI133*$BI133),0)</f>
        <v>0</v>
      </c>
      <c r="CM133" s="5">
        <f>IF($BI133&lt;&gt;"",IF('Capacity summary'!$C$14="Yes",IF(COUNTBLANK('Capacity summary'!$H45:$BG45)&lt;52,IF('Capacity summary'!AJ45&lt;&gt;"",IF(LOWER('Capacity summary'!AJ45)="x",$BI133*AJ133,VALUE('Capacity summary'!AJ45)),0),AJ133*$BI133),AJ133*$BI133),0)</f>
        <v>0</v>
      </c>
      <c r="CN133" s="5">
        <f>IF($BI133&lt;&gt;"",IF('Capacity summary'!$C$14="Yes",IF(COUNTBLANK('Capacity summary'!$H45:$BG45)&lt;52,IF('Capacity summary'!AK45&lt;&gt;"",IF(LOWER('Capacity summary'!AK45)="x",$BI133*AK133,VALUE('Capacity summary'!AK45)),0),AK133*$BI133),AK133*$BI133),0)</f>
        <v>0</v>
      </c>
      <c r="CO133" s="5">
        <f>IF($BI133&lt;&gt;"",IF('Capacity summary'!$C$14="Yes",IF(COUNTBLANK('Capacity summary'!$H45:$BG45)&lt;52,IF('Capacity summary'!AL45&lt;&gt;"",IF(LOWER('Capacity summary'!AL45)="x",$BI133*AL133,VALUE('Capacity summary'!AL45)),0),AL133*$BI133),AL133*$BI133),0)</f>
        <v>0</v>
      </c>
      <c r="CP133" s="5">
        <f>IF($BI133&lt;&gt;"",IF('Capacity summary'!$C$14="Yes",IF(COUNTBLANK('Capacity summary'!$H45:$BG45)&lt;52,IF('Capacity summary'!AM45&lt;&gt;"",IF(LOWER('Capacity summary'!AM45)="x",$BI133*AM133,VALUE('Capacity summary'!AM45)),0),AM133*$BI133),AM133*$BI133),0)</f>
        <v>0</v>
      </c>
      <c r="CQ133" s="5">
        <f>IF($BI133&lt;&gt;"",IF('Capacity summary'!$C$14="Yes",IF(COUNTBLANK('Capacity summary'!$H45:$BG45)&lt;52,IF('Capacity summary'!AN45&lt;&gt;"",IF(LOWER('Capacity summary'!AN45)="x",$BI133*AN133,VALUE('Capacity summary'!AN45)),0),AN133*$BI133),AN133*$BI133),0)</f>
        <v>0</v>
      </c>
      <c r="CR133" s="5">
        <f>IF($BI133&lt;&gt;"",IF('Capacity summary'!$C$14="Yes",IF(COUNTBLANK('Capacity summary'!$H45:$BG45)&lt;52,IF('Capacity summary'!AO45&lt;&gt;"",IF(LOWER('Capacity summary'!AO45)="x",$BI133*AO133,VALUE('Capacity summary'!AO45)),0),AO133*$BI133),AO133*$BI133),0)</f>
        <v>0</v>
      </c>
      <c r="CS133" s="5">
        <f>IF($BI133&lt;&gt;"",IF('Capacity summary'!$C$14="Yes",IF(COUNTBLANK('Capacity summary'!$H45:$BG45)&lt;52,IF('Capacity summary'!AP45&lt;&gt;"",IF(LOWER('Capacity summary'!AP45)="x",$BI133*AP133,VALUE('Capacity summary'!AP45)),0),AP133*$BI133),AP133*$BI133),0)</f>
        <v>0</v>
      </c>
      <c r="CT133" s="5">
        <f>IF($BI133&lt;&gt;"",IF('Capacity summary'!$C$14="Yes",IF(COUNTBLANK('Capacity summary'!$H45:$BG45)&lt;52,IF('Capacity summary'!AQ45&lt;&gt;"",IF(LOWER('Capacity summary'!AQ45)="x",$BI133*AQ133,VALUE('Capacity summary'!AQ45)),0),AQ133*$BI133),AQ133*$BI133),0)</f>
        <v>0</v>
      </c>
      <c r="CU133" s="5">
        <f>IF($BI133&lt;&gt;"",IF('Capacity summary'!$C$14="Yes",IF(COUNTBLANK('Capacity summary'!$H45:$BG45)&lt;52,IF('Capacity summary'!AR45&lt;&gt;"",IF(LOWER('Capacity summary'!AR45)="x",$BI133*AR133,VALUE('Capacity summary'!AR45)),0),AR133*$BI133),AR133*$BI133),0)</f>
        <v>0</v>
      </c>
      <c r="CV133" s="5">
        <f>IF($BI133&lt;&gt;"",IF('Capacity summary'!$C$14="Yes",IF(COUNTBLANK('Capacity summary'!$H45:$BG45)&lt;52,IF('Capacity summary'!AS45&lt;&gt;"",IF(LOWER('Capacity summary'!AS45)="x",$BI133*AS133,VALUE('Capacity summary'!AS45)),0),AS133*$BI133),AS133*$BI133),0)</f>
        <v>0</v>
      </c>
      <c r="CW133" s="5">
        <f>IF($BI133&lt;&gt;"",IF('Capacity summary'!$C$14="Yes",IF(COUNTBLANK('Capacity summary'!$H45:$BG45)&lt;52,IF('Capacity summary'!AT45&lt;&gt;"",IF(LOWER('Capacity summary'!AT45)="x",$BI133*AT133,VALUE('Capacity summary'!AT45)),0),AT133*$BI133),AT133*$BI133),0)</f>
        <v>0</v>
      </c>
      <c r="CX133" s="5">
        <f>IF($BI133&lt;&gt;"",IF('Capacity summary'!$C$14="Yes",IF(COUNTBLANK('Capacity summary'!$H45:$BG45)&lt;52,IF('Capacity summary'!AU45&lt;&gt;"",IF(LOWER('Capacity summary'!AU45)="x",$BI133*AU133,VALUE('Capacity summary'!AU45)),0),AU133*$BI133),AU133*$BI133),0)</f>
        <v>0</v>
      </c>
      <c r="CY133" s="5">
        <f>IF($BI133&lt;&gt;"",IF('Capacity summary'!$C$14="Yes",IF(COUNTBLANK('Capacity summary'!$H45:$BG45)&lt;52,IF('Capacity summary'!AV45&lt;&gt;"",IF(LOWER('Capacity summary'!AV45)="x",$BI133*AV133,VALUE('Capacity summary'!AV45)),0),AV133*$BI133),AV133*$BI133),0)</f>
        <v>0</v>
      </c>
      <c r="CZ133" s="5">
        <f>IF($BI133&lt;&gt;"",IF('Capacity summary'!$C$14="Yes",IF(COUNTBLANK('Capacity summary'!$H45:$BG45)&lt;52,IF('Capacity summary'!AW45&lt;&gt;"",IF(LOWER('Capacity summary'!AW45)="x",$BI133*AW133,VALUE('Capacity summary'!AW45)),0),AW133*$BI133),AW133*$BI133),0)</f>
        <v>0</v>
      </c>
      <c r="DA133" s="5">
        <f>IF($BI133&lt;&gt;"",IF('Capacity summary'!$C$14="Yes",IF(COUNTBLANK('Capacity summary'!$H45:$BG45)&lt;52,IF('Capacity summary'!AX45&lt;&gt;"",IF(LOWER('Capacity summary'!AX45)="x",$BI133*AX133,VALUE('Capacity summary'!AX45)),0),AX133*$BI133),AX133*$BI133),0)</f>
        <v>0</v>
      </c>
      <c r="DB133" s="5">
        <f>IF($BI133&lt;&gt;"",IF('Capacity summary'!$C$14="Yes",IF(COUNTBLANK('Capacity summary'!$H45:$BG45)&lt;52,IF('Capacity summary'!AY45&lt;&gt;"",IF(LOWER('Capacity summary'!AY45)="x",$BI133*AY133,VALUE('Capacity summary'!AY45)),0),AY133*$BI133),AY133*$BI133),0)</f>
        <v>0</v>
      </c>
      <c r="DC133" s="5">
        <f>IF($BI133&lt;&gt;"",IF('Capacity summary'!$C$14="Yes",IF(COUNTBLANK('Capacity summary'!$H45:$BG45)&lt;52,IF('Capacity summary'!AZ45&lt;&gt;"",IF(LOWER('Capacity summary'!AZ45)="x",$BI133*AZ133,VALUE('Capacity summary'!AZ45)),0),AZ133*$BI133),AZ133*$BI133),0)</f>
        <v>0</v>
      </c>
      <c r="DD133" s="5">
        <f>IF($BI133&lt;&gt;"",IF('Capacity summary'!$C$14="Yes",IF(COUNTBLANK('Capacity summary'!$H45:$BG45)&lt;52,IF('Capacity summary'!BA45&lt;&gt;"",IF(LOWER('Capacity summary'!BA45)="x",$BI133*BA133,VALUE('Capacity summary'!BA45)),0),BA133*$BI133),BA133*$BI133),0)</f>
        <v>0</v>
      </c>
      <c r="DE133" s="5">
        <f>IF($BI133&lt;&gt;"",IF('Capacity summary'!$C$14="Yes",IF(COUNTBLANK('Capacity summary'!$H45:$BG45)&lt;52,IF('Capacity summary'!BB45&lt;&gt;"",IF(LOWER('Capacity summary'!BB45)="x",$BI133*BB133,VALUE('Capacity summary'!BB45)),0),BB133*$BI133),BB133*$BI133),0)</f>
        <v>0</v>
      </c>
      <c r="DF133" s="5">
        <f>IF($BI133&lt;&gt;"",IF('Capacity summary'!$C$14="Yes",IF(COUNTBLANK('Capacity summary'!$H45:$BG45)&lt;52,IF('Capacity summary'!BC45&lt;&gt;"",IF(LOWER('Capacity summary'!BC45)="x",$BI133*BC133,VALUE('Capacity summary'!BC45)),0),BC133*$BI133),BC133*$BI133),0)</f>
        <v>0</v>
      </c>
      <c r="DG133" s="5">
        <f>IF($BI133&lt;&gt;"",IF('Capacity summary'!$C$14="Yes",IF(COUNTBLANK('Capacity summary'!$H45:$BG45)&lt;52,IF('Capacity summary'!BD45&lt;&gt;"",IF(LOWER('Capacity summary'!BD45)="x",$BI133*BD133,VALUE('Capacity summary'!BD45)),0),BD133*$BI133),BD133*$BI133),0)</f>
        <v>0</v>
      </c>
      <c r="DH133" s="5">
        <f>IF($BI133&lt;&gt;"",IF('Capacity summary'!$C$14="Yes",IF(COUNTBLANK('Capacity summary'!$H45:$BG45)&lt;52,IF('Capacity summary'!BE45&lt;&gt;"",IF(LOWER('Capacity summary'!BE45)="x",$BI133*BE133,VALUE('Capacity summary'!BE45)),0),BE133*$BI133),BE133*$BI133),0)</f>
        <v>0</v>
      </c>
      <c r="DI133" s="5">
        <f>IF($BI133&lt;&gt;"",IF('Capacity summary'!$C$14="Yes",IF(COUNTBLANK('Capacity summary'!$H45:$BG45)&lt;52,IF('Capacity summary'!BF45&lt;&gt;"",IF(LOWER('Capacity summary'!BF45)="x",$BI133*BF133,VALUE('Capacity summary'!BF45)),0),BF133*$BI133),BF133*$BI133),0)</f>
        <v>0</v>
      </c>
      <c r="DJ133" s="5">
        <f>IF($BI133&lt;&gt;"",IF('Capacity summary'!$C$14="Yes",IF(COUNTBLANK('Capacity summary'!$H45:$BG45)&lt;52,IF('Capacity summary'!BG45&lt;&gt;"",IF(LOWER('Capacity summary'!BG45)="x",$BI133*BG133,VALUE('Capacity summary'!BG45)),0),BG133*$BI133),BG133*$BI133),0)</f>
        <v>0</v>
      </c>
      <c r="DK133" s="391">
        <f t="shared" si="8"/>
        <v>0</v>
      </c>
      <c r="DL133" s="5">
        <f t="shared" si="9"/>
        <v>0</v>
      </c>
    </row>
    <row r="134" spans="3:116" x14ac:dyDescent="0.2">
      <c r="C134" s="67" t="str">
        <f>ROW(A23)&amp;". "&amp;Capacity!N39</f>
        <v xml:space="preserve">23. </v>
      </c>
      <c r="D134" s="67">
        <f>'Capacity setup'!C140</f>
        <v>0</v>
      </c>
      <c r="E134" s="67">
        <f>'Capacity setup'!D140</f>
        <v>0</v>
      </c>
      <c r="F134" s="67">
        <f>'Capacity setup'!E140</f>
        <v>0</v>
      </c>
      <c r="H134" s="67">
        <f ca="1">IF(LOWER(Capacity!$V39)="x",IF(AND(SUMIF(Capacity_Resource,$D134,'Critical resources (hide)'!U$6:U$105)+SUMIF(Capacity_Resource,$E134,'Critical resources (hide)'!U$6:U$105)+SUMIF(Capacity_Resource,$F134,'Critical resources (hide)'!U$6:U$105)&gt;0,$E$1=2),0,1),0)</f>
        <v>1</v>
      </c>
      <c r="I134" s="67">
        <f ca="1">IF(LOWER(Capacity!$V39)="x",IF(AND(SUMIF(Capacity_Resource,$D134,'Critical resources (hide)'!V$6:V$105)+SUMIF(Capacity_Resource,$E134,'Critical resources (hide)'!V$6:V$105)+SUMIF(Capacity_Resource,$F134,'Critical resources (hide)'!V$6:V$105)&gt;0,$E$1=2),0,1),0)</f>
        <v>1</v>
      </c>
      <c r="J134" s="67">
        <f ca="1">IF(LOWER(Capacity!$V39)="x",IF(AND(SUMIF(Capacity_Resource,$D134,'Critical resources (hide)'!W$6:W$105)+SUMIF(Capacity_Resource,$E134,'Critical resources (hide)'!W$6:W$105)+SUMIF(Capacity_Resource,$F134,'Critical resources (hide)'!W$6:W$105)&gt;0,$E$1=2),0,1),0)</f>
        <v>1</v>
      </c>
      <c r="K134" s="67">
        <f ca="1">IF(LOWER(Capacity!$V39)="x",IF(AND(SUMIF(Capacity_Resource,$D134,'Critical resources (hide)'!X$6:X$105)+SUMIF(Capacity_Resource,$E134,'Critical resources (hide)'!X$6:X$105)+SUMIF(Capacity_Resource,$F134,'Critical resources (hide)'!X$6:X$105)&gt;0,$E$1=2),0,1),0)</f>
        <v>1</v>
      </c>
      <c r="L134" s="67">
        <f ca="1">IF(LOWER(Capacity!$V39)="x",IF(AND(SUMIF(Capacity_Resource,$D134,'Critical resources (hide)'!Y$6:Y$105)+SUMIF(Capacity_Resource,$E134,'Critical resources (hide)'!Y$6:Y$105)+SUMIF(Capacity_Resource,$F134,'Critical resources (hide)'!Y$6:Y$105)&gt;0,$E$1=2),0,1),0)</f>
        <v>1</v>
      </c>
      <c r="M134" s="67">
        <f ca="1">IF(LOWER(Capacity!$V39)="x",IF(AND(SUMIF(Capacity_Resource,$D134,'Critical resources (hide)'!Z$6:Z$105)+SUMIF(Capacity_Resource,$E134,'Critical resources (hide)'!Z$6:Z$105)+SUMIF(Capacity_Resource,$F134,'Critical resources (hide)'!Z$6:Z$105)&gt;0,$E$1=2),0,1),0)</f>
        <v>1</v>
      </c>
      <c r="N134" s="67">
        <f ca="1">IF(LOWER(Capacity!$V39)="x",IF(AND(SUMIF(Capacity_Resource,$D134,'Critical resources (hide)'!AA$6:AA$105)+SUMIF(Capacity_Resource,$E134,'Critical resources (hide)'!AA$6:AA$105)+SUMIF(Capacity_Resource,$F134,'Critical resources (hide)'!AA$6:AA$105)&gt;0,$E$1=2),0,1),0)</f>
        <v>1</v>
      </c>
      <c r="O134" s="67">
        <f ca="1">IF(LOWER(Capacity!$V39)="x",IF(AND(SUMIF(Capacity_Resource,$D134,'Critical resources (hide)'!AB$6:AB$105)+SUMIF(Capacity_Resource,$E134,'Critical resources (hide)'!AB$6:AB$105)+SUMIF(Capacity_Resource,$F134,'Critical resources (hide)'!AB$6:AB$105)&gt;0,$E$1=2),0,1),0)</f>
        <v>1</v>
      </c>
      <c r="P134" s="67">
        <f ca="1">IF(LOWER(Capacity!$V39)="x",IF(AND(SUMIF(Capacity_Resource,$D134,'Critical resources (hide)'!AC$6:AC$105)+SUMIF(Capacity_Resource,$E134,'Critical resources (hide)'!AC$6:AC$105)+SUMIF(Capacity_Resource,$F134,'Critical resources (hide)'!AC$6:AC$105)&gt;0,$E$1=2),0,1),0)</f>
        <v>1</v>
      </c>
      <c r="Q134" s="67">
        <f ca="1">IF(LOWER(Capacity!$V39)="x",IF(AND(SUMIF(Capacity_Resource,$D134,'Critical resources (hide)'!AD$6:AD$105)+SUMIF(Capacity_Resource,$E134,'Critical resources (hide)'!AD$6:AD$105)+SUMIF(Capacity_Resource,$F134,'Critical resources (hide)'!AD$6:AD$105)&gt;0,$E$1=2),0,1),0)</f>
        <v>1</v>
      </c>
      <c r="R134" s="67">
        <f ca="1">IF(LOWER(Capacity!$V39)="x",IF(AND(SUMIF(Capacity_Resource,$D134,'Critical resources (hide)'!AE$6:AE$105)+SUMIF(Capacity_Resource,$E134,'Critical resources (hide)'!AE$6:AE$105)+SUMIF(Capacity_Resource,$F134,'Critical resources (hide)'!AE$6:AE$105)&gt;0,$E$1=2),0,1),0)</f>
        <v>1</v>
      </c>
      <c r="S134" s="67">
        <f ca="1">IF(LOWER(Capacity!$V39)="x",IF(AND(SUMIF(Capacity_Resource,$D134,'Critical resources (hide)'!AF$6:AF$105)+SUMIF(Capacity_Resource,$E134,'Critical resources (hide)'!AF$6:AF$105)+SUMIF(Capacity_Resource,$F134,'Critical resources (hide)'!AF$6:AF$105)&gt;0,$E$1=2),0,1),0)</f>
        <v>1</v>
      </c>
      <c r="T134" s="67">
        <f ca="1">IF(LOWER(Capacity!$V39)="x",IF(AND(SUMIF(Capacity_Resource,$D134,'Critical resources (hide)'!AG$6:AG$105)+SUMIF(Capacity_Resource,$E134,'Critical resources (hide)'!AG$6:AG$105)+SUMIF(Capacity_Resource,$F134,'Critical resources (hide)'!AG$6:AG$105)&gt;0,$E$1=2),0,1),0)</f>
        <v>1</v>
      </c>
      <c r="U134" s="67">
        <f ca="1">IF(LOWER(Capacity!$V39)="x",IF(AND(SUMIF(Capacity_Resource,$D134,'Critical resources (hide)'!AH$6:AH$105)+SUMIF(Capacity_Resource,$E134,'Critical resources (hide)'!AH$6:AH$105)+SUMIF(Capacity_Resource,$F134,'Critical resources (hide)'!AH$6:AH$105)&gt;0,$E$1=2),0,1),0)</f>
        <v>1</v>
      </c>
      <c r="V134" s="67">
        <f ca="1">IF(LOWER(Capacity!$V39)="x",IF(AND(SUMIF(Capacity_Resource,$D134,'Critical resources (hide)'!AI$6:AI$105)+SUMIF(Capacity_Resource,$E134,'Critical resources (hide)'!AI$6:AI$105)+SUMIF(Capacity_Resource,$F134,'Critical resources (hide)'!AI$6:AI$105)&gt;0,$E$1=2),0,1),0)</f>
        <v>1</v>
      </c>
      <c r="W134" s="67">
        <f ca="1">IF(LOWER(Capacity!$V39)="x",IF(AND(SUMIF(Capacity_Resource,$D134,'Critical resources (hide)'!AJ$6:AJ$105)+SUMIF(Capacity_Resource,$E134,'Critical resources (hide)'!AJ$6:AJ$105)+SUMIF(Capacity_Resource,$F134,'Critical resources (hide)'!AJ$6:AJ$105)&gt;0,$E$1=2),0,1),0)</f>
        <v>1</v>
      </c>
      <c r="X134" s="67">
        <f ca="1">IF(LOWER(Capacity!$V39)="x",IF(AND(SUMIF(Capacity_Resource,$D134,'Critical resources (hide)'!AK$6:AK$105)+SUMIF(Capacity_Resource,$E134,'Critical resources (hide)'!AK$6:AK$105)+SUMIF(Capacity_Resource,$F134,'Critical resources (hide)'!AK$6:AK$105)&gt;0,$E$1=2),0,1),0)</f>
        <v>1</v>
      </c>
      <c r="Y134" s="67">
        <f ca="1">IF(LOWER(Capacity!$V39)="x",IF(AND(SUMIF(Capacity_Resource,$D134,'Critical resources (hide)'!AL$6:AL$105)+SUMIF(Capacity_Resource,$E134,'Critical resources (hide)'!AL$6:AL$105)+SUMIF(Capacity_Resource,$F134,'Critical resources (hide)'!AL$6:AL$105)&gt;0,$E$1=2),0,1),0)</f>
        <v>1</v>
      </c>
      <c r="Z134" s="67">
        <f ca="1">IF(LOWER(Capacity!$V39)="x",IF(AND(SUMIF(Capacity_Resource,$D134,'Critical resources (hide)'!AM$6:AM$105)+SUMIF(Capacity_Resource,$E134,'Critical resources (hide)'!AM$6:AM$105)+SUMIF(Capacity_Resource,$F134,'Critical resources (hide)'!AM$6:AM$105)&gt;0,$E$1=2),0,1),0)</f>
        <v>1</v>
      </c>
      <c r="AA134" s="67">
        <f ca="1">IF(LOWER(Capacity!$V39)="x",IF(AND(SUMIF(Capacity_Resource,$D134,'Critical resources (hide)'!AN$6:AN$105)+SUMIF(Capacity_Resource,$E134,'Critical resources (hide)'!AN$6:AN$105)+SUMIF(Capacity_Resource,$F134,'Critical resources (hide)'!AN$6:AN$105)&gt;0,$E$1=2),0,1),0)</f>
        <v>1</v>
      </c>
      <c r="AB134" s="67">
        <f ca="1">IF(LOWER(Capacity!$V39)="x",IF(AND(SUMIF(Capacity_Resource,$D134,'Critical resources (hide)'!AO$6:AO$105)+SUMIF(Capacity_Resource,$E134,'Critical resources (hide)'!AO$6:AO$105)+SUMIF(Capacity_Resource,$F134,'Critical resources (hide)'!AO$6:AO$105)&gt;0,$E$1=2),0,1),0)</f>
        <v>1</v>
      </c>
      <c r="AC134" s="67">
        <f ca="1">IF(LOWER(Capacity!$V39)="x",IF(AND(SUMIF(Capacity_Resource,$D134,'Critical resources (hide)'!AP$6:AP$105)+SUMIF(Capacity_Resource,$E134,'Critical resources (hide)'!AP$6:AP$105)+SUMIF(Capacity_Resource,$F134,'Critical resources (hide)'!AP$6:AP$105)&gt;0,$E$1=2),0,1),0)</f>
        <v>1</v>
      </c>
      <c r="AD134" s="67">
        <f ca="1">IF(LOWER(Capacity!$V39)="x",IF(AND(SUMIF(Capacity_Resource,$D134,'Critical resources (hide)'!AQ$6:AQ$105)+SUMIF(Capacity_Resource,$E134,'Critical resources (hide)'!AQ$6:AQ$105)+SUMIF(Capacity_Resource,$F134,'Critical resources (hide)'!AQ$6:AQ$105)&gt;0,$E$1=2),0,1),0)</f>
        <v>1</v>
      </c>
      <c r="AE134" s="67">
        <f ca="1">IF(LOWER(Capacity!$V39)="x",IF(AND(SUMIF(Capacity_Resource,$D134,'Critical resources (hide)'!AR$6:AR$105)+SUMIF(Capacity_Resource,$E134,'Critical resources (hide)'!AR$6:AR$105)+SUMIF(Capacity_Resource,$F134,'Critical resources (hide)'!AR$6:AR$105)&gt;0,$E$1=2),0,1),0)</f>
        <v>1</v>
      </c>
      <c r="AF134" s="67">
        <f ca="1">IF(LOWER(Capacity!$V39)="x",IF(AND(SUMIF(Capacity_Resource,$D134,'Critical resources (hide)'!AS$6:AS$105)+SUMIF(Capacity_Resource,$E134,'Critical resources (hide)'!AS$6:AS$105)+SUMIF(Capacity_Resource,$F134,'Critical resources (hide)'!AS$6:AS$105)&gt;0,$E$1=2),0,1),0)</f>
        <v>1</v>
      </c>
      <c r="AG134" s="67">
        <f ca="1">IF(LOWER(Capacity!$V39)="x",IF(AND(SUMIF(Capacity_Resource,$D134,'Critical resources (hide)'!AT$6:AT$105)+SUMIF(Capacity_Resource,$E134,'Critical resources (hide)'!AT$6:AT$105)+SUMIF(Capacity_Resource,$F134,'Critical resources (hide)'!AT$6:AT$105)&gt;0,$E$1=2),0,1),0)</f>
        <v>1</v>
      </c>
      <c r="AH134" s="67">
        <f ca="1">IF(LOWER(Capacity!$V39)="x",IF(AND(SUMIF(Capacity_Resource,$D134,'Critical resources (hide)'!AU$6:AU$105)+SUMIF(Capacity_Resource,$E134,'Critical resources (hide)'!AU$6:AU$105)+SUMIF(Capacity_Resource,$F134,'Critical resources (hide)'!AU$6:AU$105)&gt;0,$E$1=2),0,1),0)</f>
        <v>1</v>
      </c>
      <c r="AI134" s="67">
        <f ca="1">IF(LOWER(Capacity!$V39)="x",IF(AND(SUMIF(Capacity_Resource,$D134,'Critical resources (hide)'!AV$6:AV$105)+SUMIF(Capacity_Resource,$E134,'Critical resources (hide)'!AV$6:AV$105)+SUMIF(Capacity_Resource,$F134,'Critical resources (hide)'!AV$6:AV$105)&gt;0,$E$1=2),0,1),0)</f>
        <v>1</v>
      </c>
      <c r="AJ134" s="67">
        <f ca="1">IF(LOWER(Capacity!$V39)="x",IF(AND(SUMIF(Capacity_Resource,$D134,'Critical resources (hide)'!AW$6:AW$105)+SUMIF(Capacity_Resource,$E134,'Critical resources (hide)'!AW$6:AW$105)+SUMIF(Capacity_Resource,$F134,'Critical resources (hide)'!AW$6:AW$105)&gt;0,$E$1=2),0,1),0)</f>
        <v>1</v>
      </c>
      <c r="AK134" s="67">
        <f ca="1">IF(LOWER(Capacity!$V39)="x",IF(AND(SUMIF(Capacity_Resource,$D134,'Critical resources (hide)'!AX$6:AX$105)+SUMIF(Capacity_Resource,$E134,'Critical resources (hide)'!AX$6:AX$105)+SUMIF(Capacity_Resource,$F134,'Critical resources (hide)'!AX$6:AX$105)&gt;0,$E$1=2),0,1),0)</f>
        <v>1</v>
      </c>
      <c r="AL134" s="67">
        <f ca="1">IF(LOWER(Capacity!$V39)="x",IF(AND(SUMIF(Capacity_Resource,$D134,'Critical resources (hide)'!AY$6:AY$105)+SUMIF(Capacity_Resource,$E134,'Critical resources (hide)'!AY$6:AY$105)+SUMIF(Capacity_Resource,$F134,'Critical resources (hide)'!AY$6:AY$105)&gt;0,$E$1=2),0,1),0)</f>
        <v>1</v>
      </c>
      <c r="AM134" s="67">
        <f ca="1">IF(LOWER(Capacity!$V39)="x",IF(AND(SUMIF(Capacity_Resource,$D134,'Critical resources (hide)'!AZ$6:AZ$105)+SUMIF(Capacity_Resource,$E134,'Critical resources (hide)'!AZ$6:AZ$105)+SUMIF(Capacity_Resource,$F134,'Critical resources (hide)'!AZ$6:AZ$105)&gt;0,$E$1=2),0,1),0)</f>
        <v>1</v>
      </c>
      <c r="AN134" s="67">
        <f ca="1">IF(LOWER(Capacity!$V39)="x",IF(AND(SUMIF(Capacity_Resource,$D134,'Critical resources (hide)'!BA$6:BA$105)+SUMIF(Capacity_Resource,$E134,'Critical resources (hide)'!BA$6:BA$105)+SUMIF(Capacity_Resource,$F134,'Critical resources (hide)'!BA$6:BA$105)&gt;0,$E$1=2),0,1),0)</f>
        <v>1</v>
      </c>
      <c r="AO134" s="67">
        <f ca="1">IF(LOWER(Capacity!$V39)="x",IF(AND(SUMIF(Capacity_Resource,$D134,'Critical resources (hide)'!BB$6:BB$105)+SUMIF(Capacity_Resource,$E134,'Critical resources (hide)'!BB$6:BB$105)+SUMIF(Capacity_Resource,$F134,'Critical resources (hide)'!BB$6:BB$105)&gt;0,$E$1=2),0,1),0)</f>
        <v>1</v>
      </c>
      <c r="AP134" s="67">
        <f ca="1">IF(LOWER(Capacity!$V39)="x",IF(AND(SUMIF(Capacity_Resource,$D134,'Critical resources (hide)'!BC$6:BC$105)+SUMIF(Capacity_Resource,$E134,'Critical resources (hide)'!BC$6:BC$105)+SUMIF(Capacity_Resource,$F134,'Critical resources (hide)'!BC$6:BC$105)&gt;0,$E$1=2),0,1),0)</f>
        <v>1</v>
      </c>
      <c r="AQ134" s="67">
        <f ca="1">IF(LOWER(Capacity!$V39)="x",IF(AND(SUMIF(Capacity_Resource,$D134,'Critical resources (hide)'!BD$6:BD$105)+SUMIF(Capacity_Resource,$E134,'Critical resources (hide)'!BD$6:BD$105)+SUMIF(Capacity_Resource,$F134,'Critical resources (hide)'!BD$6:BD$105)&gt;0,$E$1=2),0,1),0)</f>
        <v>1</v>
      </c>
      <c r="AR134" s="67">
        <f ca="1">IF(LOWER(Capacity!$V39)="x",IF(AND(SUMIF(Capacity_Resource,$D134,'Critical resources (hide)'!BE$6:BE$105)+SUMIF(Capacity_Resource,$E134,'Critical resources (hide)'!BE$6:BE$105)+SUMIF(Capacity_Resource,$F134,'Critical resources (hide)'!BE$6:BE$105)&gt;0,$E$1=2),0,1),0)</f>
        <v>1</v>
      </c>
      <c r="AS134" s="67">
        <f ca="1">IF(LOWER(Capacity!$V39)="x",IF(AND(SUMIF(Capacity_Resource,$D134,'Critical resources (hide)'!BF$6:BF$105)+SUMIF(Capacity_Resource,$E134,'Critical resources (hide)'!BF$6:BF$105)+SUMIF(Capacity_Resource,$F134,'Critical resources (hide)'!BF$6:BF$105)&gt;0,$E$1=2),0,1),0)</f>
        <v>1</v>
      </c>
      <c r="AT134" s="67">
        <f ca="1">IF(LOWER(Capacity!$V39)="x",IF(AND(SUMIF(Capacity_Resource,$D134,'Critical resources (hide)'!BG$6:BG$105)+SUMIF(Capacity_Resource,$E134,'Critical resources (hide)'!BG$6:BG$105)+SUMIF(Capacity_Resource,$F134,'Critical resources (hide)'!BG$6:BG$105)&gt;0,$E$1=2),0,1),0)</f>
        <v>1</v>
      </c>
      <c r="AU134" s="67">
        <f ca="1">IF(LOWER(Capacity!$V39)="x",IF(AND(SUMIF(Capacity_Resource,$D134,'Critical resources (hide)'!BH$6:BH$105)+SUMIF(Capacity_Resource,$E134,'Critical resources (hide)'!BH$6:BH$105)+SUMIF(Capacity_Resource,$F134,'Critical resources (hide)'!BH$6:BH$105)&gt;0,$E$1=2),0,1),0)</f>
        <v>1</v>
      </c>
      <c r="AV134" s="67">
        <f ca="1">IF(LOWER(Capacity!$V39)="x",IF(AND(SUMIF(Capacity_Resource,$D134,'Critical resources (hide)'!BI$6:BI$105)+SUMIF(Capacity_Resource,$E134,'Critical resources (hide)'!BI$6:BI$105)+SUMIF(Capacity_Resource,$F134,'Critical resources (hide)'!BI$6:BI$105)&gt;0,$E$1=2),0,1),0)</f>
        <v>1</v>
      </c>
      <c r="AW134" s="67">
        <f ca="1">IF(LOWER(Capacity!$V39)="x",IF(AND(SUMIF(Capacity_Resource,$D134,'Critical resources (hide)'!BJ$6:BJ$105)+SUMIF(Capacity_Resource,$E134,'Critical resources (hide)'!BJ$6:BJ$105)+SUMIF(Capacity_Resource,$F134,'Critical resources (hide)'!BJ$6:BJ$105)&gt;0,$E$1=2),0,1),0)</f>
        <v>1</v>
      </c>
      <c r="AX134" s="67">
        <f ca="1">IF(LOWER(Capacity!$V39)="x",IF(AND(SUMIF(Capacity_Resource,$D134,'Critical resources (hide)'!BK$6:BK$105)+SUMIF(Capacity_Resource,$E134,'Critical resources (hide)'!BK$6:BK$105)+SUMIF(Capacity_Resource,$F134,'Critical resources (hide)'!BK$6:BK$105)&gt;0,$E$1=2),0,1),0)</f>
        <v>1</v>
      </c>
      <c r="AY134" s="67">
        <f ca="1">IF(LOWER(Capacity!$V39)="x",IF(AND(SUMIF(Capacity_Resource,$D134,'Critical resources (hide)'!BL$6:BL$105)+SUMIF(Capacity_Resource,$E134,'Critical resources (hide)'!BL$6:BL$105)+SUMIF(Capacity_Resource,$F134,'Critical resources (hide)'!BL$6:BL$105)&gt;0,$E$1=2),0,1),0)</f>
        <v>1</v>
      </c>
      <c r="AZ134" s="67">
        <f ca="1">IF(LOWER(Capacity!$V39)="x",IF(AND(SUMIF(Capacity_Resource,$D134,'Critical resources (hide)'!BM$6:BM$105)+SUMIF(Capacity_Resource,$E134,'Critical resources (hide)'!BM$6:BM$105)+SUMIF(Capacity_Resource,$F134,'Critical resources (hide)'!BM$6:BM$105)&gt;0,$E$1=2),0,1),0)</f>
        <v>1</v>
      </c>
      <c r="BA134" s="67">
        <f ca="1">IF(LOWER(Capacity!$V39)="x",IF(AND(SUMIF(Capacity_Resource,$D134,'Critical resources (hide)'!BN$6:BN$105)+SUMIF(Capacity_Resource,$E134,'Critical resources (hide)'!BN$6:BN$105)+SUMIF(Capacity_Resource,$F134,'Critical resources (hide)'!BN$6:BN$105)&gt;0,$E$1=2),0,1),0)</f>
        <v>1</v>
      </c>
      <c r="BB134" s="67">
        <f ca="1">IF(LOWER(Capacity!$V39)="x",IF(AND(SUMIF(Capacity_Resource,$D134,'Critical resources (hide)'!BO$6:BO$105)+SUMIF(Capacity_Resource,$E134,'Critical resources (hide)'!BO$6:BO$105)+SUMIF(Capacity_Resource,$F134,'Critical resources (hide)'!BO$6:BO$105)&gt;0,$E$1=2),0,1),0)</f>
        <v>1</v>
      </c>
      <c r="BC134" s="67">
        <f ca="1">IF(LOWER(Capacity!$V39)="x",IF(AND(SUMIF(Capacity_Resource,$D134,'Critical resources (hide)'!BP$6:BP$105)+SUMIF(Capacity_Resource,$E134,'Critical resources (hide)'!BP$6:BP$105)+SUMIF(Capacity_Resource,$F134,'Critical resources (hide)'!BP$6:BP$105)&gt;0,$E$1=2),0,1),0)</f>
        <v>1</v>
      </c>
      <c r="BD134" s="67">
        <f ca="1">IF(LOWER(Capacity!$V39)="x",IF(AND(SUMIF(Capacity_Resource,$D134,'Critical resources (hide)'!BQ$6:BQ$105)+SUMIF(Capacity_Resource,$E134,'Critical resources (hide)'!BQ$6:BQ$105)+SUMIF(Capacity_Resource,$F134,'Critical resources (hide)'!BQ$6:BQ$105)&gt;0,$E$1=2),0,1),0)</f>
        <v>1</v>
      </c>
      <c r="BE134" s="67">
        <f ca="1">IF(LOWER(Capacity!$V39)="x",IF(AND(SUMIF(Capacity_Resource,$D134,'Critical resources (hide)'!BR$6:BR$105)+SUMIF(Capacity_Resource,$E134,'Critical resources (hide)'!BR$6:BR$105)+SUMIF(Capacity_Resource,$F134,'Critical resources (hide)'!BR$6:BR$105)&gt;0,$E$1=2),0,1),0)</f>
        <v>1</v>
      </c>
      <c r="BF134" s="67">
        <f ca="1">IF(LOWER(Capacity!$V39)="x",IF(AND(SUMIF(Capacity_Resource,$D134,'Critical resources (hide)'!BS$6:BS$105)+SUMIF(Capacity_Resource,$E134,'Critical resources (hide)'!BS$6:BS$105)+SUMIF(Capacity_Resource,$F134,'Critical resources (hide)'!BS$6:BS$105)&gt;0,$E$1=2),0,1),0)</f>
        <v>1</v>
      </c>
      <c r="BG134" s="67">
        <f ca="1">IF(LOWER(Capacity!$V39)="x",IF(AND(SUMIF(Capacity_Resource,$D134,'Critical resources (hide)'!BT$6:BT$105)+SUMIF(Capacity_Resource,$E134,'Critical resources (hide)'!BT$6:BT$105)+SUMIF(Capacity_Resource,$F134,'Critical resources (hide)'!BT$6:BT$105)&gt;0,$E$1=2),0,1),0)</f>
        <v>1</v>
      </c>
      <c r="BH134" s="67">
        <f>IF(ROW(A23)&lt;=Capacity!$M$16,IF('Capacity summary'!$C$14="No",SUM(H134:BG134),'Capacity summary'!$E46),0)</f>
        <v>0</v>
      </c>
      <c r="BI134" s="67" t="str">
        <f>IF(BH134&gt;0,IF(BH134&lt;Capacity!Q39,Capacity!R39,Capacity!T39/'Capacity calculation (hide)'!BH134),"")</f>
        <v/>
      </c>
      <c r="BJ134" s="5"/>
      <c r="BK134" s="5">
        <f>IF($BI134&lt;&gt;"",IF('Capacity summary'!$C$14="Yes",IF(COUNTBLANK('Capacity summary'!$H46:$BG46)&lt;52,IF('Capacity summary'!H46&lt;&gt;"",IF(LOWER('Capacity summary'!H46)="x",$BI134*H134,VALUE('Capacity summary'!H46)),0),H134*$BI134),H134*$BI134),0)</f>
        <v>0</v>
      </c>
      <c r="BL134" s="5">
        <f>IF($BI134&lt;&gt;"",IF('Capacity summary'!$C$14="Yes",IF(COUNTBLANK('Capacity summary'!$H46:$BG46)&lt;52,IF('Capacity summary'!I46&lt;&gt;"",IF(LOWER('Capacity summary'!I46)="x",$BI134*I134,VALUE('Capacity summary'!I46)),0),I134*$BI134),I134*$BI134),0)</f>
        <v>0</v>
      </c>
      <c r="BM134" s="5">
        <f>IF($BI134&lt;&gt;"",IF('Capacity summary'!$C$14="Yes",IF(COUNTBLANK('Capacity summary'!$H46:$BG46)&lt;52,IF('Capacity summary'!J46&lt;&gt;"",IF(LOWER('Capacity summary'!J46)="x",$BI134*J134,VALUE('Capacity summary'!J46)),0),J134*$BI134),J134*$BI134),0)</f>
        <v>0</v>
      </c>
      <c r="BN134" s="5">
        <f>IF($BI134&lt;&gt;"",IF('Capacity summary'!$C$14="Yes",IF(COUNTBLANK('Capacity summary'!$H46:$BG46)&lt;52,IF('Capacity summary'!K46&lt;&gt;"",IF(LOWER('Capacity summary'!K46)="x",$BI134*K134,VALUE('Capacity summary'!K46)),0),K134*$BI134),K134*$BI134),0)</f>
        <v>0</v>
      </c>
      <c r="BO134" s="5">
        <f>IF($BI134&lt;&gt;"",IF('Capacity summary'!$C$14="Yes",IF(COUNTBLANK('Capacity summary'!$H46:$BG46)&lt;52,IF('Capacity summary'!L46&lt;&gt;"",IF(LOWER('Capacity summary'!L46)="x",$BI134*L134,VALUE('Capacity summary'!L46)),0),L134*$BI134),L134*$BI134),0)</f>
        <v>0</v>
      </c>
      <c r="BP134" s="5">
        <f>IF($BI134&lt;&gt;"",IF('Capacity summary'!$C$14="Yes",IF(COUNTBLANK('Capacity summary'!$H46:$BG46)&lt;52,IF('Capacity summary'!M46&lt;&gt;"",IF(LOWER('Capacity summary'!M46)="x",$BI134*M134,VALUE('Capacity summary'!M46)),0),M134*$BI134),M134*$BI134),0)</f>
        <v>0</v>
      </c>
      <c r="BQ134" s="5">
        <f>IF($BI134&lt;&gt;"",IF('Capacity summary'!$C$14="Yes",IF(COUNTBLANK('Capacity summary'!$H46:$BG46)&lt;52,IF('Capacity summary'!N46&lt;&gt;"",IF(LOWER('Capacity summary'!N46)="x",$BI134*N134,VALUE('Capacity summary'!N46)),0),N134*$BI134),N134*$BI134),0)</f>
        <v>0</v>
      </c>
      <c r="BR134" s="5">
        <f>IF($BI134&lt;&gt;"",IF('Capacity summary'!$C$14="Yes",IF(COUNTBLANK('Capacity summary'!$H46:$BG46)&lt;52,IF('Capacity summary'!O46&lt;&gt;"",IF(LOWER('Capacity summary'!O46)="x",$BI134*O134,VALUE('Capacity summary'!O46)),0),O134*$BI134),O134*$BI134),0)</f>
        <v>0</v>
      </c>
      <c r="BS134" s="5">
        <f>IF($BI134&lt;&gt;"",IF('Capacity summary'!$C$14="Yes",IF(COUNTBLANK('Capacity summary'!$H46:$BG46)&lt;52,IF('Capacity summary'!P46&lt;&gt;"",IF(LOWER('Capacity summary'!P46)="x",$BI134*P134,VALUE('Capacity summary'!P46)),0),P134*$BI134),P134*$BI134),0)</f>
        <v>0</v>
      </c>
      <c r="BT134" s="5">
        <f>IF($BI134&lt;&gt;"",IF('Capacity summary'!$C$14="Yes",IF(COUNTBLANK('Capacity summary'!$H46:$BG46)&lt;52,IF('Capacity summary'!Q46&lt;&gt;"",IF(LOWER('Capacity summary'!Q46)="x",$BI134*Q134,VALUE('Capacity summary'!Q46)),0),Q134*$BI134),Q134*$BI134),0)</f>
        <v>0</v>
      </c>
      <c r="BU134" s="5">
        <f>IF($BI134&lt;&gt;"",IF('Capacity summary'!$C$14="Yes",IF(COUNTBLANK('Capacity summary'!$H46:$BG46)&lt;52,IF('Capacity summary'!R46&lt;&gt;"",IF(LOWER('Capacity summary'!R46)="x",$BI134*R134,VALUE('Capacity summary'!R46)),0),R134*$BI134),R134*$BI134),0)</f>
        <v>0</v>
      </c>
      <c r="BV134" s="5">
        <f>IF($BI134&lt;&gt;"",IF('Capacity summary'!$C$14="Yes",IF(COUNTBLANK('Capacity summary'!$H46:$BG46)&lt;52,IF('Capacity summary'!S46&lt;&gt;"",IF(LOWER('Capacity summary'!S46)="x",$BI134*S134,VALUE('Capacity summary'!S46)),0),S134*$BI134),S134*$BI134),0)</f>
        <v>0</v>
      </c>
      <c r="BW134" s="5">
        <f>IF($BI134&lt;&gt;"",IF('Capacity summary'!$C$14="Yes",IF(COUNTBLANK('Capacity summary'!$H46:$BG46)&lt;52,IF('Capacity summary'!T46&lt;&gt;"",IF(LOWER('Capacity summary'!T46)="x",$BI134*T134,VALUE('Capacity summary'!T46)),0),T134*$BI134),T134*$BI134),0)</f>
        <v>0</v>
      </c>
      <c r="BX134" s="5">
        <f>IF($BI134&lt;&gt;"",IF('Capacity summary'!$C$14="Yes",IF(COUNTBLANK('Capacity summary'!$H46:$BG46)&lt;52,IF('Capacity summary'!U46&lt;&gt;"",IF(LOWER('Capacity summary'!U46)="x",$BI134*U134,VALUE('Capacity summary'!U46)),0),U134*$BI134),U134*$BI134),0)</f>
        <v>0</v>
      </c>
      <c r="BY134" s="5">
        <f>IF($BI134&lt;&gt;"",IF('Capacity summary'!$C$14="Yes",IF(COUNTBLANK('Capacity summary'!$H46:$BG46)&lt;52,IF('Capacity summary'!V46&lt;&gt;"",IF(LOWER('Capacity summary'!V46)="x",$BI134*V134,VALUE('Capacity summary'!V46)),0),V134*$BI134),V134*$BI134),0)</f>
        <v>0</v>
      </c>
      <c r="BZ134" s="5">
        <f>IF($BI134&lt;&gt;"",IF('Capacity summary'!$C$14="Yes",IF(COUNTBLANK('Capacity summary'!$H46:$BG46)&lt;52,IF('Capacity summary'!W46&lt;&gt;"",IF(LOWER('Capacity summary'!W46)="x",$BI134*W134,VALUE('Capacity summary'!W46)),0),W134*$BI134),W134*$BI134),0)</f>
        <v>0</v>
      </c>
      <c r="CA134" s="5">
        <f>IF($BI134&lt;&gt;"",IF('Capacity summary'!$C$14="Yes",IF(COUNTBLANK('Capacity summary'!$H46:$BG46)&lt;52,IF('Capacity summary'!X46&lt;&gt;"",IF(LOWER('Capacity summary'!X46)="x",$BI134*X134,VALUE('Capacity summary'!X46)),0),X134*$BI134),X134*$BI134),0)</f>
        <v>0</v>
      </c>
      <c r="CB134" s="5">
        <f>IF($BI134&lt;&gt;"",IF('Capacity summary'!$C$14="Yes",IF(COUNTBLANK('Capacity summary'!$H46:$BG46)&lt;52,IF('Capacity summary'!Y46&lt;&gt;"",IF(LOWER('Capacity summary'!Y46)="x",$BI134*Y134,VALUE('Capacity summary'!Y46)),0),Y134*$BI134),Y134*$BI134),0)</f>
        <v>0</v>
      </c>
      <c r="CC134" s="5">
        <f>IF($BI134&lt;&gt;"",IF('Capacity summary'!$C$14="Yes",IF(COUNTBLANK('Capacity summary'!$H46:$BG46)&lt;52,IF('Capacity summary'!Z46&lt;&gt;"",IF(LOWER('Capacity summary'!Z46)="x",$BI134*Z134,VALUE('Capacity summary'!Z46)),0),Z134*$BI134),Z134*$BI134),0)</f>
        <v>0</v>
      </c>
      <c r="CD134" s="5">
        <f>IF($BI134&lt;&gt;"",IF('Capacity summary'!$C$14="Yes",IF(COUNTBLANK('Capacity summary'!$H46:$BG46)&lt;52,IF('Capacity summary'!AA46&lt;&gt;"",IF(LOWER('Capacity summary'!AA46)="x",$BI134*AA134,VALUE('Capacity summary'!AA46)),0),AA134*$BI134),AA134*$BI134),0)</f>
        <v>0</v>
      </c>
      <c r="CE134" s="5">
        <f>IF($BI134&lt;&gt;"",IF('Capacity summary'!$C$14="Yes",IF(COUNTBLANK('Capacity summary'!$H46:$BG46)&lt;52,IF('Capacity summary'!AB46&lt;&gt;"",IF(LOWER('Capacity summary'!AB46)="x",$BI134*AB134,VALUE('Capacity summary'!AB46)),0),AB134*$BI134),AB134*$BI134),0)</f>
        <v>0</v>
      </c>
      <c r="CF134" s="5">
        <f>IF($BI134&lt;&gt;"",IF('Capacity summary'!$C$14="Yes",IF(COUNTBLANK('Capacity summary'!$H46:$BG46)&lt;52,IF('Capacity summary'!AC46&lt;&gt;"",IF(LOWER('Capacity summary'!AC46)="x",$BI134*AC134,VALUE('Capacity summary'!AC46)),0),AC134*$BI134),AC134*$BI134),0)</f>
        <v>0</v>
      </c>
      <c r="CG134" s="5">
        <f>IF($BI134&lt;&gt;"",IF('Capacity summary'!$C$14="Yes",IF(COUNTBLANK('Capacity summary'!$H46:$BG46)&lt;52,IF('Capacity summary'!AD46&lt;&gt;"",IF(LOWER('Capacity summary'!AD46)="x",$BI134*AD134,VALUE('Capacity summary'!AD46)),0),AD134*$BI134),AD134*$BI134),0)</f>
        <v>0</v>
      </c>
      <c r="CH134" s="5">
        <f>IF($BI134&lt;&gt;"",IF('Capacity summary'!$C$14="Yes",IF(COUNTBLANK('Capacity summary'!$H46:$BG46)&lt;52,IF('Capacity summary'!AE46&lt;&gt;"",IF(LOWER('Capacity summary'!AE46)="x",$BI134*AE134,VALUE('Capacity summary'!AE46)),0),AE134*$BI134),AE134*$BI134),0)</f>
        <v>0</v>
      </c>
      <c r="CI134" s="5">
        <f>IF($BI134&lt;&gt;"",IF('Capacity summary'!$C$14="Yes",IF(COUNTBLANK('Capacity summary'!$H46:$BG46)&lt;52,IF('Capacity summary'!AF46&lt;&gt;"",IF(LOWER('Capacity summary'!AF46)="x",$BI134*AF134,VALUE('Capacity summary'!AF46)),0),AF134*$BI134),AF134*$BI134),0)</f>
        <v>0</v>
      </c>
      <c r="CJ134" s="5">
        <f>IF($BI134&lt;&gt;"",IF('Capacity summary'!$C$14="Yes",IF(COUNTBLANK('Capacity summary'!$H46:$BG46)&lt;52,IF('Capacity summary'!AG46&lt;&gt;"",IF(LOWER('Capacity summary'!AG46)="x",$BI134*AG134,VALUE('Capacity summary'!AG46)),0),AG134*$BI134),AG134*$BI134),0)</f>
        <v>0</v>
      </c>
      <c r="CK134" s="5">
        <f>IF($BI134&lt;&gt;"",IF('Capacity summary'!$C$14="Yes",IF(COUNTBLANK('Capacity summary'!$H46:$BG46)&lt;52,IF('Capacity summary'!AH46&lt;&gt;"",IF(LOWER('Capacity summary'!AH46)="x",$BI134*AH134,VALUE('Capacity summary'!AH46)),0),AH134*$BI134),AH134*$BI134),0)</f>
        <v>0</v>
      </c>
      <c r="CL134" s="5">
        <f>IF($BI134&lt;&gt;"",IF('Capacity summary'!$C$14="Yes",IF(COUNTBLANK('Capacity summary'!$H46:$BG46)&lt;52,IF('Capacity summary'!AI46&lt;&gt;"",IF(LOWER('Capacity summary'!AI46)="x",$BI134*AI134,VALUE('Capacity summary'!AI46)),0),AI134*$BI134),AI134*$BI134),0)</f>
        <v>0</v>
      </c>
      <c r="CM134" s="5">
        <f>IF($BI134&lt;&gt;"",IF('Capacity summary'!$C$14="Yes",IF(COUNTBLANK('Capacity summary'!$H46:$BG46)&lt;52,IF('Capacity summary'!AJ46&lt;&gt;"",IF(LOWER('Capacity summary'!AJ46)="x",$BI134*AJ134,VALUE('Capacity summary'!AJ46)),0),AJ134*$BI134),AJ134*$BI134),0)</f>
        <v>0</v>
      </c>
      <c r="CN134" s="5">
        <f>IF($BI134&lt;&gt;"",IF('Capacity summary'!$C$14="Yes",IF(COUNTBLANK('Capacity summary'!$H46:$BG46)&lt;52,IF('Capacity summary'!AK46&lt;&gt;"",IF(LOWER('Capacity summary'!AK46)="x",$BI134*AK134,VALUE('Capacity summary'!AK46)),0),AK134*$BI134),AK134*$BI134),0)</f>
        <v>0</v>
      </c>
      <c r="CO134" s="5">
        <f>IF($BI134&lt;&gt;"",IF('Capacity summary'!$C$14="Yes",IF(COUNTBLANK('Capacity summary'!$H46:$BG46)&lt;52,IF('Capacity summary'!AL46&lt;&gt;"",IF(LOWER('Capacity summary'!AL46)="x",$BI134*AL134,VALUE('Capacity summary'!AL46)),0),AL134*$BI134),AL134*$BI134),0)</f>
        <v>0</v>
      </c>
      <c r="CP134" s="5">
        <f>IF($BI134&lt;&gt;"",IF('Capacity summary'!$C$14="Yes",IF(COUNTBLANK('Capacity summary'!$H46:$BG46)&lt;52,IF('Capacity summary'!AM46&lt;&gt;"",IF(LOWER('Capacity summary'!AM46)="x",$BI134*AM134,VALUE('Capacity summary'!AM46)),0),AM134*$BI134),AM134*$BI134),0)</f>
        <v>0</v>
      </c>
      <c r="CQ134" s="5">
        <f>IF($BI134&lt;&gt;"",IF('Capacity summary'!$C$14="Yes",IF(COUNTBLANK('Capacity summary'!$H46:$BG46)&lt;52,IF('Capacity summary'!AN46&lt;&gt;"",IF(LOWER('Capacity summary'!AN46)="x",$BI134*AN134,VALUE('Capacity summary'!AN46)),0),AN134*$BI134),AN134*$BI134),0)</f>
        <v>0</v>
      </c>
      <c r="CR134" s="5">
        <f>IF($BI134&lt;&gt;"",IF('Capacity summary'!$C$14="Yes",IF(COUNTBLANK('Capacity summary'!$H46:$BG46)&lt;52,IF('Capacity summary'!AO46&lt;&gt;"",IF(LOWER('Capacity summary'!AO46)="x",$BI134*AO134,VALUE('Capacity summary'!AO46)),0),AO134*$BI134),AO134*$BI134),0)</f>
        <v>0</v>
      </c>
      <c r="CS134" s="5">
        <f>IF($BI134&lt;&gt;"",IF('Capacity summary'!$C$14="Yes",IF(COUNTBLANK('Capacity summary'!$H46:$BG46)&lt;52,IF('Capacity summary'!AP46&lt;&gt;"",IF(LOWER('Capacity summary'!AP46)="x",$BI134*AP134,VALUE('Capacity summary'!AP46)),0),AP134*$BI134),AP134*$BI134),0)</f>
        <v>0</v>
      </c>
      <c r="CT134" s="5">
        <f>IF($BI134&lt;&gt;"",IF('Capacity summary'!$C$14="Yes",IF(COUNTBLANK('Capacity summary'!$H46:$BG46)&lt;52,IF('Capacity summary'!AQ46&lt;&gt;"",IF(LOWER('Capacity summary'!AQ46)="x",$BI134*AQ134,VALUE('Capacity summary'!AQ46)),0),AQ134*$BI134),AQ134*$BI134),0)</f>
        <v>0</v>
      </c>
      <c r="CU134" s="5">
        <f>IF($BI134&lt;&gt;"",IF('Capacity summary'!$C$14="Yes",IF(COUNTBLANK('Capacity summary'!$H46:$BG46)&lt;52,IF('Capacity summary'!AR46&lt;&gt;"",IF(LOWER('Capacity summary'!AR46)="x",$BI134*AR134,VALUE('Capacity summary'!AR46)),0),AR134*$BI134),AR134*$BI134),0)</f>
        <v>0</v>
      </c>
      <c r="CV134" s="5">
        <f>IF($BI134&lt;&gt;"",IF('Capacity summary'!$C$14="Yes",IF(COUNTBLANK('Capacity summary'!$H46:$BG46)&lt;52,IF('Capacity summary'!AS46&lt;&gt;"",IF(LOWER('Capacity summary'!AS46)="x",$BI134*AS134,VALUE('Capacity summary'!AS46)),0),AS134*$BI134),AS134*$BI134),0)</f>
        <v>0</v>
      </c>
      <c r="CW134" s="5">
        <f>IF($BI134&lt;&gt;"",IF('Capacity summary'!$C$14="Yes",IF(COUNTBLANK('Capacity summary'!$H46:$BG46)&lt;52,IF('Capacity summary'!AT46&lt;&gt;"",IF(LOWER('Capacity summary'!AT46)="x",$BI134*AT134,VALUE('Capacity summary'!AT46)),0),AT134*$BI134),AT134*$BI134),0)</f>
        <v>0</v>
      </c>
      <c r="CX134" s="5">
        <f>IF($BI134&lt;&gt;"",IF('Capacity summary'!$C$14="Yes",IF(COUNTBLANK('Capacity summary'!$H46:$BG46)&lt;52,IF('Capacity summary'!AU46&lt;&gt;"",IF(LOWER('Capacity summary'!AU46)="x",$BI134*AU134,VALUE('Capacity summary'!AU46)),0),AU134*$BI134),AU134*$BI134),0)</f>
        <v>0</v>
      </c>
      <c r="CY134" s="5">
        <f>IF($BI134&lt;&gt;"",IF('Capacity summary'!$C$14="Yes",IF(COUNTBLANK('Capacity summary'!$H46:$BG46)&lt;52,IF('Capacity summary'!AV46&lt;&gt;"",IF(LOWER('Capacity summary'!AV46)="x",$BI134*AV134,VALUE('Capacity summary'!AV46)),0),AV134*$BI134),AV134*$BI134),0)</f>
        <v>0</v>
      </c>
      <c r="CZ134" s="5">
        <f>IF($BI134&lt;&gt;"",IF('Capacity summary'!$C$14="Yes",IF(COUNTBLANK('Capacity summary'!$H46:$BG46)&lt;52,IF('Capacity summary'!AW46&lt;&gt;"",IF(LOWER('Capacity summary'!AW46)="x",$BI134*AW134,VALUE('Capacity summary'!AW46)),0),AW134*$BI134),AW134*$BI134),0)</f>
        <v>0</v>
      </c>
      <c r="DA134" s="5">
        <f>IF($BI134&lt;&gt;"",IF('Capacity summary'!$C$14="Yes",IF(COUNTBLANK('Capacity summary'!$H46:$BG46)&lt;52,IF('Capacity summary'!AX46&lt;&gt;"",IF(LOWER('Capacity summary'!AX46)="x",$BI134*AX134,VALUE('Capacity summary'!AX46)),0),AX134*$BI134),AX134*$BI134),0)</f>
        <v>0</v>
      </c>
      <c r="DB134" s="5">
        <f>IF($BI134&lt;&gt;"",IF('Capacity summary'!$C$14="Yes",IF(COUNTBLANK('Capacity summary'!$H46:$BG46)&lt;52,IF('Capacity summary'!AY46&lt;&gt;"",IF(LOWER('Capacity summary'!AY46)="x",$BI134*AY134,VALUE('Capacity summary'!AY46)),0),AY134*$BI134),AY134*$BI134),0)</f>
        <v>0</v>
      </c>
      <c r="DC134" s="5">
        <f>IF($BI134&lt;&gt;"",IF('Capacity summary'!$C$14="Yes",IF(COUNTBLANK('Capacity summary'!$H46:$BG46)&lt;52,IF('Capacity summary'!AZ46&lt;&gt;"",IF(LOWER('Capacity summary'!AZ46)="x",$BI134*AZ134,VALUE('Capacity summary'!AZ46)),0),AZ134*$BI134),AZ134*$BI134),0)</f>
        <v>0</v>
      </c>
      <c r="DD134" s="5">
        <f>IF($BI134&lt;&gt;"",IF('Capacity summary'!$C$14="Yes",IF(COUNTBLANK('Capacity summary'!$H46:$BG46)&lt;52,IF('Capacity summary'!BA46&lt;&gt;"",IF(LOWER('Capacity summary'!BA46)="x",$BI134*BA134,VALUE('Capacity summary'!BA46)),0),BA134*$BI134),BA134*$BI134),0)</f>
        <v>0</v>
      </c>
      <c r="DE134" s="5">
        <f>IF($BI134&lt;&gt;"",IF('Capacity summary'!$C$14="Yes",IF(COUNTBLANK('Capacity summary'!$H46:$BG46)&lt;52,IF('Capacity summary'!BB46&lt;&gt;"",IF(LOWER('Capacity summary'!BB46)="x",$BI134*BB134,VALUE('Capacity summary'!BB46)),0),BB134*$BI134),BB134*$BI134),0)</f>
        <v>0</v>
      </c>
      <c r="DF134" s="5">
        <f>IF($BI134&lt;&gt;"",IF('Capacity summary'!$C$14="Yes",IF(COUNTBLANK('Capacity summary'!$H46:$BG46)&lt;52,IF('Capacity summary'!BC46&lt;&gt;"",IF(LOWER('Capacity summary'!BC46)="x",$BI134*BC134,VALUE('Capacity summary'!BC46)),0),BC134*$BI134),BC134*$BI134),0)</f>
        <v>0</v>
      </c>
      <c r="DG134" s="5">
        <f>IF($BI134&lt;&gt;"",IF('Capacity summary'!$C$14="Yes",IF(COUNTBLANK('Capacity summary'!$H46:$BG46)&lt;52,IF('Capacity summary'!BD46&lt;&gt;"",IF(LOWER('Capacity summary'!BD46)="x",$BI134*BD134,VALUE('Capacity summary'!BD46)),0),BD134*$BI134),BD134*$BI134),0)</f>
        <v>0</v>
      </c>
      <c r="DH134" s="5">
        <f>IF($BI134&lt;&gt;"",IF('Capacity summary'!$C$14="Yes",IF(COUNTBLANK('Capacity summary'!$H46:$BG46)&lt;52,IF('Capacity summary'!BE46&lt;&gt;"",IF(LOWER('Capacity summary'!BE46)="x",$BI134*BE134,VALUE('Capacity summary'!BE46)),0),BE134*$BI134),BE134*$BI134),0)</f>
        <v>0</v>
      </c>
      <c r="DI134" s="5">
        <f>IF($BI134&lt;&gt;"",IF('Capacity summary'!$C$14="Yes",IF(COUNTBLANK('Capacity summary'!$H46:$BG46)&lt;52,IF('Capacity summary'!BF46&lt;&gt;"",IF(LOWER('Capacity summary'!BF46)="x",$BI134*BF134,VALUE('Capacity summary'!BF46)),0),BF134*$BI134),BF134*$BI134),0)</f>
        <v>0</v>
      </c>
      <c r="DJ134" s="5">
        <f>IF($BI134&lt;&gt;"",IF('Capacity summary'!$C$14="Yes",IF(COUNTBLANK('Capacity summary'!$H46:$BG46)&lt;52,IF('Capacity summary'!BG46&lt;&gt;"",IF(LOWER('Capacity summary'!BG46)="x",$BI134*BG134,VALUE('Capacity summary'!BG46)),0),BG134*$BI134),BG134*$BI134),0)</f>
        <v>0</v>
      </c>
      <c r="DK134" s="391">
        <f t="shared" si="8"/>
        <v>0</v>
      </c>
      <c r="DL134" s="5">
        <f t="shared" si="9"/>
        <v>0</v>
      </c>
    </row>
    <row r="135" spans="3:116" x14ac:dyDescent="0.2">
      <c r="C135" s="67" t="str">
        <f>ROW(A24)&amp;". "&amp;Capacity!N40</f>
        <v xml:space="preserve">24. </v>
      </c>
      <c r="D135" s="67">
        <f>'Capacity setup'!C141</f>
        <v>0</v>
      </c>
      <c r="E135" s="67">
        <f>'Capacity setup'!D141</f>
        <v>0</v>
      </c>
      <c r="F135" s="67">
        <f>'Capacity setup'!E141</f>
        <v>0</v>
      </c>
      <c r="H135" s="67">
        <f ca="1">IF(LOWER(Capacity!$V40)="x",IF(AND(SUMIF(Capacity_Resource,$D135,'Critical resources (hide)'!U$6:U$105)+SUMIF(Capacity_Resource,$E135,'Critical resources (hide)'!U$6:U$105)+SUMIF(Capacity_Resource,$F135,'Critical resources (hide)'!U$6:U$105)&gt;0,$E$1=2),0,1),0)</f>
        <v>1</v>
      </c>
      <c r="I135" s="67">
        <f ca="1">IF(LOWER(Capacity!$V40)="x",IF(AND(SUMIF(Capacity_Resource,$D135,'Critical resources (hide)'!V$6:V$105)+SUMIF(Capacity_Resource,$E135,'Critical resources (hide)'!V$6:V$105)+SUMIF(Capacity_Resource,$F135,'Critical resources (hide)'!V$6:V$105)&gt;0,$E$1=2),0,1),0)</f>
        <v>1</v>
      </c>
      <c r="J135" s="67">
        <f ca="1">IF(LOWER(Capacity!$V40)="x",IF(AND(SUMIF(Capacity_Resource,$D135,'Critical resources (hide)'!W$6:W$105)+SUMIF(Capacity_Resource,$E135,'Critical resources (hide)'!W$6:W$105)+SUMIF(Capacity_Resource,$F135,'Critical resources (hide)'!W$6:W$105)&gt;0,$E$1=2),0,1),0)</f>
        <v>1</v>
      </c>
      <c r="K135" s="67">
        <f ca="1">IF(LOWER(Capacity!$V40)="x",IF(AND(SUMIF(Capacity_Resource,$D135,'Critical resources (hide)'!X$6:X$105)+SUMIF(Capacity_Resource,$E135,'Critical resources (hide)'!X$6:X$105)+SUMIF(Capacity_Resource,$F135,'Critical resources (hide)'!X$6:X$105)&gt;0,$E$1=2),0,1),0)</f>
        <v>1</v>
      </c>
      <c r="L135" s="67">
        <f ca="1">IF(LOWER(Capacity!$V40)="x",IF(AND(SUMIF(Capacity_Resource,$D135,'Critical resources (hide)'!Y$6:Y$105)+SUMIF(Capacity_Resource,$E135,'Critical resources (hide)'!Y$6:Y$105)+SUMIF(Capacity_Resource,$F135,'Critical resources (hide)'!Y$6:Y$105)&gt;0,$E$1=2),0,1),0)</f>
        <v>1</v>
      </c>
      <c r="M135" s="67">
        <f ca="1">IF(LOWER(Capacity!$V40)="x",IF(AND(SUMIF(Capacity_Resource,$D135,'Critical resources (hide)'!Z$6:Z$105)+SUMIF(Capacity_Resource,$E135,'Critical resources (hide)'!Z$6:Z$105)+SUMIF(Capacity_Resource,$F135,'Critical resources (hide)'!Z$6:Z$105)&gt;0,$E$1=2),0,1),0)</f>
        <v>1</v>
      </c>
      <c r="N135" s="67">
        <f ca="1">IF(LOWER(Capacity!$V40)="x",IF(AND(SUMIF(Capacity_Resource,$D135,'Critical resources (hide)'!AA$6:AA$105)+SUMIF(Capacity_Resource,$E135,'Critical resources (hide)'!AA$6:AA$105)+SUMIF(Capacity_Resource,$F135,'Critical resources (hide)'!AA$6:AA$105)&gt;0,$E$1=2),0,1),0)</f>
        <v>1</v>
      </c>
      <c r="O135" s="67">
        <f ca="1">IF(LOWER(Capacity!$V40)="x",IF(AND(SUMIF(Capacity_Resource,$D135,'Critical resources (hide)'!AB$6:AB$105)+SUMIF(Capacity_Resource,$E135,'Critical resources (hide)'!AB$6:AB$105)+SUMIF(Capacity_Resource,$F135,'Critical resources (hide)'!AB$6:AB$105)&gt;0,$E$1=2),0,1),0)</f>
        <v>1</v>
      </c>
      <c r="P135" s="67">
        <f ca="1">IF(LOWER(Capacity!$V40)="x",IF(AND(SUMIF(Capacity_Resource,$D135,'Critical resources (hide)'!AC$6:AC$105)+SUMIF(Capacity_Resource,$E135,'Critical resources (hide)'!AC$6:AC$105)+SUMIF(Capacity_Resource,$F135,'Critical resources (hide)'!AC$6:AC$105)&gt;0,$E$1=2),0,1),0)</f>
        <v>1</v>
      </c>
      <c r="Q135" s="67">
        <f ca="1">IF(LOWER(Capacity!$V40)="x",IF(AND(SUMIF(Capacity_Resource,$D135,'Critical resources (hide)'!AD$6:AD$105)+SUMIF(Capacity_Resource,$E135,'Critical resources (hide)'!AD$6:AD$105)+SUMIF(Capacity_Resource,$F135,'Critical resources (hide)'!AD$6:AD$105)&gt;0,$E$1=2),0,1),0)</f>
        <v>1</v>
      </c>
      <c r="R135" s="67">
        <f ca="1">IF(LOWER(Capacity!$V40)="x",IF(AND(SUMIF(Capacity_Resource,$D135,'Critical resources (hide)'!AE$6:AE$105)+SUMIF(Capacity_Resource,$E135,'Critical resources (hide)'!AE$6:AE$105)+SUMIF(Capacity_Resource,$F135,'Critical resources (hide)'!AE$6:AE$105)&gt;0,$E$1=2),0,1),0)</f>
        <v>1</v>
      </c>
      <c r="S135" s="67">
        <f ca="1">IF(LOWER(Capacity!$V40)="x",IF(AND(SUMIF(Capacity_Resource,$D135,'Critical resources (hide)'!AF$6:AF$105)+SUMIF(Capacity_Resource,$E135,'Critical resources (hide)'!AF$6:AF$105)+SUMIF(Capacity_Resource,$F135,'Critical resources (hide)'!AF$6:AF$105)&gt;0,$E$1=2),0,1),0)</f>
        <v>1</v>
      </c>
      <c r="T135" s="67">
        <f ca="1">IF(LOWER(Capacity!$V40)="x",IF(AND(SUMIF(Capacity_Resource,$D135,'Critical resources (hide)'!AG$6:AG$105)+SUMIF(Capacity_Resource,$E135,'Critical resources (hide)'!AG$6:AG$105)+SUMIF(Capacity_Resource,$F135,'Critical resources (hide)'!AG$6:AG$105)&gt;0,$E$1=2),0,1),0)</f>
        <v>1</v>
      </c>
      <c r="U135" s="67">
        <f ca="1">IF(LOWER(Capacity!$V40)="x",IF(AND(SUMIF(Capacity_Resource,$D135,'Critical resources (hide)'!AH$6:AH$105)+SUMIF(Capacity_Resource,$E135,'Critical resources (hide)'!AH$6:AH$105)+SUMIF(Capacity_Resource,$F135,'Critical resources (hide)'!AH$6:AH$105)&gt;0,$E$1=2),0,1),0)</f>
        <v>1</v>
      </c>
      <c r="V135" s="67">
        <f ca="1">IF(LOWER(Capacity!$V40)="x",IF(AND(SUMIF(Capacity_Resource,$D135,'Critical resources (hide)'!AI$6:AI$105)+SUMIF(Capacity_Resource,$E135,'Critical resources (hide)'!AI$6:AI$105)+SUMIF(Capacity_Resource,$F135,'Critical resources (hide)'!AI$6:AI$105)&gt;0,$E$1=2),0,1),0)</f>
        <v>1</v>
      </c>
      <c r="W135" s="67">
        <f ca="1">IF(LOWER(Capacity!$V40)="x",IF(AND(SUMIF(Capacity_Resource,$D135,'Critical resources (hide)'!AJ$6:AJ$105)+SUMIF(Capacity_Resource,$E135,'Critical resources (hide)'!AJ$6:AJ$105)+SUMIF(Capacity_Resource,$F135,'Critical resources (hide)'!AJ$6:AJ$105)&gt;0,$E$1=2),0,1),0)</f>
        <v>1</v>
      </c>
      <c r="X135" s="67">
        <f ca="1">IF(LOWER(Capacity!$V40)="x",IF(AND(SUMIF(Capacity_Resource,$D135,'Critical resources (hide)'!AK$6:AK$105)+SUMIF(Capacity_Resource,$E135,'Critical resources (hide)'!AK$6:AK$105)+SUMIF(Capacity_Resource,$F135,'Critical resources (hide)'!AK$6:AK$105)&gt;0,$E$1=2),0,1),0)</f>
        <v>1</v>
      </c>
      <c r="Y135" s="67">
        <f ca="1">IF(LOWER(Capacity!$V40)="x",IF(AND(SUMIF(Capacity_Resource,$D135,'Critical resources (hide)'!AL$6:AL$105)+SUMIF(Capacity_Resource,$E135,'Critical resources (hide)'!AL$6:AL$105)+SUMIF(Capacity_Resource,$F135,'Critical resources (hide)'!AL$6:AL$105)&gt;0,$E$1=2),0,1),0)</f>
        <v>1</v>
      </c>
      <c r="Z135" s="67">
        <f ca="1">IF(LOWER(Capacity!$V40)="x",IF(AND(SUMIF(Capacity_Resource,$D135,'Critical resources (hide)'!AM$6:AM$105)+SUMIF(Capacity_Resource,$E135,'Critical resources (hide)'!AM$6:AM$105)+SUMIF(Capacity_Resource,$F135,'Critical resources (hide)'!AM$6:AM$105)&gt;0,$E$1=2),0,1),0)</f>
        <v>1</v>
      </c>
      <c r="AA135" s="67">
        <f ca="1">IF(LOWER(Capacity!$V40)="x",IF(AND(SUMIF(Capacity_Resource,$D135,'Critical resources (hide)'!AN$6:AN$105)+SUMIF(Capacity_Resource,$E135,'Critical resources (hide)'!AN$6:AN$105)+SUMIF(Capacity_Resource,$F135,'Critical resources (hide)'!AN$6:AN$105)&gt;0,$E$1=2),0,1),0)</f>
        <v>1</v>
      </c>
      <c r="AB135" s="67">
        <f ca="1">IF(LOWER(Capacity!$V40)="x",IF(AND(SUMIF(Capacity_Resource,$D135,'Critical resources (hide)'!AO$6:AO$105)+SUMIF(Capacity_Resource,$E135,'Critical resources (hide)'!AO$6:AO$105)+SUMIF(Capacity_Resource,$F135,'Critical resources (hide)'!AO$6:AO$105)&gt;0,$E$1=2),0,1),0)</f>
        <v>1</v>
      </c>
      <c r="AC135" s="67">
        <f ca="1">IF(LOWER(Capacity!$V40)="x",IF(AND(SUMIF(Capacity_Resource,$D135,'Critical resources (hide)'!AP$6:AP$105)+SUMIF(Capacity_Resource,$E135,'Critical resources (hide)'!AP$6:AP$105)+SUMIF(Capacity_Resource,$F135,'Critical resources (hide)'!AP$6:AP$105)&gt;0,$E$1=2),0,1),0)</f>
        <v>1</v>
      </c>
      <c r="AD135" s="67">
        <f ca="1">IF(LOWER(Capacity!$V40)="x",IF(AND(SUMIF(Capacity_Resource,$D135,'Critical resources (hide)'!AQ$6:AQ$105)+SUMIF(Capacity_Resource,$E135,'Critical resources (hide)'!AQ$6:AQ$105)+SUMIF(Capacity_Resource,$F135,'Critical resources (hide)'!AQ$6:AQ$105)&gt;0,$E$1=2),0,1),0)</f>
        <v>1</v>
      </c>
      <c r="AE135" s="67">
        <f ca="1">IF(LOWER(Capacity!$V40)="x",IF(AND(SUMIF(Capacity_Resource,$D135,'Critical resources (hide)'!AR$6:AR$105)+SUMIF(Capacity_Resource,$E135,'Critical resources (hide)'!AR$6:AR$105)+SUMIF(Capacity_Resource,$F135,'Critical resources (hide)'!AR$6:AR$105)&gt;0,$E$1=2),0,1),0)</f>
        <v>1</v>
      </c>
      <c r="AF135" s="67">
        <f ca="1">IF(LOWER(Capacity!$V40)="x",IF(AND(SUMIF(Capacity_Resource,$D135,'Critical resources (hide)'!AS$6:AS$105)+SUMIF(Capacity_Resource,$E135,'Critical resources (hide)'!AS$6:AS$105)+SUMIF(Capacity_Resource,$F135,'Critical resources (hide)'!AS$6:AS$105)&gt;0,$E$1=2),0,1),0)</f>
        <v>1</v>
      </c>
      <c r="AG135" s="67">
        <f ca="1">IF(LOWER(Capacity!$V40)="x",IF(AND(SUMIF(Capacity_Resource,$D135,'Critical resources (hide)'!AT$6:AT$105)+SUMIF(Capacity_Resource,$E135,'Critical resources (hide)'!AT$6:AT$105)+SUMIF(Capacity_Resource,$F135,'Critical resources (hide)'!AT$6:AT$105)&gt;0,$E$1=2),0,1),0)</f>
        <v>1</v>
      </c>
      <c r="AH135" s="67">
        <f ca="1">IF(LOWER(Capacity!$V40)="x",IF(AND(SUMIF(Capacity_Resource,$D135,'Critical resources (hide)'!AU$6:AU$105)+SUMIF(Capacity_Resource,$E135,'Critical resources (hide)'!AU$6:AU$105)+SUMIF(Capacity_Resource,$F135,'Critical resources (hide)'!AU$6:AU$105)&gt;0,$E$1=2),0,1),0)</f>
        <v>1</v>
      </c>
      <c r="AI135" s="67">
        <f ca="1">IF(LOWER(Capacity!$V40)="x",IF(AND(SUMIF(Capacity_Resource,$D135,'Critical resources (hide)'!AV$6:AV$105)+SUMIF(Capacity_Resource,$E135,'Critical resources (hide)'!AV$6:AV$105)+SUMIF(Capacity_Resource,$F135,'Critical resources (hide)'!AV$6:AV$105)&gt;0,$E$1=2),0,1),0)</f>
        <v>1</v>
      </c>
      <c r="AJ135" s="67">
        <f ca="1">IF(LOWER(Capacity!$V40)="x",IF(AND(SUMIF(Capacity_Resource,$D135,'Critical resources (hide)'!AW$6:AW$105)+SUMIF(Capacity_Resource,$E135,'Critical resources (hide)'!AW$6:AW$105)+SUMIF(Capacity_Resource,$F135,'Critical resources (hide)'!AW$6:AW$105)&gt;0,$E$1=2),0,1),0)</f>
        <v>1</v>
      </c>
      <c r="AK135" s="67">
        <f ca="1">IF(LOWER(Capacity!$V40)="x",IF(AND(SUMIF(Capacity_Resource,$D135,'Critical resources (hide)'!AX$6:AX$105)+SUMIF(Capacity_Resource,$E135,'Critical resources (hide)'!AX$6:AX$105)+SUMIF(Capacity_Resource,$F135,'Critical resources (hide)'!AX$6:AX$105)&gt;0,$E$1=2),0,1),0)</f>
        <v>1</v>
      </c>
      <c r="AL135" s="67">
        <f ca="1">IF(LOWER(Capacity!$V40)="x",IF(AND(SUMIF(Capacity_Resource,$D135,'Critical resources (hide)'!AY$6:AY$105)+SUMIF(Capacity_Resource,$E135,'Critical resources (hide)'!AY$6:AY$105)+SUMIF(Capacity_Resource,$F135,'Critical resources (hide)'!AY$6:AY$105)&gt;0,$E$1=2),0,1),0)</f>
        <v>1</v>
      </c>
      <c r="AM135" s="67">
        <f ca="1">IF(LOWER(Capacity!$V40)="x",IF(AND(SUMIF(Capacity_Resource,$D135,'Critical resources (hide)'!AZ$6:AZ$105)+SUMIF(Capacity_Resource,$E135,'Critical resources (hide)'!AZ$6:AZ$105)+SUMIF(Capacity_Resource,$F135,'Critical resources (hide)'!AZ$6:AZ$105)&gt;0,$E$1=2),0,1),0)</f>
        <v>1</v>
      </c>
      <c r="AN135" s="67">
        <f ca="1">IF(LOWER(Capacity!$V40)="x",IF(AND(SUMIF(Capacity_Resource,$D135,'Critical resources (hide)'!BA$6:BA$105)+SUMIF(Capacity_Resource,$E135,'Critical resources (hide)'!BA$6:BA$105)+SUMIF(Capacity_Resource,$F135,'Critical resources (hide)'!BA$6:BA$105)&gt;0,$E$1=2),0,1),0)</f>
        <v>1</v>
      </c>
      <c r="AO135" s="67">
        <f ca="1">IF(LOWER(Capacity!$V40)="x",IF(AND(SUMIF(Capacity_Resource,$D135,'Critical resources (hide)'!BB$6:BB$105)+SUMIF(Capacity_Resource,$E135,'Critical resources (hide)'!BB$6:BB$105)+SUMIF(Capacity_Resource,$F135,'Critical resources (hide)'!BB$6:BB$105)&gt;0,$E$1=2),0,1),0)</f>
        <v>1</v>
      </c>
      <c r="AP135" s="67">
        <f ca="1">IF(LOWER(Capacity!$V40)="x",IF(AND(SUMIF(Capacity_Resource,$D135,'Critical resources (hide)'!BC$6:BC$105)+SUMIF(Capacity_Resource,$E135,'Critical resources (hide)'!BC$6:BC$105)+SUMIF(Capacity_Resource,$F135,'Critical resources (hide)'!BC$6:BC$105)&gt;0,$E$1=2),0,1),0)</f>
        <v>1</v>
      </c>
      <c r="AQ135" s="67">
        <f ca="1">IF(LOWER(Capacity!$V40)="x",IF(AND(SUMIF(Capacity_Resource,$D135,'Critical resources (hide)'!BD$6:BD$105)+SUMIF(Capacity_Resource,$E135,'Critical resources (hide)'!BD$6:BD$105)+SUMIF(Capacity_Resource,$F135,'Critical resources (hide)'!BD$6:BD$105)&gt;0,$E$1=2),0,1),0)</f>
        <v>1</v>
      </c>
      <c r="AR135" s="67">
        <f ca="1">IF(LOWER(Capacity!$V40)="x",IF(AND(SUMIF(Capacity_Resource,$D135,'Critical resources (hide)'!BE$6:BE$105)+SUMIF(Capacity_Resource,$E135,'Critical resources (hide)'!BE$6:BE$105)+SUMIF(Capacity_Resource,$F135,'Critical resources (hide)'!BE$6:BE$105)&gt;0,$E$1=2),0,1),0)</f>
        <v>1</v>
      </c>
      <c r="AS135" s="67">
        <f ca="1">IF(LOWER(Capacity!$V40)="x",IF(AND(SUMIF(Capacity_Resource,$D135,'Critical resources (hide)'!BF$6:BF$105)+SUMIF(Capacity_Resource,$E135,'Critical resources (hide)'!BF$6:BF$105)+SUMIF(Capacity_Resource,$F135,'Critical resources (hide)'!BF$6:BF$105)&gt;0,$E$1=2),0,1),0)</f>
        <v>1</v>
      </c>
      <c r="AT135" s="67">
        <f ca="1">IF(LOWER(Capacity!$V40)="x",IF(AND(SUMIF(Capacity_Resource,$D135,'Critical resources (hide)'!BG$6:BG$105)+SUMIF(Capacity_Resource,$E135,'Critical resources (hide)'!BG$6:BG$105)+SUMIF(Capacity_Resource,$F135,'Critical resources (hide)'!BG$6:BG$105)&gt;0,$E$1=2),0,1),0)</f>
        <v>1</v>
      </c>
      <c r="AU135" s="67">
        <f ca="1">IF(LOWER(Capacity!$V40)="x",IF(AND(SUMIF(Capacity_Resource,$D135,'Critical resources (hide)'!BH$6:BH$105)+SUMIF(Capacity_Resource,$E135,'Critical resources (hide)'!BH$6:BH$105)+SUMIF(Capacity_Resource,$F135,'Critical resources (hide)'!BH$6:BH$105)&gt;0,$E$1=2),0,1),0)</f>
        <v>1</v>
      </c>
      <c r="AV135" s="67">
        <f ca="1">IF(LOWER(Capacity!$V40)="x",IF(AND(SUMIF(Capacity_Resource,$D135,'Critical resources (hide)'!BI$6:BI$105)+SUMIF(Capacity_Resource,$E135,'Critical resources (hide)'!BI$6:BI$105)+SUMIF(Capacity_Resource,$F135,'Critical resources (hide)'!BI$6:BI$105)&gt;0,$E$1=2),0,1),0)</f>
        <v>1</v>
      </c>
      <c r="AW135" s="67">
        <f ca="1">IF(LOWER(Capacity!$V40)="x",IF(AND(SUMIF(Capacity_Resource,$D135,'Critical resources (hide)'!BJ$6:BJ$105)+SUMIF(Capacity_Resource,$E135,'Critical resources (hide)'!BJ$6:BJ$105)+SUMIF(Capacity_Resource,$F135,'Critical resources (hide)'!BJ$6:BJ$105)&gt;0,$E$1=2),0,1),0)</f>
        <v>1</v>
      </c>
      <c r="AX135" s="67">
        <f ca="1">IF(LOWER(Capacity!$V40)="x",IF(AND(SUMIF(Capacity_Resource,$D135,'Critical resources (hide)'!BK$6:BK$105)+SUMIF(Capacity_Resource,$E135,'Critical resources (hide)'!BK$6:BK$105)+SUMIF(Capacity_Resource,$F135,'Critical resources (hide)'!BK$6:BK$105)&gt;0,$E$1=2),0,1),0)</f>
        <v>1</v>
      </c>
      <c r="AY135" s="67">
        <f ca="1">IF(LOWER(Capacity!$V40)="x",IF(AND(SUMIF(Capacity_Resource,$D135,'Critical resources (hide)'!BL$6:BL$105)+SUMIF(Capacity_Resource,$E135,'Critical resources (hide)'!BL$6:BL$105)+SUMIF(Capacity_Resource,$F135,'Critical resources (hide)'!BL$6:BL$105)&gt;0,$E$1=2),0,1),0)</f>
        <v>1</v>
      </c>
      <c r="AZ135" s="67">
        <f ca="1">IF(LOWER(Capacity!$V40)="x",IF(AND(SUMIF(Capacity_Resource,$D135,'Critical resources (hide)'!BM$6:BM$105)+SUMIF(Capacity_Resource,$E135,'Critical resources (hide)'!BM$6:BM$105)+SUMIF(Capacity_Resource,$F135,'Critical resources (hide)'!BM$6:BM$105)&gt;0,$E$1=2),0,1),0)</f>
        <v>1</v>
      </c>
      <c r="BA135" s="67">
        <f ca="1">IF(LOWER(Capacity!$V40)="x",IF(AND(SUMIF(Capacity_Resource,$D135,'Critical resources (hide)'!BN$6:BN$105)+SUMIF(Capacity_Resource,$E135,'Critical resources (hide)'!BN$6:BN$105)+SUMIF(Capacity_Resource,$F135,'Critical resources (hide)'!BN$6:BN$105)&gt;0,$E$1=2),0,1),0)</f>
        <v>1</v>
      </c>
      <c r="BB135" s="67">
        <f ca="1">IF(LOWER(Capacity!$V40)="x",IF(AND(SUMIF(Capacity_Resource,$D135,'Critical resources (hide)'!BO$6:BO$105)+SUMIF(Capacity_Resource,$E135,'Critical resources (hide)'!BO$6:BO$105)+SUMIF(Capacity_Resource,$F135,'Critical resources (hide)'!BO$6:BO$105)&gt;0,$E$1=2),0,1),0)</f>
        <v>1</v>
      </c>
      <c r="BC135" s="67">
        <f ca="1">IF(LOWER(Capacity!$V40)="x",IF(AND(SUMIF(Capacity_Resource,$D135,'Critical resources (hide)'!BP$6:BP$105)+SUMIF(Capacity_Resource,$E135,'Critical resources (hide)'!BP$6:BP$105)+SUMIF(Capacity_Resource,$F135,'Critical resources (hide)'!BP$6:BP$105)&gt;0,$E$1=2),0,1),0)</f>
        <v>1</v>
      </c>
      <c r="BD135" s="67">
        <f ca="1">IF(LOWER(Capacity!$V40)="x",IF(AND(SUMIF(Capacity_Resource,$D135,'Critical resources (hide)'!BQ$6:BQ$105)+SUMIF(Capacity_Resource,$E135,'Critical resources (hide)'!BQ$6:BQ$105)+SUMIF(Capacity_Resource,$F135,'Critical resources (hide)'!BQ$6:BQ$105)&gt;0,$E$1=2),0,1),0)</f>
        <v>1</v>
      </c>
      <c r="BE135" s="67">
        <f ca="1">IF(LOWER(Capacity!$V40)="x",IF(AND(SUMIF(Capacity_Resource,$D135,'Critical resources (hide)'!BR$6:BR$105)+SUMIF(Capacity_Resource,$E135,'Critical resources (hide)'!BR$6:BR$105)+SUMIF(Capacity_Resource,$F135,'Critical resources (hide)'!BR$6:BR$105)&gt;0,$E$1=2),0,1),0)</f>
        <v>1</v>
      </c>
      <c r="BF135" s="67">
        <f ca="1">IF(LOWER(Capacity!$V40)="x",IF(AND(SUMIF(Capacity_Resource,$D135,'Critical resources (hide)'!BS$6:BS$105)+SUMIF(Capacity_Resource,$E135,'Critical resources (hide)'!BS$6:BS$105)+SUMIF(Capacity_Resource,$F135,'Critical resources (hide)'!BS$6:BS$105)&gt;0,$E$1=2),0,1),0)</f>
        <v>1</v>
      </c>
      <c r="BG135" s="67">
        <f ca="1">IF(LOWER(Capacity!$V40)="x",IF(AND(SUMIF(Capacity_Resource,$D135,'Critical resources (hide)'!BT$6:BT$105)+SUMIF(Capacity_Resource,$E135,'Critical resources (hide)'!BT$6:BT$105)+SUMIF(Capacity_Resource,$F135,'Critical resources (hide)'!BT$6:BT$105)&gt;0,$E$1=2),0,1),0)</f>
        <v>1</v>
      </c>
      <c r="BH135" s="67">
        <f>IF(ROW(A24)&lt;=Capacity!$M$16,IF('Capacity summary'!$C$14="No",SUM(H135:BG135),'Capacity summary'!$E47),0)</f>
        <v>0</v>
      </c>
      <c r="BI135" s="67" t="str">
        <f>IF(BH135&gt;0,IF(BH135&lt;Capacity!Q40,Capacity!R40,Capacity!T40/'Capacity calculation (hide)'!BH135),"")</f>
        <v/>
      </c>
      <c r="BJ135" s="5"/>
      <c r="BK135" s="5">
        <f>IF($BI135&lt;&gt;"",IF('Capacity summary'!$C$14="Yes",IF(COUNTBLANK('Capacity summary'!$H47:$BG47)&lt;52,IF('Capacity summary'!H47&lt;&gt;"",IF(LOWER('Capacity summary'!H47)="x",$BI135*H135,VALUE('Capacity summary'!H47)),0),H135*$BI135),H135*$BI135),0)</f>
        <v>0</v>
      </c>
      <c r="BL135" s="5">
        <f>IF($BI135&lt;&gt;"",IF('Capacity summary'!$C$14="Yes",IF(COUNTBLANK('Capacity summary'!$H47:$BG47)&lt;52,IF('Capacity summary'!I47&lt;&gt;"",IF(LOWER('Capacity summary'!I47)="x",$BI135*I135,VALUE('Capacity summary'!I47)),0),I135*$BI135),I135*$BI135),0)</f>
        <v>0</v>
      </c>
      <c r="BM135" s="5">
        <f>IF($BI135&lt;&gt;"",IF('Capacity summary'!$C$14="Yes",IF(COUNTBLANK('Capacity summary'!$H47:$BG47)&lt;52,IF('Capacity summary'!J47&lt;&gt;"",IF(LOWER('Capacity summary'!J47)="x",$BI135*J135,VALUE('Capacity summary'!J47)),0),J135*$BI135),J135*$BI135),0)</f>
        <v>0</v>
      </c>
      <c r="BN135" s="5">
        <f>IF($BI135&lt;&gt;"",IF('Capacity summary'!$C$14="Yes",IF(COUNTBLANK('Capacity summary'!$H47:$BG47)&lt;52,IF('Capacity summary'!K47&lt;&gt;"",IF(LOWER('Capacity summary'!K47)="x",$BI135*K135,VALUE('Capacity summary'!K47)),0),K135*$BI135),K135*$BI135),0)</f>
        <v>0</v>
      </c>
      <c r="BO135" s="5">
        <f>IF($BI135&lt;&gt;"",IF('Capacity summary'!$C$14="Yes",IF(COUNTBLANK('Capacity summary'!$H47:$BG47)&lt;52,IF('Capacity summary'!L47&lt;&gt;"",IF(LOWER('Capacity summary'!L47)="x",$BI135*L135,VALUE('Capacity summary'!L47)),0),L135*$BI135),L135*$BI135),0)</f>
        <v>0</v>
      </c>
      <c r="BP135" s="5">
        <f>IF($BI135&lt;&gt;"",IF('Capacity summary'!$C$14="Yes",IF(COUNTBLANK('Capacity summary'!$H47:$BG47)&lt;52,IF('Capacity summary'!M47&lt;&gt;"",IF(LOWER('Capacity summary'!M47)="x",$BI135*M135,VALUE('Capacity summary'!M47)),0),M135*$BI135),M135*$BI135),0)</f>
        <v>0</v>
      </c>
      <c r="BQ135" s="5">
        <f>IF($BI135&lt;&gt;"",IF('Capacity summary'!$C$14="Yes",IF(COUNTBLANK('Capacity summary'!$H47:$BG47)&lt;52,IF('Capacity summary'!N47&lt;&gt;"",IF(LOWER('Capacity summary'!N47)="x",$BI135*N135,VALUE('Capacity summary'!N47)),0),N135*$BI135),N135*$BI135),0)</f>
        <v>0</v>
      </c>
      <c r="BR135" s="5">
        <f>IF($BI135&lt;&gt;"",IF('Capacity summary'!$C$14="Yes",IF(COUNTBLANK('Capacity summary'!$H47:$BG47)&lt;52,IF('Capacity summary'!O47&lt;&gt;"",IF(LOWER('Capacity summary'!O47)="x",$BI135*O135,VALUE('Capacity summary'!O47)),0),O135*$BI135),O135*$BI135),0)</f>
        <v>0</v>
      </c>
      <c r="BS135" s="5">
        <f>IF($BI135&lt;&gt;"",IF('Capacity summary'!$C$14="Yes",IF(COUNTBLANK('Capacity summary'!$H47:$BG47)&lt;52,IF('Capacity summary'!P47&lt;&gt;"",IF(LOWER('Capacity summary'!P47)="x",$BI135*P135,VALUE('Capacity summary'!P47)),0),P135*$BI135),P135*$BI135),0)</f>
        <v>0</v>
      </c>
      <c r="BT135" s="5">
        <f>IF($BI135&lt;&gt;"",IF('Capacity summary'!$C$14="Yes",IF(COUNTBLANK('Capacity summary'!$H47:$BG47)&lt;52,IF('Capacity summary'!Q47&lt;&gt;"",IF(LOWER('Capacity summary'!Q47)="x",$BI135*Q135,VALUE('Capacity summary'!Q47)),0),Q135*$BI135),Q135*$BI135),0)</f>
        <v>0</v>
      </c>
      <c r="BU135" s="5">
        <f>IF($BI135&lt;&gt;"",IF('Capacity summary'!$C$14="Yes",IF(COUNTBLANK('Capacity summary'!$H47:$BG47)&lt;52,IF('Capacity summary'!R47&lt;&gt;"",IF(LOWER('Capacity summary'!R47)="x",$BI135*R135,VALUE('Capacity summary'!R47)),0),R135*$BI135),R135*$BI135),0)</f>
        <v>0</v>
      </c>
      <c r="BV135" s="5">
        <f>IF($BI135&lt;&gt;"",IF('Capacity summary'!$C$14="Yes",IF(COUNTBLANK('Capacity summary'!$H47:$BG47)&lt;52,IF('Capacity summary'!S47&lt;&gt;"",IF(LOWER('Capacity summary'!S47)="x",$BI135*S135,VALUE('Capacity summary'!S47)),0),S135*$BI135),S135*$BI135),0)</f>
        <v>0</v>
      </c>
      <c r="BW135" s="5">
        <f>IF($BI135&lt;&gt;"",IF('Capacity summary'!$C$14="Yes",IF(COUNTBLANK('Capacity summary'!$H47:$BG47)&lt;52,IF('Capacity summary'!T47&lt;&gt;"",IF(LOWER('Capacity summary'!T47)="x",$BI135*T135,VALUE('Capacity summary'!T47)),0),T135*$BI135),T135*$BI135),0)</f>
        <v>0</v>
      </c>
      <c r="BX135" s="5">
        <f>IF($BI135&lt;&gt;"",IF('Capacity summary'!$C$14="Yes",IF(COUNTBLANK('Capacity summary'!$H47:$BG47)&lt;52,IF('Capacity summary'!U47&lt;&gt;"",IF(LOWER('Capacity summary'!U47)="x",$BI135*U135,VALUE('Capacity summary'!U47)),0),U135*$BI135),U135*$BI135),0)</f>
        <v>0</v>
      </c>
      <c r="BY135" s="5">
        <f>IF($BI135&lt;&gt;"",IF('Capacity summary'!$C$14="Yes",IF(COUNTBLANK('Capacity summary'!$H47:$BG47)&lt;52,IF('Capacity summary'!V47&lt;&gt;"",IF(LOWER('Capacity summary'!V47)="x",$BI135*V135,VALUE('Capacity summary'!V47)),0),V135*$BI135),V135*$BI135),0)</f>
        <v>0</v>
      </c>
      <c r="BZ135" s="5">
        <f>IF($BI135&lt;&gt;"",IF('Capacity summary'!$C$14="Yes",IF(COUNTBLANK('Capacity summary'!$H47:$BG47)&lt;52,IF('Capacity summary'!W47&lt;&gt;"",IF(LOWER('Capacity summary'!W47)="x",$BI135*W135,VALUE('Capacity summary'!W47)),0),W135*$BI135),W135*$BI135),0)</f>
        <v>0</v>
      </c>
      <c r="CA135" s="5">
        <f>IF($BI135&lt;&gt;"",IF('Capacity summary'!$C$14="Yes",IF(COUNTBLANK('Capacity summary'!$H47:$BG47)&lt;52,IF('Capacity summary'!X47&lt;&gt;"",IF(LOWER('Capacity summary'!X47)="x",$BI135*X135,VALUE('Capacity summary'!X47)),0),X135*$BI135),X135*$BI135),0)</f>
        <v>0</v>
      </c>
      <c r="CB135" s="5">
        <f>IF($BI135&lt;&gt;"",IF('Capacity summary'!$C$14="Yes",IF(COUNTBLANK('Capacity summary'!$H47:$BG47)&lt;52,IF('Capacity summary'!Y47&lt;&gt;"",IF(LOWER('Capacity summary'!Y47)="x",$BI135*Y135,VALUE('Capacity summary'!Y47)),0),Y135*$BI135),Y135*$BI135),0)</f>
        <v>0</v>
      </c>
      <c r="CC135" s="5">
        <f>IF($BI135&lt;&gt;"",IF('Capacity summary'!$C$14="Yes",IF(COUNTBLANK('Capacity summary'!$H47:$BG47)&lt;52,IF('Capacity summary'!Z47&lt;&gt;"",IF(LOWER('Capacity summary'!Z47)="x",$BI135*Z135,VALUE('Capacity summary'!Z47)),0),Z135*$BI135),Z135*$BI135),0)</f>
        <v>0</v>
      </c>
      <c r="CD135" s="5">
        <f>IF($BI135&lt;&gt;"",IF('Capacity summary'!$C$14="Yes",IF(COUNTBLANK('Capacity summary'!$H47:$BG47)&lt;52,IF('Capacity summary'!AA47&lt;&gt;"",IF(LOWER('Capacity summary'!AA47)="x",$BI135*AA135,VALUE('Capacity summary'!AA47)),0),AA135*$BI135),AA135*$BI135),0)</f>
        <v>0</v>
      </c>
      <c r="CE135" s="5">
        <f>IF($BI135&lt;&gt;"",IF('Capacity summary'!$C$14="Yes",IF(COUNTBLANK('Capacity summary'!$H47:$BG47)&lt;52,IF('Capacity summary'!AB47&lt;&gt;"",IF(LOWER('Capacity summary'!AB47)="x",$BI135*AB135,VALUE('Capacity summary'!AB47)),0),AB135*$BI135),AB135*$BI135),0)</f>
        <v>0</v>
      </c>
      <c r="CF135" s="5">
        <f>IF($BI135&lt;&gt;"",IF('Capacity summary'!$C$14="Yes",IF(COUNTBLANK('Capacity summary'!$H47:$BG47)&lt;52,IF('Capacity summary'!AC47&lt;&gt;"",IF(LOWER('Capacity summary'!AC47)="x",$BI135*AC135,VALUE('Capacity summary'!AC47)),0),AC135*$BI135),AC135*$BI135),0)</f>
        <v>0</v>
      </c>
      <c r="CG135" s="5">
        <f>IF($BI135&lt;&gt;"",IF('Capacity summary'!$C$14="Yes",IF(COUNTBLANK('Capacity summary'!$H47:$BG47)&lt;52,IF('Capacity summary'!AD47&lt;&gt;"",IF(LOWER('Capacity summary'!AD47)="x",$BI135*AD135,VALUE('Capacity summary'!AD47)),0),AD135*$BI135),AD135*$BI135),0)</f>
        <v>0</v>
      </c>
      <c r="CH135" s="5">
        <f>IF($BI135&lt;&gt;"",IF('Capacity summary'!$C$14="Yes",IF(COUNTBLANK('Capacity summary'!$H47:$BG47)&lt;52,IF('Capacity summary'!AE47&lt;&gt;"",IF(LOWER('Capacity summary'!AE47)="x",$BI135*AE135,VALUE('Capacity summary'!AE47)),0),AE135*$BI135),AE135*$BI135),0)</f>
        <v>0</v>
      </c>
      <c r="CI135" s="5">
        <f>IF($BI135&lt;&gt;"",IF('Capacity summary'!$C$14="Yes",IF(COUNTBLANK('Capacity summary'!$H47:$BG47)&lt;52,IF('Capacity summary'!AF47&lt;&gt;"",IF(LOWER('Capacity summary'!AF47)="x",$BI135*AF135,VALUE('Capacity summary'!AF47)),0),AF135*$BI135),AF135*$BI135),0)</f>
        <v>0</v>
      </c>
      <c r="CJ135" s="5">
        <f>IF($BI135&lt;&gt;"",IF('Capacity summary'!$C$14="Yes",IF(COUNTBLANK('Capacity summary'!$H47:$BG47)&lt;52,IF('Capacity summary'!AG47&lt;&gt;"",IF(LOWER('Capacity summary'!AG47)="x",$BI135*AG135,VALUE('Capacity summary'!AG47)),0),AG135*$BI135),AG135*$BI135),0)</f>
        <v>0</v>
      </c>
      <c r="CK135" s="5">
        <f>IF($BI135&lt;&gt;"",IF('Capacity summary'!$C$14="Yes",IF(COUNTBLANK('Capacity summary'!$H47:$BG47)&lt;52,IF('Capacity summary'!AH47&lt;&gt;"",IF(LOWER('Capacity summary'!AH47)="x",$BI135*AH135,VALUE('Capacity summary'!AH47)),0),AH135*$BI135),AH135*$BI135),0)</f>
        <v>0</v>
      </c>
      <c r="CL135" s="5">
        <f>IF($BI135&lt;&gt;"",IF('Capacity summary'!$C$14="Yes",IF(COUNTBLANK('Capacity summary'!$H47:$BG47)&lt;52,IF('Capacity summary'!AI47&lt;&gt;"",IF(LOWER('Capacity summary'!AI47)="x",$BI135*AI135,VALUE('Capacity summary'!AI47)),0),AI135*$BI135),AI135*$BI135),0)</f>
        <v>0</v>
      </c>
      <c r="CM135" s="5">
        <f>IF($BI135&lt;&gt;"",IF('Capacity summary'!$C$14="Yes",IF(COUNTBLANK('Capacity summary'!$H47:$BG47)&lt;52,IF('Capacity summary'!AJ47&lt;&gt;"",IF(LOWER('Capacity summary'!AJ47)="x",$BI135*AJ135,VALUE('Capacity summary'!AJ47)),0),AJ135*$BI135),AJ135*$BI135),0)</f>
        <v>0</v>
      </c>
      <c r="CN135" s="5">
        <f>IF($BI135&lt;&gt;"",IF('Capacity summary'!$C$14="Yes",IF(COUNTBLANK('Capacity summary'!$H47:$BG47)&lt;52,IF('Capacity summary'!AK47&lt;&gt;"",IF(LOWER('Capacity summary'!AK47)="x",$BI135*AK135,VALUE('Capacity summary'!AK47)),0),AK135*$BI135),AK135*$BI135),0)</f>
        <v>0</v>
      </c>
      <c r="CO135" s="5">
        <f>IF($BI135&lt;&gt;"",IF('Capacity summary'!$C$14="Yes",IF(COUNTBLANK('Capacity summary'!$H47:$BG47)&lt;52,IF('Capacity summary'!AL47&lt;&gt;"",IF(LOWER('Capacity summary'!AL47)="x",$BI135*AL135,VALUE('Capacity summary'!AL47)),0),AL135*$BI135),AL135*$BI135),0)</f>
        <v>0</v>
      </c>
      <c r="CP135" s="5">
        <f>IF($BI135&lt;&gt;"",IF('Capacity summary'!$C$14="Yes",IF(COUNTBLANK('Capacity summary'!$H47:$BG47)&lt;52,IF('Capacity summary'!AM47&lt;&gt;"",IF(LOWER('Capacity summary'!AM47)="x",$BI135*AM135,VALUE('Capacity summary'!AM47)),0),AM135*$BI135),AM135*$BI135),0)</f>
        <v>0</v>
      </c>
      <c r="CQ135" s="5">
        <f>IF($BI135&lt;&gt;"",IF('Capacity summary'!$C$14="Yes",IF(COUNTBLANK('Capacity summary'!$H47:$BG47)&lt;52,IF('Capacity summary'!AN47&lt;&gt;"",IF(LOWER('Capacity summary'!AN47)="x",$BI135*AN135,VALUE('Capacity summary'!AN47)),0),AN135*$BI135),AN135*$BI135),0)</f>
        <v>0</v>
      </c>
      <c r="CR135" s="5">
        <f>IF($BI135&lt;&gt;"",IF('Capacity summary'!$C$14="Yes",IF(COUNTBLANK('Capacity summary'!$H47:$BG47)&lt;52,IF('Capacity summary'!AO47&lt;&gt;"",IF(LOWER('Capacity summary'!AO47)="x",$BI135*AO135,VALUE('Capacity summary'!AO47)),0),AO135*$BI135),AO135*$BI135),0)</f>
        <v>0</v>
      </c>
      <c r="CS135" s="5">
        <f>IF($BI135&lt;&gt;"",IF('Capacity summary'!$C$14="Yes",IF(COUNTBLANK('Capacity summary'!$H47:$BG47)&lt;52,IF('Capacity summary'!AP47&lt;&gt;"",IF(LOWER('Capacity summary'!AP47)="x",$BI135*AP135,VALUE('Capacity summary'!AP47)),0),AP135*$BI135),AP135*$BI135),0)</f>
        <v>0</v>
      </c>
      <c r="CT135" s="5">
        <f>IF($BI135&lt;&gt;"",IF('Capacity summary'!$C$14="Yes",IF(COUNTBLANK('Capacity summary'!$H47:$BG47)&lt;52,IF('Capacity summary'!AQ47&lt;&gt;"",IF(LOWER('Capacity summary'!AQ47)="x",$BI135*AQ135,VALUE('Capacity summary'!AQ47)),0),AQ135*$BI135),AQ135*$BI135),0)</f>
        <v>0</v>
      </c>
      <c r="CU135" s="5">
        <f>IF($BI135&lt;&gt;"",IF('Capacity summary'!$C$14="Yes",IF(COUNTBLANK('Capacity summary'!$H47:$BG47)&lt;52,IF('Capacity summary'!AR47&lt;&gt;"",IF(LOWER('Capacity summary'!AR47)="x",$BI135*AR135,VALUE('Capacity summary'!AR47)),0),AR135*$BI135),AR135*$BI135),0)</f>
        <v>0</v>
      </c>
      <c r="CV135" s="5">
        <f>IF($BI135&lt;&gt;"",IF('Capacity summary'!$C$14="Yes",IF(COUNTBLANK('Capacity summary'!$H47:$BG47)&lt;52,IF('Capacity summary'!AS47&lt;&gt;"",IF(LOWER('Capacity summary'!AS47)="x",$BI135*AS135,VALUE('Capacity summary'!AS47)),0),AS135*$BI135),AS135*$BI135),0)</f>
        <v>0</v>
      </c>
      <c r="CW135" s="5">
        <f>IF($BI135&lt;&gt;"",IF('Capacity summary'!$C$14="Yes",IF(COUNTBLANK('Capacity summary'!$H47:$BG47)&lt;52,IF('Capacity summary'!AT47&lt;&gt;"",IF(LOWER('Capacity summary'!AT47)="x",$BI135*AT135,VALUE('Capacity summary'!AT47)),0),AT135*$BI135),AT135*$BI135),0)</f>
        <v>0</v>
      </c>
      <c r="CX135" s="5">
        <f>IF($BI135&lt;&gt;"",IF('Capacity summary'!$C$14="Yes",IF(COUNTBLANK('Capacity summary'!$H47:$BG47)&lt;52,IF('Capacity summary'!AU47&lt;&gt;"",IF(LOWER('Capacity summary'!AU47)="x",$BI135*AU135,VALUE('Capacity summary'!AU47)),0),AU135*$BI135),AU135*$BI135),0)</f>
        <v>0</v>
      </c>
      <c r="CY135" s="5">
        <f>IF($BI135&lt;&gt;"",IF('Capacity summary'!$C$14="Yes",IF(COUNTBLANK('Capacity summary'!$H47:$BG47)&lt;52,IF('Capacity summary'!AV47&lt;&gt;"",IF(LOWER('Capacity summary'!AV47)="x",$BI135*AV135,VALUE('Capacity summary'!AV47)),0),AV135*$BI135),AV135*$BI135),0)</f>
        <v>0</v>
      </c>
      <c r="CZ135" s="5">
        <f>IF($BI135&lt;&gt;"",IF('Capacity summary'!$C$14="Yes",IF(COUNTBLANK('Capacity summary'!$H47:$BG47)&lt;52,IF('Capacity summary'!AW47&lt;&gt;"",IF(LOWER('Capacity summary'!AW47)="x",$BI135*AW135,VALUE('Capacity summary'!AW47)),0),AW135*$BI135),AW135*$BI135),0)</f>
        <v>0</v>
      </c>
      <c r="DA135" s="5">
        <f>IF($BI135&lt;&gt;"",IF('Capacity summary'!$C$14="Yes",IF(COUNTBLANK('Capacity summary'!$H47:$BG47)&lt;52,IF('Capacity summary'!AX47&lt;&gt;"",IF(LOWER('Capacity summary'!AX47)="x",$BI135*AX135,VALUE('Capacity summary'!AX47)),0),AX135*$BI135),AX135*$BI135),0)</f>
        <v>0</v>
      </c>
      <c r="DB135" s="5">
        <f>IF($BI135&lt;&gt;"",IF('Capacity summary'!$C$14="Yes",IF(COUNTBLANK('Capacity summary'!$H47:$BG47)&lt;52,IF('Capacity summary'!AY47&lt;&gt;"",IF(LOWER('Capacity summary'!AY47)="x",$BI135*AY135,VALUE('Capacity summary'!AY47)),0),AY135*$BI135),AY135*$BI135),0)</f>
        <v>0</v>
      </c>
      <c r="DC135" s="5">
        <f>IF($BI135&lt;&gt;"",IF('Capacity summary'!$C$14="Yes",IF(COUNTBLANK('Capacity summary'!$H47:$BG47)&lt;52,IF('Capacity summary'!AZ47&lt;&gt;"",IF(LOWER('Capacity summary'!AZ47)="x",$BI135*AZ135,VALUE('Capacity summary'!AZ47)),0),AZ135*$BI135),AZ135*$BI135),0)</f>
        <v>0</v>
      </c>
      <c r="DD135" s="5">
        <f>IF($BI135&lt;&gt;"",IF('Capacity summary'!$C$14="Yes",IF(COUNTBLANK('Capacity summary'!$H47:$BG47)&lt;52,IF('Capacity summary'!BA47&lt;&gt;"",IF(LOWER('Capacity summary'!BA47)="x",$BI135*BA135,VALUE('Capacity summary'!BA47)),0),BA135*$BI135),BA135*$BI135),0)</f>
        <v>0</v>
      </c>
      <c r="DE135" s="5">
        <f>IF($BI135&lt;&gt;"",IF('Capacity summary'!$C$14="Yes",IF(COUNTBLANK('Capacity summary'!$H47:$BG47)&lt;52,IF('Capacity summary'!BB47&lt;&gt;"",IF(LOWER('Capacity summary'!BB47)="x",$BI135*BB135,VALUE('Capacity summary'!BB47)),0),BB135*$BI135),BB135*$BI135),0)</f>
        <v>0</v>
      </c>
      <c r="DF135" s="5">
        <f>IF($BI135&lt;&gt;"",IF('Capacity summary'!$C$14="Yes",IF(COUNTBLANK('Capacity summary'!$H47:$BG47)&lt;52,IF('Capacity summary'!BC47&lt;&gt;"",IF(LOWER('Capacity summary'!BC47)="x",$BI135*BC135,VALUE('Capacity summary'!BC47)),0),BC135*$BI135),BC135*$BI135),0)</f>
        <v>0</v>
      </c>
      <c r="DG135" s="5">
        <f>IF($BI135&lt;&gt;"",IF('Capacity summary'!$C$14="Yes",IF(COUNTBLANK('Capacity summary'!$H47:$BG47)&lt;52,IF('Capacity summary'!BD47&lt;&gt;"",IF(LOWER('Capacity summary'!BD47)="x",$BI135*BD135,VALUE('Capacity summary'!BD47)),0),BD135*$BI135),BD135*$BI135),0)</f>
        <v>0</v>
      </c>
      <c r="DH135" s="5">
        <f>IF($BI135&lt;&gt;"",IF('Capacity summary'!$C$14="Yes",IF(COUNTBLANK('Capacity summary'!$H47:$BG47)&lt;52,IF('Capacity summary'!BE47&lt;&gt;"",IF(LOWER('Capacity summary'!BE47)="x",$BI135*BE135,VALUE('Capacity summary'!BE47)),0),BE135*$BI135),BE135*$BI135),0)</f>
        <v>0</v>
      </c>
      <c r="DI135" s="5">
        <f>IF($BI135&lt;&gt;"",IF('Capacity summary'!$C$14="Yes",IF(COUNTBLANK('Capacity summary'!$H47:$BG47)&lt;52,IF('Capacity summary'!BF47&lt;&gt;"",IF(LOWER('Capacity summary'!BF47)="x",$BI135*BF135,VALUE('Capacity summary'!BF47)),0),BF135*$BI135),BF135*$BI135),0)</f>
        <v>0</v>
      </c>
      <c r="DJ135" s="5">
        <f>IF($BI135&lt;&gt;"",IF('Capacity summary'!$C$14="Yes",IF(COUNTBLANK('Capacity summary'!$H47:$BG47)&lt;52,IF('Capacity summary'!BG47&lt;&gt;"",IF(LOWER('Capacity summary'!BG47)="x",$BI135*BG135,VALUE('Capacity summary'!BG47)),0),BG135*$BI135),BG135*$BI135),0)</f>
        <v>0</v>
      </c>
      <c r="DK135" s="391">
        <f t="shared" si="8"/>
        <v>0</v>
      </c>
      <c r="DL135" s="5">
        <f t="shared" si="9"/>
        <v>0</v>
      </c>
    </row>
    <row r="136" spans="3:116" x14ac:dyDescent="0.2">
      <c r="C136" s="67" t="str">
        <f>ROW(A25)&amp;". "&amp;Capacity!N41</f>
        <v xml:space="preserve">25. </v>
      </c>
      <c r="D136" s="67">
        <f>'Capacity setup'!C142</f>
        <v>0</v>
      </c>
      <c r="E136" s="67">
        <f>'Capacity setup'!D142</f>
        <v>0</v>
      </c>
      <c r="F136" s="67">
        <f>'Capacity setup'!E142</f>
        <v>0</v>
      </c>
      <c r="H136" s="67">
        <f ca="1">IF(LOWER(Capacity!$V41)="x",IF(AND(SUMIF(Capacity_Resource,$D136,'Critical resources (hide)'!U$6:U$105)+SUMIF(Capacity_Resource,$E136,'Critical resources (hide)'!U$6:U$105)+SUMIF(Capacity_Resource,$F136,'Critical resources (hide)'!U$6:U$105)&gt;0,$E$1=2),0,1),0)</f>
        <v>1</v>
      </c>
      <c r="I136" s="67">
        <f ca="1">IF(LOWER(Capacity!$V41)="x",IF(AND(SUMIF(Capacity_Resource,$D136,'Critical resources (hide)'!V$6:V$105)+SUMIF(Capacity_Resource,$E136,'Critical resources (hide)'!V$6:V$105)+SUMIF(Capacity_Resource,$F136,'Critical resources (hide)'!V$6:V$105)&gt;0,$E$1=2),0,1),0)</f>
        <v>1</v>
      </c>
      <c r="J136" s="67">
        <f ca="1">IF(LOWER(Capacity!$V41)="x",IF(AND(SUMIF(Capacity_Resource,$D136,'Critical resources (hide)'!W$6:W$105)+SUMIF(Capacity_Resource,$E136,'Critical resources (hide)'!W$6:W$105)+SUMIF(Capacity_Resource,$F136,'Critical resources (hide)'!W$6:W$105)&gt;0,$E$1=2),0,1),0)</f>
        <v>1</v>
      </c>
      <c r="K136" s="67">
        <f ca="1">IF(LOWER(Capacity!$V41)="x",IF(AND(SUMIF(Capacity_Resource,$D136,'Critical resources (hide)'!X$6:X$105)+SUMIF(Capacity_Resource,$E136,'Critical resources (hide)'!X$6:X$105)+SUMIF(Capacity_Resource,$F136,'Critical resources (hide)'!X$6:X$105)&gt;0,$E$1=2),0,1),0)</f>
        <v>1</v>
      </c>
      <c r="L136" s="67">
        <f ca="1">IF(LOWER(Capacity!$V41)="x",IF(AND(SUMIF(Capacity_Resource,$D136,'Critical resources (hide)'!Y$6:Y$105)+SUMIF(Capacity_Resource,$E136,'Critical resources (hide)'!Y$6:Y$105)+SUMIF(Capacity_Resource,$F136,'Critical resources (hide)'!Y$6:Y$105)&gt;0,$E$1=2),0,1),0)</f>
        <v>1</v>
      </c>
      <c r="M136" s="67">
        <f ca="1">IF(LOWER(Capacity!$V41)="x",IF(AND(SUMIF(Capacity_Resource,$D136,'Critical resources (hide)'!Z$6:Z$105)+SUMIF(Capacity_Resource,$E136,'Critical resources (hide)'!Z$6:Z$105)+SUMIF(Capacity_Resource,$F136,'Critical resources (hide)'!Z$6:Z$105)&gt;0,$E$1=2),0,1),0)</f>
        <v>1</v>
      </c>
      <c r="N136" s="67">
        <f ca="1">IF(LOWER(Capacity!$V41)="x",IF(AND(SUMIF(Capacity_Resource,$D136,'Critical resources (hide)'!AA$6:AA$105)+SUMIF(Capacity_Resource,$E136,'Critical resources (hide)'!AA$6:AA$105)+SUMIF(Capacity_Resource,$F136,'Critical resources (hide)'!AA$6:AA$105)&gt;0,$E$1=2),0,1),0)</f>
        <v>1</v>
      </c>
      <c r="O136" s="67">
        <f ca="1">IF(LOWER(Capacity!$V41)="x",IF(AND(SUMIF(Capacity_Resource,$D136,'Critical resources (hide)'!AB$6:AB$105)+SUMIF(Capacity_Resource,$E136,'Critical resources (hide)'!AB$6:AB$105)+SUMIF(Capacity_Resource,$F136,'Critical resources (hide)'!AB$6:AB$105)&gt;0,$E$1=2),0,1),0)</f>
        <v>1</v>
      </c>
      <c r="P136" s="67">
        <f ca="1">IF(LOWER(Capacity!$V41)="x",IF(AND(SUMIF(Capacity_Resource,$D136,'Critical resources (hide)'!AC$6:AC$105)+SUMIF(Capacity_Resource,$E136,'Critical resources (hide)'!AC$6:AC$105)+SUMIF(Capacity_Resource,$F136,'Critical resources (hide)'!AC$6:AC$105)&gt;0,$E$1=2),0,1),0)</f>
        <v>1</v>
      </c>
      <c r="Q136" s="67">
        <f ca="1">IF(LOWER(Capacity!$V41)="x",IF(AND(SUMIF(Capacity_Resource,$D136,'Critical resources (hide)'!AD$6:AD$105)+SUMIF(Capacity_Resource,$E136,'Critical resources (hide)'!AD$6:AD$105)+SUMIF(Capacity_Resource,$F136,'Critical resources (hide)'!AD$6:AD$105)&gt;0,$E$1=2),0,1),0)</f>
        <v>1</v>
      </c>
      <c r="R136" s="67">
        <f ca="1">IF(LOWER(Capacity!$V41)="x",IF(AND(SUMIF(Capacity_Resource,$D136,'Critical resources (hide)'!AE$6:AE$105)+SUMIF(Capacity_Resource,$E136,'Critical resources (hide)'!AE$6:AE$105)+SUMIF(Capacity_Resource,$F136,'Critical resources (hide)'!AE$6:AE$105)&gt;0,$E$1=2),0,1),0)</f>
        <v>1</v>
      </c>
      <c r="S136" s="67">
        <f ca="1">IF(LOWER(Capacity!$V41)="x",IF(AND(SUMIF(Capacity_Resource,$D136,'Critical resources (hide)'!AF$6:AF$105)+SUMIF(Capacity_Resource,$E136,'Critical resources (hide)'!AF$6:AF$105)+SUMIF(Capacity_Resource,$F136,'Critical resources (hide)'!AF$6:AF$105)&gt;0,$E$1=2),0,1),0)</f>
        <v>1</v>
      </c>
      <c r="T136" s="67">
        <f ca="1">IF(LOWER(Capacity!$V41)="x",IF(AND(SUMIF(Capacity_Resource,$D136,'Critical resources (hide)'!AG$6:AG$105)+SUMIF(Capacity_Resource,$E136,'Critical resources (hide)'!AG$6:AG$105)+SUMIF(Capacity_Resource,$F136,'Critical resources (hide)'!AG$6:AG$105)&gt;0,$E$1=2),0,1),0)</f>
        <v>1</v>
      </c>
      <c r="U136" s="67">
        <f ca="1">IF(LOWER(Capacity!$V41)="x",IF(AND(SUMIF(Capacity_Resource,$D136,'Critical resources (hide)'!AH$6:AH$105)+SUMIF(Capacity_Resource,$E136,'Critical resources (hide)'!AH$6:AH$105)+SUMIF(Capacity_Resource,$F136,'Critical resources (hide)'!AH$6:AH$105)&gt;0,$E$1=2),0,1),0)</f>
        <v>1</v>
      </c>
      <c r="V136" s="67">
        <f ca="1">IF(LOWER(Capacity!$V41)="x",IF(AND(SUMIF(Capacity_Resource,$D136,'Critical resources (hide)'!AI$6:AI$105)+SUMIF(Capacity_Resource,$E136,'Critical resources (hide)'!AI$6:AI$105)+SUMIF(Capacity_Resource,$F136,'Critical resources (hide)'!AI$6:AI$105)&gt;0,$E$1=2),0,1),0)</f>
        <v>1</v>
      </c>
      <c r="W136" s="67">
        <f ca="1">IF(LOWER(Capacity!$V41)="x",IF(AND(SUMIF(Capacity_Resource,$D136,'Critical resources (hide)'!AJ$6:AJ$105)+SUMIF(Capacity_Resource,$E136,'Critical resources (hide)'!AJ$6:AJ$105)+SUMIF(Capacity_Resource,$F136,'Critical resources (hide)'!AJ$6:AJ$105)&gt;0,$E$1=2),0,1),0)</f>
        <v>1</v>
      </c>
      <c r="X136" s="67">
        <f ca="1">IF(LOWER(Capacity!$V41)="x",IF(AND(SUMIF(Capacity_Resource,$D136,'Critical resources (hide)'!AK$6:AK$105)+SUMIF(Capacity_Resource,$E136,'Critical resources (hide)'!AK$6:AK$105)+SUMIF(Capacity_Resource,$F136,'Critical resources (hide)'!AK$6:AK$105)&gt;0,$E$1=2),0,1),0)</f>
        <v>1</v>
      </c>
      <c r="Y136" s="67">
        <f ca="1">IF(LOWER(Capacity!$V41)="x",IF(AND(SUMIF(Capacity_Resource,$D136,'Critical resources (hide)'!AL$6:AL$105)+SUMIF(Capacity_Resource,$E136,'Critical resources (hide)'!AL$6:AL$105)+SUMIF(Capacity_Resource,$F136,'Critical resources (hide)'!AL$6:AL$105)&gt;0,$E$1=2),0,1),0)</f>
        <v>1</v>
      </c>
      <c r="Z136" s="67">
        <f ca="1">IF(LOWER(Capacity!$V41)="x",IF(AND(SUMIF(Capacity_Resource,$D136,'Critical resources (hide)'!AM$6:AM$105)+SUMIF(Capacity_Resource,$E136,'Critical resources (hide)'!AM$6:AM$105)+SUMIF(Capacity_Resource,$F136,'Critical resources (hide)'!AM$6:AM$105)&gt;0,$E$1=2),0,1),0)</f>
        <v>1</v>
      </c>
      <c r="AA136" s="67">
        <f ca="1">IF(LOWER(Capacity!$V41)="x",IF(AND(SUMIF(Capacity_Resource,$D136,'Critical resources (hide)'!AN$6:AN$105)+SUMIF(Capacity_Resource,$E136,'Critical resources (hide)'!AN$6:AN$105)+SUMIF(Capacity_Resource,$F136,'Critical resources (hide)'!AN$6:AN$105)&gt;0,$E$1=2),0,1),0)</f>
        <v>1</v>
      </c>
      <c r="AB136" s="67">
        <f ca="1">IF(LOWER(Capacity!$V41)="x",IF(AND(SUMIF(Capacity_Resource,$D136,'Critical resources (hide)'!AO$6:AO$105)+SUMIF(Capacity_Resource,$E136,'Critical resources (hide)'!AO$6:AO$105)+SUMIF(Capacity_Resource,$F136,'Critical resources (hide)'!AO$6:AO$105)&gt;0,$E$1=2),0,1),0)</f>
        <v>1</v>
      </c>
      <c r="AC136" s="67">
        <f ca="1">IF(LOWER(Capacity!$V41)="x",IF(AND(SUMIF(Capacity_Resource,$D136,'Critical resources (hide)'!AP$6:AP$105)+SUMIF(Capacity_Resource,$E136,'Critical resources (hide)'!AP$6:AP$105)+SUMIF(Capacity_Resource,$F136,'Critical resources (hide)'!AP$6:AP$105)&gt;0,$E$1=2),0,1),0)</f>
        <v>1</v>
      </c>
      <c r="AD136" s="67">
        <f ca="1">IF(LOWER(Capacity!$V41)="x",IF(AND(SUMIF(Capacity_Resource,$D136,'Critical resources (hide)'!AQ$6:AQ$105)+SUMIF(Capacity_Resource,$E136,'Critical resources (hide)'!AQ$6:AQ$105)+SUMIF(Capacity_Resource,$F136,'Critical resources (hide)'!AQ$6:AQ$105)&gt;0,$E$1=2),0,1),0)</f>
        <v>1</v>
      </c>
      <c r="AE136" s="67">
        <f ca="1">IF(LOWER(Capacity!$V41)="x",IF(AND(SUMIF(Capacity_Resource,$D136,'Critical resources (hide)'!AR$6:AR$105)+SUMIF(Capacity_Resource,$E136,'Critical resources (hide)'!AR$6:AR$105)+SUMIF(Capacity_Resource,$F136,'Critical resources (hide)'!AR$6:AR$105)&gt;0,$E$1=2),0,1),0)</f>
        <v>1</v>
      </c>
      <c r="AF136" s="67">
        <f ca="1">IF(LOWER(Capacity!$V41)="x",IF(AND(SUMIF(Capacity_Resource,$D136,'Critical resources (hide)'!AS$6:AS$105)+SUMIF(Capacity_Resource,$E136,'Critical resources (hide)'!AS$6:AS$105)+SUMIF(Capacity_Resource,$F136,'Critical resources (hide)'!AS$6:AS$105)&gt;0,$E$1=2),0,1),0)</f>
        <v>1</v>
      </c>
      <c r="AG136" s="67">
        <f ca="1">IF(LOWER(Capacity!$V41)="x",IF(AND(SUMIF(Capacity_Resource,$D136,'Critical resources (hide)'!AT$6:AT$105)+SUMIF(Capacity_Resource,$E136,'Critical resources (hide)'!AT$6:AT$105)+SUMIF(Capacity_Resource,$F136,'Critical resources (hide)'!AT$6:AT$105)&gt;0,$E$1=2),0,1),0)</f>
        <v>1</v>
      </c>
      <c r="AH136" s="67">
        <f ca="1">IF(LOWER(Capacity!$V41)="x",IF(AND(SUMIF(Capacity_Resource,$D136,'Critical resources (hide)'!AU$6:AU$105)+SUMIF(Capacity_Resource,$E136,'Critical resources (hide)'!AU$6:AU$105)+SUMIF(Capacity_Resource,$F136,'Critical resources (hide)'!AU$6:AU$105)&gt;0,$E$1=2),0,1),0)</f>
        <v>1</v>
      </c>
      <c r="AI136" s="67">
        <f ca="1">IF(LOWER(Capacity!$V41)="x",IF(AND(SUMIF(Capacity_Resource,$D136,'Critical resources (hide)'!AV$6:AV$105)+SUMIF(Capacity_Resource,$E136,'Critical resources (hide)'!AV$6:AV$105)+SUMIF(Capacity_Resource,$F136,'Critical resources (hide)'!AV$6:AV$105)&gt;0,$E$1=2),0,1),0)</f>
        <v>1</v>
      </c>
      <c r="AJ136" s="67">
        <f ca="1">IF(LOWER(Capacity!$V41)="x",IF(AND(SUMIF(Capacity_Resource,$D136,'Critical resources (hide)'!AW$6:AW$105)+SUMIF(Capacity_Resource,$E136,'Critical resources (hide)'!AW$6:AW$105)+SUMIF(Capacity_Resource,$F136,'Critical resources (hide)'!AW$6:AW$105)&gt;0,$E$1=2),0,1),0)</f>
        <v>1</v>
      </c>
      <c r="AK136" s="67">
        <f ca="1">IF(LOWER(Capacity!$V41)="x",IF(AND(SUMIF(Capacity_Resource,$D136,'Critical resources (hide)'!AX$6:AX$105)+SUMIF(Capacity_Resource,$E136,'Critical resources (hide)'!AX$6:AX$105)+SUMIF(Capacity_Resource,$F136,'Critical resources (hide)'!AX$6:AX$105)&gt;0,$E$1=2),0,1),0)</f>
        <v>1</v>
      </c>
      <c r="AL136" s="67">
        <f ca="1">IF(LOWER(Capacity!$V41)="x",IF(AND(SUMIF(Capacity_Resource,$D136,'Critical resources (hide)'!AY$6:AY$105)+SUMIF(Capacity_Resource,$E136,'Critical resources (hide)'!AY$6:AY$105)+SUMIF(Capacity_Resource,$F136,'Critical resources (hide)'!AY$6:AY$105)&gt;0,$E$1=2),0,1),0)</f>
        <v>1</v>
      </c>
      <c r="AM136" s="67">
        <f ca="1">IF(LOWER(Capacity!$V41)="x",IF(AND(SUMIF(Capacity_Resource,$D136,'Critical resources (hide)'!AZ$6:AZ$105)+SUMIF(Capacity_Resource,$E136,'Critical resources (hide)'!AZ$6:AZ$105)+SUMIF(Capacity_Resource,$F136,'Critical resources (hide)'!AZ$6:AZ$105)&gt;0,$E$1=2),0,1),0)</f>
        <v>1</v>
      </c>
      <c r="AN136" s="67">
        <f ca="1">IF(LOWER(Capacity!$V41)="x",IF(AND(SUMIF(Capacity_Resource,$D136,'Critical resources (hide)'!BA$6:BA$105)+SUMIF(Capacity_Resource,$E136,'Critical resources (hide)'!BA$6:BA$105)+SUMIF(Capacity_Resource,$F136,'Critical resources (hide)'!BA$6:BA$105)&gt;0,$E$1=2),0,1),0)</f>
        <v>1</v>
      </c>
      <c r="AO136" s="67">
        <f ca="1">IF(LOWER(Capacity!$V41)="x",IF(AND(SUMIF(Capacity_Resource,$D136,'Critical resources (hide)'!BB$6:BB$105)+SUMIF(Capacity_Resource,$E136,'Critical resources (hide)'!BB$6:BB$105)+SUMIF(Capacity_Resource,$F136,'Critical resources (hide)'!BB$6:BB$105)&gt;0,$E$1=2),0,1),0)</f>
        <v>1</v>
      </c>
      <c r="AP136" s="67">
        <f ca="1">IF(LOWER(Capacity!$V41)="x",IF(AND(SUMIF(Capacity_Resource,$D136,'Critical resources (hide)'!BC$6:BC$105)+SUMIF(Capacity_Resource,$E136,'Critical resources (hide)'!BC$6:BC$105)+SUMIF(Capacity_Resource,$F136,'Critical resources (hide)'!BC$6:BC$105)&gt;0,$E$1=2),0,1),0)</f>
        <v>1</v>
      </c>
      <c r="AQ136" s="67">
        <f ca="1">IF(LOWER(Capacity!$V41)="x",IF(AND(SUMIF(Capacity_Resource,$D136,'Critical resources (hide)'!BD$6:BD$105)+SUMIF(Capacity_Resource,$E136,'Critical resources (hide)'!BD$6:BD$105)+SUMIF(Capacity_Resource,$F136,'Critical resources (hide)'!BD$6:BD$105)&gt;0,$E$1=2),0,1),0)</f>
        <v>1</v>
      </c>
      <c r="AR136" s="67">
        <f ca="1">IF(LOWER(Capacity!$V41)="x",IF(AND(SUMIF(Capacity_Resource,$D136,'Critical resources (hide)'!BE$6:BE$105)+SUMIF(Capacity_Resource,$E136,'Critical resources (hide)'!BE$6:BE$105)+SUMIF(Capacity_Resource,$F136,'Critical resources (hide)'!BE$6:BE$105)&gt;0,$E$1=2),0,1),0)</f>
        <v>1</v>
      </c>
      <c r="AS136" s="67">
        <f ca="1">IF(LOWER(Capacity!$V41)="x",IF(AND(SUMIF(Capacity_Resource,$D136,'Critical resources (hide)'!BF$6:BF$105)+SUMIF(Capacity_Resource,$E136,'Critical resources (hide)'!BF$6:BF$105)+SUMIF(Capacity_Resource,$F136,'Critical resources (hide)'!BF$6:BF$105)&gt;0,$E$1=2),0,1),0)</f>
        <v>1</v>
      </c>
      <c r="AT136" s="67">
        <f ca="1">IF(LOWER(Capacity!$V41)="x",IF(AND(SUMIF(Capacity_Resource,$D136,'Critical resources (hide)'!BG$6:BG$105)+SUMIF(Capacity_Resource,$E136,'Critical resources (hide)'!BG$6:BG$105)+SUMIF(Capacity_Resource,$F136,'Critical resources (hide)'!BG$6:BG$105)&gt;0,$E$1=2),0,1),0)</f>
        <v>1</v>
      </c>
      <c r="AU136" s="67">
        <f ca="1">IF(LOWER(Capacity!$V41)="x",IF(AND(SUMIF(Capacity_Resource,$D136,'Critical resources (hide)'!BH$6:BH$105)+SUMIF(Capacity_Resource,$E136,'Critical resources (hide)'!BH$6:BH$105)+SUMIF(Capacity_Resource,$F136,'Critical resources (hide)'!BH$6:BH$105)&gt;0,$E$1=2),0,1),0)</f>
        <v>1</v>
      </c>
      <c r="AV136" s="67">
        <f ca="1">IF(LOWER(Capacity!$V41)="x",IF(AND(SUMIF(Capacity_Resource,$D136,'Critical resources (hide)'!BI$6:BI$105)+SUMIF(Capacity_Resource,$E136,'Critical resources (hide)'!BI$6:BI$105)+SUMIF(Capacity_Resource,$F136,'Critical resources (hide)'!BI$6:BI$105)&gt;0,$E$1=2),0,1),0)</f>
        <v>1</v>
      </c>
      <c r="AW136" s="67">
        <f ca="1">IF(LOWER(Capacity!$V41)="x",IF(AND(SUMIF(Capacity_Resource,$D136,'Critical resources (hide)'!BJ$6:BJ$105)+SUMIF(Capacity_Resource,$E136,'Critical resources (hide)'!BJ$6:BJ$105)+SUMIF(Capacity_Resource,$F136,'Critical resources (hide)'!BJ$6:BJ$105)&gt;0,$E$1=2),0,1),0)</f>
        <v>1</v>
      </c>
      <c r="AX136" s="67">
        <f ca="1">IF(LOWER(Capacity!$V41)="x",IF(AND(SUMIF(Capacity_Resource,$D136,'Critical resources (hide)'!BK$6:BK$105)+SUMIF(Capacity_Resource,$E136,'Critical resources (hide)'!BK$6:BK$105)+SUMIF(Capacity_Resource,$F136,'Critical resources (hide)'!BK$6:BK$105)&gt;0,$E$1=2),0,1),0)</f>
        <v>1</v>
      </c>
      <c r="AY136" s="67">
        <f ca="1">IF(LOWER(Capacity!$V41)="x",IF(AND(SUMIF(Capacity_Resource,$D136,'Critical resources (hide)'!BL$6:BL$105)+SUMIF(Capacity_Resource,$E136,'Critical resources (hide)'!BL$6:BL$105)+SUMIF(Capacity_Resource,$F136,'Critical resources (hide)'!BL$6:BL$105)&gt;0,$E$1=2),0,1),0)</f>
        <v>1</v>
      </c>
      <c r="AZ136" s="67">
        <f ca="1">IF(LOWER(Capacity!$V41)="x",IF(AND(SUMIF(Capacity_Resource,$D136,'Critical resources (hide)'!BM$6:BM$105)+SUMIF(Capacity_Resource,$E136,'Critical resources (hide)'!BM$6:BM$105)+SUMIF(Capacity_Resource,$F136,'Critical resources (hide)'!BM$6:BM$105)&gt;0,$E$1=2),0,1),0)</f>
        <v>1</v>
      </c>
      <c r="BA136" s="67">
        <f ca="1">IF(LOWER(Capacity!$V41)="x",IF(AND(SUMIF(Capacity_Resource,$D136,'Critical resources (hide)'!BN$6:BN$105)+SUMIF(Capacity_Resource,$E136,'Critical resources (hide)'!BN$6:BN$105)+SUMIF(Capacity_Resource,$F136,'Critical resources (hide)'!BN$6:BN$105)&gt;0,$E$1=2),0,1),0)</f>
        <v>1</v>
      </c>
      <c r="BB136" s="67">
        <f ca="1">IF(LOWER(Capacity!$V41)="x",IF(AND(SUMIF(Capacity_Resource,$D136,'Critical resources (hide)'!BO$6:BO$105)+SUMIF(Capacity_Resource,$E136,'Critical resources (hide)'!BO$6:BO$105)+SUMIF(Capacity_Resource,$F136,'Critical resources (hide)'!BO$6:BO$105)&gt;0,$E$1=2),0,1),0)</f>
        <v>1</v>
      </c>
      <c r="BC136" s="67">
        <f ca="1">IF(LOWER(Capacity!$V41)="x",IF(AND(SUMIF(Capacity_Resource,$D136,'Critical resources (hide)'!BP$6:BP$105)+SUMIF(Capacity_Resource,$E136,'Critical resources (hide)'!BP$6:BP$105)+SUMIF(Capacity_Resource,$F136,'Critical resources (hide)'!BP$6:BP$105)&gt;0,$E$1=2),0,1),0)</f>
        <v>1</v>
      </c>
      <c r="BD136" s="67">
        <f ca="1">IF(LOWER(Capacity!$V41)="x",IF(AND(SUMIF(Capacity_Resource,$D136,'Critical resources (hide)'!BQ$6:BQ$105)+SUMIF(Capacity_Resource,$E136,'Critical resources (hide)'!BQ$6:BQ$105)+SUMIF(Capacity_Resource,$F136,'Critical resources (hide)'!BQ$6:BQ$105)&gt;0,$E$1=2),0,1),0)</f>
        <v>1</v>
      </c>
      <c r="BE136" s="67">
        <f ca="1">IF(LOWER(Capacity!$V41)="x",IF(AND(SUMIF(Capacity_Resource,$D136,'Critical resources (hide)'!BR$6:BR$105)+SUMIF(Capacity_Resource,$E136,'Critical resources (hide)'!BR$6:BR$105)+SUMIF(Capacity_Resource,$F136,'Critical resources (hide)'!BR$6:BR$105)&gt;0,$E$1=2),0,1),0)</f>
        <v>1</v>
      </c>
      <c r="BF136" s="67">
        <f ca="1">IF(LOWER(Capacity!$V41)="x",IF(AND(SUMIF(Capacity_Resource,$D136,'Critical resources (hide)'!BS$6:BS$105)+SUMIF(Capacity_Resource,$E136,'Critical resources (hide)'!BS$6:BS$105)+SUMIF(Capacity_Resource,$F136,'Critical resources (hide)'!BS$6:BS$105)&gt;0,$E$1=2),0,1),0)</f>
        <v>1</v>
      </c>
      <c r="BG136" s="67">
        <f ca="1">IF(LOWER(Capacity!$V41)="x",IF(AND(SUMIF(Capacity_Resource,$D136,'Critical resources (hide)'!BT$6:BT$105)+SUMIF(Capacity_Resource,$E136,'Critical resources (hide)'!BT$6:BT$105)+SUMIF(Capacity_Resource,$F136,'Critical resources (hide)'!BT$6:BT$105)&gt;0,$E$1=2),0,1),0)</f>
        <v>1</v>
      </c>
      <c r="BH136" s="67">
        <f>IF(ROW(A25)&lt;=Capacity!$M$16,IF('Capacity summary'!$C$14="No",SUM(H136:BG136),'Capacity summary'!$E48),0)</f>
        <v>0</v>
      </c>
      <c r="BI136" s="67" t="str">
        <f>IF(BH136&gt;0,IF(BH136&lt;Capacity!Q41,Capacity!R41,Capacity!T41/'Capacity calculation (hide)'!BH136),"")</f>
        <v/>
      </c>
      <c r="BJ136" s="5"/>
      <c r="BK136" s="5">
        <f>IF($BI136&lt;&gt;"",IF('Capacity summary'!$C$14="Yes",IF(COUNTBLANK('Capacity summary'!$H48:$BG48)&lt;52,IF('Capacity summary'!H48&lt;&gt;"",IF(LOWER('Capacity summary'!H48)="x",$BI136*H136,VALUE('Capacity summary'!H48)),0),H136*$BI136),H136*$BI136),0)</f>
        <v>0</v>
      </c>
      <c r="BL136" s="5">
        <f>IF($BI136&lt;&gt;"",IF('Capacity summary'!$C$14="Yes",IF(COUNTBLANK('Capacity summary'!$H48:$BG48)&lt;52,IF('Capacity summary'!I48&lt;&gt;"",IF(LOWER('Capacity summary'!I48)="x",$BI136*I136,VALUE('Capacity summary'!I48)),0),I136*$BI136),I136*$BI136),0)</f>
        <v>0</v>
      </c>
      <c r="BM136" s="5">
        <f>IF($BI136&lt;&gt;"",IF('Capacity summary'!$C$14="Yes",IF(COUNTBLANK('Capacity summary'!$H48:$BG48)&lt;52,IF('Capacity summary'!J48&lt;&gt;"",IF(LOWER('Capacity summary'!J48)="x",$BI136*J136,VALUE('Capacity summary'!J48)),0),J136*$BI136),J136*$BI136),0)</f>
        <v>0</v>
      </c>
      <c r="BN136" s="5">
        <f>IF($BI136&lt;&gt;"",IF('Capacity summary'!$C$14="Yes",IF(COUNTBLANK('Capacity summary'!$H48:$BG48)&lt;52,IF('Capacity summary'!K48&lt;&gt;"",IF(LOWER('Capacity summary'!K48)="x",$BI136*K136,VALUE('Capacity summary'!K48)),0),K136*$BI136),K136*$BI136),0)</f>
        <v>0</v>
      </c>
      <c r="BO136" s="5">
        <f>IF($BI136&lt;&gt;"",IF('Capacity summary'!$C$14="Yes",IF(COUNTBLANK('Capacity summary'!$H48:$BG48)&lt;52,IF('Capacity summary'!L48&lt;&gt;"",IF(LOWER('Capacity summary'!L48)="x",$BI136*L136,VALUE('Capacity summary'!L48)),0),L136*$BI136),L136*$BI136),0)</f>
        <v>0</v>
      </c>
      <c r="BP136" s="5">
        <f>IF($BI136&lt;&gt;"",IF('Capacity summary'!$C$14="Yes",IF(COUNTBLANK('Capacity summary'!$H48:$BG48)&lt;52,IF('Capacity summary'!M48&lt;&gt;"",IF(LOWER('Capacity summary'!M48)="x",$BI136*M136,VALUE('Capacity summary'!M48)),0),M136*$BI136),M136*$BI136),0)</f>
        <v>0</v>
      </c>
      <c r="BQ136" s="5">
        <f>IF($BI136&lt;&gt;"",IF('Capacity summary'!$C$14="Yes",IF(COUNTBLANK('Capacity summary'!$H48:$BG48)&lt;52,IF('Capacity summary'!N48&lt;&gt;"",IF(LOWER('Capacity summary'!N48)="x",$BI136*N136,VALUE('Capacity summary'!N48)),0),N136*$BI136),N136*$BI136),0)</f>
        <v>0</v>
      </c>
      <c r="BR136" s="5">
        <f>IF($BI136&lt;&gt;"",IF('Capacity summary'!$C$14="Yes",IF(COUNTBLANK('Capacity summary'!$H48:$BG48)&lt;52,IF('Capacity summary'!O48&lt;&gt;"",IF(LOWER('Capacity summary'!O48)="x",$BI136*O136,VALUE('Capacity summary'!O48)),0),O136*$BI136),O136*$BI136),0)</f>
        <v>0</v>
      </c>
      <c r="BS136" s="5">
        <f>IF($BI136&lt;&gt;"",IF('Capacity summary'!$C$14="Yes",IF(COUNTBLANK('Capacity summary'!$H48:$BG48)&lt;52,IF('Capacity summary'!P48&lt;&gt;"",IF(LOWER('Capacity summary'!P48)="x",$BI136*P136,VALUE('Capacity summary'!P48)),0),P136*$BI136),P136*$BI136),0)</f>
        <v>0</v>
      </c>
      <c r="BT136" s="5">
        <f>IF($BI136&lt;&gt;"",IF('Capacity summary'!$C$14="Yes",IF(COUNTBLANK('Capacity summary'!$H48:$BG48)&lt;52,IF('Capacity summary'!Q48&lt;&gt;"",IF(LOWER('Capacity summary'!Q48)="x",$BI136*Q136,VALUE('Capacity summary'!Q48)),0),Q136*$BI136),Q136*$BI136),0)</f>
        <v>0</v>
      </c>
      <c r="BU136" s="5">
        <f>IF($BI136&lt;&gt;"",IF('Capacity summary'!$C$14="Yes",IF(COUNTBLANK('Capacity summary'!$H48:$BG48)&lt;52,IF('Capacity summary'!R48&lt;&gt;"",IF(LOWER('Capacity summary'!R48)="x",$BI136*R136,VALUE('Capacity summary'!R48)),0),R136*$BI136),R136*$BI136),0)</f>
        <v>0</v>
      </c>
      <c r="BV136" s="5">
        <f>IF($BI136&lt;&gt;"",IF('Capacity summary'!$C$14="Yes",IF(COUNTBLANK('Capacity summary'!$H48:$BG48)&lt;52,IF('Capacity summary'!S48&lt;&gt;"",IF(LOWER('Capacity summary'!S48)="x",$BI136*S136,VALUE('Capacity summary'!S48)),0),S136*$BI136),S136*$BI136),0)</f>
        <v>0</v>
      </c>
      <c r="BW136" s="5">
        <f>IF($BI136&lt;&gt;"",IF('Capacity summary'!$C$14="Yes",IF(COUNTBLANK('Capacity summary'!$H48:$BG48)&lt;52,IF('Capacity summary'!T48&lt;&gt;"",IF(LOWER('Capacity summary'!T48)="x",$BI136*T136,VALUE('Capacity summary'!T48)),0),T136*$BI136),T136*$BI136),0)</f>
        <v>0</v>
      </c>
      <c r="BX136" s="5">
        <f>IF($BI136&lt;&gt;"",IF('Capacity summary'!$C$14="Yes",IF(COUNTBLANK('Capacity summary'!$H48:$BG48)&lt;52,IF('Capacity summary'!U48&lt;&gt;"",IF(LOWER('Capacity summary'!U48)="x",$BI136*U136,VALUE('Capacity summary'!U48)),0),U136*$BI136),U136*$BI136),0)</f>
        <v>0</v>
      </c>
      <c r="BY136" s="5">
        <f>IF($BI136&lt;&gt;"",IF('Capacity summary'!$C$14="Yes",IF(COUNTBLANK('Capacity summary'!$H48:$BG48)&lt;52,IF('Capacity summary'!V48&lt;&gt;"",IF(LOWER('Capacity summary'!V48)="x",$BI136*V136,VALUE('Capacity summary'!V48)),0),V136*$BI136),V136*$BI136),0)</f>
        <v>0</v>
      </c>
      <c r="BZ136" s="5">
        <f>IF($BI136&lt;&gt;"",IF('Capacity summary'!$C$14="Yes",IF(COUNTBLANK('Capacity summary'!$H48:$BG48)&lt;52,IF('Capacity summary'!W48&lt;&gt;"",IF(LOWER('Capacity summary'!W48)="x",$BI136*W136,VALUE('Capacity summary'!W48)),0),W136*$BI136),W136*$BI136),0)</f>
        <v>0</v>
      </c>
      <c r="CA136" s="5">
        <f>IF($BI136&lt;&gt;"",IF('Capacity summary'!$C$14="Yes",IF(COUNTBLANK('Capacity summary'!$H48:$BG48)&lt;52,IF('Capacity summary'!X48&lt;&gt;"",IF(LOWER('Capacity summary'!X48)="x",$BI136*X136,VALUE('Capacity summary'!X48)),0),X136*$BI136),X136*$BI136),0)</f>
        <v>0</v>
      </c>
      <c r="CB136" s="5">
        <f>IF($BI136&lt;&gt;"",IF('Capacity summary'!$C$14="Yes",IF(COUNTBLANK('Capacity summary'!$H48:$BG48)&lt;52,IF('Capacity summary'!Y48&lt;&gt;"",IF(LOWER('Capacity summary'!Y48)="x",$BI136*Y136,VALUE('Capacity summary'!Y48)),0),Y136*$BI136),Y136*$BI136),0)</f>
        <v>0</v>
      </c>
      <c r="CC136" s="5">
        <f>IF($BI136&lt;&gt;"",IF('Capacity summary'!$C$14="Yes",IF(COUNTBLANK('Capacity summary'!$H48:$BG48)&lt;52,IF('Capacity summary'!Z48&lt;&gt;"",IF(LOWER('Capacity summary'!Z48)="x",$BI136*Z136,VALUE('Capacity summary'!Z48)),0),Z136*$BI136),Z136*$BI136),0)</f>
        <v>0</v>
      </c>
      <c r="CD136" s="5">
        <f>IF($BI136&lt;&gt;"",IF('Capacity summary'!$C$14="Yes",IF(COUNTBLANK('Capacity summary'!$H48:$BG48)&lt;52,IF('Capacity summary'!AA48&lt;&gt;"",IF(LOWER('Capacity summary'!AA48)="x",$BI136*AA136,VALUE('Capacity summary'!AA48)),0),AA136*$BI136),AA136*$BI136),0)</f>
        <v>0</v>
      </c>
      <c r="CE136" s="5">
        <f>IF($BI136&lt;&gt;"",IF('Capacity summary'!$C$14="Yes",IF(COUNTBLANK('Capacity summary'!$H48:$BG48)&lt;52,IF('Capacity summary'!AB48&lt;&gt;"",IF(LOWER('Capacity summary'!AB48)="x",$BI136*AB136,VALUE('Capacity summary'!AB48)),0),AB136*$BI136),AB136*$BI136),0)</f>
        <v>0</v>
      </c>
      <c r="CF136" s="5">
        <f>IF($BI136&lt;&gt;"",IF('Capacity summary'!$C$14="Yes",IF(COUNTBLANK('Capacity summary'!$H48:$BG48)&lt;52,IF('Capacity summary'!AC48&lt;&gt;"",IF(LOWER('Capacity summary'!AC48)="x",$BI136*AC136,VALUE('Capacity summary'!AC48)),0),AC136*$BI136),AC136*$BI136),0)</f>
        <v>0</v>
      </c>
      <c r="CG136" s="5">
        <f>IF($BI136&lt;&gt;"",IF('Capacity summary'!$C$14="Yes",IF(COUNTBLANK('Capacity summary'!$H48:$BG48)&lt;52,IF('Capacity summary'!AD48&lt;&gt;"",IF(LOWER('Capacity summary'!AD48)="x",$BI136*AD136,VALUE('Capacity summary'!AD48)),0),AD136*$BI136),AD136*$BI136),0)</f>
        <v>0</v>
      </c>
      <c r="CH136" s="5">
        <f>IF($BI136&lt;&gt;"",IF('Capacity summary'!$C$14="Yes",IF(COUNTBLANK('Capacity summary'!$H48:$BG48)&lt;52,IF('Capacity summary'!AE48&lt;&gt;"",IF(LOWER('Capacity summary'!AE48)="x",$BI136*AE136,VALUE('Capacity summary'!AE48)),0),AE136*$BI136),AE136*$BI136),0)</f>
        <v>0</v>
      </c>
      <c r="CI136" s="5">
        <f>IF($BI136&lt;&gt;"",IF('Capacity summary'!$C$14="Yes",IF(COUNTBLANK('Capacity summary'!$H48:$BG48)&lt;52,IF('Capacity summary'!AF48&lt;&gt;"",IF(LOWER('Capacity summary'!AF48)="x",$BI136*AF136,VALUE('Capacity summary'!AF48)),0),AF136*$BI136),AF136*$BI136),0)</f>
        <v>0</v>
      </c>
      <c r="CJ136" s="5">
        <f>IF($BI136&lt;&gt;"",IF('Capacity summary'!$C$14="Yes",IF(COUNTBLANK('Capacity summary'!$H48:$BG48)&lt;52,IF('Capacity summary'!AG48&lt;&gt;"",IF(LOWER('Capacity summary'!AG48)="x",$BI136*AG136,VALUE('Capacity summary'!AG48)),0),AG136*$BI136),AG136*$BI136),0)</f>
        <v>0</v>
      </c>
      <c r="CK136" s="5">
        <f>IF($BI136&lt;&gt;"",IF('Capacity summary'!$C$14="Yes",IF(COUNTBLANK('Capacity summary'!$H48:$BG48)&lt;52,IF('Capacity summary'!AH48&lt;&gt;"",IF(LOWER('Capacity summary'!AH48)="x",$BI136*AH136,VALUE('Capacity summary'!AH48)),0),AH136*$BI136),AH136*$BI136),0)</f>
        <v>0</v>
      </c>
      <c r="CL136" s="5">
        <f>IF($BI136&lt;&gt;"",IF('Capacity summary'!$C$14="Yes",IF(COUNTBLANK('Capacity summary'!$H48:$BG48)&lt;52,IF('Capacity summary'!AI48&lt;&gt;"",IF(LOWER('Capacity summary'!AI48)="x",$BI136*AI136,VALUE('Capacity summary'!AI48)),0),AI136*$BI136),AI136*$BI136),0)</f>
        <v>0</v>
      </c>
      <c r="CM136" s="5">
        <f>IF($BI136&lt;&gt;"",IF('Capacity summary'!$C$14="Yes",IF(COUNTBLANK('Capacity summary'!$H48:$BG48)&lt;52,IF('Capacity summary'!AJ48&lt;&gt;"",IF(LOWER('Capacity summary'!AJ48)="x",$BI136*AJ136,VALUE('Capacity summary'!AJ48)),0),AJ136*$BI136),AJ136*$BI136),0)</f>
        <v>0</v>
      </c>
      <c r="CN136" s="5">
        <f>IF($BI136&lt;&gt;"",IF('Capacity summary'!$C$14="Yes",IF(COUNTBLANK('Capacity summary'!$H48:$BG48)&lt;52,IF('Capacity summary'!AK48&lt;&gt;"",IF(LOWER('Capacity summary'!AK48)="x",$BI136*AK136,VALUE('Capacity summary'!AK48)),0),AK136*$BI136),AK136*$BI136),0)</f>
        <v>0</v>
      </c>
      <c r="CO136" s="5">
        <f>IF($BI136&lt;&gt;"",IF('Capacity summary'!$C$14="Yes",IF(COUNTBLANK('Capacity summary'!$H48:$BG48)&lt;52,IF('Capacity summary'!AL48&lt;&gt;"",IF(LOWER('Capacity summary'!AL48)="x",$BI136*AL136,VALUE('Capacity summary'!AL48)),0),AL136*$BI136),AL136*$BI136),0)</f>
        <v>0</v>
      </c>
      <c r="CP136" s="5">
        <f>IF($BI136&lt;&gt;"",IF('Capacity summary'!$C$14="Yes",IF(COUNTBLANK('Capacity summary'!$H48:$BG48)&lt;52,IF('Capacity summary'!AM48&lt;&gt;"",IF(LOWER('Capacity summary'!AM48)="x",$BI136*AM136,VALUE('Capacity summary'!AM48)),0),AM136*$BI136),AM136*$BI136),0)</f>
        <v>0</v>
      </c>
      <c r="CQ136" s="5">
        <f>IF($BI136&lt;&gt;"",IF('Capacity summary'!$C$14="Yes",IF(COUNTBLANK('Capacity summary'!$H48:$BG48)&lt;52,IF('Capacity summary'!AN48&lt;&gt;"",IF(LOWER('Capacity summary'!AN48)="x",$BI136*AN136,VALUE('Capacity summary'!AN48)),0),AN136*$BI136),AN136*$BI136),0)</f>
        <v>0</v>
      </c>
      <c r="CR136" s="5">
        <f>IF($BI136&lt;&gt;"",IF('Capacity summary'!$C$14="Yes",IF(COUNTBLANK('Capacity summary'!$H48:$BG48)&lt;52,IF('Capacity summary'!AO48&lt;&gt;"",IF(LOWER('Capacity summary'!AO48)="x",$BI136*AO136,VALUE('Capacity summary'!AO48)),0),AO136*$BI136),AO136*$BI136),0)</f>
        <v>0</v>
      </c>
      <c r="CS136" s="5">
        <f>IF($BI136&lt;&gt;"",IF('Capacity summary'!$C$14="Yes",IF(COUNTBLANK('Capacity summary'!$H48:$BG48)&lt;52,IF('Capacity summary'!AP48&lt;&gt;"",IF(LOWER('Capacity summary'!AP48)="x",$BI136*AP136,VALUE('Capacity summary'!AP48)),0),AP136*$BI136),AP136*$BI136),0)</f>
        <v>0</v>
      </c>
      <c r="CT136" s="5">
        <f>IF($BI136&lt;&gt;"",IF('Capacity summary'!$C$14="Yes",IF(COUNTBLANK('Capacity summary'!$H48:$BG48)&lt;52,IF('Capacity summary'!AQ48&lt;&gt;"",IF(LOWER('Capacity summary'!AQ48)="x",$BI136*AQ136,VALUE('Capacity summary'!AQ48)),0),AQ136*$BI136),AQ136*$BI136),0)</f>
        <v>0</v>
      </c>
      <c r="CU136" s="5">
        <f>IF($BI136&lt;&gt;"",IF('Capacity summary'!$C$14="Yes",IF(COUNTBLANK('Capacity summary'!$H48:$BG48)&lt;52,IF('Capacity summary'!AR48&lt;&gt;"",IF(LOWER('Capacity summary'!AR48)="x",$BI136*AR136,VALUE('Capacity summary'!AR48)),0),AR136*$BI136),AR136*$BI136),0)</f>
        <v>0</v>
      </c>
      <c r="CV136" s="5">
        <f>IF($BI136&lt;&gt;"",IF('Capacity summary'!$C$14="Yes",IF(COUNTBLANK('Capacity summary'!$H48:$BG48)&lt;52,IF('Capacity summary'!AS48&lt;&gt;"",IF(LOWER('Capacity summary'!AS48)="x",$BI136*AS136,VALUE('Capacity summary'!AS48)),0),AS136*$BI136),AS136*$BI136),0)</f>
        <v>0</v>
      </c>
      <c r="CW136" s="5">
        <f>IF($BI136&lt;&gt;"",IF('Capacity summary'!$C$14="Yes",IF(COUNTBLANK('Capacity summary'!$H48:$BG48)&lt;52,IF('Capacity summary'!AT48&lt;&gt;"",IF(LOWER('Capacity summary'!AT48)="x",$BI136*AT136,VALUE('Capacity summary'!AT48)),0),AT136*$BI136),AT136*$BI136),0)</f>
        <v>0</v>
      </c>
      <c r="CX136" s="5">
        <f>IF($BI136&lt;&gt;"",IF('Capacity summary'!$C$14="Yes",IF(COUNTBLANK('Capacity summary'!$H48:$BG48)&lt;52,IF('Capacity summary'!AU48&lt;&gt;"",IF(LOWER('Capacity summary'!AU48)="x",$BI136*AU136,VALUE('Capacity summary'!AU48)),0),AU136*$BI136),AU136*$BI136),0)</f>
        <v>0</v>
      </c>
      <c r="CY136" s="5">
        <f>IF($BI136&lt;&gt;"",IF('Capacity summary'!$C$14="Yes",IF(COUNTBLANK('Capacity summary'!$H48:$BG48)&lt;52,IF('Capacity summary'!AV48&lt;&gt;"",IF(LOWER('Capacity summary'!AV48)="x",$BI136*AV136,VALUE('Capacity summary'!AV48)),0),AV136*$BI136),AV136*$BI136),0)</f>
        <v>0</v>
      </c>
      <c r="CZ136" s="5">
        <f>IF($BI136&lt;&gt;"",IF('Capacity summary'!$C$14="Yes",IF(COUNTBLANK('Capacity summary'!$H48:$BG48)&lt;52,IF('Capacity summary'!AW48&lt;&gt;"",IF(LOWER('Capacity summary'!AW48)="x",$BI136*AW136,VALUE('Capacity summary'!AW48)),0),AW136*$BI136),AW136*$BI136),0)</f>
        <v>0</v>
      </c>
      <c r="DA136" s="5">
        <f>IF($BI136&lt;&gt;"",IF('Capacity summary'!$C$14="Yes",IF(COUNTBLANK('Capacity summary'!$H48:$BG48)&lt;52,IF('Capacity summary'!AX48&lt;&gt;"",IF(LOWER('Capacity summary'!AX48)="x",$BI136*AX136,VALUE('Capacity summary'!AX48)),0),AX136*$BI136),AX136*$BI136),0)</f>
        <v>0</v>
      </c>
      <c r="DB136" s="5">
        <f>IF($BI136&lt;&gt;"",IF('Capacity summary'!$C$14="Yes",IF(COUNTBLANK('Capacity summary'!$H48:$BG48)&lt;52,IF('Capacity summary'!AY48&lt;&gt;"",IF(LOWER('Capacity summary'!AY48)="x",$BI136*AY136,VALUE('Capacity summary'!AY48)),0),AY136*$BI136),AY136*$BI136),0)</f>
        <v>0</v>
      </c>
      <c r="DC136" s="5">
        <f>IF($BI136&lt;&gt;"",IF('Capacity summary'!$C$14="Yes",IF(COUNTBLANK('Capacity summary'!$H48:$BG48)&lt;52,IF('Capacity summary'!AZ48&lt;&gt;"",IF(LOWER('Capacity summary'!AZ48)="x",$BI136*AZ136,VALUE('Capacity summary'!AZ48)),0),AZ136*$BI136),AZ136*$BI136),0)</f>
        <v>0</v>
      </c>
      <c r="DD136" s="5">
        <f>IF($BI136&lt;&gt;"",IF('Capacity summary'!$C$14="Yes",IF(COUNTBLANK('Capacity summary'!$H48:$BG48)&lt;52,IF('Capacity summary'!BA48&lt;&gt;"",IF(LOWER('Capacity summary'!BA48)="x",$BI136*BA136,VALUE('Capacity summary'!BA48)),0),BA136*$BI136),BA136*$BI136),0)</f>
        <v>0</v>
      </c>
      <c r="DE136" s="5">
        <f>IF($BI136&lt;&gt;"",IF('Capacity summary'!$C$14="Yes",IF(COUNTBLANK('Capacity summary'!$H48:$BG48)&lt;52,IF('Capacity summary'!BB48&lt;&gt;"",IF(LOWER('Capacity summary'!BB48)="x",$BI136*BB136,VALUE('Capacity summary'!BB48)),0),BB136*$BI136),BB136*$BI136),0)</f>
        <v>0</v>
      </c>
      <c r="DF136" s="5">
        <f>IF($BI136&lt;&gt;"",IF('Capacity summary'!$C$14="Yes",IF(COUNTBLANK('Capacity summary'!$H48:$BG48)&lt;52,IF('Capacity summary'!BC48&lt;&gt;"",IF(LOWER('Capacity summary'!BC48)="x",$BI136*BC136,VALUE('Capacity summary'!BC48)),0),BC136*$BI136),BC136*$BI136),0)</f>
        <v>0</v>
      </c>
      <c r="DG136" s="5">
        <f>IF($BI136&lt;&gt;"",IF('Capacity summary'!$C$14="Yes",IF(COUNTBLANK('Capacity summary'!$H48:$BG48)&lt;52,IF('Capacity summary'!BD48&lt;&gt;"",IF(LOWER('Capacity summary'!BD48)="x",$BI136*BD136,VALUE('Capacity summary'!BD48)),0),BD136*$BI136),BD136*$BI136),0)</f>
        <v>0</v>
      </c>
      <c r="DH136" s="5">
        <f>IF($BI136&lt;&gt;"",IF('Capacity summary'!$C$14="Yes",IF(COUNTBLANK('Capacity summary'!$H48:$BG48)&lt;52,IF('Capacity summary'!BE48&lt;&gt;"",IF(LOWER('Capacity summary'!BE48)="x",$BI136*BE136,VALUE('Capacity summary'!BE48)),0),BE136*$BI136),BE136*$BI136),0)</f>
        <v>0</v>
      </c>
      <c r="DI136" s="5">
        <f>IF($BI136&lt;&gt;"",IF('Capacity summary'!$C$14="Yes",IF(COUNTBLANK('Capacity summary'!$H48:$BG48)&lt;52,IF('Capacity summary'!BF48&lt;&gt;"",IF(LOWER('Capacity summary'!BF48)="x",$BI136*BF136,VALUE('Capacity summary'!BF48)),0),BF136*$BI136),BF136*$BI136),0)</f>
        <v>0</v>
      </c>
      <c r="DJ136" s="5">
        <f>IF($BI136&lt;&gt;"",IF('Capacity summary'!$C$14="Yes",IF(COUNTBLANK('Capacity summary'!$H48:$BG48)&lt;52,IF('Capacity summary'!BG48&lt;&gt;"",IF(LOWER('Capacity summary'!BG48)="x",$BI136*BG136,VALUE('Capacity summary'!BG48)),0),BG136*$BI136),BG136*$BI136),0)</f>
        <v>0</v>
      </c>
      <c r="DK136" s="391">
        <f t="shared" si="8"/>
        <v>0</v>
      </c>
      <c r="DL136" s="5">
        <f t="shared" si="9"/>
        <v>0</v>
      </c>
    </row>
    <row r="137" spans="3:116" x14ac:dyDescent="0.2">
      <c r="C137" s="67" t="str">
        <f>ROW(A26)&amp;". "&amp;Capacity!N42</f>
        <v xml:space="preserve">26. </v>
      </c>
      <c r="D137" s="67">
        <f>'Capacity setup'!C143</f>
        <v>0</v>
      </c>
      <c r="E137" s="67">
        <f>'Capacity setup'!D143</f>
        <v>0</v>
      </c>
      <c r="F137" s="67">
        <f>'Capacity setup'!E143</f>
        <v>0</v>
      </c>
      <c r="H137" s="67">
        <f ca="1">IF(LOWER(Capacity!$V42)="x",IF(AND(SUMIF(Capacity_Resource,$D137,'Critical resources (hide)'!U$6:U$105)+SUMIF(Capacity_Resource,$E137,'Critical resources (hide)'!U$6:U$105)+SUMIF(Capacity_Resource,$F137,'Critical resources (hide)'!U$6:U$105)&gt;0,$E$1=2),0,1),0)</f>
        <v>1</v>
      </c>
      <c r="I137" s="67">
        <f ca="1">IF(LOWER(Capacity!$V42)="x",IF(AND(SUMIF(Capacity_Resource,$D137,'Critical resources (hide)'!V$6:V$105)+SUMIF(Capacity_Resource,$E137,'Critical resources (hide)'!V$6:V$105)+SUMIF(Capacity_Resource,$F137,'Critical resources (hide)'!V$6:V$105)&gt;0,$E$1=2),0,1),0)</f>
        <v>1</v>
      </c>
      <c r="J137" s="67">
        <f ca="1">IF(LOWER(Capacity!$V42)="x",IF(AND(SUMIF(Capacity_Resource,$D137,'Critical resources (hide)'!W$6:W$105)+SUMIF(Capacity_Resource,$E137,'Critical resources (hide)'!W$6:W$105)+SUMIF(Capacity_Resource,$F137,'Critical resources (hide)'!W$6:W$105)&gt;0,$E$1=2),0,1),0)</f>
        <v>1</v>
      </c>
      <c r="K137" s="67">
        <f ca="1">IF(LOWER(Capacity!$V42)="x",IF(AND(SUMIF(Capacity_Resource,$D137,'Critical resources (hide)'!X$6:X$105)+SUMIF(Capacity_Resource,$E137,'Critical resources (hide)'!X$6:X$105)+SUMIF(Capacity_Resource,$F137,'Critical resources (hide)'!X$6:X$105)&gt;0,$E$1=2),0,1),0)</f>
        <v>1</v>
      </c>
      <c r="L137" s="67">
        <f ca="1">IF(LOWER(Capacity!$V42)="x",IF(AND(SUMIF(Capacity_Resource,$D137,'Critical resources (hide)'!Y$6:Y$105)+SUMIF(Capacity_Resource,$E137,'Critical resources (hide)'!Y$6:Y$105)+SUMIF(Capacity_Resource,$F137,'Critical resources (hide)'!Y$6:Y$105)&gt;0,$E$1=2),0,1),0)</f>
        <v>1</v>
      </c>
      <c r="M137" s="67">
        <f ca="1">IF(LOWER(Capacity!$V42)="x",IF(AND(SUMIF(Capacity_Resource,$D137,'Critical resources (hide)'!Z$6:Z$105)+SUMIF(Capacity_Resource,$E137,'Critical resources (hide)'!Z$6:Z$105)+SUMIF(Capacity_Resource,$F137,'Critical resources (hide)'!Z$6:Z$105)&gt;0,$E$1=2),0,1),0)</f>
        <v>1</v>
      </c>
      <c r="N137" s="67">
        <f ca="1">IF(LOWER(Capacity!$V42)="x",IF(AND(SUMIF(Capacity_Resource,$D137,'Critical resources (hide)'!AA$6:AA$105)+SUMIF(Capacity_Resource,$E137,'Critical resources (hide)'!AA$6:AA$105)+SUMIF(Capacity_Resource,$F137,'Critical resources (hide)'!AA$6:AA$105)&gt;0,$E$1=2),0,1),0)</f>
        <v>1</v>
      </c>
      <c r="O137" s="67">
        <f ca="1">IF(LOWER(Capacity!$V42)="x",IF(AND(SUMIF(Capacity_Resource,$D137,'Critical resources (hide)'!AB$6:AB$105)+SUMIF(Capacity_Resource,$E137,'Critical resources (hide)'!AB$6:AB$105)+SUMIF(Capacity_Resource,$F137,'Critical resources (hide)'!AB$6:AB$105)&gt;0,$E$1=2),0,1),0)</f>
        <v>1</v>
      </c>
      <c r="P137" s="67">
        <f ca="1">IF(LOWER(Capacity!$V42)="x",IF(AND(SUMIF(Capacity_Resource,$D137,'Critical resources (hide)'!AC$6:AC$105)+SUMIF(Capacity_Resource,$E137,'Critical resources (hide)'!AC$6:AC$105)+SUMIF(Capacity_Resource,$F137,'Critical resources (hide)'!AC$6:AC$105)&gt;0,$E$1=2),0,1),0)</f>
        <v>1</v>
      </c>
      <c r="Q137" s="67">
        <f ca="1">IF(LOWER(Capacity!$V42)="x",IF(AND(SUMIF(Capacity_Resource,$D137,'Critical resources (hide)'!AD$6:AD$105)+SUMIF(Capacity_Resource,$E137,'Critical resources (hide)'!AD$6:AD$105)+SUMIF(Capacity_Resource,$F137,'Critical resources (hide)'!AD$6:AD$105)&gt;0,$E$1=2),0,1),0)</f>
        <v>1</v>
      </c>
      <c r="R137" s="67">
        <f ca="1">IF(LOWER(Capacity!$V42)="x",IF(AND(SUMIF(Capacity_Resource,$D137,'Critical resources (hide)'!AE$6:AE$105)+SUMIF(Capacity_Resource,$E137,'Critical resources (hide)'!AE$6:AE$105)+SUMIF(Capacity_Resource,$F137,'Critical resources (hide)'!AE$6:AE$105)&gt;0,$E$1=2),0,1),0)</f>
        <v>1</v>
      </c>
      <c r="S137" s="67">
        <f ca="1">IF(LOWER(Capacity!$V42)="x",IF(AND(SUMIF(Capacity_Resource,$D137,'Critical resources (hide)'!AF$6:AF$105)+SUMIF(Capacity_Resource,$E137,'Critical resources (hide)'!AF$6:AF$105)+SUMIF(Capacity_Resource,$F137,'Critical resources (hide)'!AF$6:AF$105)&gt;0,$E$1=2),0,1),0)</f>
        <v>1</v>
      </c>
      <c r="T137" s="67">
        <f ca="1">IF(LOWER(Capacity!$V42)="x",IF(AND(SUMIF(Capacity_Resource,$D137,'Critical resources (hide)'!AG$6:AG$105)+SUMIF(Capacity_Resource,$E137,'Critical resources (hide)'!AG$6:AG$105)+SUMIF(Capacity_Resource,$F137,'Critical resources (hide)'!AG$6:AG$105)&gt;0,$E$1=2),0,1),0)</f>
        <v>1</v>
      </c>
      <c r="U137" s="67">
        <f ca="1">IF(LOWER(Capacity!$V42)="x",IF(AND(SUMIF(Capacity_Resource,$D137,'Critical resources (hide)'!AH$6:AH$105)+SUMIF(Capacity_Resource,$E137,'Critical resources (hide)'!AH$6:AH$105)+SUMIF(Capacity_Resource,$F137,'Critical resources (hide)'!AH$6:AH$105)&gt;0,$E$1=2),0,1),0)</f>
        <v>1</v>
      </c>
      <c r="V137" s="67">
        <f ca="1">IF(LOWER(Capacity!$V42)="x",IF(AND(SUMIF(Capacity_Resource,$D137,'Critical resources (hide)'!AI$6:AI$105)+SUMIF(Capacity_Resource,$E137,'Critical resources (hide)'!AI$6:AI$105)+SUMIF(Capacity_Resource,$F137,'Critical resources (hide)'!AI$6:AI$105)&gt;0,$E$1=2),0,1),0)</f>
        <v>1</v>
      </c>
      <c r="W137" s="67">
        <f ca="1">IF(LOWER(Capacity!$V42)="x",IF(AND(SUMIF(Capacity_Resource,$D137,'Critical resources (hide)'!AJ$6:AJ$105)+SUMIF(Capacity_Resource,$E137,'Critical resources (hide)'!AJ$6:AJ$105)+SUMIF(Capacity_Resource,$F137,'Critical resources (hide)'!AJ$6:AJ$105)&gt;0,$E$1=2),0,1),0)</f>
        <v>1</v>
      </c>
      <c r="X137" s="67">
        <f ca="1">IF(LOWER(Capacity!$V42)="x",IF(AND(SUMIF(Capacity_Resource,$D137,'Critical resources (hide)'!AK$6:AK$105)+SUMIF(Capacity_Resource,$E137,'Critical resources (hide)'!AK$6:AK$105)+SUMIF(Capacity_Resource,$F137,'Critical resources (hide)'!AK$6:AK$105)&gt;0,$E$1=2),0,1),0)</f>
        <v>1</v>
      </c>
      <c r="Y137" s="67">
        <f ca="1">IF(LOWER(Capacity!$V42)="x",IF(AND(SUMIF(Capacity_Resource,$D137,'Critical resources (hide)'!AL$6:AL$105)+SUMIF(Capacity_Resource,$E137,'Critical resources (hide)'!AL$6:AL$105)+SUMIF(Capacity_Resource,$F137,'Critical resources (hide)'!AL$6:AL$105)&gt;0,$E$1=2),0,1),0)</f>
        <v>1</v>
      </c>
      <c r="Z137" s="67">
        <f ca="1">IF(LOWER(Capacity!$V42)="x",IF(AND(SUMIF(Capacity_Resource,$D137,'Critical resources (hide)'!AM$6:AM$105)+SUMIF(Capacity_Resource,$E137,'Critical resources (hide)'!AM$6:AM$105)+SUMIF(Capacity_Resource,$F137,'Critical resources (hide)'!AM$6:AM$105)&gt;0,$E$1=2),0,1),0)</f>
        <v>1</v>
      </c>
      <c r="AA137" s="67">
        <f ca="1">IF(LOWER(Capacity!$V42)="x",IF(AND(SUMIF(Capacity_Resource,$D137,'Critical resources (hide)'!AN$6:AN$105)+SUMIF(Capacity_Resource,$E137,'Critical resources (hide)'!AN$6:AN$105)+SUMIF(Capacity_Resource,$F137,'Critical resources (hide)'!AN$6:AN$105)&gt;0,$E$1=2),0,1),0)</f>
        <v>1</v>
      </c>
      <c r="AB137" s="67">
        <f ca="1">IF(LOWER(Capacity!$V42)="x",IF(AND(SUMIF(Capacity_Resource,$D137,'Critical resources (hide)'!AO$6:AO$105)+SUMIF(Capacity_Resource,$E137,'Critical resources (hide)'!AO$6:AO$105)+SUMIF(Capacity_Resource,$F137,'Critical resources (hide)'!AO$6:AO$105)&gt;0,$E$1=2),0,1),0)</f>
        <v>1</v>
      </c>
      <c r="AC137" s="67">
        <f ca="1">IF(LOWER(Capacity!$V42)="x",IF(AND(SUMIF(Capacity_Resource,$D137,'Critical resources (hide)'!AP$6:AP$105)+SUMIF(Capacity_Resource,$E137,'Critical resources (hide)'!AP$6:AP$105)+SUMIF(Capacity_Resource,$F137,'Critical resources (hide)'!AP$6:AP$105)&gt;0,$E$1=2),0,1),0)</f>
        <v>1</v>
      </c>
      <c r="AD137" s="67">
        <f ca="1">IF(LOWER(Capacity!$V42)="x",IF(AND(SUMIF(Capacity_Resource,$D137,'Critical resources (hide)'!AQ$6:AQ$105)+SUMIF(Capacity_Resource,$E137,'Critical resources (hide)'!AQ$6:AQ$105)+SUMIF(Capacity_Resource,$F137,'Critical resources (hide)'!AQ$6:AQ$105)&gt;0,$E$1=2),0,1),0)</f>
        <v>1</v>
      </c>
      <c r="AE137" s="67">
        <f ca="1">IF(LOWER(Capacity!$V42)="x",IF(AND(SUMIF(Capacity_Resource,$D137,'Critical resources (hide)'!AR$6:AR$105)+SUMIF(Capacity_Resource,$E137,'Critical resources (hide)'!AR$6:AR$105)+SUMIF(Capacity_Resource,$F137,'Critical resources (hide)'!AR$6:AR$105)&gt;0,$E$1=2),0,1),0)</f>
        <v>1</v>
      </c>
      <c r="AF137" s="67">
        <f ca="1">IF(LOWER(Capacity!$V42)="x",IF(AND(SUMIF(Capacity_Resource,$D137,'Critical resources (hide)'!AS$6:AS$105)+SUMIF(Capacity_Resource,$E137,'Critical resources (hide)'!AS$6:AS$105)+SUMIF(Capacity_Resource,$F137,'Critical resources (hide)'!AS$6:AS$105)&gt;0,$E$1=2),0,1),0)</f>
        <v>1</v>
      </c>
      <c r="AG137" s="67">
        <f ca="1">IF(LOWER(Capacity!$V42)="x",IF(AND(SUMIF(Capacity_Resource,$D137,'Critical resources (hide)'!AT$6:AT$105)+SUMIF(Capacity_Resource,$E137,'Critical resources (hide)'!AT$6:AT$105)+SUMIF(Capacity_Resource,$F137,'Critical resources (hide)'!AT$6:AT$105)&gt;0,$E$1=2),0,1),0)</f>
        <v>1</v>
      </c>
      <c r="AH137" s="67">
        <f ca="1">IF(LOWER(Capacity!$V42)="x",IF(AND(SUMIF(Capacity_Resource,$D137,'Critical resources (hide)'!AU$6:AU$105)+SUMIF(Capacity_Resource,$E137,'Critical resources (hide)'!AU$6:AU$105)+SUMIF(Capacity_Resource,$F137,'Critical resources (hide)'!AU$6:AU$105)&gt;0,$E$1=2),0,1),0)</f>
        <v>1</v>
      </c>
      <c r="AI137" s="67">
        <f ca="1">IF(LOWER(Capacity!$V42)="x",IF(AND(SUMIF(Capacity_Resource,$D137,'Critical resources (hide)'!AV$6:AV$105)+SUMIF(Capacity_Resource,$E137,'Critical resources (hide)'!AV$6:AV$105)+SUMIF(Capacity_Resource,$F137,'Critical resources (hide)'!AV$6:AV$105)&gt;0,$E$1=2),0,1),0)</f>
        <v>1</v>
      </c>
      <c r="AJ137" s="67">
        <f ca="1">IF(LOWER(Capacity!$V42)="x",IF(AND(SUMIF(Capacity_Resource,$D137,'Critical resources (hide)'!AW$6:AW$105)+SUMIF(Capacity_Resource,$E137,'Critical resources (hide)'!AW$6:AW$105)+SUMIF(Capacity_Resource,$F137,'Critical resources (hide)'!AW$6:AW$105)&gt;0,$E$1=2),0,1),0)</f>
        <v>1</v>
      </c>
      <c r="AK137" s="67">
        <f ca="1">IF(LOWER(Capacity!$V42)="x",IF(AND(SUMIF(Capacity_Resource,$D137,'Critical resources (hide)'!AX$6:AX$105)+SUMIF(Capacity_Resource,$E137,'Critical resources (hide)'!AX$6:AX$105)+SUMIF(Capacity_Resource,$F137,'Critical resources (hide)'!AX$6:AX$105)&gt;0,$E$1=2),0,1),0)</f>
        <v>1</v>
      </c>
      <c r="AL137" s="67">
        <f ca="1">IF(LOWER(Capacity!$V42)="x",IF(AND(SUMIF(Capacity_Resource,$D137,'Critical resources (hide)'!AY$6:AY$105)+SUMIF(Capacity_Resource,$E137,'Critical resources (hide)'!AY$6:AY$105)+SUMIF(Capacity_Resource,$F137,'Critical resources (hide)'!AY$6:AY$105)&gt;0,$E$1=2),0,1),0)</f>
        <v>1</v>
      </c>
      <c r="AM137" s="67">
        <f ca="1">IF(LOWER(Capacity!$V42)="x",IF(AND(SUMIF(Capacity_Resource,$D137,'Critical resources (hide)'!AZ$6:AZ$105)+SUMIF(Capacity_Resource,$E137,'Critical resources (hide)'!AZ$6:AZ$105)+SUMIF(Capacity_Resource,$F137,'Critical resources (hide)'!AZ$6:AZ$105)&gt;0,$E$1=2),0,1),0)</f>
        <v>1</v>
      </c>
      <c r="AN137" s="67">
        <f ca="1">IF(LOWER(Capacity!$V42)="x",IF(AND(SUMIF(Capacity_Resource,$D137,'Critical resources (hide)'!BA$6:BA$105)+SUMIF(Capacity_Resource,$E137,'Critical resources (hide)'!BA$6:BA$105)+SUMIF(Capacity_Resource,$F137,'Critical resources (hide)'!BA$6:BA$105)&gt;0,$E$1=2),0,1),0)</f>
        <v>1</v>
      </c>
      <c r="AO137" s="67">
        <f ca="1">IF(LOWER(Capacity!$V42)="x",IF(AND(SUMIF(Capacity_Resource,$D137,'Critical resources (hide)'!BB$6:BB$105)+SUMIF(Capacity_Resource,$E137,'Critical resources (hide)'!BB$6:BB$105)+SUMIF(Capacity_Resource,$F137,'Critical resources (hide)'!BB$6:BB$105)&gt;0,$E$1=2),0,1),0)</f>
        <v>1</v>
      </c>
      <c r="AP137" s="67">
        <f ca="1">IF(LOWER(Capacity!$V42)="x",IF(AND(SUMIF(Capacity_Resource,$D137,'Critical resources (hide)'!BC$6:BC$105)+SUMIF(Capacity_Resource,$E137,'Critical resources (hide)'!BC$6:BC$105)+SUMIF(Capacity_Resource,$F137,'Critical resources (hide)'!BC$6:BC$105)&gt;0,$E$1=2),0,1),0)</f>
        <v>1</v>
      </c>
      <c r="AQ137" s="67">
        <f ca="1">IF(LOWER(Capacity!$V42)="x",IF(AND(SUMIF(Capacity_Resource,$D137,'Critical resources (hide)'!BD$6:BD$105)+SUMIF(Capacity_Resource,$E137,'Critical resources (hide)'!BD$6:BD$105)+SUMIF(Capacity_Resource,$F137,'Critical resources (hide)'!BD$6:BD$105)&gt;0,$E$1=2),0,1),0)</f>
        <v>1</v>
      </c>
      <c r="AR137" s="67">
        <f ca="1">IF(LOWER(Capacity!$V42)="x",IF(AND(SUMIF(Capacity_Resource,$D137,'Critical resources (hide)'!BE$6:BE$105)+SUMIF(Capacity_Resource,$E137,'Critical resources (hide)'!BE$6:BE$105)+SUMIF(Capacity_Resource,$F137,'Critical resources (hide)'!BE$6:BE$105)&gt;0,$E$1=2),0,1),0)</f>
        <v>1</v>
      </c>
      <c r="AS137" s="67">
        <f ca="1">IF(LOWER(Capacity!$V42)="x",IF(AND(SUMIF(Capacity_Resource,$D137,'Critical resources (hide)'!BF$6:BF$105)+SUMIF(Capacity_Resource,$E137,'Critical resources (hide)'!BF$6:BF$105)+SUMIF(Capacity_Resource,$F137,'Critical resources (hide)'!BF$6:BF$105)&gt;0,$E$1=2),0,1),0)</f>
        <v>1</v>
      </c>
      <c r="AT137" s="67">
        <f ca="1">IF(LOWER(Capacity!$V42)="x",IF(AND(SUMIF(Capacity_Resource,$D137,'Critical resources (hide)'!BG$6:BG$105)+SUMIF(Capacity_Resource,$E137,'Critical resources (hide)'!BG$6:BG$105)+SUMIF(Capacity_Resource,$F137,'Critical resources (hide)'!BG$6:BG$105)&gt;0,$E$1=2),0,1),0)</f>
        <v>1</v>
      </c>
      <c r="AU137" s="67">
        <f ca="1">IF(LOWER(Capacity!$V42)="x",IF(AND(SUMIF(Capacity_Resource,$D137,'Critical resources (hide)'!BH$6:BH$105)+SUMIF(Capacity_Resource,$E137,'Critical resources (hide)'!BH$6:BH$105)+SUMIF(Capacity_Resource,$F137,'Critical resources (hide)'!BH$6:BH$105)&gt;0,$E$1=2),0,1),0)</f>
        <v>1</v>
      </c>
      <c r="AV137" s="67">
        <f ca="1">IF(LOWER(Capacity!$V42)="x",IF(AND(SUMIF(Capacity_Resource,$D137,'Critical resources (hide)'!BI$6:BI$105)+SUMIF(Capacity_Resource,$E137,'Critical resources (hide)'!BI$6:BI$105)+SUMIF(Capacity_Resource,$F137,'Critical resources (hide)'!BI$6:BI$105)&gt;0,$E$1=2),0,1),0)</f>
        <v>1</v>
      </c>
      <c r="AW137" s="67">
        <f ca="1">IF(LOWER(Capacity!$V42)="x",IF(AND(SUMIF(Capacity_Resource,$D137,'Critical resources (hide)'!BJ$6:BJ$105)+SUMIF(Capacity_Resource,$E137,'Critical resources (hide)'!BJ$6:BJ$105)+SUMIF(Capacity_Resource,$F137,'Critical resources (hide)'!BJ$6:BJ$105)&gt;0,$E$1=2),0,1),0)</f>
        <v>1</v>
      </c>
      <c r="AX137" s="67">
        <f ca="1">IF(LOWER(Capacity!$V42)="x",IF(AND(SUMIF(Capacity_Resource,$D137,'Critical resources (hide)'!BK$6:BK$105)+SUMIF(Capacity_Resource,$E137,'Critical resources (hide)'!BK$6:BK$105)+SUMIF(Capacity_Resource,$F137,'Critical resources (hide)'!BK$6:BK$105)&gt;0,$E$1=2),0,1),0)</f>
        <v>1</v>
      </c>
      <c r="AY137" s="67">
        <f ca="1">IF(LOWER(Capacity!$V42)="x",IF(AND(SUMIF(Capacity_Resource,$D137,'Critical resources (hide)'!BL$6:BL$105)+SUMIF(Capacity_Resource,$E137,'Critical resources (hide)'!BL$6:BL$105)+SUMIF(Capacity_Resource,$F137,'Critical resources (hide)'!BL$6:BL$105)&gt;0,$E$1=2),0,1),0)</f>
        <v>1</v>
      </c>
      <c r="AZ137" s="67">
        <f ca="1">IF(LOWER(Capacity!$V42)="x",IF(AND(SUMIF(Capacity_Resource,$D137,'Critical resources (hide)'!BM$6:BM$105)+SUMIF(Capacity_Resource,$E137,'Critical resources (hide)'!BM$6:BM$105)+SUMIF(Capacity_Resource,$F137,'Critical resources (hide)'!BM$6:BM$105)&gt;0,$E$1=2),0,1),0)</f>
        <v>1</v>
      </c>
      <c r="BA137" s="67">
        <f ca="1">IF(LOWER(Capacity!$V42)="x",IF(AND(SUMIF(Capacity_Resource,$D137,'Critical resources (hide)'!BN$6:BN$105)+SUMIF(Capacity_Resource,$E137,'Critical resources (hide)'!BN$6:BN$105)+SUMIF(Capacity_Resource,$F137,'Critical resources (hide)'!BN$6:BN$105)&gt;0,$E$1=2),0,1),0)</f>
        <v>1</v>
      </c>
      <c r="BB137" s="67">
        <f ca="1">IF(LOWER(Capacity!$V42)="x",IF(AND(SUMIF(Capacity_Resource,$D137,'Critical resources (hide)'!BO$6:BO$105)+SUMIF(Capacity_Resource,$E137,'Critical resources (hide)'!BO$6:BO$105)+SUMIF(Capacity_Resource,$F137,'Critical resources (hide)'!BO$6:BO$105)&gt;0,$E$1=2),0,1),0)</f>
        <v>1</v>
      </c>
      <c r="BC137" s="67">
        <f ca="1">IF(LOWER(Capacity!$V42)="x",IF(AND(SUMIF(Capacity_Resource,$D137,'Critical resources (hide)'!BP$6:BP$105)+SUMIF(Capacity_Resource,$E137,'Critical resources (hide)'!BP$6:BP$105)+SUMIF(Capacity_Resource,$F137,'Critical resources (hide)'!BP$6:BP$105)&gt;0,$E$1=2),0,1),0)</f>
        <v>1</v>
      </c>
      <c r="BD137" s="67">
        <f ca="1">IF(LOWER(Capacity!$V42)="x",IF(AND(SUMIF(Capacity_Resource,$D137,'Critical resources (hide)'!BQ$6:BQ$105)+SUMIF(Capacity_Resource,$E137,'Critical resources (hide)'!BQ$6:BQ$105)+SUMIF(Capacity_Resource,$F137,'Critical resources (hide)'!BQ$6:BQ$105)&gt;0,$E$1=2),0,1),0)</f>
        <v>1</v>
      </c>
      <c r="BE137" s="67">
        <f ca="1">IF(LOWER(Capacity!$V42)="x",IF(AND(SUMIF(Capacity_Resource,$D137,'Critical resources (hide)'!BR$6:BR$105)+SUMIF(Capacity_Resource,$E137,'Critical resources (hide)'!BR$6:BR$105)+SUMIF(Capacity_Resource,$F137,'Critical resources (hide)'!BR$6:BR$105)&gt;0,$E$1=2),0,1),0)</f>
        <v>1</v>
      </c>
      <c r="BF137" s="67">
        <f ca="1">IF(LOWER(Capacity!$V42)="x",IF(AND(SUMIF(Capacity_Resource,$D137,'Critical resources (hide)'!BS$6:BS$105)+SUMIF(Capacity_Resource,$E137,'Critical resources (hide)'!BS$6:BS$105)+SUMIF(Capacity_Resource,$F137,'Critical resources (hide)'!BS$6:BS$105)&gt;0,$E$1=2),0,1),0)</f>
        <v>1</v>
      </c>
      <c r="BG137" s="67">
        <f ca="1">IF(LOWER(Capacity!$V42)="x",IF(AND(SUMIF(Capacity_Resource,$D137,'Critical resources (hide)'!BT$6:BT$105)+SUMIF(Capacity_Resource,$E137,'Critical resources (hide)'!BT$6:BT$105)+SUMIF(Capacity_Resource,$F137,'Critical resources (hide)'!BT$6:BT$105)&gt;0,$E$1=2),0,1),0)</f>
        <v>1</v>
      </c>
      <c r="BH137" s="67">
        <f>IF(ROW(A26)&lt;=Capacity!$M$16,IF('Capacity summary'!$C$14="No",SUM(H137:BG137),'Capacity summary'!$E49),0)</f>
        <v>0</v>
      </c>
      <c r="BI137" s="67" t="str">
        <f>IF(BH137&gt;0,IF(BH137&lt;Capacity!Q42,Capacity!R42,Capacity!T42/'Capacity calculation (hide)'!BH137),"")</f>
        <v/>
      </c>
      <c r="BJ137" s="5"/>
      <c r="BK137" s="5">
        <f>IF($BI137&lt;&gt;"",IF('Capacity summary'!$C$14="Yes",IF(COUNTBLANK('Capacity summary'!$H49:$BG49)&lt;52,IF('Capacity summary'!H49&lt;&gt;"",IF(LOWER('Capacity summary'!H49)="x",$BI137*H137,VALUE('Capacity summary'!H49)),0),H137*$BI137),H137*$BI137),0)</f>
        <v>0</v>
      </c>
      <c r="BL137" s="5">
        <f>IF($BI137&lt;&gt;"",IF('Capacity summary'!$C$14="Yes",IF(COUNTBLANK('Capacity summary'!$H49:$BG49)&lt;52,IF('Capacity summary'!I49&lt;&gt;"",IF(LOWER('Capacity summary'!I49)="x",$BI137*I137,VALUE('Capacity summary'!I49)),0),I137*$BI137),I137*$BI137),0)</f>
        <v>0</v>
      </c>
      <c r="BM137" s="5">
        <f>IF($BI137&lt;&gt;"",IF('Capacity summary'!$C$14="Yes",IF(COUNTBLANK('Capacity summary'!$H49:$BG49)&lt;52,IF('Capacity summary'!J49&lt;&gt;"",IF(LOWER('Capacity summary'!J49)="x",$BI137*J137,VALUE('Capacity summary'!J49)),0),J137*$BI137),J137*$BI137),0)</f>
        <v>0</v>
      </c>
      <c r="BN137" s="5">
        <f>IF($BI137&lt;&gt;"",IF('Capacity summary'!$C$14="Yes",IF(COUNTBLANK('Capacity summary'!$H49:$BG49)&lt;52,IF('Capacity summary'!K49&lt;&gt;"",IF(LOWER('Capacity summary'!K49)="x",$BI137*K137,VALUE('Capacity summary'!K49)),0),K137*$BI137),K137*$BI137),0)</f>
        <v>0</v>
      </c>
      <c r="BO137" s="5">
        <f>IF($BI137&lt;&gt;"",IF('Capacity summary'!$C$14="Yes",IF(COUNTBLANK('Capacity summary'!$H49:$BG49)&lt;52,IF('Capacity summary'!L49&lt;&gt;"",IF(LOWER('Capacity summary'!L49)="x",$BI137*L137,VALUE('Capacity summary'!L49)),0),L137*$BI137),L137*$BI137),0)</f>
        <v>0</v>
      </c>
      <c r="BP137" s="5">
        <f>IF($BI137&lt;&gt;"",IF('Capacity summary'!$C$14="Yes",IF(COUNTBLANK('Capacity summary'!$H49:$BG49)&lt;52,IF('Capacity summary'!M49&lt;&gt;"",IF(LOWER('Capacity summary'!M49)="x",$BI137*M137,VALUE('Capacity summary'!M49)),0),M137*$BI137),M137*$BI137),0)</f>
        <v>0</v>
      </c>
      <c r="BQ137" s="5">
        <f>IF($BI137&lt;&gt;"",IF('Capacity summary'!$C$14="Yes",IF(COUNTBLANK('Capacity summary'!$H49:$BG49)&lt;52,IF('Capacity summary'!N49&lt;&gt;"",IF(LOWER('Capacity summary'!N49)="x",$BI137*N137,VALUE('Capacity summary'!N49)),0),N137*$BI137),N137*$BI137),0)</f>
        <v>0</v>
      </c>
      <c r="BR137" s="5">
        <f>IF($BI137&lt;&gt;"",IF('Capacity summary'!$C$14="Yes",IF(COUNTBLANK('Capacity summary'!$H49:$BG49)&lt;52,IF('Capacity summary'!O49&lt;&gt;"",IF(LOWER('Capacity summary'!O49)="x",$BI137*O137,VALUE('Capacity summary'!O49)),0),O137*$BI137),O137*$BI137),0)</f>
        <v>0</v>
      </c>
      <c r="BS137" s="5">
        <f>IF($BI137&lt;&gt;"",IF('Capacity summary'!$C$14="Yes",IF(COUNTBLANK('Capacity summary'!$H49:$BG49)&lt;52,IF('Capacity summary'!P49&lt;&gt;"",IF(LOWER('Capacity summary'!P49)="x",$BI137*P137,VALUE('Capacity summary'!P49)),0),P137*$BI137),P137*$BI137),0)</f>
        <v>0</v>
      </c>
      <c r="BT137" s="5">
        <f>IF($BI137&lt;&gt;"",IF('Capacity summary'!$C$14="Yes",IF(COUNTBLANK('Capacity summary'!$H49:$BG49)&lt;52,IF('Capacity summary'!Q49&lt;&gt;"",IF(LOWER('Capacity summary'!Q49)="x",$BI137*Q137,VALUE('Capacity summary'!Q49)),0),Q137*$BI137),Q137*$BI137),0)</f>
        <v>0</v>
      </c>
      <c r="BU137" s="5">
        <f>IF($BI137&lt;&gt;"",IF('Capacity summary'!$C$14="Yes",IF(COUNTBLANK('Capacity summary'!$H49:$BG49)&lt;52,IF('Capacity summary'!R49&lt;&gt;"",IF(LOWER('Capacity summary'!R49)="x",$BI137*R137,VALUE('Capacity summary'!R49)),0),R137*$BI137),R137*$BI137),0)</f>
        <v>0</v>
      </c>
      <c r="BV137" s="5">
        <f>IF($BI137&lt;&gt;"",IF('Capacity summary'!$C$14="Yes",IF(COUNTBLANK('Capacity summary'!$H49:$BG49)&lt;52,IF('Capacity summary'!S49&lt;&gt;"",IF(LOWER('Capacity summary'!S49)="x",$BI137*S137,VALUE('Capacity summary'!S49)),0),S137*$BI137),S137*$BI137),0)</f>
        <v>0</v>
      </c>
      <c r="BW137" s="5">
        <f>IF($BI137&lt;&gt;"",IF('Capacity summary'!$C$14="Yes",IF(COUNTBLANK('Capacity summary'!$H49:$BG49)&lt;52,IF('Capacity summary'!T49&lt;&gt;"",IF(LOWER('Capacity summary'!T49)="x",$BI137*T137,VALUE('Capacity summary'!T49)),0),T137*$BI137),T137*$BI137),0)</f>
        <v>0</v>
      </c>
      <c r="BX137" s="5">
        <f>IF($BI137&lt;&gt;"",IF('Capacity summary'!$C$14="Yes",IF(COUNTBLANK('Capacity summary'!$H49:$BG49)&lt;52,IF('Capacity summary'!U49&lt;&gt;"",IF(LOWER('Capacity summary'!U49)="x",$BI137*U137,VALUE('Capacity summary'!U49)),0),U137*$BI137),U137*$BI137),0)</f>
        <v>0</v>
      </c>
      <c r="BY137" s="5">
        <f>IF($BI137&lt;&gt;"",IF('Capacity summary'!$C$14="Yes",IF(COUNTBLANK('Capacity summary'!$H49:$BG49)&lt;52,IF('Capacity summary'!V49&lt;&gt;"",IF(LOWER('Capacity summary'!V49)="x",$BI137*V137,VALUE('Capacity summary'!V49)),0),V137*$BI137),V137*$BI137),0)</f>
        <v>0</v>
      </c>
      <c r="BZ137" s="5">
        <f>IF($BI137&lt;&gt;"",IF('Capacity summary'!$C$14="Yes",IF(COUNTBLANK('Capacity summary'!$H49:$BG49)&lt;52,IF('Capacity summary'!W49&lt;&gt;"",IF(LOWER('Capacity summary'!W49)="x",$BI137*W137,VALUE('Capacity summary'!W49)),0),W137*$BI137),W137*$BI137),0)</f>
        <v>0</v>
      </c>
      <c r="CA137" s="5">
        <f>IF($BI137&lt;&gt;"",IF('Capacity summary'!$C$14="Yes",IF(COUNTBLANK('Capacity summary'!$H49:$BG49)&lt;52,IF('Capacity summary'!X49&lt;&gt;"",IF(LOWER('Capacity summary'!X49)="x",$BI137*X137,VALUE('Capacity summary'!X49)),0),X137*$BI137),X137*$BI137),0)</f>
        <v>0</v>
      </c>
      <c r="CB137" s="5">
        <f>IF($BI137&lt;&gt;"",IF('Capacity summary'!$C$14="Yes",IF(COUNTBLANK('Capacity summary'!$H49:$BG49)&lt;52,IF('Capacity summary'!Y49&lt;&gt;"",IF(LOWER('Capacity summary'!Y49)="x",$BI137*Y137,VALUE('Capacity summary'!Y49)),0),Y137*$BI137),Y137*$BI137),0)</f>
        <v>0</v>
      </c>
      <c r="CC137" s="5">
        <f>IF($BI137&lt;&gt;"",IF('Capacity summary'!$C$14="Yes",IF(COUNTBLANK('Capacity summary'!$H49:$BG49)&lt;52,IF('Capacity summary'!Z49&lt;&gt;"",IF(LOWER('Capacity summary'!Z49)="x",$BI137*Z137,VALUE('Capacity summary'!Z49)),0),Z137*$BI137),Z137*$BI137),0)</f>
        <v>0</v>
      </c>
      <c r="CD137" s="5">
        <f>IF($BI137&lt;&gt;"",IF('Capacity summary'!$C$14="Yes",IF(COUNTBLANK('Capacity summary'!$H49:$BG49)&lt;52,IF('Capacity summary'!AA49&lt;&gt;"",IF(LOWER('Capacity summary'!AA49)="x",$BI137*AA137,VALUE('Capacity summary'!AA49)),0),AA137*$BI137),AA137*$BI137),0)</f>
        <v>0</v>
      </c>
      <c r="CE137" s="5">
        <f>IF($BI137&lt;&gt;"",IF('Capacity summary'!$C$14="Yes",IF(COUNTBLANK('Capacity summary'!$H49:$BG49)&lt;52,IF('Capacity summary'!AB49&lt;&gt;"",IF(LOWER('Capacity summary'!AB49)="x",$BI137*AB137,VALUE('Capacity summary'!AB49)),0),AB137*$BI137),AB137*$BI137),0)</f>
        <v>0</v>
      </c>
      <c r="CF137" s="5">
        <f>IF($BI137&lt;&gt;"",IF('Capacity summary'!$C$14="Yes",IF(COUNTBLANK('Capacity summary'!$H49:$BG49)&lt;52,IF('Capacity summary'!AC49&lt;&gt;"",IF(LOWER('Capacity summary'!AC49)="x",$BI137*AC137,VALUE('Capacity summary'!AC49)),0),AC137*$BI137),AC137*$BI137),0)</f>
        <v>0</v>
      </c>
      <c r="CG137" s="5">
        <f>IF($BI137&lt;&gt;"",IF('Capacity summary'!$C$14="Yes",IF(COUNTBLANK('Capacity summary'!$H49:$BG49)&lt;52,IF('Capacity summary'!AD49&lt;&gt;"",IF(LOWER('Capacity summary'!AD49)="x",$BI137*AD137,VALUE('Capacity summary'!AD49)),0),AD137*$BI137),AD137*$BI137),0)</f>
        <v>0</v>
      </c>
      <c r="CH137" s="5">
        <f>IF($BI137&lt;&gt;"",IF('Capacity summary'!$C$14="Yes",IF(COUNTBLANK('Capacity summary'!$H49:$BG49)&lt;52,IF('Capacity summary'!AE49&lt;&gt;"",IF(LOWER('Capacity summary'!AE49)="x",$BI137*AE137,VALUE('Capacity summary'!AE49)),0),AE137*$BI137),AE137*$BI137),0)</f>
        <v>0</v>
      </c>
      <c r="CI137" s="5">
        <f>IF($BI137&lt;&gt;"",IF('Capacity summary'!$C$14="Yes",IF(COUNTBLANK('Capacity summary'!$H49:$BG49)&lt;52,IF('Capacity summary'!AF49&lt;&gt;"",IF(LOWER('Capacity summary'!AF49)="x",$BI137*AF137,VALUE('Capacity summary'!AF49)),0),AF137*$BI137),AF137*$BI137),0)</f>
        <v>0</v>
      </c>
      <c r="CJ137" s="5">
        <f>IF($BI137&lt;&gt;"",IF('Capacity summary'!$C$14="Yes",IF(COUNTBLANK('Capacity summary'!$H49:$BG49)&lt;52,IF('Capacity summary'!AG49&lt;&gt;"",IF(LOWER('Capacity summary'!AG49)="x",$BI137*AG137,VALUE('Capacity summary'!AG49)),0),AG137*$BI137),AG137*$BI137),0)</f>
        <v>0</v>
      </c>
      <c r="CK137" s="5">
        <f>IF($BI137&lt;&gt;"",IF('Capacity summary'!$C$14="Yes",IF(COUNTBLANK('Capacity summary'!$H49:$BG49)&lt;52,IF('Capacity summary'!AH49&lt;&gt;"",IF(LOWER('Capacity summary'!AH49)="x",$BI137*AH137,VALUE('Capacity summary'!AH49)),0),AH137*$BI137),AH137*$BI137),0)</f>
        <v>0</v>
      </c>
      <c r="CL137" s="5">
        <f>IF($BI137&lt;&gt;"",IF('Capacity summary'!$C$14="Yes",IF(COUNTBLANK('Capacity summary'!$H49:$BG49)&lt;52,IF('Capacity summary'!AI49&lt;&gt;"",IF(LOWER('Capacity summary'!AI49)="x",$BI137*AI137,VALUE('Capacity summary'!AI49)),0),AI137*$BI137),AI137*$BI137),0)</f>
        <v>0</v>
      </c>
      <c r="CM137" s="5">
        <f>IF($BI137&lt;&gt;"",IF('Capacity summary'!$C$14="Yes",IF(COUNTBLANK('Capacity summary'!$H49:$BG49)&lt;52,IF('Capacity summary'!AJ49&lt;&gt;"",IF(LOWER('Capacity summary'!AJ49)="x",$BI137*AJ137,VALUE('Capacity summary'!AJ49)),0),AJ137*$BI137),AJ137*$BI137),0)</f>
        <v>0</v>
      </c>
      <c r="CN137" s="5">
        <f>IF($BI137&lt;&gt;"",IF('Capacity summary'!$C$14="Yes",IF(COUNTBLANK('Capacity summary'!$H49:$BG49)&lt;52,IF('Capacity summary'!AK49&lt;&gt;"",IF(LOWER('Capacity summary'!AK49)="x",$BI137*AK137,VALUE('Capacity summary'!AK49)),0),AK137*$BI137),AK137*$BI137),0)</f>
        <v>0</v>
      </c>
      <c r="CO137" s="5">
        <f>IF($BI137&lt;&gt;"",IF('Capacity summary'!$C$14="Yes",IF(COUNTBLANK('Capacity summary'!$H49:$BG49)&lt;52,IF('Capacity summary'!AL49&lt;&gt;"",IF(LOWER('Capacity summary'!AL49)="x",$BI137*AL137,VALUE('Capacity summary'!AL49)),0),AL137*$BI137),AL137*$BI137),0)</f>
        <v>0</v>
      </c>
      <c r="CP137" s="5">
        <f>IF($BI137&lt;&gt;"",IF('Capacity summary'!$C$14="Yes",IF(COUNTBLANK('Capacity summary'!$H49:$BG49)&lt;52,IF('Capacity summary'!AM49&lt;&gt;"",IF(LOWER('Capacity summary'!AM49)="x",$BI137*AM137,VALUE('Capacity summary'!AM49)),0),AM137*$BI137),AM137*$BI137),0)</f>
        <v>0</v>
      </c>
      <c r="CQ137" s="5">
        <f>IF($BI137&lt;&gt;"",IF('Capacity summary'!$C$14="Yes",IF(COUNTBLANK('Capacity summary'!$H49:$BG49)&lt;52,IF('Capacity summary'!AN49&lt;&gt;"",IF(LOWER('Capacity summary'!AN49)="x",$BI137*AN137,VALUE('Capacity summary'!AN49)),0),AN137*$BI137),AN137*$BI137),0)</f>
        <v>0</v>
      </c>
      <c r="CR137" s="5">
        <f>IF($BI137&lt;&gt;"",IF('Capacity summary'!$C$14="Yes",IF(COUNTBLANK('Capacity summary'!$H49:$BG49)&lt;52,IF('Capacity summary'!AO49&lt;&gt;"",IF(LOWER('Capacity summary'!AO49)="x",$BI137*AO137,VALUE('Capacity summary'!AO49)),0),AO137*$BI137),AO137*$BI137),0)</f>
        <v>0</v>
      </c>
      <c r="CS137" s="5">
        <f>IF($BI137&lt;&gt;"",IF('Capacity summary'!$C$14="Yes",IF(COUNTBLANK('Capacity summary'!$H49:$BG49)&lt;52,IF('Capacity summary'!AP49&lt;&gt;"",IF(LOWER('Capacity summary'!AP49)="x",$BI137*AP137,VALUE('Capacity summary'!AP49)),0),AP137*$BI137),AP137*$BI137),0)</f>
        <v>0</v>
      </c>
      <c r="CT137" s="5">
        <f>IF($BI137&lt;&gt;"",IF('Capacity summary'!$C$14="Yes",IF(COUNTBLANK('Capacity summary'!$H49:$BG49)&lt;52,IF('Capacity summary'!AQ49&lt;&gt;"",IF(LOWER('Capacity summary'!AQ49)="x",$BI137*AQ137,VALUE('Capacity summary'!AQ49)),0),AQ137*$BI137),AQ137*$BI137),0)</f>
        <v>0</v>
      </c>
      <c r="CU137" s="5">
        <f>IF($BI137&lt;&gt;"",IF('Capacity summary'!$C$14="Yes",IF(COUNTBLANK('Capacity summary'!$H49:$BG49)&lt;52,IF('Capacity summary'!AR49&lt;&gt;"",IF(LOWER('Capacity summary'!AR49)="x",$BI137*AR137,VALUE('Capacity summary'!AR49)),0),AR137*$BI137),AR137*$BI137),0)</f>
        <v>0</v>
      </c>
      <c r="CV137" s="5">
        <f>IF($BI137&lt;&gt;"",IF('Capacity summary'!$C$14="Yes",IF(COUNTBLANK('Capacity summary'!$H49:$BG49)&lt;52,IF('Capacity summary'!AS49&lt;&gt;"",IF(LOWER('Capacity summary'!AS49)="x",$BI137*AS137,VALUE('Capacity summary'!AS49)),0),AS137*$BI137),AS137*$BI137),0)</f>
        <v>0</v>
      </c>
      <c r="CW137" s="5">
        <f>IF($BI137&lt;&gt;"",IF('Capacity summary'!$C$14="Yes",IF(COUNTBLANK('Capacity summary'!$H49:$BG49)&lt;52,IF('Capacity summary'!AT49&lt;&gt;"",IF(LOWER('Capacity summary'!AT49)="x",$BI137*AT137,VALUE('Capacity summary'!AT49)),0),AT137*$BI137),AT137*$BI137),0)</f>
        <v>0</v>
      </c>
      <c r="CX137" s="5">
        <f>IF($BI137&lt;&gt;"",IF('Capacity summary'!$C$14="Yes",IF(COUNTBLANK('Capacity summary'!$H49:$BG49)&lt;52,IF('Capacity summary'!AU49&lt;&gt;"",IF(LOWER('Capacity summary'!AU49)="x",$BI137*AU137,VALUE('Capacity summary'!AU49)),0),AU137*$BI137),AU137*$BI137),0)</f>
        <v>0</v>
      </c>
      <c r="CY137" s="5">
        <f>IF($BI137&lt;&gt;"",IF('Capacity summary'!$C$14="Yes",IF(COUNTBLANK('Capacity summary'!$H49:$BG49)&lt;52,IF('Capacity summary'!AV49&lt;&gt;"",IF(LOWER('Capacity summary'!AV49)="x",$BI137*AV137,VALUE('Capacity summary'!AV49)),0),AV137*$BI137),AV137*$BI137),0)</f>
        <v>0</v>
      </c>
      <c r="CZ137" s="5">
        <f>IF($BI137&lt;&gt;"",IF('Capacity summary'!$C$14="Yes",IF(COUNTBLANK('Capacity summary'!$H49:$BG49)&lt;52,IF('Capacity summary'!AW49&lt;&gt;"",IF(LOWER('Capacity summary'!AW49)="x",$BI137*AW137,VALUE('Capacity summary'!AW49)),0),AW137*$BI137),AW137*$BI137),0)</f>
        <v>0</v>
      </c>
      <c r="DA137" s="5">
        <f>IF($BI137&lt;&gt;"",IF('Capacity summary'!$C$14="Yes",IF(COUNTBLANK('Capacity summary'!$H49:$BG49)&lt;52,IF('Capacity summary'!AX49&lt;&gt;"",IF(LOWER('Capacity summary'!AX49)="x",$BI137*AX137,VALUE('Capacity summary'!AX49)),0),AX137*$BI137),AX137*$BI137),0)</f>
        <v>0</v>
      </c>
      <c r="DB137" s="5">
        <f>IF($BI137&lt;&gt;"",IF('Capacity summary'!$C$14="Yes",IF(COUNTBLANK('Capacity summary'!$H49:$BG49)&lt;52,IF('Capacity summary'!AY49&lt;&gt;"",IF(LOWER('Capacity summary'!AY49)="x",$BI137*AY137,VALUE('Capacity summary'!AY49)),0),AY137*$BI137),AY137*$BI137),0)</f>
        <v>0</v>
      </c>
      <c r="DC137" s="5">
        <f>IF($BI137&lt;&gt;"",IF('Capacity summary'!$C$14="Yes",IF(COUNTBLANK('Capacity summary'!$H49:$BG49)&lt;52,IF('Capacity summary'!AZ49&lt;&gt;"",IF(LOWER('Capacity summary'!AZ49)="x",$BI137*AZ137,VALUE('Capacity summary'!AZ49)),0),AZ137*$BI137),AZ137*$BI137),0)</f>
        <v>0</v>
      </c>
      <c r="DD137" s="5">
        <f>IF($BI137&lt;&gt;"",IF('Capacity summary'!$C$14="Yes",IF(COUNTBLANK('Capacity summary'!$H49:$BG49)&lt;52,IF('Capacity summary'!BA49&lt;&gt;"",IF(LOWER('Capacity summary'!BA49)="x",$BI137*BA137,VALUE('Capacity summary'!BA49)),0),BA137*$BI137),BA137*$BI137),0)</f>
        <v>0</v>
      </c>
      <c r="DE137" s="5">
        <f>IF($BI137&lt;&gt;"",IF('Capacity summary'!$C$14="Yes",IF(COUNTBLANK('Capacity summary'!$H49:$BG49)&lt;52,IF('Capacity summary'!BB49&lt;&gt;"",IF(LOWER('Capacity summary'!BB49)="x",$BI137*BB137,VALUE('Capacity summary'!BB49)),0),BB137*$BI137),BB137*$BI137),0)</f>
        <v>0</v>
      </c>
      <c r="DF137" s="5">
        <f>IF($BI137&lt;&gt;"",IF('Capacity summary'!$C$14="Yes",IF(COUNTBLANK('Capacity summary'!$H49:$BG49)&lt;52,IF('Capacity summary'!BC49&lt;&gt;"",IF(LOWER('Capacity summary'!BC49)="x",$BI137*BC137,VALUE('Capacity summary'!BC49)),0),BC137*$BI137),BC137*$BI137),0)</f>
        <v>0</v>
      </c>
      <c r="DG137" s="5">
        <f>IF($BI137&lt;&gt;"",IF('Capacity summary'!$C$14="Yes",IF(COUNTBLANK('Capacity summary'!$H49:$BG49)&lt;52,IF('Capacity summary'!BD49&lt;&gt;"",IF(LOWER('Capacity summary'!BD49)="x",$BI137*BD137,VALUE('Capacity summary'!BD49)),0),BD137*$BI137),BD137*$BI137),0)</f>
        <v>0</v>
      </c>
      <c r="DH137" s="5">
        <f>IF($BI137&lt;&gt;"",IF('Capacity summary'!$C$14="Yes",IF(COUNTBLANK('Capacity summary'!$H49:$BG49)&lt;52,IF('Capacity summary'!BE49&lt;&gt;"",IF(LOWER('Capacity summary'!BE49)="x",$BI137*BE137,VALUE('Capacity summary'!BE49)),0),BE137*$BI137),BE137*$BI137),0)</f>
        <v>0</v>
      </c>
      <c r="DI137" s="5">
        <f>IF($BI137&lt;&gt;"",IF('Capacity summary'!$C$14="Yes",IF(COUNTBLANK('Capacity summary'!$H49:$BG49)&lt;52,IF('Capacity summary'!BF49&lt;&gt;"",IF(LOWER('Capacity summary'!BF49)="x",$BI137*BF137,VALUE('Capacity summary'!BF49)),0),BF137*$BI137),BF137*$BI137),0)</f>
        <v>0</v>
      </c>
      <c r="DJ137" s="5">
        <f>IF($BI137&lt;&gt;"",IF('Capacity summary'!$C$14="Yes",IF(COUNTBLANK('Capacity summary'!$H49:$BG49)&lt;52,IF('Capacity summary'!BG49&lt;&gt;"",IF(LOWER('Capacity summary'!BG49)="x",$BI137*BG137,VALUE('Capacity summary'!BG49)),0),BG137*$BI137),BG137*$BI137),0)</f>
        <v>0</v>
      </c>
      <c r="DK137" s="391">
        <f t="shared" si="8"/>
        <v>0</v>
      </c>
      <c r="DL137" s="5">
        <f t="shared" si="9"/>
        <v>0</v>
      </c>
    </row>
    <row r="138" spans="3:116" x14ac:dyDescent="0.2">
      <c r="C138" s="67" t="str">
        <f>ROW(A27)&amp;". "&amp;Capacity!N43</f>
        <v xml:space="preserve">27. </v>
      </c>
      <c r="D138" s="67">
        <f>'Capacity setup'!C144</f>
        <v>0</v>
      </c>
      <c r="E138" s="67">
        <f>'Capacity setup'!D144</f>
        <v>0</v>
      </c>
      <c r="F138" s="67">
        <f>'Capacity setup'!E144</f>
        <v>0</v>
      </c>
      <c r="H138" s="67">
        <f ca="1">IF(LOWER(Capacity!$V43)="x",IF(AND(SUMIF(Capacity_Resource,$D138,'Critical resources (hide)'!U$6:U$105)+SUMIF(Capacity_Resource,$E138,'Critical resources (hide)'!U$6:U$105)+SUMIF(Capacity_Resource,$F138,'Critical resources (hide)'!U$6:U$105)&gt;0,$E$1=2),0,1),0)</f>
        <v>1</v>
      </c>
      <c r="I138" s="67">
        <f ca="1">IF(LOWER(Capacity!$V43)="x",IF(AND(SUMIF(Capacity_Resource,$D138,'Critical resources (hide)'!V$6:V$105)+SUMIF(Capacity_Resource,$E138,'Critical resources (hide)'!V$6:V$105)+SUMIF(Capacity_Resource,$F138,'Critical resources (hide)'!V$6:V$105)&gt;0,$E$1=2),0,1),0)</f>
        <v>1</v>
      </c>
      <c r="J138" s="67">
        <f ca="1">IF(LOWER(Capacity!$V43)="x",IF(AND(SUMIF(Capacity_Resource,$D138,'Critical resources (hide)'!W$6:W$105)+SUMIF(Capacity_Resource,$E138,'Critical resources (hide)'!W$6:W$105)+SUMIF(Capacity_Resource,$F138,'Critical resources (hide)'!W$6:W$105)&gt;0,$E$1=2),0,1),0)</f>
        <v>1</v>
      </c>
      <c r="K138" s="67">
        <f ca="1">IF(LOWER(Capacity!$V43)="x",IF(AND(SUMIF(Capacity_Resource,$D138,'Critical resources (hide)'!X$6:X$105)+SUMIF(Capacity_Resource,$E138,'Critical resources (hide)'!X$6:X$105)+SUMIF(Capacity_Resource,$F138,'Critical resources (hide)'!X$6:X$105)&gt;0,$E$1=2),0,1),0)</f>
        <v>1</v>
      </c>
      <c r="L138" s="67">
        <f ca="1">IF(LOWER(Capacity!$V43)="x",IF(AND(SUMIF(Capacity_Resource,$D138,'Critical resources (hide)'!Y$6:Y$105)+SUMIF(Capacity_Resource,$E138,'Critical resources (hide)'!Y$6:Y$105)+SUMIF(Capacity_Resource,$F138,'Critical resources (hide)'!Y$6:Y$105)&gt;0,$E$1=2),0,1),0)</f>
        <v>1</v>
      </c>
      <c r="M138" s="67">
        <f ca="1">IF(LOWER(Capacity!$V43)="x",IF(AND(SUMIF(Capacity_Resource,$D138,'Critical resources (hide)'!Z$6:Z$105)+SUMIF(Capacity_Resource,$E138,'Critical resources (hide)'!Z$6:Z$105)+SUMIF(Capacity_Resource,$F138,'Critical resources (hide)'!Z$6:Z$105)&gt;0,$E$1=2),0,1),0)</f>
        <v>1</v>
      </c>
      <c r="N138" s="67">
        <f ca="1">IF(LOWER(Capacity!$V43)="x",IF(AND(SUMIF(Capacity_Resource,$D138,'Critical resources (hide)'!AA$6:AA$105)+SUMIF(Capacity_Resource,$E138,'Critical resources (hide)'!AA$6:AA$105)+SUMIF(Capacity_Resource,$F138,'Critical resources (hide)'!AA$6:AA$105)&gt;0,$E$1=2),0,1),0)</f>
        <v>1</v>
      </c>
      <c r="O138" s="67">
        <f ca="1">IF(LOWER(Capacity!$V43)="x",IF(AND(SUMIF(Capacity_Resource,$D138,'Critical resources (hide)'!AB$6:AB$105)+SUMIF(Capacity_Resource,$E138,'Critical resources (hide)'!AB$6:AB$105)+SUMIF(Capacity_Resource,$F138,'Critical resources (hide)'!AB$6:AB$105)&gt;0,$E$1=2),0,1),0)</f>
        <v>1</v>
      </c>
      <c r="P138" s="67">
        <f ca="1">IF(LOWER(Capacity!$V43)="x",IF(AND(SUMIF(Capacity_Resource,$D138,'Critical resources (hide)'!AC$6:AC$105)+SUMIF(Capacity_Resource,$E138,'Critical resources (hide)'!AC$6:AC$105)+SUMIF(Capacity_Resource,$F138,'Critical resources (hide)'!AC$6:AC$105)&gt;0,$E$1=2),0,1),0)</f>
        <v>1</v>
      </c>
      <c r="Q138" s="67">
        <f ca="1">IF(LOWER(Capacity!$V43)="x",IF(AND(SUMIF(Capacity_Resource,$D138,'Critical resources (hide)'!AD$6:AD$105)+SUMIF(Capacity_Resource,$E138,'Critical resources (hide)'!AD$6:AD$105)+SUMIF(Capacity_Resource,$F138,'Critical resources (hide)'!AD$6:AD$105)&gt;0,$E$1=2),0,1),0)</f>
        <v>1</v>
      </c>
      <c r="R138" s="67">
        <f ca="1">IF(LOWER(Capacity!$V43)="x",IF(AND(SUMIF(Capacity_Resource,$D138,'Critical resources (hide)'!AE$6:AE$105)+SUMIF(Capacity_Resource,$E138,'Critical resources (hide)'!AE$6:AE$105)+SUMIF(Capacity_Resource,$F138,'Critical resources (hide)'!AE$6:AE$105)&gt;0,$E$1=2),0,1),0)</f>
        <v>1</v>
      </c>
      <c r="S138" s="67">
        <f ca="1">IF(LOWER(Capacity!$V43)="x",IF(AND(SUMIF(Capacity_Resource,$D138,'Critical resources (hide)'!AF$6:AF$105)+SUMIF(Capacity_Resource,$E138,'Critical resources (hide)'!AF$6:AF$105)+SUMIF(Capacity_Resource,$F138,'Critical resources (hide)'!AF$6:AF$105)&gt;0,$E$1=2),0,1),0)</f>
        <v>1</v>
      </c>
      <c r="T138" s="67">
        <f ca="1">IF(LOWER(Capacity!$V43)="x",IF(AND(SUMIF(Capacity_Resource,$D138,'Critical resources (hide)'!AG$6:AG$105)+SUMIF(Capacity_Resource,$E138,'Critical resources (hide)'!AG$6:AG$105)+SUMIF(Capacity_Resource,$F138,'Critical resources (hide)'!AG$6:AG$105)&gt;0,$E$1=2),0,1),0)</f>
        <v>1</v>
      </c>
      <c r="U138" s="67">
        <f ca="1">IF(LOWER(Capacity!$V43)="x",IF(AND(SUMIF(Capacity_Resource,$D138,'Critical resources (hide)'!AH$6:AH$105)+SUMIF(Capacity_Resource,$E138,'Critical resources (hide)'!AH$6:AH$105)+SUMIF(Capacity_Resource,$F138,'Critical resources (hide)'!AH$6:AH$105)&gt;0,$E$1=2),0,1),0)</f>
        <v>1</v>
      </c>
      <c r="V138" s="67">
        <f ca="1">IF(LOWER(Capacity!$V43)="x",IF(AND(SUMIF(Capacity_Resource,$D138,'Critical resources (hide)'!AI$6:AI$105)+SUMIF(Capacity_Resource,$E138,'Critical resources (hide)'!AI$6:AI$105)+SUMIF(Capacity_Resource,$F138,'Critical resources (hide)'!AI$6:AI$105)&gt;0,$E$1=2),0,1),0)</f>
        <v>1</v>
      </c>
      <c r="W138" s="67">
        <f ca="1">IF(LOWER(Capacity!$V43)="x",IF(AND(SUMIF(Capacity_Resource,$D138,'Critical resources (hide)'!AJ$6:AJ$105)+SUMIF(Capacity_Resource,$E138,'Critical resources (hide)'!AJ$6:AJ$105)+SUMIF(Capacity_Resource,$F138,'Critical resources (hide)'!AJ$6:AJ$105)&gt;0,$E$1=2),0,1),0)</f>
        <v>1</v>
      </c>
      <c r="X138" s="67">
        <f ca="1">IF(LOWER(Capacity!$V43)="x",IF(AND(SUMIF(Capacity_Resource,$D138,'Critical resources (hide)'!AK$6:AK$105)+SUMIF(Capacity_Resource,$E138,'Critical resources (hide)'!AK$6:AK$105)+SUMIF(Capacity_Resource,$F138,'Critical resources (hide)'!AK$6:AK$105)&gt;0,$E$1=2),0,1),0)</f>
        <v>1</v>
      </c>
      <c r="Y138" s="67">
        <f ca="1">IF(LOWER(Capacity!$V43)="x",IF(AND(SUMIF(Capacity_Resource,$D138,'Critical resources (hide)'!AL$6:AL$105)+SUMIF(Capacity_Resource,$E138,'Critical resources (hide)'!AL$6:AL$105)+SUMIF(Capacity_Resource,$F138,'Critical resources (hide)'!AL$6:AL$105)&gt;0,$E$1=2),0,1),0)</f>
        <v>1</v>
      </c>
      <c r="Z138" s="67">
        <f ca="1">IF(LOWER(Capacity!$V43)="x",IF(AND(SUMIF(Capacity_Resource,$D138,'Critical resources (hide)'!AM$6:AM$105)+SUMIF(Capacity_Resource,$E138,'Critical resources (hide)'!AM$6:AM$105)+SUMIF(Capacity_Resource,$F138,'Critical resources (hide)'!AM$6:AM$105)&gt;0,$E$1=2),0,1),0)</f>
        <v>1</v>
      </c>
      <c r="AA138" s="67">
        <f ca="1">IF(LOWER(Capacity!$V43)="x",IF(AND(SUMIF(Capacity_Resource,$D138,'Critical resources (hide)'!AN$6:AN$105)+SUMIF(Capacity_Resource,$E138,'Critical resources (hide)'!AN$6:AN$105)+SUMIF(Capacity_Resource,$F138,'Critical resources (hide)'!AN$6:AN$105)&gt;0,$E$1=2),0,1),0)</f>
        <v>1</v>
      </c>
      <c r="AB138" s="67">
        <f ca="1">IF(LOWER(Capacity!$V43)="x",IF(AND(SUMIF(Capacity_Resource,$D138,'Critical resources (hide)'!AO$6:AO$105)+SUMIF(Capacity_Resource,$E138,'Critical resources (hide)'!AO$6:AO$105)+SUMIF(Capacity_Resource,$F138,'Critical resources (hide)'!AO$6:AO$105)&gt;0,$E$1=2),0,1),0)</f>
        <v>1</v>
      </c>
      <c r="AC138" s="67">
        <f ca="1">IF(LOWER(Capacity!$V43)="x",IF(AND(SUMIF(Capacity_Resource,$D138,'Critical resources (hide)'!AP$6:AP$105)+SUMIF(Capacity_Resource,$E138,'Critical resources (hide)'!AP$6:AP$105)+SUMIF(Capacity_Resource,$F138,'Critical resources (hide)'!AP$6:AP$105)&gt;0,$E$1=2),0,1),0)</f>
        <v>1</v>
      </c>
      <c r="AD138" s="67">
        <f ca="1">IF(LOWER(Capacity!$V43)="x",IF(AND(SUMIF(Capacity_Resource,$D138,'Critical resources (hide)'!AQ$6:AQ$105)+SUMIF(Capacity_Resource,$E138,'Critical resources (hide)'!AQ$6:AQ$105)+SUMIF(Capacity_Resource,$F138,'Critical resources (hide)'!AQ$6:AQ$105)&gt;0,$E$1=2),0,1),0)</f>
        <v>1</v>
      </c>
      <c r="AE138" s="67">
        <f ca="1">IF(LOWER(Capacity!$V43)="x",IF(AND(SUMIF(Capacity_Resource,$D138,'Critical resources (hide)'!AR$6:AR$105)+SUMIF(Capacity_Resource,$E138,'Critical resources (hide)'!AR$6:AR$105)+SUMIF(Capacity_Resource,$F138,'Critical resources (hide)'!AR$6:AR$105)&gt;0,$E$1=2),0,1),0)</f>
        <v>1</v>
      </c>
      <c r="AF138" s="67">
        <f ca="1">IF(LOWER(Capacity!$V43)="x",IF(AND(SUMIF(Capacity_Resource,$D138,'Critical resources (hide)'!AS$6:AS$105)+SUMIF(Capacity_Resource,$E138,'Critical resources (hide)'!AS$6:AS$105)+SUMIF(Capacity_Resource,$F138,'Critical resources (hide)'!AS$6:AS$105)&gt;0,$E$1=2),0,1),0)</f>
        <v>1</v>
      </c>
      <c r="AG138" s="67">
        <f ca="1">IF(LOWER(Capacity!$V43)="x",IF(AND(SUMIF(Capacity_Resource,$D138,'Critical resources (hide)'!AT$6:AT$105)+SUMIF(Capacity_Resource,$E138,'Critical resources (hide)'!AT$6:AT$105)+SUMIF(Capacity_Resource,$F138,'Critical resources (hide)'!AT$6:AT$105)&gt;0,$E$1=2),0,1),0)</f>
        <v>1</v>
      </c>
      <c r="AH138" s="67">
        <f ca="1">IF(LOWER(Capacity!$V43)="x",IF(AND(SUMIF(Capacity_Resource,$D138,'Critical resources (hide)'!AU$6:AU$105)+SUMIF(Capacity_Resource,$E138,'Critical resources (hide)'!AU$6:AU$105)+SUMIF(Capacity_Resource,$F138,'Critical resources (hide)'!AU$6:AU$105)&gt;0,$E$1=2),0,1),0)</f>
        <v>1</v>
      </c>
      <c r="AI138" s="67">
        <f ca="1">IF(LOWER(Capacity!$V43)="x",IF(AND(SUMIF(Capacity_Resource,$D138,'Critical resources (hide)'!AV$6:AV$105)+SUMIF(Capacity_Resource,$E138,'Critical resources (hide)'!AV$6:AV$105)+SUMIF(Capacity_Resource,$F138,'Critical resources (hide)'!AV$6:AV$105)&gt;0,$E$1=2),0,1),0)</f>
        <v>1</v>
      </c>
      <c r="AJ138" s="67">
        <f ca="1">IF(LOWER(Capacity!$V43)="x",IF(AND(SUMIF(Capacity_Resource,$D138,'Critical resources (hide)'!AW$6:AW$105)+SUMIF(Capacity_Resource,$E138,'Critical resources (hide)'!AW$6:AW$105)+SUMIF(Capacity_Resource,$F138,'Critical resources (hide)'!AW$6:AW$105)&gt;0,$E$1=2),0,1),0)</f>
        <v>1</v>
      </c>
      <c r="AK138" s="67">
        <f ca="1">IF(LOWER(Capacity!$V43)="x",IF(AND(SUMIF(Capacity_Resource,$D138,'Critical resources (hide)'!AX$6:AX$105)+SUMIF(Capacity_Resource,$E138,'Critical resources (hide)'!AX$6:AX$105)+SUMIF(Capacity_Resource,$F138,'Critical resources (hide)'!AX$6:AX$105)&gt;0,$E$1=2),0,1),0)</f>
        <v>1</v>
      </c>
      <c r="AL138" s="67">
        <f ca="1">IF(LOWER(Capacity!$V43)="x",IF(AND(SUMIF(Capacity_Resource,$D138,'Critical resources (hide)'!AY$6:AY$105)+SUMIF(Capacity_Resource,$E138,'Critical resources (hide)'!AY$6:AY$105)+SUMIF(Capacity_Resource,$F138,'Critical resources (hide)'!AY$6:AY$105)&gt;0,$E$1=2),0,1),0)</f>
        <v>1</v>
      </c>
      <c r="AM138" s="67">
        <f ca="1">IF(LOWER(Capacity!$V43)="x",IF(AND(SUMIF(Capacity_Resource,$D138,'Critical resources (hide)'!AZ$6:AZ$105)+SUMIF(Capacity_Resource,$E138,'Critical resources (hide)'!AZ$6:AZ$105)+SUMIF(Capacity_Resource,$F138,'Critical resources (hide)'!AZ$6:AZ$105)&gt;0,$E$1=2),0,1),0)</f>
        <v>1</v>
      </c>
      <c r="AN138" s="67">
        <f ca="1">IF(LOWER(Capacity!$V43)="x",IF(AND(SUMIF(Capacity_Resource,$D138,'Critical resources (hide)'!BA$6:BA$105)+SUMIF(Capacity_Resource,$E138,'Critical resources (hide)'!BA$6:BA$105)+SUMIF(Capacity_Resource,$F138,'Critical resources (hide)'!BA$6:BA$105)&gt;0,$E$1=2),0,1),0)</f>
        <v>1</v>
      </c>
      <c r="AO138" s="67">
        <f ca="1">IF(LOWER(Capacity!$V43)="x",IF(AND(SUMIF(Capacity_Resource,$D138,'Critical resources (hide)'!BB$6:BB$105)+SUMIF(Capacity_Resource,$E138,'Critical resources (hide)'!BB$6:BB$105)+SUMIF(Capacity_Resource,$F138,'Critical resources (hide)'!BB$6:BB$105)&gt;0,$E$1=2),0,1),0)</f>
        <v>1</v>
      </c>
      <c r="AP138" s="67">
        <f ca="1">IF(LOWER(Capacity!$V43)="x",IF(AND(SUMIF(Capacity_Resource,$D138,'Critical resources (hide)'!BC$6:BC$105)+SUMIF(Capacity_Resource,$E138,'Critical resources (hide)'!BC$6:BC$105)+SUMIF(Capacity_Resource,$F138,'Critical resources (hide)'!BC$6:BC$105)&gt;0,$E$1=2),0,1),0)</f>
        <v>1</v>
      </c>
      <c r="AQ138" s="67">
        <f ca="1">IF(LOWER(Capacity!$V43)="x",IF(AND(SUMIF(Capacity_Resource,$D138,'Critical resources (hide)'!BD$6:BD$105)+SUMIF(Capacity_Resource,$E138,'Critical resources (hide)'!BD$6:BD$105)+SUMIF(Capacity_Resource,$F138,'Critical resources (hide)'!BD$6:BD$105)&gt;0,$E$1=2),0,1),0)</f>
        <v>1</v>
      </c>
      <c r="AR138" s="67">
        <f ca="1">IF(LOWER(Capacity!$V43)="x",IF(AND(SUMIF(Capacity_Resource,$D138,'Critical resources (hide)'!BE$6:BE$105)+SUMIF(Capacity_Resource,$E138,'Critical resources (hide)'!BE$6:BE$105)+SUMIF(Capacity_Resource,$F138,'Critical resources (hide)'!BE$6:BE$105)&gt;0,$E$1=2),0,1),0)</f>
        <v>1</v>
      </c>
      <c r="AS138" s="67">
        <f ca="1">IF(LOWER(Capacity!$V43)="x",IF(AND(SUMIF(Capacity_Resource,$D138,'Critical resources (hide)'!BF$6:BF$105)+SUMIF(Capacity_Resource,$E138,'Critical resources (hide)'!BF$6:BF$105)+SUMIF(Capacity_Resource,$F138,'Critical resources (hide)'!BF$6:BF$105)&gt;0,$E$1=2),0,1),0)</f>
        <v>1</v>
      </c>
      <c r="AT138" s="67">
        <f ca="1">IF(LOWER(Capacity!$V43)="x",IF(AND(SUMIF(Capacity_Resource,$D138,'Critical resources (hide)'!BG$6:BG$105)+SUMIF(Capacity_Resource,$E138,'Critical resources (hide)'!BG$6:BG$105)+SUMIF(Capacity_Resource,$F138,'Critical resources (hide)'!BG$6:BG$105)&gt;0,$E$1=2),0,1),0)</f>
        <v>1</v>
      </c>
      <c r="AU138" s="67">
        <f ca="1">IF(LOWER(Capacity!$V43)="x",IF(AND(SUMIF(Capacity_Resource,$D138,'Critical resources (hide)'!BH$6:BH$105)+SUMIF(Capacity_Resource,$E138,'Critical resources (hide)'!BH$6:BH$105)+SUMIF(Capacity_Resource,$F138,'Critical resources (hide)'!BH$6:BH$105)&gt;0,$E$1=2),0,1),0)</f>
        <v>1</v>
      </c>
      <c r="AV138" s="67">
        <f ca="1">IF(LOWER(Capacity!$V43)="x",IF(AND(SUMIF(Capacity_Resource,$D138,'Critical resources (hide)'!BI$6:BI$105)+SUMIF(Capacity_Resource,$E138,'Critical resources (hide)'!BI$6:BI$105)+SUMIF(Capacity_Resource,$F138,'Critical resources (hide)'!BI$6:BI$105)&gt;0,$E$1=2),0,1),0)</f>
        <v>1</v>
      </c>
      <c r="AW138" s="67">
        <f ca="1">IF(LOWER(Capacity!$V43)="x",IF(AND(SUMIF(Capacity_Resource,$D138,'Critical resources (hide)'!BJ$6:BJ$105)+SUMIF(Capacity_Resource,$E138,'Critical resources (hide)'!BJ$6:BJ$105)+SUMIF(Capacity_Resource,$F138,'Critical resources (hide)'!BJ$6:BJ$105)&gt;0,$E$1=2),0,1),0)</f>
        <v>1</v>
      </c>
      <c r="AX138" s="67">
        <f ca="1">IF(LOWER(Capacity!$V43)="x",IF(AND(SUMIF(Capacity_Resource,$D138,'Critical resources (hide)'!BK$6:BK$105)+SUMIF(Capacity_Resource,$E138,'Critical resources (hide)'!BK$6:BK$105)+SUMIF(Capacity_Resource,$F138,'Critical resources (hide)'!BK$6:BK$105)&gt;0,$E$1=2),0,1),0)</f>
        <v>1</v>
      </c>
      <c r="AY138" s="67">
        <f ca="1">IF(LOWER(Capacity!$V43)="x",IF(AND(SUMIF(Capacity_Resource,$D138,'Critical resources (hide)'!BL$6:BL$105)+SUMIF(Capacity_Resource,$E138,'Critical resources (hide)'!BL$6:BL$105)+SUMIF(Capacity_Resource,$F138,'Critical resources (hide)'!BL$6:BL$105)&gt;0,$E$1=2),0,1),0)</f>
        <v>1</v>
      </c>
      <c r="AZ138" s="67">
        <f ca="1">IF(LOWER(Capacity!$V43)="x",IF(AND(SUMIF(Capacity_Resource,$D138,'Critical resources (hide)'!BM$6:BM$105)+SUMIF(Capacity_Resource,$E138,'Critical resources (hide)'!BM$6:BM$105)+SUMIF(Capacity_Resource,$F138,'Critical resources (hide)'!BM$6:BM$105)&gt;0,$E$1=2),0,1),0)</f>
        <v>1</v>
      </c>
      <c r="BA138" s="67">
        <f ca="1">IF(LOWER(Capacity!$V43)="x",IF(AND(SUMIF(Capacity_Resource,$D138,'Critical resources (hide)'!BN$6:BN$105)+SUMIF(Capacity_Resource,$E138,'Critical resources (hide)'!BN$6:BN$105)+SUMIF(Capacity_Resource,$F138,'Critical resources (hide)'!BN$6:BN$105)&gt;0,$E$1=2),0,1),0)</f>
        <v>1</v>
      </c>
      <c r="BB138" s="67">
        <f ca="1">IF(LOWER(Capacity!$V43)="x",IF(AND(SUMIF(Capacity_Resource,$D138,'Critical resources (hide)'!BO$6:BO$105)+SUMIF(Capacity_Resource,$E138,'Critical resources (hide)'!BO$6:BO$105)+SUMIF(Capacity_Resource,$F138,'Critical resources (hide)'!BO$6:BO$105)&gt;0,$E$1=2),0,1),0)</f>
        <v>1</v>
      </c>
      <c r="BC138" s="67">
        <f ca="1">IF(LOWER(Capacity!$V43)="x",IF(AND(SUMIF(Capacity_Resource,$D138,'Critical resources (hide)'!BP$6:BP$105)+SUMIF(Capacity_Resource,$E138,'Critical resources (hide)'!BP$6:BP$105)+SUMIF(Capacity_Resource,$F138,'Critical resources (hide)'!BP$6:BP$105)&gt;0,$E$1=2),0,1),0)</f>
        <v>1</v>
      </c>
      <c r="BD138" s="67">
        <f ca="1">IF(LOWER(Capacity!$V43)="x",IF(AND(SUMIF(Capacity_Resource,$D138,'Critical resources (hide)'!BQ$6:BQ$105)+SUMIF(Capacity_Resource,$E138,'Critical resources (hide)'!BQ$6:BQ$105)+SUMIF(Capacity_Resource,$F138,'Critical resources (hide)'!BQ$6:BQ$105)&gt;0,$E$1=2),0,1),0)</f>
        <v>1</v>
      </c>
      <c r="BE138" s="67">
        <f ca="1">IF(LOWER(Capacity!$V43)="x",IF(AND(SUMIF(Capacity_Resource,$D138,'Critical resources (hide)'!BR$6:BR$105)+SUMIF(Capacity_Resource,$E138,'Critical resources (hide)'!BR$6:BR$105)+SUMIF(Capacity_Resource,$F138,'Critical resources (hide)'!BR$6:BR$105)&gt;0,$E$1=2),0,1),0)</f>
        <v>1</v>
      </c>
      <c r="BF138" s="67">
        <f ca="1">IF(LOWER(Capacity!$V43)="x",IF(AND(SUMIF(Capacity_Resource,$D138,'Critical resources (hide)'!BS$6:BS$105)+SUMIF(Capacity_Resource,$E138,'Critical resources (hide)'!BS$6:BS$105)+SUMIF(Capacity_Resource,$F138,'Critical resources (hide)'!BS$6:BS$105)&gt;0,$E$1=2),0,1),0)</f>
        <v>1</v>
      </c>
      <c r="BG138" s="67">
        <f ca="1">IF(LOWER(Capacity!$V43)="x",IF(AND(SUMIF(Capacity_Resource,$D138,'Critical resources (hide)'!BT$6:BT$105)+SUMIF(Capacity_Resource,$E138,'Critical resources (hide)'!BT$6:BT$105)+SUMIF(Capacity_Resource,$F138,'Critical resources (hide)'!BT$6:BT$105)&gt;0,$E$1=2),0,1),0)</f>
        <v>1</v>
      </c>
      <c r="BH138" s="67">
        <f>IF(ROW(A27)&lt;=Capacity!$M$16,IF('Capacity summary'!$C$14="No",SUM(H138:BG138),'Capacity summary'!$E50),0)</f>
        <v>0</v>
      </c>
      <c r="BI138" s="67" t="str">
        <f>IF(BH138&gt;0,IF(BH138&lt;Capacity!Q43,Capacity!R43,Capacity!T43/'Capacity calculation (hide)'!BH138),"")</f>
        <v/>
      </c>
      <c r="BJ138" s="5"/>
      <c r="BK138" s="5">
        <f>IF($BI138&lt;&gt;"",IF('Capacity summary'!$C$14="Yes",IF(COUNTBLANK('Capacity summary'!$H50:$BG50)&lt;52,IF('Capacity summary'!H50&lt;&gt;"",IF(LOWER('Capacity summary'!H50)="x",$BI138*H138,VALUE('Capacity summary'!H50)),0),H138*$BI138),H138*$BI138),0)</f>
        <v>0</v>
      </c>
      <c r="BL138" s="5">
        <f>IF($BI138&lt;&gt;"",IF('Capacity summary'!$C$14="Yes",IF(COUNTBLANK('Capacity summary'!$H50:$BG50)&lt;52,IF('Capacity summary'!I50&lt;&gt;"",IF(LOWER('Capacity summary'!I50)="x",$BI138*I138,VALUE('Capacity summary'!I50)),0),I138*$BI138),I138*$BI138),0)</f>
        <v>0</v>
      </c>
      <c r="BM138" s="5">
        <f>IF($BI138&lt;&gt;"",IF('Capacity summary'!$C$14="Yes",IF(COUNTBLANK('Capacity summary'!$H50:$BG50)&lt;52,IF('Capacity summary'!J50&lt;&gt;"",IF(LOWER('Capacity summary'!J50)="x",$BI138*J138,VALUE('Capacity summary'!J50)),0),J138*$BI138),J138*$BI138),0)</f>
        <v>0</v>
      </c>
      <c r="BN138" s="5">
        <f>IF($BI138&lt;&gt;"",IF('Capacity summary'!$C$14="Yes",IF(COUNTBLANK('Capacity summary'!$H50:$BG50)&lt;52,IF('Capacity summary'!K50&lt;&gt;"",IF(LOWER('Capacity summary'!K50)="x",$BI138*K138,VALUE('Capacity summary'!K50)),0),K138*$BI138),K138*$BI138),0)</f>
        <v>0</v>
      </c>
      <c r="BO138" s="5">
        <f>IF($BI138&lt;&gt;"",IF('Capacity summary'!$C$14="Yes",IF(COUNTBLANK('Capacity summary'!$H50:$BG50)&lt;52,IF('Capacity summary'!L50&lt;&gt;"",IF(LOWER('Capacity summary'!L50)="x",$BI138*L138,VALUE('Capacity summary'!L50)),0),L138*$BI138),L138*$BI138),0)</f>
        <v>0</v>
      </c>
      <c r="BP138" s="5">
        <f>IF($BI138&lt;&gt;"",IF('Capacity summary'!$C$14="Yes",IF(COUNTBLANK('Capacity summary'!$H50:$BG50)&lt;52,IF('Capacity summary'!M50&lt;&gt;"",IF(LOWER('Capacity summary'!M50)="x",$BI138*M138,VALUE('Capacity summary'!M50)),0),M138*$BI138),M138*$BI138),0)</f>
        <v>0</v>
      </c>
      <c r="BQ138" s="5">
        <f>IF($BI138&lt;&gt;"",IF('Capacity summary'!$C$14="Yes",IF(COUNTBLANK('Capacity summary'!$H50:$BG50)&lt;52,IF('Capacity summary'!N50&lt;&gt;"",IF(LOWER('Capacity summary'!N50)="x",$BI138*N138,VALUE('Capacity summary'!N50)),0),N138*$BI138),N138*$BI138),0)</f>
        <v>0</v>
      </c>
      <c r="BR138" s="5">
        <f>IF($BI138&lt;&gt;"",IF('Capacity summary'!$C$14="Yes",IF(COUNTBLANK('Capacity summary'!$H50:$BG50)&lt;52,IF('Capacity summary'!O50&lt;&gt;"",IF(LOWER('Capacity summary'!O50)="x",$BI138*O138,VALUE('Capacity summary'!O50)),0),O138*$BI138),O138*$BI138),0)</f>
        <v>0</v>
      </c>
      <c r="BS138" s="5">
        <f>IF($BI138&lt;&gt;"",IF('Capacity summary'!$C$14="Yes",IF(COUNTBLANK('Capacity summary'!$H50:$BG50)&lt;52,IF('Capacity summary'!P50&lt;&gt;"",IF(LOWER('Capacity summary'!P50)="x",$BI138*P138,VALUE('Capacity summary'!P50)),0),P138*$BI138),P138*$BI138),0)</f>
        <v>0</v>
      </c>
      <c r="BT138" s="5">
        <f>IF($BI138&lt;&gt;"",IF('Capacity summary'!$C$14="Yes",IF(COUNTBLANK('Capacity summary'!$H50:$BG50)&lt;52,IF('Capacity summary'!Q50&lt;&gt;"",IF(LOWER('Capacity summary'!Q50)="x",$BI138*Q138,VALUE('Capacity summary'!Q50)),0),Q138*$BI138),Q138*$BI138),0)</f>
        <v>0</v>
      </c>
      <c r="BU138" s="5">
        <f>IF($BI138&lt;&gt;"",IF('Capacity summary'!$C$14="Yes",IF(COUNTBLANK('Capacity summary'!$H50:$BG50)&lt;52,IF('Capacity summary'!R50&lt;&gt;"",IF(LOWER('Capacity summary'!R50)="x",$BI138*R138,VALUE('Capacity summary'!R50)),0),R138*$BI138),R138*$BI138),0)</f>
        <v>0</v>
      </c>
      <c r="BV138" s="5">
        <f>IF($BI138&lt;&gt;"",IF('Capacity summary'!$C$14="Yes",IF(COUNTBLANK('Capacity summary'!$H50:$BG50)&lt;52,IF('Capacity summary'!S50&lt;&gt;"",IF(LOWER('Capacity summary'!S50)="x",$BI138*S138,VALUE('Capacity summary'!S50)),0),S138*$BI138),S138*$BI138),0)</f>
        <v>0</v>
      </c>
      <c r="BW138" s="5">
        <f>IF($BI138&lt;&gt;"",IF('Capacity summary'!$C$14="Yes",IF(COUNTBLANK('Capacity summary'!$H50:$BG50)&lt;52,IF('Capacity summary'!T50&lt;&gt;"",IF(LOWER('Capacity summary'!T50)="x",$BI138*T138,VALUE('Capacity summary'!T50)),0),T138*$BI138),T138*$BI138),0)</f>
        <v>0</v>
      </c>
      <c r="BX138" s="5">
        <f>IF($BI138&lt;&gt;"",IF('Capacity summary'!$C$14="Yes",IF(COUNTBLANK('Capacity summary'!$H50:$BG50)&lt;52,IF('Capacity summary'!U50&lt;&gt;"",IF(LOWER('Capacity summary'!U50)="x",$BI138*U138,VALUE('Capacity summary'!U50)),0),U138*$BI138),U138*$BI138),0)</f>
        <v>0</v>
      </c>
      <c r="BY138" s="5">
        <f>IF($BI138&lt;&gt;"",IF('Capacity summary'!$C$14="Yes",IF(COUNTBLANK('Capacity summary'!$H50:$BG50)&lt;52,IF('Capacity summary'!V50&lt;&gt;"",IF(LOWER('Capacity summary'!V50)="x",$BI138*V138,VALUE('Capacity summary'!V50)),0),V138*$BI138),V138*$BI138),0)</f>
        <v>0</v>
      </c>
      <c r="BZ138" s="5">
        <f>IF($BI138&lt;&gt;"",IF('Capacity summary'!$C$14="Yes",IF(COUNTBLANK('Capacity summary'!$H50:$BG50)&lt;52,IF('Capacity summary'!W50&lt;&gt;"",IF(LOWER('Capacity summary'!W50)="x",$BI138*W138,VALUE('Capacity summary'!W50)),0),W138*$BI138),W138*$BI138),0)</f>
        <v>0</v>
      </c>
      <c r="CA138" s="5">
        <f>IF($BI138&lt;&gt;"",IF('Capacity summary'!$C$14="Yes",IF(COUNTBLANK('Capacity summary'!$H50:$BG50)&lt;52,IF('Capacity summary'!X50&lt;&gt;"",IF(LOWER('Capacity summary'!X50)="x",$BI138*X138,VALUE('Capacity summary'!X50)),0),X138*$BI138),X138*$BI138),0)</f>
        <v>0</v>
      </c>
      <c r="CB138" s="5">
        <f>IF($BI138&lt;&gt;"",IF('Capacity summary'!$C$14="Yes",IF(COUNTBLANK('Capacity summary'!$H50:$BG50)&lt;52,IF('Capacity summary'!Y50&lt;&gt;"",IF(LOWER('Capacity summary'!Y50)="x",$BI138*Y138,VALUE('Capacity summary'!Y50)),0),Y138*$BI138),Y138*$BI138),0)</f>
        <v>0</v>
      </c>
      <c r="CC138" s="5">
        <f>IF($BI138&lt;&gt;"",IF('Capacity summary'!$C$14="Yes",IF(COUNTBLANK('Capacity summary'!$H50:$BG50)&lt;52,IF('Capacity summary'!Z50&lt;&gt;"",IF(LOWER('Capacity summary'!Z50)="x",$BI138*Z138,VALUE('Capacity summary'!Z50)),0),Z138*$BI138),Z138*$BI138),0)</f>
        <v>0</v>
      </c>
      <c r="CD138" s="5">
        <f>IF($BI138&lt;&gt;"",IF('Capacity summary'!$C$14="Yes",IF(COUNTBLANK('Capacity summary'!$H50:$BG50)&lt;52,IF('Capacity summary'!AA50&lt;&gt;"",IF(LOWER('Capacity summary'!AA50)="x",$BI138*AA138,VALUE('Capacity summary'!AA50)),0),AA138*$BI138),AA138*$BI138),0)</f>
        <v>0</v>
      </c>
      <c r="CE138" s="5">
        <f>IF($BI138&lt;&gt;"",IF('Capacity summary'!$C$14="Yes",IF(COUNTBLANK('Capacity summary'!$H50:$BG50)&lt;52,IF('Capacity summary'!AB50&lt;&gt;"",IF(LOWER('Capacity summary'!AB50)="x",$BI138*AB138,VALUE('Capacity summary'!AB50)),0),AB138*$BI138),AB138*$BI138),0)</f>
        <v>0</v>
      </c>
      <c r="CF138" s="5">
        <f>IF($BI138&lt;&gt;"",IF('Capacity summary'!$C$14="Yes",IF(COUNTBLANK('Capacity summary'!$H50:$BG50)&lt;52,IF('Capacity summary'!AC50&lt;&gt;"",IF(LOWER('Capacity summary'!AC50)="x",$BI138*AC138,VALUE('Capacity summary'!AC50)),0),AC138*$BI138),AC138*$BI138),0)</f>
        <v>0</v>
      </c>
      <c r="CG138" s="5">
        <f>IF($BI138&lt;&gt;"",IF('Capacity summary'!$C$14="Yes",IF(COUNTBLANK('Capacity summary'!$H50:$BG50)&lt;52,IF('Capacity summary'!AD50&lt;&gt;"",IF(LOWER('Capacity summary'!AD50)="x",$BI138*AD138,VALUE('Capacity summary'!AD50)),0),AD138*$BI138),AD138*$BI138),0)</f>
        <v>0</v>
      </c>
      <c r="CH138" s="5">
        <f>IF($BI138&lt;&gt;"",IF('Capacity summary'!$C$14="Yes",IF(COUNTBLANK('Capacity summary'!$H50:$BG50)&lt;52,IF('Capacity summary'!AE50&lt;&gt;"",IF(LOWER('Capacity summary'!AE50)="x",$BI138*AE138,VALUE('Capacity summary'!AE50)),0),AE138*$BI138),AE138*$BI138),0)</f>
        <v>0</v>
      </c>
      <c r="CI138" s="5">
        <f>IF($BI138&lt;&gt;"",IF('Capacity summary'!$C$14="Yes",IF(COUNTBLANK('Capacity summary'!$H50:$BG50)&lt;52,IF('Capacity summary'!AF50&lt;&gt;"",IF(LOWER('Capacity summary'!AF50)="x",$BI138*AF138,VALUE('Capacity summary'!AF50)),0),AF138*$BI138),AF138*$BI138),0)</f>
        <v>0</v>
      </c>
      <c r="CJ138" s="5">
        <f>IF($BI138&lt;&gt;"",IF('Capacity summary'!$C$14="Yes",IF(COUNTBLANK('Capacity summary'!$H50:$BG50)&lt;52,IF('Capacity summary'!AG50&lt;&gt;"",IF(LOWER('Capacity summary'!AG50)="x",$BI138*AG138,VALUE('Capacity summary'!AG50)),0),AG138*$BI138),AG138*$BI138),0)</f>
        <v>0</v>
      </c>
      <c r="CK138" s="5">
        <f>IF($BI138&lt;&gt;"",IF('Capacity summary'!$C$14="Yes",IF(COUNTBLANK('Capacity summary'!$H50:$BG50)&lt;52,IF('Capacity summary'!AH50&lt;&gt;"",IF(LOWER('Capacity summary'!AH50)="x",$BI138*AH138,VALUE('Capacity summary'!AH50)),0),AH138*$BI138),AH138*$BI138),0)</f>
        <v>0</v>
      </c>
      <c r="CL138" s="5">
        <f>IF($BI138&lt;&gt;"",IF('Capacity summary'!$C$14="Yes",IF(COUNTBLANK('Capacity summary'!$H50:$BG50)&lt;52,IF('Capacity summary'!AI50&lt;&gt;"",IF(LOWER('Capacity summary'!AI50)="x",$BI138*AI138,VALUE('Capacity summary'!AI50)),0),AI138*$BI138),AI138*$BI138),0)</f>
        <v>0</v>
      </c>
      <c r="CM138" s="5">
        <f>IF($BI138&lt;&gt;"",IF('Capacity summary'!$C$14="Yes",IF(COUNTBLANK('Capacity summary'!$H50:$BG50)&lt;52,IF('Capacity summary'!AJ50&lt;&gt;"",IF(LOWER('Capacity summary'!AJ50)="x",$BI138*AJ138,VALUE('Capacity summary'!AJ50)),0),AJ138*$BI138),AJ138*$BI138),0)</f>
        <v>0</v>
      </c>
      <c r="CN138" s="5">
        <f>IF($BI138&lt;&gt;"",IF('Capacity summary'!$C$14="Yes",IF(COUNTBLANK('Capacity summary'!$H50:$BG50)&lt;52,IF('Capacity summary'!AK50&lt;&gt;"",IF(LOWER('Capacity summary'!AK50)="x",$BI138*AK138,VALUE('Capacity summary'!AK50)),0),AK138*$BI138),AK138*$BI138),0)</f>
        <v>0</v>
      </c>
      <c r="CO138" s="5">
        <f>IF($BI138&lt;&gt;"",IF('Capacity summary'!$C$14="Yes",IF(COUNTBLANK('Capacity summary'!$H50:$BG50)&lt;52,IF('Capacity summary'!AL50&lt;&gt;"",IF(LOWER('Capacity summary'!AL50)="x",$BI138*AL138,VALUE('Capacity summary'!AL50)),0),AL138*$BI138),AL138*$BI138),0)</f>
        <v>0</v>
      </c>
      <c r="CP138" s="5">
        <f>IF($BI138&lt;&gt;"",IF('Capacity summary'!$C$14="Yes",IF(COUNTBLANK('Capacity summary'!$H50:$BG50)&lt;52,IF('Capacity summary'!AM50&lt;&gt;"",IF(LOWER('Capacity summary'!AM50)="x",$BI138*AM138,VALUE('Capacity summary'!AM50)),0),AM138*$BI138),AM138*$BI138),0)</f>
        <v>0</v>
      </c>
      <c r="CQ138" s="5">
        <f>IF($BI138&lt;&gt;"",IF('Capacity summary'!$C$14="Yes",IF(COUNTBLANK('Capacity summary'!$H50:$BG50)&lt;52,IF('Capacity summary'!AN50&lt;&gt;"",IF(LOWER('Capacity summary'!AN50)="x",$BI138*AN138,VALUE('Capacity summary'!AN50)),0),AN138*$BI138),AN138*$BI138),0)</f>
        <v>0</v>
      </c>
      <c r="CR138" s="5">
        <f>IF($BI138&lt;&gt;"",IF('Capacity summary'!$C$14="Yes",IF(COUNTBLANK('Capacity summary'!$H50:$BG50)&lt;52,IF('Capacity summary'!AO50&lt;&gt;"",IF(LOWER('Capacity summary'!AO50)="x",$BI138*AO138,VALUE('Capacity summary'!AO50)),0),AO138*$BI138),AO138*$BI138),0)</f>
        <v>0</v>
      </c>
      <c r="CS138" s="5">
        <f>IF($BI138&lt;&gt;"",IF('Capacity summary'!$C$14="Yes",IF(COUNTBLANK('Capacity summary'!$H50:$BG50)&lt;52,IF('Capacity summary'!AP50&lt;&gt;"",IF(LOWER('Capacity summary'!AP50)="x",$BI138*AP138,VALUE('Capacity summary'!AP50)),0),AP138*$BI138),AP138*$BI138),0)</f>
        <v>0</v>
      </c>
      <c r="CT138" s="5">
        <f>IF($BI138&lt;&gt;"",IF('Capacity summary'!$C$14="Yes",IF(COUNTBLANK('Capacity summary'!$H50:$BG50)&lt;52,IF('Capacity summary'!AQ50&lt;&gt;"",IF(LOWER('Capacity summary'!AQ50)="x",$BI138*AQ138,VALUE('Capacity summary'!AQ50)),0),AQ138*$BI138),AQ138*$BI138),0)</f>
        <v>0</v>
      </c>
      <c r="CU138" s="5">
        <f>IF($BI138&lt;&gt;"",IF('Capacity summary'!$C$14="Yes",IF(COUNTBLANK('Capacity summary'!$H50:$BG50)&lt;52,IF('Capacity summary'!AR50&lt;&gt;"",IF(LOWER('Capacity summary'!AR50)="x",$BI138*AR138,VALUE('Capacity summary'!AR50)),0),AR138*$BI138),AR138*$BI138),0)</f>
        <v>0</v>
      </c>
      <c r="CV138" s="5">
        <f>IF($BI138&lt;&gt;"",IF('Capacity summary'!$C$14="Yes",IF(COUNTBLANK('Capacity summary'!$H50:$BG50)&lt;52,IF('Capacity summary'!AS50&lt;&gt;"",IF(LOWER('Capacity summary'!AS50)="x",$BI138*AS138,VALUE('Capacity summary'!AS50)),0),AS138*$BI138),AS138*$BI138),0)</f>
        <v>0</v>
      </c>
      <c r="CW138" s="5">
        <f>IF($BI138&lt;&gt;"",IF('Capacity summary'!$C$14="Yes",IF(COUNTBLANK('Capacity summary'!$H50:$BG50)&lt;52,IF('Capacity summary'!AT50&lt;&gt;"",IF(LOWER('Capacity summary'!AT50)="x",$BI138*AT138,VALUE('Capacity summary'!AT50)),0),AT138*$BI138),AT138*$BI138),0)</f>
        <v>0</v>
      </c>
      <c r="CX138" s="5">
        <f>IF($BI138&lt;&gt;"",IF('Capacity summary'!$C$14="Yes",IF(COUNTBLANK('Capacity summary'!$H50:$BG50)&lt;52,IF('Capacity summary'!AU50&lt;&gt;"",IF(LOWER('Capacity summary'!AU50)="x",$BI138*AU138,VALUE('Capacity summary'!AU50)),0),AU138*$BI138),AU138*$BI138),0)</f>
        <v>0</v>
      </c>
      <c r="CY138" s="5">
        <f>IF($BI138&lt;&gt;"",IF('Capacity summary'!$C$14="Yes",IF(COUNTBLANK('Capacity summary'!$H50:$BG50)&lt;52,IF('Capacity summary'!AV50&lt;&gt;"",IF(LOWER('Capacity summary'!AV50)="x",$BI138*AV138,VALUE('Capacity summary'!AV50)),0),AV138*$BI138),AV138*$BI138),0)</f>
        <v>0</v>
      </c>
      <c r="CZ138" s="5">
        <f>IF($BI138&lt;&gt;"",IF('Capacity summary'!$C$14="Yes",IF(COUNTBLANK('Capacity summary'!$H50:$BG50)&lt;52,IF('Capacity summary'!AW50&lt;&gt;"",IF(LOWER('Capacity summary'!AW50)="x",$BI138*AW138,VALUE('Capacity summary'!AW50)),0),AW138*$BI138),AW138*$BI138),0)</f>
        <v>0</v>
      </c>
      <c r="DA138" s="5">
        <f>IF($BI138&lt;&gt;"",IF('Capacity summary'!$C$14="Yes",IF(COUNTBLANK('Capacity summary'!$H50:$BG50)&lt;52,IF('Capacity summary'!AX50&lt;&gt;"",IF(LOWER('Capacity summary'!AX50)="x",$BI138*AX138,VALUE('Capacity summary'!AX50)),0),AX138*$BI138),AX138*$BI138),0)</f>
        <v>0</v>
      </c>
      <c r="DB138" s="5">
        <f>IF($BI138&lt;&gt;"",IF('Capacity summary'!$C$14="Yes",IF(COUNTBLANK('Capacity summary'!$H50:$BG50)&lt;52,IF('Capacity summary'!AY50&lt;&gt;"",IF(LOWER('Capacity summary'!AY50)="x",$BI138*AY138,VALUE('Capacity summary'!AY50)),0),AY138*$BI138),AY138*$BI138),0)</f>
        <v>0</v>
      </c>
      <c r="DC138" s="5">
        <f>IF($BI138&lt;&gt;"",IF('Capacity summary'!$C$14="Yes",IF(COUNTBLANK('Capacity summary'!$H50:$BG50)&lt;52,IF('Capacity summary'!AZ50&lt;&gt;"",IF(LOWER('Capacity summary'!AZ50)="x",$BI138*AZ138,VALUE('Capacity summary'!AZ50)),0),AZ138*$BI138),AZ138*$BI138),0)</f>
        <v>0</v>
      </c>
      <c r="DD138" s="5">
        <f>IF($BI138&lt;&gt;"",IF('Capacity summary'!$C$14="Yes",IF(COUNTBLANK('Capacity summary'!$H50:$BG50)&lt;52,IF('Capacity summary'!BA50&lt;&gt;"",IF(LOWER('Capacity summary'!BA50)="x",$BI138*BA138,VALUE('Capacity summary'!BA50)),0),BA138*$BI138),BA138*$BI138),0)</f>
        <v>0</v>
      </c>
      <c r="DE138" s="5">
        <f>IF($BI138&lt;&gt;"",IF('Capacity summary'!$C$14="Yes",IF(COUNTBLANK('Capacity summary'!$H50:$BG50)&lt;52,IF('Capacity summary'!BB50&lt;&gt;"",IF(LOWER('Capacity summary'!BB50)="x",$BI138*BB138,VALUE('Capacity summary'!BB50)),0),BB138*$BI138),BB138*$BI138),0)</f>
        <v>0</v>
      </c>
      <c r="DF138" s="5">
        <f>IF($BI138&lt;&gt;"",IF('Capacity summary'!$C$14="Yes",IF(COUNTBLANK('Capacity summary'!$H50:$BG50)&lt;52,IF('Capacity summary'!BC50&lt;&gt;"",IF(LOWER('Capacity summary'!BC50)="x",$BI138*BC138,VALUE('Capacity summary'!BC50)),0),BC138*$BI138),BC138*$BI138),0)</f>
        <v>0</v>
      </c>
      <c r="DG138" s="5">
        <f>IF($BI138&lt;&gt;"",IF('Capacity summary'!$C$14="Yes",IF(COUNTBLANK('Capacity summary'!$H50:$BG50)&lt;52,IF('Capacity summary'!BD50&lt;&gt;"",IF(LOWER('Capacity summary'!BD50)="x",$BI138*BD138,VALUE('Capacity summary'!BD50)),0),BD138*$BI138),BD138*$BI138),0)</f>
        <v>0</v>
      </c>
      <c r="DH138" s="5">
        <f>IF($BI138&lt;&gt;"",IF('Capacity summary'!$C$14="Yes",IF(COUNTBLANK('Capacity summary'!$H50:$BG50)&lt;52,IF('Capacity summary'!BE50&lt;&gt;"",IF(LOWER('Capacity summary'!BE50)="x",$BI138*BE138,VALUE('Capacity summary'!BE50)),0),BE138*$BI138),BE138*$BI138),0)</f>
        <v>0</v>
      </c>
      <c r="DI138" s="5">
        <f>IF($BI138&lt;&gt;"",IF('Capacity summary'!$C$14="Yes",IF(COUNTBLANK('Capacity summary'!$H50:$BG50)&lt;52,IF('Capacity summary'!BF50&lt;&gt;"",IF(LOWER('Capacity summary'!BF50)="x",$BI138*BF138,VALUE('Capacity summary'!BF50)),0),BF138*$BI138),BF138*$BI138),0)</f>
        <v>0</v>
      </c>
      <c r="DJ138" s="5">
        <f>IF($BI138&lt;&gt;"",IF('Capacity summary'!$C$14="Yes",IF(COUNTBLANK('Capacity summary'!$H50:$BG50)&lt;52,IF('Capacity summary'!BG50&lt;&gt;"",IF(LOWER('Capacity summary'!BG50)="x",$BI138*BG138,VALUE('Capacity summary'!BG50)),0),BG138*$BI138),BG138*$BI138),0)</f>
        <v>0</v>
      </c>
      <c r="DK138" s="391">
        <f t="shared" si="8"/>
        <v>0</v>
      </c>
      <c r="DL138" s="5">
        <f t="shared" si="9"/>
        <v>0</v>
      </c>
    </row>
    <row r="139" spans="3:116" x14ac:dyDescent="0.2">
      <c r="C139" s="67" t="str">
        <f>ROW(A28)&amp;". "&amp;Capacity!N44</f>
        <v xml:space="preserve">28. </v>
      </c>
      <c r="D139" s="67">
        <f>'Capacity setup'!C145</f>
        <v>0</v>
      </c>
      <c r="E139" s="67">
        <f>'Capacity setup'!D145</f>
        <v>0</v>
      </c>
      <c r="F139" s="67">
        <f>'Capacity setup'!E145</f>
        <v>0</v>
      </c>
      <c r="H139" s="67">
        <f ca="1">IF(LOWER(Capacity!$V44)="x",IF(AND(SUMIF(Capacity_Resource,$D139,'Critical resources (hide)'!U$6:U$105)+SUMIF(Capacity_Resource,$E139,'Critical resources (hide)'!U$6:U$105)+SUMIF(Capacity_Resource,$F139,'Critical resources (hide)'!U$6:U$105)&gt;0,$E$1=2),0,1),0)</f>
        <v>1</v>
      </c>
      <c r="I139" s="67">
        <f ca="1">IF(LOWER(Capacity!$V44)="x",IF(AND(SUMIF(Capacity_Resource,$D139,'Critical resources (hide)'!V$6:V$105)+SUMIF(Capacity_Resource,$E139,'Critical resources (hide)'!V$6:V$105)+SUMIF(Capacity_Resource,$F139,'Critical resources (hide)'!V$6:V$105)&gt;0,$E$1=2),0,1),0)</f>
        <v>1</v>
      </c>
      <c r="J139" s="67">
        <f ca="1">IF(LOWER(Capacity!$V44)="x",IF(AND(SUMIF(Capacity_Resource,$D139,'Critical resources (hide)'!W$6:W$105)+SUMIF(Capacity_Resource,$E139,'Critical resources (hide)'!W$6:W$105)+SUMIF(Capacity_Resource,$F139,'Critical resources (hide)'!W$6:W$105)&gt;0,$E$1=2),0,1),0)</f>
        <v>1</v>
      </c>
      <c r="K139" s="67">
        <f ca="1">IF(LOWER(Capacity!$V44)="x",IF(AND(SUMIF(Capacity_Resource,$D139,'Critical resources (hide)'!X$6:X$105)+SUMIF(Capacity_Resource,$E139,'Critical resources (hide)'!X$6:X$105)+SUMIF(Capacity_Resource,$F139,'Critical resources (hide)'!X$6:X$105)&gt;0,$E$1=2),0,1),0)</f>
        <v>1</v>
      </c>
      <c r="L139" s="67">
        <f ca="1">IF(LOWER(Capacity!$V44)="x",IF(AND(SUMIF(Capacity_Resource,$D139,'Critical resources (hide)'!Y$6:Y$105)+SUMIF(Capacity_Resource,$E139,'Critical resources (hide)'!Y$6:Y$105)+SUMIF(Capacity_Resource,$F139,'Critical resources (hide)'!Y$6:Y$105)&gt;0,$E$1=2),0,1),0)</f>
        <v>1</v>
      </c>
      <c r="M139" s="67">
        <f ca="1">IF(LOWER(Capacity!$V44)="x",IF(AND(SUMIF(Capacity_Resource,$D139,'Critical resources (hide)'!Z$6:Z$105)+SUMIF(Capacity_Resource,$E139,'Critical resources (hide)'!Z$6:Z$105)+SUMIF(Capacity_Resource,$F139,'Critical resources (hide)'!Z$6:Z$105)&gt;0,$E$1=2),0,1),0)</f>
        <v>1</v>
      </c>
      <c r="N139" s="67">
        <f ca="1">IF(LOWER(Capacity!$V44)="x",IF(AND(SUMIF(Capacity_Resource,$D139,'Critical resources (hide)'!AA$6:AA$105)+SUMIF(Capacity_Resource,$E139,'Critical resources (hide)'!AA$6:AA$105)+SUMIF(Capacity_Resource,$F139,'Critical resources (hide)'!AA$6:AA$105)&gt;0,$E$1=2),0,1),0)</f>
        <v>1</v>
      </c>
      <c r="O139" s="67">
        <f ca="1">IF(LOWER(Capacity!$V44)="x",IF(AND(SUMIF(Capacity_Resource,$D139,'Critical resources (hide)'!AB$6:AB$105)+SUMIF(Capacity_Resource,$E139,'Critical resources (hide)'!AB$6:AB$105)+SUMIF(Capacity_Resource,$F139,'Critical resources (hide)'!AB$6:AB$105)&gt;0,$E$1=2),0,1),0)</f>
        <v>1</v>
      </c>
      <c r="P139" s="67">
        <f ca="1">IF(LOWER(Capacity!$V44)="x",IF(AND(SUMIF(Capacity_Resource,$D139,'Critical resources (hide)'!AC$6:AC$105)+SUMIF(Capacity_Resource,$E139,'Critical resources (hide)'!AC$6:AC$105)+SUMIF(Capacity_Resource,$F139,'Critical resources (hide)'!AC$6:AC$105)&gt;0,$E$1=2),0,1),0)</f>
        <v>1</v>
      </c>
      <c r="Q139" s="67">
        <f ca="1">IF(LOWER(Capacity!$V44)="x",IF(AND(SUMIF(Capacity_Resource,$D139,'Critical resources (hide)'!AD$6:AD$105)+SUMIF(Capacity_Resource,$E139,'Critical resources (hide)'!AD$6:AD$105)+SUMIF(Capacity_Resource,$F139,'Critical resources (hide)'!AD$6:AD$105)&gt;0,$E$1=2),0,1),0)</f>
        <v>1</v>
      </c>
      <c r="R139" s="67">
        <f ca="1">IF(LOWER(Capacity!$V44)="x",IF(AND(SUMIF(Capacity_Resource,$D139,'Critical resources (hide)'!AE$6:AE$105)+SUMIF(Capacity_Resource,$E139,'Critical resources (hide)'!AE$6:AE$105)+SUMIF(Capacity_Resource,$F139,'Critical resources (hide)'!AE$6:AE$105)&gt;0,$E$1=2),0,1),0)</f>
        <v>1</v>
      </c>
      <c r="S139" s="67">
        <f ca="1">IF(LOWER(Capacity!$V44)="x",IF(AND(SUMIF(Capacity_Resource,$D139,'Critical resources (hide)'!AF$6:AF$105)+SUMIF(Capacity_Resource,$E139,'Critical resources (hide)'!AF$6:AF$105)+SUMIF(Capacity_Resource,$F139,'Critical resources (hide)'!AF$6:AF$105)&gt;0,$E$1=2),0,1),0)</f>
        <v>1</v>
      </c>
      <c r="T139" s="67">
        <f ca="1">IF(LOWER(Capacity!$V44)="x",IF(AND(SUMIF(Capacity_Resource,$D139,'Critical resources (hide)'!AG$6:AG$105)+SUMIF(Capacity_Resource,$E139,'Critical resources (hide)'!AG$6:AG$105)+SUMIF(Capacity_Resource,$F139,'Critical resources (hide)'!AG$6:AG$105)&gt;0,$E$1=2),0,1),0)</f>
        <v>1</v>
      </c>
      <c r="U139" s="67">
        <f ca="1">IF(LOWER(Capacity!$V44)="x",IF(AND(SUMIF(Capacity_Resource,$D139,'Critical resources (hide)'!AH$6:AH$105)+SUMIF(Capacity_Resource,$E139,'Critical resources (hide)'!AH$6:AH$105)+SUMIF(Capacity_Resource,$F139,'Critical resources (hide)'!AH$6:AH$105)&gt;0,$E$1=2),0,1),0)</f>
        <v>1</v>
      </c>
      <c r="V139" s="67">
        <f ca="1">IF(LOWER(Capacity!$V44)="x",IF(AND(SUMIF(Capacity_Resource,$D139,'Critical resources (hide)'!AI$6:AI$105)+SUMIF(Capacity_Resource,$E139,'Critical resources (hide)'!AI$6:AI$105)+SUMIF(Capacity_Resource,$F139,'Critical resources (hide)'!AI$6:AI$105)&gt;0,$E$1=2),0,1),0)</f>
        <v>1</v>
      </c>
      <c r="W139" s="67">
        <f ca="1">IF(LOWER(Capacity!$V44)="x",IF(AND(SUMIF(Capacity_Resource,$D139,'Critical resources (hide)'!AJ$6:AJ$105)+SUMIF(Capacity_Resource,$E139,'Critical resources (hide)'!AJ$6:AJ$105)+SUMIF(Capacity_Resource,$F139,'Critical resources (hide)'!AJ$6:AJ$105)&gt;0,$E$1=2),0,1),0)</f>
        <v>1</v>
      </c>
      <c r="X139" s="67">
        <f ca="1">IF(LOWER(Capacity!$V44)="x",IF(AND(SUMIF(Capacity_Resource,$D139,'Critical resources (hide)'!AK$6:AK$105)+SUMIF(Capacity_Resource,$E139,'Critical resources (hide)'!AK$6:AK$105)+SUMIF(Capacity_Resource,$F139,'Critical resources (hide)'!AK$6:AK$105)&gt;0,$E$1=2),0,1),0)</f>
        <v>1</v>
      </c>
      <c r="Y139" s="67">
        <f ca="1">IF(LOWER(Capacity!$V44)="x",IF(AND(SUMIF(Capacity_Resource,$D139,'Critical resources (hide)'!AL$6:AL$105)+SUMIF(Capacity_Resource,$E139,'Critical resources (hide)'!AL$6:AL$105)+SUMIF(Capacity_Resource,$F139,'Critical resources (hide)'!AL$6:AL$105)&gt;0,$E$1=2),0,1),0)</f>
        <v>1</v>
      </c>
      <c r="Z139" s="67">
        <f ca="1">IF(LOWER(Capacity!$V44)="x",IF(AND(SUMIF(Capacity_Resource,$D139,'Critical resources (hide)'!AM$6:AM$105)+SUMIF(Capacity_Resource,$E139,'Critical resources (hide)'!AM$6:AM$105)+SUMIF(Capacity_Resource,$F139,'Critical resources (hide)'!AM$6:AM$105)&gt;0,$E$1=2),0,1),0)</f>
        <v>1</v>
      </c>
      <c r="AA139" s="67">
        <f ca="1">IF(LOWER(Capacity!$V44)="x",IF(AND(SUMIF(Capacity_Resource,$D139,'Critical resources (hide)'!AN$6:AN$105)+SUMIF(Capacity_Resource,$E139,'Critical resources (hide)'!AN$6:AN$105)+SUMIF(Capacity_Resource,$F139,'Critical resources (hide)'!AN$6:AN$105)&gt;0,$E$1=2),0,1),0)</f>
        <v>1</v>
      </c>
      <c r="AB139" s="67">
        <f ca="1">IF(LOWER(Capacity!$V44)="x",IF(AND(SUMIF(Capacity_Resource,$D139,'Critical resources (hide)'!AO$6:AO$105)+SUMIF(Capacity_Resource,$E139,'Critical resources (hide)'!AO$6:AO$105)+SUMIF(Capacity_Resource,$F139,'Critical resources (hide)'!AO$6:AO$105)&gt;0,$E$1=2),0,1),0)</f>
        <v>1</v>
      </c>
      <c r="AC139" s="67">
        <f ca="1">IF(LOWER(Capacity!$V44)="x",IF(AND(SUMIF(Capacity_Resource,$D139,'Critical resources (hide)'!AP$6:AP$105)+SUMIF(Capacity_Resource,$E139,'Critical resources (hide)'!AP$6:AP$105)+SUMIF(Capacity_Resource,$F139,'Critical resources (hide)'!AP$6:AP$105)&gt;0,$E$1=2),0,1),0)</f>
        <v>1</v>
      </c>
      <c r="AD139" s="67">
        <f ca="1">IF(LOWER(Capacity!$V44)="x",IF(AND(SUMIF(Capacity_Resource,$D139,'Critical resources (hide)'!AQ$6:AQ$105)+SUMIF(Capacity_Resource,$E139,'Critical resources (hide)'!AQ$6:AQ$105)+SUMIF(Capacity_Resource,$F139,'Critical resources (hide)'!AQ$6:AQ$105)&gt;0,$E$1=2),0,1),0)</f>
        <v>1</v>
      </c>
      <c r="AE139" s="67">
        <f ca="1">IF(LOWER(Capacity!$V44)="x",IF(AND(SUMIF(Capacity_Resource,$D139,'Critical resources (hide)'!AR$6:AR$105)+SUMIF(Capacity_Resource,$E139,'Critical resources (hide)'!AR$6:AR$105)+SUMIF(Capacity_Resource,$F139,'Critical resources (hide)'!AR$6:AR$105)&gt;0,$E$1=2),0,1),0)</f>
        <v>1</v>
      </c>
      <c r="AF139" s="67">
        <f ca="1">IF(LOWER(Capacity!$V44)="x",IF(AND(SUMIF(Capacity_Resource,$D139,'Critical resources (hide)'!AS$6:AS$105)+SUMIF(Capacity_Resource,$E139,'Critical resources (hide)'!AS$6:AS$105)+SUMIF(Capacity_Resource,$F139,'Critical resources (hide)'!AS$6:AS$105)&gt;0,$E$1=2),0,1),0)</f>
        <v>1</v>
      </c>
      <c r="AG139" s="67">
        <f ca="1">IF(LOWER(Capacity!$V44)="x",IF(AND(SUMIF(Capacity_Resource,$D139,'Critical resources (hide)'!AT$6:AT$105)+SUMIF(Capacity_Resource,$E139,'Critical resources (hide)'!AT$6:AT$105)+SUMIF(Capacity_Resource,$F139,'Critical resources (hide)'!AT$6:AT$105)&gt;0,$E$1=2),0,1),0)</f>
        <v>1</v>
      </c>
      <c r="AH139" s="67">
        <f ca="1">IF(LOWER(Capacity!$V44)="x",IF(AND(SUMIF(Capacity_Resource,$D139,'Critical resources (hide)'!AU$6:AU$105)+SUMIF(Capacity_Resource,$E139,'Critical resources (hide)'!AU$6:AU$105)+SUMIF(Capacity_Resource,$F139,'Critical resources (hide)'!AU$6:AU$105)&gt;0,$E$1=2),0,1),0)</f>
        <v>1</v>
      </c>
      <c r="AI139" s="67">
        <f ca="1">IF(LOWER(Capacity!$V44)="x",IF(AND(SUMIF(Capacity_Resource,$D139,'Critical resources (hide)'!AV$6:AV$105)+SUMIF(Capacity_Resource,$E139,'Critical resources (hide)'!AV$6:AV$105)+SUMIF(Capacity_Resource,$F139,'Critical resources (hide)'!AV$6:AV$105)&gt;0,$E$1=2),0,1),0)</f>
        <v>1</v>
      </c>
      <c r="AJ139" s="67">
        <f ca="1">IF(LOWER(Capacity!$V44)="x",IF(AND(SUMIF(Capacity_Resource,$D139,'Critical resources (hide)'!AW$6:AW$105)+SUMIF(Capacity_Resource,$E139,'Critical resources (hide)'!AW$6:AW$105)+SUMIF(Capacity_Resource,$F139,'Critical resources (hide)'!AW$6:AW$105)&gt;0,$E$1=2),0,1),0)</f>
        <v>1</v>
      </c>
      <c r="AK139" s="67">
        <f ca="1">IF(LOWER(Capacity!$V44)="x",IF(AND(SUMIF(Capacity_Resource,$D139,'Critical resources (hide)'!AX$6:AX$105)+SUMIF(Capacity_Resource,$E139,'Critical resources (hide)'!AX$6:AX$105)+SUMIF(Capacity_Resource,$F139,'Critical resources (hide)'!AX$6:AX$105)&gt;0,$E$1=2),0,1),0)</f>
        <v>1</v>
      </c>
      <c r="AL139" s="67">
        <f ca="1">IF(LOWER(Capacity!$V44)="x",IF(AND(SUMIF(Capacity_Resource,$D139,'Critical resources (hide)'!AY$6:AY$105)+SUMIF(Capacity_Resource,$E139,'Critical resources (hide)'!AY$6:AY$105)+SUMIF(Capacity_Resource,$F139,'Critical resources (hide)'!AY$6:AY$105)&gt;0,$E$1=2),0,1),0)</f>
        <v>1</v>
      </c>
      <c r="AM139" s="67">
        <f ca="1">IF(LOWER(Capacity!$V44)="x",IF(AND(SUMIF(Capacity_Resource,$D139,'Critical resources (hide)'!AZ$6:AZ$105)+SUMIF(Capacity_Resource,$E139,'Critical resources (hide)'!AZ$6:AZ$105)+SUMIF(Capacity_Resource,$F139,'Critical resources (hide)'!AZ$6:AZ$105)&gt;0,$E$1=2),0,1),0)</f>
        <v>1</v>
      </c>
      <c r="AN139" s="67">
        <f ca="1">IF(LOWER(Capacity!$V44)="x",IF(AND(SUMIF(Capacity_Resource,$D139,'Critical resources (hide)'!BA$6:BA$105)+SUMIF(Capacity_Resource,$E139,'Critical resources (hide)'!BA$6:BA$105)+SUMIF(Capacity_Resource,$F139,'Critical resources (hide)'!BA$6:BA$105)&gt;0,$E$1=2),0,1),0)</f>
        <v>1</v>
      </c>
      <c r="AO139" s="67">
        <f ca="1">IF(LOWER(Capacity!$V44)="x",IF(AND(SUMIF(Capacity_Resource,$D139,'Critical resources (hide)'!BB$6:BB$105)+SUMIF(Capacity_Resource,$E139,'Critical resources (hide)'!BB$6:BB$105)+SUMIF(Capacity_Resource,$F139,'Critical resources (hide)'!BB$6:BB$105)&gt;0,$E$1=2),0,1),0)</f>
        <v>1</v>
      </c>
      <c r="AP139" s="67">
        <f ca="1">IF(LOWER(Capacity!$V44)="x",IF(AND(SUMIF(Capacity_Resource,$D139,'Critical resources (hide)'!BC$6:BC$105)+SUMIF(Capacity_Resource,$E139,'Critical resources (hide)'!BC$6:BC$105)+SUMIF(Capacity_Resource,$F139,'Critical resources (hide)'!BC$6:BC$105)&gt;0,$E$1=2),0,1),0)</f>
        <v>1</v>
      </c>
      <c r="AQ139" s="67">
        <f ca="1">IF(LOWER(Capacity!$V44)="x",IF(AND(SUMIF(Capacity_Resource,$D139,'Critical resources (hide)'!BD$6:BD$105)+SUMIF(Capacity_Resource,$E139,'Critical resources (hide)'!BD$6:BD$105)+SUMIF(Capacity_Resource,$F139,'Critical resources (hide)'!BD$6:BD$105)&gt;0,$E$1=2),0,1),0)</f>
        <v>1</v>
      </c>
      <c r="AR139" s="67">
        <f ca="1">IF(LOWER(Capacity!$V44)="x",IF(AND(SUMIF(Capacity_Resource,$D139,'Critical resources (hide)'!BE$6:BE$105)+SUMIF(Capacity_Resource,$E139,'Critical resources (hide)'!BE$6:BE$105)+SUMIF(Capacity_Resource,$F139,'Critical resources (hide)'!BE$6:BE$105)&gt;0,$E$1=2),0,1),0)</f>
        <v>1</v>
      </c>
      <c r="AS139" s="67">
        <f ca="1">IF(LOWER(Capacity!$V44)="x",IF(AND(SUMIF(Capacity_Resource,$D139,'Critical resources (hide)'!BF$6:BF$105)+SUMIF(Capacity_Resource,$E139,'Critical resources (hide)'!BF$6:BF$105)+SUMIF(Capacity_Resource,$F139,'Critical resources (hide)'!BF$6:BF$105)&gt;0,$E$1=2),0,1),0)</f>
        <v>1</v>
      </c>
      <c r="AT139" s="67">
        <f ca="1">IF(LOWER(Capacity!$V44)="x",IF(AND(SUMIF(Capacity_Resource,$D139,'Critical resources (hide)'!BG$6:BG$105)+SUMIF(Capacity_Resource,$E139,'Critical resources (hide)'!BG$6:BG$105)+SUMIF(Capacity_Resource,$F139,'Critical resources (hide)'!BG$6:BG$105)&gt;0,$E$1=2),0,1),0)</f>
        <v>1</v>
      </c>
      <c r="AU139" s="67">
        <f ca="1">IF(LOWER(Capacity!$V44)="x",IF(AND(SUMIF(Capacity_Resource,$D139,'Critical resources (hide)'!BH$6:BH$105)+SUMIF(Capacity_Resource,$E139,'Critical resources (hide)'!BH$6:BH$105)+SUMIF(Capacity_Resource,$F139,'Critical resources (hide)'!BH$6:BH$105)&gt;0,$E$1=2),0,1),0)</f>
        <v>1</v>
      </c>
      <c r="AV139" s="67">
        <f ca="1">IF(LOWER(Capacity!$V44)="x",IF(AND(SUMIF(Capacity_Resource,$D139,'Critical resources (hide)'!BI$6:BI$105)+SUMIF(Capacity_Resource,$E139,'Critical resources (hide)'!BI$6:BI$105)+SUMIF(Capacity_Resource,$F139,'Critical resources (hide)'!BI$6:BI$105)&gt;0,$E$1=2),0,1),0)</f>
        <v>1</v>
      </c>
      <c r="AW139" s="67">
        <f ca="1">IF(LOWER(Capacity!$V44)="x",IF(AND(SUMIF(Capacity_Resource,$D139,'Critical resources (hide)'!BJ$6:BJ$105)+SUMIF(Capacity_Resource,$E139,'Critical resources (hide)'!BJ$6:BJ$105)+SUMIF(Capacity_Resource,$F139,'Critical resources (hide)'!BJ$6:BJ$105)&gt;0,$E$1=2),0,1),0)</f>
        <v>1</v>
      </c>
      <c r="AX139" s="67">
        <f ca="1">IF(LOWER(Capacity!$V44)="x",IF(AND(SUMIF(Capacity_Resource,$D139,'Critical resources (hide)'!BK$6:BK$105)+SUMIF(Capacity_Resource,$E139,'Critical resources (hide)'!BK$6:BK$105)+SUMIF(Capacity_Resource,$F139,'Critical resources (hide)'!BK$6:BK$105)&gt;0,$E$1=2),0,1),0)</f>
        <v>1</v>
      </c>
      <c r="AY139" s="67">
        <f ca="1">IF(LOWER(Capacity!$V44)="x",IF(AND(SUMIF(Capacity_Resource,$D139,'Critical resources (hide)'!BL$6:BL$105)+SUMIF(Capacity_Resource,$E139,'Critical resources (hide)'!BL$6:BL$105)+SUMIF(Capacity_Resource,$F139,'Critical resources (hide)'!BL$6:BL$105)&gt;0,$E$1=2),0,1),0)</f>
        <v>1</v>
      </c>
      <c r="AZ139" s="67">
        <f ca="1">IF(LOWER(Capacity!$V44)="x",IF(AND(SUMIF(Capacity_Resource,$D139,'Critical resources (hide)'!BM$6:BM$105)+SUMIF(Capacity_Resource,$E139,'Critical resources (hide)'!BM$6:BM$105)+SUMIF(Capacity_Resource,$F139,'Critical resources (hide)'!BM$6:BM$105)&gt;0,$E$1=2),0,1),0)</f>
        <v>1</v>
      </c>
      <c r="BA139" s="67">
        <f ca="1">IF(LOWER(Capacity!$V44)="x",IF(AND(SUMIF(Capacity_Resource,$D139,'Critical resources (hide)'!BN$6:BN$105)+SUMIF(Capacity_Resource,$E139,'Critical resources (hide)'!BN$6:BN$105)+SUMIF(Capacity_Resource,$F139,'Critical resources (hide)'!BN$6:BN$105)&gt;0,$E$1=2),0,1),0)</f>
        <v>1</v>
      </c>
      <c r="BB139" s="67">
        <f ca="1">IF(LOWER(Capacity!$V44)="x",IF(AND(SUMIF(Capacity_Resource,$D139,'Critical resources (hide)'!BO$6:BO$105)+SUMIF(Capacity_Resource,$E139,'Critical resources (hide)'!BO$6:BO$105)+SUMIF(Capacity_Resource,$F139,'Critical resources (hide)'!BO$6:BO$105)&gt;0,$E$1=2),0,1),0)</f>
        <v>1</v>
      </c>
      <c r="BC139" s="67">
        <f ca="1">IF(LOWER(Capacity!$V44)="x",IF(AND(SUMIF(Capacity_Resource,$D139,'Critical resources (hide)'!BP$6:BP$105)+SUMIF(Capacity_Resource,$E139,'Critical resources (hide)'!BP$6:BP$105)+SUMIF(Capacity_Resource,$F139,'Critical resources (hide)'!BP$6:BP$105)&gt;0,$E$1=2),0,1),0)</f>
        <v>1</v>
      </c>
      <c r="BD139" s="67">
        <f ca="1">IF(LOWER(Capacity!$V44)="x",IF(AND(SUMIF(Capacity_Resource,$D139,'Critical resources (hide)'!BQ$6:BQ$105)+SUMIF(Capacity_Resource,$E139,'Critical resources (hide)'!BQ$6:BQ$105)+SUMIF(Capacity_Resource,$F139,'Critical resources (hide)'!BQ$6:BQ$105)&gt;0,$E$1=2),0,1),0)</f>
        <v>1</v>
      </c>
      <c r="BE139" s="67">
        <f ca="1">IF(LOWER(Capacity!$V44)="x",IF(AND(SUMIF(Capacity_Resource,$D139,'Critical resources (hide)'!BR$6:BR$105)+SUMIF(Capacity_Resource,$E139,'Critical resources (hide)'!BR$6:BR$105)+SUMIF(Capacity_Resource,$F139,'Critical resources (hide)'!BR$6:BR$105)&gt;0,$E$1=2),0,1),0)</f>
        <v>1</v>
      </c>
      <c r="BF139" s="67">
        <f ca="1">IF(LOWER(Capacity!$V44)="x",IF(AND(SUMIF(Capacity_Resource,$D139,'Critical resources (hide)'!BS$6:BS$105)+SUMIF(Capacity_Resource,$E139,'Critical resources (hide)'!BS$6:BS$105)+SUMIF(Capacity_Resource,$F139,'Critical resources (hide)'!BS$6:BS$105)&gt;0,$E$1=2),0,1),0)</f>
        <v>1</v>
      </c>
      <c r="BG139" s="67">
        <f ca="1">IF(LOWER(Capacity!$V44)="x",IF(AND(SUMIF(Capacity_Resource,$D139,'Critical resources (hide)'!BT$6:BT$105)+SUMIF(Capacity_Resource,$E139,'Critical resources (hide)'!BT$6:BT$105)+SUMIF(Capacity_Resource,$F139,'Critical resources (hide)'!BT$6:BT$105)&gt;0,$E$1=2),0,1),0)</f>
        <v>1</v>
      </c>
      <c r="BH139" s="67">
        <f>IF(ROW(A28)&lt;=Capacity!$M$16,IF('Capacity summary'!$C$14="No",SUM(H139:BG139),'Capacity summary'!$E51),0)</f>
        <v>0</v>
      </c>
      <c r="BI139" s="67" t="str">
        <f>IF(BH139&gt;0,IF(BH139&lt;Capacity!Q44,Capacity!R44,Capacity!T44/'Capacity calculation (hide)'!BH139),"")</f>
        <v/>
      </c>
      <c r="BJ139" s="5"/>
      <c r="BK139" s="5">
        <f>IF($BI139&lt;&gt;"",IF('Capacity summary'!$C$14="Yes",IF(COUNTBLANK('Capacity summary'!$H51:$BG51)&lt;52,IF('Capacity summary'!H51&lt;&gt;"",IF(LOWER('Capacity summary'!H51)="x",$BI139*H139,VALUE('Capacity summary'!H51)),0),H139*$BI139),H139*$BI139),0)</f>
        <v>0</v>
      </c>
      <c r="BL139" s="5">
        <f>IF($BI139&lt;&gt;"",IF('Capacity summary'!$C$14="Yes",IF(COUNTBLANK('Capacity summary'!$H51:$BG51)&lt;52,IF('Capacity summary'!I51&lt;&gt;"",IF(LOWER('Capacity summary'!I51)="x",$BI139*I139,VALUE('Capacity summary'!I51)),0),I139*$BI139),I139*$BI139),0)</f>
        <v>0</v>
      </c>
      <c r="BM139" s="5">
        <f>IF($BI139&lt;&gt;"",IF('Capacity summary'!$C$14="Yes",IF(COUNTBLANK('Capacity summary'!$H51:$BG51)&lt;52,IF('Capacity summary'!J51&lt;&gt;"",IF(LOWER('Capacity summary'!J51)="x",$BI139*J139,VALUE('Capacity summary'!J51)),0),J139*$BI139),J139*$BI139),0)</f>
        <v>0</v>
      </c>
      <c r="BN139" s="5">
        <f>IF($BI139&lt;&gt;"",IF('Capacity summary'!$C$14="Yes",IF(COUNTBLANK('Capacity summary'!$H51:$BG51)&lt;52,IF('Capacity summary'!K51&lt;&gt;"",IF(LOWER('Capacity summary'!K51)="x",$BI139*K139,VALUE('Capacity summary'!K51)),0),K139*$BI139),K139*$BI139),0)</f>
        <v>0</v>
      </c>
      <c r="BO139" s="5">
        <f>IF($BI139&lt;&gt;"",IF('Capacity summary'!$C$14="Yes",IF(COUNTBLANK('Capacity summary'!$H51:$BG51)&lt;52,IF('Capacity summary'!L51&lt;&gt;"",IF(LOWER('Capacity summary'!L51)="x",$BI139*L139,VALUE('Capacity summary'!L51)),0),L139*$BI139),L139*$BI139),0)</f>
        <v>0</v>
      </c>
      <c r="BP139" s="5">
        <f>IF($BI139&lt;&gt;"",IF('Capacity summary'!$C$14="Yes",IF(COUNTBLANK('Capacity summary'!$H51:$BG51)&lt;52,IF('Capacity summary'!M51&lt;&gt;"",IF(LOWER('Capacity summary'!M51)="x",$BI139*M139,VALUE('Capacity summary'!M51)),0),M139*$BI139),M139*$BI139),0)</f>
        <v>0</v>
      </c>
      <c r="BQ139" s="5">
        <f>IF($BI139&lt;&gt;"",IF('Capacity summary'!$C$14="Yes",IF(COUNTBLANK('Capacity summary'!$H51:$BG51)&lt;52,IF('Capacity summary'!N51&lt;&gt;"",IF(LOWER('Capacity summary'!N51)="x",$BI139*N139,VALUE('Capacity summary'!N51)),0),N139*$BI139),N139*$BI139),0)</f>
        <v>0</v>
      </c>
      <c r="BR139" s="5">
        <f>IF($BI139&lt;&gt;"",IF('Capacity summary'!$C$14="Yes",IF(COUNTBLANK('Capacity summary'!$H51:$BG51)&lt;52,IF('Capacity summary'!O51&lt;&gt;"",IF(LOWER('Capacity summary'!O51)="x",$BI139*O139,VALUE('Capacity summary'!O51)),0),O139*$BI139),O139*$BI139),0)</f>
        <v>0</v>
      </c>
      <c r="BS139" s="5">
        <f>IF($BI139&lt;&gt;"",IF('Capacity summary'!$C$14="Yes",IF(COUNTBLANK('Capacity summary'!$H51:$BG51)&lt;52,IF('Capacity summary'!P51&lt;&gt;"",IF(LOWER('Capacity summary'!P51)="x",$BI139*P139,VALUE('Capacity summary'!P51)),0),P139*$BI139),P139*$BI139),0)</f>
        <v>0</v>
      </c>
      <c r="BT139" s="5">
        <f>IF($BI139&lt;&gt;"",IF('Capacity summary'!$C$14="Yes",IF(COUNTBLANK('Capacity summary'!$H51:$BG51)&lt;52,IF('Capacity summary'!Q51&lt;&gt;"",IF(LOWER('Capacity summary'!Q51)="x",$BI139*Q139,VALUE('Capacity summary'!Q51)),0),Q139*$BI139),Q139*$BI139),0)</f>
        <v>0</v>
      </c>
      <c r="BU139" s="5">
        <f>IF($BI139&lt;&gt;"",IF('Capacity summary'!$C$14="Yes",IF(COUNTBLANK('Capacity summary'!$H51:$BG51)&lt;52,IF('Capacity summary'!R51&lt;&gt;"",IF(LOWER('Capacity summary'!R51)="x",$BI139*R139,VALUE('Capacity summary'!R51)),0),R139*$BI139),R139*$BI139),0)</f>
        <v>0</v>
      </c>
      <c r="BV139" s="5">
        <f>IF($BI139&lt;&gt;"",IF('Capacity summary'!$C$14="Yes",IF(COUNTBLANK('Capacity summary'!$H51:$BG51)&lt;52,IF('Capacity summary'!S51&lt;&gt;"",IF(LOWER('Capacity summary'!S51)="x",$BI139*S139,VALUE('Capacity summary'!S51)),0),S139*$BI139),S139*$BI139),0)</f>
        <v>0</v>
      </c>
      <c r="BW139" s="5">
        <f>IF($BI139&lt;&gt;"",IF('Capacity summary'!$C$14="Yes",IF(COUNTBLANK('Capacity summary'!$H51:$BG51)&lt;52,IF('Capacity summary'!T51&lt;&gt;"",IF(LOWER('Capacity summary'!T51)="x",$BI139*T139,VALUE('Capacity summary'!T51)),0),T139*$BI139),T139*$BI139),0)</f>
        <v>0</v>
      </c>
      <c r="BX139" s="5">
        <f>IF($BI139&lt;&gt;"",IF('Capacity summary'!$C$14="Yes",IF(COUNTBLANK('Capacity summary'!$H51:$BG51)&lt;52,IF('Capacity summary'!U51&lt;&gt;"",IF(LOWER('Capacity summary'!U51)="x",$BI139*U139,VALUE('Capacity summary'!U51)),0),U139*$BI139),U139*$BI139),0)</f>
        <v>0</v>
      </c>
      <c r="BY139" s="5">
        <f>IF($BI139&lt;&gt;"",IF('Capacity summary'!$C$14="Yes",IF(COUNTBLANK('Capacity summary'!$H51:$BG51)&lt;52,IF('Capacity summary'!V51&lt;&gt;"",IF(LOWER('Capacity summary'!V51)="x",$BI139*V139,VALUE('Capacity summary'!V51)),0),V139*$BI139),V139*$BI139),0)</f>
        <v>0</v>
      </c>
      <c r="BZ139" s="5">
        <f>IF($BI139&lt;&gt;"",IF('Capacity summary'!$C$14="Yes",IF(COUNTBLANK('Capacity summary'!$H51:$BG51)&lt;52,IF('Capacity summary'!W51&lt;&gt;"",IF(LOWER('Capacity summary'!W51)="x",$BI139*W139,VALUE('Capacity summary'!W51)),0),W139*$BI139),W139*$BI139),0)</f>
        <v>0</v>
      </c>
      <c r="CA139" s="5">
        <f>IF($BI139&lt;&gt;"",IF('Capacity summary'!$C$14="Yes",IF(COUNTBLANK('Capacity summary'!$H51:$BG51)&lt;52,IF('Capacity summary'!X51&lt;&gt;"",IF(LOWER('Capacity summary'!X51)="x",$BI139*X139,VALUE('Capacity summary'!X51)),0),X139*$BI139),X139*$BI139),0)</f>
        <v>0</v>
      </c>
      <c r="CB139" s="5">
        <f>IF($BI139&lt;&gt;"",IF('Capacity summary'!$C$14="Yes",IF(COUNTBLANK('Capacity summary'!$H51:$BG51)&lt;52,IF('Capacity summary'!Y51&lt;&gt;"",IF(LOWER('Capacity summary'!Y51)="x",$BI139*Y139,VALUE('Capacity summary'!Y51)),0),Y139*$BI139),Y139*$BI139),0)</f>
        <v>0</v>
      </c>
      <c r="CC139" s="5">
        <f>IF($BI139&lt;&gt;"",IF('Capacity summary'!$C$14="Yes",IF(COUNTBLANK('Capacity summary'!$H51:$BG51)&lt;52,IF('Capacity summary'!Z51&lt;&gt;"",IF(LOWER('Capacity summary'!Z51)="x",$BI139*Z139,VALUE('Capacity summary'!Z51)),0),Z139*$BI139),Z139*$BI139),0)</f>
        <v>0</v>
      </c>
      <c r="CD139" s="5">
        <f>IF($BI139&lt;&gt;"",IF('Capacity summary'!$C$14="Yes",IF(COUNTBLANK('Capacity summary'!$H51:$BG51)&lt;52,IF('Capacity summary'!AA51&lt;&gt;"",IF(LOWER('Capacity summary'!AA51)="x",$BI139*AA139,VALUE('Capacity summary'!AA51)),0),AA139*$BI139),AA139*$BI139),0)</f>
        <v>0</v>
      </c>
      <c r="CE139" s="5">
        <f>IF($BI139&lt;&gt;"",IF('Capacity summary'!$C$14="Yes",IF(COUNTBLANK('Capacity summary'!$H51:$BG51)&lt;52,IF('Capacity summary'!AB51&lt;&gt;"",IF(LOWER('Capacity summary'!AB51)="x",$BI139*AB139,VALUE('Capacity summary'!AB51)),0),AB139*$BI139),AB139*$BI139),0)</f>
        <v>0</v>
      </c>
      <c r="CF139" s="5">
        <f>IF($BI139&lt;&gt;"",IF('Capacity summary'!$C$14="Yes",IF(COUNTBLANK('Capacity summary'!$H51:$BG51)&lt;52,IF('Capacity summary'!AC51&lt;&gt;"",IF(LOWER('Capacity summary'!AC51)="x",$BI139*AC139,VALUE('Capacity summary'!AC51)),0),AC139*$BI139),AC139*$BI139),0)</f>
        <v>0</v>
      </c>
      <c r="CG139" s="5">
        <f>IF($BI139&lt;&gt;"",IF('Capacity summary'!$C$14="Yes",IF(COUNTBLANK('Capacity summary'!$H51:$BG51)&lt;52,IF('Capacity summary'!AD51&lt;&gt;"",IF(LOWER('Capacity summary'!AD51)="x",$BI139*AD139,VALUE('Capacity summary'!AD51)),0),AD139*$BI139),AD139*$BI139),0)</f>
        <v>0</v>
      </c>
      <c r="CH139" s="5">
        <f>IF($BI139&lt;&gt;"",IF('Capacity summary'!$C$14="Yes",IF(COUNTBLANK('Capacity summary'!$H51:$BG51)&lt;52,IF('Capacity summary'!AE51&lt;&gt;"",IF(LOWER('Capacity summary'!AE51)="x",$BI139*AE139,VALUE('Capacity summary'!AE51)),0),AE139*$BI139),AE139*$BI139),0)</f>
        <v>0</v>
      </c>
      <c r="CI139" s="5">
        <f>IF($BI139&lt;&gt;"",IF('Capacity summary'!$C$14="Yes",IF(COUNTBLANK('Capacity summary'!$H51:$BG51)&lt;52,IF('Capacity summary'!AF51&lt;&gt;"",IF(LOWER('Capacity summary'!AF51)="x",$BI139*AF139,VALUE('Capacity summary'!AF51)),0),AF139*$BI139),AF139*$BI139),0)</f>
        <v>0</v>
      </c>
      <c r="CJ139" s="5">
        <f>IF($BI139&lt;&gt;"",IF('Capacity summary'!$C$14="Yes",IF(COUNTBLANK('Capacity summary'!$H51:$BG51)&lt;52,IF('Capacity summary'!AG51&lt;&gt;"",IF(LOWER('Capacity summary'!AG51)="x",$BI139*AG139,VALUE('Capacity summary'!AG51)),0),AG139*$BI139),AG139*$BI139),0)</f>
        <v>0</v>
      </c>
      <c r="CK139" s="5">
        <f>IF($BI139&lt;&gt;"",IF('Capacity summary'!$C$14="Yes",IF(COUNTBLANK('Capacity summary'!$H51:$BG51)&lt;52,IF('Capacity summary'!AH51&lt;&gt;"",IF(LOWER('Capacity summary'!AH51)="x",$BI139*AH139,VALUE('Capacity summary'!AH51)),0),AH139*$BI139),AH139*$BI139),0)</f>
        <v>0</v>
      </c>
      <c r="CL139" s="5">
        <f>IF($BI139&lt;&gt;"",IF('Capacity summary'!$C$14="Yes",IF(COUNTBLANK('Capacity summary'!$H51:$BG51)&lt;52,IF('Capacity summary'!AI51&lt;&gt;"",IF(LOWER('Capacity summary'!AI51)="x",$BI139*AI139,VALUE('Capacity summary'!AI51)),0),AI139*$BI139),AI139*$BI139),0)</f>
        <v>0</v>
      </c>
      <c r="CM139" s="5">
        <f>IF($BI139&lt;&gt;"",IF('Capacity summary'!$C$14="Yes",IF(COUNTBLANK('Capacity summary'!$H51:$BG51)&lt;52,IF('Capacity summary'!AJ51&lt;&gt;"",IF(LOWER('Capacity summary'!AJ51)="x",$BI139*AJ139,VALUE('Capacity summary'!AJ51)),0),AJ139*$BI139),AJ139*$BI139),0)</f>
        <v>0</v>
      </c>
      <c r="CN139" s="5">
        <f>IF($BI139&lt;&gt;"",IF('Capacity summary'!$C$14="Yes",IF(COUNTBLANK('Capacity summary'!$H51:$BG51)&lt;52,IF('Capacity summary'!AK51&lt;&gt;"",IF(LOWER('Capacity summary'!AK51)="x",$BI139*AK139,VALUE('Capacity summary'!AK51)),0),AK139*$BI139),AK139*$BI139),0)</f>
        <v>0</v>
      </c>
      <c r="CO139" s="5">
        <f>IF($BI139&lt;&gt;"",IF('Capacity summary'!$C$14="Yes",IF(COUNTBLANK('Capacity summary'!$H51:$BG51)&lt;52,IF('Capacity summary'!AL51&lt;&gt;"",IF(LOWER('Capacity summary'!AL51)="x",$BI139*AL139,VALUE('Capacity summary'!AL51)),0),AL139*$BI139),AL139*$BI139),0)</f>
        <v>0</v>
      </c>
      <c r="CP139" s="5">
        <f>IF($BI139&lt;&gt;"",IF('Capacity summary'!$C$14="Yes",IF(COUNTBLANK('Capacity summary'!$H51:$BG51)&lt;52,IF('Capacity summary'!AM51&lt;&gt;"",IF(LOWER('Capacity summary'!AM51)="x",$BI139*AM139,VALUE('Capacity summary'!AM51)),0),AM139*$BI139),AM139*$BI139),0)</f>
        <v>0</v>
      </c>
      <c r="CQ139" s="5">
        <f>IF($BI139&lt;&gt;"",IF('Capacity summary'!$C$14="Yes",IF(COUNTBLANK('Capacity summary'!$H51:$BG51)&lt;52,IF('Capacity summary'!AN51&lt;&gt;"",IF(LOWER('Capacity summary'!AN51)="x",$BI139*AN139,VALUE('Capacity summary'!AN51)),0),AN139*$BI139),AN139*$BI139),0)</f>
        <v>0</v>
      </c>
      <c r="CR139" s="5">
        <f>IF($BI139&lt;&gt;"",IF('Capacity summary'!$C$14="Yes",IF(COUNTBLANK('Capacity summary'!$H51:$BG51)&lt;52,IF('Capacity summary'!AO51&lt;&gt;"",IF(LOWER('Capacity summary'!AO51)="x",$BI139*AO139,VALUE('Capacity summary'!AO51)),0),AO139*$BI139),AO139*$BI139),0)</f>
        <v>0</v>
      </c>
      <c r="CS139" s="5">
        <f>IF($BI139&lt;&gt;"",IF('Capacity summary'!$C$14="Yes",IF(COUNTBLANK('Capacity summary'!$H51:$BG51)&lt;52,IF('Capacity summary'!AP51&lt;&gt;"",IF(LOWER('Capacity summary'!AP51)="x",$BI139*AP139,VALUE('Capacity summary'!AP51)),0),AP139*$BI139),AP139*$BI139),0)</f>
        <v>0</v>
      </c>
      <c r="CT139" s="5">
        <f>IF($BI139&lt;&gt;"",IF('Capacity summary'!$C$14="Yes",IF(COUNTBLANK('Capacity summary'!$H51:$BG51)&lt;52,IF('Capacity summary'!AQ51&lt;&gt;"",IF(LOWER('Capacity summary'!AQ51)="x",$BI139*AQ139,VALUE('Capacity summary'!AQ51)),0),AQ139*$BI139),AQ139*$BI139),0)</f>
        <v>0</v>
      </c>
      <c r="CU139" s="5">
        <f>IF($BI139&lt;&gt;"",IF('Capacity summary'!$C$14="Yes",IF(COUNTBLANK('Capacity summary'!$H51:$BG51)&lt;52,IF('Capacity summary'!AR51&lt;&gt;"",IF(LOWER('Capacity summary'!AR51)="x",$BI139*AR139,VALUE('Capacity summary'!AR51)),0),AR139*$BI139),AR139*$BI139),0)</f>
        <v>0</v>
      </c>
      <c r="CV139" s="5">
        <f>IF($BI139&lt;&gt;"",IF('Capacity summary'!$C$14="Yes",IF(COUNTBLANK('Capacity summary'!$H51:$BG51)&lt;52,IF('Capacity summary'!AS51&lt;&gt;"",IF(LOWER('Capacity summary'!AS51)="x",$BI139*AS139,VALUE('Capacity summary'!AS51)),0),AS139*$BI139),AS139*$BI139),0)</f>
        <v>0</v>
      </c>
      <c r="CW139" s="5">
        <f>IF($BI139&lt;&gt;"",IF('Capacity summary'!$C$14="Yes",IF(COUNTBLANK('Capacity summary'!$H51:$BG51)&lt;52,IF('Capacity summary'!AT51&lt;&gt;"",IF(LOWER('Capacity summary'!AT51)="x",$BI139*AT139,VALUE('Capacity summary'!AT51)),0),AT139*$BI139),AT139*$BI139),0)</f>
        <v>0</v>
      </c>
      <c r="CX139" s="5">
        <f>IF($BI139&lt;&gt;"",IF('Capacity summary'!$C$14="Yes",IF(COUNTBLANK('Capacity summary'!$H51:$BG51)&lt;52,IF('Capacity summary'!AU51&lt;&gt;"",IF(LOWER('Capacity summary'!AU51)="x",$BI139*AU139,VALUE('Capacity summary'!AU51)),0),AU139*$BI139),AU139*$BI139),0)</f>
        <v>0</v>
      </c>
      <c r="CY139" s="5">
        <f>IF($BI139&lt;&gt;"",IF('Capacity summary'!$C$14="Yes",IF(COUNTBLANK('Capacity summary'!$H51:$BG51)&lt;52,IF('Capacity summary'!AV51&lt;&gt;"",IF(LOWER('Capacity summary'!AV51)="x",$BI139*AV139,VALUE('Capacity summary'!AV51)),0),AV139*$BI139),AV139*$BI139),0)</f>
        <v>0</v>
      </c>
      <c r="CZ139" s="5">
        <f>IF($BI139&lt;&gt;"",IF('Capacity summary'!$C$14="Yes",IF(COUNTBLANK('Capacity summary'!$H51:$BG51)&lt;52,IF('Capacity summary'!AW51&lt;&gt;"",IF(LOWER('Capacity summary'!AW51)="x",$BI139*AW139,VALUE('Capacity summary'!AW51)),0),AW139*$BI139),AW139*$BI139),0)</f>
        <v>0</v>
      </c>
      <c r="DA139" s="5">
        <f>IF($BI139&lt;&gt;"",IF('Capacity summary'!$C$14="Yes",IF(COUNTBLANK('Capacity summary'!$H51:$BG51)&lt;52,IF('Capacity summary'!AX51&lt;&gt;"",IF(LOWER('Capacity summary'!AX51)="x",$BI139*AX139,VALUE('Capacity summary'!AX51)),0),AX139*$BI139),AX139*$BI139),0)</f>
        <v>0</v>
      </c>
      <c r="DB139" s="5">
        <f>IF($BI139&lt;&gt;"",IF('Capacity summary'!$C$14="Yes",IF(COUNTBLANK('Capacity summary'!$H51:$BG51)&lt;52,IF('Capacity summary'!AY51&lt;&gt;"",IF(LOWER('Capacity summary'!AY51)="x",$BI139*AY139,VALUE('Capacity summary'!AY51)),0),AY139*$BI139),AY139*$BI139),0)</f>
        <v>0</v>
      </c>
      <c r="DC139" s="5">
        <f>IF($BI139&lt;&gt;"",IF('Capacity summary'!$C$14="Yes",IF(COUNTBLANK('Capacity summary'!$H51:$BG51)&lt;52,IF('Capacity summary'!AZ51&lt;&gt;"",IF(LOWER('Capacity summary'!AZ51)="x",$BI139*AZ139,VALUE('Capacity summary'!AZ51)),0),AZ139*$BI139),AZ139*$BI139),0)</f>
        <v>0</v>
      </c>
      <c r="DD139" s="5">
        <f>IF($BI139&lt;&gt;"",IF('Capacity summary'!$C$14="Yes",IF(COUNTBLANK('Capacity summary'!$H51:$BG51)&lt;52,IF('Capacity summary'!BA51&lt;&gt;"",IF(LOWER('Capacity summary'!BA51)="x",$BI139*BA139,VALUE('Capacity summary'!BA51)),0),BA139*$BI139),BA139*$BI139),0)</f>
        <v>0</v>
      </c>
      <c r="DE139" s="5">
        <f>IF($BI139&lt;&gt;"",IF('Capacity summary'!$C$14="Yes",IF(COUNTBLANK('Capacity summary'!$H51:$BG51)&lt;52,IF('Capacity summary'!BB51&lt;&gt;"",IF(LOWER('Capacity summary'!BB51)="x",$BI139*BB139,VALUE('Capacity summary'!BB51)),0),BB139*$BI139),BB139*$BI139),0)</f>
        <v>0</v>
      </c>
      <c r="DF139" s="5">
        <f>IF($BI139&lt;&gt;"",IF('Capacity summary'!$C$14="Yes",IF(COUNTBLANK('Capacity summary'!$H51:$BG51)&lt;52,IF('Capacity summary'!BC51&lt;&gt;"",IF(LOWER('Capacity summary'!BC51)="x",$BI139*BC139,VALUE('Capacity summary'!BC51)),0),BC139*$BI139),BC139*$BI139),0)</f>
        <v>0</v>
      </c>
      <c r="DG139" s="5">
        <f>IF($BI139&lt;&gt;"",IF('Capacity summary'!$C$14="Yes",IF(COUNTBLANK('Capacity summary'!$H51:$BG51)&lt;52,IF('Capacity summary'!BD51&lt;&gt;"",IF(LOWER('Capacity summary'!BD51)="x",$BI139*BD139,VALUE('Capacity summary'!BD51)),0),BD139*$BI139),BD139*$BI139),0)</f>
        <v>0</v>
      </c>
      <c r="DH139" s="5">
        <f>IF($BI139&lt;&gt;"",IF('Capacity summary'!$C$14="Yes",IF(COUNTBLANK('Capacity summary'!$H51:$BG51)&lt;52,IF('Capacity summary'!BE51&lt;&gt;"",IF(LOWER('Capacity summary'!BE51)="x",$BI139*BE139,VALUE('Capacity summary'!BE51)),0),BE139*$BI139),BE139*$BI139),0)</f>
        <v>0</v>
      </c>
      <c r="DI139" s="5">
        <f>IF($BI139&lt;&gt;"",IF('Capacity summary'!$C$14="Yes",IF(COUNTBLANK('Capacity summary'!$H51:$BG51)&lt;52,IF('Capacity summary'!BF51&lt;&gt;"",IF(LOWER('Capacity summary'!BF51)="x",$BI139*BF139,VALUE('Capacity summary'!BF51)),0),BF139*$BI139),BF139*$BI139),0)</f>
        <v>0</v>
      </c>
      <c r="DJ139" s="5">
        <f>IF($BI139&lt;&gt;"",IF('Capacity summary'!$C$14="Yes",IF(COUNTBLANK('Capacity summary'!$H51:$BG51)&lt;52,IF('Capacity summary'!BG51&lt;&gt;"",IF(LOWER('Capacity summary'!BG51)="x",$BI139*BG139,VALUE('Capacity summary'!BG51)),0),BG139*$BI139),BG139*$BI139),0)</f>
        <v>0</v>
      </c>
      <c r="DK139" s="391">
        <f t="shared" si="8"/>
        <v>0</v>
      </c>
      <c r="DL139" s="5">
        <f t="shared" si="9"/>
        <v>0</v>
      </c>
    </row>
    <row r="140" spans="3:116" x14ac:dyDescent="0.2">
      <c r="C140" s="67" t="str">
        <f>ROW(A29)&amp;". "&amp;Capacity!N45</f>
        <v xml:space="preserve">29. </v>
      </c>
      <c r="D140" s="67">
        <f>'Capacity setup'!C146</f>
        <v>0</v>
      </c>
      <c r="E140" s="67">
        <f>'Capacity setup'!D146</f>
        <v>0</v>
      </c>
      <c r="F140" s="67">
        <f>'Capacity setup'!E146</f>
        <v>0</v>
      </c>
      <c r="H140" s="67">
        <f ca="1">IF(LOWER(Capacity!$V45)="x",IF(AND(SUMIF(Capacity_Resource,$D140,'Critical resources (hide)'!U$6:U$105)+SUMIF(Capacity_Resource,$E140,'Critical resources (hide)'!U$6:U$105)+SUMIF(Capacity_Resource,$F140,'Critical resources (hide)'!U$6:U$105)&gt;0,$E$1=2),0,1),0)</f>
        <v>1</v>
      </c>
      <c r="I140" s="67">
        <f ca="1">IF(LOWER(Capacity!$V45)="x",IF(AND(SUMIF(Capacity_Resource,$D140,'Critical resources (hide)'!V$6:V$105)+SUMIF(Capacity_Resource,$E140,'Critical resources (hide)'!V$6:V$105)+SUMIF(Capacity_Resource,$F140,'Critical resources (hide)'!V$6:V$105)&gt;0,$E$1=2),0,1),0)</f>
        <v>1</v>
      </c>
      <c r="J140" s="67">
        <f ca="1">IF(LOWER(Capacity!$V45)="x",IF(AND(SUMIF(Capacity_Resource,$D140,'Critical resources (hide)'!W$6:W$105)+SUMIF(Capacity_Resource,$E140,'Critical resources (hide)'!W$6:W$105)+SUMIF(Capacity_Resource,$F140,'Critical resources (hide)'!W$6:W$105)&gt;0,$E$1=2),0,1),0)</f>
        <v>1</v>
      </c>
      <c r="K140" s="67">
        <f ca="1">IF(LOWER(Capacity!$V45)="x",IF(AND(SUMIF(Capacity_Resource,$D140,'Critical resources (hide)'!X$6:X$105)+SUMIF(Capacity_Resource,$E140,'Critical resources (hide)'!X$6:X$105)+SUMIF(Capacity_Resource,$F140,'Critical resources (hide)'!X$6:X$105)&gt;0,$E$1=2),0,1),0)</f>
        <v>1</v>
      </c>
      <c r="L140" s="67">
        <f ca="1">IF(LOWER(Capacity!$V45)="x",IF(AND(SUMIF(Capacity_Resource,$D140,'Critical resources (hide)'!Y$6:Y$105)+SUMIF(Capacity_Resource,$E140,'Critical resources (hide)'!Y$6:Y$105)+SUMIF(Capacity_Resource,$F140,'Critical resources (hide)'!Y$6:Y$105)&gt;0,$E$1=2),0,1),0)</f>
        <v>1</v>
      </c>
      <c r="M140" s="67">
        <f ca="1">IF(LOWER(Capacity!$V45)="x",IF(AND(SUMIF(Capacity_Resource,$D140,'Critical resources (hide)'!Z$6:Z$105)+SUMIF(Capacity_Resource,$E140,'Critical resources (hide)'!Z$6:Z$105)+SUMIF(Capacity_Resource,$F140,'Critical resources (hide)'!Z$6:Z$105)&gt;0,$E$1=2),0,1),0)</f>
        <v>1</v>
      </c>
      <c r="N140" s="67">
        <f ca="1">IF(LOWER(Capacity!$V45)="x",IF(AND(SUMIF(Capacity_Resource,$D140,'Critical resources (hide)'!AA$6:AA$105)+SUMIF(Capacity_Resource,$E140,'Critical resources (hide)'!AA$6:AA$105)+SUMIF(Capacity_Resource,$F140,'Critical resources (hide)'!AA$6:AA$105)&gt;0,$E$1=2),0,1),0)</f>
        <v>1</v>
      </c>
      <c r="O140" s="67">
        <f ca="1">IF(LOWER(Capacity!$V45)="x",IF(AND(SUMIF(Capacity_Resource,$D140,'Critical resources (hide)'!AB$6:AB$105)+SUMIF(Capacity_Resource,$E140,'Critical resources (hide)'!AB$6:AB$105)+SUMIF(Capacity_Resource,$F140,'Critical resources (hide)'!AB$6:AB$105)&gt;0,$E$1=2),0,1),0)</f>
        <v>1</v>
      </c>
      <c r="P140" s="67">
        <f ca="1">IF(LOWER(Capacity!$V45)="x",IF(AND(SUMIF(Capacity_Resource,$D140,'Critical resources (hide)'!AC$6:AC$105)+SUMIF(Capacity_Resource,$E140,'Critical resources (hide)'!AC$6:AC$105)+SUMIF(Capacity_Resource,$F140,'Critical resources (hide)'!AC$6:AC$105)&gt;0,$E$1=2),0,1),0)</f>
        <v>1</v>
      </c>
      <c r="Q140" s="67">
        <f ca="1">IF(LOWER(Capacity!$V45)="x",IF(AND(SUMIF(Capacity_Resource,$D140,'Critical resources (hide)'!AD$6:AD$105)+SUMIF(Capacity_Resource,$E140,'Critical resources (hide)'!AD$6:AD$105)+SUMIF(Capacity_Resource,$F140,'Critical resources (hide)'!AD$6:AD$105)&gt;0,$E$1=2),0,1),0)</f>
        <v>1</v>
      </c>
      <c r="R140" s="67">
        <f ca="1">IF(LOWER(Capacity!$V45)="x",IF(AND(SUMIF(Capacity_Resource,$D140,'Critical resources (hide)'!AE$6:AE$105)+SUMIF(Capacity_Resource,$E140,'Critical resources (hide)'!AE$6:AE$105)+SUMIF(Capacity_Resource,$F140,'Critical resources (hide)'!AE$6:AE$105)&gt;0,$E$1=2),0,1),0)</f>
        <v>1</v>
      </c>
      <c r="S140" s="67">
        <f ca="1">IF(LOWER(Capacity!$V45)="x",IF(AND(SUMIF(Capacity_Resource,$D140,'Critical resources (hide)'!AF$6:AF$105)+SUMIF(Capacity_Resource,$E140,'Critical resources (hide)'!AF$6:AF$105)+SUMIF(Capacity_Resource,$F140,'Critical resources (hide)'!AF$6:AF$105)&gt;0,$E$1=2),0,1),0)</f>
        <v>1</v>
      </c>
      <c r="T140" s="67">
        <f ca="1">IF(LOWER(Capacity!$V45)="x",IF(AND(SUMIF(Capacity_Resource,$D140,'Critical resources (hide)'!AG$6:AG$105)+SUMIF(Capacity_Resource,$E140,'Critical resources (hide)'!AG$6:AG$105)+SUMIF(Capacity_Resource,$F140,'Critical resources (hide)'!AG$6:AG$105)&gt;0,$E$1=2),0,1),0)</f>
        <v>1</v>
      </c>
      <c r="U140" s="67">
        <f ca="1">IF(LOWER(Capacity!$V45)="x",IF(AND(SUMIF(Capacity_Resource,$D140,'Critical resources (hide)'!AH$6:AH$105)+SUMIF(Capacity_Resource,$E140,'Critical resources (hide)'!AH$6:AH$105)+SUMIF(Capacity_Resource,$F140,'Critical resources (hide)'!AH$6:AH$105)&gt;0,$E$1=2),0,1),0)</f>
        <v>1</v>
      </c>
      <c r="V140" s="67">
        <f ca="1">IF(LOWER(Capacity!$V45)="x",IF(AND(SUMIF(Capacity_Resource,$D140,'Critical resources (hide)'!AI$6:AI$105)+SUMIF(Capacity_Resource,$E140,'Critical resources (hide)'!AI$6:AI$105)+SUMIF(Capacity_Resource,$F140,'Critical resources (hide)'!AI$6:AI$105)&gt;0,$E$1=2),0,1),0)</f>
        <v>1</v>
      </c>
      <c r="W140" s="67">
        <f ca="1">IF(LOWER(Capacity!$V45)="x",IF(AND(SUMIF(Capacity_Resource,$D140,'Critical resources (hide)'!AJ$6:AJ$105)+SUMIF(Capacity_Resource,$E140,'Critical resources (hide)'!AJ$6:AJ$105)+SUMIF(Capacity_Resource,$F140,'Critical resources (hide)'!AJ$6:AJ$105)&gt;0,$E$1=2),0,1),0)</f>
        <v>1</v>
      </c>
      <c r="X140" s="67">
        <f ca="1">IF(LOWER(Capacity!$V45)="x",IF(AND(SUMIF(Capacity_Resource,$D140,'Critical resources (hide)'!AK$6:AK$105)+SUMIF(Capacity_Resource,$E140,'Critical resources (hide)'!AK$6:AK$105)+SUMIF(Capacity_Resource,$F140,'Critical resources (hide)'!AK$6:AK$105)&gt;0,$E$1=2),0,1),0)</f>
        <v>1</v>
      </c>
      <c r="Y140" s="67">
        <f ca="1">IF(LOWER(Capacity!$V45)="x",IF(AND(SUMIF(Capacity_Resource,$D140,'Critical resources (hide)'!AL$6:AL$105)+SUMIF(Capacity_Resource,$E140,'Critical resources (hide)'!AL$6:AL$105)+SUMIF(Capacity_Resource,$F140,'Critical resources (hide)'!AL$6:AL$105)&gt;0,$E$1=2),0,1),0)</f>
        <v>1</v>
      </c>
      <c r="Z140" s="67">
        <f ca="1">IF(LOWER(Capacity!$V45)="x",IF(AND(SUMIF(Capacity_Resource,$D140,'Critical resources (hide)'!AM$6:AM$105)+SUMIF(Capacity_Resource,$E140,'Critical resources (hide)'!AM$6:AM$105)+SUMIF(Capacity_Resource,$F140,'Critical resources (hide)'!AM$6:AM$105)&gt;0,$E$1=2),0,1),0)</f>
        <v>1</v>
      </c>
      <c r="AA140" s="67">
        <f ca="1">IF(LOWER(Capacity!$V45)="x",IF(AND(SUMIF(Capacity_Resource,$D140,'Critical resources (hide)'!AN$6:AN$105)+SUMIF(Capacity_Resource,$E140,'Critical resources (hide)'!AN$6:AN$105)+SUMIF(Capacity_Resource,$F140,'Critical resources (hide)'!AN$6:AN$105)&gt;0,$E$1=2),0,1),0)</f>
        <v>1</v>
      </c>
      <c r="AB140" s="67">
        <f ca="1">IF(LOWER(Capacity!$V45)="x",IF(AND(SUMIF(Capacity_Resource,$D140,'Critical resources (hide)'!AO$6:AO$105)+SUMIF(Capacity_Resource,$E140,'Critical resources (hide)'!AO$6:AO$105)+SUMIF(Capacity_Resource,$F140,'Critical resources (hide)'!AO$6:AO$105)&gt;0,$E$1=2),0,1),0)</f>
        <v>1</v>
      </c>
      <c r="AC140" s="67">
        <f ca="1">IF(LOWER(Capacity!$V45)="x",IF(AND(SUMIF(Capacity_Resource,$D140,'Critical resources (hide)'!AP$6:AP$105)+SUMIF(Capacity_Resource,$E140,'Critical resources (hide)'!AP$6:AP$105)+SUMIF(Capacity_Resource,$F140,'Critical resources (hide)'!AP$6:AP$105)&gt;0,$E$1=2),0,1),0)</f>
        <v>1</v>
      </c>
      <c r="AD140" s="67">
        <f ca="1">IF(LOWER(Capacity!$V45)="x",IF(AND(SUMIF(Capacity_Resource,$D140,'Critical resources (hide)'!AQ$6:AQ$105)+SUMIF(Capacity_Resource,$E140,'Critical resources (hide)'!AQ$6:AQ$105)+SUMIF(Capacity_Resource,$F140,'Critical resources (hide)'!AQ$6:AQ$105)&gt;0,$E$1=2),0,1),0)</f>
        <v>1</v>
      </c>
      <c r="AE140" s="67">
        <f ca="1">IF(LOWER(Capacity!$V45)="x",IF(AND(SUMIF(Capacity_Resource,$D140,'Critical resources (hide)'!AR$6:AR$105)+SUMIF(Capacity_Resource,$E140,'Critical resources (hide)'!AR$6:AR$105)+SUMIF(Capacity_Resource,$F140,'Critical resources (hide)'!AR$6:AR$105)&gt;0,$E$1=2),0,1),0)</f>
        <v>1</v>
      </c>
      <c r="AF140" s="67">
        <f ca="1">IF(LOWER(Capacity!$V45)="x",IF(AND(SUMIF(Capacity_Resource,$D140,'Critical resources (hide)'!AS$6:AS$105)+SUMIF(Capacity_Resource,$E140,'Critical resources (hide)'!AS$6:AS$105)+SUMIF(Capacity_Resource,$F140,'Critical resources (hide)'!AS$6:AS$105)&gt;0,$E$1=2),0,1),0)</f>
        <v>1</v>
      </c>
      <c r="AG140" s="67">
        <f ca="1">IF(LOWER(Capacity!$V45)="x",IF(AND(SUMIF(Capacity_Resource,$D140,'Critical resources (hide)'!AT$6:AT$105)+SUMIF(Capacity_Resource,$E140,'Critical resources (hide)'!AT$6:AT$105)+SUMIF(Capacity_Resource,$F140,'Critical resources (hide)'!AT$6:AT$105)&gt;0,$E$1=2),0,1),0)</f>
        <v>1</v>
      </c>
      <c r="AH140" s="67">
        <f ca="1">IF(LOWER(Capacity!$V45)="x",IF(AND(SUMIF(Capacity_Resource,$D140,'Critical resources (hide)'!AU$6:AU$105)+SUMIF(Capacity_Resource,$E140,'Critical resources (hide)'!AU$6:AU$105)+SUMIF(Capacity_Resource,$F140,'Critical resources (hide)'!AU$6:AU$105)&gt;0,$E$1=2),0,1),0)</f>
        <v>1</v>
      </c>
      <c r="AI140" s="67">
        <f ca="1">IF(LOWER(Capacity!$V45)="x",IF(AND(SUMIF(Capacity_Resource,$D140,'Critical resources (hide)'!AV$6:AV$105)+SUMIF(Capacity_Resource,$E140,'Critical resources (hide)'!AV$6:AV$105)+SUMIF(Capacity_Resource,$F140,'Critical resources (hide)'!AV$6:AV$105)&gt;0,$E$1=2),0,1),0)</f>
        <v>1</v>
      </c>
      <c r="AJ140" s="67">
        <f ca="1">IF(LOWER(Capacity!$V45)="x",IF(AND(SUMIF(Capacity_Resource,$D140,'Critical resources (hide)'!AW$6:AW$105)+SUMIF(Capacity_Resource,$E140,'Critical resources (hide)'!AW$6:AW$105)+SUMIF(Capacity_Resource,$F140,'Critical resources (hide)'!AW$6:AW$105)&gt;0,$E$1=2),0,1),0)</f>
        <v>1</v>
      </c>
      <c r="AK140" s="67">
        <f ca="1">IF(LOWER(Capacity!$V45)="x",IF(AND(SUMIF(Capacity_Resource,$D140,'Critical resources (hide)'!AX$6:AX$105)+SUMIF(Capacity_Resource,$E140,'Critical resources (hide)'!AX$6:AX$105)+SUMIF(Capacity_Resource,$F140,'Critical resources (hide)'!AX$6:AX$105)&gt;0,$E$1=2),0,1),0)</f>
        <v>1</v>
      </c>
      <c r="AL140" s="67">
        <f ca="1">IF(LOWER(Capacity!$V45)="x",IF(AND(SUMIF(Capacity_Resource,$D140,'Critical resources (hide)'!AY$6:AY$105)+SUMIF(Capacity_Resource,$E140,'Critical resources (hide)'!AY$6:AY$105)+SUMIF(Capacity_Resource,$F140,'Critical resources (hide)'!AY$6:AY$105)&gt;0,$E$1=2),0,1),0)</f>
        <v>1</v>
      </c>
      <c r="AM140" s="67">
        <f ca="1">IF(LOWER(Capacity!$V45)="x",IF(AND(SUMIF(Capacity_Resource,$D140,'Critical resources (hide)'!AZ$6:AZ$105)+SUMIF(Capacity_Resource,$E140,'Critical resources (hide)'!AZ$6:AZ$105)+SUMIF(Capacity_Resource,$F140,'Critical resources (hide)'!AZ$6:AZ$105)&gt;0,$E$1=2),0,1),0)</f>
        <v>1</v>
      </c>
      <c r="AN140" s="67">
        <f ca="1">IF(LOWER(Capacity!$V45)="x",IF(AND(SUMIF(Capacity_Resource,$D140,'Critical resources (hide)'!BA$6:BA$105)+SUMIF(Capacity_Resource,$E140,'Critical resources (hide)'!BA$6:BA$105)+SUMIF(Capacity_Resource,$F140,'Critical resources (hide)'!BA$6:BA$105)&gt;0,$E$1=2),0,1),0)</f>
        <v>1</v>
      </c>
      <c r="AO140" s="67">
        <f ca="1">IF(LOWER(Capacity!$V45)="x",IF(AND(SUMIF(Capacity_Resource,$D140,'Critical resources (hide)'!BB$6:BB$105)+SUMIF(Capacity_Resource,$E140,'Critical resources (hide)'!BB$6:BB$105)+SUMIF(Capacity_Resource,$F140,'Critical resources (hide)'!BB$6:BB$105)&gt;0,$E$1=2),0,1),0)</f>
        <v>1</v>
      </c>
      <c r="AP140" s="67">
        <f ca="1">IF(LOWER(Capacity!$V45)="x",IF(AND(SUMIF(Capacity_Resource,$D140,'Critical resources (hide)'!BC$6:BC$105)+SUMIF(Capacity_Resource,$E140,'Critical resources (hide)'!BC$6:BC$105)+SUMIF(Capacity_Resource,$F140,'Critical resources (hide)'!BC$6:BC$105)&gt;0,$E$1=2),0,1),0)</f>
        <v>1</v>
      </c>
      <c r="AQ140" s="67">
        <f ca="1">IF(LOWER(Capacity!$V45)="x",IF(AND(SUMIF(Capacity_Resource,$D140,'Critical resources (hide)'!BD$6:BD$105)+SUMIF(Capacity_Resource,$E140,'Critical resources (hide)'!BD$6:BD$105)+SUMIF(Capacity_Resource,$F140,'Critical resources (hide)'!BD$6:BD$105)&gt;0,$E$1=2),0,1),0)</f>
        <v>1</v>
      </c>
      <c r="AR140" s="67">
        <f ca="1">IF(LOWER(Capacity!$V45)="x",IF(AND(SUMIF(Capacity_Resource,$D140,'Critical resources (hide)'!BE$6:BE$105)+SUMIF(Capacity_Resource,$E140,'Critical resources (hide)'!BE$6:BE$105)+SUMIF(Capacity_Resource,$F140,'Critical resources (hide)'!BE$6:BE$105)&gt;0,$E$1=2),0,1),0)</f>
        <v>1</v>
      </c>
      <c r="AS140" s="67">
        <f ca="1">IF(LOWER(Capacity!$V45)="x",IF(AND(SUMIF(Capacity_Resource,$D140,'Critical resources (hide)'!BF$6:BF$105)+SUMIF(Capacity_Resource,$E140,'Critical resources (hide)'!BF$6:BF$105)+SUMIF(Capacity_Resource,$F140,'Critical resources (hide)'!BF$6:BF$105)&gt;0,$E$1=2),0,1),0)</f>
        <v>1</v>
      </c>
      <c r="AT140" s="67">
        <f ca="1">IF(LOWER(Capacity!$V45)="x",IF(AND(SUMIF(Capacity_Resource,$D140,'Critical resources (hide)'!BG$6:BG$105)+SUMIF(Capacity_Resource,$E140,'Critical resources (hide)'!BG$6:BG$105)+SUMIF(Capacity_Resource,$F140,'Critical resources (hide)'!BG$6:BG$105)&gt;0,$E$1=2),0,1),0)</f>
        <v>1</v>
      </c>
      <c r="AU140" s="67">
        <f ca="1">IF(LOWER(Capacity!$V45)="x",IF(AND(SUMIF(Capacity_Resource,$D140,'Critical resources (hide)'!BH$6:BH$105)+SUMIF(Capacity_Resource,$E140,'Critical resources (hide)'!BH$6:BH$105)+SUMIF(Capacity_Resource,$F140,'Critical resources (hide)'!BH$6:BH$105)&gt;0,$E$1=2),0,1),0)</f>
        <v>1</v>
      </c>
      <c r="AV140" s="67">
        <f ca="1">IF(LOWER(Capacity!$V45)="x",IF(AND(SUMIF(Capacity_Resource,$D140,'Critical resources (hide)'!BI$6:BI$105)+SUMIF(Capacity_Resource,$E140,'Critical resources (hide)'!BI$6:BI$105)+SUMIF(Capacity_Resource,$F140,'Critical resources (hide)'!BI$6:BI$105)&gt;0,$E$1=2),0,1),0)</f>
        <v>1</v>
      </c>
      <c r="AW140" s="67">
        <f ca="1">IF(LOWER(Capacity!$V45)="x",IF(AND(SUMIF(Capacity_Resource,$D140,'Critical resources (hide)'!BJ$6:BJ$105)+SUMIF(Capacity_Resource,$E140,'Critical resources (hide)'!BJ$6:BJ$105)+SUMIF(Capacity_Resource,$F140,'Critical resources (hide)'!BJ$6:BJ$105)&gt;0,$E$1=2),0,1),0)</f>
        <v>1</v>
      </c>
      <c r="AX140" s="67">
        <f ca="1">IF(LOWER(Capacity!$V45)="x",IF(AND(SUMIF(Capacity_Resource,$D140,'Critical resources (hide)'!BK$6:BK$105)+SUMIF(Capacity_Resource,$E140,'Critical resources (hide)'!BK$6:BK$105)+SUMIF(Capacity_Resource,$F140,'Critical resources (hide)'!BK$6:BK$105)&gt;0,$E$1=2),0,1),0)</f>
        <v>1</v>
      </c>
      <c r="AY140" s="67">
        <f ca="1">IF(LOWER(Capacity!$V45)="x",IF(AND(SUMIF(Capacity_Resource,$D140,'Critical resources (hide)'!BL$6:BL$105)+SUMIF(Capacity_Resource,$E140,'Critical resources (hide)'!BL$6:BL$105)+SUMIF(Capacity_Resource,$F140,'Critical resources (hide)'!BL$6:BL$105)&gt;0,$E$1=2),0,1),0)</f>
        <v>1</v>
      </c>
      <c r="AZ140" s="67">
        <f ca="1">IF(LOWER(Capacity!$V45)="x",IF(AND(SUMIF(Capacity_Resource,$D140,'Critical resources (hide)'!BM$6:BM$105)+SUMIF(Capacity_Resource,$E140,'Critical resources (hide)'!BM$6:BM$105)+SUMIF(Capacity_Resource,$F140,'Critical resources (hide)'!BM$6:BM$105)&gt;0,$E$1=2),0,1),0)</f>
        <v>1</v>
      </c>
      <c r="BA140" s="67">
        <f ca="1">IF(LOWER(Capacity!$V45)="x",IF(AND(SUMIF(Capacity_Resource,$D140,'Critical resources (hide)'!BN$6:BN$105)+SUMIF(Capacity_Resource,$E140,'Critical resources (hide)'!BN$6:BN$105)+SUMIF(Capacity_Resource,$F140,'Critical resources (hide)'!BN$6:BN$105)&gt;0,$E$1=2),0,1),0)</f>
        <v>1</v>
      </c>
      <c r="BB140" s="67">
        <f ca="1">IF(LOWER(Capacity!$V45)="x",IF(AND(SUMIF(Capacity_Resource,$D140,'Critical resources (hide)'!BO$6:BO$105)+SUMIF(Capacity_Resource,$E140,'Critical resources (hide)'!BO$6:BO$105)+SUMIF(Capacity_Resource,$F140,'Critical resources (hide)'!BO$6:BO$105)&gt;0,$E$1=2),0,1),0)</f>
        <v>1</v>
      </c>
      <c r="BC140" s="67">
        <f ca="1">IF(LOWER(Capacity!$V45)="x",IF(AND(SUMIF(Capacity_Resource,$D140,'Critical resources (hide)'!BP$6:BP$105)+SUMIF(Capacity_Resource,$E140,'Critical resources (hide)'!BP$6:BP$105)+SUMIF(Capacity_Resource,$F140,'Critical resources (hide)'!BP$6:BP$105)&gt;0,$E$1=2),0,1),0)</f>
        <v>1</v>
      </c>
      <c r="BD140" s="67">
        <f ca="1">IF(LOWER(Capacity!$V45)="x",IF(AND(SUMIF(Capacity_Resource,$D140,'Critical resources (hide)'!BQ$6:BQ$105)+SUMIF(Capacity_Resource,$E140,'Critical resources (hide)'!BQ$6:BQ$105)+SUMIF(Capacity_Resource,$F140,'Critical resources (hide)'!BQ$6:BQ$105)&gt;0,$E$1=2),0,1),0)</f>
        <v>1</v>
      </c>
      <c r="BE140" s="67">
        <f ca="1">IF(LOWER(Capacity!$V45)="x",IF(AND(SUMIF(Capacity_Resource,$D140,'Critical resources (hide)'!BR$6:BR$105)+SUMIF(Capacity_Resource,$E140,'Critical resources (hide)'!BR$6:BR$105)+SUMIF(Capacity_Resource,$F140,'Critical resources (hide)'!BR$6:BR$105)&gt;0,$E$1=2),0,1),0)</f>
        <v>1</v>
      </c>
      <c r="BF140" s="67">
        <f ca="1">IF(LOWER(Capacity!$V45)="x",IF(AND(SUMIF(Capacity_Resource,$D140,'Critical resources (hide)'!BS$6:BS$105)+SUMIF(Capacity_Resource,$E140,'Critical resources (hide)'!BS$6:BS$105)+SUMIF(Capacity_Resource,$F140,'Critical resources (hide)'!BS$6:BS$105)&gt;0,$E$1=2),0,1),0)</f>
        <v>1</v>
      </c>
      <c r="BG140" s="67">
        <f ca="1">IF(LOWER(Capacity!$V45)="x",IF(AND(SUMIF(Capacity_Resource,$D140,'Critical resources (hide)'!BT$6:BT$105)+SUMIF(Capacity_Resource,$E140,'Critical resources (hide)'!BT$6:BT$105)+SUMIF(Capacity_Resource,$F140,'Critical resources (hide)'!BT$6:BT$105)&gt;0,$E$1=2),0,1),0)</f>
        <v>1</v>
      </c>
      <c r="BH140" s="67">
        <f>IF(ROW(A29)&lt;=Capacity!$M$16,IF('Capacity summary'!$C$14="No",SUM(H140:BG140),'Capacity summary'!$E52),0)</f>
        <v>0</v>
      </c>
      <c r="BI140" s="67" t="str">
        <f>IF(BH140&gt;0,IF(BH140&lt;Capacity!Q45,Capacity!R45,Capacity!T45/'Capacity calculation (hide)'!BH140),"")</f>
        <v/>
      </c>
      <c r="BJ140" s="5"/>
      <c r="BK140" s="5">
        <f>IF($BI140&lt;&gt;"",IF('Capacity summary'!$C$14="Yes",IF(COUNTBLANK('Capacity summary'!$H52:$BG52)&lt;52,IF('Capacity summary'!H52&lt;&gt;"",IF(LOWER('Capacity summary'!H52)="x",$BI140*H140,VALUE('Capacity summary'!H52)),0),H140*$BI140),H140*$BI140),0)</f>
        <v>0</v>
      </c>
      <c r="BL140" s="5">
        <f>IF($BI140&lt;&gt;"",IF('Capacity summary'!$C$14="Yes",IF(COUNTBLANK('Capacity summary'!$H52:$BG52)&lt;52,IF('Capacity summary'!I52&lt;&gt;"",IF(LOWER('Capacity summary'!I52)="x",$BI140*I140,VALUE('Capacity summary'!I52)),0),I140*$BI140),I140*$BI140),0)</f>
        <v>0</v>
      </c>
      <c r="BM140" s="5">
        <f>IF($BI140&lt;&gt;"",IF('Capacity summary'!$C$14="Yes",IF(COUNTBLANK('Capacity summary'!$H52:$BG52)&lt;52,IF('Capacity summary'!J52&lt;&gt;"",IF(LOWER('Capacity summary'!J52)="x",$BI140*J140,VALUE('Capacity summary'!J52)),0),J140*$BI140),J140*$BI140),0)</f>
        <v>0</v>
      </c>
      <c r="BN140" s="5">
        <f>IF($BI140&lt;&gt;"",IF('Capacity summary'!$C$14="Yes",IF(COUNTBLANK('Capacity summary'!$H52:$BG52)&lt;52,IF('Capacity summary'!K52&lt;&gt;"",IF(LOWER('Capacity summary'!K52)="x",$BI140*K140,VALUE('Capacity summary'!K52)),0),K140*$BI140),K140*$BI140),0)</f>
        <v>0</v>
      </c>
      <c r="BO140" s="5">
        <f>IF($BI140&lt;&gt;"",IF('Capacity summary'!$C$14="Yes",IF(COUNTBLANK('Capacity summary'!$H52:$BG52)&lt;52,IF('Capacity summary'!L52&lt;&gt;"",IF(LOWER('Capacity summary'!L52)="x",$BI140*L140,VALUE('Capacity summary'!L52)),0),L140*$BI140),L140*$BI140),0)</f>
        <v>0</v>
      </c>
      <c r="BP140" s="5">
        <f>IF($BI140&lt;&gt;"",IF('Capacity summary'!$C$14="Yes",IF(COUNTBLANK('Capacity summary'!$H52:$BG52)&lt;52,IF('Capacity summary'!M52&lt;&gt;"",IF(LOWER('Capacity summary'!M52)="x",$BI140*M140,VALUE('Capacity summary'!M52)),0),M140*$BI140),M140*$BI140),0)</f>
        <v>0</v>
      </c>
      <c r="BQ140" s="5">
        <f>IF($BI140&lt;&gt;"",IF('Capacity summary'!$C$14="Yes",IF(COUNTBLANK('Capacity summary'!$H52:$BG52)&lt;52,IF('Capacity summary'!N52&lt;&gt;"",IF(LOWER('Capacity summary'!N52)="x",$BI140*N140,VALUE('Capacity summary'!N52)),0),N140*$BI140),N140*$BI140),0)</f>
        <v>0</v>
      </c>
      <c r="BR140" s="5">
        <f>IF($BI140&lt;&gt;"",IF('Capacity summary'!$C$14="Yes",IF(COUNTBLANK('Capacity summary'!$H52:$BG52)&lt;52,IF('Capacity summary'!O52&lt;&gt;"",IF(LOWER('Capacity summary'!O52)="x",$BI140*O140,VALUE('Capacity summary'!O52)),0),O140*$BI140),O140*$BI140),0)</f>
        <v>0</v>
      </c>
      <c r="BS140" s="5">
        <f>IF($BI140&lt;&gt;"",IF('Capacity summary'!$C$14="Yes",IF(COUNTBLANK('Capacity summary'!$H52:$BG52)&lt;52,IF('Capacity summary'!P52&lt;&gt;"",IF(LOWER('Capacity summary'!P52)="x",$BI140*P140,VALUE('Capacity summary'!P52)),0),P140*$BI140),P140*$BI140),0)</f>
        <v>0</v>
      </c>
      <c r="BT140" s="5">
        <f>IF($BI140&lt;&gt;"",IF('Capacity summary'!$C$14="Yes",IF(COUNTBLANK('Capacity summary'!$H52:$BG52)&lt;52,IF('Capacity summary'!Q52&lt;&gt;"",IF(LOWER('Capacity summary'!Q52)="x",$BI140*Q140,VALUE('Capacity summary'!Q52)),0),Q140*$BI140),Q140*$BI140),0)</f>
        <v>0</v>
      </c>
      <c r="BU140" s="5">
        <f>IF($BI140&lt;&gt;"",IF('Capacity summary'!$C$14="Yes",IF(COUNTBLANK('Capacity summary'!$H52:$BG52)&lt;52,IF('Capacity summary'!R52&lt;&gt;"",IF(LOWER('Capacity summary'!R52)="x",$BI140*R140,VALUE('Capacity summary'!R52)),0),R140*$BI140),R140*$BI140),0)</f>
        <v>0</v>
      </c>
      <c r="BV140" s="5">
        <f>IF($BI140&lt;&gt;"",IF('Capacity summary'!$C$14="Yes",IF(COUNTBLANK('Capacity summary'!$H52:$BG52)&lt;52,IF('Capacity summary'!S52&lt;&gt;"",IF(LOWER('Capacity summary'!S52)="x",$BI140*S140,VALUE('Capacity summary'!S52)),0),S140*$BI140),S140*$BI140),0)</f>
        <v>0</v>
      </c>
      <c r="BW140" s="5">
        <f>IF($BI140&lt;&gt;"",IF('Capacity summary'!$C$14="Yes",IF(COUNTBLANK('Capacity summary'!$H52:$BG52)&lt;52,IF('Capacity summary'!T52&lt;&gt;"",IF(LOWER('Capacity summary'!T52)="x",$BI140*T140,VALUE('Capacity summary'!T52)),0),T140*$BI140),T140*$BI140),0)</f>
        <v>0</v>
      </c>
      <c r="BX140" s="5">
        <f>IF($BI140&lt;&gt;"",IF('Capacity summary'!$C$14="Yes",IF(COUNTBLANK('Capacity summary'!$H52:$BG52)&lt;52,IF('Capacity summary'!U52&lt;&gt;"",IF(LOWER('Capacity summary'!U52)="x",$BI140*U140,VALUE('Capacity summary'!U52)),0),U140*$BI140),U140*$BI140),0)</f>
        <v>0</v>
      </c>
      <c r="BY140" s="5">
        <f>IF($BI140&lt;&gt;"",IF('Capacity summary'!$C$14="Yes",IF(COUNTBLANK('Capacity summary'!$H52:$BG52)&lt;52,IF('Capacity summary'!V52&lt;&gt;"",IF(LOWER('Capacity summary'!V52)="x",$BI140*V140,VALUE('Capacity summary'!V52)),0),V140*$BI140),V140*$BI140),0)</f>
        <v>0</v>
      </c>
      <c r="BZ140" s="5">
        <f>IF($BI140&lt;&gt;"",IF('Capacity summary'!$C$14="Yes",IF(COUNTBLANK('Capacity summary'!$H52:$BG52)&lt;52,IF('Capacity summary'!W52&lt;&gt;"",IF(LOWER('Capacity summary'!W52)="x",$BI140*W140,VALUE('Capacity summary'!W52)),0),W140*$BI140),W140*$BI140),0)</f>
        <v>0</v>
      </c>
      <c r="CA140" s="5">
        <f>IF($BI140&lt;&gt;"",IF('Capacity summary'!$C$14="Yes",IF(COUNTBLANK('Capacity summary'!$H52:$BG52)&lt;52,IF('Capacity summary'!X52&lt;&gt;"",IF(LOWER('Capacity summary'!X52)="x",$BI140*X140,VALUE('Capacity summary'!X52)),0),X140*$BI140),X140*$BI140),0)</f>
        <v>0</v>
      </c>
      <c r="CB140" s="5">
        <f>IF($BI140&lt;&gt;"",IF('Capacity summary'!$C$14="Yes",IF(COUNTBLANK('Capacity summary'!$H52:$BG52)&lt;52,IF('Capacity summary'!Y52&lt;&gt;"",IF(LOWER('Capacity summary'!Y52)="x",$BI140*Y140,VALUE('Capacity summary'!Y52)),0),Y140*$BI140),Y140*$BI140),0)</f>
        <v>0</v>
      </c>
      <c r="CC140" s="5">
        <f>IF($BI140&lt;&gt;"",IF('Capacity summary'!$C$14="Yes",IF(COUNTBLANK('Capacity summary'!$H52:$BG52)&lt;52,IF('Capacity summary'!Z52&lt;&gt;"",IF(LOWER('Capacity summary'!Z52)="x",$BI140*Z140,VALUE('Capacity summary'!Z52)),0),Z140*$BI140),Z140*$BI140),0)</f>
        <v>0</v>
      </c>
      <c r="CD140" s="5">
        <f>IF($BI140&lt;&gt;"",IF('Capacity summary'!$C$14="Yes",IF(COUNTBLANK('Capacity summary'!$H52:$BG52)&lt;52,IF('Capacity summary'!AA52&lt;&gt;"",IF(LOWER('Capacity summary'!AA52)="x",$BI140*AA140,VALUE('Capacity summary'!AA52)),0),AA140*$BI140),AA140*$BI140),0)</f>
        <v>0</v>
      </c>
      <c r="CE140" s="5">
        <f>IF($BI140&lt;&gt;"",IF('Capacity summary'!$C$14="Yes",IF(COUNTBLANK('Capacity summary'!$H52:$BG52)&lt;52,IF('Capacity summary'!AB52&lt;&gt;"",IF(LOWER('Capacity summary'!AB52)="x",$BI140*AB140,VALUE('Capacity summary'!AB52)),0),AB140*$BI140),AB140*$BI140),0)</f>
        <v>0</v>
      </c>
      <c r="CF140" s="5">
        <f>IF($BI140&lt;&gt;"",IF('Capacity summary'!$C$14="Yes",IF(COUNTBLANK('Capacity summary'!$H52:$BG52)&lt;52,IF('Capacity summary'!AC52&lt;&gt;"",IF(LOWER('Capacity summary'!AC52)="x",$BI140*AC140,VALUE('Capacity summary'!AC52)),0),AC140*$BI140),AC140*$BI140),0)</f>
        <v>0</v>
      </c>
      <c r="CG140" s="5">
        <f>IF($BI140&lt;&gt;"",IF('Capacity summary'!$C$14="Yes",IF(COUNTBLANK('Capacity summary'!$H52:$BG52)&lt;52,IF('Capacity summary'!AD52&lt;&gt;"",IF(LOWER('Capacity summary'!AD52)="x",$BI140*AD140,VALUE('Capacity summary'!AD52)),0),AD140*$BI140),AD140*$BI140),0)</f>
        <v>0</v>
      </c>
      <c r="CH140" s="5">
        <f>IF($BI140&lt;&gt;"",IF('Capacity summary'!$C$14="Yes",IF(COUNTBLANK('Capacity summary'!$H52:$BG52)&lt;52,IF('Capacity summary'!AE52&lt;&gt;"",IF(LOWER('Capacity summary'!AE52)="x",$BI140*AE140,VALUE('Capacity summary'!AE52)),0),AE140*$BI140),AE140*$BI140),0)</f>
        <v>0</v>
      </c>
      <c r="CI140" s="5">
        <f>IF($BI140&lt;&gt;"",IF('Capacity summary'!$C$14="Yes",IF(COUNTBLANK('Capacity summary'!$H52:$BG52)&lt;52,IF('Capacity summary'!AF52&lt;&gt;"",IF(LOWER('Capacity summary'!AF52)="x",$BI140*AF140,VALUE('Capacity summary'!AF52)),0),AF140*$BI140),AF140*$BI140),0)</f>
        <v>0</v>
      </c>
      <c r="CJ140" s="5">
        <f>IF($BI140&lt;&gt;"",IF('Capacity summary'!$C$14="Yes",IF(COUNTBLANK('Capacity summary'!$H52:$BG52)&lt;52,IF('Capacity summary'!AG52&lt;&gt;"",IF(LOWER('Capacity summary'!AG52)="x",$BI140*AG140,VALUE('Capacity summary'!AG52)),0),AG140*$BI140),AG140*$BI140),0)</f>
        <v>0</v>
      </c>
      <c r="CK140" s="5">
        <f>IF($BI140&lt;&gt;"",IF('Capacity summary'!$C$14="Yes",IF(COUNTBLANK('Capacity summary'!$H52:$BG52)&lt;52,IF('Capacity summary'!AH52&lt;&gt;"",IF(LOWER('Capacity summary'!AH52)="x",$BI140*AH140,VALUE('Capacity summary'!AH52)),0),AH140*$BI140),AH140*$BI140),0)</f>
        <v>0</v>
      </c>
      <c r="CL140" s="5">
        <f>IF($BI140&lt;&gt;"",IF('Capacity summary'!$C$14="Yes",IF(COUNTBLANK('Capacity summary'!$H52:$BG52)&lt;52,IF('Capacity summary'!AI52&lt;&gt;"",IF(LOWER('Capacity summary'!AI52)="x",$BI140*AI140,VALUE('Capacity summary'!AI52)),0),AI140*$BI140),AI140*$BI140),0)</f>
        <v>0</v>
      </c>
      <c r="CM140" s="5">
        <f>IF($BI140&lt;&gt;"",IF('Capacity summary'!$C$14="Yes",IF(COUNTBLANK('Capacity summary'!$H52:$BG52)&lt;52,IF('Capacity summary'!AJ52&lt;&gt;"",IF(LOWER('Capacity summary'!AJ52)="x",$BI140*AJ140,VALUE('Capacity summary'!AJ52)),0),AJ140*$BI140),AJ140*$BI140),0)</f>
        <v>0</v>
      </c>
      <c r="CN140" s="5">
        <f>IF($BI140&lt;&gt;"",IF('Capacity summary'!$C$14="Yes",IF(COUNTBLANK('Capacity summary'!$H52:$BG52)&lt;52,IF('Capacity summary'!AK52&lt;&gt;"",IF(LOWER('Capacity summary'!AK52)="x",$BI140*AK140,VALUE('Capacity summary'!AK52)),0),AK140*$BI140),AK140*$BI140),0)</f>
        <v>0</v>
      </c>
      <c r="CO140" s="5">
        <f>IF($BI140&lt;&gt;"",IF('Capacity summary'!$C$14="Yes",IF(COUNTBLANK('Capacity summary'!$H52:$BG52)&lt;52,IF('Capacity summary'!AL52&lt;&gt;"",IF(LOWER('Capacity summary'!AL52)="x",$BI140*AL140,VALUE('Capacity summary'!AL52)),0),AL140*$BI140),AL140*$BI140),0)</f>
        <v>0</v>
      </c>
      <c r="CP140" s="5">
        <f>IF($BI140&lt;&gt;"",IF('Capacity summary'!$C$14="Yes",IF(COUNTBLANK('Capacity summary'!$H52:$BG52)&lt;52,IF('Capacity summary'!AM52&lt;&gt;"",IF(LOWER('Capacity summary'!AM52)="x",$BI140*AM140,VALUE('Capacity summary'!AM52)),0),AM140*$BI140),AM140*$BI140),0)</f>
        <v>0</v>
      </c>
      <c r="CQ140" s="5">
        <f>IF($BI140&lt;&gt;"",IF('Capacity summary'!$C$14="Yes",IF(COUNTBLANK('Capacity summary'!$H52:$BG52)&lt;52,IF('Capacity summary'!AN52&lt;&gt;"",IF(LOWER('Capacity summary'!AN52)="x",$BI140*AN140,VALUE('Capacity summary'!AN52)),0),AN140*$BI140),AN140*$BI140),0)</f>
        <v>0</v>
      </c>
      <c r="CR140" s="5">
        <f>IF($BI140&lt;&gt;"",IF('Capacity summary'!$C$14="Yes",IF(COUNTBLANK('Capacity summary'!$H52:$BG52)&lt;52,IF('Capacity summary'!AO52&lt;&gt;"",IF(LOWER('Capacity summary'!AO52)="x",$BI140*AO140,VALUE('Capacity summary'!AO52)),0),AO140*$BI140),AO140*$BI140),0)</f>
        <v>0</v>
      </c>
      <c r="CS140" s="5">
        <f>IF($BI140&lt;&gt;"",IF('Capacity summary'!$C$14="Yes",IF(COUNTBLANK('Capacity summary'!$H52:$BG52)&lt;52,IF('Capacity summary'!AP52&lt;&gt;"",IF(LOWER('Capacity summary'!AP52)="x",$BI140*AP140,VALUE('Capacity summary'!AP52)),0),AP140*$BI140),AP140*$BI140),0)</f>
        <v>0</v>
      </c>
      <c r="CT140" s="5">
        <f>IF($BI140&lt;&gt;"",IF('Capacity summary'!$C$14="Yes",IF(COUNTBLANK('Capacity summary'!$H52:$BG52)&lt;52,IF('Capacity summary'!AQ52&lt;&gt;"",IF(LOWER('Capacity summary'!AQ52)="x",$BI140*AQ140,VALUE('Capacity summary'!AQ52)),0),AQ140*$BI140),AQ140*$BI140),0)</f>
        <v>0</v>
      </c>
      <c r="CU140" s="5">
        <f>IF($BI140&lt;&gt;"",IF('Capacity summary'!$C$14="Yes",IF(COUNTBLANK('Capacity summary'!$H52:$BG52)&lt;52,IF('Capacity summary'!AR52&lt;&gt;"",IF(LOWER('Capacity summary'!AR52)="x",$BI140*AR140,VALUE('Capacity summary'!AR52)),0),AR140*$BI140),AR140*$BI140),0)</f>
        <v>0</v>
      </c>
      <c r="CV140" s="5">
        <f>IF($BI140&lt;&gt;"",IF('Capacity summary'!$C$14="Yes",IF(COUNTBLANK('Capacity summary'!$H52:$BG52)&lt;52,IF('Capacity summary'!AS52&lt;&gt;"",IF(LOWER('Capacity summary'!AS52)="x",$BI140*AS140,VALUE('Capacity summary'!AS52)),0),AS140*$BI140),AS140*$BI140),0)</f>
        <v>0</v>
      </c>
      <c r="CW140" s="5">
        <f>IF($BI140&lt;&gt;"",IF('Capacity summary'!$C$14="Yes",IF(COUNTBLANK('Capacity summary'!$H52:$BG52)&lt;52,IF('Capacity summary'!AT52&lt;&gt;"",IF(LOWER('Capacity summary'!AT52)="x",$BI140*AT140,VALUE('Capacity summary'!AT52)),0),AT140*$BI140),AT140*$BI140),0)</f>
        <v>0</v>
      </c>
      <c r="CX140" s="5">
        <f>IF($BI140&lt;&gt;"",IF('Capacity summary'!$C$14="Yes",IF(COUNTBLANK('Capacity summary'!$H52:$BG52)&lt;52,IF('Capacity summary'!AU52&lt;&gt;"",IF(LOWER('Capacity summary'!AU52)="x",$BI140*AU140,VALUE('Capacity summary'!AU52)),0),AU140*$BI140),AU140*$BI140),0)</f>
        <v>0</v>
      </c>
      <c r="CY140" s="5">
        <f>IF($BI140&lt;&gt;"",IF('Capacity summary'!$C$14="Yes",IF(COUNTBLANK('Capacity summary'!$H52:$BG52)&lt;52,IF('Capacity summary'!AV52&lt;&gt;"",IF(LOWER('Capacity summary'!AV52)="x",$BI140*AV140,VALUE('Capacity summary'!AV52)),0),AV140*$BI140),AV140*$BI140),0)</f>
        <v>0</v>
      </c>
      <c r="CZ140" s="5">
        <f>IF($BI140&lt;&gt;"",IF('Capacity summary'!$C$14="Yes",IF(COUNTBLANK('Capacity summary'!$H52:$BG52)&lt;52,IF('Capacity summary'!AW52&lt;&gt;"",IF(LOWER('Capacity summary'!AW52)="x",$BI140*AW140,VALUE('Capacity summary'!AW52)),0),AW140*$BI140),AW140*$BI140),0)</f>
        <v>0</v>
      </c>
      <c r="DA140" s="5">
        <f>IF($BI140&lt;&gt;"",IF('Capacity summary'!$C$14="Yes",IF(COUNTBLANK('Capacity summary'!$H52:$BG52)&lt;52,IF('Capacity summary'!AX52&lt;&gt;"",IF(LOWER('Capacity summary'!AX52)="x",$BI140*AX140,VALUE('Capacity summary'!AX52)),0),AX140*$BI140),AX140*$BI140),0)</f>
        <v>0</v>
      </c>
      <c r="DB140" s="5">
        <f>IF($BI140&lt;&gt;"",IF('Capacity summary'!$C$14="Yes",IF(COUNTBLANK('Capacity summary'!$H52:$BG52)&lt;52,IF('Capacity summary'!AY52&lt;&gt;"",IF(LOWER('Capacity summary'!AY52)="x",$BI140*AY140,VALUE('Capacity summary'!AY52)),0),AY140*$BI140),AY140*$BI140),0)</f>
        <v>0</v>
      </c>
      <c r="DC140" s="5">
        <f>IF($BI140&lt;&gt;"",IF('Capacity summary'!$C$14="Yes",IF(COUNTBLANK('Capacity summary'!$H52:$BG52)&lt;52,IF('Capacity summary'!AZ52&lt;&gt;"",IF(LOWER('Capacity summary'!AZ52)="x",$BI140*AZ140,VALUE('Capacity summary'!AZ52)),0),AZ140*$BI140),AZ140*$BI140),0)</f>
        <v>0</v>
      </c>
      <c r="DD140" s="5">
        <f>IF($BI140&lt;&gt;"",IF('Capacity summary'!$C$14="Yes",IF(COUNTBLANK('Capacity summary'!$H52:$BG52)&lt;52,IF('Capacity summary'!BA52&lt;&gt;"",IF(LOWER('Capacity summary'!BA52)="x",$BI140*BA140,VALUE('Capacity summary'!BA52)),0),BA140*$BI140),BA140*$BI140),0)</f>
        <v>0</v>
      </c>
      <c r="DE140" s="5">
        <f>IF($BI140&lt;&gt;"",IF('Capacity summary'!$C$14="Yes",IF(COUNTBLANK('Capacity summary'!$H52:$BG52)&lt;52,IF('Capacity summary'!BB52&lt;&gt;"",IF(LOWER('Capacity summary'!BB52)="x",$BI140*BB140,VALUE('Capacity summary'!BB52)),0),BB140*$BI140),BB140*$BI140),0)</f>
        <v>0</v>
      </c>
      <c r="DF140" s="5">
        <f>IF($BI140&lt;&gt;"",IF('Capacity summary'!$C$14="Yes",IF(COUNTBLANK('Capacity summary'!$H52:$BG52)&lt;52,IF('Capacity summary'!BC52&lt;&gt;"",IF(LOWER('Capacity summary'!BC52)="x",$BI140*BC140,VALUE('Capacity summary'!BC52)),0),BC140*$BI140),BC140*$BI140),0)</f>
        <v>0</v>
      </c>
      <c r="DG140" s="5">
        <f>IF($BI140&lt;&gt;"",IF('Capacity summary'!$C$14="Yes",IF(COUNTBLANK('Capacity summary'!$H52:$BG52)&lt;52,IF('Capacity summary'!BD52&lt;&gt;"",IF(LOWER('Capacity summary'!BD52)="x",$BI140*BD140,VALUE('Capacity summary'!BD52)),0),BD140*$BI140),BD140*$BI140),0)</f>
        <v>0</v>
      </c>
      <c r="DH140" s="5">
        <f>IF($BI140&lt;&gt;"",IF('Capacity summary'!$C$14="Yes",IF(COUNTBLANK('Capacity summary'!$H52:$BG52)&lt;52,IF('Capacity summary'!BE52&lt;&gt;"",IF(LOWER('Capacity summary'!BE52)="x",$BI140*BE140,VALUE('Capacity summary'!BE52)),0),BE140*$BI140),BE140*$BI140),0)</f>
        <v>0</v>
      </c>
      <c r="DI140" s="5">
        <f>IF($BI140&lt;&gt;"",IF('Capacity summary'!$C$14="Yes",IF(COUNTBLANK('Capacity summary'!$H52:$BG52)&lt;52,IF('Capacity summary'!BF52&lt;&gt;"",IF(LOWER('Capacity summary'!BF52)="x",$BI140*BF140,VALUE('Capacity summary'!BF52)),0),BF140*$BI140),BF140*$BI140),0)</f>
        <v>0</v>
      </c>
      <c r="DJ140" s="5">
        <f>IF($BI140&lt;&gt;"",IF('Capacity summary'!$C$14="Yes",IF(COUNTBLANK('Capacity summary'!$H52:$BG52)&lt;52,IF('Capacity summary'!BG52&lt;&gt;"",IF(LOWER('Capacity summary'!BG52)="x",$BI140*BG140,VALUE('Capacity summary'!BG52)),0),BG140*$BI140),BG140*$BI140),0)</f>
        <v>0</v>
      </c>
      <c r="DK140" s="391">
        <f t="shared" si="8"/>
        <v>0</v>
      </c>
      <c r="DL140" s="5">
        <f t="shared" si="9"/>
        <v>0</v>
      </c>
    </row>
    <row r="141" spans="3:116" x14ac:dyDescent="0.2">
      <c r="C141" s="67" t="str">
        <f>ROW(A30)&amp;". "&amp;Capacity!N46</f>
        <v xml:space="preserve">30. </v>
      </c>
      <c r="D141" s="67">
        <f>'Capacity setup'!C147</f>
        <v>0</v>
      </c>
      <c r="E141" s="67">
        <f>'Capacity setup'!D147</f>
        <v>0</v>
      </c>
      <c r="F141" s="67">
        <f>'Capacity setup'!E147</f>
        <v>0</v>
      </c>
      <c r="H141" s="67">
        <f ca="1">IF(LOWER(Capacity!$V46)="x",IF(AND(SUMIF(Capacity_Resource,$D141,'Critical resources (hide)'!U$6:U$105)+SUMIF(Capacity_Resource,$E141,'Critical resources (hide)'!U$6:U$105)+SUMIF(Capacity_Resource,$F141,'Critical resources (hide)'!U$6:U$105)&gt;0,$E$1=2),0,1),0)</f>
        <v>1</v>
      </c>
      <c r="I141" s="67">
        <f ca="1">IF(LOWER(Capacity!$V46)="x",IF(AND(SUMIF(Capacity_Resource,$D141,'Critical resources (hide)'!V$6:V$105)+SUMIF(Capacity_Resource,$E141,'Critical resources (hide)'!V$6:V$105)+SUMIF(Capacity_Resource,$F141,'Critical resources (hide)'!V$6:V$105)&gt;0,$E$1=2),0,1),0)</f>
        <v>1</v>
      </c>
      <c r="J141" s="67">
        <f ca="1">IF(LOWER(Capacity!$V46)="x",IF(AND(SUMIF(Capacity_Resource,$D141,'Critical resources (hide)'!W$6:W$105)+SUMIF(Capacity_Resource,$E141,'Critical resources (hide)'!W$6:W$105)+SUMIF(Capacity_Resource,$F141,'Critical resources (hide)'!W$6:W$105)&gt;0,$E$1=2),0,1),0)</f>
        <v>1</v>
      </c>
      <c r="K141" s="67">
        <f ca="1">IF(LOWER(Capacity!$V46)="x",IF(AND(SUMIF(Capacity_Resource,$D141,'Critical resources (hide)'!X$6:X$105)+SUMIF(Capacity_Resource,$E141,'Critical resources (hide)'!X$6:X$105)+SUMIF(Capacity_Resource,$F141,'Critical resources (hide)'!X$6:X$105)&gt;0,$E$1=2),0,1),0)</f>
        <v>1</v>
      </c>
      <c r="L141" s="67">
        <f ca="1">IF(LOWER(Capacity!$V46)="x",IF(AND(SUMIF(Capacity_Resource,$D141,'Critical resources (hide)'!Y$6:Y$105)+SUMIF(Capacity_Resource,$E141,'Critical resources (hide)'!Y$6:Y$105)+SUMIF(Capacity_Resource,$F141,'Critical resources (hide)'!Y$6:Y$105)&gt;0,$E$1=2),0,1),0)</f>
        <v>1</v>
      </c>
      <c r="M141" s="67">
        <f ca="1">IF(LOWER(Capacity!$V46)="x",IF(AND(SUMIF(Capacity_Resource,$D141,'Critical resources (hide)'!Z$6:Z$105)+SUMIF(Capacity_Resource,$E141,'Critical resources (hide)'!Z$6:Z$105)+SUMIF(Capacity_Resource,$F141,'Critical resources (hide)'!Z$6:Z$105)&gt;0,$E$1=2),0,1),0)</f>
        <v>1</v>
      </c>
      <c r="N141" s="67">
        <f ca="1">IF(LOWER(Capacity!$V46)="x",IF(AND(SUMIF(Capacity_Resource,$D141,'Critical resources (hide)'!AA$6:AA$105)+SUMIF(Capacity_Resource,$E141,'Critical resources (hide)'!AA$6:AA$105)+SUMIF(Capacity_Resource,$F141,'Critical resources (hide)'!AA$6:AA$105)&gt;0,$E$1=2),0,1),0)</f>
        <v>1</v>
      </c>
      <c r="O141" s="67">
        <f ca="1">IF(LOWER(Capacity!$V46)="x",IF(AND(SUMIF(Capacity_Resource,$D141,'Critical resources (hide)'!AB$6:AB$105)+SUMIF(Capacity_Resource,$E141,'Critical resources (hide)'!AB$6:AB$105)+SUMIF(Capacity_Resource,$F141,'Critical resources (hide)'!AB$6:AB$105)&gt;0,$E$1=2),0,1),0)</f>
        <v>1</v>
      </c>
      <c r="P141" s="67">
        <f ca="1">IF(LOWER(Capacity!$V46)="x",IF(AND(SUMIF(Capacity_Resource,$D141,'Critical resources (hide)'!AC$6:AC$105)+SUMIF(Capacity_Resource,$E141,'Critical resources (hide)'!AC$6:AC$105)+SUMIF(Capacity_Resource,$F141,'Critical resources (hide)'!AC$6:AC$105)&gt;0,$E$1=2),0,1),0)</f>
        <v>1</v>
      </c>
      <c r="Q141" s="67">
        <f ca="1">IF(LOWER(Capacity!$V46)="x",IF(AND(SUMIF(Capacity_Resource,$D141,'Critical resources (hide)'!AD$6:AD$105)+SUMIF(Capacity_Resource,$E141,'Critical resources (hide)'!AD$6:AD$105)+SUMIF(Capacity_Resource,$F141,'Critical resources (hide)'!AD$6:AD$105)&gt;0,$E$1=2),0,1),0)</f>
        <v>1</v>
      </c>
      <c r="R141" s="67">
        <f ca="1">IF(LOWER(Capacity!$V46)="x",IF(AND(SUMIF(Capacity_Resource,$D141,'Critical resources (hide)'!AE$6:AE$105)+SUMIF(Capacity_Resource,$E141,'Critical resources (hide)'!AE$6:AE$105)+SUMIF(Capacity_Resource,$F141,'Critical resources (hide)'!AE$6:AE$105)&gt;0,$E$1=2),0,1),0)</f>
        <v>1</v>
      </c>
      <c r="S141" s="67">
        <f ca="1">IF(LOWER(Capacity!$V46)="x",IF(AND(SUMIF(Capacity_Resource,$D141,'Critical resources (hide)'!AF$6:AF$105)+SUMIF(Capacity_Resource,$E141,'Critical resources (hide)'!AF$6:AF$105)+SUMIF(Capacity_Resource,$F141,'Critical resources (hide)'!AF$6:AF$105)&gt;0,$E$1=2),0,1),0)</f>
        <v>1</v>
      </c>
      <c r="T141" s="67">
        <f ca="1">IF(LOWER(Capacity!$V46)="x",IF(AND(SUMIF(Capacity_Resource,$D141,'Critical resources (hide)'!AG$6:AG$105)+SUMIF(Capacity_Resource,$E141,'Critical resources (hide)'!AG$6:AG$105)+SUMIF(Capacity_Resource,$F141,'Critical resources (hide)'!AG$6:AG$105)&gt;0,$E$1=2),0,1),0)</f>
        <v>1</v>
      </c>
      <c r="U141" s="67">
        <f ca="1">IF(LOWER(Capacity!$V46)="x",IF(AND(SUMIF(Capacity_Resource,$D141,'Critical resources (hide)'!AH$6:AH$105)+SUMIF(Capacity_Resource,$E141,'Critical resources (hide)'!AH$6:AH$105)+SUMIF(Capacity_Resource,$F141,'Critical resources (hide)'!AH$6:AH$105)&gt;0,$E$1=2),0,1),0)</f>
        <v>1</v>
      </c>
      <c r="V141" s="67">
        <f ca="1">IF(LOWER(Capacity!$V46)="x",IF(AND(SUMIF(Capacity_Resource,$D141,'Critical resources (hide)'!AI$6:AI$105)+SUMIF(Capacity_Resource,$E141,'Critical resources (hide)'!AI$6:AI$105)+SUMIF(Capacity_Resource,$F141,'Critical resources (hide)'!AI$6:AI$105)&gt;0,$E$1=2),0,1),0)</f>
        <v>1</v>
      </c>
      <c r="W141" s="67">
        <f ca="1">IF(LOWER(Capacity!$V46)="x",IF(AND(SUMIF(Capacity_Resource,$D141,'Critical resources (hide)'!AJ$6:AJ$105)+SUMIF(Capacity_Resource,$E141,'Critical resources (hide)'!AJ$6:AJ$105)+SUMIF(Capacity_Resource,$F141,'Critical resources (hide)'!AJ$6:AJ$105)&gt;0,$E$1=2),0,1),0)</f>
        <v>1</v>
      </c>
      <c r="X141" s="67">
        <f ca="1">IF(LOWER(Capacity!$V46)="x",IF(AND(SUMIF(Capacity_Resource,$D141,'Critical resources (hide)'!AK$6:AK$105)+SUMIF(Capacity_Resource,$E141,'Critical resources (hide)'!AK$6:AK$105)+SUMIF(Capacity_Resource,$F141,'Critical resources (hide)'!AK$6:AK$105)&gt;0,$E$1=2),0,1),0)</f>
        <v>1</v>
      </c>
      <c r="Y141" s="67">
        <f ca="1">IF(LOWER(Capacity!$V46)="x",IF(AND(SUMIF(Capacity_Resource,$D141,'Critical resources (hide)'!AL$6:AL$105)+SUMIF(Capacity_Resource,$E141,'Critical resources (hide)'!AL$6:AL$105)+SUMIF(Capacity_Resource,$F141,'Critical resources (hide)'!AL$6:AL$105)&gt;0,$E$1=2),0,1),0)</f>
        <v>1</v>
      </c>
      <c r="Z141" s="67">
        <f ca="1">IF(LOWER(Capacity!$V46)="x",IF(AND(SUMIF(Capacity_Resource,$D141,'Critical resources (hide)'!AM$6:AM$105)+SUMIF(Capacity_Resource,$E141,'Critical resources (hide)'!AM$6:AM$105)+SUMIF(Capacity_Resource,$F141,'Critical resources (hide)'!AM$6:AM$105)&gt;0,$E$1=2),0,1),0)</f>
        <v>1</v>
      </c>
      <c r="AA141" s="67">
        <f ca="1">IF(LOWER(Capacity!$V46)="x",IF(AND(SUMIF(Capacity_Resource,$D141,'Critical resources (hide)'!AN$6:AN$105)+SUMIF(Capacity_Resource,$E141,'Critical resources (hide)'!AN$6:AN$105)+SUMIF(Capacity_Resource,$F141,'Critical resources (hide)'!AN$6:AN$105)&gt;0,$E$1=2),0,1),0)</f>
        <v>1</v>
      </c>
      <c r="AB141" s="67">
        <f ca="1">IF(LOWER(Capacity!$V46)="x",IF(AND(SUMIF(Capacity_Resource,$D141,'Critical resources (hide)'!AO$6:AO$105)+SUMIF(Capacity_Resource,$E141,'Critical resources (hide)'!AO$6:AO$105)+SUMIF(Capacity_Resource,$F141,'Critical resources (hide)'!AO$6:AO$105)&gt;0,$E$1=2),0,1),0)</f>
        <v>1</v>
      </c>
      <c r="AC141" s="67">
        <f ca="1">IF(LOWER(Capacity!$V46)="x",IF(AND(SUMIF(Capacity_Resource,$D141,'Critical resources (hide)'!AP$6:AP$105)+SUMIF(Capacity_Resource,$E141,'Critical resources (hide)'!AP$6:AP$105)+SUMIF(Capacity_Resource,$F141,'Critical resources (hide)'!AP$6:AP$105)&gt;0,$E$1=2),0,1),0)</f>
        <v>1</v>
      </c>
      <c r="AD141" s="67">
        <f ca="1">IF(LOWER(Capacity!$V46)="x",IF(AND(SUMIF(Capacity_Resource,$D141,'Critical resources (hide)'!AQ$6:AQ$105)+SUMIF(Capacity_Resource,$E141,'Critical resources (hide)'!AQ$6:AQ$105)+SUMIF(Capacity_Resource,$F141,'Critical resources (hide)'!AQ$6:AQ$105)&gt;0,$E$1=2),0,1),0)</f>
        <v>1</v>
      </c>
      <c r="AE141" s="67">
        <f ca="1">IF(LOWER(Capacity!$V46)="x",IF(AND(SUMIF(Capacity_Resource,$D141,'Critical resources (hide)'!AR$6:AR$105)+SUMIF(Capacity_Resource,$E141,'Critical resources (hide)'!AR$6:AR$105)+SUMIF(Capacity_Resource,$F141,'Critical resources (hide)'!AR$6:AR$105)&gt;0,$E$1=2),0,1),0)</f>
        <v>1</v>
      </c>
      <c r="AF141" s="67">
        <f ca="1">IF(LOWER(Capacity!$V46)="x",IF(AND(SUMIF(Capacity_Resource,$D141,'Critical resources (hide)'!AS$6:AS$105)+SUMIF(Capacity_Resource,$E141,'Critical resources (hide)'!AS$6:AS$105)+SUMIF(Capacity_Resource,$F141,'Critical resources (hide)'!AS$6:AS$105)&gt;0,$E$1=2),0,1),0)</f>
        <v>1</v>
      </c>
      <c r="AG141" s="67">
        <f ca="1">IF(LOWER(Capacity!$V46)="x",IF(AND(SUMIF(Capacity_Resource,$D141,'Critical resources (hide)'!AT$6:AT$105)+SUMIF(Capacity_Resource,$E141,'Critical resources (hide)'!AT$6:AT$105)+SUMIF(Capacity_Resource,$F141,'Critical resources (hide)'!AT$6:AT$105)&gt;0,$E$1=2),0,1),0)</f>
        <v>1</v>
      </c>
      <c r="AH141" s="67">
        <f ca="1">IF(LOWER(Capacity!$V46)="x",IF(AND(SUMIF(Capacity_Resource,$D141,'Critical resources (hide)'!AU$6:AU$105)+SUMIF(Capacity_Resource,$E141,'Critical resources (hide)'!AU$6:AU$105)+SUMIF(Capacity_Resource,$F141,'Critical resources (hide)'!AU$6:AU$105)&gt;0,$E$1=2),0,1),0)</f>
        <v>1</v>
      </c>
      <c r="AI141" s="67">
        <f ca="1">IF(LOWER(Capacity!$V46)="x",IF(AND(SUMIF(Capacity_Resource,$D141,'Critical resources (hide)'!AV$6:AV$105)+SUMIF(Capacity_Resource,$E141,'Critical resources (hide)'!AV$6:AV$105)+SUMIF(Capacity_Resource,$F141,'Critical resources (hide)'!AV$6:AV$105)&gt;0,$E$1=2),0,1),0)</f>
        <v>1</v>
      </c>
      <c r="AJ141" s="67">
        <f ca="1">IF(LOWER(Capacity!$V46)="x",IF(AND(SUMIF(Capacity_Resource,$D141,'Critical resources (hide)'!AW$6:AW$105)+SUMIF(Capacity_Resource,$E141,'Critical resources (hide)'!AW$6:AW$105)+SUMIF(Capacity_Resource,$F141,'Critical resources (hide)'!AW$6:AW$105)&gt;0,$E$1=2),0,1),0)</f>
        <v>1</v>
      </c>
      <c r="AK141" s="67">
        <f ca="1">IF(LOWER(Capacity!$V46)="x",IF(AND(SUMIF(Capacity_Resource,$D141,'Critical resources (hide)'!AX$6:AX$105)+SUMIF(Capacity_Resource,$E141,'Critical resources (hide)'!AX$6:AX$105)+SUMIF(Capacity_Resource,$F141,'Critical resources (hide)'!AX$6:AX$105)&gt;0,$E$1=2),0,1),0)</f>
        <v>1</v>
      </c>
      <c r="AL141" s="67">
        <f ca="1">IF(LOWER(Capacity!$V46)="x",IF(AND(SUMIF(Capacity_Resource,$D141,'Critical resources (hide)'!AY$6:AY$105)+SUMIF(Capacity_Resource,$E141,'Critical resources (hide)'!AY$6:AY$105)+SUMIF(Capacity_Resource,$F141,'Critical resources (hide)'!AY$6:AY$105)&gt;0,$E$1=2),0,1),0)</f>
        <v>1</v>
      </c>
      <c r="AM141" s="67">
        <f ca="1">IF(LOWER(Capacity!$V46)="x",IF(AND(SUMIF(Capacity_Resource,$D141,'Critical resources (hide)'!AZ$6:AZ$105)+SUMIF(Capacity_Resource,$E141,'Critical resources (hide)'!AZ$6:AZ$105)+SUMIF(Capacity_Resource,$F141,'Critical resources (hide)'!AZ$6:AZ$105)&gt;0,$E$1=2),0,1),0)</f>
        <v>1</v>
      </c>
      <c r="AN141" s="67">
        <f ca="1">IF(LOWER(Capacity!$V46)="x",IF(AND(SUMIF(Capacity_Resource,$D141,'Critical resources (hide)'!BA$6:BA$105)+SUMIF(Capacity_Resource,$E141,'Critical resources (hide)'!BA$6:BA$105)+SUMIF(Capacity_Resource,$F141,'Critical resources (hide)'!BA$6:BA$105)&gt;0,$E$1=2),0,1),0)</f>
        <v>1</v>
      </c>
      <c r="AO141" s="67">
        <f ca="1">IF(LOWER(Capacity!$V46)="x",IF(AND(SUMIF(Capacity_Resource,$D141,'Critical resources (hide)'!BB$6:BB$105)+SUMIF(Capacity_Resource,$E141,'Critical resources (hide)'!BB$6:BB$105)+SUMIF(Capacity_Resource,$F141,'Critical resources (hide)'!BB$6:BB$105)&gt;0,$E$1=2),0,1),0)</f>
        <v>1</v>
      </c>
      <c r="AP141" s="67">
        <f ca="1">IF(LOWER(Capacity!$V46)="x",IF(AND(SUMIF(Capacity_Resource,$D141,'Critical resources (hide)'!BC$6:BC$105)+SUMIF(Capacity_Resource,$E141,'Critical resources (hide)'!BC$6:BC$105)+SUMIF(Capacity_Resource,$F141,'Critical resources (hide)'!BC$6:BC$105)&gt;0,$E$1=2),0,1),0)</f>
        <v>1</v>
      </c>
      <c r="AQ141" s="67">
        <f ca="1">IF(LOWER(Capacity!$V46)="x",IF(AND(SUMIF(Capacity_Resource,$D141,'Critical resources (hide)'!BD$6:BD$105)+SUMIF(Capacity_Resource,$E141,'Critical resources (hide)'!BD$6:BD$105)+SUMIF(Capacity_Resource,$F141,'Critical resources (hide)'!BD$6:BD$105)&gt;0,$E$1=2),0,1),0)</f>
        <v>1</v>
      </c>
      <c r="AR141" s="67">
        <f ca="1">IF(LOWER(Capacity!$V46)="x",IF(AND(SUMIF(Capacity_Resource,$D141,'Critical resources (hide)'!BE$6:BE$105)+SUMIF(Capacity_Resource,$E141,'Critical resources (hide)'!BE$6:BE$105)+SUMIF(Capacity_Resource,$F141,'Critical resources (hide)'!BE$6:BE$105)&gt;0,$E$1=2),0,1),0)</f>
        <v>1</v>
      </c>
      <c r="AS141" s="67">
        <f ca="1">IF(LOWER(Capacity!$V46)="x",IF(AND(SUMIF(Capacity_Resource,$D141,'Critical resources (hide)'!BF$6:BF$105)+SUMIF(Capacity_Resource,$E141,'Critical resources (hide)'!BF$6:BF$105)+SUMIF(Capacity_Resource,$F141,'Critical resources (hide)'!BF$6:BF$105)&gt;0,$E$1=2),0,1),0)</f>
        <v>1</v>
      </c>
      <c r="AT141" s="67">
        <f ca="1">IF(LOWER(Capacity!$V46)="x",IF(AND(SUMIF(Capacity_Resource,$D141,'Critical resources (hide)'!BG$6:BG$105)+SUMIF(Capacity_Resource,$E141,'Critical resources (hide)'!BG$6:BG$105)+SUMIF(Capacity_Resource,$F141,'Critical resources (hide)'!BG$6:BG$105)&gt;0,$E$1=2),0,1),0)</f>
        <v>1</v>
      </c>
      <c r="AU141" s="67">
        <f ca="1">IF(LOWER(Capacity!$V46)="x",IF(AND(SUMIF(Capacity_Resource,$D141,'Critical resources (hide)'!BH$6:BH$105)+SUMIF(Capacity_Resource,$E141,'Critical resources (hide)'!BH$6:BH$105)+SUMIF(Capacity_Resource,$F141,'Critical resources (hide)'!BH$6:BH$105)&gt;0,$E$1=2),0,1),0)</f>
        <v>1</v>
      </c>
      <c r="AV141" s="67">
        <f ca="1">IF(LOWER(Capacity!$V46)="x",IF(AND(SUMIF(Capacity_Resource,$D141,'Critical resources (hide)'!BI$6:BI$105)+SUMIF(Capacity_Resource,$E141,'Critical resources (hide)'!BI$6:BI$105)+SUMIF(Capacity_Resource,$F141,'Critical resources (hide)'!BI$6:BI$105)&gt;0,$E$1=2),0,1),0)</f>
        <v>1</v>
      </c>
      <c r="AW141" s="67">
        <f ca="1">IF(LOWER(Capacity!$V46)="x",IF(AND(SUMIF(Capacity_Resource,$D141,'Critical resources (hide)'!BJ$6:BJ$105)+SUMIF(Capacity_Resource,$E141,'Critical resources (hide)'!BJ$6:BJ$105)+SUMIF(Capacity_Resource,$F141,'Critical resources (hide)'!BJ$6:BJ$105)&gt;0,$E$1=2),0,1),0)</f>
        <v>1</v>
      </c>
      <c r="AX141" s="67">
        <f ca="1">IF(LOWER(Capacity!$V46)="x",IF(AND(SUMIF(Capacity_Resource,$D141,'Critical resources (hide)'!BK$6:BK$105)+SUMIF(Capacity_Resource,$E141,'Critical resources (hide)'!BK$6:BK$105)+SUMIF(Capacity_Resource,$F141,'Critical resources (hide)'!BK$6:BK$105)&gt;0,$E$1=2),0,1),0)</f>
        <v>1</v>
      </c>
      <c r="AY141" s="67">
        <f ca="1">IF(LOWER(Capacity!$V46)="x",IF(AND(SUMIF(Capacity_Resource,$D141,'Critical resources (hide)'!BL$6:BL$105)+SUMIF(Capacity_Resource,$E141,'Critical resources (hide)'!BL$6:BL$105)+SUMIF(Capacity_Resource,$F141,'Critical resources (hide)'!BL$6:BL$105)&gt;0,$E$1=2),0,1),0)</f>
        <v>1</v>
      </c>
      <c r="AZ141" s="67">
        <f ca="1">IF(LOWER(Capacity!$V46)="x",IF(AND(SUMIF(Capacity_Resource,$D141,'Critical resources (hide)'!BM$6:BM$105)+SUMIF(Capacity_Resource,$E141,'Critical resources (hide)'!BM$6:BM$105)+SUMIF(Capacity_Resource,$F141,'Critical resources (hide)'!BM$6:BM$105)&gt;0,$E$1=2),0,1),0)</f>
        <v>1</v>
      </c>
      <c r="BA141" s="67">
        <f ca="1">IF(LOWER(Capacity!$V46)="x",IF(AND(SUMIF(Capacity_Resource,$D141,'Critical resources (hide)'!BN$6:BN$105)+SUMIF(Capacity_Resource,$E141,'Critical resources (hide)'!BN$6:BN$105)+SUMIF(Capacity_Resource,$F141,'Critical resources (hide)'!BN$6:BN$105)&gt;0,$E$1=2),0,1),0)</f>
        <v>1</v>
      </c>
      <c r="BB141" s="67">
        <f ca="1">IF(LOWER(Capacity!$V46)="x",IF(AND(SUMIF(Capacity_Resource,$D141,'Critical resources (hide)'!BO$6:BO$105)+SUMIF(Capacity_Resource,$E141,'Critical resources (hide)'!BO$6:BO$105)+SUMIF(Capacity_Resource,$F141,'Critical resources (hide)'!BO$6:BO$105)&gt;0,$E$1=2),0,1),0)</f>
        <v>1</v>
      </c>
      <c r="BC141" s="67">
        <f ca="1">IF(LOWER(Capacity!$V46)="x",IF(AND(SUMIF(Capacity_Resource,$D141,'Critical resources (hide)'!BP$6:BP$105)+SUMIF(Capacity_Resource,$E141,'Critical resources (hide)'!BP$6:BP$105)+SUMIF(Capacity_Resource,$F141,'Critical resources (hide)'!BP$6:BP$105)&gt;0,$E$1=2),0,1),0)</f>
        <v>1</v>
      </c>
      <c r="BD141" s="67">
        <f ca="1">IF(LOWER(Capacity!$V46)="x",IF(AND(SUMIF(Capacity_Resource,$D141,'Critical resources (hide)'!BQ$6:BQ$105)+SUMIF(Capacity_Resource,$E141,'Critical resources (hide)'!BQ$6:BQ$105)+SUMIF(Capacity_Resource,$F141,'Critical resources (hide)'!BQ$6:BQ$105)&gt;0,$E$1=2),0,1),0)</f>
        <v>1</v>
      </c>
      <c r="BE141" s="67">
        <f ca="1">IF(LOWER(Capacity!$V46)="x",IF(AND(SUMIF(Capacity_Resource,$D141,'Critical resources (hide)'!BR$6:BR$105)+SUMIF(Capacity_Resource,$E141,'Critical resources (hide)'!BR$6:BR$105)+SUMIF(Capacity_Resource,$F141,'Critical resources (hide)'!BR$6:BR$105)&gt;0,$E$1=2),0,1),0)</f>
        <v>1</v>
      </c>
      <c r="BF141" s="67">
        <f ca="1">IF(LOWER(Capacity!$V46)="x",IF(AND(SUMIF(Capacity_Resource,$D141,'Critical resources (hide)'!BS$6:BS$105)+SUMIF(Capacity_Resource,$E141,'Critical resources (hide)'!BS$6:BS$105)+SUMIF(Capacity_Resource,$F141,'Critical resources (hide)'!BS$6:BS$105)&gt;0,$E$1=2),0,1),0)</f>
        <v>1</v>
      </c>
      <c r="BG141" s="67">
        <f ca="1">IF(LOWER(Capacity!$V46)="x",IF(AND(SUMIF(Capacity_Resource,$D141,'Critical resources (hide)'!BT$6:BT$105)+SUMIF(Capacity_Resource,$E141,'Critical resources (hide)'!BT$6:BT$105)+SUMIF(Capacity_Resource,$F141,'Critical resources (hide)'!BT$6:BT$105)&gt;0,$E$1=2),0,1),0)</f>
        <v>1</v>
      </c>
      <c r="BH141" s="67">
        <f>IF(ROW(A30)&lt;=Capacity!$M$16,IF('Capacity summary'!$C$14="No",SUM(H141:BG141),'Capacity summary'!$E53),0)</f>
        <v>0</v>
      </c>
      <c r="BI141" s="67" t="str">
        <f>IF(BH141&gt;0,IF(BH141&lt;Capacity!Q46,Capacity!R46,Capacity!T46/'Capacity calculation (hide)'!BH141),"")</f>
        <v/>
      </c>
      <c r="BJ141" s="5"/>
      <c r="BK141" s="5">
        <f>IF($BI141&lt;&gt;"",IF('Capacity summary'!$C$14="Yes",IF(COUNTBLANK('Capacity summary'!$H53:$BG53)&lt;52,IF('Capacity summary'!H53&lt;&gt;"",IF(LOWER('Capacity summary'!H53)="x",$BI141*H141,VALUE('Capacity summary'!H53)),0),H141*$BI141),H141*$BI141),0)</f>
        <v>0</v>
      </c>
      <c r="BL141" s="5">
        <f>IF($BI141&lt;&gt;"",IF('Capacity summary'!$C$14="Yes",IF(COUNTBLANK('Capacity summary'!$H53:$BG53)&lt;52,IF('Capacity summary'!I53&lt;&gt;"",IF(LOWER('Capacity summary'!I53)="x",$BI141*I141,VALUE('Capacity summary'!I53)),0),I141*$BI141),I141*$BI141),0)</f>
        <v>0</v>
      </c>
      <c r="BM141" s="5">
        <f>IF($BI141&lt;&gt;"",IF('Capacity summary'!$C$14="Yes",IF(COUNTBLANK('Capacity summary'!$H53:$BG53)&lt;52,IF('Capacity summary'!J53&lt;&gt;"",IF(LOWER('Capacity summary'!J53)="x",$BI141*J141,VALUE('Capacity summary'!J53)),0),J141*$BI141),J141*$BI141),0)</f>
        <v>0</v>
      </c>
      <c r="BN141" s="5">
        <f>IF($BI141&lt;&gt;"",IF('Capacity summary'!$C$14="Yes",IF(COUNTBLANK('Capacity summary'!$H53:$BG53)&lt;52,IF('Capacity summary'!K53&lt;&gt;"",IF(LOWER('Capacity summary'!K53)="x",$BI141*K141,VALUE('Capacity summary'!K53)),0),K141*$BI141),K141*$BI141),0)</f>
        <v>0</v>
      </c>
      <c r="BO141" s="5">
        <f>IF($BI141&lt;&gt;"",IF('Capacity summary'!$C$14="Yes",IF(COUNTBLANK('Capacity summary'!$H53:$BG53)&lt;52,IF('Capacity summary'!L53&lt;&gt;"",IF(LOWER('Capacity summary'!L53)="x",$BI141*L141,VALUE('Capacity summary'!L53)),0),L141*$BI141),L141*$BI141),0)</f>
        <v>0</v>
      </c>
      <c r="BP141" s="5">
        <f>IF($BI141&lt;&gt;"",IF('Capacity summary'!$C$14="Yes",IF(COUNTBLANK('Capacity summary'!$H53:$BG53)&lt;52,IF('Capacity summary'!M53&lt;&gt;"",IF(LOWER('Capacity summary'!M53)="x",$BI141*M141,VALUE('Capacity summary'!M53)),0),M141*$BI141),M141*$BI141),0)</f>
        <v>0</v>
      </c>
      <c r="BQ141" s="5">
        <f>IF($BI141&lt;&gt;"",IF('Capacity summary'!$C$14="Yes",IF(COUNTBLANK('Capacity summary'!$H53:$BG53)&lt;52,IF('Capacity summary'!N53&lt;&gt;"",IF(LOWER('Capacity summary'!N53)="x",$BI141*N141,VALUE('Capacity summary'!N53)),0),N141*$BI141),N141*$BI141),0)</f>
        <v>0</v>
      </c>
      <c r="BR141" s="5">
        <f>IF($BI141&lt;&gt;"",IF('Capacity summary'!$C$14="Yes",IF(COUNTBLANK('Capacity summary'!$H53:$BG53)&lt;52,IF('Capacity summary'!O53&lt;&gt;"",IF(LOWER('Capacity summary'!O53)="x",$BI141*O141,VALUE('Capacity summary'!O53)),0),O141*$BI141),O141*$BI141),0)</f>
        <v>0</v>
      </c>
      <c r="BS141" s="5">
        <f>IF($BI141&lt;&gt;"",IF('Capacity summary'!$C$14="Yes",IF(COUNTBLANK('Capacity summary'!$H53:$BG53)&lt;52,IF('Capacity summary'!P53&lt;&gt;"",IF(LOWER('Capacity summary'!P53)="x",$BI141*P141,VALUE('Capacity summary'!P53)),0),P141*$BI141),P141*$BI141),0)</f>
        <v>0</v>
      </c>
      <c r="BT141" s="5">
        <f>IF($BI141&lt;&gt;"",IF('Capacity summary'!$C$14="Yes",IF(COUNTBLANK('Capacity summary'!$H53:$BG53)&lt;52,IF('Capacity summary'!Q53&lt;&gt;"",IF(LOWER('Capacity summary'!Q53)="x",$BI141*Q141,VALUE('Capacity summary'!Q53)),0),Q141*$BI141),Q141*$BI141),0)</f>
        <v>0</v>
      </c>
      <c r="BU141" s="5">
        <f>IF($BI141&lt;&gt;"",IF('Capacity summary'!$C$14="Yes",IF(COUNTBLANK('Capacity summary'!$H53:$BG53)&lt;52,IF('Capacity summary'!R53&lt;&gt;"",IF(LOWER('Capacity summary'!R53)="x",$BI141*R141,VALUE('Capacity summary'!R53)),0),R141*$BI141),R141*$BI141),0)</f>
        <v>0</v>
      </c>
      <c r="BV141" s="5">
        <f>IF($BI141&lt;&gt;"",IF('Capacity summary'!$C$14="Yes",IF(COUNTBLANK('Capacity summary'!$H53:$BG53)&lt;52,IF('Capacity summary'!S53&lt;&gt;"",IF(LOWER('Capacity summary'!S53)="x",$BI141*S141,VALUE('Capacity summary'!S53)),0),S141*$BI141),S141*$BI141),0)</f>
        <v>0</v>
      </c>
      <c r="BW141" s="5">
        <f>IF($BI141&lt;&gt;"",IF('Capacity summary'!$C$14="Yes",IF(COUNTBLANK('Capacity summary'!$H53:$BG53)&lt;52,IF('Capacity summary'!T53&lt;&gt;"",IF(LOWER('Capacity summary'!T53)="x",$BI141*T141,VALUE('Capacity summary'!T53)),0),T141*$BI141),T141*$BI141),0)</f>
        <v>0</v>
      </c>
      <c r="BX141" s="5">
        <f>IF($BI141&lt;&gt;"",IF('Capacity summary'!$C$14="Yes",IF(COUNTBLANK('Capacity summary'!$H53:$BG53)&lt;52,IF('Capacity summary'!U53&lt;&gt;"",IF(LOWER('Capacity summary'!U53)="x",$BI141*U141,VALUE('Capacity summary'!U53)),0),U141*$BI141),U141*$BI141),0)</f>
        <v>0</v>
      </c>
      <c r="BY141" s="5">
        <f>IF($BI141&lt;&gt;"",IF('Capacity summary'!$C$14="Yes",IF(COUNTBLANK('Capacity summary'!$H53:$BG53)&lt;52,IF('Capacity summary'!V53&lt;&gt;"",IF(LOWER('Capacity summary'!V53)="x",$BI141*V141,VALUE('Capacity summary'!V53)),0),V141*$BI141),V141*$BI141),0)</f>
        <v>0</v>
      </c>
      <c r="BZ141" s="5">
        <f>IF($BI141&lt;&gt;"",IF('Capacity summary'!$C$14="Yes",IF(COUNTBLANK('Capacity summary'!$H53:$BG53)&lt;52,IF('Capacity summary'!W53&lt;&gt;"",IF(LOWER('Capacity summary'!W53)="x",$BI141*W141,VALUE('Capacity summary'!W53)),0),W141*$BI141),W141*$BI141),0)</f>
        <v>0</v>
      </c>
      <c r="CA141" s="5">
        <f>IF($BI141&lt;&gt;"",IF('Capacity summary'!$C$14="Yes",IF(COUNTBLANK('Capacity summary'!$H53:$BG53)&lt;52,IF('Capacity summary'!X53&lt;&gt;"",IF(LOWER('Capacity summary'!X53)="x",$BI141*X141,VALUE('Capacity summary'!X53)),0),X141*$BI141),X141*$BI141),0)</f>
        <v>0</v>
      </c>
      <c r="CB141" s="5">
        <f>IF($BI141&lt;&gt;"",IF('Capacity summary'!$C$14="Yes",IF(COUNTBLANK('Capacity summary'!$H53:$BG53)&lt;52,IF('Capacity summary'!Y53&lt;&gt;"",IF(LOWER('Capacity summary'!Y53)="x",$BI141*Y141,VALUE('Capacity summary'!Y53)),0),Y141*$BI141),Y141*$BI141),0)</f>
        <v>0</v>
      </c>
      <c r="CC141" s="5">
        <f>IF($BI141&lt;&gt;"",IF('Capacity summary'!$C$14="Yes",IF(COUNTBLANK('Capacity summary'!$H53:$BG53)&lt;52,IF('Capacity summary'!Z53&lt;&gt;"",IF(LOWER('Capacity summary'!Z53)="x",$BI141*Z141,VALUE('Capacity summary'!Z53)),0),Z141*$BI141),Z141*$BI141),0)</f>
        <v>0</v>
      </c>
      <c r="CD141" s="5">
        <f>IF($BI141&lt;&gt;"",IF('Capacity summary'!$C$14="Yes",IF(COUNTBLANK('Capacity summary'!$H53:$BG53)&lt;52,IF('Capacity summary'!AA53&lt;&gt;"",IF(LOWER('Capacity summary'!AA53)="x",$BI141*AA141,VALUE('Capacity summary'!AA53)),0),AA141*$BI141),AA141*$BI141),0)</f>
        <v>0</v>
      </c>
      <c r="CE141" s="5">
        <f>IF($BI141&lt;&gt;"",IF('Capacity summary'!$C$14="Yes",IF(COUNTBLANK('Capacity summary'!$H53:$BG53)&lt;52,IF('Capacity summary'!AB53&lt;&gt;"",IF(LOWER('Capacity summary'!AB53)="x",$BI141*AB141,VALUE('Capacity summary'!AB53)),0),AB141*$BI141),AB141*$BI141),0)</f>
        <v>0</v>
      </c>
      <c r="CF141" s="5">
        <f>IF($BI141&lt;&gt;"",IF('Capacity summary'!$C$14="Yes",IF(COUNTBLANK('Capacity summary'!$H53:$BG53)&lt;52,IF('Capacity summary'!AC53&lt;&gt;"",IF(LOWER('Capacity summary'!AC53)="x",$BI141*AC141,VALUE('Capacity summary'!AC53)),0),AC141*$BI141),AC141*$BI141),0)</f>
        <v>0</v>
      </c>
      <c r="CG141" s="5">
        <f>IF($BI141&lt;&gt;"",IF('Capacity summary'!$C$14="Yes",IF(COUNTBLANK('Capacity summary'!$H53:$BG53)&lt;52,IF('Capacity summary'!AD53&lt;&gt;"",IF(LOWER('Capacity summary'!AD53)="x",$BI141*AD141,VALUE('Capacity summary'!AD53)),0),AD141*$BI141),AD141*$BI141),0)</f>
        <v>0</v>
      </c>
      <c r="CH141" s="5">
        <f>IF($BI141&lt;&gt;"",IF('Capacity summary'!$C$14="Yes",IF(COUNTBLANK('Capacity summary'!$H53:$BG53)&lt;52,IF('Capacity summary'!AE53&lt;&gt;"",IF(LOWER('Capacity summary'!AE53)="x",$BI141*AE141,VALUE('Capacity summary'!AE53)),0),AE141*$BI141),AE141*$BI141),0)</f>
        <v>0</v>
      </c>
      <c r="CI141" s="5">
        <f>IF($BI141&lt;&gt;"",IF('Capacity summary'!$C$14="Yes",IF(COUNTBLANK('Capacity summary'!$H53:$BG53)&lt;52,IF('Capacity summary'!AF53&lt;&gt;"",IF(LOWER('Capacity summary'!AF53)="x",$BI141*AF141,VALUE('Capacity summary'!AF53)),0),AF141*$BI141),AF141*$BI141),0)</f>
        <v>0</v>
      </c>
      <c r="CJ141" s="5">
        <f>IF($BI141&lt;&gt;"",IF('Capacity summary'!$C$14="Yes",IF(COUNTBLANK('Capacity summary'!$H53:$BG53)&lt;52,IF('Capacity summary'!AG53&lt;&gt;"",IF(LOWER('Capacity summary'!AG53)="x",$BI141*AG141,VALUE('Capacity summary'!AG53)),0),AG141*$BI141),AG141*$BI141),0)</f>
        <v>0</v>
      </c>
      <c r="CK141" s="5">
        <f>IF($BI141&lt;&gt;"",IF('Capacity summary'!$C$14="Yes",IF(COUNTBLANK('Capacity summary'!$H53:$BG53)&lt;52,IF('Capacity summary'!AH53&lt;&gt;"",IF(LOWER('Capacity summary'!AH53)="x",$BI141*AH141,VALUE('Capacity summary'!AH53)),0),AH141*$BI141),AH141*$BI141),0)</f>
        <v>0</v>
      </c>
      <c r="CL141" s="5">
        <f>IF($BI141&lt;&gt;"",IF('Capacity summary'!$C$14="Yes",IF(COUNTBLANK('Capacity summary'!$H53:$BG53)&lt;52,IF('Capacity summary'!AI53&lt;&gt;"",IF(LOWER('Capacity summary'!AI53)="x",$BI141*AI141,VALUE('Capacity summary'!AI53)),0),AI141*$BI141),AI141*$BI141),0)</f>
        <v>0</v>
      </c>
      <c r="CM141" s="5">
        <f>IF($BI141&lt;&gt;"",IF('Capacity summary'!$C$14="Yes",IF(COUNTBLANK('Capacity summary'!$H53:$BG53)&lt;52,IF('Capacity summary'!AJ53&lt;&gt;"",IF(LOWER('Capacity summary'!AJ53)="x",$BI141*AJ141,VALUE('Capacity summary'!AJ53)),0),AJ141*$BI141),AJ141*$BI141),0)</f>
        <v>0</v>
      </c>
      <c r="CN141" s="5">
        <f>IF($BI141&lt;&gt;"",IF('Capacity summary'!$C$14="Yes",IF(COUNTBLANK('Capacity summary'!$H53:$BG53)&lt;52,IF('Capacity summary'!AK53&lt;&gt;"",IF(LOWER('Capacity summary'!AK53)="x",$BI141*AK141,VALUE('Capacity summary'!AK53)),0),AK141*$BI141),AK141*$BI141),0)</f>
        <v>0</v>
      </c>
      <c r="CO141" s="5">
        <f>IF($BI141&lt;&gt;"",IF('Capacity summary'!$C$14="Yes",IF(COUNTBLANK('Capacity summary'!$H53:$BG53)&lt;52,IF('Capacity summary'!AL53&lt;&gt;"",IF(LOWER('Capacity summary'!AL53)="x",$BI141*AL141,VALUE('Capacity summary'!AL53)),0),AL141*$BI141),AL141*$BI141),0)</f>
        <v>0</v>
      </c>
      <c r="CP141" s="5">
        <f>IF($BI141&lt;&gt;"",IF('Capacity summary'!$C$14="Yes",IF(COUNTBLANK('Capacity summary'!$H53:$BG53)&lt;52,IF('Capacity summary'!AM53&lt;&gt;"",IF(LOWER('Capacity summary'!AM53)="x",$BI141*AM141,VALUE('Capacity summary'!AM53)),0),AM141*$BI141),AM141*$BI141),0)</f>
        <v>0</v>
      </c>
      <c r="CQ141" s="5">
        <f>IF($BI141&lt;&gt;"",IF('Capacity summary'!$C$14="Yes",IF(COUNTBLANK('Capacity summary'!$H53:$BG53)&lt;52,IF('Capacity summary'!AN53&lt;&gt;"",IF(LOWER('Capacity summary'!AN53)="x",$BI141*AN141,VALUE('Capacity summary'!AN53)),0),AN141*$BI141),AN141*$BI141),0)</f>
        <v>0</v>
      </c>
      <c r="CR141" s="5">
        <f>IF($BI141&lt;&gt;"",IF('Capacity summary'!$C$14="Yes",IF(COUNTBLANK('Capacity summary'!$H53:$BG53)&lt;52,IF('Capacity summary'!AO53&lt;&gt;"",IF(LOWER('Capacity summary'!AO53)="x",$BI141*AO141,VALUE('Capacity summary'!AO53)),0),AO141*$BI141),AO141*$BI141),0)</f>
        <v>0</v>
      </c>
      <c r="CS141" s="5">
        <f>IF($BI141&lt;&gt;"",IF('Capacity summary'!$C$14="Yes",IF(COUNTBLANK('Capacity summary'!$H53:$BG53)&lt;52,IF('Capacity summary'!AP53&lt;&gt;"",IF(LOWER('Capacity summary'!AP53)="x",$BI141*AP141,VALUE('Capacity summary'!AP53)),0),AP141*$BI141),AP141*$BI141),0)</f>
        <v>0</v>
      </c>
      <c r="CT141" s="5">
        <f>IF($BI141&lt;&gt;"",IF('Capacity summary'!$C$14="Yes",IF(COUNTBLANK('Capacity summary'!$H53:$BG53)&lt;52,IF('Capacity summary'!AQ53&lt;&gt;"",IF(LOWER('Capacity summary'!AQ53)="x",$BI141*AQ141,VALUE('Capacity summary'!AQ53)),0),AQ141*$BI141),AQ141*$BI141),0)</f>
        <v>0</v>
      </c>
      <c r="CU141" s="5">
        <f>IF($BI141&lt;&gt;"",IF('Capacity summary'!$C$14="Yes",IF(COUNTBLANK('Capacity summary'!$H53:$BG53)&lt;52,IF('Capacity summary'!AR53&lt;&gt;"",IF(LOWER('Capacity summary'!AR53)="x",$BI141*AR141,VALUE('Capacity summary'!AR53)),0),AR141*$BI141),AR141*$BI141),0)</f>
        <v>0</v>
      </c>
      <c r="CV141" s="5">
        <f>IF($BI141&lt;&gt;"",IF('Capacity summary'!$C$14="Yes",IF(COUNTBLANK('Capacity summary'!$H53:$BG53)&lt;52,IF('Capacity summary'!AS53&lt;&gt;"",IF(LOWER('Capacity summary'!AS53)="x",$BI141*AS141,VALUE('Capacity summary'!AS53)),0),AS141*$BI141),AS141*$BI141),0)</f>
        <v>0</v>
      </c>
      <c r="CW141" s="5">
        <f>IF($BI141&lt;&gt;"",IF('Capacity summary'!$C$14="Yes",IF(COUNTBLANK('Capacity summary'!$H53:$BG53)&lt;52,IF('Capacity summary'!AT53&lt;&gt;"",IF(LOWER('Capacity summary'!AT53)="x",$BI141*AT141,VALUE('Capacity summary'!AT53)),0),AT141*$BI141),AT141*$BI141),0)</f>
        <v>0</v>
      </c>
      <c r="CX141" s="5">
        <f>IF($BI141&lt;&gt;"",IF('Capacity summary'!$C$14="Yes",IF(COUNTBLANK('Capacity summary'!$H53:$BG53)&lt;52,IF('Capacity summary'!AU53&lt;&gt;"",IF(LOWER('Capacity summary'!AU53)="x",$BI141*AU141,VALUE('Capacity summary'!AU53)),0),AU141*$BI141),AU141*$BI141),0)</f>
        <v>0</v>
      </c>
      <c r="CY141" s="5">
        <f>IF($BI141&lt;&gt;"",IF('Capacity summary'!$C$14="Yes",IF(COUNTBLANK('Capacity summary'!$H53:$BG53)&lt;52,IF('Capacity summary'!AV53&lt;&gt;"",IF(LOWER('Capacity summary'!AV53)="x",$BI141*AV141,VALUE('Capacity summary'!AV53)),0),AV141*$BI141),AV141*$BI141),0)</f>
        <v>0</v>
      </c>
      <c r="CZ141" s="5">
        <f>IF($BI141&lt;&gt;"",IF('Capacity summary'!$C$14="Yes",IF(COUNTBLANK('Capacity summary'!$H53:$BG53)&lt;52,IF('Capacity summary'!AW53&lt;&gt;"",IF(LOWER('Capacity summary'!AW53)="x",$BI141*AW141,VALUE('Capacity summary'!AW53)),0),AW141*$BI141),AW141*$BI141),0)</f>
        <v>0</v>
      </c>
      <c r="DA141" s="5">
        <f>IF($BI141&lt;&gt;"",IF('Capacity summary'!$C$14="Yes",IF(COUNTBLANK('Capacity summary'!$H53:$BG53)&lt;52,IF('Capacity summary'!AX53&lt;&gt;"",IF(LOWER('Capacity summary'!AX53)="x",$BI141*AX141,VALUE('Capacity summary'!AX53)),0),AX141*$BI141),AX141*$BI141),0)</f>
        <v>0</v>
      </c>
      <c r="DB141" s="5">
        <f>IF($BI141&lt;&gt;"",IF('Capacity summary'!$C$14="Yes",IF(COUNTBLANK('Capacity summary'!$H53:$BG53)&lt;52,IF('Capacity summary'!AY53&lt;&gt;"",IF(LOWER('Capacity summary'!AY53)="x",$BI141*AY141,VALUE('Capacity summary'!AY53)),0),AY141*$BI141),AY141*$BI141),0)</f>
        <v>0</v>
      </c>
      <c r="DC141" s="5">
        <f>IF($BI141&lt;&gt;"",IF('Capacity summary'!$C$14="Yes",IF(COUNTBLANK('Capacity summary'!$H53:$BG53)&lt;52,IF('Capacity summary'!AZ53&lt;&gt;"",IF(LOWER('Capacity summary'!AZ53)="x",$BI141*AZ141,VALUE('Capacity summary'!AZ53)),0),AZ141*$BI141),AZ141*$BI141),0)</f>
        <v>0</v>
      </c>
      <c r="DD141" s="5">
        <f>IF($BI141&lt;&gt;"",IF('Capacity summary'!$C$14="Yes",IF(COUNTBLANK('Capacity summary'!$H53:$BG53)&lt;52,IF('Capacity summary'!BA53&lt;&gt;"",IF(LOWER('Capacity summary'!BA53)="x",$BI141*BA141,VALUE('Capacity summary'!BA53)),0),BA141*$BI141),BA141*$BI141),0)</f>
        <v>0</v>
      </c>
      <c r="DE141" s="5">
        <f>IF($BI141&lt;&gt;"",IF('Capacity summary'!$C$14="Yes",IF(COUNTBLANK('Capacity summary'!$H53:$BG53)&lt;52,IF('Capacity summary'!BB53&lt;&gt;"",IF(LOWER('Capacity summary'!BB53)="x",$BI141*BB141,VALUE('Capacity summary'!BB53)),0),BB141*$BI141),BB141*$BI141),0)</f>
        <v>0</v>
      </c>
      <c r="DF141" s="5">
        <f>IF($BI141&lt;&gt;"",IF('Capacity summary'!$C$14="Yes",IF(COUNTBLANK('Capacity summary'!$H53:$BG53)&lt;52,IF('Capacity summary'!BC53&lt;&gt;"",IF(LOWER('Capacity summary'!BC53)="x",$BI141*BC141,VALUE('Capacity summary'!BC53)),0),BC141*$BI141),BC141*$BI141),0)</f>
        <v>0</v>
      </c>
      <c r="DG141" s="5">
        <f>IF($BI141&lt;&gt;"",IF('Capacity summary'!$C$14="Yes",IF(COUNTBLANK('Capacity summary'!$H53:$BG53)&lt;52,IF('Capacity summary'!BD53&lt;&gt;"",IF(LOWER('Capacity summary'!BD53)="x",$BI141*BD141,VALUE('Capacity summary'!BD53)),0),BD141*$BI141),BD141*$BI141),0)</f>
        <v>0</v>
      </c>
      <c r="DH141" s="5">
        <f>IF($BI141&lt;&gt;"",IF('Capacity summary'!$C$14="Yes",IF(COUNTBLANK('Capacity summary'!$H53:$BG53)&lt;52,IF('Capacity summary'!BE53&lt;&gt;"",IF(LOWER('Capacity summary'!BE53)="x",$BI141*BE141,VALUE('Capacity summary'!BE53)),0),BE141*$BI141),BE141*$BI141),0)</f>
        <v>0</v>
      </c>
      <c r="DI141" s="5">
        <f>IF($BI141&lt;&gt;"",IF('Capacity summary'!$C$14="Yes",IF(COUNTBLANK('Capacity summary'!$H53:$BG53)&lt;52,IF('Capacity summary'!BF53&lt;&gt;"",IF(LOWER('Capacity summary'!BF53)="x",$BI141*BF141,VALUE('Capacity summary'!BF53)),0),BF141*$BI141),BF141*$BI141),0)</f>
        <v>0</v>
      </c>
      <c r="DJ141" s="5">
        <f>IF($BI141&lt;&gt;"",IF('Capacity summary'!$C$14="Yes",IF(COUNTBLANK('Capacity summary'!$H53:$BG53)&lt;52,IF('Capacity summary'!BG53&lt;&gt;"",IF(LOWER('Capacity summary'!BG53)="x",$BI141*BG141,VALUE('Capacity summary'!BG53)),0),BG141*$BI141),BG141*$BI141),0)</f>
        <v>0</v>
      </c>
      <c r="DK141" s="391">
        <f t="shared" si="8"/>
        <v>0</v>
      </c>
      <c r="DL141" s="5">
        <f t="shared" si="9"/>
        <v>0</v>
      </c>
    </row>
    <row r="142" spans="3:116" x14ac:dyDescent="0.2">
      <c r="C142" s="67" t="str">
        <f>ROW(A31)&amp;". "&amp;Capacity!N47</f>
        <v xml:space="preserve">31. </v>
      </c>
      <c r="D142" s="67">
        <f>'Capacity setup'!C148</f>
        <v>0</v>
      </c>
      <c r="E142" s="67">
        <f>'Capacity setup'!D148</f>
        <v>0</v>
      </c>
      <c r="F142" s="67">
        <f>'Capacity setup'!E148</f>
        <v>0</v>
      </c>
      <c r="H142" s="67">
        <f ca="1">IF(LOWER(Capacity!$V47)="x",IF(AND(SUMIF(Capacity_Resource,$D142,'Critical resources (hide)'!U$6:U$105)+SUMIF(Capacity_Resource,$E142,'Critical resources (hide)'!U$6:U$105)+SUMIF(Capacity_Resource,$F142,'Critical resources (hide)'!U$6:U$105)&gt;0,$E$1=2),0,1),0)</f>
        <v>1</v>
      </c>
      <c r="I142" s="67">
        <f ca="1">IF(LOWER(Capacity!$V47)="x",IF(AND(SUMIF(Capacity_Resource,$D142,'Critical resources (hide)'!V$6:V$105)+SUMIF(Capacity_Resource,$E142,'Critical resources (hide)'!V$6:V$105)+SUMIF(Capacity_Resource,$F142,'Critical resources (hide)'!V$6:V$105)&gt;0,$E$1=2),0,1),0)</f>
        <v>1</v>
      </c>
      <c r="J142" s="67">
        <f ca="1">IF(LOWER(Capacity!$V47)="x",IF(AND(SUMIF(Capacity_Resource,$D142,'Critical resources (hide)'!W$6:W$105)+SUMIF(Capacity_Resource,$E142,'Critical resources (hide)'!W$6:W$105)+SUMIF(Capacity_Resource,$F142,'Critical resources (hide)'!W$6:W$105)&gt;0,$E$1=2),0,1),0)</f>
        <v>1</v>
      </c>
      <c r="K142" s="67">
        <f ca="1">IF(LOWER(Capacity!$V47)="x",IF(AND(SUMIF(Capacity_Resource,$D142,'Critical resources (hide)'!X$6:X$105)+SUMIF(Capacity_Resource,$E142,'Critical resources (hide)'!X$6:X$105)+SUMIF(Capacity_Resource,$F142,'Critical resources (hide)'!X$6:X$105)&gt;0,$E$1=2),0,1),0)</f>
        <v>1</v>
      </c>
      <c r="L142" s="67">
        <f ca="1">IF(LOWER(Capacity!$V47)="x",IF(AND(SUMIF(Capacity_Resource,$D142,'Critical resources (hide)'!Y$6:Y$105)+SUMIF(Capacity_Resource,$E142,'Critical resources (hide)'!Y$6:Y$105)+SUMIF(Capacity_Resource,$F142,'Critical resources (hide)'!Y$6:Y$105)&gt;0,$E$1=2),0,1),0)</f>
        <v>1</v>
      </c>
      <c r="M142" s="67">
        <f ca="1">IF(LOWER(Capacity!$V47)="x",IF(AND(SUMIF(Capacity_Resource,$D142,'Critical resources (hide)'!Z$6:Z$105)+SUMIF(Capacity_Resource,$E142,'Critical resources (hide)'!Z$6:Z$105)+SUMIF(Capacity_Resource,$F142,'Critical resources (hide)'!Z$6:Z$105)&gt;0,$E$1=2),0,1),0)</f>
        <v>1</v>
      </c>
      <c r="N142" s="67">
        <f ca="1">IF(LOWER(Capacity!$V47)="x",IF(AND(SUMIF(Capacity_Resource,$D142,'Critical resources (hide)'!AA$6:AA$105)+SUMIF(Capacity_Resource,$E142,'Critical resources (hide)'!AA$6:AA$105)+SUMIF(Capacity_Resource,$F142,'Critical resources (hide)'!AA$6:AA$105)&gt;0,$E$1=2),0,1),0)</f>
        <v>1</v>
      </c>
      <c r="O142" s="67">
        <f ca="1">IF(LOWER(Capacity!$V47)="x",IF(AND(SUMIF(Capacity_Resource,$D142,'Critical resources (hide)'!AB$6:AB$105)+SUMIF(Capacity_Resource,$E142,'Critical resources (hide)'!AB$6:AB$105)+SUMIF(Capacity_Resource,$F142,'Critical resources (hide)'!AB$6:AB$105)&gt;0,$E$1=2),0,1),0)</f>
        <v>1</v>
      </c>
      <c r="P142" s="67">
        <f ca="1">IF(LOWER(Capacity!$V47)="x",IF(AND(SUMIF(Capacity_Resource,$D142,'Critical resources (hide)'!AC$6:AC$105)+SUMIF(Capacity_Resource,$E142,'Critical resources (hide)'!AC$6:AC$105)+SUMIF(Capacity_Resource,$F142,'Critical resources (hide)'!AC$6:AC$105)&gt;0,$E$1=2),0,1),0)</f>
        <v>1</v>
      </c>
      <c r="Q142" s="67">
        <f ca="1">IF(LOWER(Capacity!$V47)="x",IF(AND(SUMIF(Capacity_Resource,$D142,'Critical resources (hide)'!AD$6:AD$105)+SUMIF(Capacity_Resource,$E142,'Critical resources (hide)'!AD$6:AD$105)+SUMIF(Capacity_Resource,$F142,'Critical resources (hide)'!AD$6:AD$105)&gt;0,$E$1=2),0,1),0)</f>
        <v>1</v>
      </c>
      <c r="R142" s="67">
        <f ca="1">IF(LOWER(Capacity!$V47)="x",IF(AND(SUMIF(Capacity_Resource,$D142,'Critical resources (hide)'!AE$6:AE$105)+SUMIF(Capacity_Resource,$E142,'Critical resources (hide)'!AE$6:AE$105)+SUMIF(Capacity_Resource,$F142,'Critical resources (hide)'!AE$6:AE$105)&gt;0,$E$1=2),0,1),0)</f>
        <v>1</v>
      </c>
      <c r="S142" s="67">
        <f ca="1">IF(LOWER(Capacity!$V47)="x",IF(AND(SUMIF(Capacity_Resource,$D142,'Critical resources (hide)'!AF$6:AF$105)+SUMIF(Capacity_Resource,$E142,'Critical resources (hide)'!AF$6:AF$105)+SUMIF(Capacity_Resource,$F142,'Critical resources (hide)'!AF$6:AF$105)&gt;0,$E$1=2),0,1),0)</f>
        <v>1</v>
      </c>
      <c r="T142" s="67">
        <f ca="1">IF(LOWER(Capacity!$V47)="x",IF(AND(SUMIF(Capacity_Resource,$D142,'Critical resources (hide)'!AG$6:AG$105)+SUMIF(Capacity_Resource,$E142,'Critical resources (hide)'!AG$6:AG$105)+SUMIF(Capacity_Resource,$F142,'Critical resources (hide)'!AG$6:AG$105)&gt;0,$E$1=2),0,1),0)</f>
        <v>1</v>
      </c>
      <c r="U142" s="67">
        <f ca="1">IF(LOWER(Capacity!$V47)="x",IF(AND(SUMIF(Capacity_Resource,$D142,'Critical resources (hide)'!AH$6:AH$105)+SUMIF(Capacity_Resource,$E142,'Critical resources (hide)'!AH$6:AH$105)+SUMIF(Capacity_Resource,$F142,'Critical resources (hide)'!AH$6:AH$105)&gt;0,$E$1=2),0,1),0)</f>
        <v>1</v>
      </c>
      <c r="V142" s="67">
        <f ca="1">IF(LOWER(Capacity!$V47)="x",IF(AND(SUMIF(Capacity_Resource,$D142,'Critical resources (hide)'!AI$6:AI$105)+SUMIF(Capacity_Resource,$E142,'Critical resources (hide)'!AI$6:AI$105)+SUMIF(Capacity_Resource,$F142,'Critical resources (hide)'!AI$6:AI$105)&gt;0,$E$1=2),0,1),0)</f>
        <v>1</v>
      </c>
      <c r="W142" s="67">
        <f ca="1">IF(LOWER(Capacity!$V47)="x",IF(AND(SUMIF(Capacity_Resource,$D142,'Critical resources (hide)'!AJ$6:AJ$105)+SUMIF(Capacity_Resource,$E142,'Critical resources (hide)'!AJ$6:AJ$105)+SUMIF(Capacity_Resource,$F142,'Critical resources (hide)'!AJ$6:AJ$105)&gt;0,$E$1=2),0,1),0)</f>
        <v>1</v>
      </c>
      <c r="X142" s="67">
        <f ca="1">IF(LOWER(Capacity!$V47)="x",IF(AND(SUMIF(Capacity_Resource,$D142,'Critical resources (hide)'!AK$6:AK$105)+SUMIF(Capacity_Resource,$E142,'Critical resources (hide)'!AK$6:AK$105)+SUMIF(Capacity_Resource,$F142,'Critical resources (hide)'!AK$6:AK$105)&gt;0,$E$1=2),0,1),0)</f>
        <v>1</v>
      </c>
      <c r="Y142" s="67">
        <f ca="1">IF(LOWER(Capacity!$V47)="x",IF(AND(SUMIF(Capacity_Resource,$D142,'Critical resources (hide)'!AL$6:AL$105)+SUMIF(Capacity_Resource,$E142,'Critical resources (hide)'!AL$6:AL$105)+SUMIF(Capacity_Resource,$F142,'Critical resources (hide)'!AL$6:AL$105)&gt;0,$E$1=2),0,1),0)</f>
        <v>1</v>
      </c>
      <c r="Z142" s="67">
        <f ca="1">IF(LOWER(Capacity!$V47)="x",IF(AND(SUMIF(Capacity_Resource,$D142,'Critical resources (hide)'!AM$6:AM$105)+SUMIF(Capacity_Resource,$E142,'Critical resources (hide)'!AM$6:AM$105)+SUMIF(Capacity_Resource,$F142,'Critical resources (hide)'!AM$6:AM$105)&gt;0,$E$1=2),0,1),0)</f>
        <v>1</v>
      </c>
      <c r="AA142" s="67">
        <f ca="1">IF(LOWER(Capacity!$V47)="x",IF(AND(SUMIF(Capacity_Resource,$D142,'Critical resources (hide)'!AN$6:AN$105)+SUMIF(Capacity_Resource,$E142,'Critical resources (hide)'!AN$6:AN$105)+SUMIF(Capacity_Resource,$F142,'Critical resources (hide)'!AN$6:AN$105)&gt;0,$E$1=2),0,1),0)</f>
        <v>1</v>
      </c>
      <c r="AB142" s="67">
        <f ca="1">IF(LOWER(Capacity!$V47)="x",IF(AND(SUMIF(Capacity_Resource,$D142,'Critical resources (hide)'!AO$6:AO$105)+SUMIF(Capacity_Resource,$E142,'Critical resources (hide)'!AO$6:AO$105)+SUMIF(Capacity_Resource,$F142,'Critical resources (hide)'!AO$6:AO$105)&gt;0,$E$1=2),0,1),0)</f>
        <v>1</v>
      </c>
      <c r="AC142" s="67">
        <f ca="1">IF(LOWER(Capacity!$V47)="x",IF(AND(SUMIF(Capacity_Resource,$D142,'Critical resources (hide)'!AP$6:AP$105)+SUMIF(Capacity_Resource,$E142,'Critical resources (hide)'!AP$6:AP$105)+SUMIF(Capacity_Resource,$F142,'Critical resources (hide)'!AP$6:AP$105)&gt;0,$E$1=2),0,1),0)</f>
        <v>1</v>
      </c>
      <c r="AD142" s="67">
        <f ca="1">IF(LOWER(Capacity!$V47)="x",IF(AND(SUMIF(Capacity_Resource,$D142,'Critical resources (hide)'!AQ$6:AQ$105)+SUMIF(Capacity_Resource,$E142,'Critical resources (hide)'!AQ$6:AQ$105)+SUMIF(Capacity_Resource,$F142,'Critical resources (hide)'!AQ$6:AQ$105)&gt;0,$E$1=2),0,1),0)</f>
        <v>1</v>
      </c>
      <c r="AE142" s="67">
        <f ca="1">IF(LOWER(Capacity!$V47)="x",IF(AND(SUMIF(Capacity_Resource,$D142,'Critical resources (hide)'!AR$6:AR$105)+SUMIF(Capacity_Resource,$E142,'Critical resources (hide)'!AR$6:AR$105)+SUMIF(Capacity_Resource,$F142,'Critical resources (hide)'!AR$6:AR$105)&gt;0,$E$1=2),0,1),0)</f>
        <v>1</v>
      </c>
      <c r="AF142" s="67">
        <f ca="1">IF(LOWER(Capacity!$V47)="x",IF(AND(SUMIF(Capacity_Resource,$D142,'Critical resources (hide)'!AS$6:AS$105)+SUMIF(Capacity_Resource,$E142,'Critical resources (hide)'!AS$6:AS$105)+SUMIF(Capacity_Resource,$F142,'Critical resources (hide)'!AS$6:AS$105)&gt;0,$E$1=2),0,1),0)</f>
        <v>1</v>
      </c>
      <c r="AG142" s="67">
        <f ca="1">IF(LOWER(Capacity!$V47)="x",IF(AND(SUMIF(Capacity_Resource,$D142,'Critical resources (hide)'!AT$6:AT$105)+SUMIF(Capacity_Resource,$E142,'Critical resources (hide)'!AT$6:AT$105)+SUMIF(Capacity_Resource,$F142,'Critical resources (hide)'!AT$6:AT$105)&gt;0,$E$1=2),0,1),0)</f>
        <v>1</v>
      </c>
      <c r="AH142" s="67">
        <f ca="1">IF(LOWER(Capacity!$V47)="x",IF(AND(SUMIF(Capacity_Resource,$D142,'Critical resources (hide)'!AU$6:AU$105)+SUMIF(Capacity_Resource,$E142,'Critical resources (hide)'!AU$6:AU$105)+SUMIF(Capacity_Resource,$F142,'Critical resources (hide)'!AU$6:AU$105)&gt;0,$E$1=2),0,1),0)</f>
        <v>1</v>
      </c>
      <c r="AI142" s="67">
        <f ca="1">IF(LOWER(Capacity!$V47)="x",IF(AND(SUMIF(Capacity_Resource,$D142,'Critical resources (hide)'!AV$6:AV$105)+SUMIF(Capacity_Resource,$E142,'Critical resources (hide)'!AV$6:AV$105)+SUMIF(Capacity_Resource,$F142,'Critical resources (hide)'!AV$6:AV$105)&gt;0,$E$1=2),0,1),0)</f>
        <v>1</v>
      </c>
      <c r="AJ142" s="67">
        <f ca="1">IF(LOWER(Capacity!$V47)="x",IF(AND(SUMIF(Capacity_Resource,$D142,'Critical resources (hide)'!AW$6:AW$105)+SUMIF(Capacity_Resource,$E142,'Critical resources (hide)'!AW$6:AW$105)+SUMIF(Capacity_Resource,$F142,'Critical resources (hide)'!AW$6:AW$105)&gt;0,$E$1=2),0,1),0)</f>
        <v>1</v>
      </c>
      <c r="AK142" s="67">
        <f ca="1">IF(LOWER(Capacity!$V47)="x",IF(AND(SUMIF(Capacity_Resource,$D142,'Critical resources (hide)'!AX$6:AX$105)+SUMIF(Capacity_Resource,$E142,'Critical resources (hide)'!AX$6:AX$105)+SUMIF(Capacity_Resource,$F142,'Critical resources (hide)'!AX$6:AX$105)&gt;0,$E$1=2),0,1),0)</f>
        <v>1</v>
      </c>
      <c r="AL142" s="67">
        <f ca="1">IF(LOWER(Capacity!$V47)="x",IF(AND(SUMIF(Capacity_Resource,$D142,'Critical resources (hide)'!AY$6:AY$105)+SUMIF(Capacity_Resource,$E142,'Critical resources (hide)'!AY$6:AY$105)+SUMIF(Capacity_Resource,$F142,'Critical resources (hide)'!AY$6:AY$105)&gt;0,$E$1=2),0,1),0)</f>
        <v>1</v>
      </c>
      <c r="AM142" s="67">
        <f ca="1">IF(LOWER(Capacity!$V47)="x",IF(AND(SUMIF(Capacity_Resource,$D142,'Critical resources (hide)'!AZ$6:AZ$105)+SUMIF(Capacity_Resource,$E142,'Critical resources (hide)'!AZ$6:AZ$105)+SUMIF(Capacity_Resource,$F142,'Critical resources (hide)'!AZ$6:AZ$105)&gt;0,$E$1=2),0,1),0)</f>
        <v>1</v>
      </c>
      <c r="AN142" s="67">
        <f ca="1">IF(LOWER(Capacity!$V47)="x",IF(AND(SUMIF(Capacity_Resource,$D142,'Critical resources (hide)'!BA$6:BA$105)+SUMIF(Capacity_Resource,$E142,'Critical resources (hide)'!BA$6:BA$105)+SUMIF(Capacity_Resource,$F142,'Critical resources (hide)'!BA$6:BA$105)&gt;0,$E$1=2),0,1),0)</f>
        <v>1</v>
      </c>
      <c r="AO142" s="67">
        <f ca="1">IF(LOWER(Capacity!$V47)="x",IF(AND(SUMIF(Capacity_Resource,$D142,'Critical resources (hide)'!BB$6:BB$105)+SUMIF(Capacity_Resource,$E142,'Critical resources (hide)'!BB$6:BB$105)+SUMIF(Capacity_Resource,$F142,'Critical resources (hide)'!BB$6:BB$105)&gt;0,$E$1=2),0,1),0)</f>
        <v>1</v>
      </c>
      <c r="AP142" s="67">
        <f ca="1">IF(LOWER(Capacity!$V47)="x",IF(AND(SUMIF(Capacity_Resource,$D142,'Critical resources (hide)'!BC$6:BC$105)+SUMIF(Capacity_Resource,$E142,'Critical resources (hide)'!BC$6:BC$105)+SUMIF(Capacity_Resource,$F142,'Critical resources (hide)'!BC$6:BC$105)&gt;0,$E$1=2),0,1),0)</f>
        <v>1</v>
      </c>
      <c r="AQ142" s="67">
        <f ca="1">IF(LOWER(Capacity!$V47)="x",IF(AND(SUMIF(Capacity_Resource,$D142,'Critical resources (hide)'!BD$6:BD$105)+SUMIF(Capacity_Resource,$E142,'Critical resources (hide)'!BD$6:BD$105)+SUMIF(Capacity_Resource,$F142,'Critical resources (hide)'!BD$6:BD$105)&gt;0,$E$1=2),0,1),0)</f>
        <v>1</v>
      </c>
      <c r="AR142" s="67">
        <f ca="1">IF(LOWER(Capacity!$V47)="x",IF(AND(SUMIF(Capacity_Resource,$D142,'Critical resources (hide)'!BE$6:BE$105)+SUMIF(Capacity_Resource,$E142,'Critical resources (hide)'!BE$6:BE$105)+SUMIF(Capacity_Resource,$F142,'Critical resources (hide)'!BE$6:BE$105)&gt;0,$E$1=2),0,1),0)</f>
        <v>1</v>
      </c>
      <c r="AS142" s="67">
        <f ca="1">IF(LOWER(Capacity!$V47)="x",IF(AND(SUMIF(Capacity_Resource,$D142,'Critical resources (hide)'!BF$6:BF$105)+SUMIF(Capacity_Resource,$E142,'Critical resources (hide)'!BF$6:BF$105)+SUMIF(Capacity_Resource,$F142,'Critical resources (hide)'!BF$6:BF$105)&gt;0,$E$1=2),0,1),0)</f>
        <v>1</v>
      </c>
      <c r="AT142" s="67">
        <f ca="1">IF(LOWER(Capacity!$V47)="x",IF(AND(SUMIF(Capacity_Resource,$D142,'Critical resources (hide)'!BG$6:BG$105)+SUMIF(Capacity_Resource,$E142,'Critical resources (hide)'!BG$6:BG$105)+SUMIF(Capacity_Resource,$F142,'Critical resources (hide)'!BG$6:BG$105)&gt;0,$E$1=2),0,1),0)</f>
        <v>1</v>
      </c>
      <c r="AU142" s="67">
        <f ca="1">IF(LOWER(Capacity!$V47)="x",IF(AND(SUMIF(Capacity_Resource,$D142,'Critical resources (hide)'!BH$6:BH$105)+SUMIF(Capacity_Resource,$E142,'Critical resources (hide)'!BH$6:BH$105)+SUMIF(Capacity_Resource,$F142,'Critical resources (hide)'!BH$6:BH$105)&gt;0,$E$1=2),0,1),0)</f>
        <v>1</v>
      </c>
      <c r="AV142" s="67">
        <f ca="1">IF(LOWER(Capacity!$V47)="x",IF(AND(SUMIF(Capacity_Resource,$D142,'Critical resources (hide)'!BI$6:BI$105)+SUMIF(Capacity_Resource,$E142,'Critical resources (hide)'!BI$6:BI$105)+SUMIF(Capacity_Resource,$F142,'Critical resources (hide)'!BI$6:BI$105)&gt;0,$E$1=2),0,1),0)</f>
        <v>1</v>
      </c>
      <c r="AW142" s="67">
        <f ca="1">IF(LOWER(Capacity!$V47)="x",IF(AND(SUMIF(Capacity_Resource,$D142,'Critical resources (hide)'!BJ$6:BJ$105)+SUMIF(Capacity_Resource,$E142,'Critical resources (hide)'!BJ$6:BJ$105)+SUMIF(Capacity_Resource,$F142,'Critical resources (hide)'!BJ$6:BJ$105)&gt;0,$E$1=2),0,1),0)</f>
        <v>1</v>
      </c>
      <c r="AX142" s="67">
        <f ca="1">IF(LOWER(Capacity!$V47)="x",IF(AND(SUMIF(Capacity_Resource,$D142,'Critical resources (hide)'!BK$6:BK$105)+SUMIF(Capacity_Resource,$E142,'Critical resources (hide)'!BK$6:BK$105)+SUMIF(Capacity_Resource,$F142,'Critical resources (hide)'!BK$6:BK$105)&gt;0,$E$1=2),0,1),0)</f>
        <v>1</v>
      </c>
      <c r="AY142" s="67">
        <f ca="1">IF(LOWER(Capacity!$V47)="x",IF(AND(SUMIF(Capacity_Resource,$D142,'Critical resources (hide)'!BL$6:BL$105)+SUMIF(Capacity_Resource,$E142,'Critical resources (hide)'!BL$6:BL$105)+SUMIF(Capacity_Resource,$F142,'Critical resources (hide)'!BL$6:BL$105)&gt;0,$E$1=2),0,1),0)</f>
        <v>1</v>
      </c>
      <c r="AZ142" s="67">
        <f ca="1">IF(LOWER(Capacity!$V47)="x",IF(AND(SUMIF(Capacity_Resource,$D142,'Critical resources (hide)'!BM$6:BM$105)+SUMIF(Capacity_Resource,$E142,'Critical resources (hide)'!BM$6:BM$105)+SUMIF(Capacity_Resource,$F142,'Critical resources (hide)'!BM$6:BM$105)&gt;0,$E$1=2),0,1),0)</f>
        <v>1</v>
      </c>
      <c r="BA142" s="67">
        <f ca="1">IF(LOWER(Capacity!$V47)="x",IF(AND(SUMIF(Capacity_Resource,$D142,'Critical resources (hide)'!BN$6:BN$105)+SUMIF(Capacity_Resource,$E142,'Critical resources (hide)'!BN$6:BN$105)+SUMIF(Capacity_Resource,$F142,'Critical resources (hide)'!BN$6:BN$105)&gt;0,$E$1=2),0,1),0)</f>
        <v>1</v>
      </c>
      <c r="BB142" s="67">
        <f ca="1">IF(LOWER(Capacity!$V47)="x",IF(AND(SUMIF(Capacity_Resource,$D142,'Critical resources (hide)'!BO$6:BO$105)+SUMIF(Capacity_Resource,$E142,'Critical resources (hide)'!BO$6:BO$105)+SUMIF(Capacity_Resource,$F142,'Critical resources (hide)'!BO$6:BO$105)&gt;0,$E$1=2),0,1),0)</f>
        <v>1</v>
      </c>
      <c r="BC142" s="67">
        <f ca="1">IF(LOWER(Capacity!$V47)="x",IF(AND(SUMIF(Capacity_Resource,$D142,'Critical resources (hide)'!BP$6:BP$105)+SUMIF(Capacity_Resource,$E142,'Critical resources (hide)'!BP$6:BP$105)+SUMIF(Capacity_Resource,$F142,'Critical resources (hide)'!BP$6:BP$105)&gt;0,$E$1=2),0,1),0)</f>
        <v>1</v>
      </c>
      <c r="BD142" s="67">
        <f ca="1">IF(LOWER(Capacity!$V47)="x",IF(AND(SUMIF(Capacity_Resource,$D142,'Critical resources (hide)'!BQ$6:BQ$105)+SUMIF(Capacity_Resource,$E142,'Critical resources (hide)'!BQ$6:BQ$105)+SUMIF(Capacity_Resource,$F142,'Critical resources (hide)'!BQ$6:BQ$105)&gt;0,$E$1=2),0,1),0)</f>
        <v>1</v>
      </c>
      <c r="BE142" s="67">
        <f ca="1">IF(LOWER(Capacity!$V47)="x",IF(AND(SUMIF(Capacity_Resource,$D142,'Critical resources (hide)'!BR$6:BR$105)+SUMIF(Capacity_Resource,$E142,'Critical resources (hide)'!BR$6:BR$105)+SUMIF(Capacity_Resource,$F142,'Critical resources (hide)'!BR$6:BR$105)&gt;0,$E$1=2),0,1),0)</f>
        <v>1</v>
      </c>
      <c r="BF142" s="67">
        <f ca="1">IF(LOWER(Capacity!$V47)="x",IF(AND(SUMIF(Capacity_Resource,$D142,'Critical resources (hide)'!BS$6:BS$105)+SUMIF(Capacity_Resource,$E142,'Critical resources (hide)'!BS$6:BS$105)+SUMIF(Capacity_Resource,$F142,'Critical resources (hide)'!BS$6:BS$105)&gt;0,$E$1=2),0,1),0)</f>
        <v>1</v>
      </c>
      <c r="BG142" s="67">
        <f ca="1">IF(LOWER(Capacity!$V47)="x",IF(AND(SUMIF(Capacity_Resource,$D142,'Critical resources (hide)'!BT$6:BT$105)+SUMIF(Capacity_Resource,$E142,'Critical resources (hide)'!BT$6:BT$105)+SUMIF(Capacity_Resource,$F142,'Critical resources (hide)'!BT$6:BT$105)&gt;0,$E$1=2),0,1),0)</f>
        <v>1</v>
      </c>
      <c r="BH142" s="67">
        <f>IF(ROW(A31)&lt;=Capacity!$M$16,IF('Capacity summary'!$C$14="No",SUM(H142:BG142),'Capacity summary'!$E54),0)</f>
        <v>0</v>
      </c>
      <c r="BI142" s="67" t="str">
        <f>IF(BH142&gt;0,IF(BH142&lt;Capacity!Q47,Capacity!R47,Capacity!T47/'Capacity calculation (hide)'!BH142),"")</f>
        <v/>
      </c>
      <c r="BJ142" s="5"/>
      <c r="BK142" s="5">
        <f>IF($BI142&lt;&gt;"",IF('Capacity summary'!$C$14="Yes",IF(COUNTBLANK('Capacity summary'!$H54:$BG54)&lt;52,IF('Capacity summary'!H54&lt;&gt;"",IF(LOWER('Capacity summary'!H54)="x",$BI142*H142,VALUE('Capacity summary'!H54)),0),H142*$BI142),H142*$BI142),0)</f>
        <v>0</v>
      </c>
      <c r="BL142" s="5">
        <f>IF($BI142&lt;&gt;"",IF('Capacity summary'!$C$14="Yes",IF(COUNTBLANK('Capacity summary'!$H54:$BG54)&lt;52,IF('Capacity summary'!I54&lt;&gt;"",IF(LOWER('Capacity summary'!I54)="x",$BI142*I142,VALUE('Capacity summary'!I54)),0),I142*$BI142),I142*$BI142),0)</f>
        <v>0</v>
      </c>
      <c r="BM142" s="5">
        <f>IF($BI142&lt;&gt;"",IF('Capacity summary'!$C$14="Yes",IF(COUNTBLANK('Capacity summary'!$H54:$BG54)&lt;52,IF('Capacity summary'!J54&lt;&gt;"",IF(LOWER('Capacity summary'!J54)="x",$BI142*J142,VALUE('Capacity summary'!J54)),0),J142*$BI142),J142*$BI142),0)</f>
        <v>0</v>
      </c>
      <c r="BN142" s="5">
        <f>IF($BI142&lt;&gt;"",IF('Capacity summary'!$C$14="Yes",IF(COUNTBLANK('Capacity summary'!$H54:$BG54)&lt;52,IF('Capacity summary'!K54&lt;&gt;"",IF(LOWER('Capacity summary'!K54)="x",$BI142*K142,VALUE('Capacity summary'!K54)),0),K142*$BI142),K142*$BI142),0)</f>
        <v>0</v>
      </c>
      <c r="BO142" s="5">
        <f>IF($BI142&lt;&gt;"",IF('Capacity summary'!$C$14="Yes",IF(COUNTBLANK('Capacity summary'!$H54:$BG54)&lt;52,IF('Capacity summary'!L54&lt;&gt;"",IF(LOWER('Capacity summary'!L54)="x",$BI142*L142,VALUE('Capacity summary'!L54)),0),L142*$BI142),L142*$BI142),0)</f>
        <v>0</v>
      </c>
      <c r="BP142" s="5">
        <f>IF($BI142&lt;&gt;"",IF('Capacity summary'!$C$14="Yes",IF(COUNTBLANK('Capacity summary'!$H54:$BG54)&lt;52,IF('Capacity summary'!M54&lt;&gt;"",IF(LOWER('Capacity summary'!M54)="x",$BI142*M142,VALUE('Capacity summary'!M54)),0),M142*$BI142),M142*$BI142),0)</f>
        <v>0</v>
      </c>
      <c r="BQ142" s="5">
        <f>IF($BI142&lt;&gt;"",IF('Capacity summary'!$C$14="Yes",IF(COUNTBLANK('Capacity summary'!$H54:$BG54)&lt;52,IF('Capacity summary'!N54&lt;&gt;"",IF(LOWER('Capacity summary'!N54)="x",$BI142*N142,VALUE('Capacity summary'!N54)),0),N142*$BI142),N142*$BI142),0)</f>
        <v>0</v>
      </c>
      <c r="BR142" s="5">
        <f>IF($BI142&lt;&gt;"",IF('Capacity summary'!$C$14="Yes",IF(COUNTBLANK('Capacity summary'!$H54:$BG54)&lt;52,IF('Capacity summary'!O54&lt;&gt;"",IF(LOWER('Capacity summary'!O54)="x",$BI142*O142,VALUE('Capacity summary'!O54)),0),O142*$BI142),O142*$BI142),0)</f>
        <v>0</v>
      </c>
      <c r="BS142" s="5">
        <f>IF($BI142&lt;&gt;"",IF('Capacity summary'!$C$14="Yes",IF(COUNTBLANK('Capacity summary'!$H54:$BG54)&lt;52,IF('Capacity summary'!P54&lt;&gt;"",IF(LOWER('Capacity summary'!P54)="x",$BI142*P142,VALUE('Capacity summary'!P54)),0),P142*$BI142),P142*$BI142),0)</f>
        <v>0</v>
      </c>
      <c r="BT142" s="5">
        <f>IF($BI142&lt;&gt;"",IF('Capacity summary'!$C$14="Yes",IF(COUNTBLANK('Capacity summary'!$H54:$BG54)&lt;52,IF('Capacity summary'!Q54&lt;&gt;"",IF(LOWER('Capacity summary'!Q54)="x",$BI142*Q142,VALUE('Capacity summary'!Q54)),0),Q142*$BI142),Q142*$BI142),0)</f>
        <v>0</v>
      </c>
      <c r="BU142" s="5">
        <f>IF($BI142&lt;&gt;"",IF('Capacity summary'!$C$14="Yes",IF(COUNTBLANK('Capacity summary'!$H54:$BG54)&lt;52,IF('Capacity summary'!R54&lt;&gt;"",IF(LOWER('Capacity summary'!R54)="x",$BI142*R142,VALUE('Capacity summary'!R54)),0),R142*$BI142),R142*$BI142),0)</f>
        <v>0</v>
      </c>
      <c r="BV142" s="5">
        <f>IF($BI142&lt;&gt;"",IF('Capacity summary'!$C$14="Yes",IF(COUNTBLANK('Capacity summary'!$H54:$BG54)&lt;52,IF('Capacity summary'!S54&lt;&gt;"",IF(LOWER('Capacity summary'!S54)="x",$BI142*S142,VALUE('Capacity summary'!S54)),0),S142*$BI142),S142*$BI142),0)</f>
        <v>0</v>
      </c>
      <c r="BW142" s="5">
        <f>IF($BI142&lt;&gt;"",IF('Capacity summary'!$C$14="Yes",IF(COUNTBLANK('Capacity summary'!$H54:$BG54)&lt;52,IF('Capacity summary'!T54&lt;&gt;"",IF(LOWER('Capacity summary'!T54)="x",$BI142*T142,VALUE('Capacity summary'!T54)),0),T142*$BI142),T142*$BI142),0)</f>
        <v>0</v>
      </c>
      <c r="BX142" s="5">
        <f>IF($BI142&lt;&gt;"",IF('Capacity summary'!$C$14="Yes",IF(COUNTBLANK('Capacity summary'!$H54:$BG54)&lt;52,IF('Capacity summary'!U54&lt;&gt;"",IF(LOWER('Capacity summary'!U54)="x",$BI142*U142,VALUE('Capacity summary'!U54)),0),U142*$BI142),U142*$BI142),0)</f>
        <v>0</v>
      </c>
      <c r="BY142" s="5">
        <f>IF($BI142&lt;&gt;"",IF('Capacity summary'!$C$14="Yes",IF(COUNTBLANK('Capacity summary'!$H54:$BG54)&lt;52,IF('Capacity summary'!V54&lt;&gt;"",IF(LOWER('Capacity summary'!V54)="x",$BI142*V142,VALUE('Capacity summary'!V54)),0),V142*$BI142),V142*$BI142),0)</f>
        <v>0</v>
      </c>
      <c r="BZ142" s="5">
        <f>IF($BI142&lt;&gt;"",IF('Capacity summary'!$C$14="Yes",IF(COUNTBLANK('Capacity summary'!$H54:$BG54)&lt;52,IF('Capacity summary'!W54&lt;&gt;"",IF(LOWER('Capacity summary'!W54)="x",$BI142*W142,VALUE('Capacity summary'!W54)),0),W142*$BI142),W142*$BI142),0)</f>
        <v>0</v>
      </c>
      <c r="CA142" s="5">
        <f>IF($BI142&lt;&gt;"",IF('Capacity summary'!$C$14="Yes",IF(COUNTBLANK('Capacity summary'!$H54:$BG54)&lt;52,IF('Capacity summary'!X54&lt;&gt;"",IF(LOWER('Capacity summary'!X54)="x",$BI142*X142,VALUE('Capacity summary'!X54)),0),X142*$BI142),X142*$BI142),0)</f>
        <v>0</v>
      </c>
      <c r="CB142" s="5">
        <f>IF($BI142&lt;&gt;"",IF('Capacity summary'!$C$14="Yes",IF(COUNTBLANK('Capacity summary'!$H54:$BG54)&lt;52,IF('Capacity summary'!Y54&lt;&gt;"",IF(LOWER('Capacity summary'!Y54)="x",$BI142*Y142,VALUE('Capacity summary'!Y54)),0),Y142*$BI142),Y142*$BI142),0)</f>
        <v>0</v>
      </c>
      <c r="CC142" s="5">
        <f>IF($BI142&lt;&gt;"",IF('Capacity summary'!$C$14="Yes",IF(COUNTBLANK('Capacity summary'!$H54:$BG54)&lt;52,IF('Capacity summary'!Z54&lt;&gt;"",IF(LOWER('Capacity summary'!Z54)="x",$BI142*Z142,VALUE('Capacity summary'!Z54)),0),Z142*$BI142),Z142*$BI142),0)</f>
        <v>0</v>
      </c>
      <c r="CD142" s="5">
        <f>IF($BI142&lt;&gt;"",IF('Capacity summary'!$C$14="Yes",IF(COUNTBLANK('Capacity summary'!$H54:$BG54)&lt;52,IF('Capacity summary'!AA54&lt;&gt;"",IF(LOWER('Capacity summary'!AA54)="x",$BI142*AA142,VALUE('Capacity summary'!AA54)),0),AA142*$BI142),AA142*$BI142),0)</f>
        <v>0</v>
      </c>
      <c r="CE142" s="5">
        <f>IF($BI142&lt;&gt;"",IF('Capacity summary'!$C$14="Yes",IF(COUNTBLANK('Capacity summary'!$H54:$BG54)&lt;52,IF('Capacity summary'!AB54&lt;&gt;"",IF(LOWER('Capacity summary'!AB54)="x",$BI142*AB142,VALUE('Capacity summary'!AB54)),0),AB142*$BI142),AB142*$BI142),0)</f>
        <v>0</v>
      </c>
      <c r="CF142" s="5">
        <f>IF($BI142&lt;&gt;"",IF('Capacity summary'!$C$14="Yes",IF(COUNTBLANK('Capacity summary'!$H54:$BG54)&lt;52,IF('Capacity summary'!AC54&lt;&gt;"",IF(LOWER('Capacity summary'!AC54)="x",$BI142*AC142,VALUE('Capacity summary'!AC54)),0),AC142*$BI142),AC142*$BI142),0)</f>
        <v>0</v>
      </c>
      <c r="CG142" s="5">
        <f>IF($BI142&lt;&gt;"",IF('Capacity summary'!$C$14="Yes",IF(COUNTBLANK('Capacity summary'!$H54:$BG54)&lt;52,IF('Capacity summary'!AD54&lt;&gt;"",IF(LOWER('Capacity summary'!AD54)="x",$BI142*AD142,VALUE('Capacity summary'!AD54)),0),AD142*$BI142),AD142*$BI142),0)</f>
        <v>0</v>
      </c>
      <c r="CH142" s="5">
        <f>IF($BI142&lt;&gt;"",IF('Capacity summary'!$C$14="Yes",IF(COUNTBLANK('Capacity summary'!$H54:$BG54)&lt;52,IF('Capacity summary'!AE54&lt;&gt;"",IF(LOWER('Capacity summary'!AE54)="x",$BI142*AE142,VALUE('Capacity summary'!AE54)),0),AE142*$BI142),AE142*$BI142),0)</f>
        <v>0</v>
      </c>
      <c r="CI142" s="5">
        <f>IF($BI142&lt;&gt;"",IF('Capacity summary'!$C$14="Yes",IF(COUNTBLANK('Capacity summary'!$H54:$BG54)&lt;52,IF('Capacity summary'!AF54&lt;&gt;"",IF(LOWER('Capacity summary'!AF54)="x",$BI142*AF142,VALUE('Capacity summary'!AF54)),0),AF142*$BI142),AF142*$BI142),0)</f>
        <v>0</v>
      </c>
      <c r="CJ142" s="5">
        <f>IF($BI142&lt;&gt;"",IF('Capacity summary'!$C$14="Yes",IF(COUNTBLANK('Capacity summary'!$H54:$BG54)&lt;52,IF('Capacity summary'!AG54&lt;&gt;"",IF(LOWER('Capacity summary'!AG54)="x",$BI142*AG142,VALUE('Capacity summary'!AG54)),0),AG142*$BI142),AG142*$BI142),0)</f>
        <v>0</v>
      </c>
      <c r="CK142" s="5">
        <f>IF($BI142&lt;&gt;"",IF('Capacity summary'!$C$14="Yes",IF(COUNTBLANK('Capacity summary'!$H54:$BG54)&lt;52,IF('Capacity summary'!AH54&lt;&gt;"",IF(LOWER('Capacity summary'!AH54)="x",$BI142*AH142,VALUE('Capacity summary'!AH54)),0),AH142*$BI142),AH142*$BI142),0)</f>
        <v>0</v>
      </c>
      <c r="CL142" s="5">
        <f>IF($BI142&lt;&gt;"",IF('Capacity summary'!$C$14="Yes",IF(COUNTBLANK('Capacity summary'!$H54:$BG54)&lt;52,IF('Capacity summary'!AI54&lt;&gt;"",IF(LOWER('Capacity summary'!AI54)="x",$BI142*AI142,VALUE('Capacity summary'!AI54)),0),AI142*$BI142),AI142*$BI142),0)</f>
        <v>0</v>
      </c>
      <c r="CM142" s="5">
        <f>IF($BI142&lt;&gt;"",IF('Capacity summary'!$C$14="Yes",IF(COUNTBLANK('Capacity summary'!$H54:$BG54)&lt;52,IF('Capacity summary'!AJ54&lt;&gt;"",IF(LOWER('Capacity summary'!AJ54)="x",$BI142*AJ142,VALUE('Capacity summary'!AJ54)),0),AJ142*$BI142),AJ142*$BI142),0)</f>
        <v>0</v>
      </c>
      <c r="CN142" s="5">
        <f>IF($BI142&lt;&gt;"",IF('Capacity summary'!$C$14="Yes",IF(COUNTBLANK('Capacity summary'!$H54:$BG54)&lt;52,IF('Capacity summary'!AK54&lt;&gt;"",IF(LOWER('Capacity summary'!AK54)="x",$BI142*AK142,VALUE('Capacity summary'!AK54)),0),AK142*$BI142),AK142*$BI142),0)</f>
        <v>0</v>
      </c>
      <c r="CO142" s="5">
        <f>IF($BI142&lt;&gt;"",IF('Capacity summary'!$C$14="Yes",IF(COUNTBLANK('Capacity summary'!$H54:$BG54)&lt;52,IF('Capacity summary'!AL54&lt;&gt;"",IF(LOWER('Capacity summary'!AL54)="x",$BI142*AL142,VALUE('Capacity summary'!AL54)),0),AL142*$BI142),AL142*$BI142),0)</f>
        <v>0</v>
      </c>
      <c r="CP142" s="5">
        <f>IF($BI142&lt;&gt;"",IF('Capacity summary'!$C$14="Yes",IF(COUNTBLANK('Capacity summary'!$H54:$BG54)&lt;52,IF('Capacity summary'!AM54&lt;&gt;"",IF(LOWER('Capacity summary'!AM54)="x",$BI142*AM142,VALUE('Capacity summary'!AM54)),0),AM142*$BI142),AM142*$BI142),0)</f>
        <v>0</v>
      </c>
      <c r="CQ142" s="5">
        <f>IF($BI142&lt;&gt;"",IF('Capacity summary'!$C$14="Yes",IF(COUNTBLANK('Capacity summary'!$H54:$BG54)&lt;52,IF('Capacity summary'!AN54&lt;&gt;"",IF(LOWER('Capacity summary'!AN54)="x",$BI142*AN142,VALUE('Capacity summary'!AN54)),0),AN142*$BI142),AN142*$BI142),0)</f>
        <v>0</v>
      </c>
      <c r="CR142" s="5">
        <f>IF($BI142&lt;&gt;"",IF('Capacity summary'!$C$14="Yes",IF(COUNTBLANK('Capacity summary'!$H54:$BG54)&lt;52,IF('Capacity summary'!AO54&lt;&gt;"",IF(LOWER('Capacity summary'!AO54)="x",$BI142*AO142,VALUE('Capacity summary'!AO54)),0),AO142*$BI142),AO142*$BI142),0)</f>
        <v>0</v>
      </c>
      <c r="CS142" s="5">
        <f>IF($BI142&lt;&gt;"",IF('Capacity summary'!$C$14="Yes",IF(COUNTBLANK('Capacity summary'!$H54:$BG54)&lt;52,IF('Capacity summary'!AP54&lt;&gt;"",IF(LOWER('Capacity summary'!AP54)="x",$BI142*AP142,VALUE('Capacity summary'!AP54)),0),AP142*$BI142),AP142*$BI142),0)</f>
        <v>0</v>
      </c>
      <c r="CT142" s="5">
        <f>IF($BI142&lt;&gt;"",IF('Capacity summary'!$C$14="Yes",IF(COUNTBLANK('Capacity summary'!$H54:$BG54)&lt;52,IF('Capacity summary'!AQ54&lt;&gt;"",IF(LOWER('Capacity summary'!AQ54)="x",$BI142*AQ142,VALUE('Capacity summary'!AQ54)),0),AQ142*$BI142),AQ142*$BI142),0)</f>
        <v>0</v>
      </c>
      <c r="CU142" s="5">
        <f>IF($BI142&lt;&gt;"",IF('Capacity summary'!$C$14="Yes",IF(COUNTBLANK('Capacity summary'!$H54:$BG54)&lt;52,IF('Capacity summary'!AR54&lt;&gt;"",IF(LOWER('Capacity summary'!AR54)="x",$BI142*AR142,VALUE('Capacity summary'!AR54)),0),AR142*$BI142),AR142*$BI142),0)</f>
        <v>0</v>
      </c>
      <c r="CV142" s="5">
        <f>IF($BI142&lt;&gt;"",IF('Capacity summary'!$C$14="Yes",IF(COUNTBLANK('Capacity summary'!$H54:$BG54)&lt;52,IF('Capacity summary'!AS54&lt;&gt;"",IF(LOWER('Capacity summary'!AS54)="x",$BI142*AS142,VALUE('Capacity summary'!AS54)),0),AS142*$BI142),AS142*$BI142),0)</f>
        <v>0</v>
      </c>
      <c r="CW142" s="5">
        <f>IF($BI142&lt;&gt;"",IF('Capacity summary'!$C$14="Yes",IF(COUNTBLANK('Capacity summary'!$H54:$BG54)&lt;52,IF('Capacity summary'!AT54&lt;&gt;"",IF(LOWER('Capacity summary'!AT54)="x",$BI142*AT142,VALUE('Capacity summary'!AT54)),0),AT142*$BI142),AT142*$BI142),0)</f>
        <v>0</v>
      </c>
      <c r="CX142" s="5">
        <f>IF($BI142&lt;&gt;"",IF('Capacity summary'!$C$14="Yes",IF(COUNTBLANK('Capacity summary'!$H54:$BG54)&lt;52,IF('Capacity summary'!AU54&lt;&gt;"",IF(LOWER('Capacity summary'!AU54)="x",$BI142*AU142,VALUE('Capacity summary'!AU54)),0),AU142*$BI142),AU142*$BI142),0)</f>
        <v>0</v>
      </c>
      <c r="CY142" s="5">
        <f>IF($BI142&lt;&gt;"",IF('Capacity summary'!$C$14="Yes",IF(COUNTBLANK('Capacity summary'!$H54:$BG54)&lt;52,IF('Capacity summary'!AV54&lt;&gt;"",IF(LOWER('Capacity summary'!AV54)="x",$BI142*AV142,VALUE('Capacity summary'!AV54)),0),AV142*$BI142),AV142*$BI142),0)</f>
        <v>0</v>
      </c>
      <c r="CZ142" s="5">
        <f>IF($BI142&lt;&gt;"",IF('Capacity summary'!$C$14="Yes",IF(COUNTBLANK('Capacity summary'!$H54:$BG54)&lt;52,IF('Capacity summary'!AW54&lt;&gt;"",IF(LOWER('Capacity summary'!AW54)="x",$BI142*AW142,VALUE('Capacity summary'!AW54)),0),AW142*$BI142),AW142*$BI142),0)</f>
        <v>0</v>
      </c>
      <c r="DA142" s="5">
        <f>IF($BI142&lt;&gt;"",IF('Capacity summary'!$C$14="Yes",IF(COUNTBLANK('Capacity summary'!$H54:$BG54)&lt;52,IF('Capacity summary'!AX54&lt;&gt;"",IF(LOWER('Capacity summary'!AX54)="x",$BI142*AX142,VALUE('Capacity summary'!AX54)),0),AX142*$BI142),AX142*$BI142),0)</f>
        <v>0</v>
      </c>
      <c r="DB142" s="5">
        <f>IF($BI142&lt;&gt;"",IF('Capacity summary'!$C$14="Yes",IF(COUNTBLANK('Capacity summary'!$H54:$BG54)&lt;52,IF('Capacity summary'!AY54&lt;&gt;"",IF(LOWER('Capacity summary'!AY54)="x",$BI142*AY142,VALUE('Capacity summary'!AY54)),0),AY142*$BI142),AY142*$BI142),0)</f>
        <v>0</v>
      </c>
      <c r="DC142" s="5">
        <f>IF($BI142&lt;&gt;"",IF('Capacity summary'!$C$14="Yes",IF(COUNTBLANK('Capacity summary'!$H54:$BG54)&lt;52,IF('Capacity summary'!AZ54&lt;&gt;"",IF(LOWER('Capacity summary'!AZ54)="x",$BI142*AZ142,VALUE('Capacity summary'!AZ54)),0),AZ142*$BI142),AZ142*$BI142),0)</f>
        <v>0</v>
      </c>
      <c r="DD142" s="5">
        <f>IF($BI142&lt;&gt;"",IF('Capacity summary'!$C$14="Yes",IF(COUNTBLANK('Capacity summary'!$H54:$BG54)&lt;52,IF('Capacity summary'!BA54&lt;&gt;"",IF(LOWER('Capacity summary'!BA54)="x",$BI142*BA142,VALUE('Capacity summary'!BA54)),0),BA142*$BI142),BA142*$BI142),0)</f>
        <v>0</v>
      </c>
      <c r="DE142" s="5">
        <f>IF($BI142&lt;&gt;"",IF('Capacity summary'!$C$14="Yes",IF(COUNTBLANK('Capacity summary'!$H54:$BG54)&lt;52,IF('Capacity summary'!BB54&lt;&gt;"",IF(LOWER('Capacity summary'!BB54)="x",$BI142*BB142,VALUE('Capacity summary'!BB54)),0),BB142*$BI142),BB142*$BI142),0)</f>
        <v>0</v>
      </c>
      <c r="DF142" s="5">
        <f>IF($BI142&lt;&gt;"",IF('Capacity summary'!$C$14="Yes",IF(COUNTBLANK('Capacity summary'!$H54:$BG54)&lt;52,IF('Capacity summary'!BC54&lt;&gt;"",IF(LOWER('Capacity summary'!BC54)="x",$BI142*BC142,VALUE('Capacity summary'!BC54)),0),BC142*$BI142),BC142*$BI142),0)</f>
        <v>0</v>
      </c>
      <c r="DG142" s="5">
        <f>IF($BI142&lt;&gt;"",IF('Capacity summary'!$C$14="Yes",IF(COUNTBLANK('Capacity summary'!$H54:$BG54)&lt;52,IF('Capacity summary'!BD54&lt;&gt;"",IF(LOWER('Capacity summary'!BD54)="x",$BI142*BD142,VALUE('Capacity summary'!BD54)),0),BD142*$BI142),BD142*$BI142),0)</f>
        <v>0</v>
      </c>
      <c r="DH142" s="5">
        <f>IF($BI142&lt;&gt;"",IF('Capacity summary'!$C$14="Yes",IF(COUNTBLANK('Capacity summary'!$H54:$BG54)&lt;52,IF('Capacity summary'!BE54&lt;&gt;"",IF(LOWER('Capacity summary'!BE54)="x",$BI142*BE142,VALUE('Capacity summary'!BE54)),0),BE142*$BI142),BE142*$BI142),0)</f>
        <v>0</v>
      </c>
      <c r="DI142" s="5">
        <f>IF($BI142&lt;&gt;"",IF('Capacity summary'!$C$14="Yes",IF(COUNTBLANK('Capacity summary'!$H54:$BG54)&lt;52,IF('Capacity summary'!BF54&lt;&gt;"",IF(LOWER('Capacity summary'!BF54)="x",$BI142*BF142,VALUE('Capacity summary'!BF54)),0),BF142*$BI142),BF142*$BI142),0)</f>
        <v>0</v>
      </c>
      <c r="DJ142" s="5">
        <f>IF($BI142&lt;&gt;"",IF('Capacity summary'!$C$14="Yes",IF(COUNTBLANK('Capacity summary'!$H54:$BG54)&lt;52,IF('Capacity summary'!BG54&lt;&gt;"",IF(LOWER('Capacity summary'!BG54)="x",$BI142*BG142,VALUE('Capacity summary'!BG54)),0),BG142*$BI142),BG142*$BI142),0)</f>
        <v>0</v>
      </c>
      <c r="DK142" s="391">
        <f t="shared" si="8"/>
        <v>0</v>
      </c>
      <c r="DL142" s="5">
        <f t="shared" si="9"/>
        <v>0</v>
      </c>
    </row>
    <row r="143" spans="3:116" x14ac:dyDescent="0.2">
      <c r="C143" s="67" t="str">
        <f>ROW(A32)&amp;". "&amp;Capacity!N48</f>
        <v xml:space="preserve">32. </v>
      </c>
      <c r="D143" s="67">
        <f>'Capacity setup'!C149</f>
        <v>0</v>
      </c>
      <c r="E143" s="67">
        <f>'Capacity setup'!D149</f>
        <v>0</v>
      </c>
      <c r="F143" s="67">
        <f>'Capacity setup'!E149</f>
        <v>0</v>
      </c>
      <c r="H143" s="67">
        <f ca="1">IF(LOWER(Capacity!$V48)="x",IF(AND(SUMIF(Capacity_Resource,$D143,'Critical resources (hide)'!U$6:U$105)+SUMIF(Capacity_Resource,$E143,'Critical resources (hide)'!U$6:U$105)+SUMIF(Capacity_Resource,$F143,'Critical resources (hide)'!U$6:U$105)&gt;0,$E$1=2),0,1),0)</f>
        <v>1</v>
      </c>
      <c r="I143" s="67">
        <f ca="1">IF(LOWER(Capacity!$V48)="x",IF(AND(SUMIF(Capacity_Resource,$D143,'Critical resources (hide)'!V$6:V$105)+SUMIF(Capacity_Resource,$E143,'Critical resources (hide)'!V$6:V$105)+SUMIF(Capacity_Resource,$F143,'Critical resources (hide)'!V$6:V$105)&gt;0,$E$1=2),0,1),0)</f>
        <v>1</v>
      </c>
      <c r="J143" s="67">
        <f ca="1">IF(LOWER(Capacity!$V48)="x",IF(AND(SUMIF(Capacity_Resource,$D143,'Critical resources (hide)'!W$6:W$105)+SUMIF(Capacity_Resource,$E143,'Critical resources (hide)'!W$6:W$105)+SUMIF(Capacity_Resource,$F143,'Critical resources (hide)'!W$6:W$105)&gt;0,$E$1=2),0,1),0)</f>
        <v>1</v>
      </c>
      <c r="K143" s="67">
        <f ca="1">IF(LOWER(Capacity!$V48)="x",IF(AND(SUMIF(Capacity_Resource,$D143,'Critical resources (hide)'!X$6:X$105)+SUMIF(Capacity_Resource,$E143,'Critical resources (hide)'!X$6:X$105)+SUMIF(Capacity_Resource,$F143,'Critical resources (hide)'!X$6:X$105)&gt;0,$E$1=2),0,1),0)</f>
        <v>1</v>
      </c>
      <c r="L143" s="67">
        <f ca="1">IF(LOWER(Capacity!$V48)="x",IF(AND(SUMIF(Capacity_Resource,$D143,'Critical resources (hide)'!Y$6:Y$105)+SUMIF(Capacity_Resource,$E143,'Critical resources (hide)'!Y$6:Y$105)+SUMIF(Capacity_Resource,$F143,'Critical resources (hide)'!Y$6:Y$105)&gt;0,$E$1=2),0,1),0)</f>
        <v>1</v>
      </c>
      <c r="M143" s="67">
        <f ca="1">IF(LOWER(Capacity!$V48)="x",IF(AND(SUMIF(Capacity_Resource,$D143,'Critical resources (hide)'!Z$6:Z$105)+SUMIF(Capacity_Resource,$E143,'Critical resources (hide)'!Z$6:Z$105)+SUMIF(Capacity_Resource,$F143,'Critical resources (hide)'!Z$6:Z$105)&gt;0,$E$1=2),0,1),0)</f>
        <v>1</v>
      </c>
      <c r="N143" s="67">
        <f ca="1">IF(LOWER(Capacity!$V48)="x",IF(AND(SUMIF(Capacity_Resource,$D143,'Critical resources (hide)'!AA$6:AA$105)+SUMIF(Capacity_Resource,$E143,'Critical resources (hide)'!AA$6:AA$105)+SUMIF(Capacity_Resource,$F143,'Critical resources (hide)'!AA$6:AA$105)&gt;0,$E$1=2),0,1),0)</f>
        <v>1</v>
      </c>
      <c r="O143" s="67">
        <f ca="1">IF(LOWER(Capacity!$V48)="x",IF(AND(SUMIF(Capacity_Resource,$D143,'Critical resources (hide)'!AB$6:AB$105)+SUMIF(Capacity_Resource,$E143,'Critical resources (hide)'!AB$6:AB$105)+SUMIF(Capacity_Resource,$F143,'Critical resources (hide)'!AB$6:AB$105)&gt;0,$E$1=2),0,1),0)</f>
        <v>1</v>
      </c>
      <c r="P143" s="67">
        <f ca="1">IF(LOWER(Capacity!$V48)="x",IF(AND(SUMIF(Capacity_Resource,$D143,'Critical resources (hide)'!AC$6:AC$105)+SUMIF(Capacity_Resource,$E143,'Critical resources (hide)'!AC$6:AC$105)+SUMIF(Capacity_Resource,$F143,'Critical resources (hide)'!AC$6:AC$105)&gt;0,$E$1=2),0,1),0)</f>
        <v>1</v>
      </c>
      <c r="Q143" s="67">
        <f ca="1">IF(LOWER(Capacity!$V48)="x",IF(AND(SUMIF(Capacity_Resource,$D143,'Critical resources (hide)'!AD$6:AD$105)+SUMIF(Capacity_Resource,$E143,'Critical resources (hide)'!AD$6:AD$105)+SUMIF(Capacity_Resource,$F143,'Critical resources (hide)'!AD$6:AD$105)&gt;0,$E$1=2),0,1),0)</f>
        <v>1</v>
      </c>
      <c r="R143" s="67">
        <f ca="1">IF(LOWER(Capacity!$V48)="x",IF(AND(SUMIF(Capacity_Resource,$D143,'Critical resources (hide)'!AE$6:AE$105)+SUMIF(Capacity_Resource,$E143,'Critical resources (hide)'!AE$6:AE$105)+SUMIF(Capacity_Resource,$F143,'Critical resources (hide)'!AE$6:AE$105)&gt;0,$E$1=2),0,1),0)</f>
        <v>1</v>
      </c>
      <c r="S143" s="67">
        <f ca="1">IF(LOWER(Capacity!$V48)="x",IF(AND(SUMIF(Capacity_Resource,$D143,'Critical resources (hide)'!AF$6:AF$105)+SUMIF(Capacity_Resource,$E143,'Critical resources (hide)'!AF$6:AF$105)+SUMIF(Capacity_Resource,$F143,'Critical resources (hide)'!AF$6:AF$105)&gt;0,$E$1=2),0,1),0)</f>
        <v>1</v>
      </c>
      <c r="T143" s="67">
        <f ca="1">IF(LOWER(Capacity!$V48)="x",IF(AND(SUMIF(Capacity_Resource,$D143,'Critical resources (hide)'!AG$6:AG$105)+SUMIF(Capacity_Resource,$E143,'Critical resources (hide)'!AG$6:AG$105)+SUMIF(Capacity_Resource,$F143,'Critical resources (hide)'!AG$6:AG$105)&gt;0,$E$1=2),0,1),0)</f>
        <v>1</v>
      </c>
      <c r="U143" s="67">
        <f ca="1">IF(LOWER(Capacity!$V48)="x",IF(AND(SUMIF(Capacity_Resource,$D143,'Critical resources (hide)'!AH$6:AH$105)+SUMIF(Capacity_Resource,$E143,'Critical resources (hide)'!AH$6:AH$105)+SUMIF(Capacity_Resource,$F143,'Critical resources (hide)'!AH$6:AH$105)&gt;0,$E$1=2),0,1),0)</f>
        <v>1</v>
      </c>
      <c r="V143" s="67">
        <f ca="1">IF(LOWER(Capacity!$V48)="x",IF(AND(SUMIF(Capacity_Resource,$D143,'Critical resources (hide)'!AI$6:AI$105)+SUMIF(Capacity_Resource,$E143,'Critical resources (hide)'!AI$6:AI$105)+SUMIF(Capacity_Resource,$F143,'Critical resources (hide)'!AI$6:AI$105)&gt;0,$E$1=2),0,1),0)</f>
        <v>1</v>
      </c>
      <c r="W143" s="67">
        <f ca="1">IF(LOWER(Capacity!$V48)="x",IF(AND(SUMIF(Capacity_Resource,$D143,'Critical resources (hide)'!AJ$6:AJ$105)+SUMIF(Capacity_Resource,$E143,'Critical resources (hide)'!AJ$6:AJ$105)+SUMIF(Capacity_Resource,$F143,'Critical resources (hide)'!AJ$6:AJ$105)&gt;0,$E$1=2),0,1),0)</f>
        <v>1</v>
      </c>
      <c r="X143" s="67">
        <f ca="1">IF(LOWER(Capacity!$V48)="x",IF(AND(SUMIF(Capacity_Resource,$D143,'Critical resources (hide)'!AK$6:AK$105)+SUMIF(Capacity_Resource,$E143,'Critical resources (hide)'!AK$6:AK$105)+SUMIF(Capacity_Resource,$F143,'Critical resources (hide)'!AK$6:AK$105)&gt;0,$E$1=2),0,1),0)</f>
        <v>1</v>
      </c>
      <c r="Y143" s="67">
        <f ca="1">IF(LOWER(Capacity!$V48)="x",IF(AND(SUMIF(Capacity_Resource,$D143,'Critical resources (hide)'!AL$6:AL$105)+SUMIF(Capacity_Resource,$E143,'Critical resources (hide)'!AL$6:AL$105)+SUMIF(Capacity_Resource,$F143,'Critical resources (hide)'!AL$6:AL$105)&gt;0,$E$1=2),0,1),0)</f>
        <v>1</v>
      </c>
      <c r="Z143" s="67">
        <f ca="1">IF(LOWER(Capacity!$V48)="x",IF(AND(SUMIF(Capacity_Resource,$D143,'Critical resources (hide)'!AM$6:AM$105)+SUMIF(Capacity_Resource,$E143,'Critical resources (hide)'!AM$6:AM$105)+SUMIF(Capacity_Resource,$F143,'Critical resources (hide)'!AM$6:AM$105)&gt;0,$E$1=2),0,1),0)</f>
        <v>1</v>
      </c>
      <c r="AA143" s="67">
        <f ca="1">IF(LOWER(Capacity!$V48)="x",IF(AND(SUMIF(Capacity_Resource,$D143,'Critical resources (hide)'!AN$6:AN$105)+SUMIF(Capacity_Resource,$E143,'Critical resources (hide)'!AN$6:AN$105)+SUMIF(Capacity_Resource,$F143,'Critical resources (hide)'!AN$6:AN$105)&gt;0,$E$1=2),0,1),0)</f>
        <v>1</v>
      </c>
      <c r="AB143" s="67">
        <f ca="1">IF(LOWER(Capacity!$V48)="x",IF(AND(SUMIF(Capacity_Resource,$D143,'Critical resources (hide)'!AO$6:AO$105)+SUMIF(Capacity_Resource,$E143,'Critical resources (hide)'!AO$6:AO$105)+SUMIF(Capacity_Resource,$F143,'Critical resources (hide)'!AO$6:AO$105)&gt;0,$E$1=2),0,1),0)</f>
        <v>1</v>
      </c>
      <c r="AC143" s="67">
        <f ca="1">IF(LOWER(Capacity!$V48)="x",IF(AND(SUMIF(Capacity_Resource,$D143,'Critical resources (hide)'!AP$6:AP$105)+SUMIF(Capacity_Resource,$E143,'Critical resources (hide)'!AP$6:AP$105)+SUMIF(Capacity_Resource,$F143,'Critical resources (hide)'!AP$6:AP$105)&gt;0,$E$1=2),0,1),0)</f>
        <v>1</v>
      </c>
      <c r="AD143" s="67">
        <f ca="1">IF(LOWER(Capacity!$V48)="x",IF(AND(SUMIF(Capacity_Resource,$D143,'Critical resources (hide)'!AQ$6:AQ$105)+SUMIF(Capacity_Resource,$E143,'Critical resources (hide)'!AQ$6:AQ$105)+SUMIF(Capacity_Resource,$F143,'Critical resources (hide)'!AQ$6:AQ$105)&gt;0,$E$1=2),0,1),0)</f>
        <v>1</v>
      </c>
      <c r="AE143" s="67">
        <f ca="1">IF(LOWER(Capacity!$V48)="x",IF(AND(SUMIF(Capacity_Resource,$D143,'Critical resources (hide)'!AR$6:AR$105)+SUMIF(Capacity_Resource,$E143,'Critical resources (hide)'!AR$6:AR$105)+SUMIF(Capacity_Resource,$F143,'Critical resources (hide)'!AR$6:AR$105)&gt;0,$E$1=2),0,1),0)</f>
        <v>1</v>
      </c>
      <c r="AF143" s="67">
        <f ca="1">IF(LOWER(Capacity!$V48)="x",IF(AND(SUMIF(Capacity_Resource,$D143,'Critical resources (hide)'!AS$6:AS$105)+SUMIF(Capacity_Resource,$E143,'Critical resources (hide)'!AS$6:AS$105)+SUMIF(Capacity_Resource,$F143,'Critical resources (hide)'!AS$6:AS$105)&gt;0,$E$1=2),0,1),0)</f>
        <v>1</v>
      </c>
      <c r="AG143" s="67">
        <f ca="1">IF(LOWER(Capacity!$V48)="x",IF(AND(SUMIF(Capacity_Resource,$D143,'Critical resources (hide)'!AT$6:AT$105)+SUMIF(Capacity_Resource,$E143,'Critical resources (hide)'!AT$6:AT$105)+SUMIF(Capacity_Resource,$F143,'Critical resources (hide)'!AT$6:AT$105)&gt;0,$E$1=2),0,1),0)</f>
        <v>1</v>
      </c>
      <c r="AH143" s="67">
        <f ca="1">IF(LOWER(Capacity!$V48)="x",IF(AND(SUMIF(Capacity_Resource,$D143,'Critical resources (hide)'!AU$6:AU$105)+SUMIF(Capacity_Resource,$E143,'Critical resources (hide)'!AU$6:AU$105)+SUMIF(Capacity_Resource,$F143,'Critical resources (hide)'!AU$6:AU$105)&gt;0,$E$1=2),0,1),0)</f>
        <v>1</v>
      </c>
      <c r="AI143" s="67">
        <f ca="1">IF(LOWER(Capacity!$V48)="x",IF(AND(SUMIF(Capacity_Resource,$D143,'Critical resources (hide)'!AV$6:AV$105)+SUMIF(Capacity_Resource,$E143,'Critical resources (hide)'!AV$6:AV$105)+SUMIF(Capacity_Resource,$F143,'Critical resources (hide)'!AV$6:AV$105)&gt;0,$E$1=2),0,1),0)</f>
        <v>1</v>
      </c>
      <c r="AJ143" s="67">
        <f ca="1">IF(LOWER(Capacity!$V48)="x",IF(AND(SUMIF(Capacity_Resource,$D143,'Critical resources (hide)'!AW$6:AW$105)+SUMIF(Capacity_Resource,$E143,'Critical resources (hide)'!AW$6:AW$105)+SUMIF(Capacity_Resource,$F143,'Critical resources (hide)'!AW$6:AW$105)&gt;0,$E$1=2),0,1),0)</f>
        <v>1</v>
      </c>
      <c r="AK143" s="67">
        <f ca="1">IF(LOWER(Capacity!$V48)="x",IF(AND(SUMIF(Capacity_Resource,$D143,'Critical resources (hide)'!AX$6:AX$105)+SUMIF(Capacity_Resource,$E143,'Critical resources (hide)'!AX$6:AX$105)+SUMIF(Capacity_Resource,$F143,'Critical resources (hide)'!AX$6:AX$105)&gt;0,$E$1=2),0,1),0)</f>
        <v>1</v>
      </c>
      <c r="AL143" s="67">
        <f ca="1">IF(LOWER(Capacity!$V48)="x",IF(AND(SUMIF(Capacity_Resource,$D143,'Critical resources (hide)'!AY$6:AY$105)+SUMIF(Capacity_Resource,$E143,'Critical resources (hide)'!AY$6:AY$105)+SUMIF(Capacity_Resource,$F143,'Critical resources (hide)'!AY$6:AY$105)&gt;0,$E$1=2),0,1),0)</f>
        <v>1</v>
      </c>
      <c r="AM143" s="67">
        <f ca="1">IF(LOWER(Capacity!$V48)="x",IF(AND(SUMIF(Capacity_Resource,$D143,'Critical resources (hide)'!AZ$6:AZ$105)+SUMIF(Capacity_Resource,$E143,'Critical resources (hide)'!AZ$6:AZ$105)+SUMIF(Capacity_Resource,$F143,'Critical resources (hide)'!AZ$6:AZ$105)&gt;0,$E$1=2),0,1),0)</f>
        <v>1</v>
      </c>
      <c r="AN143" s="67">
        <f ca="1">IF(LOWER(Capacity!$V48)="x",IF(AND(SUMIF(Capacity_Resource,$D143,'Critical resources (hide)'!BA$6:BA$105)+SUMIF(Capacity_Resource,$E143,'Critical resources (hide)'!BA$6:BA$105)+SUMIF(Capacity_Resource,$F143,'Critical resources (hide)'!BA$6:BA$105)&gt;0,$E$1=2),0,1),0)</f>
        <v>1</v>
      </c>
      <c r="AO143" s="67">
        <f ca="1">IF(LOWER(Capacity!$V48)="x",IF(AND(SUMIF(Capacity_Resource,$D143,'Critical resources (hide)'!BB$6:BB$105)+SUMIF(Capacity_Resource,$E143,'Critical resources (hide)'!BB$6:BB$105)+SUMIF(Capacity_Resource,$F143,'Critical resources (hide)'!BB$6:BB$105)&gt;0,$E$1=2),0,1),0)</f>
        <v>1</v>
      </c>
      <c r="AP143" s="67">
        <f ca="1">IF(LOWER(Capacity!$V48)="x",IF(AND(SUMIF(Capacity_Resource,$D143,'Critical resources (hide)'!BC$6:BC$105)+SUMIF(Capacity_Resource,$E143,'Critical resources (hide)'!BC$6:BC$105)+SUMIF(Capacity_Resource,$F143,'Critical resources (hide)'!BC$6:BC$105)&gt;0,$E$1=2),0,1),0)</f>
        <v>1</v>
      </c>
      <c r="AQ143" s="67">
        <f ca="1">IF(LOWER(Capacity!$V48)="x",IF(AND(SUMIF(Capacity_Resource,$D143,'Critical resources (hide)'!BD$6:BD$105)+SUMIF(Capacity_Resource,$E143,'Critical resources (hide)'!BD$6:BD$105)+SUMIF(Capacity_Resource,$F143,'Critical resources (hide)'!BD$6:BD$105)&gt;0,$E$1=2),0,1),0)</f>
        <v>1</v>
      </c>
      <c r="AR143" s="67">
        <f ca="1">IF(LOWER(Capacity!$V48)="x",IF(AND(SUMIF(Capacity_Resource,$D143,'Critical resources (hide)'!BE$6:BE$105)+SUMIF(Capacity_Resource,$E143,'Critical resources (hide)'!BE$6:BE$105)+SUMIF(Capacity_Resource,$F143,'Critical resources (hide)'!BE$6:BE$105)&gt;0,$E$1=2),0,1),0)</f>
        <v>1</v>
      </c>
      <c r="AS143" s="67">
        <f ca="1">IF(LOWER(Capacity!$V48)="x",IF(AND(SUMIF(Capacity_Resource,$D143,'Critical resources (hide)'!BF$6:BF$105)+SUMIF(Capacity_Resource,$E143,'Critical resources (hide)'!BF$6:BF$105)+SUMIF(Capacity_Resource,$F143,'Critical resources (hide)'!BF$6:BF$105)&gt;0,$E$1=2),0,1),0)</f>
        <v>1</v>
      </c>
      <c r="AT143" s="67">
        <f ca="1">IF(LOWER(Capacity!$V48)="x",IF(AND(SUMIF(Capacity_Resource,$D143,'Critical resources (hide)'!BG$6:BG$105)+SUMIF(Capacity_Resource,$E143,'Critical resources (hide)'!BG$6:BG$105)+SUMIF(Capacity_Resource,$F143,'Critical resources (hide)'!BG$6:BG$105)&gt;0,$E$1=2),0,1),0)</f>
        <v>1</v>
      </c>
      <c r="AU143" s="67">
        <f ca="1">IF(LOWER(Capacity!$V48)="x",IF(AND(SUMIF(Capacity_Resource,$D143,'Critical resources (hide)'!BH$6:BH$105)+SUMIF(Capacity_Resource,$E143,'Critical resources (hide)'!BH$6:BH$105)+SUMIF(Capacity_Resource,$F143,'Critical resources (hide)'!BH$6:BH$105)&gt;0,$E$1=2),0,1),0)</f>
        <v>1</v>
      </c>
      <c r="AV143" s="67">
        <f ca="1">IF(LOWER(Capacity!$V48)="x",IF(AND(SUMIF(Capacity_Resource,$D143,'Critical resources (hide)'!BI$6:BI$105)+SUMIF(Capacity_Resource,$E143,'Critical resources (hide)'!BI$6:BI$105)+SUMIF(Capacity_Resource,$F143,'Critical resources (hide)'!BI$6:BI$105)&gt;0,$E$1=2),0,1),0)</f>
        <v>1</v>
      </c>
      <c r="AW143" s="67">
        <f ca="1">IF(LOWER(Capacity!$V48)="x",IF(AND(SUMIF(Capacity_Resource,$D143,'Critical resources (hide)'!BJ$6:BJ$105)+SUMIF(Capacity_Resource,$E143,'Critical resources (hide)'!BJ$6:BJ$105)+SUMIF(Capacity_Resource,$F143,'Critical resources (hide)'!BJ$6:BJ$105)&gt;0,$E$1=2),0,1),0)</f>
        <v>1</v>
      </c>
      <c r="AX143" s="67">
        <f ca="1">IF(LOWER(Capacity!$V48)="x",IF(AND(SUMIF(Capacity_Resource,$D143,'Critical resources (hide)'!BK$6:BK$105)+SUMIF(Capacity_Resource,$E143,'Critical resources (hide)'!BK$6:BK$105)+SUMIF(Capacity_Resource,$F143,'Critical resources (hide)'!BK$6:BK$105)&gt;0,$E$1=2),0,1),0)</f>
        <v>1</v>
      </c>
      <c r="AY143" s="67">
        <f ca="1">IF(LOWER(Capacity!$V48)="x",IF(AND(SUMIF(Capacity_Resource,$D143,'Critical resources (hide)'!BL$6:BL$105)+SUMIF(Capacity_Resource,$E143,'Critical resources (hide)'!BL$6:BL$105)+SUMIF(Capacity_Resource,$F143,'Critical resources (hide)'!BL$6:BL$105)&gt;0,$E$1=2),0,1),0)</f>
        <v>1</v>
      </c>
      <c r="AZ143" s="67">
        <f ca="1">IF(LOWER(Capacity!$V48)="x",IF(AND(SUMIF(Capacity_Resource,$D143,'Critical resources (hide)'!BM$6:BM$105)+SUMIF(Capacity_Resource,$E143,'Critical resources (hide)'!BM$6:BM$105)+SUMIF(Capacity_Resource,$F143,'Critical resources (hide)'!BM$6:BM$105)&gt;0,$E$1=2),0,1),0)</f>
        <v>1</v>
      </c>
      <c r="BA143" s="67">
        <f ca="1">IF(LOWER(Capacity!$V48)="x",IF(AND(SUMIF(Capacity_Resource,$D143,'Critical resources (hide)'!BN$6:BN$105)+SUMIF(Capacity_Resource,$E143,'Critical resources (hide)'!BN$6:BN$105)+SUMIF(Capacity_Resource,$F143,'Critical resources (hide)'!BN$6:BN$105)&gt;0,$E$1=2),0,1),0)</f>
        <v>1</v>
      </c>
      <c r="BB143" s="67">
        <f ca="1">IF(LOWER(Capacity!$V48)="x",IF(AND(SUMIF(Capacity_Resource,$D143,'Critical resources (hide)'!BO$6:BO$105)+SUMIF(Capacity_Resource,$E143,'Critical resources (hide)'!BO$6:BO$105)+SUMIF(Capacity_Resource,$F143,'Critical resources (hide)'!BO$6:BO$105)&gt;0,$E$1=2),0,1),0)</f>
        <v>1</v>
      </c>
      <c r="BC143" s="67">
        <f ca="1">IF(LOWER(Capacity!$V48)="x",IF(AND(SUMIF(Capacity_Resource,$D143,'Critical resources (hide)'!BP$6:BP$105)+SUMIF(Capacity_Resource,$E143,'Critical resources (hide)'!BP$6:BP$105)+SUMIF(Capacity_Resource,$F143,'Critical resources (hide)'!BP$6:BP$105)&gt;0,$E$1=2),0,1),0)</f>
        <v>1</v>
      </c>
      <c r="BD143" s="67">
        <f ca="1">IF(LOWER(Capacity!$V48)="x",IF(AND(SUMIF(Capacity_Resource,$D143,'Critical resources (hide)'!BQ$6:BQ$105)+SUMIF(Capacity_Resource,$E143,'Critical resources (hide)'!BQ$6:BQ$105)+SUMIF(Capacity_Resource,$F143,'Critical resources (hide)'!BQ$6:BQ$105)&gt;0,$E$1=2),0,1),0)</f>
        <v>1</v>
      </c>
      <c r="BE143" s="67">
        <f ca="1">IF(LOWER(Capacity!$V48)="x",IF(AND(SUMIF(Capacity_Resource,$D143,'Critical resources (hide)'!BR$6:BR$105)+SUMIF(Capacity_Resource,$E143,'Critical resources (hide)'!BR$6:BR$105)+SUMIF(Capacity_Resource,$F143,'Critical resources (hide)'!BR$6:BR$105)&gt;0,$E$1=2),0,1),0)</f>
        <v>1</v>
      </c>
      <c r="BF143" s="67">
        <f ca="1">IF(LOWER(Capacity!$V48)="x",IF(AND(SUMIF(Capacity_Resource,$D143,'Critical resources (hide)'!BS$6:BS$105)+SUMIF(Capacity_Resource,$E143,'Critical resources (hide)'!BS$6:BS$105)+SUMIF(Capacity_Resource,$F143,'Critical resources (hide)'!BS$6:BS$105)&gt;0,$E$1=2),0,1),0)</f>
        <v>1</v>
      </c>
      <c r="BG143" s="67">
        <f ca="1">IF(LOWER(Capacity!$V48)="x",IF(AND(SUMIF(Capacity_Resource,$D143,'Critical resources (hide)'!BT$6:BT$105)+SUMIF(Capacity_Resource,$E143,'Critical resources (hide)'!BT$6:BT$105)+SUMIF(Capacity_Resource,$F143,'Critical resources (hide)'!BT$6:BT$105)&gt;0,$E$1=2),0,1),0)</f>
        <v>1</v>
      </c>
      <c r="BH143" s="67">
        <f>IF(ROW(A32)&lt;=Capacity!$M$16,IF('Capacity summary'!$C$14="No",SUM(H143:BG143),'Capacity summary'!$E55),0)</f>
        <v>0</v>
      </c>
      <c r="BI143" s="67" t="str">
        <f>IF(BH143&gt;0,IF(BH143&lt;Capacity!Q48,Capacity!R48,Capacity!T48/'Capacity calculation (hide)'!BH143),"")</f>
        <v/>
      </c>
      <c r="BJ143" s="5"/>
      <c r="BK143" s="5">
        <f>IF($BI143&lt;&gt;"",IF('Capacity summary'!$C$14="Yes",IF(COUNTBLANK('Capacity summary'!$H55:$BG55)&lt;52,IF('Capacity summary'!H55&lt;&gt;"",IF(LOWER('Capacity summary'!H55)="x",$BI143*H143,VALUE('Capacity summary'!H55)),0),H143*$BI143),H143*$BI143),0)</f>
        <v>0</v>
      </c>
      <c r="BL143" s="5">
        <f>IF($BI143&lt;&gt;"",IF('Capacity summary'!$C$14="Yes",IF(COUNTBLANK('Capacity summary'!$H55:$BG55)&lt;52,IF('Capacity summary'!I55&lt;&gt;"",IF(LOWER('Capacity summary'!I55)="x",$BI143*I143,VALUE('Capacity summary'!I55)),0),I143*$BI143),I143*$BI143),0)</f>
        <v>0</v>
      </c>
      <c r="BM143" s="5">
        <f>IF($BI143&lt;&gt;"",IF('Capacity summary'!$C$14="Yes",IF(COUNTBLANK('Capacity summary'!$H55:$BG55)&lt;52,IF('Capacity summary'!J55&lt;&gt;"",IF(LOWER('Capacity summary'!J55)="x",$BI143*J143,VALUE('Capacity summary'!J55)),0),J143*$BI143),J143*$BI143),0)</f>
        <v>0</v>
      </c>
      <c r="BN143" s="5">
        <f>IF($BI143&lt;&gt;"",IF('Capacity summary'!$C$14="Yes",IF(COUNTBLANK('Capacity summary'!$H55:$BG55)&lt;52,IF('Capacity summary'!K55&lt;&gt;"",IF(LOWER('Capacity summary'!K55)="x",$BI143*K143,VALUE('Capacity summary'!K55)),0),K143*$BI143),K143*$BI143),0)</f>
        <v>0</v>
      </c>
      <c r="BO143" s="5">
        <f>IF($BI143&lt;&gt;"",IF('Capacity summary'!$C$14="Yes",IF(COUNTBLANK('Capacity summary'!$H55:$BG55)&lt;52,IF('Capacity summary'!L55&lt;&gt;"",IF(LOWER('Capacity summary'!L55)="x",$BI143*L143,VALUE('Capacity summary'!L55)),0),L143*$BI143),L143*$BI143),0)</f>
        <v>0</v>
      </c>
      <c r="BP143" s="5">
        <f>IF($BI143&lt;&gt;"",IF('Capacity summary'!$C$14="Yes",IF(COUNTBLANK('Capacity summary'!$H55:$BG55)&lt;52,IF('Capacity summary'!M55&lt;&gt;"",IF(LOWER('Capacity summary'!M55)="x",$BI143*M143,VALUE('Capacity summary'!M55)),0),M143*$BI143),M143*$BI143),0)</f>
        <v>0</v>
      </c>
      <c r="BQ143" s="5">
        <f>IF($BI143&lt;&gt;"",IF('Capacity summary'!$C$14="Yes",IF(COUNTBLANK('Capacity summary'!$H55:$BG55)&lt;52,IF('Capacity summary'!N55&lt;&gt;"",IF(LOWER('Capacity summary'!N55)="x",$BI143*N143,VALUE('Capacity summary'!N55)),0),N143*$BI143),N143*$BI143),0)</f>
        <v>0</v>
      </c>
      <c r="BR143" s="5">
        <f>IF($BI143&lt;&gt;"",IF('Capacity summary'!$C$14="Yes",IF(COUNTBLANK('Capacity summary'!$H55:$BG55)&lt;52,IF('Capacity summary'!O55&lt;&gt;"",IF(LOWER('Capacity summary'!O55)="x",$BI143*O143,VALUE('Capacity summary'!O55)),0),O143*$BI143),O143*$BI143),0)</f>
        <v>0</v>
      </c>
      <c r="BS143" s="5">
        <f>IF($BI143&lt;&gt;"",IF('Capacity summary'!$C$14="Yes",IF(COUNTBLANK('Capacity summary'!$H55:$BG55)&lt;52,IF('Capacity summary'!P55&lt;&gt;"",IF(LOWER('Capacity summary'!P55)="x",$BI143*P143,VALUE('Capacity summary'!P55)),0),P143*$BI143),P143*$BI143),0)</f>
        <v>0</v>
      </c>
      <c r="BT143" s="5">
        <f>IF($BI143&lt;&gt;"",IF('Capacity summary'!$C$14="Yes",IF(COUNTBLANK('Capacity summary'!$H55:$BG55)&lt;52,IF('Capacity summary'!Q55&lt;&gt;"",IF(LOWER('Capacity summary'!Q55)="x",$BI143*Q143,VALUE('Capacity summary'!Q55)),0),Q143*$BI143),Q143*$BI143),0)</f>
        <v>0</v>
      </c>
      <c r="BU143" s="5">
        <f>IF($BI143&lt;&gt;"",IF('Capacity summary'!$C$14="Yes",IF(COUNTBLANK('Capacity summary'!$H55:$BG55)&lt;52,IF('Capacity summary'!R55&lt;&gt;"",IF(LOWER('Capacity summary'!R55)="x",$BI143*R143,VALUE('Capacity summary'!R55)),0),R143*$BI143),R143*$BI143),0)</f>
        <v>0</v>
      </c>
      <c r="BV143" s="5">
        <f>IF($BI143&lt;&gt;"",IF('Capacity summary'!$C$14="Yes",IF(COUNTBLANK('Capacity summary'!$H55:$BG55)&lt;52,IF('Capacity summary'!S55&lt;&gt;"",IF(LOWER('Capacity summary'!S55)="x",$BI143*S143,VALUE('Capacity summary'!S55)),0),S143*$BI143),S143*$BI143),0)</f>
        <v>0</v>
      </c>
      <c r="BW143" s="5">
        <f>IF($BI143&lt;&gt;"",IF('Capacity summary'!$C$14="Yes",IF(COUNTBLANK('Capacity summary'!$H55:$BG55)&lt;52,IF('Capacity summary'!T55&lt;&gt;"",IF(LOWER('Capacity summary'!T55)="x",$BI143*T143,VALUE('Capacity summary'!T55)),0),T143*$BI143),T143*$BI143),0)</f>
        <v>0</v>
      </c>
      <c r="BX143" s="5">
        <f>IF($BI143&lt;&gt;"",IF('Capacity summary'!$C$14="Yes",IF(COUNTBLANK('Capacity summary'!$H55:$BG55)&lt;52,IF('Capacity summary'!U55&lt;&gt;"",IF(LOWER('Capacity summary'!U55)="x",$BI143*U143,VALUE('Capacity summary'!U55)),0),U143*$BI143),U143*$BI143),0)</f>
        <v>0</v>
      </c>
      <c r="BY143" s="5">
        <f>IF($BI143&lt;&gt;"",IF('Capacity summary'!$C$14="Yes",IF(COUNTBLANK('Capacity summary'!$H55:$BG55)&lt;52,IF('Capacity summary'!V55&lt;&gt;"",IF(LOWER('Capacity summary'!V55)="x",$BI143*V143,VALUE('Capacity summary'!V55)),0),V143*$BI143),V143*$BI143),0)</f>
        <v>0</v>
      </c>
      <c r="BZ143" s="5">
        <f>IF($BI143&lt;&gt;"",IF('Capacity summary'!$C$14="Yes",IF(COUNTBLANK('Capacity summary'!$H55:$BG55)&lt;52,IF('Capacity summary'!W55&lt;&gt;"",IF(LOWER('Capacity summary'!W55)="x",$BI143*W143,VALUE('Capacity summary'!W55)),0),W143*$BI143),W143*$BI143),0)</f>
        <v>0</v>
      </c>
      <c r="CA143" s="5">
        <f>IF($BI143&lt;&gt;"",IF('Capacity summary'!$C$14="Yes",IF(COUNTBLANK('Capacity summary'!$H55:$BG55)&lt;52,IF('Capacity summary'!X55&lt;&gt;"",IF(LOWER('Capacity summary'!X55)="x",$BI143*X143,VALUE('Capacity summary'!X55)),0),X143*$BI143),X143*$BI143),0)</f>
        <v>0</v>
      </c>
      <c r="CB143" s="5">
        <f>IF($BI143&lt;&gt;"",IF('Capacity summary'!$C$14="Yes",IF(COUNTBLANK('Capacity summary'!$H55:$BG55)&lt;52,IF('Capacity summary'!Y55&lt;&gt;"",IF(LOWER('Capacity summary'!Y55)="x",$BI143*Y143,VALUE('Capacity summary'!Y55)),0),Y143*$BI143),Y143*$BI143),0)</f>
        <v>0</v>
      </c>
      <c r="CC143" s="5">
        <f>IF($BI143&lt;&gt;"",IF('Capacity summary'!$C$14="Yes",IF(COUNTBLANK('Capacity summary'!$H55:$BG55)&lt;52,IF('Capacity summary'!Z55&lt;&gt;"",IF(LOWER('Capacity summary'!Z55)="x",$BI143*Z143,VALUE('Capacity summary'!Z55)),0),Z143*$BI143),Z143*$BI143),0)</f>
        <v>0</v>
      </c>
      <c r="CD143" s="5">
        <f>IF($BI143&lt;&gt;"",IF('Capacity summary'!$C$14="Yes",IF(COUNTBLANK('Capacity summary'!$H55:$BG55)&lt;52,IF('Capacity summary'!AA55&lt;&gt;"",IF(LOWER('Capacity summary'!AA55)="x",$BI143*AA143,VALUE('Capacity summary'!AA55)),0),AA143*$BI143),AA143*$BI143),0)</f>
        <v>0</v>
      </c>
      <c r="CE143" s="5">
        <f>IF($BI143&lt;&gt;"",IF('Capacity summary'!$C$14="Yes",IF(COUNTBLANK('Capacity summary'!$H55:$BG55)&lt;52,IF('Capacity summary'!AB55&lt;&gt;"",IF(LOWER('Capacity summary'!AB55)="x",$BI143*AB143,VALUE('Capacity summary'!AB55)),0),AB143*$BI143),AB143*$BI143),0)</f>
        <v>0</v>
      </c>
      <c r="CF143" s="5">
        <f>IF($BI143&lt;&gt;"",IF('Capacity summary'!$C$14="Yes",IF(COUNTBLANK('Capacity summary'!$H55:$BG55)&lt;52,IF('Capacity summary'!AC55&lt;&gt;"",IF(LOWER('Capacity summary'!AC55)="x",$BI143*AC143,VALUE('Capacity summary'!AC55)),0),AC143*$BI143),AC143*$BI143),0)</f>
        <v>0</v>
      </c>
      <c r="CG143" s="5">
        <f>IF($BI143&lt;&gt;"",IF('Capacity summary'!$C$14="Yes",IF(COUNTBLANK('Capacity summary'!$H55:$BG55)&lt;52,IF('Capacity summary'!AD55&lt;&gt;"",IF(LOWER('Capacity summary'!AD55)="x",$BI143*AD143,VALUE('Capacity summary'!AD55)),0),AD143*$BI143),AD143*$BI143),0)</f>
        <v>0</v>
      </c>
      <c r="CH143" s="5">
        <f>IF($BI143&lt;&gt;"",IF('Capacity summary'!$C$14="Yes",IF(COUNTBLANK('Capacity summary'!$H55:$BG55)&lt;52,IF('Capacity summary'!AE55&lt;&gt;"",IF(LOWER('Capacity summary'!AE55)="x",$BI143*AE143,VALUE('Capacity summary'!AE55)),0),AE143*$BI143),AE143*$BI143),0)</f>
        <v>0</v>
      </c>
      <c r="CI143" s="5">
        <f>IF($BI143&lt;&gt;"",IF('Capacity summary'!$C$14="Yes",IF(COUNTBLANK('Capacity summary'!$H55:$BG55)&lt;52,IF('Capacity summary'!AF55&lt;&gt;"",IF(LOWER('Capacity summary'!AF55)="x",$BI143*AF143,VALUE('Capacity summary'!AF55)),0),AF143*$BI143),AF143*$BI143),0)</f>
        <v>0</v>
      </c>
      <c r="CJ143" s="5">
        <f>IF($BI143&lt;&gt;"",IF('Capacity summary'!$C$14="Yes",IF(COUNTBLANK('Capacity summary'!$H55:$BG55)&lt;52,IF('Capacity summary'!AG55&lt;&gt;"",IF(LOWER('Capacity summary'!AG55)="x",$BI143*AG143,VALUE('Capacity summary'!AG55)),0),AG143*$BI143),AG143*$BI143),0)</f>
        <v>0</v>
      </c>
      <c r="CK143" s="5">
        <f>IF($BI143&lt;&gt;"",IF('Capacity summary'!$C$14="Yes",IF(COUNTBLANK('Capacity summary'!$H55:$BG55)&lt;52,IF('Capacity summary'!AH55&lt;&gt;"",IF(LOWER('Capacity summary'!AH55)="x",$BI143*AH143,VALUE('Capacity summary'!AH55)),0),AH143*$BI143),AH143*$BI143),0)</f>
        <v>0</v>
      </c>
      <c r="CL143" s="5">
        <f>IF($BI143&lt;&gt;"",IF('Capacity summary'!$C$14="Yes",IF(COUNTBLANK('Capacity summary'!$H55:$BG55)&lt;52,IF('Capacity summary'!AI55&lt;&gt;"",IF(LOWER('Capacity summary'!AI55)="x",$BI143*AI143,VALUE('Capacity summary'!AI55)),0),AI143*$BI143),AI143*$BI143),0)</f>
        <v>0</v>
      </c>
      <c r="CM143" s="5">
        <f>IF($BI143&lt;&gt;"",IF('Capacity summary'!$C$14="Yes",IF(COUNTBLANK('Capacity summary'!$H55:$BG55)&lt;52,IF('Capacity summary'!AJ55&lt;&gt;"",IF(LOWER('Capacity summary'!AJ55)="x",$BI143*AJ143,VALUE('Capacity summary'!AJ55)),0),AJ143*$BI143),AJ143*$BI143),0)</f>
        <v>0</v>
      </c>
      <c r="CN143" s="5">
        <f>IF($BI143&lt;&gt;"",IF('Capacity summary'!$C$14="Yes",IF(COUNTBLANK('Capacity summary'!$H55:$BG55)&lt;52,IF('Capacity summary'!AK55&lt;&gt;"",IF(LOWER('Capacity summary'!AK55)="x",$BI143*AK143,VALUE('Capacity summary'!AK55)),0),AK143*$BI143),AK143*$BI143),0)</f>
        <v>0</v>
      </c>
      <c r="CO143" s="5">
        <f>IF($BI143&lt;&gt;"",IF('Capacity summary'!$C$14="Yes",IF(COUNTBLANK('Capacity summary'!$H55:$BG55)&lt;52,IF('Capacity summary'!AL55&lt;&gt;"",IF(LOWER('Capacity summary'!AL55)="x",$BI143*AL143,VALUE('Capacity summary'!AL55)),0),AL143*$BI143),AL143*$BI143),0)</f>
        <v>0</v>
      </c>
      <c r="CP143" s="5">
        <f>IF($BI143&lt;&gt;"",IF('Capacity summary'!$C$14="Yes",IF(COUNTBLANK('Capacity summary'!$H55:$BG55)&lt;52,IF('Capacity summary'!AM55&lt;&gt;"",IF(LOWER('Capacity summary'!AM55)="x",$BI143*AM143,VALUE('Capacity summary'!AM55)),0),AM143*$BI143),AM143*$BI143),0)</f>
        <v>0</v>
      </c>
      <c r="CQ143" s="5">
        <f>IF($BI143&lt;&gt;"",IF('Capacity summary'!$C$14="Yes",IF(COUNTBLANK('Capacity summary'!$H55:$BG55)&lt;52,IF('Capacity summary'!AN55&lt;&gt;"",IF(LOWER('Capacity summary'!AN55)="x",$BI143*AN143,VALUE('Capacity summary'!AN55)),0),AN143*$BI143),AN143*$BI143),0)</f>
        <v>0</v>
      </c>
      <c r="CR143" s="5">
        <f>IF($BI143&lt;&gt;"",IF('Capacity summary'!$C$14="Yes",IF(COUNTBLANK('Capacity summary'!$H55:$BG55)&lt;52,IF('Capacity summary'!AO55&lt;&gt;"",IF(LOWER('Capacity summary'!AO55)="x",$BI143*AO143,VALUE('Capacity summary'!AO55)),0),AO143*$BI143),AO143*$BI143),0)</f>
        <v>0</v>
      </c>
      <c r="CS143" s="5">
        <f>IF($BI143&lt;&gt;"",IF('Capacity summary'!$C$14="Yes",IF(COUNTBLANK('Capacity summary'!$H55:$BG55)&lt;52,IF('Capacity summary'!AP55&lt;&gt;"",IF(LOWER('Capacity summary'!AP55)="x",$BI143*AP143,VALUE('Capacity summary'!AP55)),0),AP143*$BI143),AP143*$BI143),0)</f>
        <v>0</v>
      </c>
      <c r="CT143" s="5">
        <f>IF($BI143&lt;&gt;"",IF('Capacity summary'!$C$14="Yes",IF(COUNTBLANK('Capacity summary'!$H55:$BG55)&lt;52,IF('Capacity summary'!AQ55&lt;&gt;"",IF(LOWER('Capacity summary'!AQ55)="x",$BI143*AQ143,VALUE('Capacity summary'!AQ55)),0),AQ143*$BI143),AQ143*$BI143),0)</f>
        <v>0</v>
      </c>
      <c r="CU143" s="5">
        <f>IF($BI143&lt;&gt;"",IF('Capacity summary'!$C$14="Yes",IF(COUNTBLANK('Capacity summary'!$H55:$BG55)&lt;52,IF('Capacity summary'!AR55&lt;&gt;"",IF(LOWER('Capacity summary'!AR55)="x",$BI143*AR143,VALUE('Capacity summary'!AR55)),0),AR143*$BI143),AR143*$BI143),0)</f>
        <v>0</v>
      </c>
      <c r="CV143" s="5">
        <f>IF($BI143&lt;&gt;"",IF('Capacity summary'!$C$14="Yes",IF(COUNTBLANK('Capacity summary'!$H55:$BG55)&lt;52,IF('Capacity summary'!AS55&lt;&gt;"",IF(LOWER('Capacity summary'!AS55)="x",$BI143*AS143,VALUE('Capacity summary'!AS55)),0),AS143*$BI143),AS143*$BI143),0)</f>
        <v>0</v>
      </c>
      <c r="CW143" s="5">
        <f>IF($BI143&lt;&gt;"",IF('Capacity summary'!$C$14="Yes",IF(COUNTBLANK('Capacity summary'!$H55:$BG55)&lt;52,IF('Capacity summary'!AT55&lt;&gt;"",IF(LOWER('Capacity summary'!AT55)="x",$BI143*AT143,VALUE('Capacity summary'!AT55)),0),AT143*$BI143),AT143*$BI143),0)</f>
        <v>0</v>
      </c>
      <c r="CX143" s="5">
        <f>IF($BI143&lt;&gt;"",IF('Capacity summary'!$C$14="Yes",IF(COUNTBLANK('Capacity summary'!$H55:$BG55)&lt;52,IF('Capacity summary'!AU55&lt;&gt;"",IF(LOWER('Capacity summary'!AU55)="x",$BI143*AU143,VALUE('Capacity summary'!AU55)),0),AU143*$BI143),AU143*$BI143),0)</f>
        <v>0</v>
      </c>
      <c r="CY143" s="5">
        <f>IF($BI143&lt;&gt;"",IF('Capacity summary'!$C$14="Yes",IF(COUNTBLANK('Capacity summary'!$H55:$BG55)&lt;52,IF('Capacity summary'!AV55&lt;&gt;"",IF(LOWER('Capacity summary'!AV55)="x",$BI143*AV143,VALUE('Capacity summary'!AV55)),0),AV143*$BI143),AV143*$BI143),0)</f>
        <v>0</v>
      </c>
      <c r="CZ143" s="5">
        <f>IF($BI143&lt;&gt;"",IF('Capacity summary'!$C$14="Yes",IF(COUNTBLANK('Capacity summary'!$H55:$BG55)&lt;52,IF('Capacity summary'!AW55&lt;&gt;"",IF(LOWER('Capacity summary'!AW55)="x",$BI143*AW143,VALUE('Capacity summary'!AW55)),0),AW143*$BI143),AW143*$BI143),0)</f>
        <v>0</v>
      </c>
      <c r="DA143" s="5">
        <f>IF($BI143&lt;&gt;"",IF('Capacity summary'!$C$14="Yes",IF(COUNTBLANK('Capacity summary'!$H55:$BG55)&lt;52,IF('Capacity summary'!AX55&lt;&gt;"",IF(LOWER('Capacity summary'!AX55)="x",$BI143*AX143,VALUE('Capacity summary'!AX55)),0),AX143*$BI143),AX143*$BI143),0)</f>
        <v>0</v>
      </c>
      <c r="DB143" s="5">
        <f>IF($BI143&lt;&gt;"",IF('Capacity summary'!$C$14="Yes",IF(COUNTBLANK('Capacity summary'!$H55:$BG55)&lt;52,IF('Capacity summary'!AY55&lt;&gt;"",IF(LOWER('Capacity summary'!AY55)="x",$BI143*AY143,VALUE('Capacity summary'!AY55)),0),AY143*$BI143),AY143*$BI143),0)</f>
        <v>0</v>
      </c>
      <c r="DC143" s="5">
        <f>IF($BI143&lt;&gt;"",IF('Capacity summary'!$C$14="Yes",IF(COUNTBLANK('Capacity summary'!$H55:$BG55)&lt;52,IF('Capacity summary'!AZ55&lt;&gt;"",IF(LOWER('Capacity summary'!AZ55)="x",$BI143*AZ143,VALUE('Capacity summary'!AZ55)),0),AZ143*$BI143),AZ143*$BI143),0)</f>
        <v>0</v>
      </c>
      <c r="DD143" s="5">
        <f>IF($BI143&lt;&gt;"",IF('Capacity summary'!$C$14="Yes",IF(COUNTBLANK('Capacity summary'!$H55:$BG55)&lt;52,IF('Capacity summary'!BA55&lt;&gt;"",IF(LOWER('Capacity summary'!BA55)="x",$BI143*BA143,VALUE('Capacity summary'!BA55)),0),BA143*$BI143),BA143*$BI143),0)</f>
        <v>0</v>
      </c>
      <c r="DE143" s="5">
        <f>IF($BI143&lt;&gt;"",IF('Capacity summary'!$C$14="Yes",IF(COUNTBLANK('Capacity summary'!$H55:$BG55)&lt;52,IF('Capacity summary'!BB55&lt;&gt;"",IF(LOWER('Capacity summary'!BB55)="x",$BI143*BB143,VALUE('Capacity summary'!BB55)),0),BB143*$BI143),BB143*$BI143),0)</f>
        <v>0</v>
      </c>
      <c r="DF143" s="5">
        <f>IF($BI143&lt;&gt;"",IF('Capacity summary'!$C$14="Yes",IF(COUNTBLANK('Capacity summary'!$H55:$BG55)&lt;52,IF('Capacity summary'!BC55&lt;&gt;"",IF(LOWER('Capacity summary'!BC55)="x",$BI143*BC143,VALUE('Capacity summary'!BC55)),0),BC143*$BI143),BC143*$BI143),0)</f>
        <v>0</v>
      </c>
      <c r="DG143" s="5">
        <f>IF($BI143&lt;&gt;"",IF('Capacity summary'!$C$14="Yes",IF(COUNTBLANK('Capacity summary'!$H55:$BG55)&lt;52,IF('Capacity summary'!BD55&lt;&gt;"",IF(LOWER('Capacity summary'!BD55)="x",$BI143*BD143,VALUE('Capacity summary'!BD55)),0),BD143*$BI143),BD143*$BI143),0)</f>
        <v>0</v>
      </c>
      <c r="DH143" s="5">
        <f>IF($BI143&lt;&gt;"",IF('Capacity summary'!$C$14="Yes",IF(COUNTBLANK('Capacity summary'!$H55:$BG55)&lt;52,IF('Capacity summary'!BE55&lt;&gt;"",IF(LOWER('Capacity summary'!BE55)="x",$BI143*BE143,VALUE('Capacity summary'!BE55)),0),BE143*$BI143),BE143*$BI143),0)</f>
        <v>0</v>
      </c>
      <c r="DI143" s="5">
        <f>IF($BI143&lt;&gt;"",IF('Capacity summary'!$C$14="Yes",IF(COUNTBLANK('Capacity summary'!$H55:$BG55)&lt;52,IF('Capacity summary'!BF55&lt;&gt;"",IF(LOWER('Capacity summary'!BF55)="x",$BI143*BF143,VALUE('Capacity summary'!BF55)),0),BF143*$BI143),BF143*$BI143),0)</f>
        <v>0</v>
      </c>
      <c r="DJ143" s="5">
        <f>IF($BI143&lt;&gt;"",IF('Capacity summary'!$C$14="Yes",IF(COUNTBLANK('Capacity summary'!$H55:$BG55)&lt;52,IF('Capacity summary'!BG55&lt;&gt;"",IF(LOWER('Capacity summary'!BG55)="x",$BI143*BG143,VALUE('Capacity summary'!BG55)),0),BG143*$BI143),BG143*$BI143),0)</f>
        <v>0</v>
      </c>
      <c r="DK143" s="391">
        <f t="shared" si="8"/>
        <v>0</v>
      </c>
      <c r="DL143" s="5">
        <f t="shared" si="9"/>
        <v>0</v>
      </c>
    </row>
    <row r="144" spans="3:116" x14ac:dyDescent="0.2">
      <c r="C144" s="67" t="str">
        <f>ROW(A33)&amp;". "&amp;Capacity!N49</f>
        <v xml:space="preserve">33. </v>
      </c>
      <c r="D144" s="67">
        <f>'Capacity setup'!C150</f>
        <v>0</v>
      </c>
      <c r="E144" s="67">
        <f>'Capacity setup'!D150</f>
        <v>0</v>
      </c>
      <c r="F144" s="67">
        <f>'Capacity setup'!E150</f>
        <v>0</v>
      </c>
      <c r="H144" s="67">
        <f ca="1">IF(LOWER(Capacity!$V49)="x",IF(AND(SUMIF(Capacity_Resource,$D144,'Critical resources (hide)'!U$6:U$105)+SUMIF(Capacity_Resource,$E144,'Critical resources (hide)'!U$6:U$105)+SUMIF(Capacity_Resource,$F144,'Critical resources (hide)'!U$6:U$105)&gt;0,$E$1=2),0,1),0)</f>
        <v>1</v>
      </c>
      <c r="I144" s="67">
        <f ca="1">IF(LOWER(Capacity!$V49)="x",IF(AND(SUMIF(Capacity_Resource,$D144,'Critical resources (hide)'!V$6:V$105)+SUMIF(Capacity_Resource,$E144,'Critical resources (hide)'!V$6:V$105)+SUMIF(Capacity_Resource,$F144,'Critical resources (hide)'!V$6:V$105)&gt;0,$E$1=2),0,1),0)</f>
        <v>1</v>
      </c>
      <c r="J144" s="67">
        <f ca="1">IF(LOWER(Capacity!$V49)="x",IF(AND(SUMIF(Capacity_Resource,$D144,'Critical resources (hide)'!W$6:W$105)+SUMIF(Capacity_Resource,$E144,'Critical resources (hide)'!W$6:W$105)+SUMIF(Capacity_Resource,$F144,'Critical resources (hide)'!W$6:W$105)&gt;0,$E$1=2),0,1),0)</f>
        <v>1</v>
      </c>
      <c r="K144" s="67">
        <f ca="1">IF(LOWER(Capacity!$V49)="x",IF(AND(SUMIF(Capacity_Resource,$D144,'Critical resources (hide)'!X$6:X$105)+SUMIF(Capacity_Resource,$E144,'Critical resources (hide)'!X$6:X$105)+SUMIF(Capacity_Resource,$F144,'Critical resources (hide)'!X$6:X$105)&gt;0,$E$1=2),0,1),0)</f>
        <v>1</v>
      </c>
      <c r="L144" s="67">
        <f ca="1">IF(LOWER(Capacity!$V49)="x",IF(AND(SUMIF(Capacity_Resource,$D144,'Critical resources (hide)'!Y$6:Y$105)+SUMIF(Capacity_Resource,$E144,'Critical resources (hide)'!Y$6:Y$105)+SUMIF(Capacity_Resource,$F144,'Critical resources (hide)'!Y$6:Y$105)&gt;0,$E$1=2),0,1),0)</f>
        <v>1</v>
      </c>
      <c r="M144" s="67">
        <f ca="1">IF(LOWER(Capacity!$V49)="x",IF(AND(SUMIF(Capacity_Resource,$D144,'Critical resources (hide)'!Z$6:Z$105)+SUMIF(Capacity_Resource,$E144,'Critical resources (hide)'!Z$6:Z$105)+SUMIF(Capacity_Resource,$F144,'Critical resources (hide)'!Z$6:Z$105)&gt;0,$E$1=2),0,1),0)</f>
        <v>1</v>
      </c>
      <c r="N144" s="67">
        <f ca="1">IF(LOWER(Capacity!$V49)="x",IF(AND(SUMIF(Capacity_Resource,$D144,'Critical resources (hide)'!AA$6:AA$105)+SUMIF(Capacity_Resource,$E144,'Critical resources (hide)'!AA$6:AA$105)+SUMIF(Capacity_Resource,$F144,'Critical resources (hide)'!AA$6:AA$105)&gt;0,$E$1=2),0,1),0)</f>
        <v>1</v>
      </c>
      <c r="O144" s="67">
        <f ca="1">IF(LOWER(Capacity!$V49)="x",IF(AND(SUMIF(Capacity_Resource,$D144,'Critical resources (hide)'!AB$6:AB$105)+SUMIF(Capacity_Resource,$E144,'Critical resources (hide)'!AB$6:AB$105)+SUMIF(Capacity_Resource,$F144,'Critical resources (hide)'!AB$6:AB$105)&gt;0,$E$1=2),0,1),0)</f>
        <v>1</v>
      </c>
      <c r="P144" s="67">
        <f ca="1">IF(LOWER(Capacity!$V49)="x",IF(AND(SUMIF(Capacity_Resource,$D144,'Critical resources (hide)'!AC$6:AC$105)+SUMIF(Capacity_Resource,$E144,'Critical resources (hide)'!AC$6:AC$105)+SUMIF(Capacity_Resource,$F144,'Critical resources (hide)'!AC$6:AC$105)&gt;0,$E$1=2),0,1),0)</f>
        <v>1</v>
      </c>
      <c r="Q144" s="67">
        <f ca="1">IF(LOWER(Capacity!$V49)="x",IF(AND(SUMIF(Capacity_Resource,$D144,'Critical resources (hide)'!AD$6:AD$105)+SUMIF(Capacity_Resource,$E144,'Critical resources (hide)'!AD$6:AD$105)+SUMIF(Capacity_Resource,$F144,'Critical resources (hide)'!AD$6:AD$105)&gt;0,$E$1=2),0,1),0)</f>
        <v>1</v>
      </c>
      <c r="R144" s="67">
        <f ca="1">IF(LOWER(Capacity!$V49)="x",IF(AND(SUMIF(Capacity_Resource,$D144,'Critical resources (hide)'!AE$6:AE$105)+SUMIF(Capacity_Resource,$E144,'Critical resources (hide)'!AE$6:AE$105)+SUMIF(Capacity_Resource,$F144,'Critical resources (hide)'!AE$6:AE$105)&gt;0,$E$1=2),0,1),0)</f>
        <v>1</v>
      </c>
      <c r="S144" s="67">
        <f ca="1">IF(LOWER(Capacity!$V49)="x",IF(AND(SUMIF(Capacity_Resource,$D144,'Critical resources (hide)'!AF$6:AF$105)+SUMIF(Capacity_Resource,$E144,'Critical resources (hide)'!AF$6:AF$105)+SUMIF(Capacity_Resource,$F144,'Critical resources (hide)'!AF$6:AF$105)&gt;0,$E$1=2),0,1),0)</f>
        <v>1</v>
      </c>
      <c r="T144" s="67">
        <f ca="1">IF(LOWER(Capacity!$V49)="x",IF(AND(SUMIF(Capacity_Resource,$D144,'Critical resources (hide)'!AG$6:AG$105)+SUMIF(Capacity_Resource,$E144,'Critical resources (hide)'!AG$6:AG$105)+SUMIF(Capacity_Resource,$F144,'Critical resources (hide)'!AG$6:AG$105)&gt;0,$E$1=2),0,1),0)</f>
        <v>1</v>
      </c>
      <c r="U144" s="67">
        <f ca="1">IF(LOWER(Capacity!$V49)="x",IF(AND(SUMIF(Capacity_Resource,$D144,'Critical resources (hide)'!AH$6:AH$105)+SUMIF(Capacity_Resource,$E144,'Critical resources (hide)'!AH$6:AH$105)+SUMIF(Capacity_Resource,$F144,'Critical resources (hide)'!AH$6:AH$105)&gt;0,$E$1=2),0,1),0)</f>
        <v>1</v>
      </c>
      <c r="V144" s="67">
        <f ca="1">IF(LOWER(Capacity!$V49)="x",IF(AND(SUMIF(Capacity_Resource,$D144,'Critical resources (hide)'!AI$6:AI$105)+SUMIF(Capacity_Resource,$E144,'Critical resources (hide)'!AI$6:AI$105)+SUMIF(Capacity_Resource,$F144,'Critical resources (hide)'!AI$6:AI$105)&gt;0,$E$1=2),0,1),0)</f>
        <v>1</v>
      </c>
      <c r="W144" s="67">
        <f ca="1">IF(LOWER(Capacity!$V49)="x",IF(AND(SUMIF(Capacity_Resource,$D144,'Critical resources (hide)'!AJ$6:AJ$105)+SUMIF(Capacity_Resource,$E144,'Critical resources (hide)'!AJ$6:AJ$105)+SUMIF(Capacity_Resource,$F144,'Critical resources (hide)'!AJ$6:AJ$105)&gt;0,$E$1=2),0,1),0)</f>
        <v>1</v>
      </c>
      <c r="X144" s="67">
        <f ca="1">IF(LOWER(Capacity!$V49)="x",IF(AND(SUMIF(Capacity_Resource,$D144,'Critical resources (hide)'!AK$6:AK$105)+SUMIF(Capacity_Resource,$E144,'Critical resources (hide)'!AK$6:AK$105)+SUMIF(Capacity_Resource,$F144,'Critical resources (hide)'!AK$6:AK$105)&gt;0,$E$1=2),0,1),0)</f>
        <v>1</v>
      </c>
      <c r="Y144" s="67">
        <f ca="1">IF(LOWER(Capacity!$V49)="x",IF(AND(SUMIF(Capacity_Resource,$D144,'Critical resources (hide)'!AL$6:AL$105)+SUMIF(Capacity_Resource,$E144,'Critical resources (hide)'!AL$6:AL$105)+SUMIF(Capacity_Resource,$F144,'Critical resources (hide)'!AL$6:AL$105)&gt;0,$E$1=2),0,1),0)</f>
        <v>1</v>
      </c>
      <c r="Z144" s="67">
        <f ca="1">IF(LOWER(Capacity!$V49)="x",IF(AND(SUMIF(Capacity_Resource,$D144,'Critical resources (hide)'!AM$6:AM$105)+SUMIF(Capacity_Resource,$E144,'Critical resources (hide)'!AM$6:AM$105)+SUMIF(Capacity_Resource,$F144,'Critical resources (hide)'!AM$6:AM$105)&gt;0,$E$1=2),0,1),0)</f>
        <v>1</v>
      </c>
      <c r="AA144" s="67">
        <f ca="1">IF(LOWER(Capacity!$V49)="x",IF(AND(SUMIF(Capacity_Resource,$D144,'Critical resources (hide)'!AN$6:AN$105)+SUMIF(Capacity_Resource,$E144,'Critical resources (hide)'!AN$6:AN$105)+SUMIF(Capacity_Resource,$F144,'Critical resources (hide)'!AN$6:AN$105)&gt;0,$E$1=2),0,1),0)</f>
        <v>1</v>
      </c>
      <c r="AB144" s="67">
        <f ca="1">IF(LOWER(Capacity!$V49)="x",IF(AND(SUMIF(Capacity_Resource,$D144,'Critical resources (hide)'!AO$6:AO$105)+SUMIF(Capacity_Resource,$E144,'Critical resources (hide)'!AO$6:AO$105)+SUMIF(Capacity_Resource,$F144,'Critical resources (hide)'!AO$6:AO$105)&gt;0,$E$1=2),0,1),0)</f>
        <v>1</v>
      </c>
      <c r="AC144" s="67">
        <f ca="1">IF(LOWER(Capacity!$V49)="x",IF(AND(SUMIF(Capacity_Resource,$D144,'Critical resources (hide)'!AP$6:AP$105)+SUMIF(Capacity_Resource,$E144,'Critical resources (hide)'!AP$6:AP$105)+SUMIF(Capacity_Resource,$F144,'Critical resources (hide)'!AP$6:AP$105)&gt;0,$E$1=2),0,1),0)</f>
        <v>1</v>
      </c>
      <c r="AD144" s="67">
        <f ca="1">IF(LOWER(Capacity!$V49)="x",IF(AND(SUMIF(Capacity_Resource,$D144,'Critical resources (hide)'!AQ$6:AQ$105)+SUMIF(Capacity_Resource,$E144,'Critical resources (hide)'!AQ$6:AQ$105)+SUMIF(Capacity_Resource,$F144,'Critical resources (hide)'!AQ$6:AQ$105)&gt;0,$E$1=2),0,1),0)</f>
        <v>1</v>
      </c>
      <c r="AE144" s="67">
        <f ca="1">IF(LOWER(Capacity!$V49)="x",IF(AND(SUMIF(Capacity_Resource,$D144,'Critical resources (hide)'!AR$6:AR$105)+SUMIF(Capacity_Resource,$E144,'Critical resources (hide)'!AR$6:AR$105)+SUMIF(Capacity_Resource,$F144,'Critical resources (hide)'!AR$6:AR$105)&gt;0,$E$1=2),0,1),0)</f>
        <v>1</v>
      </c>
      <c r="AF144" s="67">
        <f ca="1">IF(LOWER(Capacity!$V49)="x",IF(AND(SUMIF(Capacity_Resource,$D144,'Critical resources (hide)'!AS$6:AS$105)+SUMIF(Capacity_Resource,$E144,'Critical resources (hide)'!AS$6:AS$105)+SUMIF(Capacity_Resource,$F144,'Critical resources (hide)'!AS$6:AS$105)&gt;0,$E$1=2),0,1),0)</f>
        <v>1</v>
      </c>
      <c r="AG144" s="67">
        <f ca="1">IF(LOWER(Capacity!$V49)="x",IF(AND(SUMIF(Capacity_Resource,$D144,'Critical resources (hide)'!AT$6:AT$105)+SUMIF(Capacity_Resource,$E144,'Critical resources (hide)'!AT$6:AT$105)+SUMIF(Capacity_Resource,$F144,'Critical resources (hide)'!AT$6:AT$105)&gt;0,$E$1=2),0,1),0)</f>
        <v>1</v>
      </c>
      <c r="AH144" s="67">
        <f ca="1">IF(LOWER(Capacity!$V49)="x",IF(AND(SUMIF(Capacity_Resource,$D144,'Critical resources (hide)'!AU$6:AU$105)+SUMIF(Capacity_Resource,$E144,'Critical resources (hide)'!AU$6:AU$105)+SUMIF(Capacity_Resource,$F144,'Critical resources (hide)'!AU$6:AU$105)&gt;0,$E$1=2),0,1),0)</f>
        <v>1</v>
      </c>
      <c r="AI144" s="67">
        <f ca="1">IF(LOWER(Capacity!$V49)="x",IF(AND(SUMIF(Capacity_Resource,$D144,'Critical resources (hide)'!AV$6:AV$105)+SUMIF(Capacity_Resource,$E144,'Critical resources (hide)'!AV$6:AV$105)+SUMIF(Capacity_Resource,$F144,'Critical resources (hide)'!AV$6:AV$105)&gt;0,$E$1=2),0,1),0)</f>
        <v>1</v>
      </c>
      <c r="AJ144" s="67">
        <f ca="1">IF(LOWER(Capacity!$V49)="x",IF(AND(SUMIF(Capacity_Resource,$D144,'Critical resources (hide)'!AW$6:AW$105)+SUMIF(Capacity_Resource,$E144,'Critical resources (hide)'!AW$6:AW$105)+SUMIF(Capacity_Resource,$F144,'Critical resources (hide)'!AW$6:AW$105)&gt;0,$E$1=2),0,1),0)</f>
        <v>1</v>
      </c>
      <c r="AK144" s="67">
        <f ca="1">IF(LOWER(Capacity!$V49)="x",IF(AND(SUMIF(Capacity_Resource,$D144,'Critical resources (hide)'!AX$6:AX$105)+SUMIF(Capacity_Resource,$E144,'Critical resources (hide)'!AX$6:AX$105)+SUMIF(Capacity_Resource,$F144,'Critical resources (hide)'!AX$6:AX$105)&gt;0,$E$1=2),0,1),0)</f>
        <v>1</v>
      </c>
      <c r="AL144" s="67">
        <f ca="1">IF(LOWER(Capacity!$V49)="x",IF(AND(SUMIF(Capacity_Resource,$D144,'Critical resources (hide)'!AY$6:AY$105)+SUMIF(Capacity_Resource,$E144,'Critical resources (hide)'!AY$6:AY$105)+SUMIF(Capacity_Resource,$F144,'Critical resources (hide)'!AY$6:AY$105)&gt;0,$E$1=2),0,1),0)</f>
        <v>1</v>
      </c>
      <c r="AM144" s="67">
        <f ca="1">IF(LOWER(Capacity!$V49)="x",IF(AND(SUMIF(Capacity_Resource,$D144,'Critical resources (hide)'!AZ$6:AZ$105)+SUMIF(Capacity_Resource,$E144,'Critical resources (hide)'!AZ$6:AZ$105)+SUMIF(Capacity_Resource,$F144,'Critical resources (hide)'!AZ$6:AZ$105)&gt;0,$E$1=2),0,1),0)</f>
        <v>1</v>
      </c>
      <c r="AN144" s="67">
        <f ca="1">IF(LOWER(Capacity!$V49)="x",IF(AND(SUMIF(Capacity_Resource,$D144,'Critical resources (hide)'!BA$6:BA$105)+SUMIF(Capacity_Resource,$E144,'Critical resources (hide)'!BA$6:BA$105)+SUMIF(Capacity_Resource,$F144,'Critical resources (hide)'!BA$6:BA$105)&gt;0,$E$1=2),0,1),0)</f>
        <v>1</v>
      </c>
      <c r="AO144" s="67">
        <f ca="1">IF(LOWER(Capacity!$V49)="x",IF(AND(SUMIF(Capacity_Resource,$D144,'Critical resources (hide)'!BB$6:BB$105)+SUMIF(Capacity_Resource,$E144,'Critical resources (hide)'!BB$6:BB$105)+SUMIF(Capacity_Resource,$F144,'Critical resources (hide)'!BB$6:BB$105)&gt;0,$E$1=2),0,1),0)</f>
        <v>1</v>
      </c>
      <c r="AP144" s="67">
        <f ca="1">IF(LOWER(Capacity!$V49)="x",IF(AND(SUMIF(Capacity_Resource,$D144,'Critical resources (hide)'!BC$6:BC$105)+SUMIF(Capacity_Resource,$E144,'Critical resources (hide)'!BC$6:BC$105)+SUMIF(Capacity_Resource,$F144,'Critical resources (hide)'!BC$6:BC$105)&gt;0,$E$1=2),0,1),0)</f>
        <v>1</v>
      </c>
      <c r="AQ144" s="67">
        <f ca="1">IF(LOWER(Capacity!$V49)="x",IF(AND(SUMIF(Capacity_Resource,$D144,'Critical resources (hide)'!BD$6:BD$105)+SUMIF(Capacity_Resource,$E144,'Critical resources (hide)'!BD$6:BD$105)+SUMIF(Capacity_Resource,$F144,'Critical resources (hide)'!BD$6:BD$105)&gt;0,$E$1=2),0,1),0)</f>
        <v>1</v>
      </c>
      <c r="AR144" s="67">
        <f ca="1">IF(LOWER(Capacity!$V49)="x",IF(AND(SUMIF(Capacity_Resource,$D144,'Critical resources (hide)'!BE$6:BE$105)+SUMIF(Capacity_Resource,$E144,'Critical resources (hide)'!BE$6:BE$105)+SUMIF(Capacity_Resource,$F144,'Critical resources (hide)'!BE$6:BE$105)&gt;0,$E$1=2),0,1),0)</f>
        <v>1</v>
      </c>
      <c r="AS144" s="67">
        <f ca="1">IF(LOWER(Capacity!$V49)="x",IF(AND(SUMIF(Capacity_Resource,$D144,'Critical resources (hide)'!BF$6:BF$105)+SUMIF(Capacity_Resource,$E144,'Critical resources (hide)'!BF$6:BF$105)+SUMIF(Capacity_Resource,$F144,'Critical resources (hide)'!BF$6:BF$105)&gt;0,$E$1=2),0,1),0)</f>
        <v>1</v>
      </c>
      <c r="AT144" s="67">
        <f ca="1">IF(LOWER(Capacity!$V49)="x",IF(AND(SUMIF(Capacity_Resource,$D144,'Critical resources (hide)'!BG$6:BG$105)+SUMIF(Capacity_Resource,$E144,'Critical resources (hide)'!BG$6:BG$105)+SUMIF(Capacity_Resource,$F144,'Critical resources (hide)'!BG$6:BG$105)&gt;0,$E$1=2),0,1),0)</f>
        <v>1</v>
      </c>
      <c r="AU144" s="67">
        <f ca="1">IF(LOWER(Capacity!$V49)="x",IF(AND(SUMIF(Capacity_Resource,$D144,'Critical resources (hide)'!BH$6:BH$105)+SUMIF(Capacity_Resource,$E144,'Critical resources (hide)'!BH$6:BH$105)+SUMIF(Capacity_Resource,$F144,'Critical resources (hide)'!BH$6:BH$105)&gt;0,$E$1=2),0,1),0)</f>
        <v>1</v>
      </c>
      <c r="AV144" s="67">
        <f ca="1">IF(LOWER(Capacity!$V49)="x",IF(AND(SUMIF(Capacity_Resource,$D144,'Critical resources (hide)'!BI$6:BI$105)+SUMIF(Capacity_Resource,$E144,'Critical resources (hide)'!BI$6:BI$105)+SUMIF(Capacity_Resource,$F144,'Critical resources (hide)'!BI$6:BI$105)&gt;0,$E$1=2),0,1),0)</f>
        <v>1</v>
      </c>
      <c r="AW144" s="67">
        <f ca="1">IF(LOWER(Capacity!$V49)="x",IF(AND(SUMIF(Capacity_Resource,$D144,'Critical resources (hide)'!BJ$6:BJ$105)+SUMIF(Capacity_Resource,$E144,'Critical resources (hide)'!BJ$6:BJ$105)+SUMIF(Capacity_Resource,$F144,'Critical resources (hide)'!BJ$6:BJ$105)&gt;0,$E$1=2),0,1),0)</f>
        <v>1</v>
      </c>
      <c r="AX144" s="67">
        <f ca="1">IF(LOWER(Capacity!$V49)="x",IF(AND(SUMIF(Capacity_Resource,$D144,'Critical resources (hide)'!BK$6:BK$105)+SUMIF(Capacity_Resource,$E144,'Critical resources (hide)'!BK$6:BK$105)+SUMIF(Capacity_Resource,$F144,'Critical resources (hide)'!BK$6:BK$105)&gt;0,$E$1=2),0,1),0)</f>
        <v>1</v>
      </c>
      <c r="AY144" s="67">
        <f ca="1">IF(LOWER(Capacity!$V49)="x",IF(AND(SUMIF(Capacity_Resource,$D144,'Critical resources (hide)'!BL$6:BL$105)+SUMIF(Capacity_Resource,$E144,'Critical resources (hide)'!BL$6:BL$105)+SUMIF(Capacity_Resource,$F144,'Critical resources (hide)'!BL$6:BL$105)&gt;0,$E$1=2),0,1),0)</f>
        <v>1</v>
      </c>
      <c r="AZ144" s="67">
        <f ca="1">IF(LOWER(Capacity!$V49)="x",IF(AND(SUMIF(Capacity_Resource,$D144,'Critical resources (hide)'!BM$6:BM$105)+SUMIF(Capacity_Resource,$E144,'Critical resources (hide)'!BM$6:BM$105)+SUMIF(Capacity_Resource,$F144,'Critical resources (hide)'!BM$6:BM$105)&gt;0,$E$1=2),0,1),0)</f>
        <v>1</v>
      </c>
      <c r="BA144" s="67">
        <f ca="1">IF(LOWER(Capacity!$V49)="x",IF(AND(SUMIF(Capacity_Resource,$D144,'Critical resources (hide)'!BN$6:BN$105)+SUMIF(Capacity_Resource,$E144,'Critical resources (hide)'!BN$6:BN$105)+SUMIF(Capacity_Resource,$F144,'Critical resources (hide)'!BN$6:BN$105)&gt;0,$E$1=2),0,1),0)</f>
        <v>1</v>
      </c>
      <c r="BB144" s="67">
        <f ca="1">IF(LOWER(Capacity!$V49)="x",IF(AND(SUMIF(Capacity_Resource,$D144,'Critical resources (hide)'!BO$6:BO$105)+SUMIF(Capacity_Resource,$E144,'Critical resources (hide)'!BO$6:BO$105)+SUMIF(Capacity_Resource,$F144,'Critical resources (hide)'!BO$6:BO$105)&gt;0,$E$1=2),0,1),0)</f>
        <v>1</v>
      </c>
      <c r="BC144" s="67">
        <f ca="1">IF(LOWER(Capacity!$V49)="x",IF(AND(SUMIF(Capacity_Resource,$D144,'Critical resources (hide)'!BP$6:BP$105)+SUMIF(Capacity_Resource,$E144,'Critical resources (hide)'!BP$6:BP$105)+SUMIF(Capacity_Resource,$F144,'Critical resources (hide)'!BP$6:BP$105)&gt;0,$E$1=2),0,1),0)</f>
        <v>1</v>
      </c>
      <c r="BD144" s="67">
        <f ca="1">IF(LOWER(Capacity!$V49)="x",IF(AND(SUMIF(Capacity_Resource,$D144,'Critical resources (hide)'!BQ$6:BQ$105)+SUMIF(Capacity_Resource,$E144,'Critical resources (hide)'!BQ$6:BQ$105)+SUMIF(Capacity_Resource,$F144,'Critical resources (hide)'!BQ$6:BQ$105)&gt;0,$E$1=2),0,1),0)</f>
        <v>1</v>
      </c>
      <c r="BE144" s="67">
        <f ca="1">IF(LOWER(Capacity!$V49)="x",IF(AND(SUMIF(Capacity_Resource,$D144,'Critical resources (hide)'!BR$6:BR$105)+SUMIF(Capacity_Resource,$E144,'Critical resources (hide)'!BR$6:BR$105)+SUMIF(Capacity_Resource,$F144,'Critical resources (hide)'!BR$6:BR$105)&gt;0,$E$1=2),0,1),0)</f>
        <v>1</v>
      </c>
      <c r="BF144" s="67">
        <f ca="1">IF(LOWER(Capacity!$V49)="x",IF(AND(SUMIF(Capacity_Resource,$D144,'Critical resources (hide)'!BS$6:BS$105)+SUMIF(Capacity_Resource,$E144,'Critical resources (hide)'!BS$6:BS$105)+SUMIF(Capacity_Resource,$F144,'Critical resources (hide)'!BS$6:BS$105)&gt;0,$E$1=2),0,1),0)</f>
        <v>1</v>
      </c>
      <c r="BG144" s="67">
        <f ca="1">IF(LOWER(Capacity!$V49)="x",IF(AND(SUMIF(Capacity_Resource,$D144,'Critical resources (hide)'!BT$6:BT$105)+SUMIF(Capacity_Resource,$E144,'Critical resources (hide)'!BT$6:BT$105)+SUMIF(Capacity_Resource,$F144,'Critical resources (hide)'!BT$6:BT$105)&gt;0,$E$1=2),0,1),0)</f>
        <v>1</v>
      </c>
      <c r="BH144" s="67">
        <f>IF(ROW(A33)&lt;=Capacity!$M$16,IF('Capacity summary'!$C$14="No",SUM(H144:BG144),'Capacity summary'!$E56),0)</f>
        <v>0</v>
      </c>
      <c r="BI144" s="67" t="str">
        <f>IF(BH144&gt;0,IF(BH144&lt;Capacity!Q49,Capacity!R49,Capacity!T49/'Capacity calculation (hide)'!BH144),"")</f>
        <v/>
      </c>
      <c r="BJ144" s="5"/>
      <c r="BK144" s="5">
        <f>IF($BI144&lt;&gt;"",IF('Capacity summary'!$C$14="Yes",IF(COUNTBLANK('Capacity summary'!$H56:$BG56)&lt;52,IF('Capacity summary'!H56&lt;&gt;"",IF(LOWER('Capacity summary'!H56)="x",$BI144*H144,VALUE('Capacity summary'!H56)),0),H144*$BI144),H144*$BI144),0)</f>
        <v>0</v>
      </c>
      <c r="BL144" s="5">
        <f>IF($BI144&lt;&gt;"",IF('Capacity summary'!$C$14="Yes",IF(COUNTBLANK('Capacity summary'!$H56:$BG56)&lt;52,IF('Capacity summary'!I56&lt;&gt;"",IF(LOWER('Capacity summary'!I56)="x",$BI144*I144,VALUE('Capacity summary'!I56)),0),I144*$BI144),I144*$BI144),0)</f>
        <v>0</v>
      </c>
      <c r="BM144" s="5">
        <f>IF($BI144&lt;&gt;"",IF('Capacity summary'!$C$14="Yes",IF(COUNTBLANK('Capacity summary'!$H56:$BG56)&lt;52,IF('Capacity summary'!J56&lt;&gt;"",IF(LOWER('Capacity summary'!J56)="x",$BI144*J144,VALUE('Capacity summary'!J56)),0),J144*$BI144),J144*$BI144),0)</f>
        <v>0</v>
      </c>
      <c r="BN144" s="5">
        <f>IF($BI144&lt;&gt;"",IF('Capacity summary'!$C$14="Yes",IF(COUNTBLANK('Capacity summary'!$H56:$BG56)&lt;52,IF('Capacity summary'!K56&lt;&gt;"",IF(LOWER('Capacity summary'!K56)="x",$BI144*K144,VALUE('Capacity summary'!K56)),0),K144*$BI144),K144*$BI144),0)</f>
        <v>0</v>
      </c>
      <c r="BO144" s="5">
        <f>IF($BI144&lt;&gt;"",IF('Capacity summary'!$C$14="Yes",IF(COUNTBLANK('Capacity summary'!$H56:$BG56)&lt;52,IF('Capacity summary'!L56&lt;&gt;"",IF(LOWER('Capacity summary'!L56)="x",$BI144*L144,VALUE('Capacity summary'!L56)),0),L144*$BI144),L144*$BI144),0)</f>
        <v>0</v>
      </c>
      <c r="BP144" s="5">
        <f>IF($BI144&lt;&gt;"",IF('Capacity summary'!$C$14="Yes",IF(COUNTBLANK('Capacity summary'!$H56:$BG56)&lt;52,IF('Capacity summary'!M56&lt;&gt;"",IF(LOWER('Capacity summary'!M56)="x",$BI144*M144,VALUE('Capacity summary'!M56)),0),M144*$BI144),M144*$BI144),0)</f>
        <v>0</v>
      </c>
      <c r="BQ144" s="5">
        <f>IF($BI144&lt;&gt;"",IF('Capacity summary'!$C$14="Yes",IF(COUNTBLANK('Capacity summary'!$H56:$BG56)&lt;52,IF('Capacity summary'!N56&lt;&gt;"",IF(LOWER('Capacity summary'!N56)="x",$BI144*N144,VALUE('Capacity summary'!N56)),0),N144*$BI144),N144*$BI144),0)</f>
        <v>0</v>
      </c>
      <c r="BR144" s="5">
        <f>IF($BI144&lt;&gt;"",IF('Capacity summary'!$C$14="Yes",IF(COUNTBLANK('Capacity summary'!$H56:$BG56)&lt;52,IF('Capacity summary'!O56&lt;&gt;"",IF(LOWER('Capacity summary'!O56)="x",$BI144*O144,VALUE('Capacity summary'!O56)),0),O144*$BI144),O144*$BI144),0)</f>
        <v>0</v>
      </c>
      <c r="BS144" s="5">
        <f>IF($BI144&lt;&gt;"",IF('Capacity summary'!$C$14="Yes",IF(COUNTBLANK('Capacity summary'!$H56:$BG56)&lt;52,IF('Capacity summary'!P56&lt;&gt;"",IF(LOWER('Capacity summary'!P56)="x",$BI144*P144,VALUE('Capacity summary'!P56)),0),P144*$BI144),P144*$BI144),0)</f>
        <v>0</v>
      </c>
      <c r="BT144" s="5">
        <f>IF($BI144&lt;&gt;"",IF('Capacity summary'!$C$14="Yes",IF(COUNTBLANK('Capacity summary'!$H56:$BG56)&lt;52,IF('Capacity summary'!Q56&lt;&gt;"",IF(LOWER('Capacity summary'!Q56)="x",$BI144*Q144,VALUE('Capacity summary'!Q56)),0),Q144*$BI144),Q144*$BI144),0)</f>
        <v>0</v>
      </c>
      <c r="BU144" s="5">
        <f>IF($BI144&lt;&gt;"",IF('Capacity summary'!$C$14="Yes",IF(COUNTBLANK('Capacity summary'!$H56:$BG56)&lt;52,IF('Capacity summary'!R56&lt;&gt;"",IF(LOWER('Capacity summary'!R56)="x",$BI144*R144,VALUE('Capacity summary'!R56)),0),R144*$BI144),R144*$BI144),0)</f>
        <v>0</v>
      </c>
      <c r="BV144" s="5">
        <f>IF($BI144&lt;&gt;"",IF('Capacity summary'!$C$14="Yes",IF(COUNTBLANK('Capacity summary'!$H56:$BG56)&lt;52,IF('Capacity summary'!S56&lt;&gt;"",IF(LOWER('Capacity summary'!S56)="x",$BI144*S144,VALUE('Capacity summary'!S56)),0),S144*$BI144),S144*$BI144),0)</f>
        <v>0</v>
      </c>
      <c r="BW144" s="5">
        <f>IF($BI144&lt;&gt;"",IF('Capacity summary'!$C$14="Yes",IF(COUNTBLANK('Capacity summary'!$H56:$BG56)&lt;52,IF('Capacity summary'!T56&lt;&gt;"",IF(LOWER('Capacity summary'!T56)="x",$BI144*T144,VALUE('Capacity summary'!T56)),0),T144*$BI144),T144*$BI144),0)</f>
        <v>0</v>
      </c>
      <c r="BX144" s="5">
        <f>IF($BI144&lt;&gt;"",IF('Capacity summary'!$C$14="Yes",IF(COUNTBLANK('Capacity summary'!$H56:$BG56)&lt;52,IF('Capacity summary'!U56&lt;&gt;"",IF(LOWER('Capacity summary'!U56)="x",$BI144*U144,VALUE('Capacity summary'!U56)),0),U144*$BI144),U144*$BI144),0)</f>
        <v>0</v>
      </c>
      <c r="BY144" s="5">
        <f>IF($BI144&lt;&gt;"",IF('Capacity summary'!$C$14="Yes",IF(COUNTBLANK('Capacity summary'!$H56:$BG56)&lt;52,IF('Capacity summary'!V56&lt;&gt;"",IF(LOWER('Capacity summary'!V56)="x",$BI144*V144,VALUE('Capacity summary'!V56)),0),V144*$BI144),V144*$BI144),0)</f>
        <v>0</v>
      </c>
      <c r="BZ144" s="5">
        <f>IF($BI144&lt;&gt;"",IF('Capacity summary'!$C$14="Yes",IF(COUNTBLANK('Capacity summary'!$H56:$BG56)&lt;52,IF('Capacity summary'!W56&lt;&gt;"",IF(LOWER('Capacity summary'!W56)="x",$BI144*W144,VALUE('Capacity summary'!W56)),0),W144*$BI144),W144*$BI144),0)</f>
        <v>0</v>
      </c>
      <c r="CA144" s="5">
        <f>IF($BI144&lt;&gt;"",IF('Capacity summary'!$C$14="Yes",IF(COUNTBLANK('Capacity summary'!$H56:$BG56)&lt;52,IF('Capacity summary'!X56&lt;&gt;"",IF(LOWER('Capacity summary'!X56)="x",$BI144*X144,VALUE('Capacity summary'!X56)),0),X144*$BI144),X144*$BI144),0)</f>
        <v>0</v>
      </c>
      <c r="CB144" s="5">
        <f>IF($BI144&lt;&gt;"",IF('Capacity summary'!$C$14="Yes",IF(COUNTBLANK('Capacity summary'!$H56:$BG56)&lt;52,IF('Capacity summary'!Y56&lt;&gt;"",IF(LOWER('Capacity summary'!Y56)="x",$BI144*Y144,VALUE('Capacity summary'!Y56)),0),Y144*$BI144),Y144*$BI144),0)</f>
        <v>0</v>
      </c>
      <c r="CC144" s="5">
        <f>IF($BI144&lt;&gt;"",IF('Capacity summary'!$C$14="Yes",IF(COUNTBLANK('Capacity summary'!$H56:$BG56)&lt;52,IF('Capacity summary'!Z56&lt;&gt;"",IF(LOWER('Capacity summary'!Z56)="x",$BI144*Z144,VALUE('Capacity summary'!Z56)),0),Z144*$BI144),Z144*$BI144),0)</f>
        <v>0</v>
      </c>
      <c r="CD144" s="5">
        <f>IF($BI144&lt;&gt;"",IF('Capacity summary'!$C$14="Yes",IF(COUNTBLANK('Capacity summary'!$H56:$BG56)&lt;52,IF('Capacity summary'!AA56&lt;&gt;"",IF(LOWER('Capacity summary'!AA56)="x",$BI144*AA144,VALUE('Capacity summary'!AA56)),0),AA144*$BI144),AA144*$BI144),0)</f>
        <v>0</v>
      </c>
      <c r="CE144" s="5">
        <f>IF($BI144&lt;&gt;"",IF('Capacity summary'!$C$14="Yes",IF(COUNTBLANK('Capacity summary'!$H56:$BG56)&lt;52,IF('Capacity summary'!AB56&lt;&gt;"",IF(LOWER('Capacity summary'!AB56)="x",$BI144*AB144,VALUE('Capacity summary'!AB56)),0),AB144*$BI144),AB144*$BI144),0)</f>
        <v>0</v>
      </c>
      <c r="CF144" s="5">
        <f>IF($BI144&lt;&gt;"",IF('Capacity summary'!$C$14="Yes",IF(COUNTBLANK('Capacity summary'!$H56:$BG56)&lt;52,IF('Capacity summary'!AC56&lt;&gt;"",IF(LOWER('Capacity summary'!AC56)="x",$BI144*AC144,VALUE('Capacity summary'!AC56)),0),AC144*$BI144),AC144*$BI144),0)</f>
        <v>0</v>
      </c>
      <c r="CG144" s="5">
        <f>IF($BI144&lt;&gt;"",IF('Capacity summary'!$C$14="Yes",IF(COUNTBLANK('Capacity summary'!$H56:$BG56)&lt;52,IF('Capacity summary'!AD56&lt;&gt;"",IF(LOWER('Capacity summary'!AD56)="x",$BI144*AD144,VALUE('Capacity summary'!AD56)),0),AD144*$BI144),AD144*$BI144),0)</f>
        <v>0</v>
      </c>
      <c r="CH144" s="5">
        <f>IF($BI144&lt;&gt;"",IF('Capacity summary'!$C$14="Yes",IF(COUNTBLANK('Capacity summary'!$H56:$BG56)&lt;52,IF('Capacity summary'!AE56&lt;&gt;"",IF(LOWER('Capacity summary'!AE56)="x",$BI144*AE144,VALUE('Capacity summary'!AE56)),0),AE144*$BI144),AE144*$BI144),0)</f>
        <v>0</v>
      </c>
      <c r="CI144" s="5">
        <f>IF($BI144&lt;&gt;"",IF('Capacity summary'!$C$14="Yes",IF(COUNTBLANK('Capacity summary'!$H56:$BG56)&lt;52,IF('Capacity summary'!AF56&lt;&gt;"",IF(LOWER('Capacity summary'!AF56)="x",$BI144*AF144,VALUE('Capacity summary'!AF56)),0),AF144*$BI144),AF144*$BI144),0)</f>
        <v>0</v>
      </c>
      <c r="CJ144" s="5">
        <f>IF($BI144&lt;&gt;"",IF('Capacity summary'!$C$14="Yes",IF(COUNTBLANK('Capacity summary'!$H56:$BG56)&lt;52,IF('Capacity summary'!AG56&lt;&gt;"",IF(LOWER('Capacity summary'!AG56)="x",$BI144*AG144,VALUE('Capacity summary'!AG56)),0),AG144*$BI144),AG144*$BI144),0)</f>
        <v>0</v>
      </c>
      <c r="CK144" s="5">
        <f>IF($BI144&lt;&gt;"",IF('Capacity summary'!$C$14="Yes",IF(COUNTBLANK('Capacity summary'!$H56:$BG56)&lt;52,IF('Capacity summary'!AH56&lt;&gt;"",IF(LOWER('Capacity summary'!AH56)="x",$BI144*AH144,VALUE('Capacity summary'!AH56)),0),AH144*$BI144),AH144*$BI144),0)</f>
        <v>0</v>
      </c>
      <c r="CL144" s="5">
        <f>IF($BI144&lt;&gt;"",IF('Capacity summary'!$C$14="Yes",IF(COUNTBLANK('Capacity summary'!$H56:$BG56)&lt;52,IF('Capacity summary'!AI56&lt;&gt;"",IF(LOWER('Capacity summary'!AI56)="x",$BI144*AI144,VALUE('Capacity summary'!AI56)),0),AI144*$BI144),AI144*$BI144),0)</f>
        <v>0</v>
      </c>
      <c r="CM144" s="5">
        <f>IF($BI144&lt;&gt;"",IF('Capacity summary'!$C$14="Yes",IF(COUNTBLANK('Capacity summary'!$H56:$BG56)&lt;52,IF('Capacity summary'!AJ56&lt;&gt;"",IF(LOWER('Capacity summary'!AJ56)="x",$BI144*AJ144,VALUE('Capacity summary'!AJ56)),0),AJ144*$BI144),AJ144*$BI144),0)</f>
        <v>0</v>
      </c>
      <c r="CN144" s="5">
        <f>IF($BI144&lt;&gt;"",IF('Capacity summary'!$C$14="Yes",IF(COUNTBLANK('Capacity summary'!$H56:$BG56)&lt;52,IF('Capacity summary'!AK56&lt;&gt;"",IF(LOWER('Capacity summary'!AK56)="x",$BI144*AK144,VALUE('Capacity summary'!AK56)),0),AK144*$BI144),AK144*$BI144),0)</f>
        <v>0</v>
      </c>
      <c r="CO144" s="5">
        <f>IF($BI144&lt;&gt;"",IF('Capacity summary'!$C$14="Yes",IF(COUNTBLANK('Capacity summary'!$H56:$BG56)&lt;52,IF('Capacity summary'!AL56&lt;&gt;"",IF(LOWER('Capacity summary'!AL56)="x",$BI144*AL144,VALUE('Capacity summary'!AL56)),0),AL144*$BI144),AL144*$BI144),0)</f>
        <v>0</v>
      </c>
      <c r="CP144" s="5">
        <f>IF($BI144&lt;&gt;"",IF('Capacity summary'!$C$14="Yes",IF(COUNTBLANK('Capacity summary'!$H56:$BG56)&lt;52,IF('Capacity summary'!AM56&lt;&gt;"",IF(LOWER('Capacity summary'!AM56)="x",$BI144*AM144,VALUE('Capacity summary'!AM56)),0),AM144*$BI144),AM144*$BI144),0)</f>
        <v>0</v>
      </c>
      <c r="CQ144" s="5">
        <f>IF($BI144&lt;&gt;"",IF('Capacity summary'!$C$14="Yes",IF(COUNTBLANK('Capacity summary'!$H56:$BG56)&lt;52,IF('Capacity summary'!AN56&lt;&gt;"",IF(LOWER('Capacity summary'!AN56)="x",$BI144*AN144,VALUE('Capacity summary'!AN56)),0),AN144*$BI144),AN144*$BI144),0)</f>
        <v>0</v>
      </c>
      <c r="CR144" s="5">
        <f>IF($BI144&lt;&gt;"",IF('Capacity summary'!$C$14="Yes",IF(COUNTBLANK('Capacity summary'!$H56:$BG56)&lt;52,IF('Capacity summary'!AO56&lt;&gt;"",IF(LOWER('Capacity summary'!AO56)="x",$BI144*AO144,VALUE('Capacity summary'!AO56)),0),AO144*$BI144),AO144*$BI144),0)</f>
        <v>0</v>
      </c>
      <c r="CS144" s="5">
        <f>IF($BI144&lt;&gt;"",IF('Capacity summary'!$C$14="Yes",IF(COUNTBLANK('Capacity summary'!$H56:$BG56)&lt;52,IF('Capacity summary'!AP56&lt;&gt;"",IF(LOWER('Capacity summary'!AP56)="x",$BI144*AP144,VALUE('Capacity summary'!AP56)),0),AP144*$BI144),AP144*$BI144),0)</f>
        <v>0</v>
      </c>
      <c r="CT144" s="5">
        <f>IF($BI144&lt;&gt;"",IF('Capacity summary'!$C$14="Yes",IF(COUNTBLANK('Capacity summary'!$H56:$BG56)&lt;52,IF('Capacity summary'!AQ56&lt;&gt;"",IF(LOWER('Capacity summary'!AQ56)="x",$BI144*AQ144,VALUE('Capacity summary'!AQ56)),0),AQ144*$BI144),AQ144*$BI144),0)</f>
        <v>0</v>
      </c>
      <c r="CU144" s="5">
        <f>IF($BI144&lt;&gt;"",IF('Capacity summary'!$C$14="Yes",IF(COUNTBLANK('Capacity summary'!$H56:$BG56)&lt;52,IF('Capacity summary'!AR56&lt;&gt;"",IF(LOWER('Capacity summary'!AR56)="x",$BI144*AR144,VALUE('Capacity summary'!AR56)),0),AR144*$BI144),AR144*$BI144),0)</f>
        <v>0</v>
      </c>
      <c r="CV144" s="5">
        <f>IF($BI144&lt;&gt;"",IF('Capacity summary'!$C$14="Yes",IF(COUNTBLANK('Capacity summary'!$H56:$BG56)&lt;52,IF('Capacity summary'!AS56&lt;&gt;"",IF(LOWER('Capacity summary'!AS56)="x",$BI144*AS144,VALUE('Capacity summary'!AS56)),0),AS144*$BI144),AS144*$BI144),0)</f>
        <v>0</v>
      </c>
      <c r="CW144" s="5">
        <f>IF($BI144&lt;&gt;"",IF('Capacity summary'!$C$14="Yes",IF(COUNTBLANK('Capacity summary'!$H56:$BG56)&lt;52,IF('Capacity summary'!AT56&lt;&gt;"",IF(LOWER('Capacity summary'!AT56)="x",$BI144*AT144,VALUE('Capacity summary'!AT56)),0),AT144*$BI144),AT144*$BI144),0)</f>
        <v>0</v>
      </c>
      <c r="CX144" s="5">
        <f>IF($BI144&lt;&gt;"",IF('Capacity summary'!$C$14="Yes",IF(COUNTBLANK('Capacity summary'!$H56:$BG56)&lt;52,IF('Capacity summary'!AU56&lt;&gt;"",IF(LOWER('Capacity summary'!AU56)="x",$BI144*AU144,VALUE('Capacity summary'!AU56)),0),AU144*$BI144),AU144*$BI144),0)</f>
        <v>0</v>
      </c>
      <c r="CY144" s="5">
        <f>IF($BI144&lt;&gt;"",IF('Capacity summary'!$C$14="Yes",IF(COUNTBLANK('Capacity summary'!$H56:$BG56)&lt;52,IF('Capacity summary'!AV56&lt;&gt;"",IF(LOWER('Capacity summary'!AV56)="x",$BI144*AV144,VALUE('Capacity summary'!AV56)),0),AV144*$BI144),AV144*$BI144),0)</f>
        <v>0</v>
      </c>
      <c r="CZ144" s="5">
        <f>IF($BI144&lt;&gt;"",IF('Capacity summary'!$C$14="Yes",IF(COUNTBLANK('Capacity summary'!$H56:$BG56)&lt;52,IF('Capacity summary'!AW56&lt;&gt;"",IF(LOWER('Capacity summary'!AW56)="x",$BI144*AW144,VALUE('Capacity summary'!AW56)),0),AW144*$BI144),AW144*$BI144),0)</f>
        <v>0</v>
      </c>
      <c r="DA144" s="5">
        <f>IF($BI144&lt;&gt;"",IF('Capacity summary'!$C$14="Yes",IF(COUNTBLANK('Capacity summary'!$H56:$BG56)&lt;52,IF('Capacity summary'!AX56&lt;&gt;"",IF(LOWER('Capacity summary'!AX56)="x",$BI144*AX144,VALUE('Capacity summary'!AX56)),0),AX144*$BI144),AX144*$BI144),0)</f>
        <v>0</v>
      </c>
      <c r="DB144" s="5">
        <f>IF($BI144&lt;&gt;"",IF('Capacity summary'!$C$14="Yes",IF(COUNTBLANK('Capacity summary'!$H56:$BG56)&lt;52,IF('Capacity summary'!AY56&lt;&gt;"",IF(LOWER('Capacity summary'!AY56)="x",$BI144*AY144,VALUE('Capacity summary'!AY56)),0),AY144*$BI144),AY144*$BI144),0)</f>
        <v>0</v>
      </c>
      <c r="DC144" s="5">
        <f>IF($BI144&lt;&gt;"",IF('Capacity summary'!$C$14="Yes",IF(COUNTBLANK('Capacity summary'!$H56:$BG56)&lt;52,IF('Capacity summary'!AZ56&lt;&gt;"",IF(LOWER('Capacity summary'!AZ56)="x",$BI144*AZ144,VALUE('Capacity summary'!AZ56)),0),AZ144*$BI144),AZ144*$BI144),0)</f>
        <v>0</v>
      </c>
      <c r="DD144" s="5">
        <f>IF($BI144&lt;&gt;"",IF('Capacity summary'!$C$14="Yes",IF(COUNTBLANK('Capacity summary'!$H56:$BG56)&lt;52,IF('Capacity summary'!BA56&lt;&gt;"",IF(LOWER('Capacity summary'!BA56)="x",$BI144*BA144,VALUE('Capacity summary'!BA56)),0),BA144*$BI144),BA144*$BI144),0)</f>
        <v>0</v>
      </c>
      <c r="DE144" s="5">
        <f>IF($BI144&lt;&gt;"",IF('Capacity summary'!$C$14="Yes",IF(COUNTBLANK('Capacity summary'!$H56:$BG56)&lt;52,IF('Capacity summary'!BB56&lt;&gt;"",IF(LOWER('Capacity summary'!BB56)="x",$BI144*BB144,VALUE('Capacity summary'!BB56)),0),BB144*$BI144),BB144*$BI144),0)</f>
        <v>0</v>
      </c>
      <c r="DF144" s="5">
        <f>IF($BI144&lt;&gt;"",IF('Capacity summary'!$C$14="Yes",IF(COUNTBLANK('Capacity summary'!$H56:$BG56)&lt;52,IF('Capacity summary'!BC56&lt;&gt;"",IF(LOWER('Capacity summary'!BC56)="x",$BI144*BC144,VALUE('Capacity summary'!BC56)),0),BC144*$BI144),BC144*$BI144),0)</f>
        <v>0</v>
      </c>
      <c r="DG144" s="5">
        <f>IF($BI144&lt;&gt;"",IF('Capacity summary'!$C$14="Yes",IF(COUNTBLANK('Capacity summary'!$H56:$BG56)&lt;52,IF('Capacity summary'!BD56&lt;&gt;"",IF(LOWER('Capacity summary'!BD56)="x",$BI144*BD144,VALUE('Capacity summary'!BD56)),0),BD144*$BI144),BD144*$BI144),0)</f>
        <v>0</v>
      </c>
      <c r="DH144" s="5">
        <f>IF($BI144&lt;&gt;"",IF('Capacity summary'!$C$14="Yes",IF(COUNTBLANK('Capacity summary'!$H56:$BG56)&lt;52,IF('Capacity summary'!BE56&lt;&gt;"",IF(LOWER('Capacity summary'!BE56)="x",$BI144*BE144,VALUE('Capacity summary'!BE56)),0),BE144*$BI144),BE144*$BI144),0)</f>
        <v>0</v>
      </c>
      <c r="DI144" s="5">
        <f>IF($BI144&lt;&gt;"",IF('Capacity summary'!$C$14="Yes",IF(COUNTBLANK('Capacity summary'!$H56:$BG56)&lt;52,IF('Capacity summary'!BF56&lt;&gt;"",IF(LOWER('Capacity summary'!BF56)="x",$BI144*BF144,VALUE('Capacity summary'!BF56)),0),BF144*$BI144),BF144*$BI144),0)</f>
        <v>0</v>
      </c>
      <c r="DJ144" s="5">
        <f>IF($BI144&lt;&gt;"",IF('Capacity summary'!$C$14="Yes",IF(COUNTBLANK('Capacity summary'!$H56:$BG56)&lt;52,IF('Capacity summary'!BG56&lt;&gt;"",IF(LOWER('Capacity summary'!BG56)="x",$BI144*BG144,VALUE('Capacity summary'!BG56)),0),BG144*$BI144),BG144*$BI144),0)</f>
        <v>0</v>
      </c>
      <c r="DK144" s="391">
        <f t="shared" si="8"/>
        <v>0</v>
      </c>
      <c r="DL144" s="5">
        <f t="shared" si="9"/>
        <v>0</v>
      </c>
    </row>
    <row r="145" spans="3:116" x14ac:dyDescent="0.2">
      <c r="C145" s="67" t="str">
        <f>ROW(A34)&amp;". "&amp;Capacity!N50</f>
        <v xml:space="preserve">34. </v>
      </c>
      <c r="D145" s="67">
        <f>'Capacity setup'!C151</f>
        <v>0</v>
      </c>
      <c r="E145" s="67">
        <f>'Capacity setup'!D151</f>
        <v>0</v>
      </c>
      <c r="F145" s="67">
        <f>'Capacity setup'!E151</f>
        <v>0</v>
      </c>
      <c r="H145" s="67">
        <f ca="1">IF(LOWER(Capacity!$V50)="x",IF(AND(SUMIF(Capacity_Resource,$D145,'Critical resources (hide)'!U$6:U$105)+SUMIF(Capacity_Resource,$E145,'Critical resources (hide)'!U$6:U$105)+SUMIF(Capacity_Resource,$F145,'Critical resources (hide)'!U$6:U$105)&gt;0,$E$1=2),0,1),0)</f>
        <v>1</v>
      </c>
      <c r="I145" s="67">
        <f ca="1">IF(LOWER(Capacity!$V50)="x",IF(AND(SUMIF(Capacity_Resource,$D145,'Critical resources (hide)'!V$6:V$105)+SUMIF(Capacity_Resource,$E145,'Critical resources (hide)'!V$6:V$105)+SUMIF(Capacity_Resource,$F145,'Critical resources (hide)'!V$6:V$105)&gt;0,$E$1=2),0,1),0)</f>
        <v>1</v>
      </c>
      <c r="J145" s="67">
        <f ca="1">IF(LOWER(Capacity!$V50)="x",IF(AND(SUMIF(Capacity_Resource,$D145,'Critical resources (hide)'!W$6:W$105)+SUMIF(Capacity_Resource,$E145,'Critical resources (hide)'!W$6:W$105)+SUMIF(Capacity_Resource,$F145,'Critical resources (hide)'!W$6:W$105)&gt;0,$E$1=2),0,1),0)</f>
        <v>1</v>
      </c>
      <c r="K145" s="67">
        <f ca="1">IF(LOWER(Capacity!$V50)="x",IF(AND(SUMIF(Capacity_Resource,$D145,'Critical resources (hide)'!X$6:X$105)+SUMIF(Capacity_Resource,$E145,'Critical resources (hide)'!X$6:X$105)+SUMIF(Capacity_Resource,$F145,'Critical resources (hide)'!X$6:X$105)&gt;0,$E$1=2),0,1),0)</f>
        <v>1</v>
      </c>
      <c r="L145" s="67">
        <f ca="1">IF(LOWER(Capacity!$V50)="x",IF(AND(SUMIF(Capacity_Resource,$D145,'Critical resources (hide)'!Y$6:Y$105)+SUMIF(Capacity_Resource,$E145,'Critical resources (hide)'!Y$6:Y$105)+SUMIF(Capacity_Resource,$F145,'Critical resources (hide)'!Y$6:Y$105)&gt;0,$E$1=2),0,1),0)</f>
        <v>1</v>
      </c>
      <c r="M145" s="67">
        <f ca="1">IF(LOWER(Capacity!$V50)="x",IF(AND(SUMIF(Capacity_Resource,$D145,'Critical resources (hide)'!Z$6:Z$105)+SUMIF(Capacity_Resource,$E145,'Critical resources (hide)'!Z$6:Z$105)+SUMIF(Capacity_Resource,$F145,'Critical resources (hide)'!Z$6:Z$105)&gt;0,$E$1=2),0,1),0)</f>
        <v>1</v>
      </c>
      <c r="N145" s="67">
        <f ca="1">IF(LOWER(Capacity!$V50)="x",IF(AND(SUMIF(Capacity_Resource,$D145,'Critical resources (hide)'!AA$6:AA$105)+SUMIF(Capacity_Resource,$E145,'Critical resources (hide)'!AA$6:AA$105)+SUMIF(Capacity_Resource,$F145,'Critical resources (hide)'!AA$6:AA$105)&gt;0,$E$1=2),0,1),0)</f>
        <v>1</v>
      </c>
      <c r="O145" s="67">
        <f ca="1">IF(LOWER(Capacity!$V50)="x",IF(AND(SUMIF(Capacity_Resource,$D145,'Critical resources (hide)'!AB$6:AB$105)+SUMIF(Capacity_Resource,$E145,'Critical resources (hide)'!AB$6:AB$105)+SUMIF(Capacity_Resource,$F145,'Critical resources (hide)'!AB$6:AB$105)&gt;0,$E$1=2),0,1),0)</f>
        <v>1</v>
      </c>
      <c r="P145" s="67">
        <f ca="1">IF(LOWER(Capacity!$V50)="x",IF(AND(SUMIF(Capacity_Resource,$D145,'Critical resources (hide)'!AC$6:AC$105)+SUMIF(Capacity_Resource,$E145,'Critical resources (hide)'!AC$6:AC$105)+SUMIF(Capacity_Resource,$F145,'Critical resources (hide)'!AC$6:AC$105)&gt;0,$E$1=2),0,1),0)</f>
        <v>1</v>
      </c>
      <c r="Q145" s="67">
        <f ca="1">IF(LOWER(Capacity!$V50)="x",IF(AND(SUMIF(Capacity_Resource,$D145,'Critical resources (hide)'!AD$6:AD$105)+SUMIF(Capacity_Resource,$E145,'Critical resources (hide)'!AD$6:AD$105)+SUMIF(Capacity_Resource,$F145,'Critical resources (hide)'!AD$6:AD$105)&gt;0,$E$1=2),0,1),0)</f>
        <v>1</v>
      </c>
      <c r="R145" s="67">
        <f ca="1">IF(LOWER(Capacity!$V50)="x",IF(AND(SUMIF(Capacity_Resource,$D145,'Critical resources (hide)'!AE$6:AE$105)+SUMIF(Capacity_Resource,$E145,'Critical resources (hide)'!AE$6:AE$105)+SUMIF(Capacity_Resource,$F145,'Critical resources (hide)'!AE$6:AE$105)&gt;0,$E$1=2),0,1),0)</f>
        <v>1</v>
      </c>
      <c r="S145" s="67">
        <f ca="1">IF(LOWER(Capacity!$V50)="x",IF(AND(SUMIF(Capacity_Resource,$D145,'Critical resources (hide)'!AF$6:AF$105)+SUMIF(Capacity_Resource,$E145,'Critical resources (hide)'!AF$6:AF$105)+SUMIF(Capacity_Resource,$F145,'Critical resources (hide)'!AF$6:AF$105)&gt;0,$E$1=2),0,1),0)</f>
        <v>1</v>
      </c>
      <c r="T145" s="67">
        <f ca="1">IF(LOWER(Capacity!$V50)="x",IF(AND(SUMIF(Capacity_Resource,$D145,'Critical resources (hide)'!AG$6:AG$105)+SUMIF(Capacity_Resource,$E145,'Critical resources (hide)'!AG$6:AG$105)+SUMIF(Capacity_Resource,$F145,'Critical resources (hide)'!AG$6:AG$105)&gt;0,$E$1=2),0,1),0)</f>
        <v>1</v>
      </c>
      <c r="U145" s="67">
        <f ca="1">IF(LOWER(Capacity!$V50)="x",IF(AND(SUMIF(Capacity_Resource,$D145,'Critical resources (hide)'!AH$6:AH$105)+SUMIF(Capacity_Resource,$E145,'Critical resources (hide)'!AH$6:AH$105)+SUMIF(Capacity_Resource,$F145,'Critical resources (hide)'!AH$6:AH$105)&gt;0,$E$1=2),0,1),0)</f>
        <v>1</v>
      </c>
      <c r="V145" s="67">
        <f ca="1">IF(LOWER(Capacity!$V50)="x",IF(AND(SUMIF(Capacity_Resource,$D145,'Critical resources (hide)'!AI$6:AI$105)+SUMIF(Capacity_Resource,$E145,'Critical resources (hide)'!AI$6:AI$105)+SUMIF(Capacity_Resource,$F145,'Critical resources (hide)'!AI$6:AI$105)&gt;0,$E$1=2),0,1),0)</f>
        <v>1</v>
      </c>
      <c r="W145" s="67">
        <f ca="1">IF(LOWER(Capacity!$V50)="x",IF(AND(SUMIF(Capacity_Resource,$D145,'Critical resources (hide)'!AJ$6:AJ$105)+SUMIF(Capacity_Resource,$E145,'Critical resources (hide)'!AJ$6:AJ$105)+SUMIF(Capacity_Resource,$F145,'Critical resources (hide)'!AJ$6:AJ$105)&gt;0,$E$1=2),0,1),0)</f>
        <v>1</v>
      </c>
      <c r="X145" s="67">
        <f ca="1">IF(LOWER(Capacity!$V50)="x",IF(AND(SUMIF(Capacity_Resource,$D145,'Critical resources (hide)'!AK$6:AK$105)+SUMIF(Capacity_Resource,$E145,'Critical resources (hide)'!AK$6:AK$105)+SUMIF(Capacity_Resource,$F145,'Critical resources (hide)'!AK$6:AK$105)&gt;0,$E$1=2),0,1),0)</f>
        <v>1</v>
      </c>
      <c r="Y145" s="67">
        <f ca="1">IF(LOWER(Capacity!$V50)="x",IF(AND(SUMIF(Capacity_Resource,$D145,'Critical resources (hide)'!AL$6:AL$105)+SUMIF(Capacity_Resource,$E145,'Critical resources (hide)'!AL$6:AL$105)+SUMIF(Capacity_Resource,$F145,'Critical resources (hide)'!AL$6:AL$105)&gt;0,$E$1=2),0,1),0)</f>
        <v>1</v>
      </c>
      <c r="Z145" s="67">
        <f ca="1">IF(LOWER(Capacity!$V50)="x",IF(AND(SUMIF(Capacity_Resource,$D145,'Critical resources (hide)'!AM$6:AM$105)+SUMIF(Capacity_Resource,$E145,'Critical resources (hide)'!AM$6:AM$105)+SUMIF(Capacity_Resource,$F145,'Critical resources (hide)'!AM$6:AM$105)&gt;0,$E$1=2),0,1),0)</f>
        <v>1</v>
      </c>
      <c r="AA145" s="67">
        <f ca="1">IF(LOWER(Capacity!$V50)="x",IF(AND(SUMIF(Capacity_Resource,$D145,'Critical resources (hide)'!AN$6:AN$105)+SUMIF(Capacity_Resource,$E145,'Critical resources (hide)'!AN$6:AN$105)+SUMIF(Capacity_Resource,$F145,'Critical resources (hide)'!AN$6:AN$105)&gt;0,$E$1=2),0,1),0)</f>
        <v>1</v>
      </c>
      <c r="AB145" s="67">
        <f ca="1">IF(LOWER(Capacity!$V50)="x",IF(AND(SUMIF(Capacity_Resource,$D145,'Critical resources (hide)'!AO$6:AO$105)+SUMIF(Capacity_Resource,$E145,'Critical resources (hide)'!AO$6:AO$105)+SUMIF(Capacity_Resource,$F145,'Critical resources (hide)'!AO$6:AO$105)&gt;0,$E$1=2),0,1),0)</f>
        <v>1</v>
      </c>
      <c r="AC145" s="67">
        <f ca="1">IF(LOWER(Capacity!$V50)="x",IF(AND(SUMIF(Capacity_Resource,$D145,'Critical resources (hide)'!AP$6:AP$105)+SUMIF(Capacity_Resource,$E145,'Critical resources (hide)'!AP$6:AP$105)+SUMIF(Capacity_Resource,$F145,'Critical resources (hide)'!AP$6:AP$105)&gt;0,$E$1=2),0,1),0)</f>
        <v>1</v>
      </c>
      <c r="AD145" s="67">
        <f ca="1">IF(LOWER(Capacity!$V50)="x",IF(AND(SUMIF(Capacity_Resource,$D145,'Critical resources (hide)'!AQ$6:AQ$105)+SUMIF(Capacity_Resource,$E145,'Critical resources (hide)'!AQ$6:AQ$105)+SUMIF(Capacity_Resource,$F145,'Critical resources (hide)'!AQ$6:AQ$105)&gt;0,$E$1=2),0,1),0)</f>
        <v>1</v>
      </c>
      <c r="AE145" s="67">
        <f ca="1">IF(LOWER(Capacity!$V50)="x",IF(AND(SUMIF(Capacity_Resource,$D145,'Critical resources (hide)'!AR$6:AR$105)+SUMIF(Capacity_Resource,$E145,'Critical resources (hide)'!AR$6:AR$105)+SUMIF(Capacity_Resource,$F145,'Critical resources (hide)'!AR$6:AR$105)&gt;0,$E$1=2),0,1),0)</f>
        <v>1</v>
      </c>
      <c r="AF145" s="67">
        <f ca="1">IF(LOWER(Capacity!$V50)="x",IF(AND(SUMIF(Capacity_Resource,$D145,'Critical resources (hide)'!AS$6:AS$105)+SUMIF(Capacity_Resource,$E145,'Critical resources (hide)'!AS$6:AS$105)+SUMIF(Capacity_Resource,$F145,'Critical resources (hide)'!AS$6:AS$105)&gt;0,$E$1=2),0,1),0)</f>
        <v>1</v>
      </c>
      <c r="AG145" s="67">
        <f ca="1">IF(LOWER(Capacity!$V50)="x",IF(AND(SUMIF(Capacity_Resource,$D145,'Critical resources (hide)'!AT$6:AT$105)+SUMIF(Capacity_Resource,$E145,'Critical resources (hide)'!AT$6:AT$105)+SUMIF(Capacity_Resource,$F145,'Critical resources (hide)'!AT$6:AT$105)&gt;0,$E$1=2),0,1),0)</f>
        <v>1</v>
      </c>
      <c r="AH145" s="67">
        <f ca="1">IF(LOWER(Capacity!$V50)="x",IF(AND(SUMIF(Capacity_Resource,$D145,'Critical resources (hide)'!AU$6:AU$105)+SUMIF(Capacity_Resource,$E145,'Critical resources (hide)'!AU$6:AU$105)+SUMIF(Capacity_Resource,$F145,'Critical resources (hide)'!AU$6:AU$105)&gt;0,$E$1=2),0,1),0)</f>
        <v>1</v>
      </c>
      <c r="AI145" s="67">
        <f ca="1">IF(LOWER(Capacity!$V50)="x",IF(AND(SUMIF(Capacity_Resource,$D145,'Critical resources (hide)'!AV$6:AV$105)+SUMIF(Capacity_Resource,$E145,'Critical resources (hide)'!AV$6:AV$105)+SUMIF(Capacity_Resource,$F145,'Critical resources (hide)'!AV$6:AV$105)&gt;0,$E$1=2),0,1),0)</f>
        <v>1</v>
      </c>
      <c r="AJ145" s="67">
        <f ca="1">IF(LOWER(Capacity!$V50)="x",IF(AND(SUMIF(Capacity_Resource,$D145,'Critical resources (hide)'!AW$6:AW$105)+SUMIF(Capacity_Resource,$E145,'Critical resources (hide)'!AW$6:AW$105)+SUMIF(Capacity_Resource,$F145,'Critical resources (hide)'!AW$6:AW$105)&gt;0,$E$1=2),0,1),0)</f>
        <v>1</v>
      </c>
      <c r="AK145" s="67">
        <f ca="1">IF(LOWER(Capacity!$V50)="x",IF(AND(SUMIF(Capacity_Resource,$D145,'Critical resources (hide)'!AX$6:AX$105)+SUMIF(Capacity_Resource,$E145,'Critical resources (hide)'!AX$6:AX$105)+SUMIF(Capacity_Resource,$F145,'Critical resources (hide)'!AX$6:AX$105)&gt;0,$E$1=2),0,1),0)</f>
        <v>1</v>
      </c>
      <c r="AL145" s="67">
        <f ca="1">IF(LOWER(Capacity!$V50)="x",IF(AND(SUMIF(Capacity_Resource,$D145,'Critical resources (hide)'!AY$6:AY$105)+SUMIF(Capacity_Resource,$E145,'Critical resources (hide)'!AY$6:AY$105)+SUMIF(Capacity_Resource,$F145,'Critical resources (hide)'!AY$6:AY$105)&gt;0,$E$1=2),0,1),0)</f>
        <v>1</v>
      </c>
      <c r="AM145" s="67">
        <f ca="1">IF(LOWER(Capacity!$V50)="x",IF(AND(SUMIF(Capacity_Resource,$D145,'Critical resources (hide)'!AZ$6:AZ$105)+SUMIF(Capacity_Resource,$E145,'Critical resources (hide)'!AZ$6:AZ$105)+SUMIF(Capacity_Resource,$F145,'Critical resources (hide)'!AZ$6:AZ$105)&gt;0,$E$1=2),0,1),0)</f>
        <v>1</v>
      </c>
      <c r="AN145" s="67">
        <f ca="1">IF(LOWER(Capacity!$V50)="x",IF(AND(SUMIF(Capacity_Resource,$D145,'Critical resources (hide)'!BA$6:BA$105)+SUMIF(Capacity_Resource,$E145,'Critical resources (hide)'!BA$6:BA$105)+SUMIF(Capacity_Resource,$F145,'Critical resources (hide)'!BA$6:BA$105)&gt;0,$E$1=2),0,1),0)</f>
        <v>1</v>
      </c>
      <c r="AO145" s="67">
        <f ca="1">IF(LOWER(Capacity!$V50)="x",IF(AND(SUMIF(Capacity_Resource,$D145,'Critical resources (hide)'!BB$6:BB$105)+SUMIF(Capacity_Resource,$E145,'Critical resources (hide)'!BB$6:BB$105)+SUMIF(Capacity_Resource,$F145,'Critical resources (hide)'!BB$6:BB$105)&gt;0,$E$1=2),0,1),0)</f>
        <v>1</v>
      </c>
      <c r="AP145" s="67">
        <f ca="1">IF(LOWER(Capacity!$V50)="x",IF(AND(SUMIF(Capacity_Resource,$D145,'Critical resources (hide)'!BC$6:BC$105)+SUMIF(Capacity_Resource,$E145,'Critical resources (hide)'!BC$6:BC$105)+SUMIF(Capacity_Resource,$F145,'Critical resources (hide)'!BC$6:BC$105)&gt;0,$E$1=2),0,1),0)</f>
        <v>1</v>
      </c>
      <c r="AQ145" s="67">
        <f ca="1">IF(LOWER(Capacity!$V50)="x",IF(AND(SUMIF(Capacity_Resource,$D145,'Critical resources (hide)'!BD$6:BD$105)+SUMIF(Capacity_Resource,$E145,'Critical resources (hide)'!BD$6:BD$105)+SUMIF(Capacity_Resource,$F145,'Critical resources (hide)'!BD$6:BD$105)&gt;0,$E$1=2),0,1),0)</f>
        <v>1</v>
      </c>
      <c r="AR145" s="67">
        <f ca="1">IF(LOWER(Capacity!$V50)="x",IF(AND(SUMIF(Capacity_Resource,$D145,'Critical resources (hide)'!BE$6:BE$105)+SUMIF(Capacity_Resource,$E145,'Critical resources (hide)'!BE$6:BE$105)+SUMIF(Capacity_Resource,$F145,'Critical resources (hide)'!BE$6:BE$105)&gt;0,$E$1=2),0,1),0)</f>
        <v>1</v>
      </c>
      <c r="AS145" s="67">
        <f ca="1">IF(LOWER(Capacity!$V50)="x",IF(AND(SUMIF(Capacity_Resource,$D145,'Critical resources (hide)'!BF$6:BF$105)+SUMIF(Capacity_Resource,$E145,'Critical resources (hide)'!BF$6:BF$105)+SUMIF(Capacity_Resource,$F145,'Critical resources (hide)'!BF$6:BF$105)&gt;0,$E$1=2),0,1),0)</f>
        <v>1</v>
      </c>
      <c r="AT145" s="67">
        <f ca="1">IF(LOWER(Capacity!$V50)="x",IF(AND(SUMIF(Capacity_Resource,$D145,'Critical resources (hide)'!BG$6:BG$105)+SUMIF(Capacity_Resource,$E145,'Critical resources (hide)'!BG$6:BG$105)+SUMIF(Capacity_Resource,$F145,'Critical resources (hide)'!BG$6:BG$105)&gt;0,$E$1=2),0,1),0)</f>
        <v>1</v>
      </c>
      <c r="AU145" s="67">
        <f ca="1">IF(LOWER(Capacity!$V50)="x",IF(AND(SUMIF(Capacity_Resource,$D145,'Critical resources (hide)'!BH$6:BH$105)+SUMIF(Capacity_Resource,$E145,'Critical resources (hide)'!BH$6:BH$105)+SUMIF(Capacity_Resource,$F145,'Critical resources (hide)'!BH$6:BH$105)&gt;0,$E$1=2),0,1),0)</f>
        <v>1</v>
      </c>
      <c r="AV145" s="67">
        <f ca="1">IF(LOWER(Capacity!$V50)="x",IF(AND(SUMIF(Capacity_Resource,$D145,'Critical resources (hide)'!BI$6:BI$105)+SUMIF(Capacity_Resource,$E145,'Critical resources (hide)'!BI$6:BI$105)+SUMIF(Capacity_Resource,$F145,'Critical resources (hide)'!BI$6:BI$105)&gt;0,$E$1=2),0,1),0)</f>
        <v>1</v>
      </c>
      <c r="AW145" s="67">
        <f ca="1">IF(LOWER(Capacity!$V50)="x",IF(AND(SUMIF(Capacity_Resource,$D145,'Critical resources (hide)'!BJ$6:BJ$105)+SUMIF(Capacity_Resource,$E145,'Critical resources (hide)'!BJ$6:BJ$105)+SUMIF(Capacity_Resource,$F145,'Critical resources (hide)'!BJ$6:BJ$105)&gt;0,$E$1=2),0,1),0)</f>
        <v>1</v>
      </c>
      <c r="AX145" s="67">
        <f ca="1">IF(LOWER(Capacity!$V50)="x",IF(AND(SUMIF(Capacity_Resource,$D145,'Critical resources (hide)'!BK$6:BK$105)+SUMIF(Capacity_Resource,$E145,'Critical resources (hide)'!BK$6:BK$105)+SUMIF(Capacity_Resource,$F145,'Critical resources (hide)'!BK$6:BK$105)&gt;0,$E$1=2),0,1),0)</f>
        <v>1</v>
      </c>
      <c r="AY145" s="67">
        <f ca="1">IF(LOWER(Capacity!$V50)="x",IF(AND(SUMIF(Capacity_Resource,$D145,'Critical resources (hide)'!BL$6:BL$105)+SUMIF(Capacity_Resource,$E145,'Critical resources (hide)'!BL$6:BL$105)+SUMIF(Capacity_Resource,$F145,'Critical resources (hide)'!BL$6:BL$105)&gt;0,$E$1=2),0,1),0)</f>
        <v>1</v>
      </c>
      <c r="AZ145" s="67">
        <f ca="1">IF(LOWER(Capacity!$V50)="x",IF(AND(SUMIF(Capacity_Resource,$D145,'Critical resources (hide)'!BM$6:BM$105)+SUMIF(Capacity_Resource,$E145,'Critical resources (hide)'!BM$6:BM$105)+SUMIF(Capacity_Resource,$F145,'Critical resources (hide)'!BM$6:BM$105)&gt;0,$E$1=2),0,1),0)</f>
        <v>1</v>
      </c>
      <c r="BA145" s="67">
        <f ca="1">IF(LOWER(Capacity!$V50)="x",IF(AND(SUMIF(Capacity_Resource,$D145,'Critical resources (hide)'!BN$6:BN$105)+SUMIF(Capacity_Resource,$E145,'Critical resources (hide)'!BN$6:BN$105)+SUMIF(Capacity_Resource,$F145,'Critical resources (hide)'!BN$6:BN$105)&gt;0,$E$1=2),0,1),0)</f>
        <v>1</v>
      </c>
      <c r="BB145" s="67">
        <f ca="1">IF(LOWER(Capacity!$V50)="x",IF(AND(SUMIF(Capacity_Resource,$D145,'Critical resources (hide)'!BO$6:BO$105)+SUMIF(Capacity_Resource,$E145,'Critical resources (hide)'!BO$6:BO$105)+SUMIF(Capacity_Resource,$F145,'Critical resources (hide)'!BO$6:BO$105)&gt;0,$E$1=2),0,1),0)</f>
        <v>1</v>
      </c>
      <c r="BC145" s="67">
        <f ca="1">IF(LOWER(Capacity!$V50)="x",IF(AND(SUMIF(Capacity_Resource,$D145,'Critical resources (hide)'!BP$6:BP$105)+SUMIF(Capacity_Resource,$E145,'Critical resources (hide)'!BP$6:BP$105)+SUMIF(Capacity_Resource,$F145,'Critical resources (hide)'!BP$6:BP$105)&gt;0,$E$1=2),0,1),0)</f>
        <v>1</v>
      </c>
      <c r="BD145" s="67">
        <f ca="1">IF(LOWER(Capacity!$V50)="x",IF(AND(SUMIF(Capacity_Resource,$D145,'Critical resources (hide)'!BQ$6:BQ$105)+SUMIF(Capacity_Resource,$E145,'Critical resources (hide)'!BQ$6:BQ$105)+SUMIF(Capacity_Resource,$F145,'Critical resources (hide)'!BQ$6:BQ$105)&gt;0,$E$1=2),0,1),0)</f>
        <v>1</v>
      </c>
      <c r="BE145" s="67">
        <f ca="1">IF(LOWER(Capacity!$V50)="x",IF(AND(SUMIF(Capacity_Resource,$D145,'Critical resources (hide)'!BR$6:BR$105)+SUMIF(Capacity_Resource,$E145,'Critical resources (hide)'!BR$6:BR$105)+SUMIF(Capacity_Resource,$F145,'Critical resources (hide)'!BR$6:BR$105)&gt;0,$E$1=2),0,1),0)</f>
        <v>1</v>
      </c>
      <c r="BF145" s="67">
        <f ca="1">IF(LOWER(Capacity!$V50)="x",IF(AND(SUMIF(Capacity_Resource,$D145,'Critical resources (hide)'!BS$6:BS$105)+SUMIF(Capacity_Resource,$E145,'Critical resources (hide)'!BS$6:BS$105)+SUMIF(Capacity_Resource,$F145,'Critical resources (hide)'!BS$6:BS$105)&gt;0,$E$1=2),0,1),0)</f>
        <v>1</v>
      </c>
      <c r="BG145" s="67">
        <f ca="1">IF(LOWER(Capacity!$V50)="x",IF(AND(SUMIF(Capacity_Resource,$D145,'Critical resources (hide)'!BT$6:BT$105)+SUMIF(Capacity_Resource,$E145,'Critical resources (hide)'!BT$6:BT$105)+SUMIF(Capacity_Resource,$F145,'Critical resources (hide)'!BT$6:BT$105)&gt;0,$E$1=2),0,1),0)</f>
        <v>1</v>
      </c>
      <c r="BH145" s="67">
        <f>IF(ROW(A34)&lt;=Capacity!$M$16,IF('Capacity summary'!$C$14="No",SUM(H145:BG145),'Capacity summary'!$E57),0)</f>
        <v>0</v>
      </c>
      <c r="BI145" s="67" t="str">
        <f>IF(BH145&gt;0,IF(BH145&lt;Capacity!Q50,Capacity!R50,Capacity!T50/'Capacity calculation (hide)'!BH145),"")</f>
        <v/>
      </c>
      <c r="BJ145" s="5"/>
      <c r="BK145" s="5">
        <f>IF($BI145&lt;&gt;"",IF('Capacity summary'!$C$14="Yes",IF(COUNTBLANK('Capacity summary'!$H57:$BG57)&lt;52,IF('Capacity summary'!H57&lt;&gt;"",IF(LOWER('Capacity summary'!H57)="x",$BI145*H145,VALUE('Capacity summary'!H57)),0),H145*$BI145),H145*$BI145),0)</f>
        <v>0</v>
      </c>
      <c r="BL145" s="5">
        <f>IF($BI145&lt;&gt;"",IF('Capacity summary'!$C$14="Yes",IF(COUNTBLANK('Capacity summary'!$H57:$BG57)&lt;52,IF('Capacity summary'!I57&lt;&gt;"",IF(LOWER('Capacity summary'!I57)="x",$BI145*I145,VALUE('Capacity summary'!I57)),0),I145*$BI145),I145*$BI145),0)</f>
        <v>0</v>
      </c>
      <c r="BM145" s="5">
        <f>IF($BI145&lt;&gt;"",IF('Capacity summary'!$C$14="Yes",IF(COUNTBLANK('Capacity summary'!$H57:$BG57)&lt;52,IF('Capacity summary'!J57&lt;&gt;"",IF(LOWER('Capacity summary'!J57)="x",$BI145*J145,VALUE('Capacity summary'!J57)),0),J145*$BI145),J145*$BI145),0)</f>
        <v>0</v>
      </c>
      <c r="BN145" s="5">
        <f>IF($BI145&lt;&gt;"",IF('Capacity summary'!$C$14="Yes",IF(COUNTBLANK('Capacity summary'!$H57:$BG57)&lt;52,IF('Capacity summary'!K57&lt;&gt;"",IF(LOWER('Capacity summary'!K57)="x",$BI145*K145,VALUE('Capacity summary'!K57)),0),K145*$BI145),K145*$BI145),0)</f>
        <v>0</v>
      </c>
      <c r="BO145" s="5">
        <f>IF($BI145&lt;&gt;"",IF('Capacity summary'!$C$14="Yes",IF(COUNTBLANK('Capacity summary'!$H57:$BG57)&lt;52,IF('Capacity summary'!L57&lt;&gt;"",IF(LOWER('Capacity summary'!L57)="x",$BI145*L145,VALUE('Capacity summary'!L57)),0),L145*$BI145),L145*$BI145),0)</f>
        <v>0</v>
      </c>
      <c r="BP145" s="5">
        <f>IF($BI145&lt;&gt;"",IF('Capacity summary'!$C$14="Yes",IF(COUNTBLANK('Capacity summary'!$H57:$BG57)&lt;52,IF('Capacity summary'!M57&lt;&gt;"",IF(LOWER('Capacity summary'!M57)="x",$BI145*M145,VALUE('Capacity summary'!M57)),0),M145*$BI145),M145*$BI145),0)</f>
        <v>0</v>
      </c>
      <c r="BQ145" s="5">
        <f>IF($BI145&lt;&gt;"",IF('Capacity summary'!$C$14="Yes",IF(COUNTBLANK('Capacity summary'!$H57:$BG57)&lt;52,IF('Capacity summary'!N57&lt;&gt;"",IF(LOWER('Capacity summary'!N57)="x",$BI145*N145,VALUE('Capacity summary'!N57)),0),N145*$BI145),N145*$BI145),0)</f>
        <v>0</v>
      </c>
      <c r="BR145" s="5">
        <f>IF($BI145&lt;&gt;"",IF('Capacity summary'!$C$14="Yes",IF(COUNTBLANK('Capacity summary'!$H57:$BG57)&lt;52,IF('Capacity summary'!O57&lt;&gt;"",IF(LOWER('Capacity summary'!O57)="x",$BI145*O145,VALUE('Capacity summary'!O57)),0),O145*$BI145),O145*$BI145),0)</f>
        <v>0</v>
      </c>
      <c r="BS145" s="5">
        <f>IF($BI145&lt;&gt;"",IF('Capacity summary'!$C$14="Yes",IF(COUNTBLANK('Capacity summary'!$H57:$BG57)&lt;52,IF('Capacity summary'!P57&lt;&gt;"",IF(LOWER('Capacity summary'!P57)="x",$BI145*P145,VALUE('Capacity summary'!P57)),0),P145*$BI145),P145*$BI145),0)</f>
        <v>0</v>
      </c>
      <c r="BT145" s="5">
        <f>IF($BI145&lt;&gt;"",IF('Capacity summary'!$C$14="Yes",IF(COUNTBLANK('Capacity summary'!$H57:$BG57)&lt;52,IF('Capacity summary'!Q57&lt;&gt;"",IF(LOWER('Capacity summary'!Q57)="x",$BI145*Q145,VALUE('Capacity summary'!Q57)),0),Q145*$BI145),Q145*$BI145),0)</f>
        <v>0</v>
      </c>
      <c r="BU145" s="5">
        <f>IF($BI145&lt;&gt;"",IF('Capacity summary'!$C$14="Yes",IF(COUNTBLANK('Capacity summary'!$H57:$BG57)&lt;52,IF('Capacity summary'!R57&lt;&gt;"",IF(LOWER('Capacity summary'!R57)="x",$BI145*R145,VALUE('Capacity summary'!R57)),0),R145*$BI145),R145*$BI145),0)</f>
        <v>0</v>
      </c>
      <c r="BV145" s="5">
        <f>IF($BI145&lt;&gt;"",IF('Capacity summary'!$C$14="Yes",IF(COUNTBLANK('Capacity summary'!$H57:$BG57)&lt;52,IF('Capacity summary'!S57&lt;&gt;"",IF(LOWER('Capacity summary'!S57)="x",$BI145*S145,VALUE('Capacity summary'!S57)),0),S145*$BI145),S145*$BI145),0)</f>
        <v>0</v>
      </c>
      <c r="BW145" s="5">
        <f>IF($BI145&lt;&gt;"",IF('Capacity summary'!$C$14="Yes",IF(COUNTBLANK('Capacity summary'!$H57:$BG57)&lt;52,IF('Capacity summary'!T57&lt;&gt;"",IF(LOWER('Capacity summary'!T57)="x",$BI145*T145,VALUE('Capacity summary'!T57)),0),T145*$BI145),T145*$BI145),0)</f>
        <v>0</v>
      </c>
      <c r="BX145" s="5">
        <f>IF($BI145&lt;&gt;"",IF('Capacity summary'!$C$14="Yes",IF(COUNTBLANK('Capacity summary'!$H57:$BG57)&lt;52,IF('Capacity summary'!U57&lt;&gt;"",IF(LOWER('Capacity summary'!U57)="x",$BI145*U145,VALUE('Capacity summary'!U57)),0),U145*$BI145),U145*$BI145),0)</f>
        <v>0</v>
      </c>
      <c r="BY145" s="5">
        <f>IF($BI145&lt;&gt;"",IF('Capacity summary'!$C$14="Yes",IF(COUNTBLANK('Capacity summary'!$H57:$BG57)&lt;52,IF('Capacity summary'!V57&lt;&gt;"",IF(LOWER('Capacity summary'!V57)="x",$BI145*V145,VALUE('Capacity summary'!V57)),0),V145*$BI145),V145*$BI145),0)</f>
        <v>0</v>
      </c>
      <c r="BZ145" s="5">
        <f>IF($BI145&lt;&gt;"",IF('Capacity summary'!$C$14="Yes",IF(COUNTBLANK('Capacity summary'!$H57:$BG57)&lt;52,IF('Capacity summary'!W57&lt;&gt;"",IF(LOWER('Capacity summary'!W57)="x",$BI145*W145,VALUE('Capacity summary'!W57)),0),W145*$BI145),W145*$BI145),0)</f>
        <v>0</v>
      </c>
      <c r="CA145" s="5">
        <f>IF($BI145&lt;&gt;"",IF('Capacity summary'!$C$14="Yes",IF(COUNTBLANK('Capacity summary'!$H57:$BG57)&lt;52,IF('Capacity summary'!X57&lt;&gt;"",IF(LOWER('Capacity summary'!X57)="x",$BI145*X145,VALUE('Capacity summary'!X57)),0),X145*$BI145),X145*$BI145),0)</f>
        <v>0</v>
      </c>
      <c r="CB145" s="5">
        <f>IF($BI145&lt;&gt;"",IF('Capacity summary'!$C$14="Yes",IF(COUNTBLANK('Capacity summary'!$H57:$BG57)&lt;52,IF('Capacity summary'!Y57&lt;&gt;"",IF(LOWER('Capacity summary'!Y57)="x",$BI145*Y145,VALUE('Capacity summary'!Y57)),0),Y145*$BI145),Y145*$BI145),0)</f>
        <v>0</v>
      </c>
      <c r="CC145" s="5">
        <f>IF($BI145&lt;&gt;"",IF('Capacity summary'!$C$14="Yes",IF(COUNTBLANK('Capacity summary'!$H57:$BG57)&lt;52,IF('Capacity summary'!Z57&lt;&gt;"",IF(LOWER('Capacity summary'!Z57)="x",$BI145*Z145,VALUE('Capacity summary'!Z57)),0),Z145*$BI145),Z145*$BI145),0)</f>
        <v>0</v>
      </c>
      <c r="CD145" s="5">
        <f>IF($BI145&lt;&gt;"",IF('Capacity summary'!$C$14="Yes",IF(COUNTBLANK('Capacity summary'!$H57:$BG57)&lt;52,IF('Capacity summary'!AA57&lt;&gt;"",IF(LOWER('Capacity summary'!AA57)="x",$BI145*AA145,VALUE('Capacity summary'!AA57)),0),AA145*$BI145),AA145*$BI145),0)</f>
        <v>0</v>
      </c>
      <c r="CE145" s="5">
        <f>IF($BI145&lt;&gt;"",IF('Capacity summary'!$C$14="Yes",IF(COUNTBLANK('Capacity summary'!$H57:$BG57)&lt;52,IF('Capacity summary'!AB57&lt;&gt;"",IF(LOWER('Capacity summary'!AB57)="x",$BI145*AB145,VALUE('Capacity summary'!AB57)),0),AB145*$BI145),AB145*$BI145),0)</f>
        <v>0</v>
      </c>
      <c r="CF145" s="5">
        <f>IF($BI145&lt;&gt;"",IF('Capacity summary'!$C$14="Yes",IF(COUNTBLANK('Capacity summary'!$H57:$BG57)&lt;52,IF('Capacity summary'!AC57&lt;&gt;"",IF(LOWER('Capacity summary'!AC57)="x",$BI145*AC145,VALUE('Capacity summary'!AC57)),0),AC145*$BI145),AC145*$BI145),0)</f>
        <v>0</v>
      </c>
      <c r="CG145" s="5">
        <f>IF($BI145&lt;&gt;"",IF('Capacity summary'!$C$14="Yes",IF(COUNTBLANK('Capacity summary'!$H57:$BG57)&lt;52,IF('Capacity summary'!AD57&lt;&gt;"",IF(LOWER('Capacity summary'!AD57)="x",$BI145*AD145,VALUE('Capacity summary'!AD57)),0),AD145*$BI145),AD145*$BI145),0)</f>
        <v>0</v>
      </c>
      <c r="CH145" s="5">
        <f>IF($BI145&lt;&gt;"",IF('Capacity summary'!$C$14="Yes",IF(COUNTBLANK('Capacity summary'!$H57:$BG57)&lt;52,IF('Capacity summary'!AE57&lt;&gt;"",IF(LOWER('Capacity summary'!AE57)="x",$BI145*AE145,VALUE('Capacity summary'!AE57)),0),AE145*$BI145),AE145*$BI145),0)</f>
        <v>0</v>
      </c>
      <c r="CI145" s="5">
        <f>IF($BI145&lt;&gt;"",IF('Capacity summary'!$C$14="Yes",IF(COUNTBLANK('Capacity summary'!$H57:$BG57)&lt;52,IF('Capacity summary'!AF57&lt;&gt;"",IF(LOWER('Capacity summary'!AF57)="x",$BI145*AF145,VALUE('Capacity summary'!AF57)),0),AF145*$BI145),AF145*$BI145),0)</f>
        <v>0</v>
      </c>
      <c r="CJ145" s="5">
        <f>IF($BI145&lt;&gt;"",IF('Capacity summary'!$C$14="Yes",IF(COUNTBLANK('Capacity summary'!$H57:$BG57)&lt;52,IF('Capacity summary'!AG57&lt;&gt;"",IF(LOWER('Capacity summary'!AG57)="x",$BI145*AG145,VALUE('Capacity summary'!AG57)),0),AG145*$BI145),AG145*$BI145),0)</f>
        <v>0</v>
      </c>
      <c r="CK145" s="5">
        <f>IF($BI145&lt;&gt;"",IF('Capacity summary'!$C$14="Yes",IF(COUNTBLANK('Capacity summary'!$H57:$BG57)&lt;52,IF('Capacity summary'!AH57&lt;&gt;"",IF(LOWER('Capacity summary'!AH57)="x",$BI145*AH145,VALUE('Capacity summary'!AH57)),0),AH145*$BI145),AH145*$BI145),0)</f>
        <v>0</v>
      </c>
      <c r="CL145" s="5">
        <f>IF($BI145&lt;&gt;"",IF('Capacity summary'!$C$14="Yes",IF(COUNTBLANK('Capacity summary'!$H57:$BG57)&lt;52,IF('Capacity summary'!AI57&lt;&gt;"",IF(LOWER('Capacity summary'!AI57)="x",$BI145*AI145,VALUE('Capacity summary'!AI57)),0),AI145*$BI145),AI145*$BI145),0)</f>
        <v>0</v>
      </c>
      <c r="CM145" s="5">
        <f>IF($BI145&lt;&gt;"",IF('Capacity summary'!$C$14="Yes",IF(COUNTBLANK('Capacity summary'!$H57:$BG57)&lt;52,IF('Capacity summary'!AJ57&lt;&gt;"",IF(LOWER('Capacity summary'!AJ57)="x",$BI145*AJ145,VALUE('Capacity summary'!AJ57)),0),AJ145*$BI145),AJ145*$BI145),0)</f>
        <v>0</v>
      </c>
      <c r="CN145" s="5">
        <f>IF($BI145&lt;&gt;"",IF('Capacity summary'!$C$14="Yes",IF(COUNTBLANK('Capacity summary'!$H57:$BG57)&lt;52,IF('Capacity summary'!AK57&lt;&gt;"",IF(LOWER('Capacity summary'!AK57)="x",$BI145*AK145,VALUE('Capacity summary'!AK57)),0),AK145*$BI145),AK145*$BI145),0)</f>
        <v>0</v>
      </c>
      <c r="CO145" s="5">
        <f>IF($BI145&lt;&gt;"",IF('Capacity summary'!$C$14="Yes",IF(COUNTBLANK('Capacity summary'!$H57:$BG57)&lt;52,IF('Capacity summary'!AL57&lt;&gt;"",IF(LOWER('Capacity summary'!AL57)="x",$BI145*AL145,VALUE('Capacity summary'!AL57)),0),AL145*$BI145),AL145*$BI145),0)</f>
        <v>0</v>
      </c>
      <c r="CP145" s="5">
        <f>IF($BI145&lt;&gt;"",IF('Capacity summary'!$C$14="Yes",IF(COUNTBLANK('Capacity summary'!$H57:$BG57)&lt;52,IF('Capacity summary'!AM57&lt;&gt;"",IF(LOWER('Capacity summary'!AM57)="x",$BI145*AM145,VALUE('Capacity summary'!AM57)),0),AM145*$BI145),AM145*$BI145),0)</f>
        <v>0</v>
      </c>
      <c r="CQ145" s="5">
        <f>IF($BI145&lt;&gt;"",IF('Capacity summary'!$C$14="Yes",IF(COUNTBLANK('Capacity summary'!$H57:$BG57)&lt;52,IF('Capacity summary'!AN57&lt;&gt;"",IF(LOWER('Capacity summary'!AN57)="x",$BI145*AN145,VALUE('Capacity summary'!AN57)),0),AN145*$BI145),AN145*$BI145),0)</f>
        <v>0</v>
      </c>
      <c r="CR145" s="5">
        <f>IF($BI145&lt;&gt;"",IF('Capacity summary'!$C$14="Yes",IF(COUNTBLANK('Capacity summary'!$H57:$BG57)&lt;52,IF('Capacity summary'!AO57&lt;&gt;"",IF(LOWER('Capacity summary'!AO57)="x",$BI145*AO145,VALUE('Capacity summary'!AO57)),0),AO145*$BI145),AO145*$BI145),0)</f>
        <v>0</v>
      </c>
      <c r="CS145" s="5">
        <f>IF($BI145&lt;&gt;"",IF('Capacity summary'!$C$14="Yes",IF(COUNTBLANK('Capacity summary'!$H57:$BG57)&lt;52,IF('Capacity summary'!AP57&lt;&gt;"",IF(LOWER('Capacity summary'!AP57)="x",$BI145*AP145,VALUE('Capacity summary'!AP57)),0),AP145*$BI145),AP145*$BI145),0)</f>
        <v>0</v>
      </c>
      <c r="CT145" s="5">
        <f>IF($BI145&lt;&gt;"",IF('Capacity summary'!$C$14="Yes",IF(COUNTBLANK('Capacity summary'!$H57:$BG57)&lt;52,IF('Capacity summary'!AQ57&lt;&gt;"",IF(LOWER('Capacity summary'!AQ57)="x",$BI145*AQ145,VALUE('Capacity summary'!AQ57)),0),AQ145*$BI145),AQ145*$BI145),0)</f>
        <v>0</v>
      </c>
      <c r="CU145" s="5">
        <f>IF($BI145&lt;&gt;"",IF('Capacity summary'!$C$14="Yes",IF(COUNTBLANK('Capacity summary'!$H57:$BG57)&lt;52,IF('Capacity summary'!AR57&lt;&gt;"",IF(LOWER('Capacity summary'!AR57)="x",$BI145*AR145,VALUE('Capacity summary'!AR57)),0),AR145*$BI145),AR145*$BI145),0)</f>
        <v>0</v>
      </c>
      <c r="CV145" s="5">
        <f>IF($BI145&lt;&gt;"",IF('Capacity summary'!$C$14="Yes",IF(COUNTBLANK('Capacity summary'!$H57:$BG57)&lt;52,IF('Capacity summary'!AS57&lt;&gt;"",IF(LOWER('Capacity summary'!AS57)="x",$BI145*AS145,VALUE('Capacity summary'!AS57)),0),AS145*$BI145),AS145*$BI145),0)</f>
        <v>0</v>
      </c>
      <c r="CW145" s="5">
        <f>IF($BI145&lt;&gt;"",IF('Capacity summary'!$C$14="Yes",IF(COUNTBLANK('Capacity summary'!$H57:$BG57)&lt;52,IF('Capacity summary'!AT57&lt;&gt;"",IF(LOWER('Capacity summary'!AT57)="x",$BI145*AT145,VALUE('Capacity summary'!AT57)),0),AT145*$BI145),AT145*$BI145),0)</f>
        <v>0</v>
      </c>
      <c r="CX145" s="5">
        <f>IF($BI145&lt;&gt;"",IF('Capacity summary'!$C$14="Yes",IF(COUNTBLANK('Capacity summary'!$H57:$BG57)&lt;52,IF('Capacity summary'!AU57&lt;&gt;"",IF(LOWER('Capacity summary'!AU57)="x",$BI145*AU145,VALUE('Capacity summary'!AU57)),0),AU145*$BI145),AU145*$BI145),0)</f>
        <v>0</v>
      </c>
      <c r="CY145" s="5">
        <f>IF($BI145&lt;&gt;"",IF('Capacity summary'!$C$14="Yes",IF(COUNTBLANK('Capacity summary'!$H57:$BG57)&lt;52,IF('Capacity summary'!AV57&lt;&gt;"",IF(LOWER('Capacity summary'!AV57)="x",$BI145*AV145,VALUE('Capacity summary'!AV57)),0),AV145*$BI145),AV145*$BI145),0)</f>
        <v>0</v>
      </c>
      <c r="CZ145" s="5">
        <f>IF($BI145&lt;&gt;"",IF('Capacity summary'!$C$14="Yes",IF(COUNTBLANK('Capacity summary'!$H57:$BG57)&lt;52,IF('Capacity summary'!AW57&lt;&gt;"",IF(LOWER('Capacity summary'!AW57)="x",$BI145*AW145,VALUE('Capacity summary'!AW57)),0),AW145*$BI145),AW145*$BI145),0)</f>
        <v>0</v>
      </c>
      <c r="DA145" s="5">
        <f>IF($BI145&lt;&gt;"",IF('Capacity summary'!$C$14="Yes",IF(COUNTBLANK('Capacity summary'!$H57:$BG57)&lt;52,IF('Capacity summary'!AX57&lt;&gt;"",IF(LOWER('Capacity summary'!AX57)="x",$BI145*AX145,VALUE('Capacity summary'!AX57)),0),AX145*$BI145),AX145*$BI145),0)</f>
        <v>0</v>
      </c>
      <c r="DB145" s="5">
        <f>IF($BI145&lt;&gt;"",IF('Capacity summary'!$C$14="Yes",IF(COUNTBLANK('Capacity summary'!$H57:$BG57)&lt;52,IF('Capacity summary'!AY57&lt;&gt;"",IF(LOWER('Capacity summary'!AY57)="x",$BI145*AY145,VALUE('Capacity summary'!AY57)),0),AY145*$BI145),AY145*$BI145),0)</f>
        <v>0</v>
      </c>
      <c r="DC145" s="5">
        <f>IF($BI145&lt;&gt;"",IF('Capacity summary'!$C$14="Yes",IF(COUNTBLANK('Capacity summary'!$H57:$BG57)&lt;52,IF('Capacity summary'!AZ57&lt;&gt;"",IF(LOWER('Capacity summary'!AZ57)="x",$BI145*AZ145,VALUE('Capacity summary'!AZ57)),0),AZ145*$BI145),AZ145*$BI145),0)</f>
        <v>0</v>
      </c>
      <c r="DD145" s="5">
        <f>IF($BI145&lt;&gt;"",IF('Capacity summary'!$C$14="Yes",IF(COUNTBLANK('Capacity summary'!$H57:$BG57)&lt;52,IF('Capacity summary'!BA57&lt;&gt;"",IF(LOWER('Capacity summary'!BA57)="x",$BI145*BA145,VALUE('Capacity summary'!BA57)),0),BA145*$BI145),BA145*$BI145),0)</f>
        <v>0</v>
      </c>
      <c r="DE145" s="5">
        <f>IF($BI145&lt;&gt;"",IF('Capacity summary'!$C$14="Yes",IF(COUNTBLANK('Capacity summary'!$H57:$BG57)&lt;52,IF('Capacity summary'!BB57&lt;&gt;"",IF(LOWER('Capacity summary'!BB57)="x",$BI145*BB145,VALUE('Capacity summary'!BB57)),0),BB145*$BI145),BB145*$BI145),0)</f>
        <v>0</v>
      </c>
      <c r="DF145" s="5">
        <f>IF($BI145&lt;&gt;"",IF('Capacity summary'!$C$14="Yes",IF(COUNTBLANK('Capacity summary'!$H57:$BG57)&lt;52,IF('Capacity summary'!BC57&lt;&gt;"",IF(LOWER('Capacity summary'!BC57)="x",$BI145*BC145,VALUE('Capacity summary'!BC57)),0),BC145*$BI145),BC145*$BI145),0)</f>
        <v>0</v>
      </c>
      <c r="DG145" s="5">
        <f>IF($BI145&lt;&gt;"",IF('Capacity summary'!$C$14="Yes",IF(COUNTBLANK('Capacity summary'!$H57:$BG57)&lt;52,IF('Capacity summary'!BD57&lt;&gt;"",IF(LOWER('Capacity summary'!BD57)="x",$BI145*BD145,VALUE('Capacity summary'!BD57)),0),BD145*$BI145),BD145*$BI145),0)</f>
        <v>0</v>
      </c>
      <c r="DH145" s="5">
        <f>IF($BI145&lt;&gt;"",IF('Capacity summary'!$C$14="Yes",IF(COUNTBLANK('Capacity summary'!$H57:$BG57)&lt;52,IF('Capacity summary'!BE57&lt;&gt;"",IF(LOWER('Capacity summary'!BE57)="x",$BI145*BE145,VALUE('Capacity summary'!BE57)),0),BE145*$BI145),BE145*$BI145),0)</f>
        <v>0</v>
      </c>
      <c r="DI145" s="5">
        <f>IF($BI145&lt;&gt;"",IF('Capacity summary'!$C$14="Yes",IF(COUNTBLANK('Capacity summary'!$H57:$BG57)&lt;52,IF('Capacity summary'!BF57&lt;&gt;"",IF(LOWER('Capacity summary'!BF57)="x",$BI145*BF145,VALUE('Capacity summary'!BF57)),0),BF145*$BI145),BF145*$BI145),0)</f>
        <v>0</v>
      </c>
      <c r="DJ145" s="5">
        <f>IF($BI145&lt;&gt;"",IF('Capacity summary'!$C$14="Yes",IF(COUNTBLANK('Capacity summary'!$H57:$BG57)&lt;52,IF('Capacity summary'!BG57&lt;&gt;"",IF(LOWER('Capacity summary'!BG57)="x",$BI145*BG145,VALUE('Capacity summary'!BG57)),0),BG145*$BI145),BG145*$BI145),0)</f>
        <v>0</v>
      </c>
      <c r="DK145" s="391">
        <f t="shared" si="8"/>
        <v>0</v>
      </c>
      <c r="DL145" s="5">
        <f t="shared" si="9"/>
        <v>0</v>
      </c>
    </row>
    <row r="146" spans="3:116" x14ac:dyDescent="0.2">
      <c r="C146" s="67" t="str">
        <f>ROW(A35)&amp;". "&amp;Capacity!N51</f>
        <v xml:space="preserve">35. </v>
      </c>
      <c r="D146" s="67">
        <f>'Capacity setup'!C152</f>
        <v>0</v>
      </c>
      <c r="E146" s="67">
        <f>'Capacity setup'!D152</f>
        <v>0</v>
      </c>
      <c r="F146" s="67">
        <f>'Capacity setup'!E152</f>
        <v>0</v>
      </c>
      <c r="H146" s="67">
        <f ca="1">IF(LOWER(Capacity!$V51)="x",IF(AND(SUMIF(Capacity_Resource,$D146,'Critical resources (hide)'!U$6:U$105)+SUMIF(Capacity_Resource,$E146,'Critical resources (hide)'!U$6:U$105)+SUMIF(Capacity_Resource,$F146,'Critical resources (hide)'!U$6:U$105)&gt;0,$E$1=2),0,1),0)</f>
        <v>1</v>
      </c>
      <c r="I146" s="67">
        <f ca="1">IF(LOWER(Capacity!$V51)="x",IF(AND(SUMIF(Capacity_Resource,$D146,'Critical resources (hide)'!V$6:V$105)+SUMIF(Capacity_Resource,$E146,'Critical resources (hide)'!V$6:V$105)+SUMIF(Capacity_Resource,$F146,'Critical resources (hide)'!V$6:V$105)&gt;0,$E$1=2),0,1),0)</f>
        <v>1</v>
      </c>
      <c r="J146" s="67">
        <f ca="1">IF(LOWER(Capacity!$V51)="x",IF(AND(SUMIF(Capacity_Resource,$D146,'Critical resources (hide)'!W$6:W$105)+SUMIF(Capacity_Resource,$E146,'Critical resources (hide)'!W$6:W$105)+SUMIF(Capacity_Resource,$F146,'Critical resources (hide)'!W$6:W$105)&gt;0,$E$1=2),0,1),0)</f>
        <v>1</v>
      </c>
      <c r="K146" s="67">
        <f ca="1">IF(LOWER(Capacity!$V51)="x",IF(AND(SUMIF(Capacity_Resource,$D146,'Critical resources (hide)'!X$6:X$105)+SUMIF(Capacity_Resource,$E146,'Critical resources (hide)'!X$6:X$105)+SUMIF(Capacity_Resource,$F146,'Critical resources (hide)'!X$6:X$105)&gt;0,$E$1=2),0,1),0)</f>
        <v>1</v>
      </c>
      <c r="L146" s="67">
        <f ca="1">IF(LOWER(Capacity!$V51)="x",IF(AND(SUMIF(Capacity_Resource,$D146,'Critical resources (hide)'!Y$6:Y$105)+SUMIF(Capacity_Resource,$E146,'Critical resources (hide)'!Y$6:Y$105)+SUMIF(Capacity_Resource,$F146,'Critical resources (hide)'!Y$6:Y$105)&gt;0,$E$1=2),0,1),0)</f>
        <v>1</v>
      </c>
      <c r="M146" s="67">
        <f ca="1">IF(LOWER(Capacity!$V51)="x",IF(AND(SUMIF(Capacity_Resource,$D146,'Critical resources (hide)'!Z$6:Z$105)+SUMIF(Capacity_Resource,$E146,'Critical resources (hide)'!Z$6:Z$105)+SUMIF(Capacity_Resource,$F146,'Critical resources (hide)'!Z$6:Z$105)&gt;0,$E$1=2),0,1),0)</f>
        <v>1</v>
      </c>
      <c r="N146" s="67">
        <f ca="1">IF(LOWER(Capacity!$V51)="x",IF(AND(SUMIF(Capacity_Resource,$D146,'Critical resources (hide)'!AA$6:AA$105)+SUMIF(Capacity_Resource,$E146,'Critical resources (hide)'!AA$6:AA$105)+SUMIF(Capacity_Resource,$F146,'Critical resources (hide)'!AA$6:AA$105)&gt;0,$E$1=2),0,1),0)</f>
        <v>1</v>
      </c>
      <c r="O146" s="67">
        <f ca="1">IF(LOWER(Capacity!$V51)="x",IF(AND(SUMIF(Capacity_Resource,$D146,'Critical resources (hide)'!AB$6:AB$105)+SUMIF(Capacity_Resource,$E146,'Critical resources (hide)'!AB$6:AB$105)+SUMIF(Capacity_Resource,$F146,'Critical resources (hide)'!AB$6:AB$105)&gt;0,$E$1=2),0,1),0)</f>
        <v>1</v>
      </c>
      <c r="P146" s="67">
        <f ca="1">IF(LOWER(Capacity!$V51)="x",IF(AND(SUMIF(Capacity_Resource,$D146,'Critical resources (hide)'!AC$6:AC$105)+SUMIF(Capacity_Resource,$E146,'Critical resources (hide)'!AC$6:AC$105)+SUMIF(Capacity_Resource,$F146,'Critical resources (hide)'!AC$6:AC$105)&gt;0,$E$1=2),0,1),0)</f>
        <v>1</v>
      </c>
      <c r="Q146" s="67">
        <f ca="1">IF(LOWER(Capacity!$V51)="x",IF(AND(SUMIF(Capacity_Resource,$D146,'Critical resources (hide)'!AD$6:AD$105)+SUMIF(Capacity_Resource,$E146,'Critical resources (hide)'!AD$6:AD$105)+SUMIF(Capacity_Resource,$F146,'Critical resources (hide)'!AD$6:AD$105)&gt;0,$E$1=2),0,1),0)</f>
        <v>1</v>
      </c>
      <c r="R146" s="67">
        <f ca="1">IF(LOWER(Capacity!$V51)="x",IF(AND(SUMIF(Capacity_Resource,$D146,'Critical resources (hide)'!AE$6:AE$105)+SUMIF(Capacity_Resource,$E146,'Critical resources (hide)'!AE$6:AE$105)+SUMIF(Capacity_Resource,$F146,'Critical resources (hide)'!AE$6:AE$105)&gt;0,$E$1=2),0,1),0)</f>
        <v>1</v>
      </c>
      <c r="S146" s="67">
        <f ca="1">IF(LOWER(Capacity!$V51)="x",IF(AND(SUMIF(Capacity_Resource,$D146,'Critical resources (hide)'!AF$6:AF$105)+SUMIF(Capacity_Resource,$E146,'Critical resources (hide)'!AF$6:AF$105)+SUMIF(Capacity_Resource,$F146,'Critical resources (hide)'!AF$6:AF$105)&gt;0,$E$1=2),0,1),0)</f>
        <v>1</v>
      </c>
      <c r="T146" s="67">
        <f ca="1">IF(LOWER(Capacity!$V51)="x",IF(AND(SUMIF(Capacity_Resource,$D146,'Critical resources (hide)'!AG$6:AG$105)+SUMIF(Capacity_Resource,$E146,'Critical resources (hide)'!AG$6:AG$105)+SUMIF(Capacity_Resource,$F146,'Critical resources (hide)'!AG$6:AG$105)&gt;0,$E$1=2),0,1),0)</f>
        <v>1</v>
      </c>
      <c r="U146" s="67">
        <f ca="1">IF(LOWER(Capacity!$V51)="x",IF(AND(SUMIF(Capacity_Resource,$D146,'Critical resources (hide)'!AH$6:AH$105)+SUMIF(Capacity_Resource,$E146,'Critical resources (hide)'!AH$6:AH$105)+SUMIF(Capacity_Resource,$F146,'Critical resources (hide)'!AH$6:AH$105)&gt;0,$E$1=2),0,1),0)</f>
        <v>1</v>
      </c>
      <c r="V146" s="67">
        <f ca="1">IF(LOWER(Capacity!$V51)="x",IF(AND(SUMIF(Capacity_Resource,$D146,'Critical resources (hide)'!AI$6:AI$105)+SUMIF(Capacity_Resource,$E146,'Critical resources (hide)'!AI$6:AI$105)+SUMIF(Capacity_Resource,$F146,'Critical resources (hide)'!AI$6:AI$105)&gt;0,$E$1=2),0,1),0)</f>
        <v>1</v>
      </c>
      <c r="W146" s="67">
        <f ca="1">IF(LOWER(Capacity!$V51)="x",IF(AND(SUMIF(Capacity_Resource,$D146,'Critical resources (hide)'!AJ$6:AJ$105)+SUMIF(Capacity_Resource,$E146,'Critical resources (hide)'!AJ$6:AJ$105)+SUMIF(Capacity_Resource,$F146,'Critical resources (hide)'!AJ$6:AJ$105)&gt;0,$E$1=2),0,1),0)</f>
        <v>1</v>
      </c>
      <c r="X146" s="67">
        <f ca="1">IF(LOWER(Capacity!$V51)="x",IF(AND(SUMIF(Capacity_Resource,$D146,'Critical resources (hide)'!AK$6:AK$105)+SUMIF(Capacity_Resource,$E146,'Critical resources (hide)'!AK$6:AK$105)+SUMIF(Capacity_Resource,$F146,'Critical resources (hide)'!AK$6:AK$105)&gt;0,$E$1=2),0,1),0)</f>
        <v>1</v>
      </c>
      <c r="Y146" s="67">
        <f ca="1">IF(LOWER(Capacity!$V51)="x",IF(AND(SUMIF(Capacity_Resource,$D146,'Critical resources (hide)'!AL$6:AL$105)+SUMIF(Capacity_Resource,$E146,'Critical resources (hide)'!AL$6:AL$105)+SUMIF(Capacity_Resource,$F146,'Critical resources (hide)'!AL$6:AL$105)&gt;0,$E$1=2),0,1),0)</f>
        <v>1</v>
      </c>
      <c r="Z146" s="67">
        <f ca="1">IF(LOWER(Capacity!$V51)="x",IF(AND(SUMIF(Capacity_Resource,$D146,'Critical resources (hide)'!AM$6:AM$105)+SUMIF(Capacity_Resource,$E146,'Critical resources (hide)'!AM$6:AM$105)+SUMIF(Capacity_Resource,$F146,'Critical resources (hide)'!AM$6:AM$105)&gt;0,$E$1=2),0,1),0)</f>
        <v>1</v>
      </c>
      <c r="AA146" s="67">
        <f ca="1">IF(LOWER(Capacity!$V51)="x",IF(AND(SUMIF(Capacity_Resource,$D146,'Critical resources (hide)'!AN$6:AN$105)+SUMIF(Capacity_Resource,$E146,'Critical resources (hide)'!AN$6:AN$105)+SUMIF(Capacity_Resource,$F146,'Critical resources (hide)'!AN$6:AN$105)&gt;0,$E$1=2),0,1),0)</f>
        <v>1</v>
      </c>
      <c r="AB146" s="67">
        <f ca="1">IF(LOWER(Capacity!$V51)="x",IF(AND(SUMIF(Capacity_Resource,$D146,'Critical resources (hide)'!AO$6:AO$105)+SUMIF(Capacity_Resource,$E146,'Critical resources (hide)'!AO$6:AO$105)+SUMIF(Capacity_Resource,$F146,'Critical resources (hide)'!AO$6:AO$105)&gt;0,$E$1=2),0,1),0)</f>
        <v>1</v>
      </c>
      <c r="AC146" s="67">
        <f ca="1">IF(LOWER(Capacity!$V51)="x",IF(AND(SUMIF(Capacity_Resource,$D146,'Critical resources (hide)'!AP$6:AP$105)+SUMIF(Capacity_Resource,$E146,'Critical resources (hide)'!AP$6:AP$105)+SUMIF(Capacity_Resource,$F146,'Critical resources (hide)'!AP$6:AP$105)&gt;0,$E$1=2),0,1),0)</f>
        <v>1</v>
      </c>
      <c r="AD146" s="67">
        <f ca="1">IF(LOWER(Capacity!$V51)="x",IF(AND(SUMIF(Capacity_Resource,$D146,'Critical resources (hide)'!AQ$6:AQ$105)+SUMIF(Capacity_Resource,$E146,'Critical resources (hide)'!AQ$6:AQ$105)+SUMIF(Capacity_Resource,$F146,'Critical resources (hide)'!AQ$6:AQ$105)&gt;0,$E$1=2),0,1),0)</f>
        <v>1</v>
      </c>
      <c r="AE146" s="67">
        <f ca="1">IF(LOWER(Capacity!$V51)="x",IF(AND(SUMIF(Capacity_Resource,$D146,'Critical resources (hide)'!AR$6:AR$105)+SUMIF(Capacity_Resource,$E146,'Critical resources (hide)'!AR$6:AR$105)+SUMIF(Capacity_Resource,$F146,'Critical resources (hide)'!AR$6:AR$105)&gt;0,$E$1=2),0,1),0)</f>
        <v>1</v>
      </c>
      <c r="AF146" s="67">
        <f ca="1">IF(LOWER(Capacity!$V51)="x",IF(AND(SUMIF(Capacity_Resource,$D146,'Critical resources (hide)'!AS$6:AS$105)+SUMIF(Capacity_Resource,$E146,'Critical resources (hide)'!AS$6:AS$105)+SUMIF(Capacity_Resource,$F146,'Critical resources (hide)'!AS$6:AS$105)&gt;0,$E$1=2),0,1),0)</f>
        <v>1</v>
      </c>
      <c r="AG146" s="67">
        <f ca="1">IF(LOWER(Capacity!$V51)="x",IF(AND(SUMIF(Capacity_Resource,$D146,'Critical resources (hide)'!AT$6:AT$105)+SUMIF(Capacity_Resource,$E146,'Critical resources (hide)'!AT$6:AT$105)+SUMIF(Capacity_Resource,$F146,'Critical resources (hide)'!AT$6:AT$105)&gt;0,$E$1=2),0,1),0)</f>
        <v>1</v>
      </c>
      <c r="AH146" s="67">
        <f ca="1">IF(LOWER(Capacity!$V51)="x",IF(AND(SUMIF(Capacity_Resource,$D146,'Critical resources (hide)'!AU$6:AU$105)+SUMIF(Capacity_Resource,$E146,'Critical resources (hide)'!AU$6:AU$105)+SUMIF(Capacity_Resource,$F146,'Critical resources (hide)'!AU$6:AU$105)&gt;0,$E$1=2),0,1),0)</f>
        <v>1</v>
      </c>
      <c r="AI146" s="67">
        <f ca="1">IF(LOWER(Capacity!$V51)="x",IF(AND(SUMIF(Capacity_Resource,$D146,'Critical resources (hide)'!AV$6:AV$105)+SUMIF(Capacity_Resource,$E146,'Critical resources (hide)'!AV$6:AV$105)+SUMIF(Capacity_Resource,$F146,'Critical resources (hide)'!AV$6:AV$105)&gt;0,$E$1=2),0,1),0)</f>
        <v>1</v>
      </c>
      <c r="AJ146" s="67">
        <f ca="1">IF(LOWER(Capacity!$V51)="x",IF(AND(SUMIF(Capacity_Resource,$D146,'Critical resources (hide)'!AW$6:AW$105)+SUMIF(Capacity_Resource,$E146,'Critical resources (hide)'!AW$6:AW$105)+SUMIF(Capacity_Resource,$F146,'Critical resources (hide)'!AW$6:AW$105)&gt;0,$E$1=2),0,1),0)</f>
        <v>1</v>
      </c>
      <c r="AK146" s="67">
        <f ca="1">IF(LOWER(Capacity!$V51)="x",IF(AND(SUMIF(Capacity_Resource,$D146,'Critical resources (hide)'!AX$6:AX$105)+SUMIF(Capacity_Resource,$E146,'Critical resources (hide)'!AX$6:AX$105)+SUMIF(Capacity_Resource,$F146,'Critical resources (hide)'!AX$6:AX$105)&gt;0,$E$1=2),0,1),0)</f>
        <v>1</v>
      </c>
      <c r="AL146" s="67">
        <f ca="1">IF(LOWER(Capacity!$V51)="x",IF(AND(SUMIF(Capacity_Resource,$D146,'Critical resources (hide)'!AY$6:AY$105)+SUMIF(Capacity_Resource,$E146,'Critical resources (hide)'!AY$6:AY$105)+SUMIF(Capacity_Resource,$F146,'Critical resources (hide)'!AY$6:AY$105)&gt;0,$E$1=2),0,1),0)</f>
        <v>1</v>
      </c>
      <c r="AM146" s="67">
        <f ca="1">IF(LOWER(Capacity!$V51)="x",IF(AND(SUMIF(Capacity_Resource,$D146,'Critical resources (hide)'!AZ$6:AZ$105)+SUMIF(Capacity_Resource,$E146,'Critical resources (hide)'!AZ$6:AZ$105)+SUMIF(Capacity_Resource,$F146,'Critical resources (hide)'!AZ$6:AZ$105)&gt;0,$E$1=2),0,1),0)</f>
        <v>1</v>
      </c>
      <c r="AN146" s="67">
        <f ca="1">IF(LOWER(Capacity!$V51)="x",IF(AND(SUMIF(Capacity_Resource,$D146,'Critical resources (hide)'!BA$6:BA$105)+SUMIF(Capacity_Resource,$E146,'Critical resources (hide)'!BA$6:BA$105)+SUMIF(Capacity_Resource,$F146,'Critical resources (hide)'!BA$6:BA$105)&gt;0,$E$1=2),0,1),0)</f>
        <v>1</v>
      </c>
      <c r="AO146" s="67">
        <f ca="1">IF(LOWER(Capacity!$V51)="x",IF(AND(SUMIF(Capacity_Resource,$D146,'Critical resources (hide)'!BB$6:BB$105)+SUMIF(Capacity_Resource,$E146,'Critical resources (hide)'!BB$6:BB$105)+SUMIF(Capacity_Resource,$F146,'Critical resources (hide)'!BB$6:BB$105)&gt;0,$E$1=2),0,1),0)</f>
        <v>1</v>
      </c>
      <c r="AP146" s="67">
        <f ca="1">IF(LOWER(Capacity!$V51)="x",IF(AND(SUMIF(Capacity_Resource,$D146,'Critical resources (hide)'!BC$6:BC$105)+SUMIF(Capacity_Resource,$E146,'Critical resources (hide)'!BC$6:BC$105)+SUMIF(Capacity_Resource,$F146,'Critical resources (hide)'!BC$6:BC$105)&gt;0,$E$1=2),0,1),0)</f>
        <v>1</v>
      </c>
      <c r="AQ146" s="67">
        <f ca="1">IF(LOWER(Capacity!$V51)="x",IF(AND(SUMIF(Capacity_Resource,$D146,'Critical resources (hide)'!BD$6:BD$105)+SUMIF(Capacity_Resource,$E146,'Critical resources (hide)'!BD$6:BD$105)+SUMIF(Capacity_Resource,$F146,'Critical resources (hide)'!BD$6:BD$105)&gt;0,$E$1=2),0,1),0)</f>
        <v>1</v>
      </c>
      <c r="AR146" s="67">
        <f ca="1">IF(LOWER(Capacity!$V51)="x",IF(AND(SUMIF(Capacity_Resource,$D146,'Critical resources (hide)'!BE$6:BE$105)+SUMIF(Capacity_Resource,$E146,'Critical resources (hide)'!BE$6:BE$105)+SUMIF(Capacity_Resource,$F146,'Critical resources (hide)'!BE$6:BE$105)&gt;0,$E$1=2),0,1),0)</f>
        <v>1</v>
      </c>
      <c r="AS146" s="67">
        <f ca="1">IF(LOWER(Capacity!$V51)="x",IF(AND(SUMIF(Capacity_Resource,$D146,'Critical resources (hide)'!BF$6:BF$105)+SUMIF(Capacity_Resource,$E146,'Critical resources (hide)'!BF$6:BF$105)+SUMIF(Capacity_Resource,$F146,'Critical resources (hide)'!BF$6:BF$105)&gt;0,$E$1=2),0,1),0)</f>
        <v>1</v>
      </c>
      <c r="AT146" s="67">
        <f ca="1">IF(LOWER(Capacity!$V51)="x",IF(AND(SUMIF(Capacity_Resource,$D146,'Critical resources (hide)'!BG$6:BG$105)+SUMIF(Capacity_Resource,$E146,'Critical resources (hide)'!BG$6:BG$105)+SUMIF(Capacity_Resource,$F146,'Critical resources (hide)'!BG$6:BG$105)&gt;0,$E$1=2),0,1),0)</f>
        <v>1</v>
      </c>
      <c r="AU146" s="67">
        <f ca="1">IF(LOWER(Capacity!$V51)="x",IF(AND(SUMIF(Capacity_Resource,$D146,'Critical resources (hide)'!BH$6:BH$105)+SUMIF(Capacity_Resource,$E146,'Critical resources (hide)'!BH$6:BH$105)+SUMIF(Capacity_Resource,$F146,'Critical resources (hide)'!BH$6:BH$105)&gt;0,$E$1=2),0,1),0)</f>
        <v>1</v>
      </c>
      <c r="AV146" s="67">
        <f ca="1">IF(LOWER(Capacity!$V51)="x",IF(AND(SUMIF(Capacity_Resource,$D146,'Critical resources (hide)'!BI$6:BI$105)+SUMIF(Capacity_Resource,$E146,'Critical resources (hide)'!BI$6:BI$105)+SUMIF(Capacity_Resource,$F146,'Critical resources (hide)'!BI$6:BI$105)&gt;0,$E$1=2),0,1),0)</f>
        <v>1</v>
      </c>
      <c r="AW146" s="67">
        <f ca="1">IF(LOWER(Capacity!$V51)="x",IF(AND(SUMIF(Capacity_Resource,$D146,'Critical resources (hide)'!BJ$6:BJ$105)+SUMIF(Capacity_Resource,$E146,'Critical resources (hide)'!BJ$6:BJ$105)+SUMIF(Capacity_Resource,$F146,'Critical resources (hide)'!BJ$6:BJ$105)&gt;0,$E$1=2),0,1),0)</f>
        <v>1</v>
      </c>
      <c r="AX146" s="67">
        <f ca="1">IF(LOWER(Capacity!$V51)="x",IF(AND(SUMIF(Capacity_Resource,$D146,'Critical resources (hide)'!BK$6:BK$105)+SUMIF(Capacity_Resource,$E146,'Critical resources (hide)'!BK$6:BK$105)+SUMIF(Capacity_Resource,$F146,'Critical resources (hide)'!BK$6:BK$105)&gt;0,$E$1=2),0,1),0)</f>
        <v>1</v>
      </c>
      <c r="AY146" s="67">
        <f ca="1">IF(LOWER(Capacity!$V51)="x",IF(AND(SUMIF(Capacity_Resource,$D146,'Critical resources (hide)'!BL$6:BL$105)+SUMIF(Capacity_Resource,$E146,'Critical resources (hide)'!BL$6:BL$105)+SUMIF(Capacity_Resource,$F146,'Critical resources (hide)'!BL$6:BL$105)&gt;0,$E$1=2),0,1),0)</f>
        <v>1</v>
      </c>
      <c r="AZ146" s="67">
        <f ca="1">IF(LOWER(Capacity!$V51)="x",IF(AND(SUMIF(Capacity_Resource,$D146,'Critical resources (hide)'!BM$6:BM$105)+SUMIF(Capacity_Resource,$E146,'Critical resources (hide)'!BM$6:BM$105)+SUMIF(Capacity_Resource,$F146,'Critical resources (hide)'!BM$6:BM$105)&gt;0,$E$1=2),0,1),0)</f>
        <v>1</v>
      </c>
      <c r="BA146" s="67">
        <f ca="1">IF(LOWER(Capacity!$V51)="x",IF(AND(SUMIF(Capacity_Resource,$D146,'Critical resources (hide)'!BN$6:BN$105)+SUMIF(Capacity_Resource,$E146,'Critical resources (hide)'!BN$6:BN$105)+SUMIF(Capacity_Resource,$F146,'Critical resources (hide)'!BN$6:BN$105)&gt;0,$E$1=2),0,1),0)</f>
        <v>1</v>
      </c>
      <c r="BB146" s="67">
        <f ca="1">IF(LOWER(Capacity!$V51)="x",IF(AND(SUMIF(Capacity_Resource,$D146,'Critical resources (hide)'!BO$6:BO$105)+SUMIF(Capacity_Resource,$E146,'Critical resources (hide)'!BO$6:BO$105)+SUMIF(Capacity_Resource,$F146,'Critical resources (hide)'!BO$6:BO$105)&gt;0,$E$1=2),0,1),0)</f>
        <v>1</v>
      </c>
      <c r="BC146" s="67">
        <f ca="1">IF(LOWER(Capacity!$V51)="x",IF(AND(SUMIF(Capacity_Resource,$D146,'Critical resources (hide)'!BP$6:BP$105)+SUMIF(Capacity_Resource,$E146,'Critical resources (hide)'!BP$6:BP$105)+SUMIF(Capacity_Resource,$F146,'Critical resources (hide)'!BP$6:BP$105)&gt;0,$E$1=2),0,1),0)</f>
        <v>1</v>
      </c>
      <c r="BD146" s="67">
        <f ca="1">IF(LOWER(Capacity!$V51)="x",IF(AND(SUMIF(Capacity_Resource,$D146,'Critical resources (hide)'!BQ$6:BQ$105)+SUMIF(Capacity_Resource,$E146,'Critical resources (hide)'!BQ$6:BQ$105)+SUMIF(Capacity_Resource,$F146,'Critical resources (hide)'!BQ$6:BQ$105)&gt;0,$E$1=2),0,1),0)</f>
        <v>1</v>
      </c>
      <c r="BE146" s="67">
        <f ca="1">IF(LOWER(Capacity!$V51)="x",IF(AND(SUMIF(Capacity_Resource,$D146,'Critical resources (hide)'!BR$6:BR$105)+SUMIF(Capacity_Resource,$E146,'Critical resources (hide)'!BR$6:BR$105)+SUMIF(Capacity_Resource,$F146,'Critical resources (hide)'!BR$6:BR$105)&gt;0,$E$1=2),0,1),0)</f>
        <v>1</v>
      </c>
      <c r="BF146" s="67">
        <f ca="1">IF(LOWER(Capacity!$V51)="x",IF(AND(SUMIF(Capacity_Resource,$D146,'Critical resources (hide)'!BS$6:BS$105)+SUMIF(Capacity_Resource,$E146,'Critical resources (hide)'!BS$6:BS$105)+SUMIF(Capacity_Resource,$F146,'Critical resources (hide)'!BS$6:BS$105)&gt;0,$E$1=2),0,1),0)</f>
        <v>1</v>
      </c>
      <c r="BG146" s="67">
        <f ca="1">IF(LOWER(Capacity!$V51)="x",IF(AND(SUMIF(Capacity_Resource,$D146,'Critical resources (hide)'!BT$6:BT$105)+SUMIF(Capacity_Resource,$E146,'Critical resources (hide)'!BT$6:BT$105)+SUMIF(Capacity_Resource,$F146,'Critical resources (hide)'!BT$6:BT$105)&gt;0,$E$1=2),0,1),0)</f>
        <v>1</v>
      </c>
      <c r="BH146" s="67">
        <f>IF(ROW(A35)&lt;=Capacity!$M$16,IF('Capacity summary'!$C$14="No",SUM(H146:BG146),'Capacity summary'!$E58),0)</f>
        <v>0</v>
      </c>
      <c r="BI146" s="67" t="str">
        <f>IF(BH146&gt;0,IF(BH146&lt;Capacity!Q51,Capacity!R51,Capacity!T51/'Capacity calculation (hide)'!BH146),"")</f>
        <v/>
      </c>
      <c r="BJ146" s="5"/>
      <c r="BK146" s="5">
        <f>IF($BI146&lt;&gt;"",IF('Capacity summary'!$C$14="Yes",IF(COUNTBLANK('Capacity summary'!$H58:$BG58)&lt;52,IF('Capacity summary'!H58&lt;&gt;"",IF(LOWER('Capacity summary'!H58)="x",$BI146*H146,VALUE('Capacity summary'!H58)),0),H146*$BI146),H146*$BI146),0)</f>
        <v>0</v>
      </c>
      <c r="BL146" s="5">
        <f>IF($BI146&lt;&gt;"",IF('Capacity summary'!$C$14="Yes",IF(COUNTBLANK('Capacity summary'!$H58:$BG58)&lt;52,IF('Capacity summary'!I58&lt;&gt;"",IF(LOWER('Capacity summary'!I58)="x",$BI146*I146,VALUE('Capacity summary'!I58)),0),I146*$BI146),I146*$BI146),0)</f>
        <v>0</v>
      </c>
      <c r="BM146" s="5">
        <f>IF($BI146&lt;&gt;"",IF('Capacity summary'!$C$14="Yes",IF(COUNTBLANK('Capacity summary'!$H58:$BG58)&lt;52,IF('Capacity summary'!J58&lt;&gt;"",IF(LOWER('Capacity summary'!J58)="x",$BI146*J146,VALUE('Capacity summary'!J58)),0),J146*$BI146),J146*$BI146),0)</f>
        <v>0</v>
      </c>
      <c r="BN146" s="5">
        <f>IF($BI146&lt;&gt;"",IF('Capacity summary'!$C$14="Yes",IF(COUNTBLANK('Capacity summary'!$H58:$BG58)&lt;52,IF('Capacity summary'!K58&lt;&gt;"",IF(LOWER('Capacity summary'!K58)="x",$BI146*K146,VALUE('Capacity summary'!K58)),0),K146*$BI146),K146*$BI146),0)</f>
        <v>0</v>
      </c>
      <c r="BO146" s="5">
        <f>IF($BI146&lt;&gt;"",IF('Capacity summary'!$C$14="Yes",IF(COUNTBLANK('Capacity summary'!$H58:$BG58)&lt;52,IF('Capacity summary'!L58&lt;&gt;"",IF(LOWER('Capacity summary'!L58)="x",$BI146*L146,VALUE('Capacity summary'!L58)),0),L146*$BI146),L146*$BI146),0)</f>
        <v>0</v>
      </c>
      <c r="BP146" s="5">
        <f>IF($BI146&lt;&gt;"",IF('Capacity summary'!$C$14="Yes",IF(COUNTBLANK('Capacity summary'!$H58:$BG58)&lt;52,IF('Capacity summary'!M58&lt;&gt;"",IF(LOWER('Capacity summary'!M58)="x",$BI146*M146,VALUE('Capacity summary'!M58)),0),M146*$BI146),M146*$BI146),0)</f>
        <v>0</v>
      </c>
      <c r="BQ146" s="5">
        <f>IF($BI146&lt;&gt;"",IF('Capacity summary'!$C$14="Yes",IF(COUNTBLANK('Capacity summary'!$H58:$BG58)&lt;52,IF('Capacity summary'!N58&lt;&gt;"",IF(LOWER('Capacity summary'!N58)="x",$BI146*N146,VALUE('Capacity summary'!N58)),0),N146*$BI146),N146*$BI146),0)</f>
        <v>0</v>
      </c>
      <c r="BR146" s="5">
        <f>IF($BI146&lt;&gt;"",IF('Capacity summary'!$C$14="Yes",IF(COUNTBLANK('Capacity summary'!$H58:$BG58)&lt;52,IF('Capacity summary'!O58&lt;&gt;"",IF(LOWER('Capacity summary'!O58)="x",$BI146*O146,VALUE('Capacity summary'!O58)),0),O146*$BI146),O146*$BI146),0)</f>
        <v>0</v>
      </c>
      <c r="BS146" s="5">
        <f>IF($BI146&lt;&gt;"",IF('Capacity summary'!$C$14="Yes",IF(COUNTBLANK('Capacity summary'!$H58:$BG58)&lt;52,IF('Capacity summary'!P58&lt;&gt;"",IF(LOWER('Capacity summary'!P58)="x",$BI146*P146,VALUE('Capacity summary'!P58)),0),P146*$BI146),P146*$BI146),0)</f>
        <v>0</v>
      </c>
      <c r="BT146" s="5">
        <f>IF($BI146&lt;&gt;"",IF('Capacity summary'!$C$14="Yes",IF(COUNTBLANK('Capacity summary'!$H58:$BG58)&lt;52,IF('Capacity summary'!Q58&lt;&gt;"",IF(LOWER('Capacity summary'!Q58)="x",$BI146*Q146,VALUE('Capacity summary'!Q58)),0),Q146*$BI146),Q146*$BI146),0)</f>
        <v>0</v>
      </c>
      <c r="BU146" s="5">
        <f>IF($BI146&lt;&gt;"",IF('Capacity summary'!$C$14="Yes",IF(COUNTBLANK('Capacity summary'!$H58:$BG58)&lt;52,IF('Capacity summary'!R58&lt;&gt;"",IF(LOWER('Capacity summary'!R58)="x",$BI146*R146,VALUE('Capacity summary'!R58)),0),R146*$BI146),R146*$BI146),0)</f>
        <v>0</v>
      </c>
      <c r="BV146" s="5">
        <f>IF($BI146&lt;&gt;"",IF('Capacity summary'!$C$14="Yes",IF(COUNTBLANK('Capacity summary'!$H58:$BG58)&lt;52,IF('Capacity summary'!S58&lt;&gt;"",IF(LOWER('Capacity summary'!S58)="x",$BI146*S146,VALUE('Capacity summary'!S58)),0),S146*$BI146),S146*$BI146),0)</f>
        <v>0</v>
      </c>
      <c r="BW146" s="5">
        <f>IF($BI146&lt;&gt;"",IF('Capacity summary'!$C$14="Yes",IF(COUNTBLANK('Capacity summary'!$H58:$BG58)&lt;52,IF('Capacity summary'!T58&lt;&gt;"",IF(LOWER('Capacity summary'!T58)="x",$BI146*T146,VALUE('Capacity summary'!T58)),0),T146*$BI146),T146*$BI146),0)</f>
        <v>0</v>
      </c>
      <c r="BX146" s="5">
        <f>IF($BI146&lt;&gt;"",IF('Capacity summary'!$C$14="Yes",IF(COUNTBLANK('Capacity summary'!$H58:$BG58)&lt;52,IF('Capacity summary'!U58&lt;&gt;"",IF(LOWER('Capacity summary'!U58)="x",$BI146*U146,VALUE('Capacity summary'!U58)),0),U146*$BI146),U146*$BI146),0)</f>
        <v>0</v>
      </c>
      <c r="BY146" s="5">
        <f>IF($BI146&lt;&gt;"",IF('Capacity summary'!$C$14="Yes",IF(COUNTBLANK('Capacity summary'!$H58:$BG58)&lt;52,IF('Capacity summary'!V58&lt;&gt;"",IF(LOWER('Capacity summary'!V58)="x",$BI146*V146,VALUE('Capacity summary'!V58)),0),V146*$BI146),V146*$BI146),0)</f>
        <v>0</v>
      </c>
      <c r="BZ146" s="5">
        <f>IF($BI146&lt;&gt;"",IF('Capacity summary'!$C$14="Yes",IF(COUNTBLANK('Capacity summary'!$H58:$BG58)&lt;52,IF('Capacity summary'!W58&lt;&gt;"",IF(LOWER('Capacity summary'!W58)="x",$BI146*W146,VALUE('Capacity summary'!W58)),0),W146*$BI146),W146*$BI146),0)</f>
        <v>0</v>
      </c>
      <c r="CA146" s="5">
        <f>IF($BI146&lt;&gt;"",IF('Capacity summary'!$C$14="Yes",IF(COUNTBLANK('Capacity summary'!$H58:$BG58)&lt;52,IF('Capacity summary'!X58&lt;&gt;"",IF(LOWER('Capacity summary'!X58)="x",$BI146*X146,VALUE('Capacity summary'!X58)),0),X146*$BI146),X146*$BI146),0)</f>
        <v>0</v>
      </c>
      <c r="CB146" s="5">
        <f>IF($BI146&lt;&gt;"",IF('Capacity summary'!$C$14="Yes",IF(COUNTBLANK('Capacity summary'!$H58:$BG58)&lt;52,IF('Capacity summary'!Y58&lt;&gt;"",IF(LOWER('Capacity summary'!Y58)="x",$BI146*Y146,VALUE('Capacity summary'!Y58)),0),Y146*$BI146),Y146*$BI146),0)</f>
        <v>0</v>
      </c>
      <c r="CC146" s="5">
        <f>IF($BI146&lt;&gt;"",IF('Capacity summary'!$C$14="Yes",IF(COUNTBLANK('Capacity summary'!$H58:$BG58)&lt;52,IF('Capacity summary'!Z58&lt;&gt;"",IF(LOWER('Capacity summary'!Z58)="x",$BI146*Z146,VALUE('Capacity summary'!Z58)),0),Z146*$BI146),Z146*$BI146),0)</f>
        <v>0</v>
      </c>
      <c r="CD146" s="5">
        <f>IF($BI146&lt;&gt;"",IF('Capacity summary'!$C$14="Yes",IF(COUNTBLANK('Capacity summary'!$H58:$BG58)&lt;52,IF('Capacity summary'!AA58&lt;&gt;"",IF(LOWER('Capacity summary'!AA58)="x",$BI146*AA146,VALUE('Capacity summary'!AA58)),0),AA146*$BI146),AA146*$BI146),0)</f>
        <v>0</v>
      </c>
      <c r="CE146" s="5">
        <f>IF($BI146&lt;&gt;"",IF('Capacity summary'!$C$14="Yes",IF(COUNTBLANK('Capacity summary'!$H58:$BG58)&lt;52,IF('Capacity summary'!AB58&lt;&gt;"",IF(LOWER('Capacity summary'!AB58)="x",$BI146*AB146,VALUE('Capacity summary'!AB58)),0),AB146*$BI146),AB146*$BI146),0)</f>
        <v>0</v>
      </c>
      <c r="CF146" s="5">
        <f>IF($BI146&lt;&gt;"",IF('Capacity summary'!$C$14="Yes",IF(COUNTBLANK('Capacity summary'!$H58:$BG58)&lt;52,IF('Capacity summary'!AC58&lt;&gt;"",IF(LOWER('Capacity summary'!AC58)="x",$BI146*AC146,VALUE('Capacity summary'!AC58)),0),AC146*$BI146),AC146*$BI146),0)</f>
        <v>0</v>
      </c>
      <c r="CG146" s="5">
        <f>IF($BI146&lt;&gt;"",IF('Capacity summary'!$C$14="Yes",IF(COUNTBLANK('Capacity summary'!$H58:$BG58)&lt;52,IF('Capacity summary'!AD58&lt;&gt;"",IF(LOWER('Capacity summary'!AD58)="x",$BI146*AD146,VALUE('Capacity summary'!AD58)),0),AD146*$BI146),AD146*$BI146),0)</f>
        <v>0</v>
      </c>
      <c r="CH146" s="5">
        <f>IF($BI146&lt;&gt;"",IF('Capacity summary'!$C$14="Yes",IF(COUNTBLANK('Capacity summary'!$H58:$BG58)&lt;52,IF('Capacity summary'!AE58&lt;&gt;"",IF(LOWER('Capacity summary'!AE58)="x",$BI146*AE146,VALUE('Capacity summary'!AE58)),0),AE146*$BI146),AE146*$BI146),0)</f>
        <v>0</v>
      </c>
      <c r="CI146" s="5">
        <f>IF($BI146&lt;&gt;"",IF('Capacity summary'!$C$14="Yes",IF(COUNTBLANK('Capacity summary'!$H58:$BG58)&lt;52,IF('Capacity summary'!AF58&lt;&gt;"",IF(LOWER('Capacity summary'!AF58)="x",$BI146*AF146,VALUE('Capacity summary'!AF58)),0),AF146*$BI146),AF146*$BI146),0)</f>
        <v>0</v>
      </c>
      <c r="CJ146" s="5">
        <f>IF($BI146&lt;&gt;"",IF('Capacity summary'!$C$14="Yes",IF(COUNTBLANK('Capacity summary'!$H58:$BG58)&lt;52,IF('Capacity summary'!AG58&lt;&gt;"",IF(LOWER('Capacity summary'!AG58)="x",$BI146*AG146,VALUE('Capacity summary'!AG58)),0),AG146*$BI146),AG146*$BI146),0)</f>
        <v>0</v>
      </c>
      <c r="CK146" s="5">
        <f>IF($BI146&lt;&gt;"",IF('Capacity summary'!$C$14="Yes",IF(COUNTBLANK('Capacity summary'!$H58:$BG58)&lt;52,IF('Capacity summary'!AH58&lt;&gt;"",IF(LOWER('Capacity summary'!AH58)="x",$BI146*AH146,VALUE('Capacity summary'!AH58)),0),AH146*$BI146),AH146*$BI146),0)</f>
        <v>0</v>
      </c>
      <c r="CL146" s="5">
        <f>IF($BI146&lt;&gt;"",IF('Capacity summary'!$C$14="Yes",IF(COUNTBLANK('Capacity summary'!$H58:$BG58)&lt;52,IF('Capacity summary'!AI58&lt;&gt;"",IF(LOWER('Capacity summary'!AI58)="x",$BI146*AI146,VALUE('Capacity summary'!AI58)),0),AI146*$BI146),AI146*$BI146),0)</f>
        <v>0</v>
      </c>
      <c r="CM146" s="5">
        <f>IF($BI146&lt;&gt;"",IF('Capacity summary'!$C$14="Yes",IF(COUNTBLANK('Capacity summary'!$H58:$BG58)&lt;52,IF('Capacity summary'!AJ58&lt;&gt;"",IF(LOWER('Capacity summary'!AJ58)="x",$BI146*AJ146,VALUE('Capacity summary'!AJ58)),0),AJ146*$BI146),AJ146*$BI146),0)</f>
        <v>0</v>
      </c>
      <c r="CN146" s="5">
        <f>IF($BI146&lt;&gt;"",IF('Capacity summary'!$C$14="Yes",IF(COUNTBLANK('Capacity summary'!$H58:$BG58)&lt;52,IF('Capacity summary'!AK58&lt;&gt;"",IF(LOWER('Capacity summary'!AK58)="x",$BI146*AK146,VALUE('Capacity summary'!AK58)),0),AK146*$BI146),AK146*$BI146),0)</f>
        <v>0</v>
      </c>
      <c r="CO146" s="5">
        <f>IF($BI146&lt;&gt;"",IF('Capacity summary'!$C$14="Yes",IF(COUNTBLANK('Capacity summary'!$H58:$BG58)&lt;52,IF('Capacity summary'!AL58&lt;&gt;"",IF(LOWER('Capacity summary'!AL58)="x",$BI146*AL146,VALUE('Capacity summary'!AL58)),0),AL146*$BI146),AL146*$BI146),0)</f>
        <v>0</v>
      </c>
      <c r="CP146" s="5">
        <f>IF($BI146&lt;&gt;"",IF('Capacity summary'!$C$14="Yes",IF(COUNTBLANK('Capacity summary'!$H58:$BG58)&lt;52,IF('Capacity summary'!AM58&lt;&gt;"",IF(LOWER('Capacity summary'!AM58)="x",$BI146*AM146,VALUE('Capacity summary'!AM58)),0),AM146*$BI146),AM146*$BI146),0)</f>
        <v>0</v>
      </c>
      <c r="CQ146" s="5">
        <f>IF($BI146&lt;&gt;"",IF('Capacity summary'!$C$14="Yes",IF(COUNTBLANK('Capacity summary'!$H58:$BG58)&lt;52,IF('Capacity summary'!AN58&lt;&gt;"",IF(LOWER('Capacity summary'!AN58)="x",$BI146*AN146,VALUE('Capacity summary'!AN58)),0),AN146*$BI146),AN146*$BI146),0)</f>
        <v>0</v>
      </c>
      <c r="CR146" s="5">
        <f>IF($BI146&lt;&gt;"",IF('Capacity summary'!$C$14="Yes",IF(COUNTBLANK('Capacity summary'!$H58:$BG58)&lt;52,IF('Capacity summary'!AO58&lt;&gt;"",IF(LOWER('Capacity summary'!AO58)="x",$BI146*AO146,VALUE('Capacity summary'!AO58)),0),AO146*$BI146),AO146*$BI146),0)</f>
        <v>0</v>
      </c>
      <c r="CS146" s="5">
        <f>IF($BI146&lt;&gt;"",IF('Capacity summary'!$C$14="Yes",IF(COUNTBLANK('Capacity summary'!$H58:$BG58)&lt;52,IF('Capacity summary'!AP58&lt;&gt;"",IF(LOWER('Capacity summary'!AP58)="x",$BI146*AP146,VALUE('Capacity summary'!AP58)),0),AP146*$BI146),AP146*$BI146),0)</f>
        <v>0</v>
      </c>
      <c r="CT146" s="5">
        <f>IF($BI146&lt;&gt;"",IF('Capacity summary'!$C$14="Yes",IF(COUNTBLANK('Capacity summary'!$H58:$BG58)&lt;52,IF('Capacity summary'!AQ58&lt;&gt;"",IF(LOWER('Capacity summary'!AQ58)="x",$BI146*AQ146,VALUE('Capacity summary'!AQ58)),0),AQ146*$BI146),AQ146*$BI146),0)</f>
        <v>0</v>
      </c>
      <c r="CU146" s="5">
        <f>IF($BI146&lt;&gt;"",IF('Capacity summary'!$C$14="Yes",IF(COUNTBLANK('Capacity summary'!$H58:$BG58)&lt;52,IF('Capacity summary'!AR58&lt;&gt;"",IF(LOWER('Capacity summary'!AR58)="x",$BI146*AR146,VALUE('Capacity summary'!AR58)),0),AR146*$BI146),AR146*$BI146),0)</f>
        <v>0</v>
      </c>
      <c r="CV146" s="5">
        <f>IF($BI146&lt;&gt;"",IF('Capacity summary'!$C$14="Yes",IF(COUNTBLANK('Capacity summary'!$H58:$BG58)&lt;52,IF('Capacity summary'!AS58&lt;&gt;"",IF(LOWER('Capacity summary'!AS58)="x",$BI146*AS146,VALUE('Capacity summary'!AS58)),0),AS146*$BI146),AS146*$BI146),0)</f>
        <v>0</v>
      </c>
      <c r="CW146" s="5">
        <f>IF($BI146&lt;&gt;"",IF('Capacity summary'!$C$14="Yes",IF(COUNTBLANK('Capacity summary'!$H58:$BG58)&lt;52,IF('Capacity summary'!AT58&lt;&gt;"",IF(LOWER('Capacity summary'!AT58)="x",$BI146*AT146,VALUE('Capacity summary'!AT58)),0),AT146*$BI146),AT146*$BI146),0)</f>
        <v>0</v>
      </c>
      <c r="CX146" s="5">
        <f>IF($BI146&lt;&gt;"",IF('Capacity summary'!$C$14="Yes",IF(COUNTBLANK('Capacity summary'!$H58:$BG58)&lt;52,IF('Capacity summary'!AU58&lt;&gt;"",IF(LOWER('Capacity summary'!AU58)="x",$BI146*AU146,VALUE('Capacity summary'!AU58)),0),AU146*$BI146),AU146*$BI146),0)</f>
        <v>0</v>
      </c>
      <c r="CY146" s="5">
        <f>IF($BI146&lt;&gt;"",IF('Capacity summary'!$C$14="Yes",IF(COUNTBLANK('Capacity summary'!$H58:$BG58)&lt;52,IF('Capacity summary'!AV58&lt;&gt;"",IF(LOWER('Capacity summary'!AV58)="x",$BI146*AV146,VALUE('Capacity summary'!AV58)),0),AV146*$BI146),AV146*$BI146),0)</f>
        <v>0</v>
      </c>
      <c r="CZ146" s="5">
        <f>IF($BI146&lt;&gt;"",IF('Capacity summary'!$C$14="Yes",IF(COUNTBLANK('Capacity summary'!$H58:$BG58)&lt;52,IF('Capacity summary'!AW58&lt;&gt;"",IF(LOWER('Capacity summary'!AW58)="x",$BI146*AW146,VALUE('Capacity summary'!AW58)),0),AW146*$BI146),AW146*$BI146),0)</f>
        <v>0</v>
      </c>
      <c r="DA146" s="5">
        <f>IF($BI146&lt;&gt;"",IF('Capacity summary'!$C$14="Yes",IF(COUNTBLANK('Capacity summary'!$H58:$BG58)&lt;52,IF('Capacity summary'!AX58&lt;&gt;"",IF(LOWER('Capacity summary'!AX58)="x",$BI146*AX146,VALUE('Capacity summary'!AX58)),0),AX146*$BI146),AX146*$BI146),0)</f>
        <v>0</v>
      </c>
      <c r="DB146" s="5">
        <f>IF($BI146&lt;&gt;"",IF('Capacity summary'!$C$14="Yes",IF(COUNTBLANK('Capacity summary'!$H58:$BG58)&lt;52,IF('Capacity summary'!AY58&lt;&gt;"",IF(LOWER('Capacity summary'!AY58)="x",$BI146*AY146,VALUE('Capacity summary'!AY58)),0),AY146*$BI146),AY146*$BI146),0)</f>
        <v>0</v>
      </c>
      <c r="DC146" s="5">
        <f>IF($BI146&lt;&gt;"",IF('Capacity summary'!$C$14="Yes",IF(COUNTBLANK('Capacity summary'!$H58:$BG58)&lt;52,IF('Capacity summary'!AZ58&lt;&gt;"",IF(LOWER('Capacity summary'!AZ58)="x",$BI146*AZ146,VALUE('Capacity summary'!AZ58)),0),AZ146*$BI146),AZ146*$BI146),0)</f>
        <v>0</v>
      </c>
      <c r="DD146" s="5">
        <f>IF($BI146&lt;&gt;"",IF('Capacity summary'!$C$14="Yes",IF(COUNTBLANK('Capacity summary'!$H58:$BG58)&lt;52,IF('Capacity summary'!BA58&lt;&gt;"",IF(LOWER('Capacity summary'!BA58)="x",$BI146*BA146,VALUE('Capacity summary'!BA58)),0),BA146*$BI146),BA146*$BI146),0)</f>
        <v>0</v>
      </c>
      <c r="DE146" s="5">
        <f>IF($BI146&lt;&gt;"",IF('Capacity summary'!$C$14="Yes",IF(COUNTBLANK('Capacity summary'!$H58:$BG58)&lt;52,IF('Capacity summary'!BB58&lt;&gt;"",IF(LOWER('Capacity summary'!BB58)="x",$BI146*BB146,VALUE('Capacity summary'!BB58)),0),BB146*$BI146),BB146*$BI146),0)</f>
        <v>0</v>
      </c>
      <c r="DF146" s="5">
        <f>IF($BI146&lt;&gt;"",IF('Capacity summary'!$C$14="Yes",IF(COUNTBLANK('Capacity summary'!$H58:$BG58)&lt;52,IF('Capacity summary'!BC58&lt;&gt;"",IF(LOWER('Capacity summary'!BC58)="x",$BI146*BC146,VALUE('Capacity summary'!BC58)),0),BC146*$BI146),BC146*$BI146),0)</f>
        <v>0</v>
      </c>
      <c r="DG146" s="5">
        <f>IF($BI146&lt;&gt;"",IF('Capacity summary'!$C$14="Yes",IF(COUNTBLANK('Capacity summary'!$H58:$BG58)&lt;52,IF('Capacity summary'!BD58&lt;&gt;"",IF(LOWER('Capacity summary'!BD58)="x",$BI146*BD146,VALUE('Capacity summary'!BD58)),0),BD146*$BI146),BD146*$BI146),0)</f>
        <v>0</v>
      </c>
      <c r="DH146" s="5">
        <f>IF($BI146&lt;&gt;"",IF('Capacity summary'!$C$14="Yes",IF(COUNTBLANK('Capacity summary'!$H58:$BG58)&lt;52,IF('Capacity summary'!BE58&lt;&gt;"",IF(LOWER('Capacity summary'!BE58)="x",$BI146*BE146,VALUE('Capacity summary'!BE58)),0),BE146*$BI146),BE146*$BI146),0)</f>
        <v>0</v>
      </c>
      <c r="DI146" s="5">
        <f>IF($BI146&lt;&gt;"",IF('Capacity summary'!$C$14="Yes",IF(COUNTBLANK('Capacity summary'!$H58:$BG58)&lt;52,IF('Capacity summary'!BF58&lt;&gt;"",IF(LOWER('Capacity summary'!BF58)="x",$BI146*BF146,VALUE('Capacity summary'!BF58)),0),BF146*$BI146),BF146*$BI146),0)</f>
        <v>0</v>
      </c>
      <c r="DJ146" s="5">
        <f>IF($BI146&lt;&gt;"",IF('Capacity summary'!$C$14="Yes",IF(COUNTBLANK('Capacity summary'!$H58:$BG58)&lt;52,IF('Capacity summary'!BG58&lt;&gt;"",IF(LOWER('Capacity summary'!BG58)="x",$BI146*BG146,VALUE('Capacity summary'!BG58)),0),BG146*$BI146),BG146*$BI146),0)</f>
        <v>0</v>
      </c>
      <c r="DK146" s="391">
        <f t="shared" si="8"/>
        <v>0</v>
      </c>
      <c r="DL146" s="5">
        <f t="shared" si="9"/>
        <v>0</v>
      </c>
    </row>
    <row r="147" spans="3:116" x14ac:dyDescent="0.2">
      <c r="C147" s="67" t="str">
        <f>ROW(A36)&amp;". "&amp;Capacity!N52</f>
        <v xml:space="preserve">36. </v>
      </c>
      <c r="D147" s="67">
        <f>'Capacity setup'!C153</f>
        <v>0</v>
      </c>
      <c r="E147" s="67">
        <f>'Capacity setup'!D153</f>
        <v>0</v>
      </c>
      <c r="F147" s="67">
        <f>'Capacity setup'!E153</f>
        <v>0</v>
      </c>
      <c r="H147" s="67">
        <f ca="1">IF(LOWER(Capacity!$V52)="x",IF(AND(SUMIF(Capacity_Resource,$D147,'Critical resources (hide)'!U$6:U$105)+SUMIF(Capacity_Resource,$E147,'Critical resources (hide)'!U$6:U$105)+SUMIF(Capacity_Resource,$F147,'Critical resources (hide)'!U$6:U$105)&gt;0,$E$1=2),0,1),0)</f>
        <v>1</v>
      </c>
      <c r="I147" s="67">
        <f ca="1">IF(LOWER(Capacity!$V52)="x",IF(AND(SUMIF(Capacity_Resource,$D147,'Critical resources (hide)'!V$6:V$105)+SUMIF(Capacity_Resource,$E147,'Critical resources (hide)'!V$6:V$105)+SUMIF(Capacity_Resource,$F147,'Critical resources (hide)'!V$6:V$105)&gt;0,$E$1=2),0,1),0)</f>
        <v>1</v>
      </c>
      <c r="J147" s="67">
        <f ca="1">IF(LOWER(Capacity!$V52)="x",IF(AND(SUMIF(Capacity_Resource,$D147,'Critical resources (hide)'!W$6:W$105)+SUMIF(Capacity_Resource,$E147,'Critical resources (hide)'!W$6:W$105)+SUMIF(Capacity_Resource,$F147,'Critical resources (hide)'!W$6:W$105)&gt;0,$E$1=2),0,1),0)</f>
        <v>1</v>
      </c>
      <c r="K147" s="67">
        <f ca="1">IF(LOWER(Capacity!$V52)="x",IF(AND(SUMIF(Capacity_Resource,$D147,'Critical resources (hide)'!X$6:X$105)+SUMIF(Capacity_Resource,$E147,'Critical resources (hide)'!X$6:X$105)+SUMIF(Capacity_Resource,$F147,'Critical resources (hide)'!X$6:X$105)&gt;0,$E$1=2),0,1),0)</f>
        <v>1</v>
      </c>
      <c r="L147" s="67">
        <f ca="1">IF(LOWER(Capacity!$V52)="x",IF(AND(SUMIF(Capacity_Resource,$D147,'Critical resources (hide)'!Y$6:Y$105)+SUMIF(Capacity_Resource,$E147,'Critical resources (hide)'!Y$6:Y$105)+SUMIF(Capacity_Resource,$F147,'Critical resources (hide)'!Y$6:Y$105)&gt;0,$E$1=2),0,1),0)</f>
        <v>1</v>
      </c>
      <c r="M147" s="67">
        <f ca="1">IF(LOWER(Capacity!$V52)="x",IF(AND(SUMIF(Capacity_Resource,$D147,'Critical resources (hide)'!Z$6:Z$105)+SUMIF(Capacity_Resource,$E147,'Critical resources (hide)'!Z$6:Z$105)+SUMIF(Capacity_Resource,$F147,'Critical resources (hide)'!Z$6:Z$105)&gt;0,$E$1=2),0,1),0)</f>
        <v>1</v>
      </c>
      <c r="N147" s="67">
        <f ca="1">IF(LOWER(Capacity!$V52)="x",IF(AND(SUMIF(Capacity_Resource,$D147,'Critical resources (hide)'!AA$6:AA$105)+SUMIF(Capacity_Resource,$E147,'Critical resources (hide)'!AA$6:AA$105)+SUMIF(Capacity_Resource,$F147,'Critical resources (hide)'!AA$6:AA$105)&gt;0,$E$1=2),0,1),0)</f>
        <v>1</v>
      </c>
      <c r="O147" s="67">
        <f ca="1">IF(LOWER(Capacity!$V52)="x",IF(AND(SUMIF(Capacity_Resource,$D147,'Critical resources (hide)'!AB$6:AB$105)+SUMIF(Capacity_Resource,$E147,'Critical resources (hide)'!AB$6:AB$105)+SUMIF(Capacity_Resource,$F147,'Critical resources (hide)'!AB$6:AB$105)&gt;0,$E$1=2),0,1),0)</f>
        <v>1</v>
      </c>
      <c r="P147" s="67">
        <f ca="1">IF(LOWER(Capacity!$V52)="x",IF(AND(SUMIF(Capacity_Resource,$D147,'Critical resources (hide)'!AC$6:AC$105)+SUMIF(Capacity_Resource,$E147,'Critical resources (hide)'!AC$6:AC$105)+SUMIF(Capacity_Resource,$F147,'Critical resources (hide)'!AC$6:AC$105)&gt;0,$E$1=2),0,1),0)</f>
        <v>1</v>
      </c>
      <c r="Q147" s="67">
        <f ca="1">IF(LOWER(Capacity!$V52)="x",IF(AND(SUMIF(Capacity_Resource,$D147,'Critical resources (hide)'!AD$6:AD$105)+SUMIF(Capacity_Resource,$E147,'Critical resources (hide)'!AD$6:AD$105)+SUMIF(Capacity_Resource,$F147,'Critical resources (hide)'!AD$6:AD$105)&gt;0,$E$1=2),0,1),0)</f>
        <v>1</v>
      </c>
      <c r="R147" s="67">
        <f ca="1">IF(LOWER(Capacity!$V52)="x",IF(AND(SUMIF(Capacity_Resource,$D147,'Critical resources (hide)'!AE$6:AE$105)+SUMIF(Capacity_Resource,$E147,'Critical resources (hide)'!AE$6:AE$105)+SUMIF(Capacity_Resource,$F147,'Critical resources (hide)'!AE$6:AE$105)&gt;0,$E$1=2),0,1),0)</f>
        <v>1</v>
      </c>
      <c r="S147" s="67">
        <f ca="1">IF(LOWER(Capacity!$V52)="x",IF(AND(SUMIF(Capacity_Resource,$D147,'Critical resources (hide)'!AF$6:AF$105)+SUMIF(Capacity_Resource,$E147,'Critical resources (hide)'!AF$6:AF$105)+SUMIF(Capacity_Resource,$F147,'Critical resources (hide)'!AF$6:AF$105)&gt;0,$E$1=2),0,1),0)</f>
        <v>1</v>
      </c>
      <c r="T147" s="67">
        <f ca="1">IF(LOWER(Capacity!$V52)="x",IF(AND(SUMIF(Capacity_Resource,$D147,'Critical resources (hide)'!AG$6:AG$105)+SUMIF(Capacity_Resource,$E147,'Critical resources (hide)'!AG$6:AG$105)+SUMIF(Capacity_Resource,$F147,'Critical resources (hide)'!AG$6:AG$105)&gt;0,$E$1=2),0,1),0)</f>
        <v>1</v>
      </c>
      <c r="U147" s="67">
        <f ca="1">IF(LOWER(Capacity!$V52)="x",IF(AND(SUMIF(Capacity_Resource,$D147,'Critical resources (hide)'!AH$6:AH$105)+SUMIF(Capacity_Resource,$E147,'Critical resources (hide)'!AH$6:AH$105)+SUMIF(Capacity_Resource,$F147,'Critical resources (hide)'!AH$6:AH$105)&gt;0,$E$1=2),0,1),0)</f>
        <v>1</v>
      </c>
      <c r="V147" s="67">
        <f ca="1">IF(LOWER(Capacity!$V52)="x",IF(AND(SUMIF(Capacity_Resource,$D147,'Critical resources (hide)'!AI$6:AI$105)+SUMIF(Capacity_Resource,$E147,'Critical resources (hide)'!AI$6:AI$105)+SUMIF(Capacity_Resource,$F147,'Critical resources (hide)'!AI$6:AI$105)&gt;0,$E$1=2),0,1),0)</f>
        <v>1</v>
      </c>
      <c r="W147" s="67">
        <f ca="1">IF(LOWER(Capacity!$V52)="x",IF(AND(SUMIF(Capacity_Resource,$D147,'Critical resources (hide)'!AJ$6:AJ$105)+SUMIF(Capacity_Resource,$E147,'Critical resources (hide)'!AJ$6:AJ$105)+SUMIF(Capacity_Resource,$F147,'Critical resources (hide)'!AJ$6:AJ$105)&gt;0,$E$1=2),0,1),0)</f>
        <v>1</v>
      </c>
      <c r="X147" s="67">
        <f ca="1">IF(LOWER(Capacity!$V52)="x",IF(AND(SUMIF(Capacity_Resource,$D147,'Critical resources (hide)'!AK$6:AK$105)+SUMIF(Capacity_Resource,$E147,'Critical resources (hide)'!AK$6:AK$105)+SUMIF(Capacity_Resource,$F147,'Critical resources (hide)'!AK$6:AK$105)&gt;0,$E$1=2),0,1),0)</f>
        <v>1</v>
      </c>
      <c r="Y147" s="67">
        <f ca="1">IF(LOWER(Capacity!$V52)="x",IF(AND(SUMIF(Capacity_Resource,$D147,'Critical resources (hide)'!AL$6:AL$105)+SUMIF(Capacity_Resource,$E147,'Critical resources (hide)'!AL$6:AL$105)+SUMIF(Capacity_Resource,$F147,'Critical resources (hide)'!AL$6:AL$105)&gt;0,$E$1=2),0,1),0)</f>
        <v>1</v>
      </c>
      <c r="Z147" s="67">
        <f ca="1">IF(LOWER(Capacity!$V52)="x",IF(AND(SUMIF(Capacity_Resource,$D147,'Critical resources (hide)'!AM$6:AM$105)+SUMIF(Capacity_Resource,$E147,'Critical resources (hide)'!AM$6:AM$105)+SUMIF(Capacity_Resource,$F147,'Critical resources (hide)'!AM$6:AM$105)&gt;0,$E$1=2),0,1),0)</f>
        <v>1</v>
      </c>
      <c r="AA147" s="67">
        <f ca="1">IF(LOWER(Capacity!$V52)="x",IF(AND(SUMIF(Capacity_Resource,$D147,'Critical resources (hide)'!AN$6:AN$105)+SUMIF(Capacity_Resource,$E147,'Critical resources (hide)'!AN$6:AN$105)+SUMIF(Capacity_Resource,$F147,'Critical resources (hide)'!AN$6:AN$105)&gt;0,$E$1=2),0,1),0)</f>
        <v>1</v>
      </c>
      <c r="AB147" s="67">
        <f ca="1">IF(LOWER(Capacity!$V52)="x",IF(AND(SUMIF(Capacity_Resource,$D147,'Critical resources (hide)'!AO$6:AO$105)+SUMIF(Capacity_Resource,$E147,'Critical resources (hide)'!AO$6:AO$105)+SUMIF(Capacity_Resource,$F147,'Critical resources (hide)'!AO$6:AO$105)&gt;0,$E$1=2),0,1),0)</f>
        <v>1</v>
      </c>
      <c r="AC147" s="67">
        <f ca="1">IF(LOWER(Capacity!$V52)="x",IF(AND(SUMIF(Capacity_Resource,$D147,'Critical resources (hide)'!AP$6:AP$105)+SUMIF(Capacity_Resource,$E147,'Critical resources (hide)'!AP$6:AP$105)+SUMIF(Capacity_Resource,$F147,'Critical resources (hide)'!AP$6:AP$105)&gt;0,$E$1=2),0,1),0)</f>
        <v>1</v>
      </c>
      <c r="AD147" s="67">
        <f ca="1">IF(LOWER(Capacity!$V52)="x",IF(AND(SUMIF(Capacity_Resource,$D147,'Critical resources (hide)'!AQ$6:AQ$105)+SUMIF(Capacity_Resource,$E147,'Critical resources (hide)'!AQ$6:AQ$105)+SUMIF(Capacity_Resource,$F147,'Critical resources (hide)'!AQ$6:AQ$105)&gt;0,$E$1=2),0,1),0)</f>
        <v>1</v>
      </c>
      <c r="AE147" s="67">
        <f ca="1">IF(LOWER(Capacity!$V52)="x",IF(AND(SUMIF(Capacity_Resource,$D147,'Critical resources (hide)'!AR$6:AR$105)+SUMIF(Capacity_Resource,$E147,'Critical resources (hide)'!AR$6:AR$105)+SUMIF(Capacity_Resource,$F147,'Critical resources (hide)'!AR$6:AR$105)&gt;0,$E$1=2),0,1),0)</f>
        <v>1</v>
      </c>
      <c r="AF147" s="67">
        <f ca="1">IF(LOWER(Capacity!$V52)="x",IF(AND(SUMIF(Capacity_Resource,$D147,'Critical resources (hide)'!AS$6:AS$105)+SUMIF(Capacity_Resource,$E147,'Critical resources (hide)'!AS$6:AS$105)+SUMIF(Capacity_Resource,$F147,'Critical resources (hide)'!AS$6:AS$105)&gt;0,$E$1=2),0,1),0)</f>
        <v>1</v>
      </c>
      <c r="AG147" s="67">
        <f ca="1">IF(LOWER(Capacity!$V52)="x",IF(AND(SUMIF(Capacity_Resource,$D147,'Critical resources (hide)'!AT$6:AT$105)+SUMIF(Capacity_Resource,$E147,'Critical resources (hide)'!AT$6:AT$105)+SUMIF(Capacity_Resource,$F147,'Critical resources (hide)'!AT$6:AT$105)&gt;0,$E$1=2),0,1),0)</f>
        <v>1</v>
      </c>
      <c r="AH147" s="67">
        <f ca="1">IF(LOWER(Capacity!$V52)="x",IF(AND(SUMIF(Capacity_Resource,$D147,'Critical resources (hide)'!AU$6:AU$105)+SUMIF(Capacity_Resource,$E147,'Critical resources (hide)'!AU$6:AU$105)+SUMIF(Capacity_Resource,$F147,'Critical resources (hide)'!AU$6:AU$105)&gt;0,$E$1=2),0,1),0)</f>
        <v>1</v>
      </c>
      <c r="AI147" s="67">
        <f ca="1">IF(LOWER(Capacity!$V52)="x",IF(AND(SUMIF(Capacity_Resource,$D147,'Critical resources (hide)'!AV$6:AV$105)+SUMIF(Capacity_Resource,$E147,'Critical resources (hide)'!AV$6:AV$105)+SUMIF(Capacity_Resource,$F147,'Critical resources (hide)'!AV$6:AV$105)&gt;0,$E$1=2),0,1),0)</f>
        <v>1</v>
      </c>
      <c r="AJ147" s="67">
        <f ca="1">IF(LOWER(Capacity!$V52)="x",IF(AND(SUMIF(Capacity_Resource,$D147,'Critical resources (hide)'!AW$6:AW$105)+SUMIF(Capacity_Resource,$E147,'Critical resources (hide)'!AW$6:AW$105)+SUMIF(Capacity_Resource,$F147,'Critical resources (hide)'!AW$6:AW$105)&gt;0,$E$1=2),0,1),0)</f>
        <v>1</v>
      </c>
      <c r="AK147" s="67">
        <f ca="1">IF(LOWER(Capacity!$V52)="x",IF(AND(SUMIF(Capacity_Resource,$D147,'Critical resources (hide)'!AX$6:AX$105)+SUMIF(Capacity_Resource,$E147,'Critical resources (hide)'!AX$6:AX$105)+SUMIF(Capacity_Resource,$F147,'Critical resources (hide)'!AX$6:AX$105)&gt;0,$E$1=2),0,1),0)</f>
        <v>1</v>
      </c>
      <c r="AL147" s="67">
        <f ca="1">IF(LOWER(Capacity!$V52)="x",IF(AND(SUMIF(Capacity_Resource,$D147,'Critical resources (hide)'!AY$6:AY$105)+SUMIF(Capacity_Resource,$E147,'Critical resources (hide)'!AY$6:AY$105)+SUMIF(Capacity_Resource,$F147,'Critical resources (hide)'!AY$6:AY$105)&gt;0,$E$1=2),0,1),0)</f>
        <v>1</v>
      </c>
      <c r="AM147" s="67">
        <f ca="1">IF(LOWER(Capacity!$V52)="x",IF(AND(SUMIF(Capacity_Resource,$D147,'Critical resources (hide)'!AZ$6:AZ$105)+SUMIF(Capacity_Resource,$E147,'Critical resources (hide)'!AZ$6:AZ$105)+SUMIF(Capacity_Resource,$F147,'Critical resources (hide)'!AZ$6:AZ$105)&gt;0,$E$1=2),0,1),0)</f>
        <v>1</v>
      </c>
      <c r="AN147" s="67">
        <f ca="1">IF(LOWER(Capacity!$V52)="x",IF(AND(SUMIF(Capacity_Resource,$D147,'Critical resources (hide)'!BA$6:BA$105)+SUMIF(Capacity_Resource,$E147,'Critical resources (hide)'!BA$6:BA$105)+SUMIF(Capacity_Resource,$F147,'Critical resources (hide)'!BA$6:BA$105)&gt;0,$E$1=2),0,1),0)</f>
        <v>1</v>
      </c>
      <c r="AO147" s="67">
        <f ca="1">IF(LOWER(Capacity!$V52)="x",IF(AND(SUMIF(Capacity_Resource,$D147,'Critical resources (hide)'!BB$6:BB$105)+SUMIF(Capacity_Resource,$E147,'Critical resources (hide)'!BB$6:BB$105)+SUMIF(Capacity_Resource,$F147,'Critical resources (hide)'!BB$6:BB$105)&gt;0,$E$1=2),0,1),0)</f>
        <v>1</v>
      </c>
      <c r="AP147" s="67">
        <f ca="1">IF(LOWER(Capacity!$V52)="x",IF(AND(SUMIF(Capacity_Resource,$D147,'Critical resources (hide)'!BC$6:BC$105)+SUMIF(Capacity_Resource,$E147,'Critical resources (hide)'!BC$6:BC$105)+SUMIF(Capacity_Resource,$F147,'Critical resources (hide)'!BC$6:BC$105)&gt;0,$E$1=2),0,1),0)</f>
        <v>1</v>
      </c>
      <c r="AQ147" s="67">
        <f ca="1">IF(LOWER(Capacity!$V52)="x",IF(AND(SUMIF(Capacity_Resource,$D147,'Critical resources (hide)'!BD$6:BD$105)+SUMIF(Capacity_Resource,$E147,'Critical resources (hide)'!BD$6:BD$105)+SUMIF(Capacity_Resource,$F147,'Critical resources (hide)'!BD$6:BD$105)&gt;0,$E$1=2),0,1),0)</f>
        <v>1</v>
      </c>
      <c r="AR147" s="67">
        <f ca="1">IF(LOWER(Capacity!$V52)="x",IF(AND(SUMIF(Capacity_Resource,$D147,'Critical resources (hide)'!BE$6:BE$105)+SUMIF(Capacity_Resource,$E147,'Critical resources (hide)'!BE$6:BE$105)+SUMIF(Capacity_Resource,$F147,'Critical resources (hide)'!BE$6:BE$105)&gt;0,$E$1=2),0,1),0)</f>
        <v>1</v>
      </c>
      <c r="AS147" s="67">
        <f ca="1">IF(LOWER(Capacity!$V52)="x",IF(AND(SUMIF(Capacity_Resource,$D147,'Critical resources (hide)'!BF$6:BF$105)+SUMIF(Capacity_Resource,$E147,'Critical resources (hide)'!BF$6:BF$105)+SUMIF(Capacity_Resource,$F147,'Critical resources (hide)'!BF$6:BF$105)&gt;0,$E$1=2),0,1),0)</f>
        <v>1</v>
      </c>
      <c r="AT147" s="67">
        <f ca="1">IF(LOWER(Capacity!$V52)="x",IF(AND(SUMIF(Capacity_Resource,$D147,'Critical resources (hide)'!BG$6:BG$105)+SUMIF(Capacity_Resource,$E147,'Critical resources (hide)'!BG$6:BG$105)+SUMIF(Capacity_Resource,$F147,'Critical resources (hide)'!BG$6:BG$105)&gt;0,$E$1=2),0,1),0)</f>
        <v>1</v>
      </c>
      <c r="AU147" s="67">
        <f ca="1">IF(LOWER(Capacity!$V52)="x",IF(AND(SUMIF(Capacity_Resource,$D147,'Critical resources (hide)'!BH$6:BH$105)+SUMIF(Capacity_Resource,$E147,'Critical resources (hide)'!BH$6:BH$105)+SUMIF(Capacity_Resource,$F147,'Critical resources (hide)'!BH$6:BH$105)&gt;0,$E$1=2),0,1),0)</f>
        <v>1</v>
      </c>
      <c r="AV147" s="67">
        <f ca="1">IF(LOWER(Capacity!$V52)="x",IF(AND(SUMIF(Capacity_Resource,$D147,'Critical resources (hide)'!BI$6:BI$105)+SUMIF(Capacity_Resource,$E147,'Critical resources (hide)'!BI$6:BI$105)+SUMIF(Capacity_Resource,$F147,'Critical resources (hide)'!BI$6:BI$105)&gt;0,$E$1=2),0,1),0)</f>
        <v>1</v>
      </c>
      <c r="AW147" s="67">
        <f ca="1">IF(LOWER(Capacity!$V52)="x",IF(AND(SUMIF(Capacity_Resource,$D147,'Critical resources (hide)'!BJ$6:BJ$105)+SUMIF(Capacity_Resource,$E147,'Critical resources (hide)'!BJ$6:BJ$105)+SUMIF(Capacity_Resource,$F147,'Critical resources (hide)'!BJ$6:BJ$105)&gt;0,$E$1=2),0,1),0)</f>
        <v>1</v>
      </c>
      <c r="AX147" s="67">
        <f ca="1">IF(LOWER(Capacity!$V52)="x",IF(AND(SUMIF(Capacity_Resource,$D147,'Critical resources (hide)'!BK$6:BK$105)+SUMIF(Capacity_Resource,$E147,'Critical resources (hide)'!BK$6:BK$105)+SUMIF(Capacity_Resource,$F147,'Critical resources (hide)'!BK$6:BK$105)&gt;0,$E$1=2),0,1),0)</f>
        <v>1</v>
      </c>
      <c r="AY147" s="67">
        <f ca="1">IF(LOWER(Capacity!$V52)="x",IF(AND(SUMIF(Capacity_Resource,$D147,'Critical resources (hide)'!BL$6:BL$105)+SUMIF(Capacity_Resource,$E147,'Critical resources (hide)'!BL$6:BL$105)+SUMIF(Capacity_Resource,$F147,'Critical resources (hide)'!BL$6:BL$105)&gt;0,$E$1=2),0,1),0)</f>
        <v>1</v>
      </c>
      <c r="AZ147" s="67">
        <f ca="1">IF(LOWER(Capacity!$V52)="x",IF(AND(SUMIF(Capacity_Resource,$D147,'Critical resources (hide)'!BM$6:BM$105)+SUMIF(Capacity_Resource,$E147,'Critical resources (hide)'!BM$6:BM$105)+SUMIF(Capacity_Resource,$F147,'Critical resources (hide)'!BM$6:BM$105)&gt;0,$E$1=2),0,1),0)</f>
        <v>1</v>
      </c>
      <c r="BA147" s="67">
        <f ca="1">IF(LOWER(Capacity!$V52)="x",IF(AND(SUMIF(Capacity_Resource,$D147,'Critical resources (hide)'!BN$6:BN$105)+SUMIF(Capacity_Resource,$E147,'Critical resources (hide)'!BN$6:BN$105)+SUMIF(Capacity_Resource,$F147,'Critical resources (hide)'!BN$6:BN$105)&gt;0,$E$1=2),0,1),0)</f>
        <v>1</v>
      </c>
      <c r="BB147" s="67">
        <f ca="1">IF(LOWER(Capacity!$V52)="x",IF(AND(SUMIF(Capacity_Resource,$D147,'Critical resources (hide)'!BO$6:BO$105)+SUMIF(Capacity_Resource,$E147,'Critical resources (hide)'!BO$6:BO$105)+SUMIF(Capacity_Resource,$F147,'Critical resources (hide)'!BO$6:BO$105)&gt;0,$E$1=2),0,1),0)</f>
        <v>1</v>
      </c>
      <c r="BC147" s="67">
        <f ca="1">IF(LOWER(Capacity!$V52)="x",IF(AND(SUMIF(Capacity_Resource,$D147,'Critical resources (hide)'!BP$6:BP$105)+SUMIF(Capacity_Resource,$E147,'Critical resources (hide)'!BP$6:BP$105)+SUMIF(Capacity_Resource,$F147,'Critical resources (hide)'!BP$6:BP$105)&gt;0,$E$1=2),0,1),0)</f>
        <v>1</v>
      </c>
      <c r="BD147" s="67">
        <f ca="1">IF(LOWER(Capacity!$V52)="x",IF(AND(SUMIF(Capacity_Resource,$D147,'Critical resources (hide)'!BQ$6:BQ$105)+SUMIF(Capacity_Resource,$E147,'Critical resources (hide)'!BQ$6:BQ$105)+SUMIF(Capacity_Resource,$F147,'Critical resources (hide)'!BQ$6:BQ$105)&gt;0,$E$1=2),0,1),0)</f>
        <v>1</v>
      </c>
      <c r="BE147" s="67">
        <f ca="1">IF(LOWER(Capacity!$V52)="x",IF(AND(SUMIF(Capacity_Resource,$D147,'Critical resources (hide)'!BR$6:BR$105)+SUMIF(Capacity_Resource,$E147,'Critical resources (hide)'!BR$6:BR$105)+SUMIF(Capacity_Resource,$F147,'Critical resources (hide)'!BR$6:BR$105)&gt;0,$E$1=2),0,1),0)</f>
        <v>1</v>
      </c>
      <c r="BF147" s="67">
        <f ca="1">IF(LOWER(Capacity!$V52)="x",IF(AND(SUMIF(Capacity_Resource,$D147,'Critical resources (hide)'!BS$6:BS$105)+SUMIF(Capacity_Resource,$E147,'Critical resources (hide)'!BS$6:BS$105)+SUMIF(Capacity_Resource,$F147,'Critical resources (hide)'!BS$6:BS$105)&gt;0,$E$1=2),0,1),0)</f>
        <v>1</v>
      </c>
      <c r="BG147" s="67">
        <f ca="1">IF(LOWER(Capacity!$V52)="x",IF(AND(SUMIF(Capacity_Resource,$D147,'Critical resources (hide)'!BT$6:BT$105)+SUMIF(Capacity_Resource,$E147,'Critical resources (hide)'!BT$6:BT$105)+SUMIF(Capacity_Resource,$F147,'Critical resources (hide)'!BT$6:BT$105)&gt;0,$E$1=2),0,1),0)</f>
        <v>1</v>
      </c>
      <c r="BH147" s="67">
        <f>IF(ROW(A36)&lt;=Capacity!$M$16,IF('Capacity summary'!$C$14="No",SUM(H147:BG147),'Capacity summary'!$E59),0)</f>
        <v>0</v>
      </c>
      <c r="BI147" s="67" t="str">
        <f>IF(BH147&gt;0,IF(BH147&lt;Capacity!Q52,Capacity!R52,Capacity!T52/'Capacity calculation (hide)'!BH147),"")</f>
        <v/>
      </c>
      <c r="BJ147" s="5"/>
      <c r="BK147" s="5">
        <f>IF($BI147&lt;&gt;"",IF('Capacity summary'!$C$14="Yes",IF(COUNTBLANK('Capacity summary'!$H59:$BG59)&lt;52,IF('Capacity summary'!H59&lt;&gt;"",IF(LOWER('Capacity summary'!H59)="x",$BI147*H147,VALUE('Capacity summary'!H59)),0),H147*$BI147),H147*$BI147),0)</f>
        <v>0</v>
      </c>
      <c r="BL147" s="5">
        <f>IF($BI147&lt;&gt;"",IF('Capacity summary'!$C$14="Yes",IF(COUNTBLANK('Capacity summary'!$H59:$BG59)&lt;52,IF('Capacity summary'!I59&lt;&gt;"",IF(LOWER('Capacity summary'!I59)="x",$BI147*I147,VALUE('Capacity summary'!I59)),0),I147*$BI147),I147*$BI147),0)</f>
        <v>0</v>
      </c>
      <c r="BM147" s="5">
        <f>IF($BI147&lt;&gt;"",IF('Capacity summary'!$C$14="Yes",IF(COUNTBLANK('Capacity summary'!$H59:$BG59)&lt;52,IF('Capacity summary'!J59&lt;&gt;"",IF(LOWER('Capacity summary'!J59)="x",$BI147*J147,VALUE('Capacity summary'!J59)),0),J147*$BI147),J147*$BI147),0)</f>
        <v>0</v>
      </c>
      <c r="BN147" s="5">
        <f>IF($BI147&lt;&gt;"",IF('Capacity summary'!$C$14="Yes",IF(COUNTBLANK('Capacity summary'!$H59:$BG59)&lt;52,IF('Capacity summary'!K59&lt;&gt;"",IF(LOWER('Capacity summary'!K59)="x",$BI147*K147,VALUE('Capacity summary'!K59)),0),K147*$BI147),K147*$BI147),0)</f>
        <v>0</v>
      </c>
      <c r="BO147" s="5">
        <f>IF($BI147&lt;&gt;"",IF('Capacity summary'!$C$14="Yes",IF(COUNTBLANK('Capacity summary'!$H59:$BG59)&lt;52,IF('Capacity summary'!L59&lt;&gt;"",IF(LOWER('Capacity summary'!L59)="x",$BI147*L147,VALUE('Capacity summary'!L59)),0),L147*$BI147),L147*$BI147),0)</f>
        <v>0</v>
      </c>
      <c r="BP147" s="5">
        <f>IF($BI147&lt;&gt;"",IF('Capacity summary'!$C$14="Yes",IF(COUNTBLANK('Capacity summary'!$H59:$BG59)&lt;52,IF('Capacity summary'!M59&lt;&gt;"",IF(LOWER('Capacity summary'!M59)="x",$BI147*M147,VALUE('Capacity summary'!M59)),0),M147*$BI147),M147*$BI147),0)</f>
        <v>0</v>
      </c>
      <c r="BQ147" s="5">
        <f>IF($BI147&lt;&gt;"",IF('Capacity summary'!$C$14="Yes",IF(COUNTBLANK('Capacity summary'!$H59:$BG59)&lt;52,IF('Capacity summary'!N59&lt;&gt;"",IF(LOWER('Capacity summary'!N59)="x",$BI147*N147,VALUE('Capacity summary'!N59)),0),N147*$BI147),N147*$BI147),0)</f>
        <v>0</v>
      </c>
      <c r="BR147" s="5">
        <f>IF($BI147&lt;&gt;"",IF('Capacity summary'!$C$14="Yes",IF(COUNTBLANK('Capacity summary'!$H59:$BG59)&lt;52,IF('Capacity summary'!O59&lt;&gt;"",IF(LOWER('Capacity summary'!O59)="x",$BI147*O147,VALUE('Capacity summary'!O59)),0),O147*$BI147),O147*$BI147),0)</f>
        <v>0</v>
      </c>
      <c r="BS147" s="5">
        <f>IF($BI147&lt;&gt;"",IF('Capacity summary'!$C$14="Yes",IF(COUNTBLANK('Capacity summary'!$H59:$BG59)&lt;52,IF('Capacity summary'!P59&lt;&gt;"",IF(LOWER('Capacity summary'!P59)="x",$BI147*P147,VALUE('Capacity summary'!P59)),0),P147*$BI147),P147*$BI147),0)</f>
        <v>0</v>
      </c>
      <c r="BT147" s="5">
        <f>IF($BI147&lt;&gt;"",IF('Capacity summary'!$C$14="Yes",IF(COUNTBLANK('Capacity summary'!$H59:$BG59)&lt;52,IF('Capacity summary'!Q59&lt;&gt;"",IF(LOWER('Capacity summary'!Q59)="x",$BI147*Q147,VALUE('Capacity summary'!Q59)),0),Q147*$BI147),Q147*$BI147),0)</f>
        <v>0</v>
      </c>
      <c r="BU147" s="5">
        <f>IF($BI147&lt;&gt;"",IF('Capacity summary'!$C$14="Yes",IF(COUNTBLANK('Capacity summary'!$H59:$BG59)&lt;52,IF('Capacity summary'!R59&lt;&gt;"",IF(LOWER('Capacity summary'!R59)="x",$BI147*R147,VALUE('Capacity summary'!R59)),0),R147*$BI147),R147*$BI147),0)</f>
        <v>0</v>
      </c>
      <c r="BV147" s="5">
        <f>IF($BI147&lt;&gt;"",IF('Capacity summary'!$C$14="Yes",IF(COUNTBLANK('Capacity summary'!$H59:$BG59)&lt;52,IF('Capacity summary'!S59&lt;&gt;"",IF(LOWER('Capacity summary'!S59)="x",$BI147*S147,VALUE('Capacity summary'!S59)),0),S147*$BI147),S147*$BI147),0)</f>
        <v>0</v>
      </c>
      <c r="BW147" s="5">
        <f>IF($BI147&lt;&gt;"",IF('Capacity summary'!$C$14="Yes",IF(COUNTBLANK('Capacity summary'!$H59:$BG59)&lt;52,IF('Capacity summary'!T59&lt;&gt;"",IF(LOWER('Capacity summary'!T59)="x",$BI147*T147,VALUE('Capacity summary'!T59)),0),T147*$BI147),T147*$BI147),0)</f>
        <v>0</v>
      </c>
      <c r="BX147" s="5">
        <f>IF($BI147&lt;&gt;"",IF('Capacity summary'!$C$14="Yes",IF(COUNTBLANK('Capacity summary'!$H59:$BG59)&lt;52,IF('Capacity summary'!U59&lt;&gt;"",IF(LOWER('Capacity summary'!U59)="x",$BI147*U147,VALUE('Capacity summary'!U59)),0),U147*$BI147),U147*$BI147),0)</f>
        <v>0</v>
      </c>
      <c r="BY147" s="5">
        <f>IF($BI147&lt;&gt;"",IF('Capacity summary'!$C$14="Yes",IF(COUNTBLANK('Capacity summary'!$H59:$BG59)&lt;52,IF('Capacity summary'!V59&lt;&gt;"",IF(LOWER('Capacity summary'!V59)="x",$BI147*V147,VALUE('Capacity summary'!V59)),0),V147*$BI147),V147*$BI147),0)</f>
        <v>0</v>
      </c>
      <c r="BZ147" s="5">
        <f>IF($BI147&lt;&gt;"",IF('Capacity summary'!$C$14="Yes",IF(COUNTBLANK('Capacity summary'!$H59:$BG59)&lt;52,IF('Capacity summary'!W59&lt;&gt;"",IF(LOWER('Capacity summary'!W59)="x",$BI147*W147,VALUE('Capacity summary'!W59)),0),W147*$BI147),W147*$BI147),0)</f>
        <v>0</v>
      </c>
      <c r="CA147" s="5">
        <f>IF($BI147&lt;&gt;"",IF('Capacity summary'!$C$14="Yes",IF(COUNTBLANK('Capacity summary'!$H59:$BG59)&lt;52,IF('Capacity summary'!X59&lt;&gt;"",IF(LOWER('Capacity summary'!X59)="x",$BI147*X147,VALUE('Capacity summary'!X59)),0),X147*$BI147),X147*$BI147),0)</f>
        <v>0</v>
      </c>
      <c r="CB147" s="5">
        <f>IF($BI147&lt;&gt;"",IF('Capacity summary'!$C$14="Yes",IF(COUNTBLANK('Capacity summary'!$H59:$BG59)&lt;52,IF('Capacity summary'!Y59&lt;&gt;"",IF(LOWER('Capacity summary'!Y59)="x",$BI147*Y147,VALUE('Capacity summary'!Y59)),0),Y147*$BI147),Y147*$BI147),0)</f>
        <v>0</v>
      </c>
      <c r="CC147" s="5">
        <f>IF($BI147&lt;&gt;"",IF('Capacity summary'!$C$14="Yes",IF(COUNTBLANK('Capacity summary'!$H59:$BG59)&lt;52,IF('Capacity summary'!Z59&lt;&gt;"",IF(LOWER('Capacity summary'!Z59)="x",$BI147*Z147,VALUE('Capacity summary'!Z59)),0),Z147*$BI147),Z147*$BI147),0)</f>
        <v>0</v>
      </c>
      <c r="CD147" s="5">
        <f>IF($BI147&lt;&gt;"",IF('Capacity summary'!$C$14="Yes",IF(COUNTBLANK('Capacity summary'!$H59:$BG59)&lt;52,IF('Capacity summary'!AA59&lt;&gt;"",IF(LOWER('Capacity summary'!AA59)="x",$BI147*AA147,VALUE('Capacity summary'!AA59)),0),AA147*$BI147),AA147*$BI147),0)</f>
        <v>0</v>
      </c>
      <c r="CE147" s="5">
        <f>IF($BI147&lt;&gt;"",IF('Capacity summary'!$C$14="Yes",IF(COUNTBLANK('Capacity summary'!$H59:$BG59)&lt;52,IF('Capacity summary'!AB59&lt;&gt;"",IF(LOWER('Capacity summary'!AB59)="x",$BI147*AB147,VALUE('Capacity summary'!AB59)),0),AB147*$BI147),AB147*$BI147),0)</f>
        <v>0</v>
      </c>
      <c r="CF147" s="5">
        <f>IF($BI147&lt;&gt;"",IF('Capacity summary'!$C$14="Yes",IF(COUNTBLANK('Capacity summary'!$H59:$BG59)&lt;52,IF('Capacity summary'!AC59&lt;&gt;"",IF(LOWER('Capacity summary'!AC59)="x",$BI147*AC147,VALUE('Capacity summary'!AC59)),0),AC147*$BI147),AC147*$BI147),0)</f>
        <v>0</v>
      </c>
      <c r="CG147" s="5">
        <f>IF($BI147&lt;&gt;"",IF('Capacity summary'!$C$14="Yes",IF(COUNTBLANK('Capacity summary'!$H59:$BG59)&lt;52,IF('Capacity summary'!AD59&lt;&gt;"",IF(LOWER('Capacity summary'!AD59)="x",$BI147*AD147,VALUE('Capacity summary'!AD59)),0),AD147*$BI147),AD147*$BI147),0)</f>
        <v>0</v>
      </c>
      <c r="CH147" s="5">
        <f>IF($BI147&lt;&gt;"",IF('Capacity summary'!$C$14="Yes",IF(COUNTBLANK('Capacity summary'!$H59:$BG59)&lt;52,IF('Capacity summary'!AE59&lt;&gt;"",IF(LOWER('Capacity summary'!AE59)="x",$BI147*AE147,VALUE('Capacity summary'!AE59)),0),AE147*$BI147),AE147*$BI147),0)</f>
        <v>0</v>
      </c>
      <c r="CI147" s="5">
        <f>IF($BI147&lt;&gt;"",IF('Capacity summary'!$C$14="Yes",IF(COUNTBLANK('Capacity summary'!$H59:$BG59)&lt;52,IF('Capacity summary'!AF59&lt;&gt;"",IF(LOWER('Capacity summary'!AF59)="x",$BI147*AF147,VALUE('Capacity summary'!AF59)),0),AF147*$BI147),AF147*$BI147),0)</f>
        <v>0</v>
      </c>
      <c r="CJ147" s="5">
        <f>IF($BI147&lt;&gt;"",IF('Capacity summary'!$C$14="Yes",IF(COUNTBLANK('Capacity summary'!$H59:$BG59)&lt;52,IF('Capacity summary'!AG59&lt;&gt;"",IF(LOWER('Capacity summary'!AG59)="x",$BI147*AG147,VALUE('Capacity summary'!AG59)),0),AG147*$BI147),AG147*$BI147),0)</f>
        <v>0</v>
      </c>
      <c r="CK147" s="5">
        <f>IF($BI147&lt;&gt;"",IF('Capacity summary'!$C$14="Yes",IF(COUNTBLANK('Capacity summary'!$H59:$BG59)&lt;52,IF('Capacity summary'!AH59&lt;&gt;"",IF(LOWER('Capacity summary'!AH59)="x",$BI147*AH147,VALUE('Capacity summary'!AH59)),0),AH147*$BI147),AH147*$BI147),0)</f>
        <v>0</v>
      </c>
      <c r="CL147" s="5">
        <f>IF($BI147&lt;&gt;"",IF('Capacity summary'!$C$14="Yes",IF(COUNTBLANK('Capacity summary'!$H59:$BG59)&lt;52,IF('Capacity summary'!AI59&lt;&gt;"",IF(LOWER('Capacity summary'!AI59)="x",$BI147*AI147,VALUE('Capacity summary'!AI59)),0),AI147*$BI147),AI147*$BI147),0)</f>
        <v>0</v>
      </c>
      <c r="CM147" s="5">
        <f>IF($BI147&lt;&gt;"",IF('Capacity summary'!$C$14="Yes",IF(COUNTBLANK('Capacity summary'!$H59:$BG59)&lt;52,IF('Capacity summary'!AJ59&lt;&gt;"",IF(LOWER('Capacity summary'!AJ59)="x",$BI147*AJ147,VALUE('Capacity summary'!AJ59)),0),AJ147*$BI147),AJ147*$BI147),0)</f>
        <v>0</v>
      </c>
      <c r="CN147" s="5">
        <f>IF($BI147&lt;&gt;"",IF('Capacity summary'!$C$14="Yes",IF(COUNTBLANK('Capacity summary'!$H59:$BG59)&lt;52,IF('Capacity summary'!AK59&lt;&gt;"",IF(LOWER('Capacity summary'!AK59)="x",$BI147*AK147,VALUE('Capacity summary'!AK59)),0),AK147*$BI147),AK147*$BI147),0)</f>
        <v>0</v>
      </c>
      <c r="CO147" s="5">
        <f>IF($BI147&lt;&gt;"",IF('Capacity summary'!$C$14="Yes",IF(COUNTBLANK('Capacity summary'!$H59:$BG59)&lt;52,IF('Capacity summary'!AL59&lt;&gt;"",IF(LOWER('Capacity summary'!AL59)="x",$BI147*AL147,VALUE('Capacity summary'!AL59)),0),AL147*$BI147),AL147*$BI147),0)</f>
        <v>0</v>
      </c>
      <c r="CP147" s="5">
        <f>IF($BI147&lt;&gt;"",IF('Capacity summary'!$C$14="Yes",IF(COUNTBLANK('Capacity summary'!$H59:$BG59)&lt;52,IF('Capacity summary'!AM59&lt;&gt;"",IF(LOWER('Capacity summary'!AM59)="x",$BI147*AM147,VALUE('Capacity summary'!AM59)),0),AM147*$BI147),AM147*$BI147),0)</f>
        <v>0</v>
      </c>
      <c r="CQ147" s="5">
        <f>IF($BI147&lt;&gt;"",IF('Capacity summary'!$C$14="Yes",IF(COUNTBLANK('Capacity summary'!$H59:$BG59)&lt;52,IF('Capacity summary'!AN59&lt;&gt;"",IF(LOWER('Capacity summary'!AN59)="x",$BI147*AN147,VALUE('Capacity summary'!AN59)),0),AN147*$BI147),AN147*$BI147),0)</f>
        <v>0</v>
      </c>
      <c r="CR147" s="5">
        <f>IF($BI147&lt;&gt;"",IF('Capacity summary'!$C$14="Yes",IF(COUNTBLANK('Capacity summary'!$H59:$BG59)&lt;52,IF('Capacity summary'!AO59&lt;&gt;"",IF(LOWER('Capacity summary'!AO59)="x",$BI147*AO147,VALUE('Capacity summary'!AO59)),0),AO147*$BI147),AO147*$BI147),0)</f>
        <v>0</v>
      </c>
      <c r="CS147" s="5">
        <f>IF($BI147&lt;&gt;"",IF('Capacity summary'!$C$14="Yes",IF(COUNTBLANK('Capacity summary'!$H59:$BG59)&lt;52,IF('Capacity summary'!AP59&lt;&gt;"",IF(LOWER('Capacity summary'!AP59)="x",$BI147*AP147,VALUE('Capacity summary'!AP59)),0),AP147*$BI147),AP147*$BI147),0)</f>
        <v>0</v>
      </c>
      <c r="CT147" s="5">
        <f>IF($BI147&lt;&gt;"",IF('Capacity summary'!$C$14="Yes",IF(COUNTBLANK('Capacity summary'!$H59:$BG59)&lt;52,IF('Capacity summary'!AQ59&lt;&gt;"",IF(LOWER('Capacity summary'!AQ59)="x",$BI147*AQ147,VALUE('Capacity summary'!AQ59)),0),AQ147*$BI147),AQ147*$BI147),0)</f>
        <v>0</v>
      </c>
      <c r="CU147" s="5">
        <f>IF($BI147&lt;&gt;"",IF('Capacity summary'!$C$14="Yes",IF(COUNTBLANK('Capacity summary'!$H59:$BG59)&lt;52,IF('Capacity summary'!AR59&lt;&gt;"",IF(LOWER('Capacity summary'!AR59)="x",$BI147*AR147,VALUE('Capacity summary'!AR59)),0),AR147*$BI147),AR147*$BI147),0)</f>
        <v>0</v>
      </c>
      <c r="CV147" s="5">
        <f>IF($BI147&lt;&gt;"",IF('Capacity summary'!$C$14="Yes",IF(COUNTBLANK('Capacity summary'!$H59:$BG59)&lt;52,IF('Capacity summary'!AS59&lt;&gt;"",IF(LOWER('Capacity summary'!AS59)="x",$BI147*AS147,VALUE('Capacity summary'!AS59)),0),AS147*$BI147),AS147*$BI147),0)</f>
        <v>0</v>
      </c>
      <c r="CW147" s="5">
        <f>IF($BI147&lt;&gt;"",IF('Capacity summary'!$C$14="Yes",IF(COUNTBLANK('Capacity summary'!$H59:$BG59)&lt;52,IF('Capacity summary'!AT59&lt;&gt;"",IF(LOWER('Capacity summary'!AT59)="x",$BI147*AT147,VALUE('Capacity summary'!AT59)),0),AT147*$BI147),AT147*$BI147),0)</f>
        <v>0</v>
      </c>
      <c r="CX147" s="5">
        <f>IF($BI147&lt;&gt;"",IF('Capacity summary'!$C$14="Yes",IF(COUNTBLANK('Capacity summary'!$H59:$BG59)&lt;52,IF('Capacity summary'!AU59&lt;&gt;"",IF(LOWER('Capacity summary'!AU59)="x",$BI147*AU147,VALUE('Capacity summary'!AU59)),0),AU147*$BI147),AU147*$BI147),0)</f>
        <v>0</v>
      </c>
      <c r="CY147" s="5">
        <f>IF($BI147&lt;&gt;"",IF('Capacity summary'!$C$14="Yes",IF(COUNTBLANK('Capacity summary'!$H59:$BG59)&lt;52,IF('Capacity summary'!AV59&lt;&gt;"",IF(LOWER('Capacity summary'!AV59)="x",$BI147*AV147,VALUE('Capacity summary'!AV59)),0),AV147*$BI147),AV147*$BI147),0)</f>
        <v>0</v>
      </c>
      <c r="CZ147" s="5">
        <f>IF($BI147&lt;&gt;"",IF('Capacity summary'!$C$14="Yes",IF(COUNTBLANK('Capacity summary'!$H59:$BG59)&lt;52,IF('Capacity summary'!AW59&lt;&gt;"",IF(LOWER('Capacity summary'!AW59)="x",$BI147*AW147,VALUE('Capacity summary'!AW59)),0),AW147*$BI147),AW147*$BI147),0)</f>
        <v>0</v>
      </c>
      <c r="DA147" s="5">
        <f>IF($BI147&lt;&gt;"",IF('Capacity summary'!$C$14="Yes",IF(COUNTBLANK('Capacity summary'!$H59:$BG59)&lt;52,IF('Capacity summary'!AX59&lt;&gt;"",IF(LOWER('Capacity summary'!AX59)="x",$BI147*AX147,VALUE('Capacity summary'!AX59)),0),AX147*$BI147),AX147*$BI147),0)</f>
        <v>0</v>
      </c>
      <c r="DB147" s="5">
        <f>IF($BI147&lt;&gt;"",IF('Capacity summary'!$C$14="Yes",IF(COUNTBLANK('Capacity summary'!$H59:$BG59)&lt;52,IF('Capacity summary'!AY59&lt;&gt;"",IF(LOWER('Capacity summary'!AY59)="x",$BI147*AY147,VALUE('Capacity summary'!AY59)),0),AY147*$BI147),AY147*$BI147),0)</f>
        <v>0</v>
      </c>
      <c r="DC147" s="5">
        <f>IF($BI147&lt;&gt;"",IF('Capacity summary'!$C$14="Yes",IF(COUNTBLANK('Capacity summary'!$H59:$BG59)&lt;52,IF('Capacity summary'!AZ59&lt;&gt;"",IF(LOWER('Capacity summary'!AZ59)="x",$BI147*AZ147,VALUE('Capacity summary'!AZ59)),0),AZ147*$BI147),AZ147*$BI147),0)</f>
        <v>0</v>
      </c>
      <c r="DD147" s="5">
        <f>IF($BI147&lt;&gt;"",IF('Capacity summary'!$C$14="Yes",IF(COUNTBLANK('Capacity summary'!$H59:$BG59)&lt;52,IF('Capacity summary'!BA59&lt;&gt;"",IF(LOWER('Capacity summary'!BA59)="x",$BI147*BA147,VALUE('Capacity summary'!BA59)),0),BA147*$BI147),BA147*$BI147),0)</f>
        <v>0</v>
      </c>
      <c r="DE147" s="5">
        <f>IF($BI147&lt;&gt;"",IF('Capacity summary'!$C$14="Yes",IF(COUNTBLANK('Capacity summary'!$H59:$BG59)&lt;52,IF('Capacity summary'!BB59&lt;&gt;"",IF(LOWER('Capacity summary'!BB59)="x",$BI147*BB147,VALUE('Capacity summary'!BB59)),0),BB147*$BI147),BB147*$BI147),0)</f>
        <v>0</v>
      </c>
      <c r="DF147" s="5">
        <f>IF($BI147&lt;&gt;"",IF('Capacity summary'!$C$14="Yes",IF(COUNTBLANK('Capacity summary'!$H59:$BG59)&lt;52,IF('Capacity summary'!BC59&lt;&gt;"",IF(LOWER('Capacity summary'!BC59)="x",$BI147*BC147,VALUE('Capacity summary'!BC59)),0),BC147*$BI147),BC147*$BI147),0)</f>
        <v>0</v>
      </c>
      <c r="DG147" s="5">
        <f>IF($BI147&lt;&gt;"",IF('Capacity summary'!$C$14="Yes",IF(COUNTBLANK('Capacity summary'!$H59:$BG59)&lt;52,IF('Capacity summary'!BD59&lt;&gt;"",IF(LOWER('Capacity summary'!BD59)="x",$BI147*BD147,VALUE('Capacity summary'!BD59)),0),BD147*$BI147),BD147*$BI147),0)</f>
        <v>0</v>
      </c>
      <c r="DH147" s="5">
        <f>IF($BI147&lt;&gt;"",IF('Capacity summary'!$C$14="Yes",IF(COUNTBLANK('Capacity summary'!$H59:$BG59)&lt;52,IF('Capacity summary'!BE59&lt;&gt;"",IF(LOWER('Capacity summary'!BE59)="x",$BI147*BE147,VALUE('Capacity summary'!BE59)),0),BE147*$BI147),BE147*$BI147),0)</f>
        <v>0</v>
      </c>
      <c r="DI147" s="5">
        <f>IF($BI147&lt;&gt;"",IF('Capacity summary'!$C$14="Yes",IF(COUNTBLANK('Capacity summary'!$H59:$BG59)&lt;52,IF('Capacity summary'!BF59&lt;&gt;"",IF(LOWER('Capacity summary'!BF59)="x",$BI147*BF147,VALUE('Capacity summary'!BF59)),0),BF147*$BI147),BF147*$BI147),0)</f>
        <v>0</v>
      </c>
      <c r="DJ147" s="5">
        <f>IF($BI147&lt;&gt;"",IF('Capacity summary'!$C$14="Yes",IF(COUNTBLANK('Capacity summary'!$H59:$BG59)&lt;52,IF('Capacity summary'!BG59&lt;&gt;"",IF(LOWER('Capacity summary'!BG59)="x",$BI147*BG147,VALUE('Capacity summary'!BG59)),0),BG147*$BI147),BG147*$BI147),0)</f>
        <v>0</v>
      </c>
      <c r="DK147" s="391">
        <f t="shared" si="8"/>
        <v>0</v>
      </c>
      <c r="DL147" s="5">
        <f t="shared" si="9"/>
        <v>0</v>
      </c>
    </row>
    <row r="148" spans="3:116" x14ac:dyDescent="0.2">
      <c r="C148" s="67" t="str">
        <f>ROW(A37)&amp;". "&amp;Capacity!N53</f>
        <v xml:space="preserve">37. </v>
      </c>
      <c r="D148" s="67">
        <f>'Capacity setup'!C154</f>
        <v>0</v>
      </c>
      <c r="E148" s="67">
        <f>'Capacity setup'!D154</f>
        <v>0</v>
      </c>
      <c r="F148" s="67">
        <f>'Capacity setup'!E154</f>
        <v>0</v>
      </c>
      <c r="H148" s="67">
        <f ca="1">IF(LOWER(Capacity!$V53)="x",IF(AND(SUMIF(Capacity_Resource,$D148,'Critical resources (hide)'!U$6:U$105)+SUMIF(Capacity_Resource,$E148,'Critical resources (hide)'!U$6:U$105)+SUMIF(Capacity_Resource,$F148,'Critical resources (hide)'!U$6:U$105)&gt;0,$E$1=2),0,1),0)</f>
        <v>1</v>
      </c>
      <c r="I148" s="67">
        <f ca="1">IF(LOWER(Capacity!$V53)="x",IF(AND(SUMIF(Capacity_Resource,$D148,'Critical resources (hide)'!V$6:V$105)+SUMIF(Capacity_Resource,$E148,'Critical resources (hide)'!V$6:V$105)+SUMIF(Capacity_Resource,$F148,'Critical resources (hide)'!V$6:V$105)&gt;0,$E$1=2),0,1),0)</f>
        <v>1</v>
      </c>
      <c r="J148" s="67">
        <f ca="1">IF(LOWER(Capacity!$V53)="x",IF(AND(SUMIF(Capacity_Resource,$D148,'Critical resources (hide)'!W$6:W$105)+SUMIF(Capacity_Resource,$E148,'Critical resources (hide)'!W$6:W$105)+SUMIF(Capacity_Resource,$F148,'Critical resources (hide)'!W$6:W$105)&gt;0,$E$1=2),0,1),0)</f>
        <v>1</v>
      </c>
      <c r="K148" s="67">
        <f ca="1">IF(LOWER(Capacity!$V53)="x",IF(AND(SUMIF(Capacity_Resource,$D148,'Critical resources (hide)'!X$6:X$105)+SUMIF(Capacity_Resource,$E148,'Critical resources (hide)'!X$6:X$105)+SUMIF(Capacity_Resource,$F148,'Critical resources (hide)'!X$6:X$105)&gt;0,$E$1=2),0,1),0)</f>
        <v>1</v>
      </c>
      <c r="L148" s="67">
        <f ca="1">IF(LOWER(Capacity!$V53)="x",IF(AND(SUMIF(Capacity_Resource,$D148,'Critical resources (hide)'!Y$6:Y$105)+SUMIF(Capacity_Resource,$E148,'Critical resources (hide)'!Y$6:Y$105)+SUMIF(Capacity_Resource,$F148,'Critical resources (hide)'!Y$6:Y$105)&gt;0,$E$1=2),0,1),0)</f>
        <v>1</v>
      </c>
      <c r="M148" s="67">
        <f ca="1">IF(LOWER(Capacity!$V53)="x",IF(AND(SUMIF(Capacity_Resource,$D148,'Critical resources (hide)'!Z$6:Z$105)+SUMIF(Capacity_Resource,$E148,'Critical resources (hide)'!Z$6:Z$105)+SUMIF(Capacity_Resource,$F148,'Critical resources (hide)'!Z$6:Z$105)&gt;0,$E$1=2),0,1),0)</f>
        <v>1</v>
      </c>
      <c r="N148" s="67">
        <f ca="1">IF(LOWER(Capacity!$V53)="x",IF(AND(SUMIF(Capacity_Resource,$D148,'Critical resources (hide)'!AA$6:AA$105)+SUMIF(Capacity_Resource,$E148,'Critical resources (hide)'!AA$6:AA$105)+SUMIF(Capacity_Resource,$F148,'Critical resources (hide)'!AA$6:AA$105)&gt;0,$E$1=2),0,1),0)</f>
        <v>1</v>
      </c>
      <c r="O148" s="67">
        <f ca="1">IF(LOWER(Capacity!$V53)="x",IF(AND(SUMIF(Capacity_Resource,$D148,'Critical resources (hide)'!AB$6:AB$105)+SUMIF(Capacity_Resource,$E148,'Critical resources (hide)'!AB$6:AB$105)+SUMIF(Capacity_Resource,$F148,'Critical resources (hide)'!AB$6:AB$105)&gt;0,$E$1=2),0,1),0)</f>
        <v>1</v>
      </c>
      <c r="P148" s="67">
        <f ca="1">IF(LOWER(Capacity!$V53)="x",IF(AND(SUMIF(Capacity_Resource,$D148,'Critical resources (hide)'!AC$6:AC$105)+SUMIF(Capacity_Resource,$E148,'Critical resources (hide)'!AC$6:AC$105)+SUMIF(Capacity_Resource,$F148,'Critical resources (hide)'!AC$6:AC$105)&gt;0,$E$1=2),0,1),0)</f>
        <v>1</v>
      </c>
      <c r="Q148" s="67">
        <f ca="1">IF(LOWER(Capacity!$V53)="x",IF(AND(SUMIF(Capacity_Resource,$D148,'Critical resources (hide)'!AD$6:AD$105)+SUMIF(Capacity_Resource,$E148,'Critical resources (hide)'!AD$6:AD$105)+SUMIF(Capacity_Resource,$F148,'Critical resources (hide)'!AD$6:AD$105)&gt;0,$E$1=2),0,1),0)</f>
        <v>1</v>
      </c>
      <c r="R148" s="67">
        <f ca="1">IF(LOWER(Capacity!$V53)="x",IF(AND(SUMIF(Capacity_Resource,$D148,'Critical resources (hide)'!AE$6:AE$105)+SUMIF(Capacity_Resource,$E148,'Critical resources (hide)'!AE$6:AE$105)+SUMIF(Capacity_Resource,$F148,'Critical resources (hide)'!AE$6:AE$105)&gt;0,$E$1=2),0,1),0)</f>
        <v>1</v>
      </c>
      <c r="S148" s="67">
        <f ca="1">IF(LOWER(Capacity!$V53)="x",IF(AND(SUMIF(Capacity_Resource,$D148,'Critical resources (hide)'!AF$6:AF$105)+SUMIF(Capacity_Resource,$E148,'Critical resources (hide)'!AF$6:AF$105)+SUMIF(Capacity_Resource,$F148,'Critical resources (hide)'!AF$6:AF$105)&gt;0,$E$1=2),0,1),0)</f>
        <v>1</v>
      </c>
      <c r="T148" s="67">
        <f ca="1">IF(LOWER(Capacity!$V53)="x",IF(AND(SUMIF(Capacity_Resource,$D148,'Critical resources (hide)'!AG$6:AG$105)+SUMIF(Capacity_Resource,$E148,'Critical resources (hide)'!AG$6:AG$105)+SUMIF(Capacity_Resource,$F148,'Critical resources (hide)'!AG$6:AG$105)&gt;0,$E$1=2),0,1),0)</f>
        <v>1</v>
      </c>
      <c r="U148" s="67">
        <f ca="1">IF(LOWER(Capacity!$V53)="x",IF(AND(SUMIF(Capacity_Resource,$D148,'Critical resources (hide)'!AH$6:AH$105)+SUMIF(Capacity_Resource,$E148,'Critical resources (hide)'!AH$6:AH$105)+SUMIF(Capacity_Resource,$F148,'Critical resources (hide)'!AH$6:AH$105)&gt;0,$E$1=2),0,1),0)</f>
        <v>1</v>
      </c>
      <c r="V148" s="67">
        <f ca="1">IF(LOWER(Capacity!$V53)="x",IF(AND(SUMIF(Capacity_Resource,$D148,'Critical resources (hide)'!AI$6:AI$105)+SUMIF(Capacity_Resource,$E148,'Critical resources (hide)'!AI$6:AI$105)+SUMIF(Capacity_Resource,$F148,'Critical resources (hide)'!AI$6:AI$105)&gt;0,$E$1=2),0,1),0)</f>
        <v>1</v>
      </c>
      <c r="W148" s="67">
        <f ca="1">IF(LOWER(Capacity!$V53)="x",IF(AND(SUMIF(Capacity_Resource,$D148,'Critical resources (hide)'!AJ$6:AJ$105)+SUMIF(Capacity_Resource,$E148,'Critical resources (hide)'!AJ$6:AJ$105)+SUMIF(Capacity_Resource,$F148,'Critical resources (hide)'!AJ$6:AJ$105)&gt;0,$E$1=2),0,1),0)</f>
        <v>1</v>
      </c>
      <c r="X148" s="67">
        <f ca="1">IF(LOWER(Capacity!$V53)="x",IF(AND(SUMIF(Capacity_Resource,$D148,'Critical resources (hide)'!AK$6:AK$105)+SUMIF(Capacity_Resource,$E148,'Critical resources (hide)'!AK$6:AK$105)+SUMIF(Capacity_Resource,$F148,'Critical resources (hide)'!AK$6:AK$105)&gt;0,$E$1=2),0,1),0)</f>
        <v>1</v>
      </c>
      <c r="Y148" s="67">
        <f ca="1">IF(LOWER(Capacity!$V53)="x",IF(AND(SUMIF(Capacity_Resource,$D148,'Critical resources (hide)'!AL$6:AL$105)+SUMIF(Capacity_Resource,$E148,'Critical resources (hide)'!AL$6:AL$105)+SUMIF(Capacity_Resource,$F148,'Critical resources (hide)'!AL$6:AL$105)&gt;0,$E$1=2),0,1),0)</f>
        <v>1</v>
      </c>
      <c r="Z148" s="67">
        <f ca="1">IF(LOWER(Capacity!$V53)="x",IF(AND(SUMIF(Capacity_Resource,$D148,'Critical resources (hide)'!AM$6:AM$105)+SUMIF(Capacity_Resource,$E148,'Critical resources (hide)'!AM$6:AM$105)+SUMIF(Capacity_Resource,$F148,'Critical resources (hide)'!AM$6:AM$105)&gt;0,$E$1=2),0,1),0)</f>
        <v>1</v>
      </c>
      <c r="AA148" s="67">
        <f ca="1">IF(LOWER(Capacity!$V53)="x",IF(AND(SUMIF(Capacity_Resource,$D148,'Critical resources (hide)'!AN$6:AN$105)+SUMIF(Capacity_Resource,$E148,'Critical resources (hide)'!AN$6:AN$105)+SUMIF(Capacity_Resource,$F148,'Critical resources (hide)'!AN$6:AN$105)&gt;0,$E$1=2),0,1),0)</f>
        <v>1</v>
      </c>
      <c r="AB148" s="67">
        <f ca="1">IF(LOWER(Capacity!$V53)="x",IF(AND(SUMIF(Capacity_Resource,$D148,'Critical resources (hide)'!AO$6:AO$105)+SUMIF(Capacity_Resource,$E148,'Critical resources (hide)'!AO$6:AO$105)+SUMIF(Capacity_Resource,$F148,'Critical resources (hide)'!AO$6:AO$105)&gt;0,$E$1=2),0,1),0)</f>
        <v>1</v>
      </c>
      <c r="AC148" s="67">
        <f ca="1">IF(LOWER(Capacity!$V53)="x",IF(AND(SUMIF(Capacity_Resource,$D148,'Critical resources (hide)'!AP$6:AP$105)+SUMIF(Capacity_Resource,$E148,'Critical resources (hide)'!AP$6:AP$105)+SUMIF(Capacity_Resource,$F148,'Critical resources (hide)'!AP$6:AP$105)&gt;0,$E$1=2),0,1),0)</f>
        <v>1</v>
      </c>
      <c r="AD148" s="67">
        <f ca="1">IF(LOWER(Capacity!$V53)="x",IF(AND(SUMIF(Capacity_Resource,$D148,'Critical resources (hide)'!AQ$6:AQ$105)+SUMIF(Capacity_Resource,$E148,'Critical resources (hide)'!AQ$6:AQ$105)+SUMIF(Capacity_Resource,$F148,'Critical resources (hide)'!AQ$6:AQ$105)&gt;0,$E$1=2),0,1),0)</f>
        <v>1</v>
      </c>
      <c r="AE148" s="67">
        <f ca="1">IF(LOWER(Capacity!$V53)="x",IF(AND(SUMIF(Capacity_Resource,$D148,'Critical resources (hide)'!AR$6:AR$105)+SUMIF(Capacity_Resource,$E148,'Critical resources (hide)'!AR$6:AR$105)+SUMIF(Capacity_Resource,$F148,'Critical resources (hide)'!AR$6:AR$105)&gt;0,$E$1=2),0,1),0)</f>
        <v>1</v>
      </c>
      <c r="AF148" s="67">
        <f ca="1">IF(LOWER(Capacity!$V53)="x",IF(AND(SUMIF(Capacity_Resource,$D148,'Critical resources (hide)'!AS$6:AS$105)+SUMIF(Capacity_Resource,$E148,'Critical resources (hide)'!AS$6:AS$105)+SUMIF(Capacity_Resource,$F148,'Critical resources (hide)'!AS$6:AS$105)&gt;0,$E$1=2),0,1),0)</f>
        <v>1</v>
      </c>
      <c r="AG148" s="67">
        <f ca="1">IF(LOWER(Capacity!$V53)="x",IF(AND(SUMIF(Capacity_Resource,$D148,'Critical resources (hide)'!AT$6:AT$105)+SUMIF(Capacity_Resource,$E148,'Critical resources (hide)'!AT$6:AT$105)+SUMIF(Capacity_Resource,$F148,'Critical resources (hide)'!AT$6:AT$105)&gt;0,$E$1=2),0,1),0)</f>
        <v>1</v>
      </c>
      <c r="AH148" s="67">
        <f ca="1">IF(LOWER(Capacity!$V53)="x",IF(AND(SUMIF(Capacity_Resource,$D148,'Critical resources (hide)'!AU$6:AU$105)+SUMIF(Capacity_Resource,$E148,'Critical resources (hide)'!AU$6:AU$105)+SUMIF(Capacity_Resource,$F148,'Critical resources (hide)'!AU$6:AU$105)&gt;0,$E$1=2),0,1),0)</f>
        <v>1</v>
      </c>
      <c r="AI148" s="67">
        <f ca="1">IF(LOWER(Capacity!$V53)="x",IF(AND(SUMIF(Capacity_Resource,$D148,'Critical resources (hide)'!AV$6:AV$105)+SUMIF(Capacity_Resource,$E148,'Critical resources (hide)'!AV$6:AV$105)+SUMIF(Capacity_Resource,$F148,'Critical resources (hide)'!AV$6:AV$105)&gt;0,$E$1=2),0,1),0)</f>
        <v>1</v>
      </c>
      <c r="AJ148" s="67">
        <f ca="1">IF(LOWER(Capacity!$V53)="x",IF(AND(SUMIF(Capacity_Resource,$D148,'Critical resources (hide)'!AW$6:AW$105)+SUMIF(Capacity_Resource,$E148,'Critical resources (hide)'!AW$6:AW$105)+SUMIF(Capacity_Resource,$F148,'Critical resources (hide)'!AW$6:AW$105)&gt;0,$E$1=2),0,1),0)</f>
        <v>1</v>
      </c>
      <c r="AK148" s="67">
        <f ca="1">IF(LOWER(Capacity!$V53)="x",IF(AND(SUMIF(Capacity_Resource,$D148,'Critical resources (hide)'!AX$6:AX$105)+SUMIF(Capacity_Resource,$E148,'Critical resources (hide)'!AX$6:AX$105)+SUMIF(Capacity_Resource,$F148,'Critical resources (hide)'!AX$6:AX$105)&gt;0,$E$1=2),0,1),0)</f>
        <v>1</v>
      </c>
      <c r="AL148" s="67">
        <f ca="1">IF(LOWER(Capacity!$V53)="x",IF(AND(SUMIF(Capacity_Resource,$D148,'Critical resources (hide)'!AY$6:AY$105)+SUMIF(Capacity_Resource,$E148,'Critical resources (hide)'!AY$6:AY$105)+SUMIF(Capacity_Resource,$F148,'Critical resources (hide)'!AY$6:AY$105)&gt;0,$E$1=2),0,1),0)</f>
        <v>1</v>
      </c>
      <c r="AM148" s="67">
        <f ca="1">IF(LOWER(Capacity!$V53)="x",IF(AND(SUMIF(Capacity_Resource,$D148,'Critical resources (hide)'!AZ$6:AZ$105)+SUMIF(Capacity_Resource,$E148,'Critical resources (hide)'!AZ$6:AZ$105)+SUMIF(Capacity_Resource,$F148,'Critical resources (hide)'!AZ$6:AZ$105)&gt;0,$E$1=2),0,1),0)</f>
        <v>1</v>
      </c>
      <c r="AN148" s="67">
        <f ca="1">IF(LOWER(Capacity!$V53)="x",IF(AND(SUMIF(Capacity_Resource,$D148,'Critical resources (hide)'!BA$6:BA$105)+SUMIF(Capacity_Resource,$E148,'Critical resources (hide)'!BA$6:BA$105)+SUMIF(Capacity_Resource,$F148,'Critical resources (hide)'!BA$6:BA$105)&gt;0,$E$1=2),0,1),0)</f>
        <v>1</v>
      </c>
      <c r="AO148" s="67">
        <f ca="1">IF(LOWER(Capacity!$V53)="x",IF(AND(SUMIF(Capacity_Resource,$D148,'Critical resources (hide)'!BB$6:BB$105)+SUMIF(Capacity_Resource,$E148,'Critical resources (hide)'!BB$6:BB$105)+SUMIF(Capacity_Resource,$F148,'Critical resources (hide)'!BB$6:BB$105)&gt;0,$E$1=2),0,1),0)</f>
        <v>1</v>
      </c>
      <c r="AP148" s="67">
        <f ca="1">IF(LOWER(Capacity!$V53)="x",IF(AND(SUMIF(Capacity_Resource,$D148,'Critical resources (hide)'!BC$6:BC$105)+SUMIF(Capacity_Resource,$E148,'Critical resources (hide)'!BC$6:BC$105)+SUMIF(Capacity_Resource,$F148,'Critical resources (hide)'!BC$6:BC$105)&gt;0,$E$1=2),0,1),0)</f>
        <v>1</v>
      </c>
      <c r="AQ148" s="67">
        <f ca="1">IF(LOWER(Capacity!$V53)="x",IF(AND(SUMIF(Capacity_Resource,$D148,'Critical resources (hide)'!BD$6:BD$105)+SUMIF(Capacity_Resource,$E148,'Critical resources (hide)'!BD$6:BD$105)+SUMIF(Capacity_Resource,$F148,'Critical resources (hide)'!BD$6:BD$105)&gt;0,$E$1=2),0,1),0)</f>
        <v>1</v>
      </c>
      <c r="AR148" s="67">
        <f ca="1">IF(LOWER(Capacity!$V53)="x",IF(AND(SUMIF(Capacity_Resource,$D148,'Critical resources (hide)'!BE$6:BE$105)+SUMIF(Capacity_Resource,$E148,'Critical resources (hide)'!BE$6:BE$105)+SUMIF(Capacity_Resource,$F148,'Critical resources (hide)'!BE$6:BE$105)&gt;0,$E$1=2),0,1),0)</f>
        <v>1</v>
      </c>
      <c r="AS148" s="67">
        <f ca="1">IF(LOWER(Capacity!$V53)="x",IF(AND(SUMIF(Capacity_Resource,$D148,'Critical resources (hide)'!BF$6:BF$105)+SUMIF(Capacity_Resource,$E148,'Critical resources (hide)'!BF$6:BF$105)+SUMIF(Capacity_Resource,$F148,'Critical resources (hide)'!BF$6:BF$105)&gt;0,$E$1=2),0,1),0)</f>
        <v>1</v>
      </c>
      <c r="AT148" s="67">
        <f ca="1">IF(LOWER(Capacity!$V53)="x",IF(AND(SUMIF(Capacity_Resource,$D148,'Critical resources (hide)'!BG$6:BG$105)+SUMIF(Capacity_Resource,$E148,'Critical resources (hide)'!BG$6:BG$105)+SUMIF(Capacity_Resource,$F148,'Critical resources (hide)'!BG$6:BG$105)&gt;0,$E$1=2),0,1),0)</f>
        <v>1</v>
      </c>
      <c r="AU148" s="67">
        <f ca="1">IF(LOWER(Capacity!$V53)="x",IF(AND(SUMIF(Capacity_Resource,$D148,'Critical resources (hide)'!BH$6:BH$105)+SUMIF(Capacity_Resource,$E148,'Critical resources (hide)'!BH$6:BH$105)+SUMIF(Capacity_Resource,$F148,'Critical resources (hide)'!BH$6:BH$105)&gt;0,$E$1=2),0,1),0)</f>
        <v>1</v>
      </c>
      <c r="AV148" s="67">
        <f ca="1">IF(LOWER(Capacity!$V53)="x",IF(AND(SUMIF(Capacity_Resource,$D148,'Critical resources (hide)'!BI$6:BI$105)+SUMIF(Capacity_Resource,$E148,'Critical resources (hide)'!BI$6:BI$105)+SUMIF(Capacity_Resource,$F148,'Critical resources (hide)'!BI$6:BI$105)&gt;0,$E$1=2),0,1),0)</f>
        <v>1</v>
      </c>
      <c r="AW148" s="67">
        <f ca="1">IF(LOWER(Capacity!$V53)="x",IF(AND(SUMIF(Capacity_Resource,$D148,'Critical resources (hide)'!BJ$6:BJ$105)+SUMIF(Capacity_Resource,$E148,'Critical resources (hide)'!BJ$6:BJ$105)+SUMIF(Capacity_Resource,$F148,'Critical resources (hide)'!BJ$6:BJ$105)&gt;0,$E$1=2),0,1),0)</f>
        <v>1</v>
      </c>
      <c r="AX148" s="67">
        <f ca="1">IF(LOWER(Capacity!$V53)="x",IF(AND(SUMIF(Capacity_Resource,$D148,'Critical resources (hide)'!BK$6:BK$105)+SUMIF(Capacity_Resource,$E148,'Critical resources (hide)'!BK$6:BK$105)+SUMIF(Capacity_Resource,$F148,'Critical resources (hide)'!BK$6:BK$105)&gt;0,$E$1=2),0,1),0)</f>
        <v>1</v>
      </c>
      <c r="AY148" s="67">
        <f ca="1">IF(LOWER(Capacity!$V53)="x",IF(AND(SUMIF(Capacity_Resource,$D148,'Critical resources (hide)'!BL$6:BL$105)+SUMIF(Capacity_Resource,$E148,'Critical resources (hide)'!BL$6:BL$105)+SUMIF(Capacity_Resource,$F148,'Critical resources (hide)'!BL$6:BL$105)&gt;0,$E$1=2),0,1),0)</f>
        <v>1</v>
      </c>
      <c r="AZ148" s="67">
        <f ca="1">IF(LOWER(Capacity!$V53)="x",IF(AND(SUMIF(Capacity_Resource,$D148,'Critical resources (hide)'!BM$6:BM$105)+SUMIF(Capacity_Resource,$E148,'Critical resources (hide)'!BM$6:BM$105)+SUMIF(Capacity_Resource,$F148,'Critical resources (hide)'!BM$6:BM$105)&gt;0,$E$1=2),0,1),0)</f>
        <v>1</v>
      </c>
      <c r="BA148" s="67">
        <f ca="1">IF(LOWER(Capacity!$V53)="x",IF(AND(SUMIF(Capacity_Resource,$D148,'Critical resources (hide)'!BN$6:BN$105)+SUMIF(Capacity_Resource,$E148,'Critical resources (hide)'!BN$6:BN$105)+SUMIF(Capacity_Resource,$F148,'Critical resources (hide)'!BN$6:BN$105)&gt;0,$E$1=2),0,1),0)</f>
        <v>1</v>
      </c>
      <c r="BB148" s="67">
        <f ca="1">IF(LOWER(Capacity!$V53)="x",IF(AND(SUMIF(Capacity_Resource,$D148,'Critical resources (hide)'!BO$6:BO$105)+SUMIF(Capacity_Resource,$E148,'Critical resources (hide)'!BO$6:BO$105)+SUMIF(Capacity_Resource,$F148,'Critical resources (hide)'!BO$6:BO$105)&gt;0,$E$1=2),0,1),0)</f>
        <v>1</v>
      </c>
      <c r="BC148" s="67">
        <f ca="1">IF(LOWER(Capacity!$V53)="x",IF(AND(SUMIF(Capacity_Resource,$D148,'Critical resources (hide)'!BP$6:BP$105)+SUMIF(Capacity_Resource,$E148,'Critical resources (hide)'!BP$6:BP$105)+SUMIF(Capacity_Resource,$F148,'Critical resources (hide)'!BP$6:BP$105)&gt;0,$E$1=2),0,1),0)</f>
        <v>1</v>
      </c>
      <c r="BD148" s="67">
        <f ca="1">IF(LOWER(Capacity!$V53)="x",IF(AND(SUMIF(Capacity_Resource,$D148,'Critical resources (hide)'!BQ$6:BQ$105)+SUMIF(Capacity_Resource,$E148,'Critical resources (hide)'!BQ$6:BQ$105)+SUMIF(Capacity_Resource,$F148,'Critical resources (hide)'!BQ$6:BQ$105)&gt;0,$E$1=2),0,1),0)</f>
        <v>1</v>
      </c>
      <c r="BE148" s="67">
        <f ca="1">IF(LOWER(Capacity!$V53)="x",IF(AND(SUMIF(Capacity_Resource,$D148,'Critical resources (hide)'!BR$6:BR$105)+SUMIF(Capacity_Resource,$E148,'Critical resources (hide)'!BR$6:BR$105)+SUMIF(Capacity_Resource,$F148,'Critical resources (hide)'!BR$6:BR$105)&gt;0,$E$1=2),0,1),0)</f>
        <v>1</v>
      </c>
      <c r="BF148" s="67">
        <f ca="1">IF(LOWER(Capacity!$V53)="x",IF(AND(SUMIF(Capacity_Resource,$D148,'Critical resources (hide)'!BS$6:BS$105)+SUMIF(Capacity_Resource,$E148,'Critical resources (hide)'!BS$6:BS$105)+SUMIF(Capacity_Resource,$F148,'Critical resources (hide)'!BS$6:BS$105)&gt;0,$E$1=2),0,1),0)</f>
        <v>1</v>
      </c>
      <c r="BG148" s="67">
        <f ca="1">IF(LOWER(Capacity!$V53)="x",IF(AND(SUMIF(Capacity_Resource,$D148,'Critical resources (hide)'!BT$6:BT$105)+SUMIF(Capacity_Resource,$E148,'Critical resources (hide)'!BT$6:BT$105)+SUMIF(Capacity_Resource,$F148,'Critical resources (hide)'!BT$6:BT$105)&gt;0,$E$1=2),0,1),0)</f>
        <v>1</v>
      </c>
      <c r="BH148" s="67">
        <f>IF(ROW(A37)&lt;=Capacity!$M$16,IF('Capacity summary'!$C$14="No",SUM(H148:BG148),'Capacity summary'!$E60),0)</f>
        <v>0</v>
      </c>
      <c r="BI148" s="67" t="str">
        <f>IF(BH148&gt;0,IF(BH148&lt;Capacity!Q53,Capacity!R53,Capacity!T53/'Capacity calculation (hide)'!BH148),"")</f>
        <v/>
      </c>
      <c r="BJ148" s="5"/>
      <c r="BK148" s="5">
        <f>IF($BI148&lt;&gt;"",IF('Capacity summary'!$C$14="Yes",IF(COUNTBLANK('Capacity summary'!$H60:$BG60)&lt;52,IF('Capacity summary'!H60&lt;&gt;"",IF(LOWER('Capacity summary'!H60)="x",$BI148*H148,VALUE('Capacity summary'!H60)),0),H148*$BI148),H148*$BI148),0)</f>
        <v>0</v>
      </c>
      <c r="BL148" s="5">
        <f>IF($BI148&lt;&gt;"",IF('Capacity summary'!$C$14="Yes",IF(COUNTBLANK('Capacity summary'!$H60:$BG60)&lt;52,IF('Capacity summary'!I60&lt;&gt;"",IF(LOWER('Capacity summary'!I60)="x",$BI148*I148,VALUE('Capacity summary'!I60)),0),I148*$BI148),I148*$BI148),0)</f>
        <v>0</v>
      </c>
      <c r="BM148" s="5">
        <f>IF($BI148&lt;&gt;"",IF('Capacity summary'!$C$14="Yes",IF(COUNTBLANK('Capacity summary'!$H60:$BG60)&lt;52,IF('Capacity summary'!J60&lt;&gt;"",IF(LOWER('Capacity summary'!J60)="x",$BI148*J148,VALUE('Capacity summary'!J60)),0),J148*$BI148),J148*$BI148),0)</f>
        <v>0</v>
      </c>
      <c r="BN148" s="5">
        <f>IF($BI148&lt;&gt;"",IF('Capacity summary'!$C$14="Yes",IF(COUNTBLANK('Capacity summary'!$H60:$BG60)&lt;52,IF('Capacity summary'!K60&lt;&gt;"",IF(LOWER('Capacity summary'!K60)="x",$BI148*K148,VALUE('Capacity summary'!K60)),0),K148*$BI148),K148*$BI148),0)</f>
        <v>0</v>
      </c>
      <c r="BO148" s="5">
        <f>IF($BI148&lt;&gt;"",IF('Capacity summary'!$C$14="Yes",IF(COUNTBLANK('Capacity summary'!$H60:$BG60)&lt;52,IF('Capacity summary'!L60&lt;&gt;"",IF(LOWER('Capacity summary'!L60)="x",$BI148*L148,VALUE('Capacity summary'!L60)),0),L148*$BI148),L148*$BI148),0)</f>
        <v>0</v>
      </c>
      <c r="BP148" s="5">
        <f>IF($BI148&lt;&gt;"",IF('Capacity summary'!$C$14="Yes",IF(COUNTBLANK('Capacity summary'!$H60:$BG60)&lt;52,IF('Capacity summary'!M60&lt;&gt;"",IF(LOWER('Capacity summary'!M60)="x",$BI148*M148,VALUE('Capacity summary'!M60)),0),M148*$BI148),M148*$BI148),0)</f>
        <v>0</v>
      </c>
      <c r="BQ148" s="5">
        <f>IF($BI148&lt;&gt;"",IF('Capacity summary'!$C$14="Yes",IF(COUNTBLANK('Capacity summary'!$H60:$BG60)&lt;52,IF('Capacity summary'!N60&lt;&gt;"",IF(LOWER('Capacity summary'!N60)="x",$BI148*N148,VALUE('Capacity summary'!N60)),0),N148*$BI148),N148*$BI148),0)</f>
        <v>0</v>
      </c>
      <c r="BR148" s="5">
        <f>IF($BI148&lt;&gt;"",IF('Capacity summary'!$C$14="Yes",IF(COUNTBLANK('Capacity summary'!$H60:$BG60)&lt;52,IF('Capacity summary'!O60&lt;&gt;"",IF(LOWER('Capacity summary'!O60)="x",$BI148*O148,VALUE('Capacity summary'!O60)),0),O148*$BI148),O148*$BI148),0)</f>
        <v>0</v>
      </c>
      <c r="BS148" s="5">
        <f>IF($BI148&lt;&gt;"",IF('Capacity summary'!$C$14="Yes",IF(COUNTBLANK('Capacity summary'!$H60:$BG60)&lt;52,IF('Capacity summary'!P60&lt;&gt;"",IF(LOWER('Capacity summary'!P60)="x",$BI148*P148,VALUE('Capacity summary'!P60)),0),P148*$BI148),P148*$BI148),0)</f>
        <v>0</v>
      </c>
      <c r="BT148" s="5">
        <f>IF($BI148&lt;&gt;"",IF('Capacity summary'!$C$14="Yes",IF(COUNTBLANK('Capacity summary'!$H60:$BG60)&lt;52,IF('Capacity summary'!Q60&lt;&gt;"",IF(LOWER('Capacity summary'!Q60)="x",$BI148*Q148,VALUE('Capacity summary'!Q60)),0),Q148*$BI148),Q148*$BI148),0)</f>
        <v>0</v>
      </c>
      <c r="BU148" s="5">
        <f>IF($BI148&lt;&gt;"",IF('Capacity summary'!$C$14="Yes",IF(COUNTBLANK('Capacity summary'!$H60:$BG60)&lt;52,IF('Capacity summary'!R60&lt;&gt;"",IF(LOWER('Capacity summary'!R60)="x",$BI148*R148,VALUE('Capacity summary'!R60)),0),R148*$BI148),R148*$BI148),0)</f>
        <v>0</v>
      </c>
      <c r="BV148" s="5">
        <f>IF($BI148&lt;&gt;"",IF('Capacity summary'!$C$14="Yes",IF(COUNTBLANK('Capacity summary'!$H60:$BG60)&lt;52,IF('Capacity summary'!S60&lt;&gt;"",IF(LOWER('Capacity summary'!S60)="x",$BI148*S148,VALUE('Capacity summary'!S60)),0),S148*$BI148),S148*$BI148),0)</f>
        <v>0</v>
      </c>
      <c r="BW148" s="5">
        <f>IF($BI148&lt;&gt;"",IF('Capacity summary'!$C$14="Yes",IF(COUNTBLANK('Capacity summary'!$H60:$BG60)&lt;52,IF('Capacity summary'!T60&lt;&gt;"",IF(LOWER('Capacity summary'!T60)="x",$BI148*T148,VALUE('Capacity summary'!T60)),0),T148*$BI148),T148*$BI148),0)</f>
        <v>0</v>
      </c>
      <c r="BX148" s="5">
        <f>IF($BI148&lt;&gt;"",IF('Capacity summary'!$C$14="Yes",IF(COUNTBLANK('Capacity summary'!$H60:$BG60)&lt;52,IF('Capacity summary'!U60&lt;&gt;"",IF(LOWER('Capacity summary'!U60)="x",$BI148*U148,VALUE('Capacity summary'!U60)),0),U148*$BI148),U148*$BI148),0)</f>
        <v>0</v>
      </c>
      <c r="BY148" s="5">
        <f>IF($BI148&lt;&gt;"",IF('Capacity summary'!$C$14="Yes",IF(COUNTBLANK('Capacity summary'!$H60:$BG60)&lt;52,IF('Capacity summary'!V60&lt;&gt;"",IF(LOWER('Capacity summary'!V60)="x",$BI148*V148,VALUE('Capacity summary'!V60)),0),V148*$BI148),V148*$BI148),0)</f>
        <v>0</v>
      </c>
      <c r="BZ148" s="5">
        <f>IF($BI148&lt;&gt;"",IF('Capacity summary'!$C$14="Yes",IF(COUNTBLANK('Capacity summary'!$H60:$BG60)&lt;52,IF('Capacity summary'!W60&lt;&gt;"",IF(LOWER('Capacity summary'!W60)="x",$BI148*W148,VALUE('Capacity summary'!W60)),0),W148*$BI148),W148*$BI148),0)</f>
        <v>0</v>
      </c>
      <c r="CA148" s="5">
        <f>IF($BI148&lt;&gt;"",IF('Capacity summary'!$C$14="Yes",IF(COUNTBLANK('Capacity summary'!$H60:$BG60)&lt;52,IF('Capacity summary'!X60&lt;&gt;"",IF(LOWER('Capacity summary'!X60)="x",$BI148*X148,VALUE('Capacity summary'!X60)),0),X148*$BI148),X148*$BI148),0)</f>
        <v>0</v>
      </c>
      <c r="CB148" s="5">
        <f>IF($BI148&lt;&gt;"",IF('Capacity summary'!$C$14="Yes",IF(COUNTBLANK('Capacity summary'!$H60:$BG60)&lt;52,IF('Capacity summary'!Y60&lt;&gt;"",IF(LOWER('Capacity summary'!Y60)="x",$BI148*Y148,VALUE('Capacity summary'!Y60)),0),Y148*$BI148),Y148*$BI148),0)</f>
        <v>0</v>
      </c>
      <c r="CC148" s="5">
        <f>IF($BI148&lt;&gt;"",IF('Capacity summary'!$C$14="Yes",IF(COUNTBLANK('Capacity summary'!$H60:$BG60)&lt;52,IF('Capacity summary'!Z60&lt;&gt;"",IF(LOWER('Capacity summary'!Z60)="x",$BI148*Z148,VALUE('Capacity summary'!Z60)),0),Z148*$BI148),Z148*$BI148),0)</f>
        <v>0</v>
      </c>
      <c r="CD148" s="5">
        <f>IF($BI148&lt;&gt;"",IF('Capacity summary'!$C$14="Yes",IF(COUNTBLANK('Capacity summary'!$H60:$BG60)&lt;52,IF('Capacity summary'!AA60&lt;&gt;"",IF(LOWER('Capacity summary'!AA60)="x",$BI148*AA148,VALUE('Capacity summary'!AA60)),0),AA148*$BI148),AA148*$BI148),0)</f>
        <v>0</v>
      </c>
      <c r="CE148" s="5">
        <f>IF($BI148&lt;&gt;"",IF('Capacity summary'!$C$14="Yes",IF(COUNTBLANK('Capacity summary'!$H60:$BG60)&lt;52,IF('Capacity summary'!AB60&lt;&gt;"",IF(LOWER('Capacity summary'!AB60)="x",$BI148*AB148,VALUE('Capacity summary'!AB60)),0),AB148*$BI148),AB148*$BI148),0)</f>
        <v>0</v>
      </c>
      <c r="CF148" s="5">
        <f>IF($BI148&lt;&gt;"",IF('Capacity summary'!$C$14="Yes",IF(COUNTBLANK('Capacity summary'!$H60:$BG60)&lt;52,IF('Capacity summary'!AC60&lt;&gt;"",IF(LOWER('Capacity summary'!AC60)="x",$BI148*AC148,VALUE('Capacity summary'!AC60)),0),AC148*$BI148),AC148*$BI148),0)</f>
        <v>0</v>
      </c>
      <c r="CG148" s="5">
        <f>IF($BI148&lt;&gt;"",IF('Capacity summary'!$C$14="Yes",IF(COUNTBLANK('Capacity summary'!$H60:$BG60)&lt;52,IF('Capacity summary'!AD60&lt;&gt;"",IF(LOWER('Capacity summary'!AD60)="x",$BI148*AD148,VALUE('Capacity summary'!AD60)),0),AD148*$BI148),AD148*$BI148),0)</f>
        <v>0</v>
      </c>
      <c r="CH148" s="5">
        <f>IF($BI148&lt;&gt;"",IF('Capacity summary'!$C$14="Yes",IF(COUNTBLANK('Capacity summary'!$H60:$BG60)&lt;52,IF('Capacity summary'!AE60&lt;&gt;"",IF(LOWER('Capacity summary'!AE60)="x",$BI148*AE148,VALUE('Capacity summary'!AE60)),0),AE148*$BI148),AE148*$BI148),0)</f>
        <v>0</v>
      </c>
      <c r="CI148" s="5">
        <f>IF($BI148&lt;&gt;"",IF('Capacity summary'!$C$14="Yes",IF(COUNTBLANK('Capacity summary'!$H60:$BG60)&lt;52,IF('Capacity summary'!AF60&lt;&gt;"",IF(LOWER('Capacity summary'!AF60)="x",$BI148*AF148,VALUE('Capacity summary'!AF60)),0),AF148*$BI148),AF148*$BI148),0)</f>
        <v>0</v>
      </c>
      <c r="CJ148" s="5">
        <f>IF($BI148&lt;&gt;"",IF('Capacity summary'!$C$14="Yes",IF(COUNTBLANK('Capacity summary'!$H60:$BG60)&lt;52,IF('Capacity summary'!AG60&lt;&gt;"",IF(LOWER('Capacity summary'!AG60)="x",$BI148*AG148,VALUE('Capacity summary'!AG60)),0),AG148*$BI148),AG148*$BI148),0)</f>
        <v>0</v>
      </c>
      <c r="CK148" s="5">
        <f>IF($BI148&lt;&gt;"",IF('Capacity summary'!$C$14="Yes",IF(COUNTBLANK('Capacity summary'!$H60:$BG60)&lt;52,IF('Capacity summary'!AH60&lt;&gt;"",IF(LOWER('Capacity summary'!AH60)="x",$BI148*AH148,VALUE('Capacity summary'!AH60)),0),AH148*$BI148),AH148*$BI148),0)</f>
        <v>0</v>
      </c>
      <c r="CL148" s="5">
        <f>IF($BI148&lt;&gt;"",IF('Capacity summary'!$C$14="Yes",IF(COUNTBLANK('Capacity summary'!$H60:$BG60)&lt;52,IF('Capacity summary'!AI60&lt;&gt;"",IF(LOWER('Capacity summary'!AI60)="x",$BI148*AI148,VALUE('Capacity summary'!AI60)),0),AI148*$BI148),AI148*$BI148),0)</f>
        <v>0</v>
      </c>
      <c r="CM148" s="5">
        <f>IF($BI148&lt;&gt;"",IF('Capacity summary'!$C$14="Yes",IF(COUNTBLANK('Capacity summary'!$H60:$BG60)&lt;52,IF('Capacity summary'!AJ60&lt;&gt;"",IF(LOWER('Capacity summary'!AJ60)="x",$BI148*AJ148,VALUE('Capacity summary'!AJ60)),0),AJ148*$BI148),AJ148*$BI148),0)</f>
        <v>0</v>
      </c>
      <c r="CN148" s="5">
        <f>IF($BI148&lt;&gt;"",IF('Capacity summary'!$C$14="Yes",IF(COUNTBLANK('Capacity summary'!$H60:$BG60)&lt;52,IF('Capacity summary'!AK60&lt;&gt;"",IF(LOWER('Capacity summary'!AK60)="x",$BI148*AK148,VALUE('Capacity summary'!AK60)),0),AK148*$BI148),AK148*$BI148),0)</f>
        <v>0</v>
      </c>
      <c r="CO148" s="5">
        <f>IF($BI148&lt;&gt;"",IF('Capacity summary'!$C$14="Yes",IF(COUNTBLANK('Capacity summary'!$H60:$BG60)&lt;52,IF('Capacity summary'!AL60&lt;&gt;"",IF(LOWER('Capacity summary'!AL60)="x",$BI148*AL148,VALUE('Capacity summary'!AL60)),0),AL148*$BI148),AL148*$BI148),0)</f>
        <v>0</v>
      </c>
      <c r="CP148" s="5">
        <f>IF($BI148&lt;&gt;"",IF('Capacity summary'!$C$14="Yes",IF(COUNTBLANK('Capacity summary'!$H60:$BG60)&lt;52,IF('Capacity summary'!AM60&lt;&gt;"",IF(LOWER('Capacity summary'!AM60)="x",$BI148*AM148,VALUE('Capacity summary'!AM60)),0),AM148*$BI148),AM148*$BI148),0)</f>
        <v>0</v>
      </c>
      <c r="CQ148" s="5">
        <f>IF($BI148&lt;&gt;"",IF('Capacity summary'!$C$14="Yes",IF(COUNTBLANK('Capacity summary'!$H60:$BG60)&lt;52,IF('Capacity summary'!AN60&lt;&gt;"",IF(LOWER('Capacity summary'!AN60)="x",$BI148*AN148,VALUE('Capacity summary'!AN60)),0),AN148*$BI148),AN148*$BI148),0)</f>
        <v>0</v>
      </c>
      <c r="CR148" s="5">
        <f>IF($BI148&lt;&gt;"",IF('Capacity summary'!$C$14="Yes",IF(COUNTBLANK('Capacity summary'!$H60:$BG60)&lt;52,IF('Capacity summary'!AO60&lt;&gt;"",IF(LOWER('Capacity summary'!AO60)="x",$BI148*AO148,VALUE('Capacity summary'!AO60)),0),AO148*$BI148),AO148*$BI148),0)</f>
        <v>0</v>
      </c>
      <c r="CS148" s="5">
        <f>IF($BI148&lt;&gt;"",IF('Capacity summary'!$C$14="Yes",IF(COUNTBLANK('Capacity summary'!$H60:$BG60)&lt;52,IF('Capacity summary'!AP60&lt;&gt;"",IF(LOWER('Capacity summary'!AP60)="x",$BI148*AP148,VALUE('Capacity summary'!AP60)),0),AP148*$BI148),AP148*$BI148),0)</f>
        <v>0</v>
      </c>
      <c r="CT148" s="5">
        <f>IF($BI148&lt;&gt;"",IF('Capacity summary'!$C$14="Yes",IF(COUNTBLANK('Capacity summary'!$H60:$BG60)&lt;52,IF('Capacity summary'!AQ60&lt;&gt;"",IF(LOWER('Capacity summary'!AQ60)="x",$BI148*AQ148,VALUE('Capacity summary'!AQ60)),0),AQ148*$BI148),AQ148*$BI148),0)</f>
        <v>0</v>
      </c>
      <c r="CU148" s="5">
        <f>IF($BI148&lt;&gt;"",IF('Capacity summary'!$C$14="Yes",IF(COUNTBLANK('Capacity summary'!$H60:$BG60)&lt;52,IF('Capacity summary'!AR60&lt;&gt;"",IF(LOWER('Capacity summary'!AR60)="x",$BI148*AR148,VALUE('Capacity summary'!AR60)),0),AR148*$BI148),AR148*$BI148),0)</f>
        <v>0</v>
      </c>
      <c r="CV148" s="5">
        <f>IF($BI148&lt;&gt;"",IF('Capacity summary'!$C$14="Yes",IF(COUNTBLANK('Capacity summary'!$H60:$BG60)&lt;52,IF('Capacity summary'!AS60&lt;&gt;"",IF(LOWER('Capacity summary'!AS60)="x",$BI148*AS148,VALUE('Capacity summary'!AS60)),0),AS148*$BI148),AS148*$BI148),0)</f>
        <v>0</v>
      </c>
      <c r="CW148" s="5">
        <f>IF($BI148&lt;&gt;"",IF('Capacity summary'!$C$14="Yes",IF(COUNTBLANK('Capacity summary'!$H60:$BG60)&lt;52,IF('Capacity summary'!AT60&lt;&gt;"",IF(LOWER('Capacity summary'!AT60)="x",$BI148*AT148,VALUE('Capacity summary'!AT60)),0),AT148*$BI148),AT148*$BI148),0)</f>
        <v>0</v>
      </c>
      <c r="CX148" s="5">
        <f>IF($BI148&lt;&gt;"",IF('Capacity summary'!$C$14="Yes",IF(COUNTBLANK('Capacity summary'!$H60:$BG60)&lt;52,IF('Capacity summary'!AU60&lt;&gt;"",IF(LOWER('Capacity summary'!AU60)="x",$BI148*AU148,VALUE('Capacity summary'!AU60)),0),AU148*$BI148),AU148*$BI148),0)</f>
        <v>0</v>
      </c>
      <c r="CY148" s="5">
        <f>IF($BI148&lt;&gt;"",IF('Capacity summary'!$C$14="Yes",IF(COUNTBLANK('Capacity summary'!$H60:$BG60)&lt;52,IF('Capacity summary'!AV60&lt;&gt;"",IF(LOWER('Capacity summary'!AV60)="x",$BI148*AV148,VALUE('Capacity summary'!AV60)),0),AV148*$BI148),AV148*$BI148),0)</f>
        <v>0</v>
      </c>
      <c r="CZ148" s="5">
        <f>IF($BI148&lt;&gt;"",IF('Capacity summary'!$C$14="Yes",IF(COUNTBLANK('Capacity summary'!$H60:$BG60)&lt;52,IF('Capacity summary'!AW60&lt;&gt;"",IF(LOWER('Capacity summary'!AW60)="x",$BI148*AW148,VALUE('Capacity summary'!AW60)),0),AW148*$BI148),AW148*$BI148),0)</f>
        <v>0</v>
      </c>
      <c r="DA148" s="5">
        <f>IF($BI148&lt;&gt;"",IF('Capacity summary'!$C$14="Yes",IF(COUNTBLANK('Capacity summary'!$H60:$BG60)&lt;52,IF('Capacity summary'!AX60&lt;&gt;"",IF(LOWER('Capacity summary'!AX60)="x",$BI148*AX148,VALUE('Capacity summary'!AX60)),0),AX148*$BI148),AX148*$BI148),0)</f>
        <v>0</v>
      </c>
      <c r="DB148" s="5">
        <f>IF($BI148&lt;&gt;"",IF('Capacity summary'!$C$14="Yes",IF(COUNTBLANK('Capacity summary'!$H60:$BG60)&lt;52,IF('Capacity summary'!AY60&lt;&gt;"",IF(LOWER('Capacity summary'!AY60)="x",$BI148*AY148,VALUE('Capacity summary'!AY60)),0),AY148*$BI148),AY148*$BI148),0)</f>
        <v>0</v>
      </c>
      <c r="DC148" s="5">
        <f>IF($BI148&lt;&gt;"",IF('Capacity summary'!$C$14="Yes",IF(COUNTBLANK('Capacity summary'!$H60:$BG60)&lt;52,IF('Capacity summary'!AZ60&lt;&gt;"",IF(LOWER('Capacity summary'!AZ60)="x",$BI148*AZ148,VALUE('Capacity summary'!AZ60)),0),AZ148*$BI148),AZ148*$BI148),0)</f>
        <v>0</v>
      </c>
      <c r="DD148" s="5">
        <f>IF($BI148&lt;&gt;"",IF('Capacity summary'!$C$14="Yes",IF(COUNTBLANK('Capacity summary'!$H60:$BG60)&lt;52,IF('Capacity summary'!BA60&lt;&gt;"",IF(LOWER('Capacity summary'!BA60)="x",$BI148*BA148,VALUE('Capacity summary'!BA60)),0),BA148*$BI148),BA148*$BI148),0)</f>
        <v>0</v>
      </c>
      <c r="DE148" s="5">
        <f>IF($BI148&lt;&gt;"",IF('Capacity summary'!$C$14="Yes",IF(COUNTBLANK('Capacity summary'!$H60:$BG60)&lt;52,IF('Capacity summary'!BB60&lt;&gt;"",IF(LOWER('Capacity summary'!BB60)="x",$BI148*BB148,VALUE('Capacity summary'!BB60)),0),BB148*$BI148),BB148*$BI148),0)</f>
        <v>0</v>
      </c>
      <c r="DF148" s="5">
        <f>IF($BI148&lt;&gt;"",IF('Capacity summary'!$C$14="Yes",IF(COUNTBLANK('Capacity summary'!$H60:$BG60)&lt;52,IF('Capacity summary'!BC60&lt;&gt;"",IF(LOWER('Capacity summary'!BC60)="x",$BI148*BC148,VALUE('Capacity summary'!BC60)),0),BC148*$BI148),BC148*$BI148),0)</f>
        <v>0</v>
      </c>
      <c r="DG148" s="5">
        <f>IF($BI148&lt;&gt;"",IF('Capacity summary'!$C$14="Yes",IF(COUNTBLANK('Capacity summary'!$H60:$BG60)&lt;52,IF('Capacity summary'!BD60&lt;&gt;"",IF(LOWER('Capacity summary'!BD60)="x",$BI148*BD148,VALUE('Capacity summary'!BD60)),0),BD148*$BI148),BD148*$BI148),0)</f>
        <v>0</v>
      </c>
      <c r="DH148" s="5">
        <f>IF($BI148&lt;&gt;"",IF('Capacity summary'!$C$14="Yes",IF(COUNTBLANK('Capacity summary'!$H60:$BG60)&lt;52,IF('Capacity summary'!BE60&lt;&gt;"",IF(LOWER('Capacity summary'!BE60)="x",$BI148*BE148,VALUE('Capacity summary'!BE60)),0),BE148*$BI148),BE148*$BI148),0)</f>
        <v>0</v>
      </c>
      <c r="DI148" s="5">
        <f>IF($BI148&lt;&gt;"",IF('Capacity summary'!$C$14="Yes",IF(COUNTBLANK('Capacity summary'!$H60:$BG60)&lt;52,IF('Capacity summary'!BF60&lt;&gt;"",IF(LOWER('Capacity summary'!BF60)="x",$BI148*BF148,VALUE('Capacity summary'!BF60)),0),BF148*$BI148),BF148*$BI148),0)</f>
        <v>0</v>
      </c>
      <c r="DJ148" s="5">
        <f>IF($BI148&lt;&gt;"",IF('Capacity summary'!$C$14="Yes",IF(COUNTBLANK('Capacity summary'!$H60:$BG60)&lt;52,IF('Capacity summary'!BG60&lt;&gt;"",IF(LOWER('Capacity summary'!BG60)="x",$BI148*BG148,VALUE('Capacity summary'!BG60)),0),BG148*$BI148),BG148*$BI148),0)</f>
        <v>0</v>
      </c>
      <c r="DK148" s="391">
        <f t="shared" si="8"/>
        <v>0</v>
      </c>
      <c r="DL148" s="5">
        <f t="shared" si="9"/>
        <v>0</v>
      </c>
    </row>
    <row r="149" spans="3:116" x14ac:dyDescent="0.2">
      <c r="C149" s="67" t="str">
        <f>ROW(A38)&amp;". "&amp;Capacity!N54</f>
        <v xml:space="preserve">38. </v>
      </c>
      <c r="D149" s="67">
        <f>'Capacity setup'!C155</f>
        <v>0</v>
      </c>
      <c r="E149" s="67">
        <f>'Capacity setup'!D155</f>
        <v>0</v>
      </c>
      <c r="F149" s="67">
        <f>'Capacity setup'!E155</f>
        <v>0</v>
      </c>
      <c r="H149" s="67">
        <f ca="1">IF(LOWER(Capacity!$V54)="x",IF(AND(SUMIF(Capacity_Resource,$D149,'Critical resources (hide)'!U$6:U$105)+SUMIF(Capacity_Resource,$E149,'Critical resources (hide)'!U$6:U$105)+SUMIF(Capacity_Resource,$F149,'Critical resources (hide)'!U$6:U$105)&gt;0,$E$1=2),0,1),0)</f>
        <v>1</v>
      </c>
      <c r="I149" s="67">
        <f ca="1">IF(LOWER(Capacity!$V54)="x",IF(AND(SUMIF(Capacity_Resource,$D149,'Critical resources (hide)'!V$6:V$105)+SUMIF(Capacity_Resource,$E149,'Critical resources (hide)'!V$6:V$105)+SUMIF(Capacity_Resource,$F149,'Critical resources (hide)'!V$6:V$105)&gt;0,$E$1=2),0,1),0)</f>
        <v>1</v>
      </c>
      <c r="J149" s="67">
        <f ca="1">IF(LOWER(Capacity!$V54)="x",IF(AND(SUMIF(Capacity_Resource,$D149,'Critical resources (hide)'!W$6:W$105)+SUMIF(Capacity_Resource,$E149,'Critical resources (hide)'!W$6:W$105)+SUMIF(Capacity_Resource,$F149,'Critical resources (hide)'!W$6:W$105)&gt;0,$E$1=2),0,1),0)</f>
        <v>1</v>
      </c>
      <c r="K149" s="67">
        <f ca="1">IF(LOWER(Capacity!$V54)="x",IF(AND(SUMIF(Capacity_Resource,$D149,'Critical resources (hide)'!X$6:X$105)+SUMIF(Capacity_Resource,$E149,'Critical resources (hide)'!X$6:X$105)+SUMIF(Capacity_Resource,$F149,'Critical resources (hide)'!X$6:X$105)&gt;0,$E$1=2),0,1),0)</f>
        <v>1</v>
      </c>
      <c r="L149" s="67">
        <f ca="1">IF(LOWER(Capacity!$V54)="x",IF(AND(SUMIF(Capacity_Resource,$D149,'Critical resources (hide)'!Y$6:Y$105)+SUMIF(Capacity_Resource,$E149,'Critical resources (hide)'!Y$6:Y$105)+SUMIF(Capacity_Resource,$F149,'Critical resources (hide)'!Y$6:Y$105)&gt;0,$E$1=2),0,1),0)</f>
        <v>1</v>
      </c>
      <c r="M149" s="67">
        <f ca="1">IF(LOWER(Capacity!$V54)="x",IF(AND(SUMIF(Capacity_Resource,$D149,'Critical resources (hide)'!Z$6:Z$105)+SUMIF(Capacity_Resource,$E149,'Critical resources (hide)'!Z$6:Z$105)+SUMIF(Capacity_Resource,$F149,'Critical resources (hide)'!Z$6:Z$105)&gt;0,$E$1=2),0,1),0)</f>
        <v>1</v>
      </c>
      <c r="N149" s="67">
        <f ca="1">IF(LOWER(Capacity!$V54)="x",IF(AND(SUMIF(Capacity_Resource,$D149,'Critical resources (hide)'!AA$6:AA$105)+SUMIF(Capacity_Resource,$E149,'Critical resources (hide)'!AA$6:AA$105)+SUMIF(Capacity_Resource,$F149,'Critical resources (hide)'!AA$6:AA$105)&gt;0,$E$1=2),0,1),0)</f>
        <v>1</v>
      </c>
      <c r="O149" s="67">
        <f ca="1">IF(LOWER(Capacity!$V54)="x",IF(AND(SUMIF(Capacity_Resource,$D149,'Critical resources (hide)'!AB$6:AB$105)+SUMIF(Capacity_Resource,$E149,'Critical resources (hide)'!AB$6:AB$105)+SUMIF(Capacity_Resource,$F149,'Critical resources (hide)'!AB$6:AB$105)&gt;0,$E$1=2),0,1),0)</f>
        <v>1</v>
      </c>
      <c r="P149" s="67">
        <f ca="1">IF(LOWER(Capacity!$V54)="x",IF(AND(SUMIF(Capacity_Resource,$D149,'Critical resources (hide)'!AC$6:AC$105)+SUMIF(Capacity_Resource,$E149,'Critical resources (hide)'!AC$6:AC$105)+SUMIF(Capacity_Resource,$F149,'Critical resources (hide)'!AC$6:AC$105)&gt;0,$E$1=2),0,1),0)</f>
        <v>1</v>
      </c>
      <c r="Q149" s="67">
        <f ca="1">IF(LOWER(Capacity!$V54)="x",IF(AND(SUMIF(Capacity_Resource,$D149,'Critical resources (hide)'!AD$6:AD$105)+SUMIF(Capacity_Resource,$E149,'Critical resources (hide)'!AD$6:AD$105)+SUMIF(Capacity_Resource,$F149,'Critical resources (hide)'!AD$6:AD$105)&gt;0,$E$1=2),0,1),0)</f>
        <v>1</v>
      </c>
      <c r="R149" s="67">
        <f ca="1">IF(LOWER(Capacity!$V54)="x",IF(AND(SUMIF(Capacity_Resource,$D149,'Critical resources (hide)'!AE$6:AE$105)+SUMIF(Capacity_Resource,$E149,'Critical resources (hide)'!AE$6:AE$105)+SUMIF(Capacity_Resource,$F149,'Critical resources (hide)'!AE$6:AE$105)&gt;0,$E$1=2),0,1),0)</f>
        <v>1</v>
      </c>
      <c r="S149" s="67">
        <f ca="1">IF(LOWER(Capacity!$V54)="x",IF(AND(SUMIF(Capacity_Resource,$D149,'Critical resources (hide)'!AF$6:AF$105)+SUMIF(Capacity_Resource,$E149,'Critical resources (hide)'!AF$6:AF$105)+SUMIF(Capacity_Resource,$F149,'Critical resources (hide)'!AF$6:AF$105)&gt;0,$E$1=2),0,1),0)</f>
        <v>1</v>
      </c>
      <c r="T149" s="67">
        <f ca="1">IF(LOWER(Capacity!$V54)="x",IF(AND(SUMIF(Capacity_Resource,$D149,'Critical resources (hide)'!AG$6:AG$105)+SUMIF(Capacity_Resource,$E149,'Critical resources (hide)'!AG$6:AG$105)+SUMIF(Capacity_Resource,$F149,'Critical resources (hide)'!AG$6:AG$105)&gt;0,$E$1=2),0,1),0)</f>
        <v>1</v>
      </c>
      <c r="U149" s="67">
        <f ca="1">IF(LOWER(Capacity!$V54)="x",IF(AND(SUMIF(Capacity_Resource,$D149,'Critical resources (hide)'!AH$6:AH$105)+SUMIF(Capacity_Resource,$E149,'Critical resources (hide)'!AH$6:AH$105)+SUMIF(Capacity_Resource,$F149,'Critical resources (hide)'!AH$6:AH$105)&gt;0,$E$1=2),0,1),0)</f>
        <v>1</v>
      </c>
      <c r="V149" s="67">
        <f ca="1">IF(LOWER(Capacity!$V54)="x",IF(AND(SUMIF(Capacity_Resource,$D149,'Critical resources (hide)'!AI$6:AI$105)+SUMIF(Capacity_Resource,$E149,'Critical resources (hide)'!AI$6:AI$105)+SUMIF(Capacity_Resource,$F149,'Critical resources (hide)'!AI$6:AI$105)&gt;0,$E$1=2),0,1),0)</f>
        <v>1</v>
      </c>
      <c r="W149" s="67">
        <f ca="1">IF(LOWER(Capacity!$V54)="x",IF(AND(SUMIF(Capacity_Resource,$D149,'Critical resources (hide)'!AJ$6:AJ$105)+SUMIF(Capacity_Resource,$E149,'Critical resources (hide)'!AJ$6:AJ$105)+SUMIF(Capacity_Resource,$F149,'Critical resources (hide)'!AJ$6:AJ$105)&gt;0,$E$1=2),0,1),0)</f>
        <v>1</v>
      </c>
      <c r="X149" s="67">
        <f ca="1">IF(LOWER(Capacity!$V54)="x",IF(AND(SUMIF(Capacity_Resource,$D149,'Critical resources (hide)'!AK$6:AK$105)+SUMIF(Capacity_Resource,$E149,'Critical resources (hide)'!AK$6:AK$105)+SUMIF(Capacity_Resource,$F149,'Critical resources (hide)'!AK$6:AK$105)&gt;0,$E$1=2),0,1),0)</f>
        <v>1</v>
      </c>
      <c r="Y149" s="67">
        <f ca="1">IF(LOWER(Capacity!$V54)="x",IF(AND(SUMIF(Capacity_Resource,$D149,'Critical resources (hide)'!AL$6:AL$105)+SUMIF(Capacity_Resource,$E149,'Critical resources (hide)'!AL$6:AL$105)+SUMIF(Capacity_Resource,$F149,'Critical resources (hide)'!AL$6:AL$105)&gt;0,$E$1=2),0,1),0)</f>
        <v>1</v>
      </c>
      <c r="Z149" s="67">
        <f ca="1">IF(LOWER(Capacity!$V54)="x",IF(AND(SUMIF(Capacity_Resource,$D149,'Critical resources (hide)'!AM$6:AM$105)+SUMIF(Capacity_Resource,$E149,'Critical resources (hide)'!AM$6:AM$105)+SUMIF(Capacity_Resource,$F149,'Critical resources (hide)'!AM$6:AM$105)&gt;0,$E$1=2),0,1),0)</f>
        <v>1</v>
      </c>
      <c r="AA149" s="67">
        <f ca="1">IF(LOWER(Capacity!$V54)="x",IF(AND(SUMIF(Capacity_Resource,$D149,'Critical resources (hide)'!AN$6:AN$105)+SUMIF(Capacity_Resource,$E149,'Critical resources (hide)'!AN$6:AN$105)+SUMIF(Capacity_Resource,$F149,'Critical resources (hide)'!AN$6:AN$105)&gt;0,$E$1=2),0,1),0)</f>
        <v>1</v>
      </c>
      <c r="AB149" s="67">
        <f ca="1">IF(LOWER(Capacity!$V54)="x",IF(AND(SUMIF(Capacity_Resource,$D149,'Critical resources (hide)'!AO$6:AO$105)+SUMIF(Capacity_Resource,$E149,'Critical resources (hide)'!AO$6:AO$105)+SUMIF(Capacity_Resource,$F149,'Critical resources (hide)'!AO$6:AO$105)&gt;0,$E$1=2),0,1),0)</f>
        <v>1</v>
      </c>
      <c r="AC149" s="67">
        <f ca="1">IF(LOWER(Capacity!$V54)="x",IF(AND(SUMIF(Capacity_Resource,$D149,'Critical resources (hide)'!AP$6:AP$105)+SUMIF(Capacity_Resource,$E149,'Critical resources (hide)'!AP$6:AP$105)+SUMIF(Capacity_Resource,$F149,'Critical resources (hide)'!AP$6:AP$105)&gt;0,$E$1=2),0,1),0)</f>
        <v>1</v>
      </c>
      <c r="AD149" s="67">
        <f ca="1">IF(LOWER(Capacity!$V54)="x",IF(AND(SUMIF(Capacity_Resource,$D149,'Critical resources (hide)'!AQ$6:AQ$105)+SUMIF(Capacity_Resource,$E149,'Critical resources (hide)'!AQ$6:AQ$105)+SUMIF(Capacity_Resource,$F149,'Critical resources (hide)'!AQ$6:AQ$105)&gt;0,$E$1=2),0,1),0)</f>
        <v>1</v>
      </c>
      <c r="AE149" s="67">
        <f ca="1">IF(LOWER(Capacity!$V54)="x",IF(AND(SUMIF(Capacity_Resource,$D149,'Critical resources (hide)'!AR$6:AR$105)+SUMIF(Capacity_Resource,$E149,'Critical resources (hide)'!AR$6:AR$105)+SUMIF(Capacity_Resource,$F149,'Critical resources (hide)'!AR$6:AR$105)&gt;0,$E$1=2),0,1),0)</f>
        <v>1</v>
      </c>
      <c r="AF149" s="67">
        <f ca="1">IF(LOWER(Capacity!$V54)="x",IF(AND(SUMIF(Capacity_Resource,$D149,'Critical resources (hide)'!AS$6:AS$105)+SUMIF(Capacity_Resource,$E149,'Critical resources (hide)'!AS$6:AS$105)+SUMIF(Capacity_Resource,$F149,'Critical resources (hide)'!AS$6:AS$105)&gt;0,$E$1=2),0,1),0)</f>
        <v>1</v>
      </c>
      <c r="AG149" s="67">
        <f ca="1">IF(LOWER(Capacity!$V54)="x",IF(AND(SUMIF(Capacity_Resource,$D149,'Critical resources (hide)'!AT$6:AT$105)+SUMIF(Capacity_Resource,$E149,'Critical resources (hide)'!AT$6:AT$105)+SUMIF(Capacity_Resource,$F149,'Critical resources (hide)'!AT$6:AT$105)&gt;0,$E$1=2),0,1),0)</f>
        <v>1</v>
      </c>
      <c r="AH149" s="67">
        <f ca="1">IF(LOWER(Capacity!$V54)="x",IF(AND(SUMIF(Capacity_Resource,$D149,'Critical resources (hide)'!AU$6:AU$105)+SUMIF(Capacity_Resource,$E149,'Critical resources (hide)'!AU$6:AU$105)+SUMIF(Capacity_Resource,$F149,'Critical resources (hide)'!AU$6:AU$105)&gt;0,$E$1=2),0,1),0)</f>
        <v>1</v>
      </c>
      <c r="AI149" s="67">
        <f ca="1">IF(LOWER(Capacity!$V54)="x",IF(AND(SUMIF(Capacity_Resource,$D149,'Critical resources (hide)'!AV$6:AV$105)+SUMIF(Capacity_Resource,$E149,'Critical resources (hide)'!AV$6:AV$105)+SUMIF(Capacity_Resource,$F149,'Critical resources (hide)'!AV$6:AV$105)&gt;0,$E$1=2),0,1),0)</f>
        <v>1</v>
      </c>
      <c r="AJ149" s="67">
        <f ca="1">IF(LOWER(Capacity!$V54)="x",IF(AND(SUMIF(Capacity_Resource,$D149,'Critical resources (hide)'!AW$6:AW$105)+SUMIF(Capacity_Resource,$E149,'Critical resources (hide)'!AW$6:AW$105)+SUMIF(Capacity_Resource,$F149,'Critical resources (hide)'!AW$6:AW$105)&gt;0,$E$1=2),0,1),0)</f>
        <v>1</v>
      </c>
      <c r="AK149" s="67">
        <f ca="1">IF(LOWER(Capacity!$V54)="x",IF(AND(SUMIF(Capacity_Resource,$D149,'Critical resources (hide)'!AX$6:AX$105)+SUMIF(Capacity_Resource,$E149,'Critical resources (hide)'!AX$6:AX$105)+SUMIF(Capacity_Resource,$F149,'Critical resources (hide)'!AX$6:AX$105)&gt;0,$E$1=2),0,1),0)</f>
        <v>1</v>
      </c>
      <c r="AL149" s="67">
        <f ca="1">IF(LOWER(Capacity!$V54)="x",IF(AND(SUMIF(Capacity_Resource,$D149,'Critical resources (hide)'!AY$6:AY$105)+SUMIF(Capacity_Resource,$E149,'Critical resources (hide)'!AY$6:AY$105)+SUMIF(Capacity_Resource,$F149,'Critical resources (hide)'!AY$6:AY$105)&gt;0,$E$1=2),0,1),0)</f>
        <v>1</v>
      </c>
      <c r="AM149" s="67">
        <f ca="1">IF(LOWER(Capacity!$V54)="x",IF(AND(SUMIF(Capacity_Resource,$D149,'Critical resources (hide)'!AZ$6:AZ$105)+SUMIF(Capacity_Resource,$E149,'Critical resources (hide)'!AZ$6:AZ$105)+SUMIF(Capacity_Resource,$F149,'Critical resources (hide)'!AZ$6:AZ$105)&gt;0,$E$1=2),0,1),0)</f>
        <v>1</v>
      </c>
      <c r="AN149" s="67">
        <f ca="1">IF(LOWER(Capacity!$V54)="x",IF(AND(SUMIF(Capacity_Resource,$D149,'Critical resources (hide)'!BA$6:BA$105)+SUMIF(Capacity_Resource,$E149,'Critical resources (hide)'!BA$6:BA$105)+SUMIF(Capacity_Resource,$F149,'Critical resources (hide)'!BA$6:BA$105)&gt;0,$E$1=2),0,1),0)</f>
        <v>1</v>
      </c>
      <c r="AO149" s="67">
        <f ca="1">IF(LOWER(Capacity!$V54)="x",IF(AND(SUMIF(Capacity_Resource,$D149,'Critical resources (hide)'!BB$6:BB$105)+SUMIF(Capacity_Resource,$E149,'Critical resources (hide)'!BB$6:BB$105)+SUMIF(Capacity_Resource,$F149,'Critical resources (hide)'!BB$6:BB$105)&gt;0,$E$1=2),0,1),0)</f>
        <v>1</v>
      </c>
      <c r="AP149" s="67">
        <f ca="1">IF(LOWER(Capacity!$V54)="x",IF(AND(SUMIF(Capacity_Resource,$D149,'Critical resources (hide)'!BC$6:BC$105)+SUMIF(Capacity_Resource,$E149,'Critical resources (hide)'!BC$6:BC$105)+SUMIF(Capacity_Resource,$F149,'Critical resources (hide)'!BC$6:BC$105)&gt;0,$E$1=2),0,1),0)</f>
        <v>1</v>
      </c>
      <c r="AQ149" s="67">
        <f ca="1">IF(LOWER(Capacity!$V54)="x",IF(AND(SUMIF(Capacity_Resource,$D149,'Critical resources (hide)'!BD$6:BD$105)+SUMIF(Capacity_Resource,$E149,'Critical resources (hide)'!BD$6:BD$105)+SUMIF(Capacity_Resource,$F149,'Critical resources (hide)'!BD$6:BD$105)&gt;0,$E$1=2),0,1),0)</f>
        <v>1</v>
      </c>
      <c r="AR149" s="67">
        <f ca="1">IF(LOWER(Capacity!$V54)="x",IF(AND(SUMIF(Capacity_Resource,$D149,'Critical resources (hide)'!BE$6:BE$105)+SUMIF(Capacity_Resource,$E149,'Critical resources (hide)'!BE$6:BE$105)+SUMIF(Capacity_Resource,$F149,'Critical resources (hide)'!BE$6:BE$105)&gt;0,$E$1=2),0,1),0)</f>
        <v>1</v>
      </c>
      <c r="AS149" s="67">
        <f ca="1">IF(LOWER(Capacity!$V54)="x",IF(AND(SUMIF(Capacity_Resource,$D149,'Critical resources (hide)'!BF$6:BF$105)+SUMIF(Capacity_Resource,$E149,'Critical resources (hide)'!BF$6:BF$105)+SUMIF(Capacity_Resource,$F149,'Critical resources (hide)'!BF$6:BF$105)&gt;0,$E$1=2),0,1),0)</f>
        <v>1</v>
      </c>
      <c r="AT149" s="67">
        <f ca="1">IF(LOWER(Capacity!$V54)="x",IF(AND(SUMIF(Capacity_Resource,$D149,'Critical resources (hide)'!BG$6:BG$105)+SUMIF(Capacity_Resource,$E149,'Critical resources (hide)'!BG$6:BG$105)+SUMIF(Capacity_Resource,$F149,'Critical resources (hide)'!BG$6:BG$105)&gt;0,$E$1=2),0,1),0)</f>
        <v>1</v>
      </c>
      <c r="AU149" s="67">
        <f ca="1">IF(LOWER(Capacity!$V54)="x",IF(AND(SUMIF(Capacity_Resource,$D149,'Critical resources (hide)'!BH$6:BH$105)+SUMIF(Capacity_Resource,$E149,'Critical resources (hide)'!BH$6:BH$105)+SUMIF(Capacity_Resource,$F149,'Critical resources (hide)'!BH$6:BH$105)&gt;0,$E$1=2),0,1),0)</f>
        <v>1</v>
      </c>
      <c r="AV149" s="67">
        <f ca="1">IF(LOWER(Capacity!$V54)="x",IF(AND(SUMIF(Capacity_Resource,$D149,'Critical resources (hide)'!BI$6:BI$105)+SUMIF(Capacity_Resource,$E149,'Critical resources (hide)'!BI$6:BI$105)+SUMIF(Capacity_Resource,$F149,'Critical resources (hide)'!BI$6:BI$105)&gt;0,$E$1=2),0,1),0)</f>
        <v>1</v>
      </c>
      <c r="AW149" s="67">
        <f ca="1">IF(LOWER(Capacity!$V54)="x",IF(AND(SUMIF(Capacity_Resource,$D149,'Critical resources (hide)'!BJ$6:BJ$105)+SUMIF(Capacity_Resource,$E149,'Critical resources (hide)'!BJ$6:BJ$105)+SUMIF(Capacity_Resource,$F149,'Critical resources (hide)'!BJ$6:BJ$105)&gt;0,$E$1=2),0,1),0)</f>
        <v>1</v>
      </c>
      <c r="AX149" s="67">
        <f ca="1">IF(LOWER(Capacity!$V54)="x",IF(AND(SUMIF(Capacity_Resource,$D149,'Critical resources (hide)'!BK$6:BK$105)+SUMIF(Capacity_Resource,$E149,'Critical resources (hide)'!BK$6:BK$105)+SUMIF(Capacity_Resource,$F149,'Critical resources (hide)'!BK$6:BK$105)&gt;0,$E$1=2),0,1),0)</f>
        <v>1</v>
      </c>
      <c r="AY149" s="67">
        <f ca="1">IF(LOWER(Capacity!$V54)="x",IF(AND(SUMIF(Capacity_Resource,$D149,'Critical resources (hide)'!BL$6:BL$105)+SUMIF(Capacity_Resource,$E149,'Critical resources (hide)'!BL$6:BL$105)+SUMIF(Capacity_Resource,$F149,'Critical resources (hide)'!BL$6:BL$105)&gt;0,$E$1=2),0,1),0)</f>
        <v>1</v>
      </c>
      <c r="AZ149" s="67">
        <f ca="1">IF(LOWER(Capacity!$V54)="x",IF(AND(SUMIF(Capacity_Resource,$D149,'Critical resources (hide)'!BM$6:BM$105)+SUMIF(Capacity_Resource,$E149,'Critical resources (hide)'!BM$6:BM$105)+SUMIF(Capacity_Resource,$F149,'Critical resources (hide)'!BM$6:BM$105)&gt;0,$E$1=2),0,1),0)</f>
        <v>1</v>
      </c>
      <c r="BA149" s="67">
        <f ca="1">IF(LOWER(Capacity!$V54)="x",IF(AND(SUMIF(Capacity_Resource,$D149,'Critical resources (hide)'!BN$6:BN$105)+SUMIF(Capacity_Resource,$E149,'Critical resources (hide)'!BN$6:BN$105)+SUMIF(Capacity_Resource,$F149,'Critical resources (hide)'!BN$6:BN$105)&gt;0,$E$1=2),0,1),0)</f>
        <v>1</v>
      </c>
      <c r="BB149" s="67">
        <f ca="1">IF(LOWER(Capacity!$V54)="x",IF(AND(SUMIF(Capacity_Resource,$D149,'Critical resources (hide)'!BO$6:BO$105)+SUMIF(Capacity_Resource,$E149,'Critical resources (hide)'!BO$6:BO$105)+SUMIF(Capacity_Resource,$F149,'Critical resources (hide)'!BO$6:BO$105)&gt;0,$E$1=2),0,1),0)</f>
        <v>1</v>
      </c>
      <c r="BC149" s="67">
        <f ca="1">IF(LOWER(Capacity!$V54)="x",IF(AND(SUMIF(Capacity_Resource,$D149,'Critical resources (hide)'!BP$6:BP$105)+SUMIF(Capacity_Resource,$E149,'Critical resources (hide)'!BP$6:BP$105)+SUMIF(Capacity_Resource,$F149,'Critical resources (hide)'!BP$6:BP$105)&gt;0,$E$1=2),0,1),0)</f>
        <v>1</v>
      </c>
      <c r="BD149" s="67">
        <f ca="1">IF(LOWER(Capacity!$V54)="x",IF(AND(SUMIF(Capacity_Resource,$D149,'Critical resources (hide)'!BQ$6:BQ$105)+SUMIF(Capacity_Resource,$E149,'Critical resources (hide)'!BQ$6:BQ$105)+SUMIF(Capacity_Resource,$F149,'Critical resources (hide)'!BQ$6:BQ$105)&gt;0,$E$1=2),0,1),0)</f>
        <v>1</v>
      </c>
      <c r="BE149" s="67">
        <f ca="1">IF(LOWER(Capacity!$V54)="x",IF(AND(SUMIF(Capacity_Resource,$D149,'Critical resources (hide)'!BR$6:BR$105)+SUMIF(Capacity_Resource,$E149,'Critical resources (hide)'!BR$6:BR$105)+SUMIF(Capacity_Resource,$F149,'Critical resources (hide)'!BR$6:BR$105)&gt;0,$E$1=2),0,1),0)</f>
        <v>1</v>
      </c>
      <c r="BF149" s="67">
        <f ca="1">IF(LOWER(Capacity!$V54)="x",IF(AND(SUMIF(Capacity_Resource,$D149,'Critical resources (hide)'!BS$6:BS$105)+SUMIF(Capacity_Resource,$E149,'Critical resources (hide)'!BS$6:BS$105)+SUMIF(Capacity_Resource,$F149,'Critical resources (hide)'!BS$6:BS$105)&gt;0,$E$1=2),0,1),0)</f>
        <v>1</v>
      </c>
      <c r="BG149" s="67">
        <f ca="1">IF(LOWER(Capacity!$V54)="x",IF(AND(SUMIF(Capacity_Resource,$D149,'Critical resources (hide)'!BT$6:BT$105)+SUMIF(Capacity_Resource,$E149,'Critical resources (hide)'!BT$6:BT$105)+SUMIF(Capacity_Resource,$F149,'Critical resources (hide)'!BT$6:BT$105)&gt;0,$E$1=2),0,1),0)</f>
        <v>1</v>
      </c>
      <c r="BH149" s="67">
        <f>IF(ROW(A38)&lt;=Capacity!$M$16,IF('Capacity summary'!$C$14="No",SUM(H149:BG149),'Capacity summary'!$E61),0)</f>
        <v>0</v>
      </c>
      <c r="BI149" s="67" t="str">
        <f>IF(BH149&gt;0,IF(BH149&lt;Capacity!Q54,Capacity!R54,Capacity!T54/'Capacity calculation (hide)'!BH149),"")</f>
        <v/>
      </c>
      <c r="BJ149" s="5"/>
      <c r="BK149" s="5">
        <f>IF($BI149&lt;&gt;"",IF('Capacity summary'!$C$14="Yes",IF(COUNTBLANK('Capacity summary'!$H61:$BG61)&lt;52,IF('Capacity summary'!H61&lt;&gt;"",IF(LOWER('Capacity summary'!H61)="x",$BI149*H149,VALUE('Capacity summary'!H61)),0),H149*$BI149),H149*$BI149),0)</f>
        <v>0</v>
      </c>
      <c r="BL149" s="5">
        <f>IF($BI149&lt;&gt;"",IF('Capacity summary'!$C$14="Yes",IF(COUNTBLANK('Capacity summary'!$H61:$BG61)&lt;52,IF('Capacity summary'!I61&lt;&gt;"",IF(LOWER('Capacity summary'!I61)="x",$BI149*I149,VALUE('Capacity summary'!I61)),0),I149*$BI149),I149*$BI149),0)</f>
        <v>0</v>
      </c>
      <c r="BM149" s="5">
        <f>IF($BI149&lt;&gt;"",IF('Capacity summary'!$C$14="Yes",IF(COUNTBLANK('Capacity summary'!$H61:$BG61)&lt;52,IF('Capacity summary'!J61&lt;&gt;"",IF(LOWER('Capacity summary'!J61)="x",$BI149*J149,VALUE('Capacity summary'!J61)),0),J149*$BI149),J149*$BI149),0)</f>
        <v>0</v>
      </c>
      <c r="BN149" s="5">
        <f>IF($BI149&lt;&gt;"",IF('Capacity summary'!$C$14="Yes",IF(COUNTBLANK('Capacity summary'!$H61:$BG61)&lt;52,IF('Capacity summary'!K61&lt;&gt;"",IF(LOWER('Capacity summary'!K61)="x",$BI149*K149,VALUE('Capacity summary'!K61)),0),K149*$BI149),K149*$BI149),0)</f>
        <v>0</v>
      </c>
      <c r="BO149" s="5">
        <f>IF($BI149&lt;&gt;"",IF('Capacity summary'!$C$14="Yes",IF(COUNTBLANK('Capacity summary'!$H61:$BG61)&lt;52,IF('Capacity summary'!L61&lt;&gt;"",IF(LOWER('Capacity summary'!L61)="x",$BI149*L149,VALUE('Capacity summary'!L61)),0),L149*$BI149),L149*$BI149),0)</f>
        <v>0</v>
      </c>
      <c r="BP149" s="5">
        <f>IF($BI149&lt;&gt;"",IF('Capacity summary'!$C$14="Yes",IF(COUNTBLANK('Capacity summary'!$H61:$BG61)&lt;52,IF('Capacity summary'!M61&lt;&gt;"",IF(LOWER('Capacity summary'!M61)="x",$BI149*M149,VALUE('Capacity summary'!M61)),0),M149*$BI149),M149*$BI149),0)</f>
        <v>0</v>
      </c>
      <c r="BQ149" s="5">
        <f>IF($BI149&lt;&gt;"",IF('Capacity summary'!$C$14="Yes",IF(COUNTBLANK('Capacity summary'!$H61:$BG61)&lt;52,IF('Capacity summary'!N61&lt;&gt;"",IF(LOWER('Capacity summary'!N61)="x",$BI149*N149,VALUE('Capacity summary'!N61)),0),N149*$BI149),N149*$BI149),0)</f>
        <v>0</v>
      </c>
      <c r="BR149" s="5">
        <f>IF($BI149&lt;&gt;"",IF('Capacity summary'!$C$14="Yes",IF(COUNTBLANK('Capacity summary'!$H61:$BG61)&lt;52,IF('Capacity summary'!O61&lt;&gt;"",IF(LOWER('Capacity summary'!O61)="x",$BI149*O149,VALUE('Capacity summary'!O61)),0),O149*$BI149),O149*$BI149),0)</f>
        <v>0</v>
      </c>
      <c r="BS149" s="5">
        <f>IF($BI149&lt;&gt;"",IF('Capacity summary'!$C$14="Yes",IF(COUNTBLANK('Capacity summary'!$H61:$BG61)&lt;52,IF('Capacity summary'!P61&lt;&gt;"",IF(LOWER('Capacity summary'!P61)="x",$BI149*P149,VALUE('Capacity summary'!P61)),0),P149*$BI149),P149*$BI149),0)</f>
        <v>0</v>
      </c>
      <c r="BT149" s="5">
        <f>IF($BI149&lt;&gt;"",IF('Capacity summary'!$C$14="Yes",IF(COUNTBLANK('Capacity summary'!$H61:$BG61)&lt;52,IF('Capacity summary'!Q61&lt;&gt;"",IF(LOWER('Capacity summary'!Q61)="x",$BI149*Q149,VALUE('Capacity summary'!Q61)),0),Q149*$BI149),Q149*$BI149),0)</f>
        <v>0</v>
      </c>
      <c r="BU149" s="5">
        <f>IF($BI149&lt;&gt;"",IF('Capacity summary'!$C$14="Yes",IF(COUNTBLANK('Capacity summary'!$H61:$BG61)&lt;52,IF('Capacity summary'!R61&lt;&gt;"",IF(LOWER('Capacity summary'!R61)="x",$BI149*R149,VALUE('Capacity summary'!R61)),0),R149*$BI149),R149*$BI149),0)</f>
        <v>0</v>
      </c>
      <c r="BV149" s="5">
        <f>IF($BI149&lt;&gt;"",IF('Capacity summary'!$C$14="Yes",IF(COUNTBLANK('Capacity summary'!$H61:$BG61)&lt;52,IF('Capacity summary'!S61&lt;&gt;"",IF(LOWER('Capacity summary'!S61)="x",$BI149*S149,VALUE('Capacity summary'!S61)),0),S149*$BI149),S149*$BI149),0)</f>
        <v>0</v>
      </c>
      <c r="BW149" s="5">
        <f>IF($BI149&lt;&gt;"",IF('Capacity summary'!$C$14="Yes",IF(COUNTBLANK('Capacity summary'!$H61:$BG61)&lt;52,IF('Capacity summary'!T61&lt;&gt;"",IF(LOWER('Capacity summary'!T61)="x",$BI149*T149,VALUE('Capacity summary'!T61)),0),T149*$BI149),T149*$BI149),0)</f>
        <v>0</v>
      </c>
      <c r="BX149" s="5">
        <f>IF($BI149&lt;&gt;"",IF('Capacity summary'!$C$14="Yes",IF(COUNTBLANK('Capacity summary'!$H61:$BG61)&lt;52,IF('Capacity summary'!U61&lt;&gt;"",IF(LOWER('Capacity summary'!U61)="x",$BI149*U149,VALUE('Capacity summary'!U61)),0),U149*$BI149),U149*$BI149),0)</f>
        <v>0</v>
      </c>
      <c r="BY149" s="5">
        <f>IF($BI149&lt;&gt;"",IF('Capacity summary'!$C$14="Yes",IF(COUNTBLANK('Capacity summary'!$H61:$BG61)&lt;52,IF('Capacity summary'!V61&lt;&gt;"",IF(LOWER('Capacity summary'!V61)="x",$BI149*V149,VALUE('Capacity summary'!V61)),0),V149*$BI149),V149*$BI149),0)</f>
        <v>0</v>
      </c>
      <c r="BZ149" s="5">
        <f>IF($BI149&lt;&gt;"",IF('Capacity summary'!$C$14="Yes",IF(COUNTBLANK('Capacity summary'!$H61:$BG61)&lt;52,IF('Capacity summary'!W61&lt;&gt;"",IF(LOWER('Capacity summary'!W61)="x",$BI149*W149,VALUE('Capacity summary'!W61)),0),W149*$BI149),W149*$BI149),0)</f>
        <v>0</v>
      </c>
      <c r="CA149" s="5">
        <f>IF($BI149&lt;&gt;"",IF('Capacity summary'!$C$14="Yes",IF(COUNTBLANK('Capacity summary'!$H61:$BG61)&lt;52,IF('Capacity summary'!X61&lt;&gt;"",IF(LOWER('Capacity summary'!X61)="x",$BI149*X149,VALUE('Capacity summary'!X61)),0),X149*$BI149),X149*$BI149),0)</f>
        <v>0</v>
      </c>
      <c r="CB149" s="5">
        <f>IF($BI149&lt;&gt;"",IF('Capacity summary'!$C$14="Yes",IF(COUNTBLANK('Capacity summary'!$H61:$BG61)&lt;52,IF('Capacity summary'!Y61&lt;&gt;"",IF(LOWER('Capacity summary'!Y61)="x",$BI149*Y149,VALUE('Capacity summary'!Y61)),0),Y149*$BI149),Y149*$BI149),0)</f>
        <v>0</v>
      </c>
      <c r="CC149" s="5">
        <f>IF($BI149&lt;&gt;"",IF('Capacity summary'!$C$14="Yes",IF(COUNTBLANK('Capacity summary'!$H61:$BG61)&lt;52,IF('Capacity summary'!Z61&lt;&gt;"",IF(LOWER('Capacity summary'!Z61)="x",$BI149*Z149,VALUE('Capacity summary'!Z61)),0),Z149*$BI149),Z149*$BI149),0)</f>
        <v>0</v>
      </c>
      <c r="CD149" s="5">
        <f>IF($BI149&lt;&gt;"",IF('Capacity summary'!$C$14="Yes",IF(COUNTBLANK('Capacity summary'!$H61:$BG61)&lt;52,IF('Capacity summary'!AA61&lt;&gt;"",IF(LOWER('Capacity summary'!AA61)="x",$BI149*AA149,VALUE('Capacity summary'!AA61)),0),AA149*$BI149),AA149*$BI149),0)</f>
        <v>0</v>
      </c>
      <c r="CE149" s="5">
        <f>IF($BI149&lt;&gt;"",IF('Capacity summary'!$C$14="Yes",IF(COUNTBLANK('Capacity summary'!$H61:$BG61)&lt;52,IF('Capacity summary'!AB61&lt;&gt;"",IF(LOWER('Capacity summary'!AB61)="x",$BI149*AB149,VALUE('Capacity summary'!AB61)),0),AB149*$BI149),AB149*$BI149),0)</f>
        <v>0</v>
      </c>
      <c r="CF149" s="5">
        <f>IF($BI149&lt;&gt;"",IF('Capacity summary'!$C$14="Yes",IF(COUNTBLANK('Capacity summary'!$H61:$BG61)&lt;52,IF('Capacity summary'!AC61&lt;&gt;"",IF(LOWER('Capacity summary'!AC61)="x",$BI149*AC149,VALUE('Capacity summary'!AC61)),0),AC149*$BI149),AC149*$BI149),0)</f>
        <v>0</v>
      </c>
      <c r="CG149" s="5">
        <f>IF($BI149&lt;&gt;"",IF('Capacity summary'!$C$14="Yes",IF(COUNTBLANK('Capacity summary'!$H61:$BG61)&lt;52,IF('Capacity summary'!AD61&lt;&gt;"",IF(LOWER('Capacity summary'!AD61)="x",$BI149*AD149,VALUE('Capacity summary'!AD61)),0),AD149*$BI149),AD149*$BI149),0)</f>
        <v>0</v>
      </c>
      <c r="CH149" s="5">
        <f>IF($BI149&lt;&gt;"",IF('Capacity summary'!$C$14="Yes",IF(COUNTBLANK('Capacity summary'!$H61:$BG61)&lt;52,IF('Capacity summary'!AE61&lt;&gt;"",IF(LOWER('Capacity summary'!AE61)="x",$BI149*AE149,VALUE('Capacity summary'!AE61)),0),AE149*$BI149),AE149*$BI149),0)</f>
        <v>0</v>
      </c>
      <c r="CI149" s="5">
        <f>IF($BI149&lt;&gt;"",IF('Capacity summary'!$C$14="Yes",IF(COUNTBLANK('Capacity summary'!$H61:$BG61)&lt;52,IF('Capacity summary'!AF61&lt;&gt;"",IF(LOWER('Capacity summary'!AF61)="x",$BI149*AF149,VALUE('Capacity summary'!AF61)),0),AF149*$BI149),AF149*$BI149),0)</f>
        <v>0</v>
      </c>
      <c r="CJ149" s="5">
        <f>IF($BI149&lt;&gt;"",IF('Capacity summary'!$C$14="Yes",IF(COUNTBLANK('Capacity summary'!$H61:$BG61)&lt;52,IF('Capacity summary'!AG61&lt;&gt;"",IF(LOWER('Capacity summary'!AG61)="x",$BI149*AG149,VALUE('Capacity summary'!AG61)),0),AG149*$BI149),AG149*$BI149),0)</f>
        <v>0</v>
      </c>
      <c r="CK149" s="5">
        <f>IF($BI149&lt;&gt;"",IF('Capacity summary'!$C$14="Yes",IF(COUNTBLANK('Capacity summary'!$H61:$BG61)&lt;52,IF('Capacity summary'!AH61&lt;&gt;"",IF(LOWER('Capacity summary'!AH61)="x",$BI149*AH149,VALUE('Capacity summary'!AH61)),0),AH149*$BI149),AH149*$BI149),0)</f>
        <v>0</v>
      </c>
      <c r="CL149" s="5">
        <f>IF($BI149&lt;&gt;"",IF('Capacity summary'!$C$14="Yes",IF(COUNTBLANK('Capacity summary'!$H61:$BG61)&lt;52,IF('Capacity summary'!AI61&lt;&gt;"",IF(LOWER('Capacity summary'!AI61)="x",$BI149*AI149,VALUE('Capacity summary'!AI61)),0),AI149*$BI149),AI149*$BI149),0)</f>
        <v>0</v>
      </c>
      <c r="CM149" s="5">
        <f>IF($BI149&lt;&gt;"",IF('Capacity summary'!$C$14="Yes",IF(COUNTBLANK('Capacity summary'!$H61:$BG61)&lt;52,IF('Capacity summary'!AJ61&lt;&gt;"",IF(LOWER('Capacity summary'!AJ61)="x",$BI149*AJ149,VALUE('Capacity summary'!AJ61)),0),AJ149*$BI149),AJ149*$BI149),0)</f>
        <v>0</v>
      </c>
      <c r="CN149" s="5">
        <f>IF($BI149&lt;&gt;"",IF('Capacity summary'!$C$14="Yes",IF(COUNTBLANK('Capacity summary'!$H61:$BG61)&lt;52,IF('Capacity summary'!AK61&lt;&gt;"",IF(LOWER('Capacity summary'!AK61)="x",$BI149*AK149,VALUE('Capacity summary'!AK61)),0),AK149*$BI149),AK149*$BI149),0)</f>
        <v>0</v>
      </c>
      <c r="CO149" s="5">
        <f>IF($BI149&lt;&gt;"",IF('Capacity summary'!$C$14="Yes",IF(COUNTBLANK('Capacity summary'!$H61:$BG61)&lt;52,IF('Capacity summary'!AL61&lt;&gt;"",IF(LOWER('Capacity summary'!AL61)="x",$BI149*AL149,VALUE('Capacity summary'!AL61)),0),AL149*$BI149),AL149*$BI149),0)</f>
        <v>0</v>
      </c>
      <c r="CP149" s="5">
        <f>IF($BI149&lt;&gt;"",IF('Capacity summary'!$C$14="Yes",IF(COUNTBLANK('Capacity summary'!$H61:$BG61)&lt;52,IF('Capacity summary'!AM61&lt;&gt;"",IF(LOWER('Capacity summary'!AM61)="x",$BI149*AM149,VALUE('Capacity summary'!AM61)),0),AM149*$BI149),AM149*$BI149),0)</f>
        <v>0</v>
      </c>
      <c r="CQ149" s="5">
        <f>IF($BI149&lt;&gt;"",IF('Capacity summary'!$C$14="Yes",IF(COUNTBLANK('Capacity summary'!$H61:$BG61)&lt;52,IF('Capacity summary'!AN61&lt;&gt;"",IF(LOWER('Capacity summary'!AN61)="x",$BI149*AN149,VALUE('Capacity summary'!AN61)),0),AN149*$BI149),AN149*$BI149),0)</f>
        <v>0</v>
      </c>
      <c r="CR149" s="5">
        <f>IF($BI149&lt;&gt;"",IF('Capacity summary'!$C$14="Yes",IF(COUNTBLANK('Capacity summary'!$H61:$BG61)&lt;52,IF('Capacity summary'!AO61&lt;&gt;"",IF(LOWER('Capacity summary'!AO61)="x",$BI149*AO149,VALUE('Capacity summary'!AO61)),0),AO149*$BI149),AO149*$BI149),0)</f>
        <v>0</v>
      </c>
      <c r="CS149" s="5">
        <f>IF($BI149&lt;&gt;"",IF('Capacity summary'!$C$14="Yes",IF(COUNTBLANK('Capacity summary'!$H61:$BG61)&lt;52,IF('Capacity summary'!AP61&lt;&gt;"",IF(LOWER('Capacity summary'!AP61)="x",$BI149*AP149,VALUE('Capacity summary'!AP61)),0),AP149*$BI149),AP149*$BI149),0)</f>
        <v>0</v>
      </c>
      <c r="CT149" s="5">
        <f>IF($BI149&lt;&gt;"",IF('Capacity summary'!$C$14="Yes",IF(COUNTBLANK('Capacity summary'!$H61:$BG61)&lt;52,IF('Capacity summary'!AQ61&lt;&gt;"",IF(LOWER('Capacity summary'!AQ61)="x",$BI149*AQ149,VALUE('Capacity summary'!AQ61)),0),AQ149*$BI149),AQ149*$BI149),0)</f>
        <v>0</v>
      </c>
      <c r="CU149" s="5">
        <f>IF($BI149&lt;&gt;"",IF('Capacity summary'!$C$14="Yes",IF(COUNTBLANK('Capacity summary'!$H61:$BG61)&lt;52,IF('Capacity summary'!AR61&lt;&gt;"",IF(LOWER('Capacity summary'!AR61)="x",$BI149*AR149,VALUE('Capacity summary'!AR61)),0),AR149*$BI149),AR149*$BI149),0)</f>
        <v>0</v>
      </c>
      <c r="CV149" s="5">
        <f>IF($BI149&lt;&gt;"",IF('Capacity summary'!$C$14="Yes",IF(COUNTBLANK('Capacity summary'!$H61:$BG61)&lt;52,IF('Capacity summary'!AS61&lt;&gt;"",IF(LOWER('Capacity summary'!AS61)="x",$BI149*AS149,VALUE('Capacity summary'!AS61)),0),AS149*$BI149),AS149*$BI149),0)</f>
        <v>0</v>
      </c>
      <c r="CW149" s="5">
        <f>IF($BI149&lt;&gt;"",IF('Capacity summary'!$C$14="Yes",IF(COUNTBLANK('Capacity summary'!$H61:$BG61)&lt;52,IF('Capacity summary'!AT61&lt;&gt;"",IF(LOWER('Capacity summary'!AT61)="x",$BI149*AT149,VALUE('Capacity summary'!AT61)),0),AT149*$BI149),AT149*$BI149),0)</f>
        <v>0</v>
      </c>
      <c r="CX149" s="5">
        <f>IF($BI149&lt;&gt;"",IF('Capacity summary'!$C$14="Yes",IF(COUNTBLANK('Capacity summary'!$H61:$BG61)&lt;52,IF('Capacity summary'!AU61&lt;&gt;"",IF(LOWER('Capacity summary'!AU61)="x",$BI149*AU149,VALUE('Capacity summary'!AU61)),0),AU149*$BI149),AU149*$BI149),0)</f>
        <v>0</v>
      </c>
      <c r="CY149" s="5">
        <f>IF($BI149&lt;&gt;"",IF('Capacity summary'!$C$14="Yes",IF(COUNTBLANK('Capacity summary'!$H61:$BG61)&lt;52,IF('Capacity summary'!AV61&lt;&gt;"",IF(LOWER('Capacity summary'!AV61)="x",$BI149*AV149,VALUE('Capacity summary'!AV61)),0),AV149*$BI149),AV149*$BI149),0)</f>
        <v>0</v>
      </c>
      <c r="CZ149" s="5">
        <f>IF($BI149&lt;&gt;"",IF('Capacity summary'!$C$14="Yes",IF(COUNTBLANK('Capacity summary'!$H61:$BG61)&lt;52,IF('Capacity summary'!AW61&lt;&gt;"",IF(LOWER('Capacity summary'!AW61)="x",$BI149*AW149,VALUE('Capacity summary'!AW61)),0),AW149*$BI149),AW149*$BI149),0)</f>
        <v>0</v>
      </c>
      <c r="DA149" s="5">
        <f>IF($BI149&lt;&gt;"",IF('Capacity summary'!$C$14="Yes",IF(COUNTBLANK('Capacity summary'!$H61:$BG61)&lt;52,IF('Capacity summary'!AX61&lt;&gt;"",IF(LOWER('Capacity summary'!AX61)="x",$BI149*AX149,VALUE('Capacity summary'!AX61)),0),AX149*$BI149),AX149*$BI149),0)</f>
        <v>0</v>
      </c>
      <c r="DB149" s="5">
        <f>IF($BI149&lt;&gt;"",IF('Capacity summary'!$C$14="Yes",IF(COUNTBLANK('Capacity summary'!$H61:$BG61)&lt;52,IF('Capacity summary'!AY61&lt;&gt;"",IF(LOWER('Capacity summary'!AY61)="x",$BI149*AY149,VALUE('Capacity summary'!AY61)),0),AY149*$BI149),AY149*$BI149),0)</f>
        <v>0</v>
      </c>
      <c r="DC149" s="5">
        <f>IF($BI149&lt;&gt;"",IF('Capacity summary'!$C$14="Yes",IF(COUNTBLANK('Capacity summary'!$H61:$BG61)&lt;52,IF('Capacity summary'!AZ61&lt;&gt;"",IF(LOWER('Capacity summary'!AZ61)="x",$BI149*AZ149,VALUE('Capacity summary'!AZ61)),0),AZ149*$BI149),AZ149*$BI149),0)</f>
        <v>0</v>
      </c>
      <c r="DD149" s="5">
        <f>IF($BI149&lt;&gt;"",IF('Capacity summary'!$C$14="Yes",IF(COUNTBLANK('Capacity summary'!$H61:$BG61)&lt;52,IF('Capacity summary'!BA61&lt;&gt;"",IF(LOWER('Capacity summary'!BA61)="x",$BI149*BA149,VALUE('Capacity summary'!BA61)),0),BA149*$BI149),BA149*$BI149),0)</f>
        <v>0</v>
      </c>
      <c r="DE149" s="5">
        <f>IF($BI149&lt;&gt;"",IF('Capacity summary'!$C$14="Yes",IF(COUNTBLANK('Capacity summary'!$H61:$BG61)&lt;52,IF('Capacity summary'!BB61&lt;&gt;"",IF(LOWER('Capacity summary'!BB61)="x",$BI149*BB149,VALUE('Capacity summary'!BB61)),0),BB149*$BI149),BB149*$BI149),0)</f>
        <v>0</v>
      </c>
      <c r="DF149" s="5">
        <f>IF($BI149&lt;&gt;"",IF('Capacity summary'!$C$14="Yes",IF(COUNTBLANK('Capacity summary'!$H61:$BG61)&lt;52,IF('Capacity summary'!BC61&lt;&gt;"",IF(LOWER('Capacity summary'!BC61)="x",$BI149*BC149,VALUE('Capacity summary'!BC61)),0),BC149*$BI149),BC149*$BI149),0)</f>
        <v>0</v>
      </c>
      <c r="DG149" s="5">
        <f>IF($BI149&lt;&gt;"",IF('Capacity summary'!$C$14="Yes",IF(COUNTBLANK('Capacity summary'!$H61:$BG61)&lt;52,IF('Capacity summary'!BD61&lt;&gt;"",IF(LOWER('Capacity summary'!BD61)="x",$BI149*BD149,VALUE('Capacity summary'!BD61)),0),BD149*$BI149),BD149*$BI149),0)</f>
        <v>0</v>
      </c>
      <c r="DH149" s="5">
        <f>IF($BI149&lt;&gt;"",IF('Capacity summary'!$C$14="Yes",IF(COUNTBLANK('Capacity summary'!$H61:$BG61)&lt;52,IF('Capacity summary'!BE61&lt;&gt;"",IF(LOWER('Capacity summary'!BE61)="x",$BI149*BE149,VALUE('Capacity summary'!BE61)),0),BE149*$BI149),BE149*$BI149),0)</f>
        <v>0</v>
      </c>
      <c r="DI149" s="5">
        <f>IF($BI149&lt;&gt;"",IF('Capacity summary'!$C$14="Yes",IF(COUNTBLANK('Capacity summary'!$H61:$BG61)&lt;52,IF('Capacity summary'!BF61&lt;&gt;"",IF(LOWER('Capacity summary'!BF61)="x",$BI149*BF149,VALUE('Capacity summary'!BF61)),0),BF149*$BI149),BF149*$BI149),0)</f>
        <v>0</v>
      </c>
      <c r="DJ149" s="5">
        <f>IF($BI149&lt;&gt;"",IF('Capacity summary'!$C$14="Yes",IF(COUNTBLANK('Capacity summary'!$H61:$BG61)&lt;52,IF('Capacity summary'!BG61&lt;&gt;"",IF(LOWER('Capacity summary'!BG61)="x",$BI149*BG149,VALUE('Capacity summary'!BG61)),0),BG149*$BI149),BG149*$BI149),0)</f>
        <v>0</v>
      </c>
      <c r="DK149" s="391">
        <f t="shared" si="8"/>
        <v>0</v>
      </c>
      <c r="DL149" s="5">
        <f t="shared" si="9"/>
        <v>0</v>
      </c>
    </row>
    <row r="150" spans="3:116" x14ac:dyDescent="0.2">
      <c r="C150" s="67" t="str">
        <f>ROW(A39)&amp;". "&amp;Capacity!N55</f>
        <v xml:space="preserve">39. </v>
      </c>
      <c r="D150" s="67">
        <f>'Capacity setup'!C156</f>
        <v>0</v>
      </c>
      <c r="E150" s="67">
        <f>'Capacity setup'!D156</f>
        <v>0</v>
      </c>
      <c r="F150" s="67">
        <f>'Capacity setup'!E156</f>
        <v>0</v>
      </c>
      <c r="H150" s="67">
        <f ca="1">IF(LOWER(Capacity!$V55)="x",IF(AND(SUMIF(Capacity_Resource,$D150,'Critical resources (hide)'!U$6:U$105)+SUMIF(Capacity_Resource,$E150,'Critical resources (hide)'!U$6:U$105)+SUMIF(Capacity_Resource,$F150,'Critical resources (hide)'!U$6:U$105)&gt;0,$E$1=2),0,1),0)</f>
        <v>1</v>
      </c>
      <c r="I150" s="67">
        <f ca="1">IF(LOWER(Capacity!$V55)="x",IF(AND(SUMIF(Capacity_Resource,$D150,'Critical resources (hide)'!V$6:V$105)+SUMIF(Capacity_Resource,$E150,'Critical resources (hide)'!V$6:V$105)+SUMIF(Capacity_Resource,$F150,'Critical resources (hide)'!V$6:V$105)&gt;0,$E$1=2),0,1),0)</f>
        <v>1</v>
      </c>
      <c r="J150" s="67">
        <f ca="1">IF(LOWER(Capacity!$V55)="x",IF(AND(SUMIF(Capacity_Resource,$D150,'Critical resources (hide)'!W$6:W$105)+SUMIF(Capacity_Resource,$E150,'Critical resources (hide)'!W$6:W$105)+SUMIF(Capacity_Resource,$F150,'Critical resources (hide)'!W$6:W$105)&gt;0,$E$1=2),0,1),0)</f>
        <v>1</v>
      </c>
      <c r="K150" s="67">
        <f ca="1">IF(LOWER(Capacity!$V55)="x",IF(AND(SUMIF(Capacity_Resource,$D150,'Critical resources (hide)'!X$6:X$105)+SUMIF(Capacity_Resource,$E150,'Critical resources (hide)'!X$6:X$105)+SUMIF(Capacity_Resource,$F150,'Critical resources (hide)'!X$6:X$105)&gt;0,$E$1=2),0,1),0)</f>
        <v>1</v>
      </c>
      <c r="L150" s="67">
        <f ca="1">IF(LOWER(Capacity!$V55)="x",IF(AND(SUMIF(Capacity_Resource,$D150,'Critical resources (hide)'!Y$6:Y$105)+SUMIF(Capacity_Resource,$E150,'Critical resources (hide)'!Y$6:Y$105)+SUMIF(Capacity_Resource,$F150,'Critical resources (hide)'!Y$6:Y$105)&gt;0,$E$1=2),0,1),0)</f>
        <v>1</v>
      </c>
      <c r="M150" s="67">
        <f ca="1">IF(LOWER(Capacity!$V55)="x",IF(AND(SUMIF(Capacity_Resource,$D150,'Critical resources (hide)'!Z$6:Z$105)+SUMIF(Capacity_Resource,$E150,'Critical resources (hide)'!Z$6:Z$105)+SUMIF(Capacity_Resource,$F150,'Critical resources (hide)'!Z$6:Z$105)&gt;0,$E$1=2),0,1),0)</f>
        <v>1</v>
      </c>
      <c r="N150" s="67">
        <f ca="1">IF(LOWER(Capacity!$V55)="x",IF(AND(SUMIF(Capacity_Resource,$D150,'Critical resources (hide)'!AA$6:AA$105)+SUMIF(Capacity_Resource,$E150,'Critical resources (hide)'!AA$6:AA$105)+SUMIF(Capacity_Resource,$F150,'Critical resources (hide)'!AA$6:AA$105)&gt;0,$E$1=2),0,1),0)</f>
        <v>1</v>
      </c>
      <c r="O150" s="67">
        <f ca="1">IF(LOWER(Capacity!$V55)="x",IF(AND(SUMIF(Capacity_Resource,$D150,'Critical resources (hide)'!AB$6:AB$105)+SUMIF(Capacity_Resource,$E150,'Critical resources (hide)'!AB$6:AB$105)+SUMIF(Capacity_Resource,$F150,'Critical resources (hide)'!AB$6:AB$105)&gt;0,$E$1=2),0,1),0)</f>
        <v>1</v>
      </c>
      <c r="P150" s="67">
        <f ca="1">IF(LOWER(Capacity!$V55)="x",IF(AND(SUMIF(Capacity_Resource,$D150,'Critical resources (hide)'!AC$6:AC$105)+SUMIF(Capacity_Resource,$E150,'Critical resources (hide)'!AC$6:AC$105)+SUMIF(Capacity_Resource,$F150,'Critical resources (hide)'!AC$6:AC$105)&gt;0,$E$1=2),0,1),0)</f>
        <v>1</v>
      </c>
      <c r="Q150" s="67">
        <f ca="1">IF(LOWER(Capacity!$V55)="x",IF(AND(SUMIF(Capacity_Resource,$D150,'Critical resources (hide)'!AD$6:AD$105)+SUMIF(Capacity_Resource,$E150,'Critical resources (hide)'!AD$6:AD$105)+SUMIF(Capacity_Resource,$F150,'Critical resources (hide)'!AD$6:AD$105)&gt;0,$E$1=2),0,1),0)</f>
        <v>1</v>
      </c>
      <c r="R150" s="67">
        <f ca="1">IF(LOWER(Capacity!$V55)="x",IF(AND(SUMIF(Capacity_Resource,$D150,'Critical resources (hide)'!AE$6:AE$105)+SUMIF(Capacity_Resource,$E150,'Critical resources (hide)'!AE$6:AE$105)+SUMIF(Capacity_Resource,$F150,'Critical resources (hide)'!AE$6:AE$105)&gt;0,$E$1=2),0,1),0)</f>
        <v>1</v>
      </c>
      <c r="S150" s="67">
        <f ca="1">IF(LOWER(Capacity!$V55)="x",IF(AND(SUMIF(Capacity_Resource,$D150,'Critical resources (hide)'!AF$6:AF$105)+SUMIF(Capacity_Resource,$E150,'Critical resources (hide)'!AF$6:AF$105)+SUMIF(Capacity_Resource,$F150,'Critical resources (hide)'!AF$6:AF$105)&gt;0,$E$1=2),0,1),0)</f>
        <v>1</v>
      </c>
      <c r="T150" s="67">
        <f ca="1">IF(LOWER(Capacity!$V55)="x",IF(AND(SUMIF(Capacity_Resource,$D150,'Critical resources (hide)'!AG$6:AG$105)+SUMIF(Capacity_Resource,$E150,'Critical resources (hide)'!AG$6:AG$105)+SUMIF(Capacity_Resource,$F150,'Critical resources (hide)'!AG$6:AG$105)&gt;0,$E$1=2),0,1),0)</f>
        <v>1</v>
      </c>
      <c r="U150" s="67">
        <f ca="1">IF(LOWER(Capacity!$V55)="x",IF(AND(SUMIF(Capacity_Resource,$D150,'Critical resources (hide)'!AH$6:AH$105)+SUMIF(Capacity_Resource,$E150,'Critical resources (hide)'!AH$6:AH$105)+SUMIF(Capacity_Resource,$F150,'Critical resources (hide)'!AH$6:AH$105)&gt;0,$E$1=2),0,1),0)</f>
        <v>1</v>
      </c>
      <c r="V150" s="67">
        <f ca="1">IF(LOWER(Capacity!$V55)="x",IF(AND(SUMIF(Capacity_Resource,$D150,'Critical resources (hide)'!AI$6:AI$105)+SUMIF(Capacity_Resource,$E150,'Critical resources (hide)'!AI$6:AI$105)+SUMIF(Capacity_Resource,$F150,'Critical resources (hide)'!AI$6:AI$105)&gt;0,$E$1=2),0,1),0)</f>
        <v>1</v>
      </c>
      <c r="W150" s="67">
        <f ca="1">IF(LOWER(Capacity!$V55)="x",IF(AND(SUMIF(Capacity_Resource,$D150,'Critical resources (hide)'!AJ$6:AJ$105)+SUMIF(Capacity_Resource,$E150,'Critical resources (hide)'!AJ$6:AJ$105)+SUMIF(Capacity_Resource,$F150,'Critical resources (hide)'!AJ$6:AJ$105)&gt;0,$E$1=2),0,1),0)</f>
        <v>1</v>
      </c>
      <c r="X150" s="67">
        <f ca="1">IF(LOWER(Capacity!$V55)="x",IF(AND(SUMIF(Capacity_Resource,$D150,'Critical resources (hide)'!AK$6:AK$105)+SUMIF(Capacity_Resource,$E150,'Critical resources (hide)'!AK$6:AK$105)+SUMIF(Capacity_Resource,$F150,'Critical resources (hide)'!AK$6:AK$105)&gt;0,$E$1=2),0,1),0)</f>
        <v>1</v>
      </c>
      <c r="Y150" s="67">
        <f ca="1">IF(LOWER(Capacity!$V55)="x",IF(AND(SUMIF(Capacity_Resource,$D150,'Critical resources (hide)'!AL$6:AL$105)+SUMIF(Capacity_Resource,$E150,'Critical resources (hide)'!AL$6:AL$105)+SUMIF(Capacity_Resource,$F150,'Critical resources (hide)'!AL$6:AL$105)&gt;0,$E$1=2),0,1),0)</f>
        <v>1</v>
      </c>
      <c r="Z150" s="67">
        <f ca="1">IF(LOWER(Capacity!$V55)="x",IF(AND(SUMIF(Capacity_Resource,$D150,'Critical resources (hide)'!AM$6:AM$105)+SUMIF(Capacity_Resource,$E150,'Critical resources (hide)'!AM$6:AM$105)+SUMIF(Capacity_Resource,$F150,'Critical resources (hide)'!AM$6:AM$105)&gt;0,$E$1=2),0,1),0)</f>
        <v>1</v>
      </c>
      <c r="AA150" s="67">
        <f ca="1">IF(LOWER(Capacity!$V55)="x",IF(AND(SUMIF(Capacity_Resource,$D150,'Critical resources (hide)'!AN$6:AN$105)+SUMIF(Capacity_Resource,$E150,'Critical resources (hide)'!AN$6:AN$105)+SUMIF(Capacity_Resource,$F150,'Critical resources (hide)'!AN$6:AN$105)&gt;0,$E$1=2),0,1),0)</f>
        <v>1</v>
      </c>
      <c r="AB150" s="67">
        <f ca="1">IF(LOWER(Capacity!$V55)="x",IF(AND(SUMIF(Capacity_Resource,$D150,'Critical resources (hide)'!AO$6:AO$105)+SUMIF(Capacity_Resource,$E150,'Critical resources (hide)'!AO$6:AO$105)+SUMIF(Capacity_Resource,$F150,'Critical resources (hide)'!AO$6:AO$105)&gt;0,$E$1=2),0,1),0)</f>
        <v>1</v>
      </c>
      <c r="AC150" s="67">
        <f ca="1">IF(LOWER(Capacity!$V55)="x",IF(AND(SUMIF(Capacity_Resource,$D150,'Critical resources (hide)'!AP$6:AP$105)+SUMIF(Capacity_Resource,$E150,'Critical resources (hide)'!AP$6:AP$105)+SUMIF(Capacity_Resource,$F150,'Critical resources (hide)'!AP$6:AP$105)&gt;0,$E$1=2),0,1),0)</f>
        <v>1</v>
      </c>
      <c r="AD150" s="67">
        <f ca="1">IF(LOWER(Capacity!$V55)="x",IF(AND(SUMIF(Capacity_Resource,$D150,'Critical resources (hide)'!AQ$6:AQ$105)+SUMIF(Capacity_Resource,$E150,'Critical resources (hide)'!AQ$6:AQ$105)+SUMIF(Capacity_Resource,$F150,'Critical resources (hide)'!AQ$6:AQ$105)&gt;0,$E$1=2),0,1),0)</f>
        <v>1</v>
      </c>
      <c r="AE150" s="67">
        <f ca="1">IF(LOWER(Capacity!$V55)="x",IF(AND(SUMIF(Capacity_Resource,$D150,'Critical resources (hide)'!AR$6:AR$105)+SUMIF(Capacity_Resource,$E150,'Critical resources (hide)'!AR$6:AR$105)+SUMIF(Capacity_Resource,$F150,'Critical resources (hide)'!AR$6:AR$105)&gt;0,$E$1=2),0,1),0)</f>
        <v>1</v>
      </c>
      <c r="AF150" s="67">
        <f ca="1">IF(LOWER(Capacity!$V55)="x",IF(AND(SUMIF(Capacity_Resource,$D150,'Critical resources (hide)'!AS$6:AS$105)+SUMIF(Capacity_Resource,$E150,'Critical resources (hide)'!AS$6:AS$105)+SUMIF(Capacity_Resource,$F150,'Critical resources (hide)'!AS$6:AS$105)&gt;0,$E$1=2),0,1),0)</f>
        <v>1</v>
      </c>
      <c r="AG150" s="67">
        <f ca="1">IF(LOWER(Capacity!$V55)="x",IF(AND(SUMIF(Capacity_Resource,$D150,'Critical resources (hide)'!AT$6:AT$105)+SUMIF(Capacity_Resource,$E150,'Critical resources (hide)'!AT$6:AT$105)+SUMIF(Capacity_Resource,$F150,'Critical resources (hide)'!AT$6:AT$105)&gt;0,$E$1=2),0,1),0)</f>
        <v>1</v>
      </c>
      <c r="AH150" s="67">
        <f ca="1">IF(LOWER(Capacity!$V55)="x",IF(AND(SUMIF(Capacity_Resource,$D150,'Critical resources (hide)'!AU$6:AU$105)+SUMIF(Capacity_Resource,$E150,'Critical resources (hide)'!AU$6:AU$105)+SUMIF(Capacity_Resource,$F150,'Critical resources (hide)'!AU$6:AU$105)&gt;0,$E$1=2),0,1),0)</f>
        <v>1</v>
      </c>
      <c r="AI150" s="67">
        <f ca="1">IF(LOWER(Capacity!$V55)="x",IF(AND(SUMIF(Capacity_Resource,$D150,'Critical resources (hide)'!AV$6:AV$105)+SUMIF(Capacity_Resource,$E150,'Critical resources (hide)'!AV$6:AV$105)+SUMIF(Capacity_Resource,$F150,'Critical resources (hide)'!AV$6:AV$105)&gt;0,$E$1=2),0,1),0)</f>
        <v>1</v>
      </c>
      <c r="AJ150" s="67">
        <f ca="1">IF(LOWER(Capacity!$V55)="x",IF(AND(SUMIF(Capacity_Resource,$D150,'Critical resources (hide)'!AW$6:AW$105)+SUMIF(Capacity_Resource,$E150,'Critical resources (hide)'!AW$6:AW$105)+SUMIF(Capacity_Resource,$F150,'Critical resources (hide)'!AW$6:AW$105)&gt;0,$E$1=2),0,1),0)</f>
        <v>1</v>
      </c>
      <c r="AK150" s="67">
        <f ca="1">IF(LOWER(Capacity!$V55)="x",IF(AND(SUMIF(Capacity_Resource,$D150,'Critical resources (hide)'!AX$6:AX$105)+SUMIF(Capacity_Resource,$E150,'Critical resources (hide)'!AX$6:AX$105)+SUMIF(Capacity_Resource,$F150,'Critical resources (hide)'!AX$6:AX$105)&gt;0,$E$1=2),0,1),0)</f>
        <v>1</v>
      </c>
      <c r="AL150" s="67">
        <f ca="1">IF(LOWER(Capacity!$V55)="x",IF(AND(SUMIF(Capacity_Resource,$D150,'Critical resources (hide)'!AY$6:AY$105)+SUMIF(Capacity_Resource,$E150,'Critical resources (hide)'!AY$6:AY$105)+SUMIF(Capacity_Resource,$F150,'Critical resources (hide)'!AY$6:AY$105)&gt;0,$E$1=2),0,1),0)</f>
        <v>1</v>
      </c>
      <c r="AM150" s="67">
        <f ca="1">IF(LOWER(Capacity!$V55)="x",IF(AND(SUMIF(Capacity_Resource,$D150,'Critical resources (hide)'!AZ$6:AZ$105)+SUMIF(Capacity_Resource,$E150,'Critical resources (hide)'!AZ$6:AZ$105)+SUMIF(Capacity_Resource,$F150,'Critical resources (hide)'!AZ$6:AZ$105)&gt;0,$E$1=2),0,1),0)</f>
        <v>1</v>
      </c>
      <c r="AN150" s="67">
        <f ca="1">IF(LOWER(Capacity!$V55)="x",IF(AND(SUMIF(Capacity_Resource,$D150,'Critical resources (hide)'!BA$6:BA$105)+SUMIF(Capacity_Resource,$E150,'Critical resources (hide)'!BA$6:BA$105)+SUMIF(Capacity_Resource,$F150,'Critical resources (hide)'!BA$6:BA$105)&gt;0,$E$1=2),0,1),0)</f>
        <v>1</v>
      </c>
      <c r="AO150" s="67">
        <f ca="1">IF(LOWER(Capacity!$V55)="x",IF(AND(SUMIF(Capacity_Resource,$D150,'Critical resources (hide)'!BB$6:BB$105)+SUMIF(Capacity_Resource,$E150,'Critical resources (hide)'!BB$6:BB$105)+SUMIF(Capacity_Resource,$F150,'Critical resources (hide)'!BB$6:BB$105)&gt;0,$E$1=2),0,1),0)</f>
        <v>1</v>
      </c>
      <c r="AP150" s="67">
        <f ca="1">IF(LOWER(Capacity!$V55)="x",IF(AND(SUMIF(Capacity_Resource,$D150,'Critical resources (hide)'!BC$6:BC$105)+SUMIF(Capacity_Resource,$E150,'Critical resources (hide)'!BC$6:BC$105)+SUMIF(Capacity_Resource,$F150,'Critical resources (hide)'!BC$6:BC$105)&gt;0,$E$1=2),0,1),0)</f>
        <v>1</v>
      </c>
      <c r="AQ150" s="67">
        <f ca="1">IF(LOWER(Capacity!$V55)="x",IF(AND(SUMIF(Capacity_Resource,$D150,'Critical resources (hide)'!BD$6:BD$105)+SUMIF(Capacity_Resource,$E150,'Critical resources (hide)'!BD$6:BD$105)+SUMIF(Capacity_Resource,$F150,'Critical resources (hide)'!BD$6:BD$105)&gt;0,$E$1=2),0,1),0)</f>
        <v>1</v>
      </c>
      <c r="AR150" s="67">
        <f ca="1">IF(LOWER(Capacity!$V55)="x",IF(AND(SUMIF(Capacity_Resource,$D150,'Critical resources (hide)'!BE$6:BE$105)+SUMIF(Capacity_Resource,$E150,'Critical resources (hide)'!BE$6:BE$105)+SUMIF(Capacity_Resource,$F150,'Critical resources (hide)'!BE$6:BE$105)&gt;0,$E$1=2),0,1),0)</f>
        <v>1</v>
      </c>
      <c r="AS150" s="67">
        <f ca="1">IF(LOWER(Capacity!$V55)="x",IF(AND(SUMIF(Capacity_Resource,$D150,'Critical resources (hide)'!BF$6:BF$105)+SUMIF(Capacity_Resource,$E150,'Critical resources (hide)'!BF$6:BF$105)+SUMIF(Capacity_Resource,$F150,'Critical resources (hide)'!BF$6:BF$105)&gt;0,$E$1=2),0,1),0)</f>
        <v>1</v>
      </c>
      <c r="AT150" s="67">
        <f ca="1">IF(LOWER(Capacity!$V55)="x",IF(AND(SUMIF(Capacity_Resource,$D150,'Critical resources (hide)'!BG$6:BG$105)+SUMIF(Capacity_Resource,$E150,'Critical resources (hide)'!BG$6:BG$105)+SUMIF(Capacity_Resource,$F150,'Critical resources (hide)'!BG$6:BG$105)&gt;0,$E$1=2),0,1),0)</f>
        <v>1</v>
      </c>
      <c r="AU150" s="67">
        <f ca="1">IF(LOWER(Capacity!$V55)="x",IF(AND(SUMIF(Capacity_Resource,$D150,'Critical resources (hide)'!BH$6:BH$105)+SUMIF(Capacity_Resource,$E150,'Critical resources (hide)'!BH$6:BH$105)+SUMIF(Capacity_Resource,$F150,'Critical resources (hide)'!BH$6:BH$105)&gt;0,$E$1=2),0,1),0)</f>
        <v>1</v>
      </c>
      <c r="AV150" s="67">
        <f ca="1">IF(LOWER(Capacity!$V55)="x",IF(AND(SUMIF(Capacity_Resource,$D150,'Critical resources (hide)'!BI$6:BI$105)+SUMIF(Capacity_Resource,$E150,'Critical resources (hide)'!BI$6:BI$105)+SUMIF(Capacity_Resource,$F150,'Critical resources (hide)'!BI$6:BI$105)&gt;0,$E$1=2),0,1),0)</f>
        <v>1</v>
      </c>
      <c r="AW150" s="67">
        <f ca="1">IF(LOWER(Capacity!$V55)="x",IF(AND(SUMIF(Capacity_Resource,$D150,'Critical resources (hide)'!BJ$6:BJ$105)+SUMIF(Capacity_Resource,$E150,'Critical resources (hide)'!BJ$6:BJ$105)+SUMIF(Capacity_Resource,$F150,'Critical resources (hide)'!BJ$6:BJ$105)&gt;0,$E$1=2),0,1),0)</f>
        <v>1</v>
      </c>
      <c r="AX150" s="67">
        <f ca="1">IF(LOWER(Capacity!$V55)="x",IF(AND(SUMIF(Capacity_Resource,$D150,'Critical resources (hide)'!BK$6:BK$105)+SUMIF(Capacity_Resource,$E150,'Critical resources (hide)'!BK$6:BK$105)+SUMIF(Capacity_Resource,$F150,'Critical resources (hide)'!BK$6:BK$105)&gt;0,$E$1=2),0,1),0)</f>
        <v>1</v>
      </c>
      <c r="AY150" s="67">
        <f ca="1">IF(LOWER(Capacity!$V55)="x",IF(AND(SUMIF(Capacity_Resource,$D150,'Critical resources (hide)'!BL$6:BL$105)+SUMIF(Capacity_Resource,$E150,'Critical resources (hide)'!BL$6:BL$105)+SUMIF(Capacity_Resource,$F150,'Critical resources (hide)'!BL$6:BL$105)&gt;0,$E$1=2),0,1),0)</f>
        <v>1</v>
      </c>
      <c r="AZ150" s="67">
        <f ca="1">IF(LOWER(Capacity!$V55)="x",IF(AND(SUMIF(Capacity_Resource,$D150,'Critical resources (hide)'!BM$6:BM$105)+SUMIF(Capacity_Resource,$E150,'Critical resources (hide)'!BM$6:BM$105)+SUMIF(Capacity_Resource,$F150,'Critical resources (hide)'!BM$6:BM$105)&gt;0,$E$1=2),0,1),0)</f>
        <v>1</v>
      </c>
      <c r="BA150" s="67">
        <f ca="1">IF(LOWER(Capacity!$V55)="x",IF(AND(SUMIF(Capacity_Resource,$D150,'Critical resources (hide)'!BN$6:BN$105)+SUMIF(Capacity_Resource,$E150,'Critical resources (hide)'!BN$6:BN$105)+SUMIF(Capacity_Resource,$F150,'Critical resources (hide)'!BN$6:BN$105)&gt;0,$E$1=2),0,1),0)</f>
        <v>1</v>
      </c>
      <c r="BB150" s="67">
        <f ca="1">IF(LOWER(Capacity!$V55)="x",IF(AND(SUMIF(Capacity_Resource,$D150,'Critical resources (hide)'!BO$6:BO$105)+SUMIF(Capacity_Resource,$E150,'Critical resources (hide)'!BO$6:BO$105)+SUMIF(Capacity_Resource,$F150,'Critical resources (hide)'!BO$6:BO$105)&gt;0,$E$1=2),0,1),0)</f>
        <v>1</v>
      </c>
      <c r="BC150" s="67">
        <f ca="1">IF(LOWER(Capacity!$V55)="x",IF(AND(SUMIF(Capacity_Resource,$D150,'Critical resources (hide)'!BP$6:BP$105)+SUMIF(Capacity_Resource,$E150,'Critical resources (hide)'!BP$6:BP$105)+SUMIF(Capacity_Resource,$F150,'Critical resources (hide)'!BP$6:BP$105)&gt;0,$E$1=2),0,1),0)</f>
        <v>1</v>
      </c>
      <c r="BD150" s="67">
        <f ca="1">IF(LOWER(Capacity!$V55)="x",IF(AND(SUMIF(Capacity_Resource,$D150,'Critical resources (hide)'!BQ$6:BQ$105)+SUMIF(Capacity_Resource,$E150,'Critical resources (hide)'!BQ$6:BQ$105)+SUMIF(Capacity_Resource,$F150,'Critical resources (hide)'!BQ$6:BQ$105)&gt;0,$E$1=2),0,1),0)</f>
        <v>1</v>
      </c>
      <c r="BE150" s="67">
        <f ca="1">IF(LOWER(Capacity!$V55)="x",IF(AND(SUMIF(Capacity_Resource,$D150,'Critical resources (hide)'!BR$6:BR$105)+SUMIF(Capacity_Resource,$E150,'Critical resources (hide)'!BR$6:BR$105)+SUMIF(Capacity_Resource,$F150,'Critical resources (hide)'!BR$6:BR$105)&gt;0,$E$1=2),0,1),0)</f>
        <v>1</v>
      </c>
      <c r="BF150" s="67">
        <f ca="1">IF(LOWER(Capacity!$V55)="x",IF(AND(SUMIF(Capacity_Resource,$D150,'Critical resources (hide)'!BS$6:BS$105)+SUMIF(Capacity_Resource,$E150,'Critical resources (hide)'!BS$6:BS$105)+SUMIF(Capacity_Resource,$F150,'Critical resources (hide)'!BS$6:BS$105)&gt;0,$E$1=2),0,1),0)</f>
        <v>1</v>
      </c>
      <c r="BG150" s="67">
        <f ca="1">IF(LOWER(Capacity!$V55)="x",IF(AND(SUMIF(Capacity_Resource,$D150,'Critical resources (hide)'!BT$6:BT$105)+SUMIF(Capacity_Resource,$E150,'Critical resources (hide)'!BT$6:BT$105)+SUMIF(Capacity_Resource,$F150,'Critical resources (hide)'!BT$6:BT$105)&gt;0,$E$1=2),0,1),0)</f>
        <v>1</v>
      </c>
      <c r="BH150" s="67">
        <f>IF(ROW(A39)&lt;=Capacity!$M$16,IF('Capacity summary'!$C$14="No",SUM(H150:BG150),'Capacity summary'!$E62),0)</f>
        <v>0</v>
      </c>
      <c r="BI150" s="67" t="str">
        <f>IF(BH150&gt;0,IF(BH150&lt;Capacity!Q55,Capacity!R55,Capacity!T55/'Capacity calculation (hide)'!BH150),"")</f>
        <v/>
      </c>
      <c r="BJ150" s="5"/>
      <c r="BK150" s="5">
        <f>IF($BI150&lt;&gt;"",IF('Capacity summary'!$C$14="Yes",IF(COUNTBLANK('Capacity summary'!$H62:$BG62)&lt;52,IF('Capacity summary'!H62&lt;&gt;"",IF(LOWER('Capacity summary'!H62)="x",$BI150*H150,VALUE('Capacity summary'!H62)),0),H150*$BI150),H150*$BI150),0)</f>
        <v>0</v>
      </c>
      <c r="BL150" s="5">
        <f>IF($BI150&lt;&gt;"",IF('Capacity summary'!$C$14="Yes",IF(COUNTBLANK('Capacity summary'!$H62:$BG62)&lt;52,IF('Capacity summary'!I62&lt;&gt;"",IF(LOWER('Capacity summary'!I62)="x",$BI150*I150,VALUE('Capacity summary'!I62)),0),I150*$BI150),I150*$BI150),0)</f>
        <v>0</v>
      </c>
      <c r="BM150" s="5">
        <f>IF($BI150&lt;&gt;"",IF('Capacity summary'!$C$14="Yes",IF(COUNTBLANK('Capacity summary'!$H62:$BG62)&lt;52,IF('Capacity summary'!J62&lt;&gt;"",IF(LOWER('Capacity summary'!J62)="x",$BI150*J150,VALUE('Capacity summary'!J62)),0),J150*$BI150),J150*$BI150),0)</f>
        <v>0</v>
      </c>
      <c r="BN150" s="5">
        <f>IF($BI150&lt;&gt;"",IF('Capacity summary'!$C$14="Yes",IF(COUNTBLANK('Capacity summary'!$H62:$BG62)&lt;52,IF('Capacity summary'!K62&lt;&gt;"",IF(LOWER('Capacity summary'!K62)="x",$BI150*K150,VALUE('Capacity summary'!K62)),0),K150*$BI150),K150*$BI150),0)</f>
        <v>0</v>
      </c>
      <c r="BO150" s="5">
        <f>IF($BI150&lt;&gt;"",IF('Capacity summary'!$C$14="Yes",IF(COUNTBLANK('Capacity summary'!$H62:$BG62)&lt;52,IF('Capacity summary'!L62&lt;&gt;"",IF(LOWER('Capacity summary'!L62)="x",$BI150*L150,VALUE('Capacity summary'!L62)),0),L150*$BI150),L150*$BI150),0)</f>
        <v>0</v>
      </c>
      <c r="BP150" s="5">
        <f>IF($BI150&lt;&gt;"",IF('Capacity summary'!$C$14="Yes",IF(COUNTBLANK('Capacity summary'!$H62:$BG62)&lt;52,IF('Capacity summary'!M62&lt;&gt;"",IF(LOWER('Capacity summary'!M62)="x",$BI150*M150,VALUE('Capacity summary'!M62)),0),M150*$BI150),M150*$BI150),0)</f>
        <v>0</v>
      </c>
      <c r="BQ150" s="5">
        <f>IF($BI150&lt;&gt;"",IF('Capacity summary'!$C$14="Yes",IF(COUNTBLANK('Capacity summary'!$H62:$BG62)&lt;52,IF('Capacity summary'!N62&lt;&gt;"",IF(LOWER('Capacity summary'!N62)="x",$BI150*N150,VALUE('Capacity summary'!N62)),0),N150*$BI150),N150*$BI150),0)</f>
        <v>0</v>
      </c>
      <c r="BR150" s="5">
        <f>IF($BI150&lt;&gt;"",IF('Capacity summary'!$C$14="Yes",IF(COUNTBLANK('Capacity summary'!$H62:$BG62)&lt;52,IF('Capacity summary'!O62&lt;&gt;"",IF(LOWER('Capacity summary'!O62)="x",$BI150*O150,VALUE('Capacity summary'!O62)),0),O150*$BI150),O150*$BI150),0)</f>
        <v>0</v>
      </c>
      <c r="BS150" s="5">
        <f>IF($BI150&lt;&gt;"",IF('Capacity summary'!$C$14="Yes",IF(COUNTBLANK('Capacity summary'!$H62:$BG62)&lt;52,IF('Capacity summary'!P62&lt;&gt;"",IF(LOWER('Capacity summary'!P62)="x",$BI150*P150,VALUE('Capacity summary'!P62)),0),P150*$BI150),P150*$BI150),0)</f>
        <v>0</v>
      </c>
      <c r="BT150" s="5">
        <f>IF($BI150&lt;&gt;"",IF('Capacity summary'!$C$14="Yes",IF(COUNTBLANK('Capacity summary'!$H62:$BG62)&lt;52,IF('Capacity summary'!Q62&lt;&gt;"",IF(LOWER('Capacity summary'!Q62)="x",$BI150*Q150,VALUE('Capacity summary'!Q62)),0),Q150*$BI150),Q150*$BI150),0)</f>
        <v>0</v>
      </c>
      <c r="BU150" s="5">
        <f>IF($BI150&lt;&gt;"",IF('Capacity summary'!$C$14="Yes",IF(COUNTBLANK('Capacity summary'!$H62:$BG62)&lt;52,IF('Capacity summary'!R62&lt;&gt;"",IF(LOWER('Capacity summary'!R62)="x",$BI150*R150,VALUE('Capacity summary'!R62)),0),R150*$BI150),R150*$BI150),0)</f>
        <v>0</v>
      </c>
      <c r="BV150" s="5">
        <f>IF($BI150&lt;&gt;"",IF('Capacity summary'!$C$14="Yes",IF(COUNTBLANK('Capacity summary'!$H62:$BG62)&lt;52,IF('Capacity summary'!S62&lt;&gt;"",IF(LOWER('Capacity summary'!S62)="x",$BI150*S150,VALUE('Capacity summary'!S62)),0),S150*$BI150),S150*$BI150),0)</f>
        <v>0</v>
      </c>
      <c r="BW150" s="5">
        <f>IF($BI150&lt;&gt;"",IF('Capacity summary'!$C$14="Yes",IF(COUNTBLANK('Capacity summary'!$H62:$BG62)&lt;52,IF('Capacity summary'!T62&lt;&gt;"",IF(LOWER('Capacity summary'!T62)="x",$BI150*T150,VALUE('Capacity summary'!T62)),0),T150*$BI150),T150*$BI150),0)</f>
        <v>0</v>
      </c>
      <c r="BX150" s="5">
        <f>IF($BI150&lt;&gt;"",IF('Capacity summary'!$C$14="Yes",IF(COUNTBLANK('Capacity summary'!$H62:$BG62)&lt;52,IF('Capacity summary'!U62&lt;&gt;"",IF(LOWER('Capacity summary'!U62)="x",$BI150*U150,VALUE('Capacity summary'!U62)),0),U150*$BI150),U150*$BI150),0)</f>
        <v>0</v>
      </c>
      <c r="BY150" s="5">
        <f>IF($BI150&lt;&gt;"",IF('Capacity summary'!$C$14="Yes",IF(COUNTBLANK('Capacity summary'!$H62:$BG62)&lt;52,IF('Capacity summary'!V62&lt;&gt;"",IF(LOWER('Capacity summary'!V62)="x",$BI150*V150,VALUE('Capacity summary'!V62)),0),V150*$BI150),V150*$BI150),0)</f>
        <v>0</v>
      </c>
      <c r="BZ150" s="5">
        <f>IF($BI150&lt;&gt;"",IF('Capacity summary'!$C$14="Yes",IF(COUNTBLANK('Capacity summary'!$H62:$BG62)&lt;52,IF('Capacity summary'!W62&lt;&gt;"",IF(LOWER('Capacity summary'!W62)="x",$BI150*W150,VALUE('Capacity summary'!W62)),0),W150*$BI150),W150*$BI150),0)</f>
        <v>0</v>
      </c>
      <c r="CA150" s="5">
        <f>IF($BI150&lt;&gt;"",IF('Capacity summary'!$C$14="Yes",IF(COUNTBLANK('Capacity summary'!$H62:$BG62)&lt;52,IF('Capacity summary'!X62&lt;&gt;"",IF(LOWER('Capacity summary'!X62)="x",$BI150*X150,VALUE('Capacity summary'!X62)),0),X150*$BI150),X150*$BI150),0)</f>
        <v>0</v>
      </c>
      <c r="CB150" s="5">
        <f>IF($BI150&lt;&gt;"",IF('Capacity summary'!$C$14="Yes",IF(COUNTBLANK('Capacity summary'!$H62:$BG62)&lt;52,IF('Capacity summary'!Y62&lt;&gt;"",IF(LOWER('Capacity summary'!Y62)="x",$BI150*Y150,VALUE('Capacity summary'!Y62)),0),Y150*$BI150),Y150*$BI150),0)</f>
        <v>0</v>
      </c>
      <c r="CC150" s="5">
        <f>IF($BI150&lt;&gt;"",IF('Capacity summary'!$C$14="Yes",IF(COUNTBLANK('Capacity summary'!$H62:$BG62)&lt;52,IF('Capacity summary'!Z62&lt;&gt;"",IF(LOWER('Capacity summary'!Z62)="x",$BI150*Z150,VALUE('Capacity summary'!Z62)),0),Z150*$BI150),Z150*$BI150),0)</f>
        <v>0</v>
      </c>
      <c r="CD150" s="5">
        <f>IF($BI150&lt;&gt;"",IF('Capacity summary'!$C$14="Yes",IF(COUNTBLANK('Capacity summary'!$H62:$BG62)&lt;52,IF('Capacity summary'!AA62&lt;&gt;"",IF(LOWER('Capacity summary'!AA62)="x",$BI150*AA150,VALUE('Capacity summary'!AA62)),0),AA150*$BI150),AA150*$BI150),0)</f>
        <v>0</v>
      </c>
      <c r="CE150" s="5">
        <f>IF($BI150&lt;&gt;"",IF('Capacity summary'!$C$14="Yes",IF(COUNTBLANK('Capacity summary'!$H62:$BG62)&lt;52,IF('Capacity summary'!AB62&lt;&gt;"",IF(LOWER('Capacity summary'!AB62)="x",$BI150*AB150,VALUE('Capacity summary'!AB62)),0),AB150*$BI150),AB150*$BI150),0)</f>
        <v>0</v>
      </c>
      <c r="CF150" s="5">
        <f>IF($BI150&lt;&gt;"",IF('Capacity summary'!$C$14="Yes",IF(COUNTBLANK('Capacity summary'!$H62:$BG62)&lt;52,IF('Capacity summary'!AC62&lt;&gt;"",IF(LOWER('Capacity summary'!AC62)="x",$BI150*AC150,VALUE('Capacity summary'!AC62)),0),AC150*$BI150),AC150*$BI150),0)</f>
        <v>0</v>
      </c>
      <c r="CG150" s="5">
        <f>IF($BI150&lt;&gt;"",IF('Capacity summary'!$C$14="Yes",IF(COUNTBLANK('Capacity summary'!$H62:$BG62)&lt;52,IF('Capacity summary'!AD62&lt;&gt;"",IF(LOWER('Capacity summary'!AD62)="x",$BI150*AD150,VALUE('Capacity summary'!AD62)),0),AD150*$BI150),AD150*$BI150),0)</f>
        <v>0</v>
      </c>
      <c r="CH150" s="5">
        <f>IF($BI150&lt;&gt;"",IF('Capacity summary'!$C$14="Yes",IF(COUNTBLANK('Capacity summary'!$H62:$BG62)&lt;52,IF('Capacity summary'!AE62&lt;&gt;"",IF(LOWER('Capacity summary'!AE62)="x",$BI150*AE150,VALUE('Capacity summary'!AE62)),0),AE150*$BI150),AE150*$BI150),0)</f>
        <v>0</v>
      </c>
      <c r="CI150" s="5">
        <f>IF($BI150&lt;&gt;"",IF('Capacity summary'!$C$14="Yes",IF(COUNTBLANK('Capacity summary'!$H62:$BG62)&lt;52,IF('Capacity summary'!AF62&lt;&gt;"",IF(LOWER('Capacity summary'!AF62)="x",$BI150*AF150,VALUE('Capacity summary'!AF62)),0),AF150*$BI150),AF150*$BI150),0)</f>
        <v>0</v>
      </c>
      <c r="CJ150" s="5">
        <f>IF($BI150&lt;&gt;"",IF('Capacity summary'!$C$14="Yes",IF(COUNTBLANK('Capacity summary'!$H62:$BG62)&lt;52,IF('Capacity summary'!AG62&lt;&gt;"",IF(LOWER('Capacity summary'!AG62)="x",$BI150*AG150,VALUE('Capacity summary'!AG62)),0),AG150*$BI150),AG150*$BI150),0)</f>
        <v>0</v>
      </c>
      <c r="CK150" s="5">
        <f>IF($BI150&lt;&gt;"",IF('Capacity summary'!$C$14="Yes",IF(COUNTBLANK('Capacity summary'!$H62:$BG62)&lt;52,IF('Capacity summary'!AH62&lt;&gt;"",IF(LOWER('Capacity summary'!AH62)="x",$BI150*AH150,VALUE('Capacity summary'!AH62)),0),AH150*$BI150),AH150*$BI150),0)</f>
        <v>0</v>
      </c>
      <c r="CL150" s="5">
        <f>IF($BI150&lt;&gt;"",IF('Capacity summary'!$C$14="Yes",IF(COUNTBLANK('Capacity summary'!$H62:$BG62)&lt;52,IF('Capacity summary'!AI62&lt;&gt;"",IF(LOWER('Capacity summary'!AI62)="x",$BI150*AI150,VALUE('Capacity summary'!AI62)),0),AI150*$BI150),AI150*$BI150),0)</f>
        <v>0</v>
      </c>
      <c r="CM150" s="5">
        <f>IF($BI150&lt;&gt;"",IF('Capacity summary'!$C$14="Yes",IF(COUNTBLANK('Capacity summary'!$H62:$BG62)&lt;52,IF('Capacity summary'!AJ62&lt;&gt;"",IF(LOWER('Capacity summary'!AJ62)="x",$BI150*AJ150,VALUE('Capacity summary'!AJ62)),0),AJ150*$BI150),AJ150*$BI150),0)</f>
        <v>0</v>
      </c>
      <c r="CN150" s="5">
        <f>IF($BI150&lt;&gt;"",IF('Capacity summary'!$C$14="Yes",IF(COUNTBLANK('Capacity summary'!$H62:$BG62)&lt;52,IF('Capacity summary'!AK62&lt;&gt;"",IF(LOWER('Capacity summary'!AK62)="x",$BI150*AK150,VALUE('Capacity summary'!AK62)),0),AK150*$BI150),AK150*$BI150),0)</f>
        <v>0</v>
      </c>
      <c r="CO150" s="5">
        <f>IF($BI150&lt;&gt;"",IF('Capacity summary'!$C$14="Yes",IF(COUNTBLANK('Capacity summary'!$H62:$BG62)&lt;52,IF('Capacity summary'!AL62&lt;&gt;"",IF(LOWER('Capacity summary'!AL62)="x",$BI150*AL150,VALUE('Capacity summary'!AL62)),0),AL150*$BI150),AL150*$BI150),0)</f>
        <v>0</v>
      </c>
      <c r="CP150" s="5">
        <f>IF($BI150&lt;&gt;"",IF('Capacity summary'!$C$14="Yes",IF(COUNTBLANK('Capacity summary'!$H62:$BG62)&lt;52,IF('Capacity summary'!AM62&lt;&gt;"",IF(LOWER('Capacity summary'!AM62)="x",$BI150*AM150,VALUE('Capacity summary'!AM62)),0),AM150*$BI150),AM150*$BI150),0)</f>
        <v>0</v>
      </c>
      <c r="CQ150" s="5">
        <f>IF($BI150&lt;&gt;"",IF('Capacity summary'!$C$14="Yes",IF(COUNTBLANK('Capacity summary'!$H62:$BG62)&lt;52,IF('Capacity summary'!AN62&lt;&gt;"",IF(LOWER('Capacity summary'!AN62)="x",$BI150*AN150,VALUE('Capacity summary'!AN62)),0),AN150*$BI150),AN150*$BI150),0)</f>
        <v>0</v>
      </c>
      <c r="CR150" s="5">
        <f>IF($BI150&lt;&gt;"",IF('Capacity summary'!$C$14="Yes",IF(COUNTBLANK('Capacity summary'!$H62:$BG62)&lt;52,IF('Capacity summary'!AO62&lt;&gt;"",IF(LOWER('Capacity summary'!AO62)="x",$BI150*AO150,VALUE('Capacity summary'!AO62)),0),AO150*$BI150),AO150*$BI150),0)</f>
        <v>0</v>
      </c>
      <c r="CS150" s="5">
        <f>IF($BI150&lt;&gt;"",IF('Capacity summary'!$C$14="Yes",IF(COUNTBLANK('Capacity summary'!$H62:$BG62)&lt;52,IF('Capacity summary'!AP62&lt;&gt;"",IF(LOWER('Capacity summary'!AP62)="x",$BI150*AP150,VALUE('Capacity summary'!AP62)),0),AP150*$BI150),AP150*$BI150),0)</f>
        <v>0</v>
      </c>
      <c r="CT150" s="5">
        <f>IF($BI150&lt;&gt;"",IF('Capacity summary'!$C$14="Yes",IF(COUNTBLANK('Capacity summary'!$H62:$BG62)&lt;52,IF('Capacity summary'!AQ62&lt;&gt;"",IF(LOWER('Capacity summary'!AQ62)="x",$BI150*AQ150,VALUE('Capacity summary'!AQ62)),0),AQ150*$BI150),AQ150*$BI150),0)</f>
        <v>0</v>
      </c>
      <c r="CU150" s="5">
        <f>IF($BI150&lt;&gt;"",IF('Capacity summary'!$C$14="Yes",IF(COUNTBLANK('Capacity summary'!$H62:$BG62)&lt;52,IF('Capacity summary'!AR62&lt;&gt;"",IF(LOWER('Capacity summary'!AR62)="x",$BI150*AR150,VALUE('Capacity summary'!AR62)),0),AR150*$BI150),AR150*$BI150),0)</f>
        <v>0</v>
      </c>
      <c r="CV150" s="5">
        <f>IF($BI150&lt;&gt;"",IF('Capacity summary'!$C$14="Yes",IF(COUNTBLANK('Capacity summary'!$H62:$BG62)&lt;52,IF('Capacity summary'!AS62&lt;&gt;"",IF(LOWER('Capacity summary'!AS62)="x",$BI150*AS150,VALUE('Capacity summary'!AS62)),0),AS150*$BI150),AS150*$BI150),0)</f>
        <v>0</v>
      </c>
      <c r="CW150" s="5">
        <f>IF($BI150&lt;&gt;"",IF('Capacity summary'!$C$14="Yes",IF(COUNTBLANK('Capacity summary'!$H62:$BG62)&lt;52,IF('Capacity summary'!AT62&lt;&gt;"",IF(LOWER('Capacity summary'!AT62)="x",$BI150*AT150,VALUE('Capacity summary'!AT62)),0),AT150*$BI150),AT150*$BI150),0)</f>
        <v>0</v>
      </c>
      <c r="CX150" s="5">
        <f>IF($BI150&lt;&gt;"",IF('Capacity summary'!$C$14="Yes",IF(COUNTBLANK('Capacity summary'!$H62:$BG62)&lt;52,IF('Capacity summary'!AU62&lt;&gt;"",IF(LOWER('Capacity summary'!AU62)="x",$BI150*AU150,VALUE('Capacity summary'!AU62)),0),AU150*$BI150),AU150*$BI150),0)</f>
        <v>0</v>
      </c>
      <c r="CY150" s="5">
        <f>IF($BI150&lt;&gt;"",IF('Capacity summary'!$C$14="Yes",IF(COUNTBLANK('Capacity summary'!$H62:$BG62)&lt;52,IF('Capacity summary'!AV62&lt;&gt;"",IF(LOWER('Capacity summary'!AV62)="x",$BI150*AV150,VALUE('Capacity summary'!AV62)),0),AV150*$BI150),AV150*$BI150),0)</f>
        <v>0</v>
      </c>
      <c r="CZ150" s="5">
        <f>IF($BI150&lt;&gt;"",IF('Capacity summary'!$C$14="Yes",IF(COUNTBLANK('Capacity summary'!$H62:$BG62)&lt;52,IF('Capacity summary'!AW62&lt;&gt;"",IF(LOWER('Capacity summary'!AW62)="x",$BI150*AW150,VALUE('Capacity summary'!AW62)),0),AW150*$BI150),AW150*$BI150),0)</f>
        <v>0</v>
      </c>
      <c r="DA150" s="5">
        <f>IF($BI150&lt;&gt;"",IF('Capacity summary'!$C$14="Yes",IF(COUNTBLANK('Capacity summary'!$H62:$BG62)&lt;52,IF('Capacity summary'!AX62&lt;&gt;"",IF(LOWER('Capacity summary'!AX62)="x",$BI150*AX150,VALUE('Capacity summary'!AX62)),0),AX150*$BI150),AX150*$BI150),0)</f>
        <v>0</v>
      </c>
      <c r="DB150" s="5">
        <f>IF($BI150&lt;&gt;"",IF('Capacity summary'!$C$14="Yes",IF(COUNTBLANK('Capacity summary'!$H62:$BG62)&lt;52,IF('Capacity summary'!AY62&lt;&gt;"",IF(LOWER('Capacity summary'!AY62)="x",$BI150*AY150,VALUE('Capacity summary'!AY62)),0),AY150*$BI150),AY150*$BI150),0)</f>
        <v>0</v>
      </c>
      <c r="DC150" s="5">
        <f>IF($BI150&lt;&gt;"",IF('Capacity summary'!$C$14="Yes",IF(COUNTBLANK('Capacity summary'!$H62:$BG62)&lt;52,IF('Capacity summary'!AZ62&lt;&gt;"",IF(LOWER('Capacity summary'!AZ62)="x",$BI150*AZ150,VALUE('Capacity summary'!AZ62)),0),AZ150*$BI150),AZ150*$BI150),0)</f>
        <v>0</v>
      </c>
      <c r="DD150" s="5">
        <f>IF($BI150&lt;&gt;"",IF('Capacity summary'!$C$14="Yes",IF(COUNTBLANK('Capacity summary'!$H62:$BG62)&lt;52,IF('Capacity summary'!BA62&lt;&gt;"",IF(LOWER('Capacity summary'!BA62)="x",$BI150*BA150,VALUE('Capacity summary'!BA62)),0),BA150*$BI150),BA150*$BI150),0)</f>
        <v>0</v>
      </c>
      <c r="DE150" s="5">
        <f>IF($BI150&lt;&gt;"",IF('Capacity summary'!$C$14="Yes",IF(COUNTBLANK('Capacity summary'!$H62:$BG62)&lt;52,IF('Capacity summary'!BB62&lt;&gt;"",IF(LOWER('Capacity summary'!BB62)="x",$BI150*BB150,VALUE('Capacity summary'!BB62)),0),BB150*$BI150),BB150*$BI150),0)</f>
        <v>0</v>
      </c>
      <c r="DF150" s="5">
        <f>IF($BI150&lt;&gt;"",IF('Capacity summary'!$C$14="Yes",IF(COUNTBLANK('Capacity summary'!$H62:$BG62)&lt;52,IF('Capacity summary'!BC62&lt;&gt;"",IF(LOWER('Capacity summary'!BC62)="x",$BI150*BC150,VALUE('Capacity summary'!BC62)),0),BC150*$BI150),BC150*$BI150),0)</f>
        <v>0</v>
      </c>
      <c r="DG150" s="5">
        <f>IF($BI150&lt;&gt;"",IF('Capacity summary'!$C$14="Yes",IF(COUNTBLANK('Capacity summary'!$H62:$BG62)&lt;52,IF('Capacity summary'!BD62&lt;&gt;"",IF(LOWER('Capacity summary'!BD62)="x",$BI150*BD150,VALUE('Capacity summary'!BD62)),0),BD150*$BI150),BD150*$BI150),0)</f>
        <v>0</v>
      </c>
      <c r="DH150" s="5">
        <f>IF($BI150&lt;&gt;"",IF('Capacity summary'!$C$14="Yes",IF(COUNTBLANK('Capacity summary'!$H62:$BG62)&lt;52,IF('Capacity summary'!BE62&lt;&gt;"",IF(LOWER('Capacity summary'!BE62)="x",$BI150*BE150,VALUE('Capacity summary'!BE62)),0),BE150*$BI150),BE150*$BI150),0)</f>
        <v>0</v>
      </c>
      <c r="DI150" s="5">
        <f>IF($BI150&lt;&gt;"",IF('Capacity summary'!$C$14="Yes",IF(COUNTBLANK('Capacity summary'!$H62:$BG62)&lt;52,IF('Capacity summary'!BF62&lt;&gt;"",IF(LOWER('Capacity summary'!BF62)="x",$BI150*BF150,VALUE('Capacity summary'!BF62)),0),BF150*$BI150),BF150*$BI150),0)</f>
        <v>0</v>
      </c>
      <c r="DJ150" s="5">
        <f>IF($BI150&lt;&gt;"",IF('Capacity summary'!$C$14="Yes",IF(COUNTBLANK('Capacity summary'!$H62:$BG62)&lt;52,IF('Capacity summary'!BG62&lt;&gt;"",IF(LOWER('Capacity summary'!BG62)="x",$BI150*BG150,VALUE('Capacity summary'!BG62)),0),BG150*$BI150),BG150*$BI150),0)</f>
        <v>0</v>
      </c>
      <c r="DK150" s="391">
        <f t="shared" si="8"/>
        <v>0</v>
      </c>
      <c r="DL150" s="5">
        <f t="shared" si="9"/>
        <v>0</v>
      </c>
    </row>
    <row r="151" spans="3:116" x14ac:dyDescent="0.2">
      <c r="C151" s="67" t="str">
        <f>ROW(A40)&amp;". "&amp;Capacity!N56</f>
        <v xml:space="preserve">40. </v>
      </c>
      <c r="D151" s="67">
        <f>'Capacity setup'!C157</f>
        <v>0</v>
      </c>
      <c r="E151" s="67">
        <f>'Capacity setup'!D157</f>
        <v>0</v>
      </c>
      <c r="F151" s="67">
        <f>'Capacity setup'!E157</f>
        <v>0</v>
      </c>
      <c r="H151" s="67">
        <f ca="1">IF(LOWER(Capacity!$V56)="x",IF(AND(SUMIF(Capacity_Resource,$D151,'Critical resources (hide)'!U$6:U$105)+SUMIF(Capacity_Resource,$E151,'Critical resources (hide)'!U$6:U$105)+SUMIF(Capacity_Resource,$F151,'Critical resources (hide)'!U$6:U$105)&gt;0,$E$1=2),0,1),0)</f>
        <v>1</v>
      </c>
      <c r="I151" s="67">
        <f ca="1">IF(LOWER(Capacity!$V56)="x",IF(AND(SUMIF(Capacity_Resource,$D151,'Critical resources (hide)'!V$6:V$105)+SUMIF(Capacity_Resource,$E151,'Critical resources (hide)'!V$6:V$105)+SUMIF(Capacity_Resource,$F151,'Critical resources (hide)'!V$6:V$105)&gt;0,$E$1=2),0,1),0)</f>
        <v>1</v>
      </c>
      <c r="J151" s="67">
        <f ca="1">IF(LOWER(Capacity!$V56)="x",IF(AND(SUMIF(Capacity_Resource,$D151,'Critical resources (hide)'!W$6:W$105)+SUMIF(Capacity_Resource,$E151,'Critical resources (hide)'!W$6:W$105)+SUMIF(Capacity_Resource,$F151,'Critical resources (hide)'!W$6:W$105)&gt;0,$E$1=2),0,1),0)</f>
        <v>1</v>
      </c>
      <c r="K151" s="67">
        <f ca="1">IF(LOWER(Capacity!$V56)="x",IF(AND(SUMIF(Capacity_Resource,$D151,'Critical resources (hide)'!X$6:X$105)+SUMIF(Capacity_Resource,$E151,'Critical resources (hide)'!X$6:X$105)+SUMIF(Capacity_Resource,$F151,'Critical resources (hide)'!X$6:X$105)&gt;0,$E$1=2),0,1),0)</f>
        <v>1</v>
      </c>
      <c r="L151" s="67">
        <f ca="1">IF(LOWER(Capacity!$V56)="x",IF(AND(SUMIF(Capacity_Resource,$D151,'Critical resources (hide)'!Y$6:Y$105)+SUMIF(Capacity_Resource,$E151,'Critical resources (hide)'!Y$6:Y$105)+SUMIF(Capacity_Resource,$F151,'Critical resources (hide)'!Y$6:Y$105)&gt;0,$E$1=2),0,1),0)</f>
        <v>1</v>
      </c>
      <c r="M151" s="67">
        <f ca="1">IF(LOWER(Capacity!$V56)="x",IF(AND(SUMIF(Capacity_Resource,$D151,'Critical resources (hide)'!Z$6:Z$105)+SUMIF(Capacity_Resource,$E151,'Critical resources (hide)'!Z$6:Z$105)+SUMIF(Capacity_Resource,$F151,'Critical resources (hide)'!Z$6:Z$105)&gt;0,$E$1=2),0,1),0)</f>
        <v>1</v>
      </c>
      <c r="N151" s="67">
        <f ca="1">IF(LOWER(Capacity!$V56)="x",IF(AND(SUMIF(Capacity_Resource,$D151,'Critical resources (hide)'!AA$6:AA$105)+SUMIF(Capacity_Resource,$E151,'Critical resources (hide)'!AA$6:AA$105)+SUMIF(Capacity_Resource,$F151,'Critical resources (hide)'!AA$6:AA$105)&gt;0,$E$1=2),0,1),0)</f>
        <v>1</v>
      </c>
      <c r="O151" s="67">
        <f ca="1">IF(LOWER(Capacity!$V56)="x",IF(AND(SUMIF(Capacity_Resource,$D151,'Critical resources (hide)'!AB$6:AB$105)+SUMIF(Capacity_Resource,$E151,'Critical resources (hide)'!AB$6:AB$105)+SUMIF(Capacity_Resource,$F151,'Critical resources (hide)'!AB$6:AB$105)&gt;0,$E$1=2),0,1),0)</f>
        <v>1</v>
      </c>
      <c r="P151" s="67">
        <f ca="1">IF(LOWER(Capacity!$V56)="x",IF(AND(SUMIF(Capacity_Resource,$D151,'Critical resources (hide)'!AC$6:AC$105)+SUMIF(Capacity_Resource,$E151,'Critical resources (hide)'!AC$6:AC$105)+SUMIF(Capacity_Resource,$F151,'Critical resources (hide)'!AC$6:AC$105)&gt;0,$E$1=2),0,1),0)</f>
        <v>1</v>
      </c>
      <c r="Q151" s="67">
        <f ca="1">IF(LOWER(Capacity!$V56)="x",IF(AND(SUMIF(Capacity_Resource,$D151,'Critical resources (hide)'!AD$6:AD$105)+SUMIF(Capacity_Resource,$E151,'Critical resources (hide)'!AD$6:AD$105)+SUMIF(Capacity_Resource,$F151,'Critical resources (hide)'!AD$6:AD$105)&gt;0,$E$1=2),0,1),0)</f>
        <v>1</v>
      </c>
      <c r="R151" s="67">
        <f ca="1">IF(LOWER(Capacity!$V56)="x",IF(AND(SUMIF(Capacity_Resource,$D151,'Critical resources (hide)'!AE$6:AE$105)+SUMIF(Capacity_Resource,$E151,'Critical resources (hide)'!AE$6:AE$105)+SUMIF(Capacity_Resource,$F151,'Critical resources (hide)'!AE$6:AE$105)&gt;0,$E$1=2),0,1),0)</f>
        <v>1</v>
      </c>
      <c r="S151" s="67">
        <f ca="1">IF(LOWER(Capacity!$V56)="x",IF(AND(SUMIF(Capacity_Resource,$D151,'Critical resources (hide)'!AF$6:AF$105)+SUMIF(Capacity_Resource,$E151,'Critical resources (hide)'!AF$6:AF$105)+SUMIF(Capacity_Resource,$F151,'Critical resources (hide)'!AF$6:AF$105)&gt;0,$E$1=2),0,1),0)</f>
        <v>1</v>
      </c>
      <c r="T151" s="67">
        <f ca="1">IF(LOWER(Capacity!$V56)="x",IF(AND(SUMIF(Capacity_Resource,$D151,'Critical resources (hide)'!AG$6:AG$105)+SUMIF(Capacity_Resource,$E151,'Critical resources (hide)'!AG$6:AG$105)+SUMIF(Capacity_Resource,$F151,'Critical resources (hide)'!AG$6:AG$105)&gt;0,$E$1=2),0,1),0)</f>
        <v>1</v>
      </c>
      <c r="U151" s="67">
        <f ca="1">IF(LOWER(Capacity!$V56)="x",IF(AND(SUMIF(Capacity_Resource,$D151,'Critical resources (hide)'!AH$6:AH$105)+SUMIF(Capacity_Resource,$E151,'Critical resources (hide)'!AH$6:AH$105)+SUMIF(Capacity_Resource,$F151,'Critical resources (hide)'!AH$6:AH$105)&gt;0,$E$1=2),0,1),0)</f>
        <v>1</v>
      </c>
      <c r="V151" s="67">
        <f ca="1">IF(LOWER(Capacity!$V56)="x",IF(AND(SUMIF(Capacity_Resource,$D151,'Critical resources (hide)'!AI$6:AI$105)+SUMIF(Capacity_Resource,$E151,'Critical resources (hide)'!AI$6:AI$105)+SUMIF(Capacity_Resource,$F151,'Critical resources (hide)'!AI$6:AI$105)&gt;0,$E$1=2),0,1),0)</f>
        <v>1</v>
      </c>
      <c r="W151" s="67">
        <f ca="1">IF(LOWER(Capacity!$V56)="x",IF(AND(SUMIF(Capacity_Resource,$D151,'Critical resources (hide)'!AJ$6:AJ$105)+SUMIF(Capacity_Resource,$E151,'Critical resources (hide)'!AJ$6:AJ$105)+SUMIF(Capacity_Resource,$F151,'Critical resources (hide)'!AJ$6:AJ$105)&gt;0,$E$1=2),0,1),0)</f>
        <v>1</v>
      </c>
      <c r="X151" s="67">
        <f ca="1">IF(LOWER(Capacity!$V56)="x",IF(AND(SUMIF(Capacity_Resource,$D151,'Critical resources (hide)'!AK$6:AK$105)+SUMIF(Capacity_Resource,$E151,'Critical resources (hide)'!AK$6:AK$105)+SUMIF(Capacity_Resource,$F151,'Critical resources (hide)'!AK$6:AK$105)&gt;0,$E$1=2),0,1),0)</f>
        <v>1</v>
      </c>
      <c r="Y151" s="67">
        <f ca="1">IF(LOWER(Capacity!$V56)="x",IF(AND(SUMIF(Capacity_Resource,$D151,'Critical resources (hide)'!AL$6:AL$105)+SUMIF(Capacity_Resource,$E151,'Critical resources (hide)'!AL$6:AL$105)+SUMIF(Capacity_Resource,$F151,'Critical resources (hide)'!AL$6:AL$105)&gt;0,$E$1=2),0,1),0)</f>
        <v>1</v>
      </c>
      <c r="Z151" s="67">
        <f ca="1">IF(LOWER(Capacity!$V56)="x",IF(AND(SUMIF(Capacity_Resource,$D151,'Critical resources (hide)'!AM$6:AM$105)+SUMIF(Capacity_Resource,$E151,'Critical resources (hide)'!AM$6:AM$105)+SUMIF(Capacity_Resource,$F151,'Critical resources (hide)'!AM$6:AM$105)&gt;0,$E$1=2),0,1),0)</f>
        <v>1</v>
      </c>
      <c r="AA151" s="67">
        <f ca="1">IF(LOWER(Capacity!$V56)="x",IF(AND(SUMIF(Capacity_Resource,$D151,'Critical resources (hide)'!AN$6:AN$105)+SUMIF(Capacity_Resource,$E151,'Critical resources (hide)'!AN$6:AN$105)+SUMIF(Capacity_Resource,$F151,'Critical resources (hide)'!AN$6:AN$105)&gt;0,$E$1=2),0,1),0)</f>
        <v>1</v>
      </c>
      <c r="AB151" s="67">
        <f ca="1">IF(LOWER(Capacity!$V56)="x",IF(AND(SUMIF(Capacity_Resource,$D151,'Critical resources (hide)'!AO$6:AO$105)+SUMIF(Capacity_Resource,$E151,'Critical resources (hide)'!AO$6:AO$105)+SUMIF(Capacity_Resource,$F151,'Critical resources (hide)'!AO$6:AO$105)&gt;0,$E$1=2),0,1),0)</f>
        <v>1</v>
      </c>
      <c r="AC151" s="67">
        <f ca="1">IF(LOWER(Capacity!$V56)="x",IF(AND(SUMIF(Capacity_Resource,$D151,'Critical resources (hide)'!AP$6:AP$105)+SUMIF(Capacity_Resource,$E151,'Critical resources (hide)'!AP$6:AP$105)+SUMIF(Capacity_Resource,$F151,'Critical resources (hide)'!AP$6:AP$105)&gt;0,$E$1=2),0,1),0)</f>
        <v>1</v>
      </c>
      <c r="AD151" s="67">
        <f ca="1">IF(LOWER(Capacity!$V56)="x",IF(AND(SUMIF(Capacity_Resource,$D151,'Critical resources (hide)'!AQ$6:AQ$105)+SUMIF(Capacity_Resource,$E151,'Critical resources (hide)'!AQ$6:AQ$105)+SUMIF(Capacity_Resource,$F151,'Critical resources (hide)'!AQ$6:AQ$105)&gt;0,$E$1=2),0,1),0)</f>
        <v>1</v>
      </c>
      <c r="AE151" s="67">
        <f ca="1">IF(LOWER(Capacity!$V56)="x",IF(AND(SUMIF(Capacity_Resource,$D151,'Critical resources (hide)'!AR$6:AR$105)+SUMIF(Capacity_Resource,$E151,'Critical resources (hide)'!AR$6:AR$105)+SUMIF(Capacity_Resource,$F151,'Critical resources (hide)'!AR$6:AR$105)&gt;0,$E$1=2),0,1),0)</f>
        <v>1</v>
      </c>
      <c r="AF151" s="67">
        <f ca="1">IF(LOWER(Capacity!$V56)="x",IF(AND(SUMIF(Capacity_Resource,$D151,'Critical resources (hide)'!AS$6:AS$105)+SUMIF(Capacity_Resource,$E151,'Critical resources (hide)'!AS$6:AS$105)+SUMIF(Capacity_Resource,$F151,'Critical resources (hide)'!AS$6:AS$105)&gt;0,$E$1=2),0,1),0)</f>
        <v>1</v>
      </c>
      <c r="AG151" s="67">
        <f ca="1">IF(LOWER(Capacity!$V56)="x",IF(AND(SUMIF(Capacity_Resource,$D151,'Critical resources (hide)'!AT$6:AT$105)+SUMIF(Capacity_Resource,$E151,'Critical resources (hide)'!AT$6:AT$105)+SUMIF(Capacity_Resource,$F151,'Critical resources (hide)'!AT$6:AT$105)&gt;0,$E$1=2),0,1),0)</f>
        <v>1</v>
      </c>
      <c r="AH151" s="67">
        <f ca="1">IF(LOWER(Capacity!$V56)="x",IF(AND(SUMIF(Capacity_Resource,$D151,'Critical resources (hide)'!AU$6:AU$105)+SUMIF(Capacity_Resource,$E151,'Critical resources (hide)'!AU$6:AU$105)+SUMIF(Capacity_Resource,$F151,'Critical resources (hide)'!AU$6:AU$105)&gt;0,$E$1=2),0,1),0)</f>
        <v>1</v>
      </c>
      <c r="AI151" s="67">
        <f ca="1">IF(LOWER(Capacity!$V56)="x",IF(AND(SUMIF(Capacity_Resource,$D151,'Critical resources (hide)'!AV$6:AV$105)+SUMIF(Capacity_Resource,$E151,'Critical resources (hide)'!AV$6:AV$105)+SUMIF(Capacity_Resource,$F151,'Critical resources (hide)'!AV$6:AV$105)&gt;0,$E$1=2),0,1),0)</f>
        <v>1</v>
      </c>
      <c r="AJ151" s="67">
        <f ca="1">IF(LOWER(Capacity!$V56)="x",IF(AND(SUMIF(Capacity_Resource,$D151,'Critical resources (hide)'!AW$6:AW$105)+SUMIF(Capacity_Resource,$E151,'Critical resources (hide)'!AW$6:AW$105)+SUMIF(Capacity_Resource,$F151,'Critical resources (hide)'!AW$6:AW$105)&gt;0,$E$1=2),0,1),0)</f>
        <v>1</v>
      </c>
      <c r="AK151" s="67">
        <f ca="1">IF(LOWER(Capacity!$V56)="x",IF(AND(SUMIF(Capacity_Resource,$D151,'Critical resources (hide)'!AX$6:AX$105)+SUMIF(Capacity_Resource,$E151,'Critical resources (hide)'!AX$6:AX$105)+SUMIF(Capacity_Resource,$F151,'Critical resources (hide)'!AX$6:AX$105)&gt;0,$E$1=2),0,1),0)</f>
        <v>1</v>
      </c>
      <c r="AL151" s="67">
        <f ca="1">IF(LOWER(Capacity!$V56)="x",IF(AND(SUMIF(Capacity_Resource,$D151,'Critical resources (hide)'!AY$6:AY$105)+SUMIF(Capacity_Resource,$E151,'Critical resources (hide)'!AY$6:AY$105)+SUMIF(Capacity_Resource,$F151,'Critical resources (hide)'!AY$6:AY$105)&gt;0,$E$1=2),0,1),0)</f>
        <v>1</v>
      </c>
      <c r="AM151" s="67">
        <f ca="1">IF(LOWER(Capacity!$V56)="x",IF(AND(SUMIF(Capacity_Resource,$D151,'Critical resources (hide)'!AZ$6:AZ$105)+SUMIF(Capacity_Resource,$E151,'Critical resources (hide)'!AZ$6:AZ$105)+SUMIF(Capacity_Resource,$F151,'Critical resources (hide)'!AZ$6:AZ$105)&gt;0,$E$1=2),0,1),0)</f>
        <v>1</v>
      </c>
      <c r="AN151" s="67">
        <f ca="1">IF(LOWER(Capacity!$V56)="x",IF(AND(SUMIF(Capacity_Resource,$D151,'Critical resources (hide)'!BA$6:BA$105)+SUMIF(Capacity_Resource,$E151,'Critical resources (hide)'!BA$6:BA$105)+SUMIF(Capacity_Resource,$F151,'Critical resources (hide)'!BA$6:BA$105)&gt;0,$E$1=2),0,1),0)</f>
        <v>1</v>
      </c>
      <c r="AO151" s="67">
        <f ca="1">IF(LOWER(Capacity!$V56)="x",IF(AND(SUMIF(Capacity_Resource,$D151,'Critical resources (hide)'!BB$6:BB$105)+SUMIF(Capacity_Resource,$E151,'Critical resources (hide)'!BB$6:BB$105)+SUMIF(Capacity_Resource,$F151,'Critical resources (hide)'!BB$6:BB$105)&gt;0,$E$1=2),0,1),0)</f>
        <v>1</v>
      </c>
      <c r="AP151" s="67">
        <f ca="1">IF(LOWER(Capacity!$V56)="x",IF(AND(SUMIF(Capacity_Resource,$D151,'Critical resources (hide)'!BC$6:BC$105)+SUMIF(Capacity_Resource,$E151,'Critical resources (hide)'!BC$6:BC$105)+SUMIF(Capacity_Resource,$F151,'Critical resources (hide)'!BC$6:BC$105)&gt;0,$E$1=2),0,1),0)</f>
        <v>1</v>
      </c>
      <c r="AQ151" s="67">
        <f ca="1">IF(LOWER(Capacity!$V56)="x",IF(AND(SUMIF(Capacity_Resource,$D151,'Critical resources (hide)'!BD$6:BD$105)+SUMIF(Capacity_Resource,$E151,'Critical resources (hide)'!BD$6:BD$105)+SUMIF(Capacity_Resource,$F151,'Critical resources (hide)'!BD$6:BD$105)&gt;0,$E$1=2),0,1),0)</f>
        <v>1</v>
      </c>
      <c r="AR151" s="67">
        <f ca="1">IF(LOWER(Capacity!$V56)="x",IF(AND(SUMIF(Capacity_Resource,$D151,'Critical resources (hide)'!BE$6:BE$105)+SUMIF(Capacity_Resource,$E151,'Critical resources (hide)'!BE$6:BE$105)+SUMIF(Capacity_Resource,$F151,'Critical resources (hide)'!BE$6:BE$105)&gt;0,$E$1=2),0,1),0)</f>
        <v>1</v>
      </c>
      <c r="AS151" s="67">
        <f ca="1">IF(LOWER(Capacity!$V56)="x",IF(AND(SUMIF(Capacity_Resource,$D151,'Critical resources (hide)'!BF$6:BF$105)+SUMIF(Capacity_Resource,$E151,'Critical resources (hide)'!BF$6:BF$105)+SUMIF(Capacity_Resource,$F151,'Critical resources (hide)'!BF$6:BF$105)&gt;0,$E$1=2),0,1),0)</f>
        <v>1</v>
      </c>
      <c r="AT151" s="67">
        <f ca="1">IF(LOWER(Capacity!$V56)="x",IF(AND(SUMIF(Capacity_Resource,$D151,'Critical resources (hide)'!BG$6:BG$105)+SUMIF(Capacity_Resource,$E151,'Critical resources (hide)'!BG$6:BG$105)+SUMIF(Capacity_Resource,$F151,'Critical resources (hide)'!BG$6:BG$105)&gt;0,$E$1=2),0,1),0)</f>
        <v>1</v>
      </c>
      <c r="AU151" s="67">
        <f ca="1">IF(LOWER(Capacity!$V56)="x",IF(AND(SUMIF(Capacity_Resource,$D151,'Critical resources (hide)'!BH$6:BH$105)+SUMIF(Capacity_Resource,$E151,'Critical resources (hide)'!BH$6:BH$105)+SUMIF(Capacity_Resource,$F151,'Critical resources (hide)'!BH$6:BH$105)&gt;0,$E$1=2),0,1),0)</f>
        <v>1</v>
      </c>
      <c r="AV151" s="67">
        <f ca="1">IF(LOWER(Capacity!$V56)="x",IF(AND(SUMIF(Capacity_Resource,$D151,'Critical resources (hide)'!BI$6:BI$105)+SUMIF(Capacity_Resource,$E151,'Critical resources (hide)'!BI$6:BI$105)+SUMIF(Capacity_Resource,$F151,'Critical resources (hide)'!BI$6:BI$105)&gt;0,$E$1=2),0,1),0)</f>
        <v>1</v>
      </c>
      <c r="AW151" s="67">
        <f ca="1">IF(LOWER(Capacity!$V56)="x",IF(AND(SUMIF(Capacity_Resource,$D151,'Critical resources (hide)'!BJ$6:BJ$105)+SUMIF(Capacity_Resource,$E151,'Critical resources (hide)'!BJ$6:BJ$105)+SUMIF(Capacity_Resource,$F151,'Critical resources (hide)'!BJ$6:BJ$105)&gt;0,$E$1=2),0,1),0)</f>
        <v>1</v>
      </c>
      <c r="AX151" s="67">
        <f ca="1">IF(LOWER(Capacity!$V56)="x",IF(AND(SUMIF(Capacity_Resource,$D151,'Critical resources (hide)'!BK$6:BK$105)+SUMIF(Capacity_Resource,$E151,'Critical resources (hide)'!BK$6:BK$105)+SUMIF(Capacity_Resource,$F151,'Critical resources (hide)'!BK$6:BK$105)&gt;0,$E$1=2),0,1),0)</f>
        <v>1</v>
      </c>
      <c r="AY151" s="67">
        <f ca="1">IF(LOWER(Capacity!$V56)="x",IF(AND(SUMIF(Capacity_Resource,$D151,'Critical resources (hide)'!BL$6:BL$105)+SUMIF(Capacity_Resource,$E151,'Critical resources (hide)'!BL$6:BL$105)+SUMIF(Capacity_Resource,$F151,'Critical resources (hide)'!BL$6:BL$105)&gt;0,$E$1=2),0,1),0)</f>
        <v>1</v>
      </c>
      <c r="AZ151" s="67">
        <f ca="1">IF(LOWER(Capacity!$V56)="x",IF(AND(SUMIF(Capacity_Resource,$D151,'Critical resources (hide)'!BM$6:BM$105)+SUMIF(Capacity_Resource,$E151,'Critical resources (hide)'!BM$6:BM$105)+SUMIF(Capacity_Resource,$F151,'Critical resources (hide)'!BM$6:BM$105)&gt;0,$E$1=2),0,1),0)</f>
        <v>1</v>
      </c>
      <c r="BA151" s="67">
        <f ca="1">IF(LOWER(Capacity!$V56)="x",IF(AND(SUMIF(Capacity_Resource,$D151,'Critical resources (hide)'!BN$6:BN$105)+SUMIF(Capacity_Resource,$E151,'Critical resources (hide)'!BN$6:BN$105)+SUMIF(Capacity_Resource,$F151,'Critical resources (hide)'!BN$6:BN$105)&gt;0,$E$1=2),0,1),0)</f>
        <v>1</v>
      </c>
      <c r="BB151" s="67">
        <f ca="1">IF(LOWER(Capacity!$V56)="x",IF(AND(SUMIF(Capacity_Resource,$D151,'Critical resources (hide)'!BO$6:BO$105)+SUMIF(Capacity_Resource,$E151,'Critical resources (hide)'!BO$6:BO$105)+SUMIF(Capacity_Resource,$F151,'Critical resources (hide)'!BO$6:BO$105)&gt;0,$E$1=2),0,1),0)</f>
        <v>1</v>
      </c>
      <c r="BC151" s="67">
        <f ca="1">IF(LOWER(Capacity!$V56)="x",IF(AND(SUMIF(Capacity_Resource,$D151,'Critical resources (hide)'!BP$6:BP$105)+SUMIF(Capacity_Resource,$E151,'Critical resources (hide)'!BP$6:BP$105)+SUMIF(Capacity_Resource,$F151,'Critical resources (hide)'!BP$6:BP$105)&gt;0,$E$1=2),0,1),0)</f>
        <v>1</v>
      </c>
      <c r="BD151" s="67">
        <f ca="1">IF(LOWER(Capacity!$V56)="x",IF(AND(SUMIF(Capacity_Resource,$D151,'Critical resources (hide)'!BQ$6:BQ$105)+SUMIF(Capacity_Resource,$E151,'Critical resources (hide)'!BQ$6:BQ$105)+SUMIF(Capacity_Resource,$F151,'Critical resources (hide)'!BQ$6:BQ$105)&gt;0,$E$1=2),0,1),0)</f>
        <v>1</v>
      </c>
      <c r="BE151" s="67">
        <f ca="1">IF(LOWER(Capacity!$V56)="x",IF(AND(SUMIF(Capacity_Resource,$D151,'Critical resources (hide)'!BR$6:BR$105)+SUMIF(Capacity_Resource,$E151,'Critical resources (hide)'!BR$6:BR$105)+SUMIF(Capacity_Resource,$F151,'Critical resources (hide)'!BR$6:BR$105)&gt;0,$E$1=2),0,1),0)</f>
        <v>1</v>
      </c>
      <c r="BF151" s="67">
        <f ca="1">IF(LOWER(Capacity!$V56)="x",IF(AND(SUMIF(Capacity_Resource,$D151,'Critical resources (hide)'!BS$6:BS$105)+SUMIF(Capacity_Resource,$E151,'Critical resources (hide)'!BS$6:BS$105)+SUMIF(Capacity_Resource,$F151,'Critical resources (hide)'!BS$6:BS$105)&gt;0,$E$1=2),0,1),0)</f>
        <v>1</v>
      </c>
      <c r="BG151" s="67">
        <f ca="1">IF(LOWER(Capacity!$V56)="x",IF(AND(SUMIF(Capacity_Resource,$D151,'Critical resources (hide)'!BT$6:BT$105)+SUMIF(Capacity_Resource,$E151,'Critical resources (hide)'!BT$6:BT$105)+SUMIF(Capacity_Resource,$F151,'Critical resources (hide)'!BT$6:BT$105)&gt;0,$E$1=2),0,1),0)</f>
        <v>1</v>
      </c>
      <c r="BH151" s="67">
        <f>IF(ROW(A40)&lt;=Capacity!$M$16,IF('Capacity summary'!$C$14="No",SUM(H151:BG151),'Capacity summary'!$E63),0)</f>
        <v>0</v>
      </c>
      <c r="BI151" s="67" t="str">
        <f>IF(BH151&gt;0,IF(BH151&lt;Capacity!Q56,Capacity!R56,Capacity!T56/'Capacity calculation (hide)'!BH151),"")</f>
        <v/>
      </c>
      <c r="BJ151" s="5"/>
      <c r="BK151" s="5">
        <f>IF($BI151&lt;&gt;"",IF('Capacity summary'!$C$14="Yes",IF(COUNTBLANK('Capacity summary'!$H63:$BG63)&lt;52,IF('Capacity summary'!H63&lt;&gt;"",IF(LOWER('Capacity summary'!H63)="x",$BI151*H151,VALUE('Capacity summary'!H63)),0),H151*$BI151),H151*$BI151),0)</f>
        <v>0</v>
      </c>
      <c r="BL151" s="5">
        <f>IF($BI151&lt;&gt;"",IF('Capacity summary'!$C$14="Yes",IF(COUNTBLANK('Capacity summary'!$H63:$BG63)&lt;52,IF('Capacity summary'!I63&lt;&gt;"",IF(LOWER('Capacity summary'!I63)="x",$BI151*I151,VALUE('Capacity summary'!I63)),0),I151*$BI151),I151*$BI151),0)</f>
        <v>0</v>
      </c>
      <c r="BM151" s="5">
        <f>IF($BI151&lt;&gt;"",IF('Capacity summary'!$C$14="Yes",IF(COUNTBLANK('Capacity summary'!$H63:$BG63)&lt;52,IF('Capacity summary'!J63&lt;&gt;"",IF(LOWER('Capacity summary'!J63)="x",$BI151*J151,VALUE('Capacity summary'!J63)),0),J151*$BI151),J151*$BI151),0)</f>
        <v>0</v>
      </c>
      <c r="BN151" s="5">
        <f>IF($BI151&lt;&gt;"",IF('Capacity summary'!$C$14="Yes",IF(COUNTBLANK('Capacity summary'!$H63:$BG63)&lt;52,IF('Capacity summary'!K63&lt;&gt;"",IF(LOWER('Capacity summary'!K63)="x",$BI151*K151,VALUE('Capacity summary'!K63)),0),K151*$BI151),K151*$BI151),0)</f>
        <v>0</v>
      </c>
      <c r="BO151" s="5">
        <f>IF($BI151&lt;&gt;"",IF('Capacity summary'!$C$14="Yes",IF(COUNTBLANK('Capacity summary'!$H63:$BG63)&lt;52,IF('Capacity summary'!L63&lt;&gt;"",IF(LOWER('Capacity summary'!L63)="x",$BI151*L151,VALUE('Capacity summary'!L63)),0),L151*$BI151),L151*$BI151),0)</f>
        <v>0</v>
      </c>
      <c r="BP151" s="5">
        <f>IF($BI151&lt;&gt;"",IF('Capacity summary'!$C$14="Yes",IF(COUNTBLANK('Capacity summary'!$H63:$BG63)&lt;52,IF('Capacity summary'!M63&lt;&gt;"",IF(LOWER('Capacity summary'!M63)="x",$BI151*M151,VALUE('Capacity summary'!M63)),0),M151*$BI151),M151*$BI151),0)</f>
        <v>0</v>
      </c>
      <c r="BQ151" s="5">
        <f>IF($BI151&lt;&gt;"",IF('Capacity summary'!$C$14="Yes",IF(COUNTBLANK('Capacity summary'!$H63:$BG63)&lt;52,IF('Capacity summary'!N63&lt;&gt;"",IF(LOWER('Capacity summary'!N63)="x",$BI151*N151,VALUE('Capacity summary'!N63)),0),N151*$BI151),N151*$BI151),0)</f>
        <v>0</v>
      </c>
      <c r="BR151" s="5">
        <f>IF($BI151&lt;&gt;"",IF('Capacity summary'!$C$14="Yes",IF(COUNTBLANK('Capacity summary'!$H63:$BG63)&lt;52,IF('Capacity summary'!O63&lt;&gt;"",IF(LOWER('Capacity summary'!O63)="x",$BI151*O151,VALUE('Capacity summary'!O63)),0),O151*$BI151),O151*$BI151),0)</f>
        <v>0</v>
      </c>
      <c r="BS151" s="5">
        <f>IF($BI151&lt;&gt;"",IF('Capacity summary'!$C$14="Yes",IF(COUNTBLANK('Capacity summary'!$H63:$BG63)&lt;52,IF('Capacity summary'!P63&lt;&gt;"",IF(LOWER('Capacity summary'!P63)="x",$BI151*P151,VALUE('Capacity summary'!P63)),0),P151*$BI151),P151*$BI151),0)</f>
        <v>0</v>
      </c>
      <c r="BT151" s="5">
        <f>IF($BI151&lt;&gt;"",IF('Capacity summary'!$C$14="Yes",IF(COUNTBLANK('Capacity summary'!$H63:$BG63)&lt;52,IF('Capacity summary'!Q63&lt;&gt;"",IF(LOWER('Capacity summary'!Q63)="x",$BI151*Q151,VALUE('Capacity summary'!Q63)),0),Q151*$BI151),Q151*$BI151),0)</f>
        <v>0</v>
      </c>
      <c r="BU151" s="5">
        <f>IF($BI151&lt;&gt;"",IF('Capacity summary'!$C$14="Yes",IF(COUNTBLANK('Capacity summary'!$H63:$BG63)&lt;52,IF('Capacity summary'!R63&lt;&gt;"",IF(LOWER('Capacity summary'!R63)="x",$BI151*R151,VALUE('Capacity summary'!R63)),0),R151*$BI151),R151*$BI151),0)</f>
        <v>0</v>
      </c>
      <c r="BV151" s="5">
        <f>IF($BI151&lt;&gt;"",IF('Capacity summary'!$C$14="Yes",IF(COUNTBLANK('Capacity summary'!$H63:$BG63)&lt;52,IF('Capacity summary'!S63&lt;&gt;"",IF(LOWER('Capacity summary'!S63)="x",$BI151*S151,VALUE('Capacity summary'!S63)),0),S151*$BI151),S151*$BI151),0)</f>
        <v>0</v>
      </c>
      <c r="BW151" s="5">
        <f>IF($BI151&lt;&gt;"",IF('Capacity summary'!$C$14="Yes",IF(COUNTBLANK('Capacity summary'!$H63:$BG63)&lt;52,IF('Capacity summary'!T63&lt;&gt;"",IF(LOWER('Capacity summary'!T63)="x",$BI151*T151,VALUE('Capacity summary'!T63)),0),T151*$BI151),T151*$BI151),0)</f>
        <v>0</v>
      </c>
      <c r="BX151" s="5">
        <f>IF($BI151&lt;&gt;"",IF('Capacity summary'!$C$14="Yes",IF(COUNTBLANK('Capacity summary'!$H63:$BG63)&lt;52,IF('Capacity summary'!U63&lt;&gt;"",IF(LOWER('Capacity summary'!U63)="x",$BI151*U151,VALUE('Capacity summary'!U63)),0),U151*$BI151),U151*$BI151),0)</f>
        <v>0</v>
      </c>
      <c r="BY151" s="5">
        <f>IF($BI151&lt;&gt;"",IF('Capacity summary'!$C$14="Yes",IF(COUNTBLANK('Capacity summary'!$H63:$BG63)&lt;52,IF('Capacity summary'!V63&lt;&gt;"",IF(LOWER('Capacity summary'!V63)="x",$BI151*V151,VALUE('Capacity summary'!V63)),0),V151*$BI151),V151*$BI151),0)</f>
        <v>0</v>
      </c>
      <c r="BZ151" s="5">
        <f>IF($BI151&lt;&gt;"",IF('Capacity summary'!$C$14="Yes",IF(COUNTBLANK('Capacity summary'!$H63:$BG63)&lt;52,IF('Capacity summary'!W63&lt;&gt;"",IF(LOWER('Capacity summary'!W63)="x",$BI151*W151,VALUE('Capacity summary'!W63)),0),W151*$BI151),W151*$BI151),0)</f>
        <v>0</v>
      </c>
      <c r="CA151" s="5">
        <f>IF($BI151&lt;&gt;"",IF('Capacity summary'!$C$14="Yes",IF(COUNTBLANK('Capacity summary'!$H63:$BG63)&lt;52,IF('Capacity summary'!X63&lt;&gt;"",IF(LOWER('Capacity summary'!X63)="x",$BI151*X151,VALUE('Capacity summary'!X63)),0),X151*$BI151),X151*$BI151),0)</f>
        <v>0</v>
      </c>
      <c r="CB151" s="5">
        <f>IF($BI151&lt;&gt;"",IF('Capacity summary'!$C$14="Yes",IF(COUNTBLANK('Capacity summary'!$H63:$BG63)&lt;52,IF('Capacity summary'!Y63&lt;&gt;"",IF(LOWER('Capacity summary'!Y63)="x",$BI151*Y151,VALUE('Capacity summary'!Y63)),0),Y151*$BI151),Y151*$BI151),0)</f>
        <v>0</v>
      </c>
      <c r="CC151" s="5">
        <f>IF($BI151&lt;&gt;"",IF('Capacity summary'!$C$14="Yes",IF(COUNTBLANK('Capacity summary'!$H63:$BG63)&lt;52,IF('Capacity summary'!Z63&lt;&gt;"",IF(LOWER('Capacity summary'!Z63)="x",$BI151*Z151,VALUE('Capacity summary'!Z63)),0),Z151*$BI151),Z151*$BI151),0)</f>
        <v>0</v>
      </c>
      <c r="CD151" s="5">
        <f>IF($BI151&lt;&gt;"",IF('Capacity summary'!$C$14="Yes",IF(COUNTBLANK('Capacity summary'!$H63:$BG63)&lt;52,IF('Capacity summary'!AA63&lt;&gt;"",IF(LOWER('Capacity summary'!AA63)="x",$BI151*AA151,VALUE('Capacity summary'!AA63)),0),AA151*$BI151),AA151*$BI151),0)</f>
        <v>0</v>
      </c>
      <c r="CE151" s="5">
        <f>IF($BI151&lt;&gt;"",IF('Capacity summary'!$C$14="Yes",IF(COUNTBLANK('Capacity summary'!$H63:$BG63)&lt;52,IF('Capacity summary'!AB63&lt;&gt;"",IF(LOWER('Capacity summary'!AB63)="x",$BI151*AB151,VALUE('Capacity summary'!AB63)),0),AB151*$BI151),AB151*$BI151),0)</f>
        <v>0</v>
      </c>
      <c r="CF151" s="5">
        <f>IF($BI151&lt;&gt;"",IF('Capacity summary'!$C$14="Yes",IF(COUNTBLANK('Capacity summary'!$H63:$BG63)&lt;52,IF('Capacity summary'!AC63&lt;&gt;"",IF(LOWER('Capacity summary'!AC63)="x",$BI151*AC151,VALUE('Capacity summary'!AC63)),0),AC151*$BI151),AC151*$BI151),0)</f>
        <v>0</v>
      </c>
      <c r="CG151" s="5">
        <f>IF($BI151&lt;&gt;"",IF('Capacity summary'!$C$14="Yes",IF(COUNTBLANK('Capacity summary'!$H63:$BG63)&lt;52,IF('Capacity summary'!AD63&lt;&gt;"",IF(LOWER('Capacity summary'!AD63)="x",$BI151*AD151,VALUE('Capacity summary'!AD63)),0),AD151*$BI151),AD151*$BI151),0)</f>
        <v>0</v>
      </c>
      <c r="CH151" s="5">
        <f>IF($BI151&lt;&gt;"",IF('Capacity summary'!$C$14="Yes",IF(COUNTBLANK('Capacity summary'!$H63:$BG63)&lt;52,IF('Capacity summary'!AE63&lt;&gt;"",IF(LOWER('Capacity summary'!AE63)="x",$BI151*AE151,VALUE('Capacity summary'!AE63)),0),AE151*$BI151),AE151*$BI151),0)</f>
        <v>0</v>
      </c>
      <c r="CI151" s="5">
        <f>IF($BI151&lt;&gt;"",IF('Capacity summary'!$C$14="Yes",IF(COUNTBLANK('Capacity summary'!$H63:$BG63)&lt;52,IF('Capacity summary'!AF63&lt;&gt;"",IF(LOWER('Capacity summary'!AF63)="x",$BI151*AF151,VALUE('Capacity summary'!AF63)),0),AF151*$BI151),AF151*$BI151),0)</f>
        <v>0</v>
      </c>
      <c r="CJ151" s="5">
        <f>IF($BI151&lt;&gt;"",IF('Capacity summary'!$C$14="Yes",IF(COUNTBLANK('Capacity summary'!$H63:$BG63)&lt;52,IF('Capacity summary'!AG63&lt;&gt;"",IF(LOWER('Capacity summary'!AG63)="x",$BI151*AG151,VALUE('Capacity summary'!AG63)),0),AG151*$BI151),AG151*$BI151),0)</f>
        <v>0</v>
      </c>
      <c r="CK151" s="5">
        <f>IF($BI151&lt;&gt;"",IF('Capacity summary'!$C$14="Yes",IF(COUNTBLANK('Capacity summary'!$H63:$BG63)&lt;52,IF('Capacity summary'!AH63&lt;&gt;"",IF(LOWER('Capacity summary'!AH63)="x",$BI151*AH151,VALUE('Capacity summary'!AH63)),0),AH151*$BI151),AH151*$BI151),0)</f>
        <v>0</v>
      </c>
      <c r="CL151" s="5">
        <f>IF($BI151&lt;&gt;"",IF('Capacity summary'!$C$14="Yes",IF(COUNTBLANK('Capacity summary'!$H63:$BG63)&lt;52,IF('Capacity summary'!AI63&lt;&gt;"",IF(LOWER('Capacity summary'!AI63)="x",$BI151*AI151,VALUE('Capacity summary'!AI63)),0),AI151*$BI151),AI151*$BI151),0)</f>
        <v>0</v>
      </c>
      <c r="CM151" s="5">
        <f>IF($BI151&lt;&gt;"",IF('Capacity summary'!$C$14="Yes",IF(COUNTBLANK('Capacity summary'!$H63:$BG63)&lt;52,IF('Capacity summary'!AJ63&lt;&gt;"",IF(LOWER('Capacity summary'!AJ63)="x",$BI151*AJ151,VALUE('Capacity summary'!AJ63)),0),AJ151*$BI151),AJ151*$BI151),0)</f>
        <v>0</v>
      </c>
      <c r="CN151" s="5">
        <f>IF($BI151&lt;&gt;"",IF('Capacity summary'!$C$14="Yes",IF(COUNTBLANK('Capacity summary'!$H63:$BG63)&lt;52,IF('Capacity summary'!AK63&lt;&gt;"",IF(LOWER('Capacity summary'!AK63)="x",$BI151*AK151,VALUE('Capacity summary'!AK63)),0),AK151*$BI151),AK151*$BI151),0)</f>
        <v>0</v>
      </c>
      <c r="CO151" s="5">
        <f>IF($BI151&lt;&gt;"",IF('Capacity summary'!$C$14="Yes",IF(COUNTBLANK('Capacity summary'!$H63:$BG63)&lt;52,IF('Capacity summary'!AL63&lt;&gt;"",IF(LOWER('Capacity summary'!AL63)="x",$BI151*AL151,VALUE('Capacity summary'!AL63)),0),AL151*$BI151),AL151*$BI151),0)</f>
        <v>0</v>
      </c>
      <c r="CP151" s="5">
        <f>IF($BI151&lt;&gt;"",IF('Capacity summary'!$C$14="Yes",IF(COUNTBLANK('Capacity summary'!$H63:$BG63)&lt;52,IF('Capacity summary'!AM63&lt;&gt;"",IF(LOWER('Capacity summary'!AM63)="x",$BI151*AM151,VALUE('Capacity summary'!AM63)),0),AM151*$BI151),AM151*$BI151),0)</f>
        <v>0</v>
      </c>
      <c r="CQ151" s="5">
        <f>IF($BI151&lt;&gt;"",IF('Capacity summary'!$C$14="Yes",IF(COUNTBLANK('Capacity summary'!$H63:$BG63)&lt;52,IF('Capacity summary'!AN63&lt;&gt;"",IF(LOWER('Capacity summary'!AN63)="x",$BI151*AN151,VALUE('Capacity summary'!AN63)),0),AN151*$BI151),AN151*$BI151),0)</f>
        <v>0</v>
      </c>
      <c r="CR151" s="5">
        <f>IF($BI151&lt;&gt;"",IF('Capacity summary'!$C$14="Yes",IF(COUNTBLANK('Capacity summary'!$H63:$BG63)&lt;52,IF('Capacity summary'!AO63&lt;&gt;"",IF(LOWER('Capacity summary'!AO63)="x",$BI151*AO151,VALUE('Capacity summary'!AO63)),0),AO151*$BI151),AO151*$BI151),0)</f>
        <v>0</v>
      </c>
      <c r="CS151" s="5">
        <f>IF($BI151&lt;&gt;"",IF('Capacity summary'!$C$14="Yes",IF(COUNTBLANK('Capacity summary'!$H63:$BG63)&lt;52,IF('Capacity summary'!AP63&lt;&gt;"",IF(LOWER('Capacity summary'!AP63)="x",$BI151*AP151,VALUE('Capacity summary'!AP63)),0),AP151*$BI151),AP151*$BI151),0)</f>
        <v>0</v>
      </c>
      <c r="CT151" s="5">
        <f>IF($BI151&lt;&gt;"",IF('Capacity summary'!$C$14="Yes",IF(COUNTBLANK('Capacity summary'!$H63:$BG63)&lt;52,IF('Capacity summary'!AQ63&lt;&gt;"",IF(LOWER('Capacity summary'!AQ63)="x",$BI151*AQ151,VALUE('Capacity summary'!AQ63)),0),AQ151*$BI151),AQ151*$BI151),0)</f>
        <v>0</v>
      </c>
      <c r="CU151" s="5">
        <f>IF($BI151&lt;&gt;"",IF('Capacity summary'!$C$14="Yes",IF(COUNTBLANK('Capacity summary'!$H63:$BG63)&lt;52,IF('Capacity summary'!AR63&lt;&gt;"",IF(LOWER('Capacity summary'!AR63)="x",$BI151*AR151,VALUE('Capacity summary'!AR63)),0),AR151*$BI151),AR151*$BI151),0)</f>
        <v>0</v>
      </c>
      <c r="CV151" s="5">
        <f>IF($BI151&lt;&gt;"",IF('Capacity summary'!$C$14="Yes",IF(COUNTBLANK('Capacity summary'!$H63:$BG63)&lt;52,IF('Capacity summary'!AS63&lt;&gt;"",IF(LOWER('Capacity summary'!AS63)="x",$BI151*AS151,VALUE('Capacity summary'!AS63)),0),AS151*$BI151),AS151*$BI151),0)</f>
        <v>0</v>
      </c>
      <c r="CW151" s="5">
        <f>IF($BI151&lt;&gt;"",IF('Capacity summary'!$C$14="Yes",IF(COUNTBLANK('Capacity summary'!$H63:$BG63)&lt;52,IF('Capacity summary'!AT63&lt;&gt;"",IF(LOWER('Capacity summary'!AT63)="x",$BI151*AT151,VALUE('Capacity summary'!AT63)),0),AT151*$BI151),AT151*$BI151),0)</f>
        <v>0</v>
      </c>
      <c r="CX151" s="5">
        <f>IF($BI151&lt;&gt;"",IF('Capacity summary'!$C$14="Yes",IF(COUNTBLANK('Capacity summary'!$H63:$BG63)&lt;52,IF('Capacity summary'!AU63&lt;&gt;"",IF(LOWER('Capacity summary'!AU63)="x",$BI151*AU151,VALUE('Capacity summary'!AU63)),0),AU151*$BI151),AU151*$BI151),0)</f>
        <v>0</v>
      </c>
      <c r="CY151" s="5">
        <f>IF($BI151&lt;&gt;"",IF('Capacity summary'!$C$14="Yes",IF(COUNTBLANK('Capacity summary'!$H63:$BG63)&lt;52,IF('Capacity summary'!AV63&lt;&gt;"",IF(LOWER('Capacity summary'!AV63)="x",$BI151*AV151,VALUE('Capacity summary'!AV63)),0),AV151*$BI151),AV151*$BI151),0)</f>
        <v>0</v>
      </c>
      <c r="CZ151" s="5">
        <f>IF($BI151&lt;&gt;"",IF('Capacity summary'!$C$14="Yes",IF(COUNTBLANK('Capacity summary'!$H63:$BG63)&lt;52,IF('Capacity summary'!AW63&lt;&gt;"",IF(LOWER('Capacity summary'!AW63)="x",$BI151*AW151,VALUE('Capacity summary'!AW63)),0),AW151*$BI151),AW151*$BI151),0)</f>
        <v>0</v>
      </c>
      <c r="DA151" s="5">
        <f>IF($BI151&lt;&gt;"",IF('Capacity summary'!$C$14="Yes",IF(COUNTBLANK('Capacity summary'!$H63:$BG63)&lt;52,IF('Capacity summary'!AX63&lt;&gt;"",IF(LOWER('Capacity summary'!AX63)="x",$BI151*AX151,VALUE('Capacity summary'!AX63)),0),AX151*$BI151),AX151*$BI151),0)</f>
        <v>0</v>
      </c>
      <c r="DB151" s="5">
        <f>IF($BI151&lt;&gt;"",IF('Capacity summary'!$C$14="Yes",IF(COUNTBLANK('Capacity summary'!$H63:$BG63)&lt;52,IF('Capacity summary'!AY63&lt;&gt;"",IF(LOWER('Capacity summary'!AY63)="x",$BI151*AY151,VALUE('Capacity summary'!AY63)),0),AY151*$BI151),AY151*$BI151),0)</f>
        <v>0</v>
      </c>
      <c r="DC151" s="5">
        <f>IF($BI151&lt;&gt;"",IF('Capacity summary'!$C$14="Yes",IF(COUNTBLANK('Capacity summary'!$H63:$BG63)&lt;52,IF('Capacity summary'!AZ63&lt;&gt;"",IF(LOWER('Capacity summary'!AZ63)="x",$BI151*AZ151,VALUE('Capacity summary'!AZ63)),0),AZ151*$BI151),AZ151*$BI151),0)</f>
        <v>0</v>
      </c>
      <c r="DD151" s="5">
        <f>IF($BI151&lt;&gt;"",IF('Capacity summary'!$C$14="Yes",IF(COUNTBLANK('Capacity summary'!$H63:$BG63)&lt;52,IF('Capacity summary'!BA63&lt;&gt;"",IF(LOWER('Capacity summary'!BA63)="x",$BI151*BA151,VALUE('Capacity summary'!BA63)),0),BA151*$BI151),BA151*$BI151),0)</f>
        <v>0</v>
      </c>
      <c r="DE151" s="5">
        <f>IF($BI151&lt;&gt;"",IF('Capacity summary'!$C$14="Yes",IF(COUNTBLANK('Capacity summary'!$H63:$BG63)&lt;52,IF('Capacity summary'!BB63&lt;&gt;"",IF(LOWER('Capacity summary'!BB63)="x",$BI151*BB151,VALUE('Capacity summary'!BB63)),0),BB151*$BI151),BB151*$BI151),0)</f>
        <v>0</v>
      </c>
      <c r="DF151" s="5">
        <f>IF($BI151&lt;&gt;"",IF('Capacity summary'!$C$14="Yes",IF(COUNTBLANK('Capacity summary'!$H63:$BG63)&lt;52,IF('Capacity summary'!BC63&lt;&gt;"",IF(LOWER('Capacity summary'!BC63)="x",$BI151*BC151,VALUE('Capacity summary'!BC63)),0),BC151*$BI151),BC151*$BI151),0)</f>
        <v>0</v>
      </c>
      <c r="DG151" s="5">
        <f>IF($BI151&lt;&gt;"",IF('Capacity summary'!$C$14="Yes",IF(COUNTBLANK('Capacity summary'!$H63:$BG63)&lt;52,IF('Capacity summary'!BD63&lt;&gt;"",IF(LOWER('Capacity summary'!BD63)="x",$BI151*BD151,VALUE('Capacity summary'!BD63)),0),BD151*$BI151),BD151*$BI151),0)</f>
        <v>0</v>
      </c>
      <c r="DH151" s="5">
        <f>IF($BI151&lt;&gt;"",IF('Capacity summary'!$C$14="Yes",IF(COUNTBLANK('Capacity summary'!$H63:$BG63)&lt;52,IF('Capacity summary'!BE63&lt;&gt;"",IF(LOWER('Capacity summary'!BE63)="x",$BI151*BE151,VALUE('Capacity summary'!BE63)),0),BE151*$BI151),BE151*$BI151),0)</f>
        <v>0</v>
      </c>
      <c r="DI151" s="5">
        <f>IF($BI151&lt;&gt;"",IF('Capacity summary'!$C$14="Yes",IF(COUNTBLANK('Capacity summary'!$H63:$BG63)&lt;52,IF('Capacity summary'!BF63&lt;&gt;"",IF(LOWER('Capacity summary'!BF63)="x",$BI151*BF151,VALUE('Capacity summary'!BF63)),0),BF151*$BI151),BF151*$BI151),0)</f>
        <v>0</v>
      </c>
      <c r="DJ151" s="5">
        <f>IF($BI151&lt;&gt;"",IF('Capacity summary'!$C$14="Yes",IF(COUNTBLANK('Capacity summary'!$H63:$BG63)&lt;52,IF('Capacity summary'!BG63&lt;&gt;"",IF(LOWER('Capacity summary'!BG63)="x",$BI151*BG151,VALUE('Capacity summary'!BG63)),0),BG151*$BI151),BG151*$BI151),0)</f>
        <v>0</v>
      </c>
      <c r="DK151" s="391">
        <f t="shared" si="8"/>
        <v>0</v>
      </c>
      <c r="DL151" s="5">
        <f t="shared" si="9"/>
        <v>0</v>
      </c>
    </row>
    <row r="152" spans="3:116" x14ac:dyDescent="0.2">
      <c r="C152" s="67" t="str">
        <f>ROW(A41)&amp;". "&amp;Capacity!N57</f>
        <v xml:space="preserve">41. </v>
      </c>
      <c r="D152" s="67">
        <f>'Capacity setup'!C158</f>
        <v>0</v>
      </c>
      <c r="E152" s="67">
        <f>'Capacity setup'!D158</f>
        <v>0</v>
      </c>
      <c r="F152" s="67">
        <f>'Capacity setup'!E158</f>
        <v>0</v>
      </c>
      <c r="H152" s="67">
        <f ca="1">IF(LOWER(Capacity!$V57)="x",IF(AND(SUMIF(Capacity_Resource,$D152,'Critical resources (hide)'!U$6:U$105)+SUMIF(Capacity_Resource,$E152,'Critical resources (hide)'!U$6:U$105)+SUMIF(Capacity_Resource,$F152,'Critical resources (hide)'!U$6:U$105)&gt;0,$E$1=2),0,1),0)</f>
        <v>1</v>
      </c>
      <c r="I152" s="67">
        <f ca="1">IF(LOWER(Capacity!$V57)="x",IF(AND(SUMIF(Capacity_Resource,$D152,'Critical resources (hide)'!V$6:V$105)+SUMIF(Capacity_Resource,$E152,'Critical resources (hide)'!V$6:V$105)+SUMIF(Capacity_Resource,$F152,'Critical resources (hide)'!V$6:V$105)&gt;0,$E$1=2),0,1),0)</f>
        <v>1</v>
      </c>
      <c r="J152" s="67">
        <f ca="1">IF(LOWER(Capacity!$V57)="x",IF(AND(SUMIF(Capacity_Resource,$D152,'Critical resources (hide)'!W$6:W$105)+SUMIF(Capacity_Resource,$E152,'Critical resources (hide)'!W$6:W$105)+SUMIF(Capacity_Resource,$F152,'Critical resources (hide)'!W$6:W$105)&gt;0,$E$1=2),0,1),0)</f>
        <v>1</v>
      </c>
      <c r="K152" s="67">
        <f ca="1">IF(LOWER(Capacity!$V57)="x",IF(AND(SUMIF(Capacity_Resource,$D152,'Critical resources (hide)'!X$6:X$105)+SUMIF(Capacity_Resource,$E152,'Critical resources (hide)'!X$6:X$105)+SUMIF(Capacity_Resource,$F152,'Critical resources (hide)'!X$6:X$105)&gt;0,$E$1=2),0,1),0)</f>
        <v>1</v>
      </c>
      <c r="L152" s="67">
        <f ca="1">IF(LOWER(Capacity!$V57)="x",IF(AND(SUMIF(Capacity_Resource,$D152,'Critical resources (hide)'!Y$6:Y$105)+SUMIF(Capacity_Resource,$E152,'Critical resources (hide)'!Y$6:Y$105)+SUMIF(Capacity_Resource,$F152,'Critical resources (hide)'!Y$6:Y$105)&gt;0,$E$1=2),0,1),0)</f>
        <v>1</v>
      </c>
      <c r="M152" s="67">
        <f ca="1">IF(LOWER(Capacity!$V57)="x",IF(AND(SUMIF(Capacity_Resource,$D152,'Critical resources (hide)'!Z$6:Z$105)+SUMIF(Capacity_Resource,$E152,'Critical resources (hide)'!Z$6:Z$105)+SUMIF(Capacity_Resource,$F152,'Critical resources (hide)'!Z$6:Z$105)&gt;0,$E$1=2),0,1),0)</f>
        <v>1</v>
      </c>
      <c r="N152" s="67">
        <f ca="1">IF(LOWER(Capacity!$V57)="x",IF(AND(SUMIF(Capacity_Resource,$D152,'Critical resources (hide)'!AA$6:AA$105)+SUMIF(Capacity_Resource,$E152,'Critical resources (hide)'!AA$6:AA$105)+SUMIF(Capacity_Resource,$F152,'Critical resources (hide)'!AA$6:AA$105)&gt;0,$E$1=2),0,1),0)</f>
        <v>1</v>
      </c>
      <c r="O152" s="67">
        <f ca="1">IF(LOWER(Capacity!$V57)="x",IF(AND(SUMIF(Capacity_Resource,$D152,'Critical resources (hide)'!AB$6:AB$105)+SUMIF(Capacity_Resource,$E152,'Critical resources (hide)'!AB$6:AB$105)+SUMIF(Capacity_Resource,$F152,'Critical resources (hide)'!AB$6:AB$105)&gt;0,$E$1=2),0,1),0)</f>
        <v>1</v>
      </c>
      <c r="P152" s="67">
        <f ca="1">IF(LOWER(Capacity!$V57)="x",IF(AND(SUMIF(Capacity_Resource,$D152,'Critical resources (hide)'!AC$6:AC$105)+SUMIF(Capacity_Resource,$E152,'Critical resources (hide)'!AC$6:AC$105)+SUMIF(Capacity_Resource,$F152,'Critical resources (hide)'!AC$6:AC$105)&gt;0,$E$1=2),0,1),0)</f>
        <v>1</v>
      </c>
      <c r="Q152" s="67">
        <f ca="1">IF(LOWER(Capacity!$V57)="x",IF(AND(SUMIF(Capacity_Resource,$D152,'Critical resources (hide)'!AD$6:AD$105)+SUMIF(Capacity_Resource,$E152,'Critical resources (hide)'!AD$6:AD$105)+SUMIF(Capacity_Resource,$F152,'Critical resources (hide)'!AD$6:AD$105)&gt;0,$E$1=2),0,1),0)</f>
        <v>1</v>
      </c>
      <c r="R152" s="67">
        <f ca="1">IF(LOWER(Capacity!$V57)="x",IF(AND(SUMIF(Capacity_Resource,$D152,'Critical resources (hide)'!AE$6:AE$105)+SUMIF(Capacity_Resource,$E152,'Critical resources (hide)'!AE$6:AE$105)+SUMIF(Capacity_Resource,$F152,'Critical resources (hide)'!AE$6:AE$105)&gt;0,$E$1=2),0,1),0)</f>
        <v>1</v>
      </c>
      <c r="S152" s="67">
        <f ca="1">IF(LOWER(Capacity!$V57)="x",IF(AND(SUMIF(Capacity_Resource,$D152,'Critical resources (hide)'!AF$6:AF$105)+SUMIF(Capacity_Resource,$E152,'Critical resources (hide)'!AF$6:AF$105)+SUMIF(Capacity_Resource,$F152,'Critical resources (hide)'!AF$6:AF$105)&gt;0,$E$1=2),0,1),0)</f>
        <v>1</v>
      </c>
      <c r="T152" s="67">
        <f ca="1">IF(LOWER(Capacity!$V57)="x",IF(AND(SUMIF(Capacity_Resource,$D152,'Critical resources (hide)'!AG$6:AG$105)+SUMIF(Capacity_Resource,$E152,'Critical resources (hide)'!AG$6:AG$105)+SUMIF(Capacity_Resource,$F152,'Critical resources (hide)'!AG$6:AG$105)&gt;0,$E$1=2),0,1),0)</f>
        <v>1</v>
      </c>
      <c r="U152" s="67">
        <f ca="1">IF(LOWER(Capacity!$V57)="x",IF(AND(SUMIF(Capacity_Resource,$D152,'Critical resources (hide)'!AH$6:AH$105)+SUMIF(Capacity_Resource,$E152,'Critical resources (hide)'!AH$6:AH$105)+SUMIF(Capacity_Resource,$F152,'Critical resources (hide)'!AH$6:AH$105)&gt;0,$E$1=2),0,1),0)</f>
        <v>1</v>
      </c>
      <c r="V152" s="67">
        <f ca="1">IF(LOWER(Capacity!$V57)="x",IF(AND(SUMIF(Capacity_Resource,$D152,'Critical resources (hide)'!AI$6:AI$105)+SUMIF(Capacity_Resource,$E152,'Critical resources (hide)'!AI$6:AI$105)+SUMIF(Capacity_Resource,$F152,'Critical resources (hide)'!AI$6:AI$105)&gt;0,$E$1=2),0,1),0)</f>
        <v>1</v>
      </c>
      <c r="W152" s="67">
        <f ca="1">IF(LOWER(Capacity!$V57)="x",IF(AND(SUMIF(Capacity_Resource,$D152,'Critical resources (hide)'!AJ$6:AJ$105)+SUMIF(Capacity_Resource,$E152,'Critical resources (hide)'!AJ$6:AJ$105)+SUMIF(Capacity_Resource,$F152,'Critical resources (hide)'!AJ$6:AJ$105)&gt;0,$E$1=2),0,1),0)</f>
        <v>1</v>
      </c>
      <c r="X152" s="67">
        <f ca="1">IF(LOWER(Capacity!$V57)="x",IF(AND(SUMIF(Capacity_Resource,$D152,'Critical resources (hide)'!AK$6:AK$105)+SUMIF(Capacity_Resource,$E152,'Critical resources (hide)'!AK$6:AK$105)+SUMIF(Capacity_Resource,$F152,'Critical resources (hide)'!AK$6:AK$105)&gt;0,$E$1=2),0,1),0)</f>
        <v>1</v>
      </c>
      <c r="Y152" s="67">
        <f ca="1">IF(LOWER(Capacity!$V57)="x",IF(AND(SUMIF(Capacity_Resource,$D152,'Critical resources (hide)'!AL$6:AL$105)+SUMIF(Capacity_Resource,$E152,'Critical resources (hide)'!AL$6:AL$105)+SUMIF(Capacity_Resource,$F152,'Critical resources (hide)'!AL$6:AL$105)&gt;0,$E$1=2),0,1),0)</f>
        <v>1</v>
      </c>
      <c r="Z152" s="67">
        <f ca="1">IF(LOWER(Capacity!$V57)="x",IF(AND(SUMIF(Capacity_Resource,$D152,'Critical resources (hide)'!AM$6:AM$105)+SUMIF(Capacity_Resource,$E152,'Critical resources (hide)'!AM$6:AM$105)+SUMIF(Capacity_Resource,$F152,'Critical resources (hide)'!AM$6:AM$105)&gt;0,$E$1=2),0,1),0)</f>
        <v>1</v>
      </c>
      <c r="AA152" s="67">
        <f ca="1">IF(LOWER(Capacity!$V57)="x",IF(AND(SUMIF(Capacity_Resource,$D152,'Critical resources (hide)'!AN$6:AN$105)+SUMIF(Capacity_Resource,$E152,'Critical resources (hide)'!AN$6:AN$105)+SUMIF(Capacity_Resource,$F152,'Critical resources (hide)'!AN$6:AN$105)&gt;0,$E$1=2),0,1),0)</f>
        <v>1</v>
      </c>
      <c r="AB152" s="67">
        <f ca="1">IF(LOWER(Capacity!$V57)="x",IF(AND(SUMIF(Capacity_Resource,$D152,'Critical resources (hide)'!AO$6:AO$105)+SUMIF(Capacity_Resource,$E152,'Critical resources (hide)'!AO$6:AO$105)+SUMIF(Capacity_Resource,$F152,'Critical resources (hide)'!AO$6:AO$105)&gt;0,$E$1=2),0,1),0)</f>
        <v>1</v>
      </c>
      <c r="AC152" s="67">
        <f ca="1">IF(LOWER(Capacity!$V57)="x",IF(AND(SUMIF(Capacity_Resource,$D152,'Critical resources (hide)'!AP$6:AP$105)+SUMIF(Capacity_Resource,$E152,'Critical resources (hide)'!AP$6:AP$105)+SUMIF(Capacity_Resource,$F152,'Critical resources (hide)'!AP$6:AP$105)&gt;0,$E$1=2),0,1),0)</f>
        <v>1</v>
      </c>
      <c r="AD152" s="67">
        <f ca="1">IF(LOWER(Capacity!$V57)="x",IF(AND(SUMIF(Capacity_Resource,$D152,'Critical resources (hide)'!AQ$6:AQ$105)+SUMIF(Capacity_Resource,$E152,'Critical resources (hide)'!AQ$6:AQ$105)+SUMIF(Capacity_Resource,$F152,'Critical resources (hide)'!AQ$6:AQ$105)&gt;0,$E$1=2),0,1),0)</f>
        <v>1</v>
      </c>
      <c r="AE152" s="67">
        <f ca="1">IF(LOWER(Capacity!$V57)="x",IF(AND(SUMIF(Capacity_Resource,$D152,'Critical resources (hide)'!AR$6:AR$105)+SUMIF(Capacity_Resource,$E152,'Critical resources (hide)'!AR$6:AR$105)+SUMIF(Capacity_Resource,$F152,'Critical resources (hide)'!AR$6:AR$105)&gt;0,$E$1=2),0,1),0)</f>
        <v>1</v>
      </c>
      <c r="AF152" s="67">
        <f ca="1">IF(LOWER(Capacity!$V57)="x",IF(AND(SUMIF(Capacity_Resource,$D152,'Critical resources (hide)'!AS$6:AS$105)+SUMIF(Capacity_Resource,$E152,'Critical resources (hide)'!AS$6:AS$105)+SUMIF(Capacity_Resource,$F152,'Critical resources (hide)'!AS$6:AS$105)&gt;0,$E$1=2),0,1),0)</f>
        <v>1</v>
      </c>
      <c r="AG152" s="67">
        <f ca="1">IF(LOWER(Capacity!$V57)="x",IF(AND(SUMIF(Capacity_Resource,$D152,'Critical resources (hide)'!AT$6:AT$105)+SUMIF(Capacity_Resource,$E152,'Critical resources (hide)'!AT$6:AT$105)+SUMIF(Capacity_Resource,$F152,'Critical resources (hide)'!AT$6:AT$105)&gt;0,$E$1=2),0,1),0)</f>
        <v>1</v>
      </c>
      <c r="AH152" s="67">
        <f ca="1">IF(LOWER(Capacity!$V57)="x",IF(AND(SUMIF(Capacity_Resource,$D152,'Critical resources (hide)'!AU$6:AU$105)+SUMIF(Capacity_Resource,$E152,'Critical resources (hide)'!AU$6:AU$105)+SUMIF(Capacity_Resource,$F152,'Critical resources (hide)'!AU$6:AU$105)&gt;0,$E$1=2),0,1),0)</f>
        <v>1</v>
      </c>
      <c r="AI152" s="67">
        <f ca="1">IF(LOWER(Capacity!$V57)="x",IF(AND(SUMIF(Capacity_Resource,$D152,'Critical resources (hide)'!AV$6:AV$105)+SUMIF(Capacity_Resource,$E152,'Critical resources (hide)'!AV$6:AV$105)+SUMIF(Capacity_Resource,$F152,'Critical resources (hide)'!AV$6:AV$105)&gt;0,$E$1=2),0,1),0)</f>
        <v>1</v>
      </c>
      <c r="AJ152" s="67">
        <f ca="1">IF(LOWER(Capacity!$V57)="x",IF(AND(SUMIF(Capacity_Resource,$D152,'Critical resources (hide)'!AW$6:AW$105)+SUMIF(Capacity_Resource,$E152,'Critical resources (hide)'!AW$6:AW$105)+SUMIF(Capacity_Resource,$F152,'Critical resources (hide)'!AW$6:AW$105)&gt;0,$E$1=2),0,1),0)</f>
        <v>1</v>
      </c>
      <c r="AK152" s="67">
        <f ca="1">IF(LOWER(Capacity!$V57)="x",IF(AND(SUMIF(Capacity_Resource,$D152,'Critical resources (hide)'!AX$6:AX$105)+SUMIF(Capacity_Resource,$E152,'Critical resources (hide)'!AX$6:AX$105)+SUMIF(Capacity_Resource,$F152,'Critical resources (hide)'!AX$6:AX$105)&gt;0,$E$1=2),0,1),0)</f>
        <v>1</v>
      </c>
      <c r="AL152" s="67">
        <f ca="1">IF(LOWER(Capacity!$V57)="x",IF(AND(SUMIF(Capacity_Resource,$D152,'Critical resources (hide)'!AY$6:AY$105)+SUMIF(Capacity_Resource,$E152,'Critical resources (hide)'!AY$6:AY$105)+SUMIF(Capacity_Resource,$F152,'Critical resources (hide)'!AY$6:AY$105)&gt;0,$E$1=2),0,1),0)</f>
        <v>1</v>
      </c>
      <c r="AM152" s="67">
        <f ca="1">IF(LOWER(Capacity!$V57)="x",IF(AND(SUMIF(Capacity_Resource,$D152,'Critical resources (hide)'!AZ$6:AZ$105)+SUMIF(Capacity_Resource,$E152,'Critical resources (hide)'!AZ$6:AZ$105)+SUMIF(Capacity_Resource,$F152,'Critical resources (hide)'!AZ$6:AZ$105)&gt;0,$E$1=2),0,1),0)</f>
        <v>1</v>
      </c>
      <c r="AN152" s="67">
        <f ca="1">IF(LOWER(Capacity!$V57)="x",IF(AND(SUMIF(Capacity_Resource,$D152,'Critical resources (hide)'!BA$6:BA$105)+SUMIF(Capacity_Resource,$E152,'Critical resources (hide)'!BA$6:BA$105)+SUMIF(Capacity_Resource,$F152,'Critical resources (hide)'!BA$6:BA$105)&gt;0,$E$1=2),0,1),0)</f>
        <v>1</v>
      </c>
      <c r="AO152" s="67">
        <f ca="1">IF(LOWER(Capacity!$V57)="x",IF(AND(SUMIF(Capacity_Resource,$D152,'Critical resources (hide)'!BB$6:BB$105)+SUMIF(Capacity_Resource,$E152,'Critical resources (hide)'!BB$6:BB$105)+SUMIF(Capacity_Resource,$F152,'Critical resources (hide)'!BB$6:BB$105)&gt;0,$E$1=2),0,1),0)</f>
        <v>1</v>
      </c>
      <c r="AP152" s="67">
        <f ca="1">IF(LOWER(Capacity!$V57)="x",IF(AND(SUMIF(Capacity_Resource,$D152,'Critical resources (hide)'!BC$6:BC$105)+SUMIF(Capacity_Resource,$E152,'Critical resources (hide)'!BC$6:BC$105)+SUMIF(Capacity_Resource,$F152,'Critical resources (hide)'!BC$6:BC$105)&gt;0,$E$1=2),0,1),0)</f>
        <v>1</v>
      </c>
      <c r="AQ152" s="67">
        <f ca="1">IF(LOWER(Capacity!$V57)="x",IF(AND(SUMIF(Capacity_Resource,$D152,'Critical resources (hide)'!BD$6:BD$105)+SUMIF(Capacity_Resource,$E152,'Critical resources (hide)'!BD$6:BD$105)+SUMIF(Capacity_Resource,$F152,'Critical resources (hide)'!BD$6:BD$105)&gt;0,$E$1=2),0,1),0)</f>
        <v>1</v>
      </c>
      <c r="AR152" s="67">
        <f ca="1">IF(LOWER(Capacity!$V57)="x",IF(AND(SUMIF(Capacity_Resource,$D152,'Critical resources (hide)'!BE$6:BE$105)+SUMIF(Capacity_Resource,$E152,'Critical resources (hide)'!BE$6:BE$105)+SUMIF(Capacity_Resource,$F152,'Critical resources (hide)'!BE$6:BE$105)&gt;0,$E$1=2),0,1),0)</f>
        <v>1</v>
      </c>
      <c r="AS152" s="67">
        <f ca="1">IF(LOWER(Capacity!$V57)="x",IF(AND(SUMIF(Capacity_Resource,$D152,'Critical resources (hide)'!BF$6:BF$105)+SUMIF(Capacity_Resource,$E152,'Critical resources (hide)'!BF$6:BF$105)+SUMIF(Capacity_Resource,$F152,'Critical resources (hide)'!BF$6:BF$105)&gt;0,$E$1=2),0,1),0)</f>
        <v>1</v>
      </c>
      <c r="AT152" s="67">
        <f ca="1">IF(LOWER(Capacity!$V57)="x",IF(AND(SUMIF(Capacity_Resource,$D152,'Critical resources (hide)'!BG$6:BG$105)+SUMIF(Capacity_Resource,$E152,'Critical resources (hide)'!BG$6:BG$105)+SUMIF(Capacity_Resource,$F152,'Critical resources (hide)'!BG$6:BG$105)&gt;0,$E$1=2),0,1),0)</f>
        <v>1</v>
      </c>
      <c r="AU152" s="67">
        <f ca="1">IF(LOWER(Capacity!$V57)="x",IF(AND(SUMIF(Capacity_Resource,$D152,'Critical resources (hide)'!BH$6:BH$105)+SUMIF(Capacity_Resource,$E152,'Critical resources (hide)'!BH$6:BH$105)+SUMIF(Capacity_Resource,$F152,'Critical resources (hide)'!BH$6:BH$105)&gt;0,$E$1=2),0,1),0)</f>
        <v>1</v>
      </c>
      <c r="AV152" s="67">
        <f ca="1">IF(LOWER(Capacity!$V57)="x",IF(AND(SUMIF(Capacity_Resource,$D152,'Critical resources (hide)'!BI$6:BI$105)+SUMIF(Capacity_Resource,$E152,'Critical resources (hide)'!BI$6:BI$105)+SUMIF(Capacity_Resource,$F152,'Critical resources (hide)'!BI$6:BI$105)&gt;0,$E$1=2),0,1),0)</f>
        <v>1</v>
      </c>
      <c r="AW152" s="67">
        <f ca="1">IF(LOWER(Capacity!$V57)="x",IF(AND(SUMIF(Capacity_Resource,$D152,'Critical resources (hide)'!BJ$6:BJ$105)+SUMIF(Capacity_Resource,$E152,'Critical resources (hide)'!BJ$6:BJ$105)+SUMIF(Capacity_Resource,$F152,'Critical resources (hide)'!BJ$6:BJ$105)&gt;0,$E$1=2),0,1),0)</f>
        <v>1</v>
      </c>
      <c r="AX152" s="67">
        <f ca="1">IF(LOWER(Capacity!$V57)="x",IF(AND(SUMIF(Capacity_Resource,$D152,'Critical resources (hide)'!BK$6:BK$105)+SUMIF(Capacity_Resource,$E152,'Critical resources (hide)'!BK$6:BK$105)+SUMIF(Capacity_Resource,$F152,'Critical resources (hide)'!BK$6:BK$105)&gt;0,$E$1=2),0,1),0)</f>
        <v>1</v>
      </c>
      <c r="AY152" s="67">
        <f ca="1">IF(LOWER(Capacity!$V57)="x",IF(AND(SUMIF(Capacity_Resource,$D152,'Critical resources (hide)'!BL$6:BL$105)+SUMIF(Capacity_Resource,$E152,'Critical resources (hide)'!BL$6:BL$105)+SUMIF(Capacity_Resource,$F152,'Critical resources (hide)'!BL$6:BL$105)&gt;0,$E$1=2),0,1),0)</f>
        <v>1</v>
      </c>
      <c r="AZ152" s="67">
        <f ca="1">IF(LOWER(Capacity!$V57)="x",IF(AND(SUMIF(Capacity_Resource,$D152,'Critical resources (hide)'!BM$6:BM$105)+SUMIF(Capacity_Resource,$E152,'Critical resources (hide)'!BM$6:BM$105)+SUMIF(Capacity_Resource,$F152,'Critical resources (hide)'!BM$6:BM$105)&gt;0,$E$1=2),0,1),0)</f>
        <v>1</v>
      </c>
      <c r="BA152" s="67">
        <f ca="1">IF(LOWER(Capacity!$V57)="x",IF(AND(SUMIF(Capacity_Resource,$D152,'Critical resources (hide)'!BN$6:BN$105)+SUMIF(Capacity_Resource,$E152,'Critical resources (hide)'!BN$6:BN$105)+SUMIF(Capacity_Resource,$F152,'Critical resources (hide)'!BN$6:BN$105)&gt;0,$E$1=2),0,1),0)</f>
        <v>1</v>
      </c>
      <c r="BB152" s="67">
        <f ca="1">IF(LOWER(Capacity!$V57)="x",IF(AND(SUMIF(Capacity_Resource,$D152,'Critical resources (hide)'!BO$6:BO$105)+SUMIF(Capacity_Resource,$E152,'Critical resources (hide)'!BO$6:BO$105)+SUMIF(Capacity_Resource,$F152,'Critical resources (hide)'!BO$6:BO$105)&gt;0,$E$1=2),0,1),0)</f>
        <v>1</v>
      </c>
      <c r="BC152" s="67">
        <f ca="1">IF(LOWER(Capacity!$V57)="x",IF(AND(SUMIF(Capacity_Resource,$D152,'Critical resources (hide)'!BP$6:BP$105)+SUMIF(Capacity_Resource,$E152,'Critical resources (hide)'!BP$6:BP$105)+SUMIF(Capacity_Resource,$F152,'Critical resources (hide)'!BP$6:BP$105)&gt;0,$E$1=2),0,1),0)</f>
        <v>1</v>
      </c>
      <c r="BD152" s="67">
        <f ca="1">IF(LOWER(Capacity!$V57)="x",IF(AND(SUMIF(Capacity_Resource,$D152,'Critical resources (hide)'!BQ$6:BQ$105)+SUMIF(Capacity_Resource,$E152,'Critical resources (hide)'!BQ$6:BQ$105)+SUMIF(Capacity_Resource,$F152,'Critical resources (hide)'!BQ$6:BQ$105)&gt;0,$E$1=2),0,1),0)</f>
        <v>1</v>
      </c>
      <c r="BE152" s="67">
        <f ca="1">IF(LOWER(Capacity!$V57)="x",IF(AND(SUMIF(Capacity_Resource,$D152,'Critical resources (hide)'!BR$6:BR$105)+SUMIF(Capacity_Resource,$E152,'Critical resources (hide)'!BR$6:BR$105)+SUMIF(Capacity_Resource,$F152,'Critical resources (hide)'!BR$6:BR$105)&gt;0,$E$1=2),0,1),0)</f>
        <v>1</v>
      </c>
      <c r="BF152" s="67">
        <f ca="1">IF(LOWER(Capacity!$V57)="x",IF(AND(SUMIF(Capacity_Resource,$D152,'Critical resources (hide)'!BS$6:BS$105)+SUMIF(Capacity_Resource,$E152,'Critical resources (hide)'!BS$6:BS$105)+SUMIF(Capacity_Resource,$F152,'Critical resources (hide)'!BS$6:BS$105)&gt;0,$E$1=2),0,1),0)</f>
        <v>1</v>
      </c>
      <c r="BG152" s="67">
        <f ca="1">IF(LOWER(Capacity!$V57)="x",IF(AND(SUMIF(Capacity_Resource,$D152,'Critical resources (hide)'!BT$6:BT$105)+SUMIF(Capacity_Resource,$E152,'Critical resources (hide)'!BT$6:BT$105)+SUMIF(Capacity_Resource,$F152,'Critical resources (hide)'!BT$6:BT$105)&gt;0,$E$1=2),0,1),0)</f>
        <v>1</v>
      </c>
      <c r="BH152" s="67">
        <f>IF(ROW(A41)&lt;=Capacity!$M$16,IF('Capacity summary'!$C$14="No",SUM(H152:BG152),'Capacity summary'!$E64),0)</f>
        <v>0</v>
      </c>
      <c r="BI152" s="67" t="str">
        <f>IF(BH152&gt;0,IF(BH152&lt;Capacity!Q57,Capacity!R57,Capacity!T57/'Capacity calculation (hide)'!BH152),"")</f>
        <v/>
      </c>
      <c r="BJ152" s="5"/>
      <c r="BK152" s="5">
        <f>IF($BI152&lt;&gt;"",IF('Capacity summary'!$C$14="Yes",IF(COUNTBLANK('Capacity summary'!$H64:$BG64)&lt;52,IF('Capacity summary'!H64&lt;&gt;"",IF(LOWER('Capacity summary'!H64)="x",$BI152*H152,VALUE('Capacity summary'!H64)),0),H152*$BI152),H152*$BI152),0)</f>
        <v>0</v>
      </c>
      <c r="BL152" s="5">
        <f>IF($BI152&lt;&gt;"",IF('Capacity summary'!$C$14="Yes",IF(COUNTBLANK('Capacity summary'!$H64:$BG64)&lt;52,IF('Capacity summary'!I64&lt;&gt;"",IF(LOWER('Capacity summary'!I64)="x",$BI152*I152,VALUE('Capacity summary'!I64)),0),I152*$BI152),I152*$BI152),0)</f>
        <v>0</v>
      </c>
      <c r="BM152" s="5">
        <f>IF($BI152&lt;&gt;"",IF('Capacity summary'!$C$14="Yes",IF(COUNTBLANK('Capacity summary'!$H64:$BG64)&lt;52,IF('Capacity summary'!J64&lt;&gt;"",IF(LOWER('Capacity summary'!J64)="x",$BI152*J152,VALUE('Capacity summary'!J64)),0),J152*$BI152),J152*$BI152),0)</f>
        <v>0</v>
      </c>
      <c r="BN152" s="5">
        <f>IF($BI152&lt;&gt;"",IF('Capacity summary'!$C$14="Yes",IF(COUNTBLANK('Capacity summary'!$H64:$BG64)&lt;52,IF('Capacity summary'!K64&lt;&gt;"",IF(LOWER('Capacity summary'!K64)="x",$BI152*K152,VALUE('Capacity summary'!K64)),0),K152*$BI152),K152*$BI152),0)</f>
        <v>0</v>
      </c>
      <c r="BO152" s="5">
        <f>IF($BI152&lt;&gt;"",IF('Capacity summary'!$C$14="Yes",IF(COUNTBLANK('Capacity summary'!$H64:$BG64)&lt;52,IF('Capacity summary'!L64&lt;&gt;"",IF(LOWER('Capacity summary'!L64)="x",$BI152*L152,VALUE('Capacity summary'!L64)),0),L152*$BI152),L152*$BI152),0)</f>
        <v>0</v>
      </c>
      <c r="BP152" s="5">
        <f>IF($BI152&lt;&gt;"",IF('Capacity summary'!$C$14="Yes",IF(COUNTBLANK('Capacity summary'!$H64:$BG64)&lt;52,IF('Capacity summary'!M64&lt;&gt;"",IF(LOWER('Capacity summary'!M64)="x",$BI152*M152,VALUE('Capacity summary'!M64)),0),M152*$BI152),M152*$BI152),0)</f>
        <v>0</v>
      </c>
      <c r="BQ152" s="5">
        <f>IF($BI152&lt;&gt;"",IF('Capacity summary'!$C$14="Yes",IF(COUNTBLANK('Capacity summary'!$H64:$BG64)&lt;52,IF('Capacity summary'!N64&lt;&gt;"",IF(LOWER('Capacity summary'!N64)="x",$BI152*N152,VALUE('Capacity summary'!N64)),0),N152*$BI152),N152*$BI152),0)</f>
        <v>0</v>
      </c>
      <c r="BR152" s="5">
        <f>IF($BI152&lt;&gt;"",IF('Capacity summary'!$C$14="Yes",IF(COUNTBLANK('Capacity summary'!$H64:$BG64)&lt;52,IF('Capacity summary'!O64&lt;&gt;"",IF(LOWER('Capacity summary'!O64)="x",$BI152*O152,VALUE('Capacity summary'!O64)),0),O152*$BI152),O152*$BI152),0)</f>
        <v>0</v>
      </c>
      <c r="BS152" s="5">
        <f>IF($BI152&lt;&gt;"",IF('Capacity summary'!$C$14="Yes",IF(COUNTBLANK('Capacity summary'!$H64:$BG64)&lt;52,IF('Capacity summary'!P64&lt;&gt;"",IF(LOWER('Capacity summary'!P64)="x",$BI152*P152,VALUE('Capacity summary'!P64)),0),P152*$BI152),P152*$BI152),0)</f>
        <v>0</v>
      </c>
      <c r="BT152" s="5">
        <f>IF($BI152&lt;&gt;"",IF('Capacity summary'!$C$14="Yes",IF(COUNTBLANK('Capacity summary'!$H64:$BG64)&lt;52,IF('Capacity summary'!Q64&lt;&gt;"",IF(LOWER('Capacity summary'!Q64)="x",$BI152*Q152,VALUE('Capacity summary'!Q64)),0),Q152*$BI152),Q152*$BI152),0)</f>
        <v>0</v>
      </c>
      <c r="BU152" s="5">
        <f>IF($BI152&lt;&gt;"",IF('Capacity summary'!$C$14="Yes",IF(COUNTBLANK('Capacity summary'!$H64:$BG64)&lt;52,IF('Capacity summary'!R64&lt;&gt;"",IF(LOWER('Capacity summary'!R64)="x",$BI152*R152,VALUE('Capacity summary'!R64)),0),R152*$BI152),R152*$BI152),0)</f>
        <v>0</v>
      </c>
      <c r="BV152" s="5">
        <f>IF($BI152&lt;&gt;"",IF('Capacity summary'!$C$14="Yes",IF(COUNTBLANK('Capacity summary'!$H64:$BG64)&lt;52,IF('Capacity summary'!S64&lt;&gt;"",IF(LOWER('Capacity summary'!S64)="x",$BI152*S152,VALUE('Capacity summary'!S64)),0),S152*$BI152),S152*$BI152),0)</f>
        <v>0</v>
      </c>
      <c r="BW152" s="5">
        <f>IF($BI152&lt;&gt;"",IF('Capacity summary'!$C$14="Yes",IF(COUNTBLANK('Capacity summary'!$H64:$BG64)&lt;52,IF('Capacity summary'!T64&lt;&gt;"",IF(LOWER('Capacity summary'!T64)="x",$BI152*T152,VALUE('Capacity summary'!T64)),0),T152*$BI152),T152*$BI152),0)</f>
        <v>0</v>
      </c>
      <c r="BX152" s="5">
        <f>IF($BI152&lt;&gt;"",IF('Capacity summary'!$C$14="Yes",IF(COUNTBLANK('Capacity summary'!$H64:$BG64)&lt;52,IF('Capacity summary'!U64&lt;&gt;"",IF(LOWER('Capacity summary'!U64)="x",$BI152*U152,VALUE('Capacity summary'!U64)),0),U152*$BI152),U152*$BI152),0)</f>
        <v>0</v>
      </c>
      <c r="BY152" s="5">
        <f>IF($BI152&lt;&gt;"",IF('Capacity summary'!$C$14="Yes",IF(COUNTBLANK('Capacity summary'!$H64:$BG64)&lt;52,IF('Capacity summary'!V64&lt;&gt;"",IF(LOWER('Capacity summary'!V64)="x",$BI152*V152,VALUE('Capacity summary'!V64)),0),V152*$BI152),V152*$BI152),0)</f>
        <v>0</v>
      </c>
      <c r="BZ152" s="5">
        <f>IF($BI152&lt;&gt;"",IF('Capacity summary'!$C$14="Yes",IF(COUNTBLANK('Capacity summary'!$H64:$BG64)&lt;52,IF('Capacity summary'!W64&lt;&gt;"",IF(LOWER('Capacity summary'!W64)="x",$BI152*W152,VALUE('Capacity summary'!W64)),0),W152*$BI152),W152*$BI152),0)</f>
        <v>0</v>
      </c>
      <c r="CA152" s="5">
        <f>IF($BI152&lt;&gt;"",IF('Capacity summary'!$C$14="Yes",IF(COUNTBLANK('Capacity summary'!$H64:$BG64)&lt;52,IF('Capacity summary'!X64&lt;&gt;"",IF(LOWER('Capacity summary'!X64)="x",$BI152*X152,VALUE('Capacity summary'!X64)),0),X152*$BI152),X152*$BI152),0)</f>
        <v>0</v>
      </c>
      <c r="CB152" s="5">
        <f>IF($BI152&lt;&gt;"",IF('Capacity summary'!$C$14="Yes",IF(COUNTBLANK('Capacity summary'!$H64:$BG64)&lt;52,IF('Capacity summary'!Y64&lt;&gt;"",IF(LOWER('Capacity summary'!Y64)="x",$BI152*Y152,VALUE('Capacity summary'!Y64)),0),Y152*$BI152),Y152*$BI152),0)</f>
        <v>0</v>
      </c>
      <c r="CC152" s="5">
        <f>IF($BI152&lt;&gt;"",IF('Capacity summary'!$C$14="Yes",IF(COUNTBLANK('Capacity summary'!$H64:$BG64)&lt;52,IF('Capacity summary'!Z64&lt;&gt;"",IF(LOWER('Capacity summary'!Z64)="x",$BI152*Z152,VALUE('Capacity summary'!Z64)),0),Z152*$BI152),Z152*$BI152),0)</f>
        <v>0</v>
      </c>
      <c r="CD152" s="5">
        <f>IF($BI152&lt;&gt;"",IF('Capacity summary'!$C$14="Yes",IF(COUNTBLANK('Capacity summary'!$H64:$BG64)&lt;52,IF('Capacity summary'!AA64&lt;&gt;"",IF(LOWER('Capacity summary'!AA64)="x",$BI152*AA152,VALUE('Capacity summary'!AA64)),0),AA152*$BI152),AA152*$BI152),0)</f>
        <v>0</v>
      </c>
      <c r="CE152" s="5">
        <f>IF($BI152&lt;&gt;"",IF('Capacity summary'!$C$14="Yes",IF(COUNTBLANK('Capacity summary'!$H64:$BG64)&lt;52,IF('Capacity summary'!AB64&lt;&gt;"",IF(LOWER('Capacity summary'!AB64)="x",$BI152*AB152,VALUE('Capacity summary'!AB64)),0),AB152*$BI152),AB152*$BI152),0)</f>
        <v>0</v>
      </c>
      <c r="CF152" s="5">
        <f>IF($BI152&lt;&gt;"",IF('Capacity summary'!$C$14="Yes",IF(COUNTBLANK('Capacity summary'!$H64:$BG64)&lt;52,IF('Capacity summary'!AC64&lt;&gt;"",IF(LOWER('Capacity summary'!AC64)="x",$BI152*AC152,VALUE('Capacity summary'!AC64)),0),AC152*$BI152),AC152*$BI152),0)</f>
        <v>0</v>
      </c>
      <c r="CG152" s="5">
        <f>IF($BI152&lt;&gt;"",IF('Capacity summary'!$C$14="Yes",IF(COUNTBLANK('Capacity summary'!$H64:$BG64)&lt;52,IF('Capacity summary'!AD64&lt;&gt;"",IF(LOWER('Capacity summary'!AD64)="x",$BI152*AD152,VALUE('Capacity summary'!AD64)),0),AD152*$BI152),AD152*$BI152),0)</f>
        <v>0</v>
      </c>
      <c r="CH152" s="5">
        <f>IF($BI152&lt;&gt;"",IF('Capacity summary'!$C$14="Yes",IF(COUNTBLANK('Capacity summary'!$H64:$BG64)&lt;52,IF('Capacity summary'!AE64&lt;&gt;"",IF(LOWER('Capacity summary'!AE64)="x",$BI152*AE152,VALUE('Capacity summary'!AE64)),0),AE152*$BI152),AE152*$BI152),0)</f>
        <v>0</v>
      </c>
      <c r="CI152" s="5">
        <f>IF($BI152&lt;&gt;"",IF('Capacity summary'!$C$14="Yes",IF(COUNTBLANK('Capacity summary'!$H64:$BG64)&lt;52,IF('Capacity summary'!AF64&lt;&gt;"",IF(LOWER('Capacity summary'!AF64)="x",$BI152*AF152,VALUE('Capacity summary'!AF64)),0),AF152*$BI152),AF152*$BI152),0)</f>
        <v>0</v>
      </c>
      <c r="CJ152" s="5">
        <f>IF($BI152&lt;&gt;"",IF('Capacity summary'!$C$14="Yes",IF(COUNTBLANK('Capacity summary'!$H64:$BG64)&lt;52,IF('Capacity summary'!AG64&lt;&gt;"",IF(LOWER('Capacity summary'!AG64)="x",$BI152*AG152,VALUE('Capacity summary'!AG64)),0),AG152*$BI152),AG152*$BI152),0)</f>
        <v>0</v>
      </c>
      <c r="CK152" s="5">
        <f>IF($BI152&lt;&gt;"",IF('Capacity summary'!$C$14="Yes",IF(COUNTBLANK('Capacity summary'!$H64:$BG64)&lt;52,IF('Capacity summary'!AH64&lt;&gt;"",IF(LOWER('Capacity summary'!AH64)="x",$BI152*AH152,VALUE('Capacity summary'!AH64)),0),AH152*$BI152),AH152*$BI152),0)</f>
        <v>0</v>
      </c>
      <c r="CL152" s="5">
        <f>IF($BI152&lt;&gt;"",IF('Capacity summary'!$C$14="Yes",IF(COUNTBLANK('Capacity summary'!$H64:$BG64)&lt;52,IF('Capacity summary'!AI64&lt;&gt;"",IF(LOWER('Capacity summary'!AI64)="x",$BI152*AI152,VALUE('Capacity summary'!AI64)),0),AI152*$BI152),AI152*$BI152),0)</f>
        <v>0</v>
      </c>
      <c r="CM152" s="5">
        <f>IF($BI152&lt;&gt;"",IF('Capacity summary'!$C$14="Yes",IF(COUNTBLANK('Capacity summary'!$H64:$BG64)&lt;52,IF('Capacity summary'!AJ64&lt;&gt;"",IF(LOWER('Capacity summary'!AJ64)="x",$BI152*AJ152,VALUE('Capacity summary'!AJ64)),0),AJ152*$BI152),AJ152*$BI152),0)</f>
        <v>0</v>
      </c>
      <c r="CN152" s="5">
        <f>IF($BI152&lt;&gt;"",IF('Capacity summary'!$C$14="Yes",IF(COUNTBLANK('Capacity summary'!$H64:$BG64)&lt;52,IF('Capacity summary'!AK64&lt;&gt;"",IF(LOWER('Capacity summary'!AK64)="x",$BI152*AK152,VALUE('Capacity summary'!AK64)),0),AK152*$BI152),AK152*$BI152),0)</f>
        <v>0</v>
      </c>
      <c r="CO152" s="5">
        <f>IF($BI152&lt;&gt;"",IF('Capacity summary'!$C$14="Yes",IF(COUNTBLANK('Capacity summary'!$H64:$BG64)&lt;52,IF('Capacity summary'!AL64&lt;&gt;"",IF(LOWER('Capacity summary'!AL64)="x",$BI152*AL152,VALUE('Capacity summary'!AL64)),0),AL152*$BI152),AL152*$BI152),0)</f>
        <v>0</v>
      </c>
      <c r="CP152" s="5">
        <f>IF($BI152&lt;&gt;"",IF('Capacity summary'!$C$14="Yes",IF(COUNTBLANK('Capacity summary'!$H64:$BG64)&lt;52,IF('Capacity summary'!AM64&lt;&gt;"",IF(LOWER('Capacity summary'!AM64)="x",$BI152*AM152,VALUE('Capacity summary'!AM64)),0),AM152*$BI152),AM152*$BI152),0)</f>
        <v>0</v>
      </c>
      <c r="CQ152" s="5">
        <f>IF($BI152&lt;&gt;"",IF('Capacity summary'!$C$14="Yes",IF(COUNTBLANK('Capacity summary'!$H64:$BG64)&lt;52,IF('Capacity summary'!AN64&lt;&gt;"",IF(LOWER('Capacity summary'!AN64)="x",$BI152*AN152,VALUE('Capacity summary'!AN64)),0),AN152*$BI152),AN152*$BI152),0)</f>
        <v>0</v>
      </c>
      <c r="CR152" s="5">
        <f>IF($BI152&lt;&gt;"",IF('Capacity summary'!$C$14="Yes",IF(COUNTBLANK('Capacity summary'!$H64:$BG64)&lt;52,IF('Capacity summary'!AO64&lt;&gt;"",IF(LOWER('Capacity summary'!AO64)="x",$BI152*AO152,VALUE('Capacity summary'!AO64)),0),AO152*$BI152),AO152*$BI152),0)</f>
        <v>0</v>
      </c>
      <c r="CS152" s="5">
        <f>IF($BI152&lt;&gt;"",IF('Capacity summary'!$C$14="Yes",IF(COUNTBLANK('Capacity summary'!$H64:$BG64)&lt;52,IF('Capacity summary'!AP64&lt;&gt;"",IF(LOWER('Capacity summary'!AP64)="x",$BI152*AP152,VALUE('Capacity summary'!AP64)),0),AP152*$BI152),AP152*$BI152),0)</f>
        <v>0</v>
      </c>
      <c r="CT152" s="5">
        <f>IF($BI152&lt;&gt;"",IF('Capacity summary'!$C$14="Yes",IF(COUNTBLANK('Capacity summary'!$H64:$BG64)&lt;52,IF('Capacity summary'!AQ64&lt;&gt;"",IF(LOWER('Capacity summary'!AQ64)="x",$BI152*AQ152,VALUE('Capacity summary'!AQ64)),0),AQ152*$BI152),AQ152*$BI152),0)</f>
        <v>0</v>
      </c>
      <c r="CU152" s="5">
        <f>IF($BI152&lt;&gt;"",IF('Capacity summary'!$C$14="Yes",IF(COUNTBLANK('Capacity summary'!$H64:$BG64)&lt;52,IF('Capacity summary'!AR64&lt;&gt;"",IF(LOWER('Capacity summary'!AR64)="x",$BI152*AR152,VALUE('Capacity summary'!AR64)),0),AR152*$BI152),AR152*$BI152),0)</f>
        <v>0</v>
      </c>
      <c r="CV152" s="5">
        <f>IF($BI152&lt;&gt;"",IF('Capacity summary'!$C$14="Yes",IF(COUNTBLANK('Capacity summary'!$H64:$BG64)&lt;52,IF('Capacity summary'!AS64&lt;&gt;"",IF(LOWER('Capacity summary'!AS64)="x",$BI152*AS152,VALUE('Capacity summary'!AS64)),0),AS152*$BI152),AS152*$BI152),0)</f>
        <v>0</v>
      </c>
      <c r="CW152" s="5">
        <f>IF($BI152&lt;&gt;"",IF('Capacity summary'!$C$14="Yes",IF(COUNTBLANK('Capacity summary'!$H64:$BG64)&lt;52,IF('Capacity summary'!AT64&lt;&gt;"",IF(LOWER('Capacity summary'!AT64)="x",$BI152*AT152,VALUE('Capacity summary'!AT64)),0),AT152*$BI152),AT152*$BI152),0)</f>
        <v>0</v>
      </c>
      <c r="CX152" s="5">
        <f>IF($BI152&lt;&gt;"",IF('Capacity summary'!$C$14="Yes",IF(COUNTBLANK('Capacity summary'!$H64:$BG64)&lt;52,IF('Capacity summary'!AU64&lt;&gt;"",IF(LOWER('Capacity summary'!AU64)="x",$BI152*AU152,VALUE('Capacity summary'!AU64)),0),AU152*$BI152),AU152*$BI152),0)</f>
        <v>0</v>
      </c>
      <c r="CY152" s="5">
        <f>IF($BI152&lt;&gt;"",IF('Capacity summary'!$C$14="Yes",IF(COUNTBLANK('Capacity summary'!$H64:$BG64)&lt;52,IF('Capacity summary'!AV64&lt;&gt;"",IF(LOWER('Capacity summary'!AV64)="x",$BI152*AV152,VALUE('Capacity summary'!AV64)),0),AV152*$BI152),AV152*$BI152),0)</f>
        <v>0</v>
      </c>
      <c r="CZ152" s="5">
        <f>IF($BI152&lt;&gt;"",IF('Capacity summary'!$C$14="Yes",IF(COUNTBLANK('Capacity summary'!$H64:$BG64)&lt;52,IF('Capacity summary'!AW64&lt;&gt;"",IF(LOWER('Capacity summary'!AW64)="x",$BI152*AW152,VALUE('Capacity summary'!AW64)),0),AW152*$BI152),AW152*$BI152),0)</f>
        <v>0</v>
      </c>
      <c r="DA152" s="5">
        <f>IF($BI152&lt;&gt;"",IF('Capacity summary'!$C$14="Yes",IF(COUNTBLANK('Capacity summary'!$H64:$BG64)&lt;52,IF('Capacity summary'!AX64&lt;&gt;"",IF(LOWER('Capacity summary'!AX64)="x",$BI152*AX152,VALUE('Capacity summary'!AX64)),0),AX152*$BI152),AX152*$BI152),0)</f>
        <v>0</v>
      </c>
      <c r="DB152" s="5">
        <f>IF($BI152&lt;&gt;"",IF('Capacity summary'!$C$14="Yes",IF(COUNTBLANK('Capacity summary'!$H64:$BG64)&lt;52,IF('Capacity summary'!AY64&lt;&gt;"",IF(LOWER('Capacity summary'!AY64)="x",$BI152*AY152,VALUE('Capacity summary'!AY64)),0),AY152*$BI152),AY152*$BI152),0)</f>
        <v>0</v>
      </c>
      <c r="DC152" s="5">
        <f>IF($BI152&lt;&gt;"",IF('Capacity summary'!$C$14="Yes",IF(COUNTBLANK('Capacity summary'!$H64:$BG64)&lt;52,IF('Capacity summary'!AZ64&lt;&gt;"",IF(LOWER('Capacity summary'!AZ64)="x",$BI152*AZ152,VALUE('Capacity summary'!AZ64)),0),AZ152*$BI152),AZ152*$BI152),0)</f>
        <v>0</v>
      </c>
      <c r="DD152" s="5">
        <f>IF($BI152&lt;&gt;"",IF('Capacity summary'!$C$14="Yes",IF(COUNTBLANK('Capacity summary'!$H64:$BG64)&lt;52,IF('Capacity summary'!BA64&lt;&gt;"",IF(LOWER('Capacity summary'!BA64)="x",$BI152*BA152,VALUE('Capacity summary'!BA64)),0),BA152*$BI152),BA152*$BI152),0)</f>
        <v>0</v>
      </c>
      <c r="DE152" s="5">
        <f>IF($BI152&lt;&gt;"",IF('Capacity summary'!$C$14="Yes",IF(COUNTBLANK('Capacity summary'!$H64:$BG64)&lt;52,IF('Capacity summary'!BB64&lt;&gt;"",IF(LOWER('Capacity summary'!BB64)="x",$BI152*BB152,VALUE('Capacity summary'!BB64)),0),BB152*$BI152),BB152*$BI152),0)</f>
        <v>0</v>
      </c>
      <c r="DF152" s="5">
        <f>IF($BI152&lt;&gt;"",IF('Capacity summary'!$C$14="Yes",IF(COUNTBLANK('Capacity summary'!$H64:$BG64)&lt;52,IF('Capacity summary'!BC64&lt;&gt;"",IF(LOWER('Capacity summary'!BC64)="x",$BI152*BC152,VALUE('Capacity summary'!BC64)),0),BC152*$BI152),BC152*$BI152),0)</f>
        <v>0</v>
      </c>
      <c r="DG152" s="5">
        <f>IF($BI152&lt;&gt;"",IF('Capacity summary'!$C$14="Yes",IF(COUNTBLANK('Capacity summary'!$H64:$BG64)&lt;52,IF('Capacity summary'!BD64&lt;&gt;"",IF(LOWER('Capacity summary'!BD64)="x",$BI152*BD152,VALUE('Capacity summary'!BD64)),0),BD152*$BI152),BD152*$BI152),0)</f>
        <v>0</v>
      </c>
      <c r="DH152" s="5">
        <f>IF($BI152&lt;&gt;"",IF('Capacity summary'!$C$14="Yes",IF(COUNTBLANK('Capacity summary'!$H64:$BG64)&lt;52,IF('Capacity summary'!BE64&lt;&gt;"",IF(LOWER('Capacity summary'!BE64)="x",$BI152*BE152,VALUE('Capacity summary'!BE64)),0),BE152*$BI152),BE152*$BI152),0)</f>
        <v>0</v>
      </c>
      <c r="DI152" s="5">
        <f>IF($BI152&lt;&gt;"",IF('Capacity summary'!$C$14="Yes",IF(COUNTBLANK('Capacity summary'!$H64:$BG64)&lt;52,IF('Capacity summary'!BF64&lt;&gt;"",IF(LOWER('Capacity summary'!BF64)="x",$BI152*BF152,VALUE('Capacity summary'!BF64)),0),BF152*$BI152),BF152*$BI152),0)</f>
        <v>0</v>
      </c>
      <c r="DJ152" s="5">
        <f>IF($BI152&lt;&gt;"",IF('Capacity summary'!$C$14="Yes",IF(COUNTBLANK('Capacity summary'!$H64:$BG64)&lt;52,IF('Capacity summary'!BG64&lt;&gt;"",IF(LOWER('Capacity summary'!BG64)="x",$BI152*BG152,VALUE('Capacity summary'!BG64)),0),BG152*$BI152),BG152*$BI152),0)</f>
        <v>0</v>
      </c>
      <c r="DK152" s="391">
        <f t="shared" si="8"/>
        <v>0</v>
      </c>
      <c r="DL152" s="5">
        <f t="shared" si="9"/>
        <v>0</v>
      </c>
    </row>
    <row r="153" spans="3:116" x14ac:dyDescent="0.2">
      <c r="C153" s="67" t="str">
        <f>ROW(A42)&amp;". "&amp;Capacity!N58</f>
        <v xml:space="preserve">42. </v>
      </c>
      <c r="D153" s="67">
        <f>'Capacity setup'!C159</f>
        <v>0</v>
      </c>
      <c r="E153" s="67">
        <f>'Capacity setup'!D159</f>
        <v>0</v>
      </c>
      <c r="F153" s="67">
        <f>'Capacity setup'!E159</f>
        <v>0</v>
      </c>
      <c r="H153" s="67">
        <f ca="1">IF(LOWER(Capacity!$V58)="x",IF(AND(SUMIF(Capacity_Resource,$D153,'Critical resources (hide)'!U$6:U$105)+SUMIF(Capacity_Resource,$E153,'Critical resources (hide)'!U$6:U$105)+SUMIF(Capacity_Resource,$F153,'Critical resources (hide)'!U$6:U$105)&gt;0,$E$1=2),0,1),0)</f>
        <v>1</v>
      </c>
      <c r="I153" s="67">
        <f ca="1">IF(LOWER(Capacity!$V58)="x",IF(AND(SUMIF(Capacity_Resource,$D153,'Critical resources (hide)'!V$6:V$105)+SUMIF(Capacity_Resource,$E153,'Critical resources (hide)'!V$6:V$105)+SUMIF(Capacity_Resource,$F153,'Critical resources (hide)'!V$6:V$105)&gt;0,$E$1=2),0,1),0)</f>
        <v>1</v>
      </c>
      <c r="J153" s="67">
        <f ca="1">IF(LOWER(Capacity!$V58)="x",IF(AND(SUMIF(Capacity_Resource,$D153,'Critical resources (hide)'!W$6:W$105)+SUMIF(Capacity_Resource,$E153,'Critical resources (hide)'!W$6:W$105)+SUMIF(Capacity_Resource,$F153,'Critical resources (hide)'!W$6:W$105)&gt;0,$E$1=2),0,1),0)</f>
        <v>1</v>
      </c>
      <c r="K153" s="67">
        <f ca="1">IF(LOWER(Capacity!$V58)="x",IF(AND(SUMIF(Capacity_Resource,$D153,'Critical resources (hide)'!X$6:X$105)+SUMIF(Capacity_Resource,$E153,'Critical resources (hide)'!X$6:X$105)+SUMIF(Capacity_Resource,$F153,'Critical resources (hide)'!X$6:X$105)&gt;0,$E$1=2),0,1),0)</f>
        <v>1</v>
      </c>
      <c r="L153" s="67">
        <f ca="1">IF(LOWER(Capacity!$V58)="x",IF(AND(SUMIF(Capacity_Resource,$D153,'Critical resources (hide)'!Y$6:Y$105)+SUMIF(Capacity_Resource,$E153,'Critical resources (hide)'!Y$6:Y$105)+SUMIF(Capacity_Resource,$F153,'Critical resources (hide)'!Y$6:Y$105)&gt;0,$E$1=2),0,1),0)</f>
        <v>1</v>
      </c>
      <c r="M153" s="67">
        <f ca="1">IF(LOWER(Capacity!$V58)="x",IF(AND(SUMIF(Capacity_Resource,$D153,'Critical resources (hide)'!Z$6:Z$105)+SUMIF(Capacity_Resource,$E153,'Critical resources (hide)'!Z$6:Z$105)+SUMIF(Capacity_Resource,$F153,'Critical resources (hide)'!Z$6:Z$105)&gt;0,$E$1=2),0,1),0)</f>
        <v>1</v>
      </c>
      <c r="N153" s="67">
        <f ca="1">IF(LOWER(Capacity!$V58)="x",IF(AND(SUMIF(Capacity_Resource,$D153,'Critical resources (hide)'!AA$6:AA$105)+SUMIF(Capacity_Resource,$E153,'Critical resources (hide)'!AA$6:AA$105)+SUMIF(Capacity_Resource,$F153,'Critical resources (hide)'!AA$6:AA$105)&gt;0,$E$1=2),0,1),0)</f>
        <v>1</v>
      </c>
      <c r="O153" s="67">
        <f ca="1">IF(LOWER(Capacity!$V58)="x",IF(AND(SUMIF(Capacity_Resource,$D153,'Critical resources (hide)'!AB$6:AB$105)+SUMIF(Capacity_Resource,$E153,'Critical resources (hide)'!AB$6:AB$105)+SUMIF(Capacity_Resource,$F153,'Critical resources (hide)'!AB$6:AB$105)&gt;0,$E$1=2),0,1),0)</f>
        <v>1</v>
      </c>
      <c r="P153" s="67">
        <f ca="1">IF(LOWER(Capacity!$V58)="x",IF(AND(SUMIF(Capacity_Resource,$D153,'Critical resources (hide)'!AC$6:AC$105)+SUMIF(Capacity_Resource,$E153,'Critical resources (hide)'!AC$6:AC$105)+SUMIF(Capacity_Resource,$F153,'Critical resources (hide)'!AC$6:AC$105)&gt;0,$E$1=2),0,1),0)</f>
        <v>1</v>
      </c>
      <c r="Q153" s="67">
        <f ca="1">IF(LOWER(Capacity!$V58)="x",IF(AND(SUMIF(Capacity_Resource,$D153,'Critical resources (hide)'!AD$6:AD$105)+SUMIF(Capacity_Resource,$E153,'Critical resources (hide)'!AD$6:AD$105)+SUMIF(Capacity_Resource,$F153,'Critical resources (hide)'!AD$6:AD$105)&gt;0,$E$1=2),0,1),0)</f>
        <v>1</v>
      </c>
      <c r="R153" s="67">
        <f ca="1">IF(LOWER(Capacity!$V58)="x",IF(AND(SUMIF(Capacity_Resource,$D153,'Critical resources (hide)'!AE$6:AE$105)+SUMIF(Capacity_Resource,$E153,'Critical resources (hide)'!AE$6:AE$105)+SUMIF(Capacity_Resource,$F153,'Critical resources (hide)'!AE$6:AE$105)&gt;0,$E$1=2),0,1),0)</f>
        <v>1</v>
      </c>
      <c r="S153" s="67">
        <f ca="1">IF(LOWER(Capacity!$V58)="x",IF(AND(SUMIF(Capacity_Resource,$D153,'Critical resources (hide)'!AF$6:AF$105)+SUMIF(Capacity_Resource,$E153,'Critical resources (hide)'!AF$6:AF$105)+SUMIF(Capacity_Resource,$F153,'Critical resources (hide)'!AF$6:AF$105)&gt;0,$E$1=2),0,1),0)</f>
        <v>1</v>
      </c>
      <c r="T153" s="67">
        <f ca="1">IF(LOWER(Capacity!$V58)="x",IF(AND(SUMIF(Capacity_Resource,$D153,'Critical resources (hide)'!AG$6:AG$105)+SUMIF(Capacity_Resource,$E153,'Critical resources (hide)'!AG$6:AG$105)+SUMIF(Capacity_Resource,$F153,'Critical resources (hide)'!AG$6:AG$105)&gt;0,$E$1=2),0,1),0)</f>
        <v>1</v>
      </c>
      <c r="U153" s="67">
        <f ca="1">IF(LOWER(Capacity!$V58)="x",IF(AND(SUMIF(Capacity_Resource,$D153,'Critical resources (hide)'!AH$6:AH$105)+SUMIF(Capacity_Resource,$E153,'Critical resources (hide)'!AH$6:AH$105)+SUMIF(Capacity_Resource,$F153,'Critical resources (hide)'!AH$6:AH$105)&gt;0,$E$1=2),0,1),0)</f>
        <v>1</v>
      </c>
      <c r="V153" s="67">
        <f ca="1">IF(LOWER(Capacity!$V58)="x",IF(AND(SUMIF(Capacity_Resource,$D153,'Critical resources (hide)'!AI$6:AI$105)+SUMIF(Capacity_Resource,$E153,'Critical resources (hide)'!AI$6:AI$105)+SUMIF(Capacity_Resource,$F153,'Critical resources (hide)'!AI$6:AI$105)&gt;0,$E$1=2),0,1),0)</f>
        <v>1</v>
      </c>
      <c r="W153" s="67">
        <f ca="1">IF(LOWER(Capacity!$V58)="x",IF(AND(SUMIF(Capacity_Resource,$D153,'Critical resources (hide)'!AJ$6:AJ$105)+SUMIF(Capacity_Resource,$E153,'Critical resources (hide)'!AJ$6:AJ$105)+SUMIF(Capacity_Resource,$F153,'Critical resources (hide)'!AJ$6:AJ$105)&gt;0,$E$1=2),0,1),0)</f>
        <v>1</v>
      </c>
      <c r="X153" s="67">
        <f ca="1">IF(LOWER(Capacity!$V58)="x",IF(AND(SUMIF(Capacity_Resource,$D153,'Critical resources (hide)'!AK$6:AK$105)+SUMIF(Capacity_Resource,$E153,'Critical resources (hide)'!AK$6:AK$105)+SUMIF(Capacity_Resource,$F153,'Critical resources (hide)'!AK$6:AK$105)&gt;0,$E$1=2),0,1),0)</f>
        <v>1</v>
      </c>
      <c r="Y153" s="67">
        <f ca="1">IF(LOWER(Capacity!$V58)="x",IF(AND(SUMIF(Capacity_Resource,$D153,'Critical resources (hide)'!AL$6:AL$105)+SUMIF(Capacity_Resource,$E153,'Critical resources (hide)'!AL$6:AL$105)+SUMIF(Capacity_Resource,$F153,'Critical resources (hide)'!AL$6:AL$105)&gt;0,$E$1=2),0,1),0)</f>
        <v>1</v>
      </c>
      <c r="Z153" s="67">
        <f ca="1">IF(LOWER(Capacity!$V58)="x",IF(AND(SUMIF(Capacity_Resource,$D153,'Critical resources (hide)'!AM$6:AM$105)+SUMIF(Capacity_Resource,$E153,'Critical resources (hide)'!AM$6:AM$105)+SUMIF(Capacity_Resource,$F153,'Critical resources (hide)'!AM$6:AM$105)&gt;0,$E$1=2),0,1),0)</f>
        <v>1</v>
      </c>
      <c r="AA153" s="67">
        <f ca="1">IF(LOWER(Capacity!$V58)="x",IF(AND(SUMIF(Capacity_Resource,$D153,'Critical resources (hide)'!AN$6:AN$105)+SUMIF(Capacity_Resource,$E153,'Critical resources (hide)'!AN$6:AN$105)+SUMIF(Capacity_Resource,$F153,'Critical resources (hide)'!AN$6:AN$105)&gt;0,$E$1=2),0,1),0)</f>
        <v>1</v>
      </c>
      <c r="AB153" s="67">
        <f ca="1">IF(LOWER(Capacity!$V58)="x",IF(AND(SUMIF(Capacity_Resource,$D153,'Critical resources (hide)'!AO$6:AO$105)+SUMIF(Capacity_Resource,$E153,'Critical resources (hide)'!AO$6:AO$105)+SUMIF(Capacity_Resource,$F153,'Critical resources (hide)'!AO$6:AO$105)&gt;0,$E$1=2),0,1),0)</f>
        <v>1</v>
      </c>
      <c r="AC153" s="67">
        <f ca="1">IF(LOWER(Capacity!$V58)="x",IF(AND(SUMIF(Capacity_Resource,$D153,'Critical resources (hide)'!AP$6:AP$105)+SUMIF(Capacity_Resource,$E153,'Critical resources (hide)'!AP$6:AP$105)+SUMIF(Capacity_Resource,$F153,'Critical resources (hide)'!AP$6:AP$105)&gt;0,$E$1=2),0,1),0)</f>
        <v>1</v>
      </c>
      <c r="AD153" s="67">
        <f ca="1">IF(LOWER(Capacity!$V58)="x",IF(AND(SUMIF(Capacity_Resource,$D153,'Critical resources (hide)'!AQ$6:AQ$105)+SUMIF(Capacity_Resource,$E153,'Critical resources (hide)'!AQ$6:AQ$105)+SUMIF(Capacity_Resource,$F153,'Critical resources (hide)'!AQ$6:AQ$105)&gt;0,$E$1=2),0,1),0)</f>
        <v>1</v>
      </c>
      <c r="AE153" s="67">
        <f ca="1">IF(LOWER(Capacity!$V58)="x",IF(AND(SUMIF(Capacity_Resource,$D153,'Critical resources (hide)'!AR$6:AR$105)+SUMIF(Capacity_Resource,$E153,'Critical resources (hide)'!AR$6:AR$105)+SUMIF(Capacity_Resource,$F153,'Critical resources (hide)'!AR$6:AR$105)&gt;0,$E$1=2),0,1),0)</f>
        <v>1</v>
      </c>
      <c r="AF153" s="67">
        <f ca="1">IF(LOWER(Capacity!$V58)="x",IF(AND(SUMIF(Capacity_Resource,$D153,'Critical resources (hide)'!AS$6:AS$105)+SUMIF(Capacity_Resource,$E153,'Critical resources (hide)'!AS$6:AS$105)+SUMIF(Capacity_Resource,$F153,'Critical resources (hide)'!AS$6:AS$105)&gt;0,$E$1=2),0,1),0)</f>
        <v>1</v>
      </c>
      <c r="AG153" s="67">
        <f ca="1">IF(LOWER(Capacity!$V58)="x",IF(AND(SUMIF(Capacity_Resource,$D153,'Critical resources (hide)'!AT$6:AT$105)+SUMIF(Capacity_Resource,$E153,'Critical resources (hide)'!AT$6:AT$105)+SUMIF(Capacity_Resource,$F153,'Critical resources (hide)'!AT$6:AT$105)&gt;0,$E$1=2),0,1),0)</f>
        <v>1</v>
      </c>
      <c r="AH153" s="67">
        <f ca="1">IF(LOWER(Capacity!$V58)="x",IF(AND(SUMIF(Capacity_Resource,$D153,'Critical resources (hide)'!AU$6:AU$105)+SUMIF(Capacity_Resource,$E153,'Critical resources (hide)'!AU$6:AU$105)+SUMIF(Capacity_Resource,$F153,'Critical resources (hide)'!AU$6:AU$105)&gt;0,$E$1=2),0,1),0)</f>
        <v>1</v>
      </c>
      <c r="AI153" s="67">
        <f ca="1">IF(LOWER(Capacity!$V58)="x",IF(AND(SUMIF(Capacity_Resource,$D153,'Critical resources (hide)'!AV$6:AV$105)+SUMIF(Capacity_Resource,$E153,'Critical resources (hide)'!AV$6:AV$105)+SUMIF(Capacity_Resource,$F153,'Critical resources (hide)'!AV$6:AV$105)&gt;0,$E$1=2),0,1),0)</f>
        <v>1</v>
      </c>
      <c r="AJ153" s="67">
        <f ca="1">IF(LOWER(Capacity!$V58)="x",IF(AND(SUMIF(Capacity_Resource,$D153,'Critical resources (hide)'!AW$6:AW$105)+SUMIF(Capacity_Resource,$E153,'Critical resources (hide)'!AW$6:AW$105)+SUMIF(Capacity_Resource,$F153,'Critical resources (hide)'!AW$6:AW$105)&gt;0,$E$1=2),0,1),0)</f>
        <v>1</v>
      </c>
      <c r="AK153" s="67">
        <f ca="1">IF(LOWER(Capacity!$V58)="x",IF(AND(SUMIF(Capacity_Resource,$D153,'Critical resources (hide)'!AX$6:AX$105)+SUMIF(Capacity_Resource,$E153,'Critical resources (hide)'!AX$6:AX$105)+SUMIF(Capacity_Resource,$F153,'Critical resources (hide)'!AX$6:AX$105)&gt;0,$E$1=2),0,1),0)</f>
        <v>1</v>
      </c>
      <c r="AL153" s="67">
        <f ca="1">IF(LOWER(Capacity!$V58)="x",IF(AND(SUMIF(Capacity_Resource,$D153,'Critical resources (hide)'!AY$6:AY$105)+SUMIF(Capacity_Resource,$E153,'Critical resources (hide)'!AY$6:AY$105)+SUMIF(Capacity_Resource,$F153,'Critical resources (hide)'!AY$6:AY$105)&gt;0,$E$1=2),0,1),0)</f>
        <v>1</v>
      </c>
      <c r="AM153" s="67">
        <f ca="1">IF(LOWER(Capacity!$V58)="x",IF(AND(SUMIF(Capacity_Resource,$D153,'Critical resources (hide)'!AZ$6:AZ$105)+SUMIF(Capacity_Resource,$E153,'Critical resources (hide)'!AZ$6:AZ$105)+SUMIF(Capacity_Resource,$F153,'Critical resources (hide)'!AZ$6:AZ$105)&gt;0,$E$1=2),0,1),0)</f>
        <v>1</v>
      </c>
      <c r="AN153" s="67">
        <f ca="1">IF(LOWER(Capacity!$V58)="x",IF(AND(SUMIF(Capacity_Resource,$D153,'Critical resources (hide)'!BA$6:BA$105)+SUMIF(Capacity_Resource,$E153,'Critical resources (hide)'!BA$6:BA$105)+SUMIF(Capacity_Resource,$F153,'Critical resources (hide)'!BA$6:BA$105)&gt;0,$E$1=2),0,1),0)</f>
        <v>1</v>
      </c>
      <c r="AO153" s="67">
        <f ca="1">IF(LOWER(Capacity!$V58)="x",IF(AND(SUMIF(Capacity_Resource,$D153,'Critical resources (hide)'!BB$6:BB$105)+SUMIF(Capacity_Resource,$E153,'Critical resources (hide)'!BB$6:BB$105)+SUMIF(Capacity_Resource,$F153,'Critical resources (hide)'!BB$6:BB$105)&gt;0,$E$1=2),0,1),0)</f>
        <v>1</v>
      </c>
      <c r="AP153" s="67">
        <f ca="1">IF(LOWER(Capacity!$V58)="x",IF(AND(SUMIF(Capacity_Resource,$D153,'Critical resources (hide)'!BC$6:BC$105)+SUMIF(Capacity_Resource,$E153,'Critical resources (hide)'!BC$6:BC$105)+SUMIF(Capacity_Resource,$F153,'Critical resources (hide)'!BC$6:BC$105)&gt;0,$E$1=2),0,1),0)</f>
        <v>1</v>
      </c>
      <c r="AQ153" s="67">
        <f ca="1">IF(LOWER(Capacity!$V58)="x",IF(AND(SUMIF(Capacity_Resource,$D153,'Critical resources (hide)'!BD$6:BD$105)+SUMIF(Capacity_Resource,$E153,'Critical resources (hide)'!BD$6:BD$105)+SUMIF(Capacity_Resource,$F153,'Critical resources (hide)'!BD$6:BD$105)&gt;0,$E$1=2),0,1),0)</f>
        <v>1</v>
      </c>
      <c r="AR153" s="67">
        <f ca="1">IF(LOWER(Capacity!$V58)="x",IF(AND(SUMIF(Capacity_Resource,$D153,'Critical resources (hide)'!BE$6:BE$105)+SUMIF(Capacity_Resource,$E153,'Critical resources (hide)'!BE$6:BE$105)+SUMIF(Capacity_Resource,$F153,'Critical resources (hide)'!BE$6:BE$105)&gt;0,$E$1=2),0,1),0)</f>
        <v>1</v>
      </c>
      <c r="AS153" s="67">
        <f ca="1">IF(LOWER(Capacity!$V58)="x",IF(AND(SUMIF(Capacity_Resource,$D153,'Critical resources (hide)'!BF$6:BF$105)+SUMIF(Capacity_Resource,$E153,'Critical resources (hide)'!BF$6:BF$105)+SUMIF(Capacity_Resource,$F153,'Critical resources (hide)'!BF$6:BF$105)&gt;0,$E$1=2),0,1),0)</f>
        <v>1</v>
      </c>
      <c r="AT153" s="67">
        <f ca="1">IF(LOWER(Capacity!$V58)="x",IF(AND(SUMIF(Capacity_Resource,$D153,'Critical resources (hide)'!BG$6:BG$105)+SUMIF(Capacity_Resource,$E153,'Critical resources (hide)'!BG$6:BG$105)+SUMIF(Capacity_Resource,$F153,'Critical resources (hide)'!BG$6:BG$105)&gt;0,$E$1=2),0,1),0)</f>
        <v>1</v>
      </c>
      <c r="AU153" s="67">
        <f ca="1">IF(LOWER(Capacity!$V58)="x",IF(AND(SUMIF(Capacity_Resource,$D153,'Critical resources (hide)'!BH$6:BH$105)+SUMIF(Capacity_Resource,$E153,'Critical resources (hide)'!BH$6:BH$105)+SUMIF(Capacity_Resource,$F153,'Critical resources (hide)'!BH$6:BH$105)&gt;0,$E$1=2),0,1),0)</f>
        <v>1</v>
      </c>
      <c r="AV153" s="67">
        <f ca="1">IF(LOWER(Capacity!$V58)="x",IF(AND(SUMIF(Capacity_Resource,$D153,'Critical resources (hide)'!BI$6:BI$105)+SUMIF(Capacity_Resource,$E153,'Critical resources (hide)'!BI$6:BI$105)+SUMIF(Capacity_Resource,$F153,'Critical resources (hide)'!BI$6:BI$105)&gt;0,$E$1=2),0,1),0)</f>
        <v>1</v>
      </c>
      <c r="AW153" s="67">
        <f ca="1">IF(LOWER(Capacity!$V58)="x",IF(AND(SUMIF(Capacity_Resource,$D153,'Critical resources (hide)'!BJ$6:BJ$105)+SUMIF(Capacity_Resource,$E153,'Critical resources (hide)'!BJ$6:BJ$105)+SUMIF(Capacity_Resource,$F153,'Critical resources (hide)'!BJ$6:BJ$105)&gt;0,$E$1=2),0,1),0)</f>
        <v>1</v>
      </c>
      <c r="AX153" s="67">
        <f ca="1">IF(LOWER(Capacity!$V58)="x",IF(AND(SUMIF(Capacity_Resource,$D153,'Critical resources (hide)'!BK$6:BK$105)+SUMIF(Capacity_Resource,$E153,'Critical resources (hide)'!BK$6:BK$105)+SUMIF(Capacity_Resource,$F153,'Critical resources (hide)'!BK$6:BK$105)&gt;0,$E$1=2),0,1),0)</f>
        <v>1</v>
      </c>
      <c r="AY153" s="67">
        <f ca="1">IF(LOWER(Capacity!$V58)="x",IF(AND(SUMIF(Capacity_Resource,$D153,'Critical resources (hide)'!BL$6:BL$105)+SUMIF(Capacity_Resource,$E153,'Critical resources (hide)'!BL$6:BL$105)+SUMIF(Capacity_Resource,$F153,'Critical resources (hide)'!BL$6:BL$105)&gt;0,$E$1=2),0,1),0)</f>
        <v>1</v>
      </c>
      <c r="AZ153" s="67">
        <f ca="1">IF(LOWER(Capacity!$V58)="x",IF(AND(SUMIF(Capacity_Resource,$D153,'Critical resources (hide)'!BM$6:BM$105)+SUMIF(Capacity_Resource,$E153,'Critical resources (hide)'!BM$6:BM$105)+SUMIF(Capacity_Resource,$F153,'Critical resources (hide)'!BM$6:BM$105)&gt;0,$E$1=2),0,1),0)</f>
        <v>1</v>
      </c>
      <c r="BA153" s="67">
        <f ca="1">IF(LOWER(Capacity!$V58)="x",IF(AND(SUMIF(Capacity_Resource,$D153,'Critical resources (hide)'!BN$6:BN$105)+SUMIF(Capacity_Resource,$E153,'Critical resources (hide)'!BN$6:BN$105)+SUMIF(Capacity_Resource,$F153,'Critical resources (hide)'!BN$6:BN$105)&gt;0,$E$1=2),0,1),0)</f>
        <v>1</v>
      </c>
      <c r="BB153" s="67">
        <f ca="1">IF(LOWER(Capacity!$V58)="x",IF(AND(SUMIF(Capacity_Resource,$D153,'Critical resources (hide)'!BO$6:BO$105)+SUMIF(Capacity_Resource,$E153,'Critical resources (hide)'!BO$6:BO$105)+SUMIF(Capacity_Resource,$F153,'Critical resources (hide)'!BO$6:BO$105)&gt;0,$E$1=2),0,1),0)</f>
        <v>1</v>
      </c>
      <c r="BC153" s="67">
        <f ca="1">IF(LOWER(Capacity!$V58)="x",IF(AND(SUMIF(Capacity_Resource,$D153,'Critical resources (hide)'!BP$6:BP$105)+SUMIF(Capacity_Resource,$E153,'Critical resources (hide)'!BP$6:BP$105)+SUMIF(Capacity_Resource,$F153,'Critical resources (hide)'!BP$6:BP$105)&gt;0,$E$1=2),0,1),0)</f>
        <v>1</v>
      </c>
      <c r="BD153" s="67">
        <f ca="1">IF(LOWER(Capacity!$V58)="x",IF(AND(SUMIF(Capacity_Resource,$D153,'Critical resources (hide)'!BQ$6:BQ$105)+SUMIF(Capacity_Resource,$E153,'Critical resources (hide)'!BQ$6:BQ$105)+SUMIF(Capacity_Resource,$F153,'Critical resources (hide)'!BQ$6:BQ$105)&gt;0,$E$1=2),0,1),0)</f>
        <v>1</v>
      </c>
      <c r="BE153" s="67">
        <f ca="1">IF(LOWER(Capacity!$V58)="x",IF(AND(SUMIF(Capacity_Resource,$D153,'Critical resources (hide)'!BR$6:BR$105)+SUMIF(Capacity_Resource,$E153,'Critical resources (hide)'!BR$6:BR$105)+SUMIF(Capacity_Resource,$F153,'Critical resources (hide)'!BR$6:BR$105)&gt;0,$E$1=2),0,1),0)</f>
        <v>1</v>
      </c>
      <c r="BF153" s="67">
        <f ca="1">IF(LOWER(Capacity!$V58)="x",IF(AND(SUMIF(Capacity_Resource,$D153,'Critical resources (hide)'!BS$6:BS$105)+SUMIF(Capacity_Resource,$E153,'Critical resources (hide)'!BS$6:BS$105)+SUMIF(Capacity_Resource,$F153,'Critical resources (hide)'!BS$6:BS$105)&gt;0,$E$1=2),0,1),0)</f>
        <v>1</v>
      </c>
      <c r="BG153" s="67">
        <f ca="1">IF(LOWER(Capacity!$V58)="x",IF(AND(SUMIF(Capacity_Resource,$D153,'Critical resources (hide)'!BT$6:BT$105)+SUMIF(Capacity_Resource,$E153,'Critical resources (hide)'!BT$6:BT$105)+SUMIF(Capacity_Resource,$F153,'Critical resources (hide)'!BT$6:BT$105)&gt;0,$E$1=2),0,1),0)</f>
        <v>1</v>
      </c>
      <c r="BH153" s="67">
        <f>IF(ROW(A42)&lt;=Capacity!$M$16,IF('Capacity summary'!$C$14="No",SUM(H153:BG153),'Capacity summary'!$E65),0)</f>
        <v>0</v>
      </c>
      <c r="BI153" s="67" t="str">
        <f>IF(BH153&gt;0,IF(BH153&lt;Capacity!Q58,Capacity!R58,Capacity!T58/'Capacity calculation (hide)'!BH153),"")</f>
        <v/>
      </c>
      <c r="BJ153" s="5"/>
      <c r="BK153" s="5">
        <f>IF($BI153&lt;&gt;"",IF('Capacity summary'!$C$14="Yes",IF(COUNTBLANK('Capacity summary'!$H65:$BG65)&lt;52,IF('Capacity summary'!H65&lt;&gt;"",IF(LOWER('Capacity summary'!H65)="x",$BI153*H153,VALUE('Capacity summary'!H65)),0),H153*$BI153),H153*$BI153),0)</f>
        <v>0</v>
      </c>
      <c r="BL153" s="5">
        <f>IF($BI153&lt;&gt;"",IF('Capacity summary'!$C$14="Yes",IF(COUNTBLANK('Capacity summary'!$H65:$BG65)&lt;52,IF('Capacity summary'!I65&lt;&gt;"",IF(LOWER('Capacity summary'!I65)="x",$BI153*I153,VALUE('Capacity summary'!I65)),0),I153*$BI153),I153*$BI153),0)</f>
        <v>0</v>
      </c>
      <c r="BM153" s="5">
        <f>IF($BI153&lt;&gt;"",IF('Capacity summary'!$C$14="Yes",IF(COUNTBLANK('Capacity summary'!$H65:$BG65)&lt;52,IF('Capacity summary'!J65&lt;&gt;"",IF(LOWER('Capacity summary'!J65)="x",$BI153*J153,VALUE('Capacity summary'!J65)),0),J153*$BI153),J153*$BI153),0)</f>
        <v>0</v>
      </c>
      <c r="BN153" s="5">
        <f>IF($BI153&lt;&gt;"",IF('Capacity summary'!$C$14="Yes",IF(COUNTBLANK('Capacity summary'!$H65:$BG65)&lt;52,IF('Capacity summary'!K65&lt;&gt;"",IF(LOWER('Capacity summary'!K65)="x",$BI153*K153,VALUE('Capacity summary'!K65)),0),K153*$BI153),K153*$BI153),0)</f>
        <v>0</v>
      </c>
      <c r="BO153" s="5">
        <f>IF($BI153&lt;&gt;"",IF('Capacity summary'!$C$14="Yes",IF(COUNTBLANK('Capacity summary'!$H65:$BG65)&lt;52,IF('Capacity summary'!L65&lt;&gt;"",IF(LOWER('Capacity summary'!L65)="x",$BI153*L153,VALUE('Capacity summary'!L65)),0),L153*$BI153),L153*$BI153),0)</f>
        <v>0</v>
      </c>
      <c r="BP153" s="5">
        <f>IF($BI153&lt;&gt;"",IF('Capacity summary'!$C$14="Yes",IF(COUNTBLANK('Capacity summary'!$H65:$BG65)&lt;52,IF('Capacity summary'!M65&lt;&gt;"",IF(LOWER('Capacity summary'!M65)="x",$BI153*M153,VALUE('Capacity summary'!M65)),0),M153*$BI153),M153*$BI153),0)</f>
        <v>0</v>
      </c>
      <c r="BQ153" s="5">
        <f>IF($BI153&lt;&gt;"",IF('Capacity summary'!$C$14="Yes",IF(COUNTBLANK('Capacity summary'!$H65:$BG65)&lt;52,IF('Capacity summary'!N65&lt;&gt;"",IF(LOWER('Capacity summary'!N65)="x",$BI153*N153,VALUE('Capacity summary'!N65)),0),N153*$BI153),N153*$BI153),0)</f>
        <v>0</v>
      </c>
      <c r="BR153" s="5">
        <f>IF($BI153&lt;&gt;"",IF('Capacity summary'!$C$14="Yes",IF(COUNTBLANK('Capacity summary'!$H65:$BG65)&lt;52,IF('Capacity summary'!O65&lt;&gt;"",IF(LOWER('Capacity summary'!O65)="x",$BI153*O153,VALUE('Capacity summary'!O65)),0),O153*$BI153),O153*$BI153),0)</f>
        <v>0</v>
      </c>
      <c r="BS153" s="5">
        <f>IF($BI153&lt;&gt;"",IF('Capacity summary'!$C$14="Yes",IF(COUNTBLANK('Capacity summary'!$H65:$BG65)&lt;52,IF('Capacity summary'!P65&lt;&gt;"",IF(LOWER('Capacity summary'!P65)="x",$BI153*P153,VALUE('Capacity summary'!P65)),0),P153*$BI153),P153*$BI153),0)</f>
        <v>0</v>
      </c>
      <c r="BT153" s="5">
        <f>IF($BI153&lt;&gt;"",IF('Capacity summary'!$C$14="Yes",IF(COUNTBLANK('Capacity summary'!$H65:$BG65)&lt;52,IF('Capacity summary'!Q65&lt;&gt;"",IF(LOWER('Capacity summary'!Q65)="x",$BI153*Q153,VALUE('Capacity summary'!Q65)),0),Q153*$BI153),Q153*$BI153),0)</f>
        <v>0</v>
      </c>
      <c r="BU153" s="5">
        <f>IF($BI153&lt;&gt;"",IF('Capacity summary'!$C$14="Yes",IF(COUNTBLANK('Capacity summary'!$H65:$BG65)&lt;52,IF('Capacity summary'!R65&lt;&gt;"",IF(LOWER('Capacity summary'!R65)="x",$BI153*R153,VALUE('Capacity summary'!R65)),0),R153*$BI153),R153*$BI153),0)</f>
        <v>0</v>
      </c>
      <c r="BV153" s="5">
        <f>IF($BI153&lt;&gt;"",IF('Capacity summary'!$C$14="Yes",IF(COUNTBLANK('Capacity summary'!$H65:$BG65)&lt;52,IF('Capacity summary'!S65&lt;&gt;"",IF(LOWER('Capacity summary'!S65)="x",$BI153*S153,VALUE('Capacity summary'!S65)),0),S153*$BI153),S153*$BI153),0)</f>
        <v>0</v>
      </c>
      <c r="BW153" s="5">
        <f>IF($BI153&lt;&gt;"",IF('Capacity summary'!$C$14="Yes",IF(COUNTBLANK('Capacity summary'!$H65:$BG65)&lt;52,IF('Capacity summary'!T65&lt;&gt;"",IF(LOWER('Capacity summary'!T65)="x",$BI153*T153,VALUE('Capacity summary'!T65)),0),T153*$BI153),T153*$BI153),0)</f>
        <v>0</v>
      </c>
      <c r="BX153" s="5">
        <f>IF($BI153&lt;&gt;"",IF('Capacity summary'!$C$14="Yes",IF(COUNTBLANK('Capacity summary'!$H65:$BG65)&lt;52,IF('Capacity summary'!U65&lt;&gt;"",IF(LOWER('Capacity summary'!U65)="x",$BI153*U153,VALUE('Capacity summary'!U65)),0),U153*$BI153),U153*$BI153),0)</f>
        <v>0</v>
      </c>
      <c r="BY153" s="5">
        <f>IF($BI153&lt;&gt;"",IF('Capacity summary'!$C$14="Yes",IF(COUNTBLANK('Capacity summary'!$H65:$BG65)&lt;52,IF('Capacity summary'!V65&lt;&gt;"",IF(LOWER('Capacity summary'!V65)="x",$BI153*V153,VALUE('Capacity summary'!V65)),0),V153*$BI153),V153*$BI153),0)</f>
        <v>0</v>
      </c>
      <c r="BZ153" s="5">
        <f>IF($BI153&lt;&gt;"",IF('Capacity summary'!$C$14="Yes",IF(COUNTBLANK('Capacity summary'!$H65:$BG65)&lt;52,IF('Capacity summary'!W65&lt;&gt;"",IF(LOWER('Capacity summary'!W65)="x",$BI153*W153,VALUE('Capacity summary'!W65)),0),W153*$BI153),W153*$BI153),0)</f>
        <v>0</v>
      </c>
      <c r="CA153" s="5">
        <f>IF($BI153&lt;&gt;"",IF('Capacity summary'!$C$14="Yes",IF(COUNTBLANK('Capacity summary'!$H65:$BG65)&lt;52,IF('Capacity summary'!X65&lt;&gt;"",IF(LOWER('Capacity summary'!X65)="x",$BI153*X153,VALUE('Capacity summary'!X65)),0),X153*$BI153),X153*$BI153),0)</f>
        <v>0</v>
      </c>
      <c r="CB153" s="5">
        <f>IF($BI153&lt;&gt;"",IF('Capacity summary'!$C$14="Yes",IF(COUNTBLANK('Capacity summary'!$H65:$BG65)&lt;52,IF('Capacity summary'!Y65&lt;&gt;"",IF(LOWER('Capacity summary'!Y65)="x",$BI153*Y153,VALUE('Capacity summary'!Y65)),0),Y153*$BI153),Y153*$BI153),0)</f>
        <v>0</v>
      </c>
      <c r="CC153" s="5">
        <f>IF($BI153&lt;&gt;"",IF('Capacity summary'!$C$14="Yes",IF(COUNTBLANK('Capacity summary'!$H65:$BG65)&lt;52,IF('Capacity summary'!Z65&lt;&gt;"",IF(LOWER('Capacity summary'!Z65)="x",$BI153*Z153,VALUE('Capacity summary'!Z65)),0),Z153*$BI153),Z153*$BI153),0)</f>
        <v>0</v>
      </c>
      <c r="CD153" s="5">
        <f>IF($BI153&lt;&gt;"",IF('Capacity summary'!$C$14="Yes",IF(COUNTBLANK('Capacity summary'!$H65:$BG65)&lt;52,IF('Capacity summary'!AA65&lt;&gt;"",IF(LOWER('Capacity summary'!AA65)="x",$BI153*AA153,VALUE('Capacity summary'!AA65)),0),AA153*$BI153),AA153*$BI153),0)</f>
        <v>0</v>
      </c>
      <c r="CE153" s="5">
        <f>IF($BI153&lt;&gt;"",IF('Capacity summary'!$C$14="Yes",IF(COUNTBLANK('Capacity summary'!$H65:$BG65)&lt;52,IF('Capacity summary'!AB65&lt;&gt;"",IF(LOWER('Capacity summary'!AB65)="x",$BI153*AB153,VALUE('Capacity summary'!AB65)),0),AB153*$BI153),AB153*$BI153),0)</f>
        <v>0</v>
      </c>
      <c r="CF153" s="5">
        <f>IF($BI153&lt;&gt;"",IF('Capacity summary'!$C$14="Yes",IF(COUNTBLANK('Capacity summary'!$H65:$BG65)&lt;52,IF('Capacity summary'!AC65&lt;&gt;"",IF(LOWER('Capacity summary'!AC65)="x",$BI153*AC153,VALUE('Capacity summary'!AC65)),0),AC153*$BI153),AC153*$BI153),0)</f>
        <v>0</v>
      </c>
      <c r="CG153" s="5">
        <f>IF($BI153&lt;&gt;"",IF('Capacity summary'!$C$14="Yes",IF(COUNTBLANK('Capacity summary'!$H65:$BG65)&lt;52,IF('Capacity summary'!AD65&lt;&gt;"",IF(LOWER('Capacity summary'!AD65)="x",$BI153*AD153,VALUE('Capacity summary'!AD65)),0),AD153*$BI153),AD153*$BI153),0)</f>
        <v>0</v>
      </c>
      <c r="CH153" s="5">
        <f>IF($BI153&lt;&gt;"",IF('Capacity summary'!$C$14="Yes",IF(COUNTBLANK('Capacity summary'!$H65:$BG65)&lt;52,IF('Capacity summary'!AE65&lt;&gt;"",IF(LOWER('Capacity summary'!AE65)="x",$BI153*AE153,VALUE('Capacity summary'!AE65)),0),AE153*$BI153),AE153*$BI153),0)</f>
        <v>0</v>
      </c>
      <c r="CI153" s="5">
        <f>IF($BI153&lt;&gt;"",IF('Capacity summary'!$C$14="Yes",IF(COUNTBLANK('Capacity summary'!$H65:$BG65)&lt;52,IF('Capacity summary'!AF65&lt;&gt;"",IF(LOWER('Capacity summary'!AF65)="x",$BI153*AF153,VALUE('Capacity summary'!AF65)),0),AF153*$BI153),AF153*$BI153),0)</f>
        <v>0</v>
      </c>
      <c r="CJ153" s="5">
        <f>IF($BI153&lt;&gt;"",IF('Capacity summary'!$C$14="Yes",IF(COUNTBLANK('Capacity summary'!$H65:$BG65)&lt;52,IF('Capacity summary'!AG65&lt;&gt;"",IF(LOWER('Capacity summary'!AG65)="x",$BI153*AG153,VALUE('Capacity summary'!AG65)),0),AG153*$BI153),AG153*$BI153),0)</f>
        <v>0</v>
      </c>
      <c r="CK153" s="5">
        <f>IF($BI153&lt;&gt;"",IF('Capacity summary'!$C$14="Yes",IF(COUNTBLANK('Capacity summary'!$H65:$BG65)&lt;52,IF('Capacity summary'!AH65&lt;&gt;"",IF(LOWER('Capacity summary'!AH65)="x",$BI153*AH153,VALUE('Capacity summary'!AH65)),0),AH153*$BI153),AH153*$BI153),0)</f>
        <v>0</v>
      </c>
      <c r="CL153" s="5">
        <f>IF($BI153&lt;&gt;"",IF('Capacity summary'!$C$14="Yes",IF(COUNTBLANK('Capacity summary'!$H65:$BG65)&lt;52,IF('Capacity summary'!AI65&lt;&gt;"",IF(LOWER('Capacity summary'!AI65)="x",$BI153*AI153,VALUE('Capacity summary'!AI65)),0),AI153*$BI153),AI153*$BI153),0)</f>
        <v>0</v>
      </c>
      <c r="CM153" s="5">
        <f>IF($BI153&lt;&gt;"",IF('Capacity summary'!$C$14="Yes",IF(COUNTBLANK('Capacity summary'!$H65:$BG65)&lt;52,IF('Capacity summary'!AJ65&lt;&gt;"",IF(LOWER('Capacity summary'!AJ65)="x",$BI153*AJ153,VALUE('Capacity summary'!AJ65)),0),AJ153*$BI153),AJ153*$BI153),0)</f>
        <v>0</v>
      </c>
      <c r="CN153" s="5">
        <f>IF($BI153&lt;&gt;"",IF('Capacity summary'!$C$14="Yes",IF(COUNTBLANK('Capacity summary'!$H65:$BG65)&lt;52,IF('Capacity summary'!AK65&lt;&gt;"",IF(LOWER('Capacity summary'!AK65)="x",$BI153*AK153,VALUE('Capacity summary'!AK65)),0),AK153*$BI153),AK153*$BI153),0)</f>
        <v>0</v>
      </c>
      <c r="CO153" s="5">
        <f>IF($BI153&lt;&gt;"",IF('Capacity summary'!$C$14="Yes",IF(COUNTBLANK('Capacity summary'!$H65:$BG65)&lt;52,IF('Capacity summary'!AL65&lt;&gt;"",IF(LOWER('Capacity summary'!AL65)="x",$BI153*AL153,VALUE('Capacity summary'!AL65)),0),AL153*$BI153),AL153*$BI153),0)</f>
        <v>0</v>
      </c>
      <c r="CP153" s="5">
        <f>IF($BI153&lt;&gt;"",IF('Capacity summary'!$C$14="Yes",IF(COUNTBLANK('Capacity summary'!$H65:$BG65)&lt;52,IF('Capacity summary'!AM65&lt;&gt;"",IF(LOWER('Capacity summary'!AM65)="x",$BI153*AM153,VALUE('Capacity summary'!AM65)),0),AM153*$BI153),AM153*$BI153),0)</f>
        <v>0</v>
      </c>
      <c r="CQ153" s="5">
        <f>IF($BI153&lt;&gt;"",IF('Capacity summary'!$C$14="Yes",IF(COUNTBLANK('Capacity summary'!$H65:$BG65)&lt;52,IF('Capacity summary'!AN65&lt;&gt;"",IF(LOWER('Capacity summary'!AN65)="x",$BI153*AN153,VALUE('Capacity summary'!AN65)),0),AN153*$BI153),AN153*$BI153),0)</f>
        <v>0</v>
      </c>
      <c r="CR153" s="5">
        <f>IF($BI153&lt;&gt;"",IF('Capacity summary'!$C$14="Yes",IF(COUNTBLANK('Capacity summary'!$H65:$BG65)&lt;52,IF('Capacity summary'!AO65&lt;&gt;"",IF(LOWER('Capacity summary'!AO65)="x",$BI153*AO153,VALUE('Capacity summary'!AO65)),0),AO153*$BI153),AO153*$BI153),0)</f>
        <v>0</v>
      </c>
      <c r="CS153" s="5">
        <f>IF($BI153&lt;&gt;"",IF('Capacity summary'!$C$14="Yes",IF(COUNTBLANK('Capacity summary'!$H65:$BG65)&lt;52,IF('Capacity summary'!AP65&lt;&gt;"",IF(LOWER('Capacity summary'!AP65)="x",$BI153*AP153,VALUE('Capacity summary'!AP65)),0),AP153*$BI153),AP153*$BI153),0)</f>
        <v>0</v>
      </c>
      <c r="CT153" s="5">
        <f>IF($BI153&lt;&gt;"",IF('Capacity summary'!$C$14="Yes",IF(COUNTBLANK('Capacity summary'!$H65:$BG65)&lt;52,IF('Capacity summary'!AQ65&lt;&gt;"",IF(LOWER('Capacity summary'!AQ65)="x",$BI153*AQ153,VALUE('Capacity summary'!AQ65)),0),AQ153*$BI153),AQ153*$BI153),0)</f>
        <v>0</v>
      </c>
      <c r="CU153" s="5">
        <f>IF($BI153&lt;&gt;"",IF('Capacity summary'!$C$14="Yes",IF(COUNTBLANK('Capacity summary'!$H65:$BG65)&lt;52,IF('Capacity summary'!AR65&lt;&gt;"",IF(LOWER('Capacity summary'!AR65)="x",$BI153*AR153,VALUE('Capacity summary'!AR65)),0),AR153*$BI153),AR153*$BI153),0)</f>
        <v>0</v>
      </c>
      <c r="CV153" s="5">
        <f>IF($BI153&lt;&gt;"",IF('Capacity summary'!$C$14="Yes",IF(COUNTBLANK('Capacity summary'!$H65:$BG65)&lt;52,IF('Capacity summary'!AS65&lt;&gt;"",IF(LOWER('Capacity summary'!AS65)="x",$BI153*AS153,VALUE('Capacity summary'!AS65)),0),AS153*$BI153),AS153*$BI153),0)</f>
        <v>0</v>
      </c>
      <c r="CW153" s="5">
        <f>IF($BI153&lt;&gt;"",IF('Capacity summary'!$C$14="Yes",IF(COUNTBLANK('Capacity summary'!$H65:$BG65)&lt;52,IF('Capacity summary'!AT65&lt;&gt;"",IF(LOWER('Capacity summary'!AT65)="x",$BI153*AT153,VALUE('Capacity summary'!AT65)),0),AT153*$BI153),AT153*$BI153),0)</f>
        <v>0</v>
      </c>
      <c r="CX153" s="5">
        <f>IF($BI153&lt;&gt;"",IF('Capacity summary'!$C$14="Yes",IF(COUNTBLANK('Capacity summary'!$H65:$BG65)&lt;52,IF('Capacity summary'!AU65&lt;&gt;"",IF(LOWER('Capacity summary'!AU65)="x",$BI153*AU153,VALUE('Capacity summary'!AU65)),0),AU153*$BI153),AU153*$BI153),0)</f>
        <v>0</v>
      </c>
      <c r="CY153" s="5">
        <f>IF($BI153&lt;&gt;"",IF('Capacity summary'!$C$14="Yes",IF(COUNTBLANK('Capacity summary'!$H65:$BG65)&lt;52,IF('Capacity summary'!AV65&lt;&gt;"",IF(LOWER('Capacity summary'!AV65)="x",$BI153*AV153,VALUE('Capacity summary'!AV65)),0),AV153*$BI153),AV153*$BI153),0)</f>
        <v>0</v>
      </c>
      <c r="CZ153" s="5">
        <f>IF($BI153&lt;&gt;"",IF('Capacity summary'!$C$14="Yes",IF(COUNTBLANK('Capacity summary'!$H65:$BG65)&lt;52,IF('Capacity summary'!AW65&lt;&gt;"",IF(LOWER('Capacity summary'!AW65)="x",$BI153*AW153,VALUE('Capacity summary'!AW65)),0),AW153*$BI153),AW153*$BI153),0)</f>
        <v>0</v>
      </c>
      <c r="DA153" s="5">
        <f>IF($BI153&lt;&gt;"",IF('Capacity summary'!$C$14="Yes",IF(COUNTBLANK('Capacity summary'!$H65:$BG65)&lt;52,IF('Capacity summary'!AX65&lt;&gt;"",IF(LOWER('Capacity summary'!AX65)="x",$BI153*AX153,VALUE('Capacity summary'!AX65)),0),AX153*$BI153),AX153*$BI153),0)</f>
        <v>0</v>
      </c>
      <c r="DB153" s="5">
        <f>IF($BI153&lt;&gt;"",IF('Capacity summary'!$C$14="Yes",IF(COUNTBLANK('Capacity summary'!$H65:$BG65)&lt;52,IF('Capacity summary'!AY65&lt;&gt;"",IF(LOWER('Capacity summary'!AY65)="x",$BI153*AY153,VALUE('Capacity summary'!AY65)),0),AY153*$BI153),AY153*$BI153),0)</f>
        <v>0</v>
      </c>
      <c r="DC153" s="5">
        <f>IF($BI153&lt;&gt;"",IF('Capacity summary'!$C$14="Yes",IF(COUNTBLANK('Capacity summary'!$H65:$BG65)&lt;52,IF('Capacity summary'!AZ65&lt;&gt;"",IF(LOWER('Capacity summary'!AZ65)="x",$BI153*AZ153,VALUE('Capacity summary'!AZ65)),0),AZ153*$BI153),AZ153*$BI153),0)</f>
        <v>0</v>
      </c>
      <c r="DD153" s="5">
        <f>IF($BI153&lt;&gt;"",IF('Capacity summary'!$C$14="Yes",IF(COUNTBLANK('Capacity summary'!$H65:$BG65)&lt;52,IF('Capacity summary'!BA65&lt;&gt;"",IF(LOWER('Capacity summary'!BA65)="x",$BI153*BA153,VALUE('Capacity summary'!BA65)),0),BA153*$BI153),BA153*$BI153),0)</f>
        <v>0</v>
      </c>
      <c r="DE153" s="5">
        <f>IF($BI153&lt;&gt;"",IF('Capacity summary'!$C$14="Yes",IF(COUNTBLANK('Capacity summary'!$H65:$BG65)&lt;52,IF('Capacity summary'!BB65&lt;&gt;"",IF(LOWER('Capacity summary'!BB65)="x",$BI153*BB153,VALUE('Capacity summary'!BB65)),0),BB153*$BI153),BB153*$BI153),0)</f>
        <v>0</v>
      </c>
      <c r="DF153" s="5">
        <f>IF($BI153&lt;&gt;"",IF('Capacity summary'!$C$14="Yes",IF(COUNTBLANK('Capacity summary'!$H65:$BG65)&lt;52,IF('Capacity summary'!BC65&lt;&gt;"",IF(LOWER('Capacity summary'!BC65)="x",$BI153*BC153,VALUE('Capacity summary'!BC65)),0),BC153*$BI153),BC153*$BI153),0)</f>
        <v>0</v>
      </c>
      <c r="DG153" s="5">
        <f>IF($BI153&lt;&gt;"",IF('Capacity summary'!$C$14="Yes",IF(COUNTBLANK('Capacity summary'!$H65:$BG65)&lt;52,IF('Capacity summary'!BD65&lt;&gt;"",IF(LOWER('Capacity summary'!BD65)="x",$BI153*BD153,VALUE('Capacity summary'!BD65)),0),BD153*$BI153),BD153*$BI153),0)</f>
        <v>0</v>
      </c>
      <c r="DH153" s="5">
        <f>IF($BI153&lt;&gt;"",IF('Capacity summary'!$C$14="Yes",IF(COUNTBLANK('Capacity summary'!$H65:$BG65)&lt;52,IF('Capacity summary'!BE65&lt;&gt;"",IF(LOWER('Capacity summary'!BE65)="x",$BI153*BE153,VALUE('Capacity summary'!BE65)),0),BE153*$BI153),BE153*$BI153),0)</f>
        <v>0</v>
      </c>
      <c r="DI153" s="5">
        <f>IF($BI153&lt;&gt;"",IF('Capacity summary'!$C$14="Yes",IF(COUNTBLANK('Capacity summary'!$H65:$BG65)&lt;52,IF('Capacity summary'!BF65&lt;&gt;"",IF(LOWER('Capacity summary'!BF65)="x",$BI153*BF153,VALUE('Capacity summary'!BF65)),0),BF153*$BI153),BF153*$BI153),0)</f>
        <v>0</v>
      </c>
      <c r="DJ153" s="5">
        <f>IF($BI153&lt;&gt;"",IF('Capacity summary'!$C$14="Yes",IF(COUNTBLANK('Capacity summary'!$H65:$BG65)&lt;52,IF('Capacity summary'!BG65&lt;&gt;"",IF(LOWER('Capacity summary'!BG65)="x",$BI153*BG153,VALUE('Capacity summary'!BG65)),0),BG153*$BI153),BG153*$BI153),0)</f>
        <v>0</v>
      </c>
      <c r="DK153" s="391">
        <f t="shared" si="8"/>
        <v>0</v>
      </c>
      <c r="DL153" s="5">
        <f t="shared" si="9"/>
        <v>0</v>
      </c>
    </row>
    <row r="154" spans="3:116" x14ac:dyDescent="0.2">
      <c r="C154" s="67" t="str">
        <f>ROW(A43)&amp;". "&amp;Capacity!N59</f>
        <v xml:space="preserve">43. </v>
      </c>
      <c r="D154" s="67">
        <f>'Capacity setup'!C160</f>
        <v>0</v>
      </c>
      <c r="E154" s="67">
        <f>'Capacity setup'!D160</f>
        <v>0</v>
      </c>
      <c r="F154" s="67">
        <f>'Capacity setup'!E160</f>
        <v>0</v>
      </c>
      <c r="H154" s="67">
        <f ca="1">IF(LOWER(Capacity!$V59)="x",IF(AND(SUMIF(Capacity_Resource,$D154,'Critical resources (hide)'!U$6:U$105)+SUMIF(Capacity_Resource,$E154,'Critical resources (hide)'!U$6:U$105)+SUMIF(Capacity_Resource,$F154,'Critical resources (hide)'!U$6:U$105)&gt;0,$E$1=2),0,1),0)</f>
        <v>1</v>
      </c>
      <c r="I154" s="67">
        <f ca="1">IF(LOWER(Capacity!$V59)="x",IF(AND(SUMIF(Capacity_Resource,$D154,'Critical resources (hide)'!V$6:V$105)+SUMIF(Capacity_Resource,$E154,'Critical resources (hide)'!V$6:V$105)+SUMIF(Capacity_Resource,$F154,'Critical resources (hide)'!V$6:V$105)&gt;0,$E$1=2),0,1),0)</f>
        <v>1</v>
      </c>
      <c r="J154" s="67">
        <f ca="1">IF(LOWER(Capacity!$V59)="x",IF(AND(SUMIF(Capacity_Resource,$D154,'Critical resources (hide)'!W$6:W$105)+SUMIF(Capacity_Resource,$E154,'Critical resources (hide)'!W$6:W$105)+SUMIF(Capacity_Resource,$F154,'Critical resources (hide)'!W$6:W$105)&gt;0,$E$1=2),0,1),0)</f>
        <v>1</v>
      </c>
      <c r="K154" s="67">
        <f ca="1">IF(LOWER(Capacity!$V59)="x",IF(AND(SUMIF(Capacity_Resource,$D154,'Critical resources (hide)'!X$6:X$105)+SUMIF(Capacity_Resource,$E154,'Critical resources (hide)'!X$6:X$105)+SUMIF(Capacity_Resource,$F154,'Critical resources (hide)'!X$6:X$105)&gt;0,$E$1=2),0,1),0)</f>
        <v>1</v>
      </c>
      <c r="L154" s="67">
        <f ca="1">IF(LOWER(Capacity!$V59)="x",IF(AND(SUMIF(Capacity_Resource,$D154,'Critical resources (hide)'!Y$6:Y$105)+SUMIF(Capacity_Resource,$E154,'Critical resources (hide)'!Y$6:Y$105)+SUMIF(Capacity_Resource,$F154,'Critical resources (hide)'!Y$6:Y$105)&gt;0,$E$1=2),0,1),0)</f>
        <v>1</v>
      </c>
      <c r="M154" s="67">
        <f ca="1">IF(LOWER(Capacity!$V59)="x",IF(AND(SUMIF(Capacity_Resource,$D154,'Critical resources (hide)'!Z$6:Z$105)+SUMIF(Capacity_Resource,$E154,'Critical resources (hide)'!Z$6:Z$105)+SUMIF(Capacity_Resource,$F154,'Critical resources (hide)'!Z$6:Z$105)&gt;0,$E$1=2),0,1),0)</f>
        <v>1</v>
      </c>
      <c r="N154" s="67">
        <f ca="1">IF(LOWER(Capacity!$V59)="x",IF(AND(SUMIF(Capacity_Resource,$D154,'Critical resources (hide)'!AA$6:AA$105)+SUMIF(Capacity_Resource,$E154,'Critical resources (hide)'!AA$6:AA$105)+SUMIF(Capacity_Resource,$F154,'Critical resources (hide)'!AA$6:AA$105)&gt;0,$E$1=2),0,1),0)</f>
        <v>1</v>
      </c>
      <c r="O154" s="67">
        <f ca="1">IF(LOWER(Capacity!$V59)="x",IF(AND(SUMIF(Capacity_Resource,$D154,'Critical resources (hide)'!AB$6:AB$105)+SUMIF(Capacity_Resource,$E154,'Critical resources (hide)'!AB$6:AB$105)+SUMIF(Capacity_Resource,$F154,'Critical resources (hide)'!AB$6:AB$105)&gt;0,$E$1=2),0,1),0)</f>
        <v>1</v>
      </c>
      <c r="P154" s="67">
        <f ca="1">IF(LOWER(Capacity!$V59)="x",IF(AND(SUMIF(Capacity_Resource,$D154,'Critical resources (hide)'!AC$6:AC$105)+SUMIF(Capacity_Resource,$E154,'Critical resources (hide)'!AC$6:AC$105)+SUMIF(Capacity_Resource,$F154,'Critical resources (hide)'!AC$6:AC$105)&gt;0,$E$1=2),0,1),0)</f>
        <v>1</v>
      </c>
      <c r="Q154" s="67">
        <f ca="1">IF(LOWER(Capacity!$V59)="x",IF(AND(SUMIF(Capacity_Resource,$D154,'Critical resources (hide)'!AD$6:AD$105)+SUMIF(Capacity_Resource,$E154,'Critical resources (hide)'!AD$6:AD$105)+SUMIF(Capacity_Resource,$F154,'Critical resources (hide)'!AD$6:AD$105)&gt;0,$E$1=2),0,1),0)</f>
        <v>1</v>
      </c>
      <c r="R154" s="67">
        <f ca="1">IF(LOWER(Capacity!$V59)="x",IF(AND(SUMIF(Capacity_Resource,$D154,'Critical resources (hide)'!AE$6:AE$105)+SUMIF(Capacity_Resource,$E154,'Critical resources (hide)'!AE$6:AE$105)+SUMIF(Capacity_Resource,$F154,'Critical resources (hide)'!AE$6:AE$105)&gt;0,$E$1=2),0,1),0)</f>
        <v>1</v>
      </c>
      <c r="S154" s="67">
        <f ca="1">IF(LOWER(Capacity!$V59)="x",IF(AND(SUMIF(Capacity_Resource,$D154,'Critical resources (hide)'!AF$6:AF$105)+SUMIF(Capacity_Resource,$E154,'Critical resources (hide)'!AF$6:AF$105)+SUMIF(Capacity_Resource,$F154,'Critical resources (hide)'!AF$6:AF$105)&gt;0,$E$1=2),0,1),0)</f>
        <v>1</v>
      </c>
      <c r="T154" s="67">
        <f ca="1">IF(LOWER(Capacity!$V59)="x",IF(AND(SUMIF(Capacity_Resource,$D154,'Critical resources (hide)'!AG$6:AG$105)+SUMIF(Capacity_Resource,$E154,'Critical resources (hide)'!AG$6:AG$105)+SUMIF(Capacity_Resource,$F154,'Critical resources (hide)'!AG$6:AG$105)&gt;0,$E$1=2),0,1),0)</f>
        <v>1</v>
      </c>
      <c r="U154" s="67">
        <f ca="1">IF(LOWER(Capacity!$V59)="x",IF(AND(SUMIF(Capacity_Resource,$D154,'Critical resources (hide)'!AH$6:AH$105)+SUMIF(Capacity_Resource,$E154,'Critical resources (hide)'!AH$6:AH$105)+SUMIF(Capacity_Resource,$F154,'Critical resources (hide)'!AH$6:AH$105)&gt;0,$E$1=2),0,1),0)</f>
        <v>1</v>
      </c>
      <c r="V154" s="67">
        <f ca="1">IF(LOWER(Capacity!$V59)="x",IF(AND(SUMIF(Capacity_Resource,$D154,'Critical resources (hide)'!AI$6:AI$105)+SUMIF(Capacity_Resource,$E154,'Critical resources (hide)'!AI$6:AI$105)+SUMIF(Capacity_Resource,$F154,'Critical resources (hide)'!AI$6:AI$105)&gt;0,$E$1=2),0,1),0)</f>
        <v>1</v>
      </c>
      <c r="W154" s="67">
        <f ca="1">IF(LOWER(Capacity!$V59)="x",IF(AND(SUMIF(Capacity_Resource,$D154,'Critical resources (hide)'!AJ$6:AJ$105)+SUMIF(Capacity_Resource,$E154,'Critical resources (hide)'!AJ$6:AJ$105)+SUMIF(Capacity_Resource,$F154,'Critical resources (hide)'!AJ$6:AJ$105)&gt;0,$E$1=2),0,1),0)</f>
        <v>1</v>
      </c>
      <c r="X154" s="67">
        <f ca="1">IF(LOWER(Capacity!$V59)="x",IF(AND(SUMIF(Capacity_Resource,$D154,'Critical resources (hide)'!AK$6:AK$105)+SUMIF(Capacity_Resource,$E154,'Critical resources (hide)'!AK$6:AK$105)+SUMIF(Capacity_Resource,$F154,'Critical resources (hide)'!AK$6:AK$105)&gt;0,$E$1=2),0,1),0)</f>
        <v>1</v>
      </c>
      <c r="Y154" s="67">
        <f ca="1">IF(LOWER(Capacity!$V59)="x",IF(AND(SUMIF(Capacity_Resource,$D154,'Critical resources (hide)'!AL$6:AL$105)+SUMIF(Capacity_Resource,$E154,'Critical resources (hide)'!AL$6:AL$105)+SUMIF(Capacity_Resource,$F154,'Critical resources (hide)'!AL$6:AL$105)&gt;0,$E$1=2),0,1),0)</f>
        <v>1</v>
      </c>
      <c r="Z154" s="67">
        <f ca="1">IF(LOWER(Capacity!$V59)="x",IF(AND(SUMIF(Capacity_Resource,$D154,'Critical resources (hide)'!AM$6:AM$105)+SUMIF(Capacity_Resource,$E154,'Critical resources (hide)'!AM$6:AM$105)+SUMIF(Capacity_Resource,$F154,'Critical resources (hide)'!AM$6:AM$105)&gt;0,$E$1=2),0,1),0)</f>
        <v>1</v>
      </c>
      <c r="AA154" s="67">
        <f ca="1">IF(LOWER(Capacity!$V59)="x",IF(AND(SUMIF(Capacity_Resource,$D154,'Critical resources (hide)'!AN$6:AN$105)+SUMIF(Capacity_Resource,$E154,'Critical resources (hide)'!AN$6:AN$105)+SUMIF(Capacity_Resource,$F154,'Critical resources (hide)'!AN$6:AN$105)&gt;0,$E$1=2),0,1),0)</f>
        <v>1</v>
      </c>
      <c r="AB154" s="67">
        <f ca="1">IF(LOWER(Capacity!$V59)="x",IF(AND(SUMIF(Capacity_Resource,$D154,'Critical resources (hide)'!AO$6:AO$105)+SUMIF(Capacity_Resource,$E154,'Critical resources (hide)'!AO$6:AO$105)+SUMIF(Capacity_Resource,$F154,'Critical resources (hide)'!AO$6:AO$105)&gt;0,$E$1=2),0,1),0)</f>
        <v>1</v>
      </c>
      <c r="AC154" s="67">
        <f ca="1">IF(LOWER(Capacity!$V59)="x",IF(AND(SUMIF(Capacity_Resource,$D154,'Critical resources (hide)'!AP$6:AP$105)+SUMIF(Capacity_Resource,$E154,'Critical resources (hide)'!AP$6:AP$105)+SUMIF(Capacity_Resource,$F154,'Critical resources (hide)'!AP$6:AP$105)&gt;0,$E$1=2),0,1),0)</f>
        <v>1</v>
      </c>
      <c r="AD154" s="67">
        <f ca="1">IF(LOWER(Capacity!$V59)="x",IF(AND(SUMIF(Capacity_Resource,$D154,'Critical resources (hide)'!AQ$6:AQ$105)+SUMIF(Capacity_Resource,$E154,'Critical resources (hide)'!AQ$6:AQ$105)+SUMIF(Capacity_Resource,$F154,'Critical resources (hide)'!AQ$6:AQ$105)&gt;0,$E$1=2),0,1),0)</f>
        <v>1</v>
      </c>
      <c r="AE154" s="67">
        <f ca="1">IF(LOWER(Capacity!$V59)="x",IF(AND(SUMIF(Capacity_Resource,$D154,'Critical resources (hide)'!AR$6:AR$105)+SUMIF(Capacity_Resource,$E154,'Critical resources (hide)'!AR$6:AR$105)+SUMIF(Capacity_Resource,$F154,'Critical resources (hide)'!AR$6:AR$105)&gt;0,$E$1=2),0,1),0)</f>
        <v>1</v>
      </c>
      <c r="AF154" s="67">
        <f ca="1">IF(LOWER(Capacity!$V59)="x",IF(AND(SUMIF(Capacity_Resource,$D154,'Critical resources (hide)'!AS$6:AS$105)+SUMIF(Capacity_Resource,$E154,'Critical resources (hide)'!AS$6:AS$105)+SUMIF(Capacity_Resource,$F154,'Critical resources (hide)'!AS$6:AS$105)&gt;0,$E$1=2),0,1),0)</f>
        <v>1</v>
      </c>
      <c r="AG154" s="67">
        <f ca="1">IF(LOWER(Capacity!$V59)="x",IF(AND(SUMIF(Capacity_Resource,$D154,'Critical resources (hide)'!AT$6:AT$105)+SUMIF(Capacity_Resource,$E154,'Critical resources (hide)'!AT$6:AT$105)+SUMIF(Capacity_Resource,$F154,'Critical resources (hide)'!AT$6:AT$105)&gt;0,$E$1=2),0,1),0)</f>
        <v>1</v>
      </c>
      <c r="AH154" s="67">
        <f ca="1">IF(LOWER(Capacity!$V59)="x",IF(AND(SUMIF(Capacity_Resource,$D154,'Critical resources (hide)'!AU$6:AU$105)+SUMIF(Capacity_Resource,$E154,'Critical resources (hide)'!AU$6:AU$105)+SUMIF(Capacity_Resource,$F154,'Critical resources (hide)'!AU$6:AU$105)&gt;0,$E$1=2),0,1),0)</f>
        <v>1</v>
      </c>
      <c r="AI154" s="67">
        <f ca="1">IF(LOWER(Capacity!$V59)="x",IF(AND(SUMIF(Capacity_Resource,$D154,'Critical resources (hide)'!AV$6:AV$105)+SUMIF(Capacity_Resource,$E154,'Critical resources (hide)'!AV$6:AV$105)+SUMIF(Capacity_Resource,$F154,'Critical resources (hide)'!AV$6:AV$105)&gt;0,$E$1=2),0,1),0)</f>
        <v>1</v>
      </c>
      <c r="AJ154" s="67">
        <f ca="1">IF(LOWER(Capacity!$V59)="x",IF(AND(SUMIF(Capacity_Resource,$D154,'Critical resources (hide)'!AW$6:AW$105)+SUMIF(Capacity_Resource,$E154,'Critical resources (hide)'!AW$6:AW$105)+SUMIF(Capacity_Resource,$F154,'Critical resources (hide)'!AW$6:AW$105)&gt;0,$E$1=2),0,1),0)</f>
        <v>1</v>
      </c>
      <c r="AK154" s="67">
        <f ca="1">IF(LOWER(Capacity!$V59)="x",IF(AND(SUMIF(Capacity_Resource,$D154,'Critical resources (hide)'!AX$6:AX$105)+SUMIF(Capacity_Resource,$E154,'Critical resources (hide)'!AX$6:AX$105)+SUMIF(Capacity_Resource,$F154,'Critical resources (hide)'!AX$6:AX$105)&gt;0,$E$1=2),0,1),0)</f>
        <v>1</v>
      </c>
      <c r="AL154" s="67">
        <f ca="1">IF(LOWER(Capacity!$V59)="x",IF(AND(SUMIF(Capacity_Resource,$D154,'Critical resources (hide)'!AY$6:AY$105)+SUMIF(Capacity_Resource,$E154,'Critical resources (hide)'!AY$6:AY$105)+SUMIF(Capacity_Resource,$F154,'Critical resources (hide)'!AY$6:AY$105)&gt;0,$E$1=2),0,1),0)</f>
        <v>1</v>
      </c>
      <c r="AM154" s="67">
        <f ca="1">IF(LOWER(Capacity!$V59)="x",IF(AND(SUMIF(Capacity_Resource,$D154,'Critical resources (hide)'!AZ$6:AZ$105)+SUMIF(Capacity_Resource,$E154,'Critical resources (hide)'!AZ$6:AZ$105)+SUMIF(Capacity_Resource,$F154,'Critical resources (hide)'!AZ$6:AZ$105)&gt;0,$E$1=2),0,1),0)</f>
        <v>1</v>
      </c>
      <c r="AN154" s="67">
        <f ca="1">IF(LOWER(Capacity!$V59)="x",IF(AND(SUMIF(Capacity_Resource,$D154,'Critical resources (hide)'!BA$6:BA$105)+SUMIF(Capacity_Resource,$E154,'Critical resources (hide)'!BA$6:BA$105)+SUMIF(Capacity_Resource,$F154,'Critical resources (hide)'!BA$6:BA$105)&gt;0,$E$1=2),0,1),0)</f>
        <v>1</v>
      </c>
      <c r="AO154" s="67">
        <f ca="1">IF(LOWER(Capacity!$V59)="x",IF(AND(SUMIF(Capacity_Resource,$D154,'Critical resources (hide)'!BB$6:BB$105)+SUMIF(Capacity_Resource,$E154,'Critical resources (hide)'!BB$6:BB$105)+SUMIF(Capacity_Resource,$F154,'Critical resources (hide)'!BB$6:BB$105)&gt;0,$E$1=2),0,1),0)</f>
        <v>1</v>
      </c>
      <c r="AP154" s="67">
        <f ca="1">IF(LOWER(Capacity!$V59)="x",IF(AND(SUMIF(Capacity_Resource,$D154,'Critical resources (hide)'!BC$6:BC$105)+SUMIF(Capacity_Resource,$E154,'Critical resources (hide)'!BC$6:BC$105)+SUMIF(Capacity_Resource,$F154,'Critical resources (hide)'!BC$6:BC$105)&gt;0,$E$1=2),0,1),0)</f>
        <v>1</v>
      </c>
      <c r="AQ154" s="67">
        <f ca="1">IF(LOWER(Capacity!$V59)="x",IF(AND(SUMIF(Capacity_Resource,$D154,'Critical resources (hide)'!BD$6:BD$105)+SUMIF(Capacity_Resource,$E154,'Critical resources (hide)'!BD$6:BD$105)+SUMIF(Capacity_Resource,$F154,'Critical resources (hide)'!BD$6:BD$105)&gt;0,$E$1=2),0,1),0)</f>
        <v>1</v>
      </c>
      <c r="AR154" s="67">
        <f ca="1">IF(LOWER(Capacity!$V59)="x",IF(AND(SUMIF(Capacity_Resource,$D154,'Critical resources (hide)'!BE$6:BE$105)+SUMIF(Capacity_Resource,$E154,'Critical resources (hide)'!BE$6:BE$105)+SUMIF(Capacity_Resource,$F154,'Critical resources (hide)'!BE$6:BE$105)&gt;0,$E$1=2),0,1),0)</f>
        <v>1</v>
      </c>
      <c r="AS154" s="67">
        <f ca="1">IF(LOWER(Capacity!$V59)="x",IF(AND(SUMIF(Capacity_Resource,$D154,'Critical resources (hide)'!BF$6:BF$105)+SUMIF(Capacity_Resource,$E154,'Critical resources (hide)'!BF$6:BF$105)+SUMIF(Capacity_Resource,$F154,'Critical resources (hide)'!BF$6:BF$105)&gt;0,$E$1=2),0,1),0)</f>
        <v>1</v>
      </c>
      <c r="AT154" s="67">
        <f ca="1">IF(LOWER(Capacity!$V59)="x",IF(AND(SUMIF(Capacity_Resource,$D154,'Critical resources (hide)'!BG$6:BG$105)+SUMIF(Capacity_Resource,$E154,'Critical resources (hide)'!BG$6:BG$105)+SUMIF(Capacity_Resource,$F154,'Critical resources (hide)'!BG$6:BG$105)&gt;0,$E$1=2),0,1),0)</f>
        <v>1</v>
      </c>
      <c r="AU154" s="67">
        <f ca="1">IF(LOWER(Capacity!$V59)="x",IF(AND(SUMIF(Capacity_Resource,$D154,'Critical resources (hide)'!BH$6:BH$105)+SUMIF(Capacity_Resource,$E154,'Critical resources (hide)'!BH$6:BH$105)+SUMIF(Capacity_Resource,$F154,'Critical resources (hide)'!BH$6:BH$105)&gt;0,$E$1=2),0,1),0)</f>
        <v>1</v>
      </c>
      <c r="AV154" s="67">
        <f ca="1">IF(LOWER(Capacity!$V59)="x",IF(AND(SUMIF(Capacity_Resource,$D154,'Critical resources (hide)'!BI$6:BI$105)+SUMIF(Capacity_Resource,$E154,'Critical resources (hide)'!BI$6:BI$105)+SUMIF(Capacity_Resource,$F154,'Critical resources (hide)'!BI$6:BI$105)&gt;0,$E$1=2),0,1),0)</f>
        <v>1</v>
      </c>
      <c r="AW154" s="67">
        <f ca="1">IF(LOWER(Capacity!$V59)="x",IF(AND(SUMIF(Capacity_Resource,$D154,'Critical resources (hide)'!BJ$6:BJ$105)+SUMIF(Capacity_Resource,$E154,'Critical resources (hide)'!BJ$6:BJ$105)+SUMIF(Capacity_Resource,$F154,'Critical resources (hide)'!BJ$6:BJ$105)&gt;0,$E$1=2),0,1),0)</f>
        <v>1</v>
      </c>
      <c r="AX154" s="67">
        <f ca="1">IF(LOWER(Capacity!$V59)="x",IF(AND(SUMIF(Capacity_Resource,$D154,'Critical resources (hide)'!BK$6:BK$105)+SUMIF(Capacity_Resource,$E154,'Critical resources (hide)'!BK$6:BK$105)+SUMIF(Capacity_Resource,$F154,'Critical resources (hide)'!BK$6:BK$105)&gt;0,$E$1=2),0,1),0)</f>
        <v>1</v>
      </c>
      <c r="AY154" s="67">
        <f ca="1">IF(LOWER(Capacity!$V59)="x",IF(AND(SUMIF(Capacity_Resource,$D154,'Critical resources (hide)'!BL$6:BL$105)+SUMIF(Capacity_Resource,$E154,'Critical resources (hide)'!BL$6:BL$105)+SUMIF(Capacity_Resource,$F154,'Critical resources (hide)'!BL$6:BL$105)&gt;0,$E$1=2),0,1),0)</f>
        <v>1</v>
      </c>
      <c r="AZ154" s="67">
        <f ca="1">IF(LOWER(Capacity!$V59)="x",IF(AND(SUMIF(Capacity_Resource,$D154,'Critical resources (hide)'!BM$6:BM$105)+SUMIF(Capacity_Resource,$E154,'Critical resources (hide)'!BM$6:BM$105)+SUMIF(Capacity_Resource,$F154,'Critical resources (hide)'!BM$6:BM$105)&gt;0,$E$1=2),0,1),0)</f>
        <v>1</v>
      </c>
      <c r="BA154" s="67">
        <f ca="1">IF(LOWER(Capacity!$V59)="x",IF(AND(SUMIF(Capacity_Resource,$D154,'Critical resources (hide)'!BN$6:BN$105)+SUMIF(Capacity_Resource,$E154,'Critical resources (hide)'!BN$6:BN$105)+SUMIF(Capacity_Resource,$F154,'Critical resources (hide)'!BN$6:BN$105)&gt;0,$E$1=2),0,1),0)</f>
        <v>1</v>
      </c>
      <c r="BB154" s="67">
        <f ca="1">IF(LOWER(Capacity!$V59)="x",IF(AND(SUMIF(Capacity_Resource,$D154,'Critical resources (hide)'!BO$6:BO$105)+SUMIF(Capacity_Resource,$E154,'Critical resources (hide)'!BO$6:BO$105)+SUMIF(Capacity_Resource,$F154,'Critical resources (hide)'!BO$6:BO$105)&gt;0,$E$1=2),0,1),0)</f>
        <v>1</v>
      </c>
      <c r="BC154" s="67">
        <f ca="1">IF(LOWER(Capacity!$V59)="x",IF(AND(SUMIF(Capacity_Resource,$D154,'Critical resources (hide)'!BP$6:BP$105)+SUMIF(Capacity_Resource,$E154,'Critical resources (hide)'!BP$6:BP$105)+SUMIF(Capacity_Resource,$F154,'Critical resources (hide)'!BP$6:BP$105)&gt;0,$E$1=2),0,1),0)</f>
        <v>1</v>
      </c>
      <c r="BD154" s="67">
        <f ca="1">IF(LOWER(Capacity!$V59)="x",IF(AND(SUMIF(Capacity_Resource,$D154,'Critical resources (hide)'!BQ$6:BQ$105)+SUMIF(Capacity_Resource,$E154,'Critical resources (hide)'!BQ$6:BQ$105)+SUMIF(Capacity_Resource,$F154,'Critical resources (hide)'!BQ$6:BQ$105)&gt;0,$E$1=2),0,1),0)</f>
        <v>1</v>
      </c>
      <c r="BE154" s="67">
        <f ca="1">IF(LOWER(Capacity!$V59)="x",IF(AND(SUMIF(Capacity_Resource,$D154,'Critical resources (hide)'!BR$6:BR$105)+SUMIF(Capacity_Resource,$E154,'Critical resources (hide)'!BR$6:BR$105)+SUMIF(Capacity_Resource,$F154,'Critical resources (hide)'!BR$6:BR$105)&gt;0,$E$1=2),0,1),0)</f>
        <v>1</v>
      </c>
      <c r="BF154" s="67">
        <f ca="1">IF(LOWER(Capacity!$V59)="x",IF(AND(SUMIF(Capacity_Resource,$D154,'Critical resources (hide)'!BS$6:BS$105)+SUMIF(Capacity_Resource,$E154,'Critical resources (hide)'!BS$6:BS$105)+SUMIF(Capacity_Resource,$F154,'Critical resources (hide)'!BS$6:BS$105)&gt;0,$E$1=2),0,1),0)</f>
        <v>1</v>
      </c>
      <c r="BG154" s="67">
        <f ca="1">IF(LOWER(Capacity!$V59)="x",IF(AND(SUMIF(Capacity_Resource,$D154,'Critical resources (hide)'!BT$6:BT$105)+SUMIF(Capacity_Resource,$E154,'Critical resources (hide)'!BT$6:BT$105)+SUMIF(Capacity_Resource,$F154,'Critical resources (hide)'!BT$6:BT$105)&gt;0,$E$1=2),0,1),0)</f>
        <v>1</v>
      </c>
      <c r="BH154" s="67">
        <f>IF(ROW(A43)&lt;=Capacity!$M$16,IF('Capacity summary'!$C$14="No",SUM(H154:BG154),'Capacity summary'!$E66),0)</f>
        <v>0</v>
      </c>
      <c r="BI154" s="67" t="str">
        <f>IF(BH154&gt;0,IF(BH154&lt;Capacity!Q59,Capacity!R59,Capacity!T59/'Capacity calculation (hide)'!BH154),"")</f>
        <v/>
      </c>
      <c r="BJ154" s="5"/>
      <c r="BK154" s="5">
        <f>IF($BI154&lt;&gt;"",IF('Capacity summary'!$C$14="Yes",IF(COUNTBLANK('Capacity summary'!$H66:$BG66)&lt;52,IF('Capacity summary'!H66&lt;&gt;"",IF(LOWER('Capacity summary'!H66)="x",$BI154*H154,VALUE('Capacity summary'!H66)),0),H154*$BI154),H154*$BI154),0)</f>
        <v>0</v>
      </c>
      <c r="BL154" s="5">
        <f>IF($BI154&lt;&gt;"",IF('Capacity summary'!$C$14="Yes",IF(COUNTBLANK('Capacity summary'!$H66:$BG66)&lt;52,IF('Capacity summary'!I66&lt;&gt;"",IF(LOWER('Capacity summary'!I66)="x",$BI154*I154,VALUE('Capacity summary'!I66)),0),I154*$BI154),I154*$BI154),0)</f>
        <v>0</v>
      </c>
      <c r="BM154" s="5">
        <f>IF($BI154&lt;&gt;"",IF('Capacity summary'!$C$14="Yes",IF(COUNTBLANK('Capacity summary'!$H66:$BG66)&lt;52,IF('Capacity summary'!J66&lt;&gt;"",IF(LOWER('Capacity summary'!J66)="x",$BI154*J154,VALUE('Capacity summary'!J66)),0),J154*$BI154),J154*$BI154),0)</f>
        <v>0</v>
      </c>
      <c r="BN154" s="5">
        <f>IF($BI154&lt;&gt;"",IF('Capacity summary'!$C$14="Yes",IF(COUNTBLANK('Capacity summary'!$H66:$BG66)&lt;52,IF('Capacity summary'!K66&lt;&gt;"",IF(LOWER('Capacity summary'!K66)="x",$BI154*K154,VALUE('Capacity summary'!K66)),0),K154*$BI154),K154*$BI154),0)</f>
        <v>0</v>
      </c>
      <c r="BO154" s="5">
        <f>IF($BI154&lt;&gt;"",IF('Capacity summary'!$C$14="Yes",IF(COUNTBLANK('Capacity summary'!$H66:$BG66)&lt;52,IF('Capacity summary'!L66&lt;&gt;"",IF(LOWER('Capacity summary'!L66)="x",$BI154*L154,VALUE('Capacity summary'!L66)),0),L154*$BI154),L154*$BI154),0)</f>
        <v>0</v>
      </c>
      <c r="BP154" s="5">
        <f>IF($BI154&lt;&gt;"",IF('Capacity summary'!$C$14="Yes",IF(COUNTBLANK('Capacity summary'!$H66:$BG66)&lt;52,IF('Capacity summary'!M66&lt;&gt;"",IF(LOWER('Capacity summary'!M66)="x",$BI154*M154,VALUE('Capacity summary'!M66)),0),M154*$BI154),M154*$BI154),0)</f>
        <v>0</v>
      </c>
      <c r="BQ154" s="5">
        <f>IF($BI154&lt;&gt;"",IF('Capacity summary'!$C$14="Yes",IF(COUNTBLANK('Capacity summary'!$H66:$BG66)&lt;52,IF('Capacity summary'!N66&lt;&gt;"",IF(LOWER('Capacity summary'!N66)="x",$BI154*N154,VALUE('Capacity summary'!N66)),0),N154*$BI154),N154*$BI154),0)</f>
        <v>0</v>
      </c>
      <c r="BR154" s="5">
        <f>IF($BI154&lt;&gt;"",IF('Capacity summary'!$C$14="Yes",IF(COUNTBLANK('Capacity summary'!$H66:$BG66)&lt;52,IF('Capacity summary'!O66&lt;&gt;"",IF(LOWER('Capacity summary'!O66)="x",$BI154*O154,VALUE('Capacity summary'!O66)),0),O154*$BI154),O154*$BI154),0)</f>
        <v>0</v>
      </c>
      <c r="BS154" s="5">
        <f>IF($BI154&lt;&gt;"",IF('Capacity summary'!$C$14="Yes",IF(COUNTBLANK('Capacity summary'!$H66:$BG66)&lt;52,IF('Capacity summary'!P66&lt;&gt;"",IF(LOWER('Capacity summary'!P66)="x",$BI154*P154,VALUE('Capacity summary'!P66)),0),P154*$BI154),P154*$BI154),0)</f>
        <v>0</v>
      </c>
      <c r="BT154" s="5">
        <f>IF($BI154&lt;&gt;"",IF('Capacity summary'!$C$14="Yes",IF(COUNTBLANK('Capacity summary'!$H66:$BG66)&lt;52,IF('Capacity summary'!Q66&lt;&gt;"",IF(LOWER('Capacity summary'!Q66)="x",$BI154*Q154,VALUE('Capacity summary'!Q66)),0),Q154*$BI154),Q154*$BI154),0)</f>
        <v>0</v>
      </c>
      <c r="BU154" s="5">
        <f>IF($BI154&lt;&gt;"",IF('Capacity summary'!$C$14="Yes",IF(COUNTBLANK('Capacity summary'!$H66:$BG66)&lt;52,IF('Capacity summary'!R66&lt;&gt;"",IF(LOWER('Capacity summary'!R66)="x",$BI154*R154,VALUE('Capacity summary'!R66)),0),R154*$BI154),R154*$BI154),0)</f>
        <v>0</v>
      </c>
      <c r="BV154" s="5">
        <f>IF($BI154&lt;&gt;"",IF('Capacity summary'!$C$14="Yes",IF(COUNTBLANK('Capacity summary'!$H66:$BG66)&lt;52,IF('Capacity summary'!S66&lt;&gt;"",IF(LOWER('Capacity summary'!S66)="x",$BI154*S154,VALUE('Capacity summary'!S66)),0),S154*$BI154),S154*$BI154),0)</f>
        <v>0</v>
      </c>
      <c r="BW154" s="5">
        <f>IF($BI154&lt;&gt;"",IF('Capacity summary'!$C$14="Yes",IF(COUNTBLANK('Capacity summary'!$H66:$BG66)&lt;52,IF('Capacity summary'!T66&lt;&gt;"",IF(LOWER('Capacity summary'!T66)="x",$BI154*T154,VALUE('Capacity summary'!T66)),0),T154*$BI154),T154*$BI154),0)</f>
        <v>0</v>
      </c>
      <c r="BX154" s="5">
        <f>IF($BI154&lt;&gt;"",IF('Capacity summary'!$C$14="Yes",IF(COUNTBLANK('Capacity summary'!$H66:$BG66)&lt;52,IF('Capacity summary'!U66&lt;&gt;"",IF(LOWER('Capacity summary'!U66)="x",$BI154*U154,VALUE('Capacity summary'!U66)),0),U154*$BI154),U154*$BI154),0)</f>
        <v>0</v>
      </c>
      <c r="BY154" s="5">
        <f>IF($BI154&lt;&gt;"",IF('Capacity summary'!$C$14="Yes",IF(COUNTBLANK('Capacity summary'!$H66:$BG66)&lt;52,IF('Capacity summary'!V66&lt;&gt;"",IF(LOWER('Capacity summary'!V66)="x",$BI154*V154,VALUE('Capacity summary'!V66)),0),V154*$BI154),V154*$BI154),0)</f>
        <v>0</v>
      </c>
      <c r="BZ154" s="5">
        <f>IF($BI154&lt;&gt;"",IF('Capacity summary'!$C$14="Yes",IF(COUNTBLANK('Capacity summary'!$H66:$BG66)&lt;52,IF('Capacity summary'!W66&lt;&gt;"",IF(LOWER('Capacity summary'!W66)="x",$BI154*W154,VALUE('Capacity summary'!W66)),0),W154*$BI154),W154*$BI154),0)</f>
        <v>0</v>
      </c>
      <c r="CA154" s="5">
        <f>IF($BI154&lt;&gt;"",IF('Capacity summary'!$C$14="Yes",IF(COUNTBLANK('Capacity summary'!$H66:$BG66)&lt;52,IF('Capacity summary'!X66&lt;&gt;"",IF(LOWER('Capacity summary'!X66)="x",$BI154*X154,VALUE('Capacity summary'!X66)),0),X154*$BI154),X154*$BI154),0)</f>
        <v>0</v>
      </c>
      <c r="CB154" s="5">
        <f>IF($BI154&lt;&gt;"",IF('Capacity summary'!$C$14="Yes",IF(COUNTBLANK('Capacity summary'!$H66:$BG66)&lt;52,IF('Capacity summary'!Y66&lt;&gt;"",IF(LOWER('Capacity summary'!Y66)="x",$BI154*Y154,VALUE('Capacity summary'!Y66)),0),Y154*$BI154),Y154*$BI154),0)</f>
        <v>0</v>
      </c>
      <c r="CC154" s="5">
        <f>IF($BI154&lt;&gt;"",IF('Capacity summary'!$C$14="Yes",IF(COUNTBLANK('Capacity summary'!$H66:$BG66)&lt;52,IF('Capacity summary'!Z66&lt;&gt;"",IF(LOWER('Capacity summary'!Z66)="x",$BI154*Z154,VALUE('Capacity summary'!Z66)),0),Z154*$BI154),Z154*$BI154),0)</f>
        <v>0</v>
      </c>
      <c r="CD154" s="5">
        <f>IF($BI154&lt;&gt;"",IF('Capacity summary'!$C$14="Yes",IF(COUNTBLANK('Capacity summary'!$H66:$BG66)&lt;52,IF('Capacity summary'!AA66&lt;&gt;"",IF(LOWER('Capacity summary'!AA66)="x",$BI154*AA154,VALUE('Capacity summary'!AA66)),0),AA154*$BI154),AA154*$BI154),0)</f>
        <v>0</v>
      </c>
      <c r="CE154" s="5">
        <f>IF($BI154&lt;&gt;"",IF('Capacity summary'!$C$14="Yes",IF(COUNTBLANK('Capacity summary'!$H66:$BG66)&lt;52,IF('Capacity summary'!AB66&lt;&gt;"",IF(LOWER('Capacity summary'!AB66)="x",$BI154*AB154,VALUE('Capacity summary'!AB66)),0),AB154*$BI154),AB154*$BI154),0)</f>
        <v>0</v>
      </c>
      <c r="CF154" s="5">
        <f>IF($BI154&lt;&gt;"",IF('Capacity summary'!$C$14="Yes",IF(COUNTBLANK('Capacity summary'!$H66:$BG66)&lt;52,IF('Capacity summary'!AC66&lt;&gt;"",IF(LOWER('Capacity summary'!AC66)="x",$BI154*AC154,VALUE('Capacity summary'!AC66)),0),AC154*$BI154),AC154*$BI154),0)</f>
        <v>0</v>
      </c>
      <c r="CG154" s="5">
        <f>IF($BI154&lt;&gt;"",IF('Capacity summary'!$C$14="Yes",IF(COUNTBLANK('Capacity summary'!$H66:$BG66)&lt;52,IF('Capacity summary'!AD66&lt;&gt;"",IF(LOWER('Capacity summary'!AD66)="x",$BI154*AD154,VALUE('Capacity summary'!AD66)),0),AD154*$BI154),AD154*$BI154),0)</f>
        <v>0</v>
      </c>
      <c r="CH154" s="5">
        <f>IF($BI154&lt;&gt;"",IF('Capacity summary'!$C$14="Yes",IF(COUNTBLANK('Capacity summary'!$H66:$BG66)&lt;52,IF('Capacity summary'!AE66&lt;&gt;"",IF(LOWER('Capacity summary'!AE66)="x",$BI154*AE154,VALUE('Capacity summary'!AE66)),0),AE154*$BI154),AE154*$BI154),0)</f>
        <v>0</v>
      </c>
      <c r="CI154" s="5">
        <f>IF($BI154&lt;&gt;"",IF('Capacity summary'!$C$14="Yes",IF(COUNTBLANK('Capacity summary'!$H66:$BG66)&lt;52,IF('Capacity summary'!AF66&lt;&gt;"",IF(LOWER('Capacity summary'!AF66)="x",$BI154*AF154,VALUE('Capacity summary'!AF66)),0),AF154*$BI154),AF154*$BI154),0)</f>
        <v>0</v>
      </c>
      <c r="CJ154" s="5">
        <f>IF($BI154&lt;&gt;"",IF('Capacity summary'!$C$14="Yes",IF(COUNTBLANK('Capacity summary'!$H66:$BG66)&lt;52,IF('Capacity summary'!AG66&lt;&gt;"",IF(LOWER('Capacity summary'!AG66)="x",$BI154*AG154,VALUE('Capacity summary'!AG66)),0),AG154*$BI154),AG154*$BI154),0)</f>
        <v>0</v>
      </c>
      <c r="CK154" s="5">
        <f>IF($BI154&lt;&gt;"",IF('Capacity summary'!$C$14="Yes",IF(COUNTBLANK('Capacity summary'!$H66:$BG66)&lt;52,IF('Capacity summary'!AH66&lt;&gt;"",IF(LOWER('Capacity summary'!AH66)="x",$BI154*AH154,VALUE('Capacity summary'!AH66)),0),AH154*$BI154),AH154*$BI154),0)</f>
        <v>0</v>
      </c>
      <c r="CL154" s="5">
        <f>IF($BI154&lt;&gt;"",IF('Capacity summary'!$C$14="Yes",IF(COUNTBLANK('Capacity summary'!$H66:$BG66)&lt;52,IF('Capacity summary'!AI66&lt;&gt;"",IF(LOWER('Capacity summary'!AI66)="x",$BI154*AI154,VALUE('Capacity summary'!AI66)),0),AI154*$BI154),AI154*$BI154),0)</f>
        <v>0</v>
      </c>
      <c r="CM154" s="5">
        <f>IF($BI154&lt;&gt;"",IF('Capacity summary'!$C$14="Yes",IF(COUNTBLANK('Capacity summary'!$H66:$BG66)&lt;52,IF('Capacity summary'!AJ66&lt;&gt;"",IF(LOWER('Capacity summary'!AJ66)="x",$BI154*AJ154,VALUE('Capacity summary'!AJ66)),0),AJ154*$BI154),AJ154*$BI154),0)</f>
        <v>0</v>
      </c>
      <c r="CN154" s="5">
        <f>IF($BI154&lt;&gt;"",IF('Capacity summary'!$C$14="Yes",IF(COUNTBLANK('Capacity summary'!$H66:$BG66)&lt;52,IF('Capacity summary'!AK66&lt;&gt;"",IF(LOWER('Capacity summary'!AK66)="x",$BI154*AK154,VALUE('Capacity summary'!AK66)),0),AK154*$BI154),AK154*$BI154),0)</f>
        <v>0</v>
      </c>
      <c r="CO154" s="5">
        <f>IF($BI154&lt;&gt;"",IF('Capacity summary'!$C$14="Yes",IF(COUNTBLANK('Capacity summary'!$H66:$BG66)&lt;52,IF('Capacity summary'!AL66&lt;&gt;"",IF(LOWER('Capacity summary'!AL66)="x",$BI154*AL154,VALUE('Capacity summary'!AL66)),0),AL154*$BI154),AL154*$BI154),0)</f>
        <v>0</v>
      </c>
      <c r="CP154" s="5">
        <f>IF($BI154&lt;&gt;"",IF('Capacity summary'!$C$14="Yes",IF(COUNTBLANK('Capacity summary'!$H66:$BG66)&lt;52,IF('Capacity summary'!AM66&lt;&gt;"",IF(LOWER('Capacity summary'!AM66)="x",$BI154*AM154,VALUE('Capacity summary'!AM66)),0),AM154*$BI154),AM154*$BI154),0)</f>
        <v>0</v>
      </c>
      <c r="CQ154" s="5">
        <f>IF($BI154&lt;&gt;"",IF('Capacity summary'!$C$14="Yes",IF(COUNTBLANK('Capacity summary'!$H66:$BG66)&lt;52,IF('Capacity summary'!AN66&lt;&gt;"",IF(LOWER('Capacity summary'!AN66)="x",$BI154*AN154,VALUE('Capacity summary'!AN66)),0),AN154*$BI154),AN154*$BI154),0)</f>
        <v>0</v>
      </c>
      <c r="CR154" s="5">
        <f>IF($BI154&lt;&gt;"",IF('Capacity summary'!$C$14="Yes",IF(COUNTBLANK('Capacity summary'!$H66:$BG66)&lt;52,IF('Capacity summary'!AO66&lt;&gt;"",IF(LOWER('Capacity summary'!AO66)="x",$BI154*AO154,VALUE('Capacity summary'!AO66)),0),AO154*$BI154),AO154*$BI154),0)</f>
        <v>0</v>
      </c>
      <c r="CS154" s="5">
        <f>IF($BI154&lt;&gt;"",IF('Capacity summary'!$C$14="Yes",IF(COUNTBLANK('Capacity summary'!$H66:$BG66)&lt;52,IF('Capacity summary'!AP66&lt;&gt;"",IF(LOWER('Capacity summary'!AP66)="x",$BI154*AP154,VALUE('Capacity summary'!AP66)),0),AP154*$BI154),AP154*$BI154),0)</f>
        <v>0</v>
      </c>
      <c r="CT154" s="5">
        <f>IF($BI154&lt;&gt;"",IF('Capacity summary'!$C$14="Yes",IF(COUNTBLANK('Capacity summary'!$H66:$BG66)&lt;52,IF('Capacity summary'!AQ66&lt;&gt;"",IF(LOWER('Capacity summary'!AQ66)="x",$BI154*AQ154,VALUE('Capacity summary'!AQ66)),0),AQ154*$BI154),AQ154*$BI154),0)</f>
        <v>0</v>
      </c>
      <c r="CU154" s="5">
        <f>IF($BI154&lt;&gt;"",IF('Capacity summary'!$C$14="Yes",IF(COUNTBLANK('Capacity summary'!$H66:$BG66)&lt;52,IF('Capacity summary'!AR66&lt;&gt;"",IF(LOWER('Capacity summary'!AR66)="x",$BI154*AR154,VALUE('Capacity summary'!AR66)),0),AR154*$BI154),AR154*$BI154),0)</f>
        <v>0</v>
      </c>
      <c r="CV154" s="5">
        <f>IF($BI154&lt;&gt;"",IF('Capacity summary'!$C$14="Yes",IF(COUNTBLANK('Capacity summary'!$H66:$BG66)&lt;52,IF('Capacity summary'!AS66&lt;&gt;"",IF(LOWER('Capacity summary'!AS66)="x",$BI154*AS154,VALUE('Capacity summary'!AS66)),0),AS154*$BI154),AS154*$BI154),0)</f>
        <v>0</v>
      </c>
      <c r="CW154" s="5">
        <f>IF($BI154&lt;&gt;"",IF('Capacity summary'!$C$14="Yes",IF(COUNTBLANK('Capacity summary'!$H66:$BG66)&lt;52,IF('Capacity summary'!AT66&lt;&gt;"",IF(LOWER('Capacity summary'!AT66)="x",$BI154*AT154,VALUE('Capacity summary'!AT66)),0),AT154*$BI154),AT154*$BI154),0)</f>
        <v>0</v>
      </c>
      <c r="CX154" s="5">
        <f>IF($BI154&lt;&gt;"",IF('Capacity summary'!$C$14="Yes",IF(COUNTBLANK('Capacity summary'!$H66:$BG66)&lt;52,IF('Capacity summary'!AU66&lt;&gt;"",IF(LOWER('Capacity summary'!AU66)="x",$BI154*AU154,VALUE('Capacity summary'!AU66)),0),AU154*$BI154),AU154*$BI154),0)</f>
        <v>0</v>
      </c>
      <c r="CY154" s="5">
        <f>IF($BI154&lt;&gt;"",IF('Capacity summary'!$C$14="Yes",IF(COUNTBLANK('Capacity summary'!$H66:$BG66)&lt;52,IF('Capacity summary'!AV66&lt;&gt;"",IF(LOWER('Capacity summary'!AV66)="x",$BI154*AV154,VALUE('Capacity summary'!AV66)),0),AV154*$BI154),AV154*$BI154),0)</f>
        <v>0</v>
      </c>
      <c r="CZ154" s="5">
        <f>IF($BI154&lt;&gt;"",IF('Capacity summary'!$C$14="Yes",IF(COUNTBLANK('Capacity summary'!$H66:$BG66)&lt;52,IF('Capacity summary'!AW66&lt;&gt;"",IF(LOWER('Capacity summary'!AW66)="x",$BI154*AW154,VALUE('Capacity summary'!AW66)),0),AW154*$BI154),AW154*$BI154),0)</f>
        <v>0</v>
      </c>
      <c r="DA154" s="5">
        <f>IF($BI154&lt;&gt;"",IF('Capacity summary'!$C$14="Yes",IF(COUNTBLANK('Capacity summary'!$H66:$BG66)&lt;52,IF('Capacity summary'!AX66&lt;&gt;"",IF(LOWER('Capacity summary'!AX66)="x",$BI154*AX154,VALUE('Capacity summary'!AX66)),0),AX154*$BI154),AX154*$BI154),0)</f>
        <v>0</v>
      </c>
      <c r="DB154" s="5">
        <f>IF($BI154&lt;&gt;"",IF('Capacity summary'!$C$14="Yes",IF(COUNTBLANK('Capacity summary'!$H66:$BG66)&lt;52,IF('Capacity summary'!AY66&lt;&gt;"",IF(LOWER('Capacity summary'!AY66)="x",$BI154*AY154,VALUE('Capacity summary'!AY66)),0),AY154*$BI154),AY154*$BI154),0)</f>
        <v>0</v>
      </c>
      <c r="DC154" s="5">
        <f>IF($BI154&lt;&gt;"",IF('Capacity summary'!$C$14="Yes",IF(COUNTBLANK('Capacity summary'!$H66:$BG66)&lt;52,IF('Capacity summary'!AZ66&lt;&gt;"",IF(LOWER('Capacity summary'!AZ66)="x",$BI154*AZ154,VALUE('Capacity summary'!AZ66)),0),AZ154*$BI154),AZ154*$BI154),0)</f>
        <v>0</v>
      </c>
      <c r="DD154" s="5">
        <f>IF($BI154&lt;&gt;"",IF('Capacity summary'!$C$14="Yes",IF(COUNTBLANK('Capacity summary'!$H66:$BG66)&lt;52,IF('Capacity summary'!BA66&lt;&gt;"",IF(LOWER('Capacity summary'!BA66)="x",$BI154*BA154,VALUE('Capacity summary'!BA66)),0),BA154*$BI154),BA154*$BI154),0)</f>
        <v>0</v>
      </c>
      <c r="DE154" s="5">
        <f>IF($BI154&lt;&gt;"",IF('Capacity summary'!$C$14="Yes",IF(COUNTBLANK('Capacity summary'!$H66:$BG66)&lt;52,IF('Capacity summary'!BB66&lt;&gt;"",IF(LOWER('Capacity summary'!BB66)="x",$BI154*BB154,VALUE('Capacity summary'!BB66)),0),BB154*$BI154),BB154*$BI154),0)</f>
        <v>0</v>
      </c>
      <c r="DF154" s="5">
        <f>IF($BI154&lt;&gt;"",IF('Capacity summary'!$C$14="Yes",IF(COUNTBLANK('Capacity summary'!$H66:$BG66)&lt;52,IF('Capacity summary'!BC66&lt;&gt;"",IF(LOWER('Capacity summary'!BC66)="x",$BI154*BC154,VALUE('Capacity summary'!BC66)),0),BC154*$BI154),BC154*$BI154),0)</f>
        <v>0</v>
      </c>
      <c r="DG154" s="5">
        <f>IF($BI154&lt;&gt;"",IF('Capacity summary'!$C$14="Yes",IF(COUNTBLANK('Capacity summary'!$H66:$BG66)&lt;52,IF('Capacity summary'!BD66&lt;&gt;"",IF(LOWER('Capacity summary'!BD66)="x",$BI154*BD154,VALUE('Capacity summary'!BD66)),0),BD154*$BI154),BD154*$BI154),0)</f>
        <v>0</v>
      </c>
      <c r="DH154" s="5">
        <f>IF($BI154&lt;&gt;"",IF('Capacity summary'!$C$14="Yes",IF(COUNTBLANK('Capacity summary'!$H66:$BG66)&lt;52,IF('Capacity summary'!BE66&lt;&gt;"",IF(LOWER('Capacity summary'!BE66)="x",$BI154*BE154,VALUE('Capacity summary'!BE66)),0),BE154*$BI154),BE154*$BI154),0)</f>
        <v>0</v>
      </c>
      <c r="DI154" s="5">
        <f>IF($BI154&lt;&gt;"",IF('Capacity summary'!$C$14="Yes",IF(COUNTBLANK('Capacity summary'!$H66:$BG66)&lt;52,IF('Capacity summary'!BF66&lt;&gt;"",IF(LOWER('Capacity summary'!BF66)="x",$BI154*BF154,VALUE('Capacity summary'!BF66)),0),BF154*$BI154),BF154*$BI154),0)</f>
        <v>0</v>
      </c>
      <c r="DJ154" s="5">
        <f>IF($BI154&lt;&gt;"",IF('Capacity summary'!$C$14="Yes",IF(COUNTBLANK('Capacity summary'!$H66:$BG66)&lt;52,IF('Capacity summary'!BG66&lt;&gt;"",IF(LOWER('Capacity summary'!BG66)="x",$BI154*BG154,VALUE('Capacity summary'!BG66)),0),BG154*$BI154),BG154*$BI154),0)</f>
        <v>0</v>
      </c>
      <c r="DK154" s="391">
        <f t="shared" si="8"/>
        <v>0</v>
      </c>
      <c r="DL154" s="5">
        <f t="shared" si="9"/>
        <v>0</v>
      </c>
    </row>
    <row r="155" spans="3:116" x14ac:dyDescent="0.2">
      <c r="C155" s="67" t="str">
        <f>ROW(A44)&amp;". "&amp;Capacity!N60</f>
        <v xml:space="preserve">44. </v>
      </c>
      <c r="D155" s="67">
        <f>'Capacity setup'!C161</f>
        <v>0</v>
      </c>
      <c r="E155" s="67">
        <f>'Capacity setup'!D161</f>
        <v>0</v>
      </c>
      <c r="F155" s="67">
        <f>'Capacity setup'!E161</f>
        <v>0</v>
      </c>
      <c r="H155" s="67">
        <f ca="1">IF(LOWER(Capacity!$V60)="x",IF(AND(SUMIF(Capacity_Resource,$D155,'Critical resources (hide)'!U$6:U$105)+SUMIF(Capacity_Resource,$E155,'Critical resources (hide)'!U$6:U$105)+SUMIF(Capacity_Resource,$F155,'Critical resources (hide)'!U$6:U$105)&gt;0,$E$1=2),0,1),0)</f>
        <v>1</v>
      </c>
      <c r="I155" s="67">
        <f ca="1">IF(LOWER(Capacity!$V60)="x",IF(AND(SUMIF(Capacity_Resource,$D155,'Critical resources (hide)'!V$6:V$105)+SUMIF(Capacity_Resource,$E155,'Critical resources (hide)'!V$6:V$105)+SUMIF(Capacity_Resource,$F155,'Critical resources (hide)'!V$6:V$105)&gt;0,$E$1=2),0,1),0)</f>
        <v>1</v>
      </c>
      <c r="J155" s="67">
        <f ca="1">IF(LOWER(Capacity!$V60)="x",IF(AND(SUMIF(Capacity_Resource,$D155,'Critical resources (hide)'!W$6:W$105)+SUMIF(Capacity_Resource,$E155,'Critical resources (hide)'!W$6:W$105)+SUMIF(Capacity_Resource,$F155,'Critical resources (hide)'!W$6:W$105)&gt;0,$E$1=2),0,1),0)</f>
        <v>1</v>
      </c>
      <c r="K155" s="67">
        <f ca="1">IF(LOWER(Capacity!$V60)="x",IF(AND(SUMIF(Capacity_Resource,$D155,'Critical resources (hide)'!X$6:X$105)+SUMIF(Capacity_Resource,$E155,'Critical resources (hide)'!X$6:X$105)+SUMIF(Capacity_Resource,$F155,'Critical resources (hide)'!X$6:X$105)&gt;0,$E$1=2),0,1),0)</f>
        <v>1</v>
      </c>
      <c r="L155" s="67">
        <f ca="1">IF(LOWER(Capacity!$V60)="x",IF(AND(SUMIF(Capacity_Resource,$D155,'Critical resources (hide)'!Y$6:Y$105)+SUMIF(Capacity_Resource,$E155,'Critical resources (hide)'!Y$6:Y$105)+SUMIF(Capacity_Resource,$F155,'Critical resources (hide)'!Y$6:Y$105)&gt;0,$E$1=2),0,1),0)</f>
        <v>1</v>
      </c>
      <c r="M155" s="67">
        <f ca="1">IF(LOWER(Capacity!$V60)="x",IF(AND(SUMIF(Capacity_Resource,$D155,'Critical resources (hide)'!Z$6:Z$105)+SUMIF(Capacity_Resource,$E155,'Critical resources (hide)'!Z$6:Z$105)+SUMIF(Capacity_Resource,$F155,'Critical resources (hide)'!Z$6:Z$105)&gt;0,$E$1=2),0,1),0)</f>
        <v>1</v>
      </c>
      <c r="N155" s="67">
        <f ca="1">IF(LOWER(Capacity!$V60)="x",IF(AND(SUMIF(Capacity_Resource,$D155,'Critical resources (hide)'!AA$6:AA$105)+SUMIF(Capacity_Resource,$E155,'Critical resources (hide)'!AA$6:AA$105)+SUMIF(Capacity_Resource,$F155,'Critical resources (hide)'!AA$6:AA$105)&gt;0,$E$1=2),0,1),0)</f>
        <v>1</v>
      </c>
      <c r="O155" s="67">
        <f ca="1">IF(LOWER(Capacity!$V60)="x",IF(AND(SUMIF(Capacity_Resource,$D155,'Critical resources (hide)'!AB$6:AB$105)+SUMIF(Capacity_Resource,$E155,'Critical resources (hide)'!AB$6:AB$105)+SUMIF(Capacity_Resource,$F155,'Critical resources (hide)'!AB$6:AB$105)&gt;0,$E$1=2),0,1),0)</f>
        <v>1</v>
      </c>
      <c r="P155" s="67">
        <f ca="1">IF(LOWER(Capacity!$V60)="x",IF(AND(SUMIF(Capacity_Resource,$D155,'Critical resources (hide)'!AC$6:AC$105)+SUMIF(Capacity_Resource,$E155,'Critical resources (hide)'!AC$6:AC$105)+SUMIF(Capacity_Resource,$F155,'Critical resources (hide)'!AC$6:AC$105)&gt;0,$E$1=2),0,1),0)</f>
        <v>1</v>
      </c>
      <c r="Q155" s="67">
        <f ca="1">IF(LOWER(Capacity!$V60)="x",IF(AND(SUMIF(Capacity_Resource,$D155,'Critical resources (hide)'!AD$6:AD$105)+SUMIF(Capacity_Resource,$E155,'Critical resources (hide)'!AD$6:AD$105)+SUMIF(Capacity_Resource,$F155,'Critical resources (hide)'!AD$6:AD$105)&gt;0,$E$1=2),0,1),0)</f>
        <v>1</v>
      </c>
      <c r="R155" s="67">
        <f ca="1">IF(LOWER(Capacity!$V60)="x",IF(AND(SUMIF(Capacity_Resource,$D155,'Critical resources (hide)'!AE$6:AE$105)+SUMIF(Capacity_Resource,$E155,'Critical resources (hide)'!AE$6:AE$105)+SUMIF(Capacity_Resource,$F155,'Critical resources (hide)'!AE$6:AE$105)&gt;0,$E$1=2),0,1),0)</f>
        <v>1</v>
      </c>
      <c r="S155" s="67">
        <f ca="1">IF(LOWER(Capacity!$V60)="x",IF(AND(SUMIF(Capacity_Resource,$D155,'Critical resources (hide)'!AF$6:AF$105)+SUMIF(Capacity_Resource,$E155,'Critical resources (hide)'!AF$6:AF$105)+SUMIF(Capacity_Resource,$F155,'Critical resources (hide)'!AF$6:AF$105)&gt;0,$E$1=2),0,1),0)</f>
        <v>1</v>
      </c>
      <c r="T155" s="67">
        <f ca="1">IF(LOWER(Capacity!$V60)="x",IF(AND(SUMIF(Capacity_Resource,$D155,'Critical resources (hide)'!AG$6:AG$105)+SUMIF(Capacity_Resource,$E155,'Critical resources (hide)'!AG$6:AG$105)+SUMIF(Capacity_Resource,$F155,'Critical resources (hide)'!AG$6:AG$105)&gt;0,$E$1=2),0,1),0)</f>
        <v>1</v>
      </c>
      <c r="U155" s="67">
        <f ca="1">IF(LOWER(Capacity!$V60)="x",IF(AND(SUMIF(Capacity_Resource,$D155,'Critical resources (hide)'!AH$6:AH$105)+SUMIF(Capacity_Resource,$E155,'Critical resources (hide)'!AH$6:AH$105)+SUMIF(Capacity_Resource,$F155,'Critical resources (hide)'!AH$6:AH$105)&gt;0,$E$1=2),0,1),0)</f>
        <v>1</v>
      </c>
      <c r="V155" s="67">
        <f ca="1">IF(LOWER(Capacity!$V60)="x",IF(AND(SUMIF(Capacity_Resource,$D155,'Critical resources (hide)'!AI$6:AI$105)+SUMIF(Capacity_Resource,$E155,'Critical resources (hide)'!AI$6:AI$105)+SUMIF(Capacity_Resource,$F155,'Critical resources (hide)'!AI$6:AI$105)&gt;0,$E$1=2),0,1),0)</f>
        <v>1</v>
      </c>
      <c r="W155" s="67">
        <f ca="1">IF(LOWER(Capacity!$V60)="x",IF(AND(SUMIF(Capacity_Resource,$D155,'Critical resources (hide)'!AJ$6:AJ$105)+SUMIF(Capacity_Resource,$E155,'Critical resources (hide)'!AJ$6:AJ$105)+SUMIF(Capacity_Resource,$F155,'Critical resources (hide)'!AJ$6:AJ$105)&gt;0,$E$1=2),0,1),0)</f>
        <v>1</v>
      </c>
      <c r="X155" s="67">
        <f ca="1">IF(LOWER(Capacity!$V60)="x",IF(AND(SUMIF(Capacity_Resource,$D155,'Critical resources (hide)'!AK$6:AK$105)+SUMIF(Capacity_Resource,$E155,'Critical resources (hide)'!AK$6:AK$105)+SUMIF(Capacity_Resource,$F155,'Critical resources (hide)'!AK$6:AK$105)&gt;0,$E$1=2),0,1),0)</f>
        <v>1</v>
      </c>
      <c r="Y155" s="67">
        <f ca="1">IF(LOWER(Capacity!$V60)="x",IF(AND(SUMIF(Capacity_Resource,$D155,'Critical resources (hide)'!AL$6:AL$105)+SUMIF(Capacity_Resource,$E155,'Critical resources (hide)'!AL$6:AL$105)+SUMIF(Capacity_Resource,$F155,'Critical resources (hide)'!AL$6:AL$105)&gt;0,$E$1=2),0,1),0)</f>
        <v>1</v>
      </c>
      <c r="Z155" s="67">
        <f ca="1">IF(LOWER(Capacity!$V60)="x",IF(AND(SUMIF(Capacity_Resource,$D155,'Critical resources (hide)'!AM$6:AM$105)+SUMIF(Capacity_Resource,$E155,'Critical resources (hide)'!AM$6:AM$105)+SUMIF(Capacity_Resource,$F155,'Critical resources (hide)'!AM$6:AM$105)&gt;0,$E$1=2),0,1),0)</f>
        <v>1</v>
      </c>
      <c r="AA155" s="67">
        <f ca="1">IF(LOWER(Capacity!$V60)="x",IF(AND(SUMIF(Capacity_Resource,$D155,'Critical resources (hide)'!AN$6:AN$105)+SUMIF(Capacity_Resource,$E155,'Critical resources (hide)'!AN$6:AN$105)+SUMIF(Capacity_Resource,$F155,'Critical resources (hide)'!AN$6:AN$105)&gt;0,$E$1=2),0,1),0)</f>
        <v>1</v>
      </c>
      <c r="AB155" s="67">
        <f ca="1">IF(LOWER(Capacity!$V60)="x",IF(AND(SUMIF(Capacity_Resource,$D155,'Critical resources (hide)'!AO$6:AO$105)+SUMIF(Capacity_Resource,$E155,'Critical resources (hide)'!AO$6:AO$105)+SUMIF(Capacity_Resource,$F155,'Critical resources (hide)'!AO$6:AO$105)&gt;0,$E$1=2),0,1),0)</f>
        <v>1</v>
      </c>
      <c r="AC155" s="67">
        <f ca="1">IF(LOWER(Capacity!$V60)="x",IF(AND(SUMIF(Capacity_Resource,$D155,'Critical resources (hide)'!AP$6:AP$105)+SUMIF(Capacity_Resource,$E155,'Critical resources (hide)'!AP$6:AP$105)+SUMIF(Capacity_Resource,$F155,'Critical resources (hide)'!AP$6:AP$105)&gt;0,$E$1=2),0,1),0)</f>
        <v>1</v>
      </c>
      <c r="AD155" s="67">
        <f ca="1">IF(LOWER(Capacity!$V60)="x",IF(AND(SUMIF(Capacity_Resource,$D155,'Critical resources (hide)'!AQ$6:AQ$105)+SUMIF(Capacity_Resource,$E155,'Critical resources (hide)'!AQ$6:AQ$105)+SUMIF(Capacity_Resource,$F155,'Critical resources (hide)'!AQ$6:AQ$105)&gt;0,$E$1=2),0,1),0)</f>
        <v>1</v>
      </c>
      <c r="AE155" s="67">
        <f ca="1">IF(LOWER(Capacity!$V60)="x",IF(AND(SUMIF(Capacity_Resource,$D155,'Critical resources (hide)'!AR$6:AR$105)+SUMIF(Capacity_Resource,$E155,'Critical resources (hide)'!AR$6:AR$105)+SUMIF(Capacity_Resource,$F155,'Critical resources (hide)'!AR$6:AR$105)&gt;0,$E$1=2),0,1),0)</f>
        <v>1</v>
      </c>
      <c r="AF155" s="67">
        <f ca="1">IF(LOWER(Capacity!$V60)="x",IF(AND(SUMIF(Capacity_Resource,$D155,'Critical resources (hide)'!AS$6:AS$105)+SUMIF(Capacity_Resource,$E155,'Critical resources (hide)'!AS$6:AS$105)+SUMIF(Capacity_Resource,$F155,'Critical resources (hide)'!AS$6:AS$105)&gt;0,$E$1=2),0,1),0)</f>
        <v>1</v>
      </c>
      <c r="AG155" s="67">
        <f ca="1">IF(LOWER(Capacity!$V60)="x",IF(AND(SUMIF(Capacity_Resource,$D155,'Critical resources (hide)'!AT$6:AT$105)+SUMIF(Capacity_Resource,$E155,'Critical resources (hide)'!AT$6:AT$105)+SUMIF(Capacity_Resource,$F155,'Critical resources (hide)'!AT$6:AT$105)&gt;0,$E$1=2),0,1),0)</f>
        <v>1</v>
      </c>
      <c r="AH155" s="67">
        <f ca="1">IF(LOWER(Capacity!$V60)="x",IF(AND(SUMIF(Capacity_Resource,$D155,'Critical resources (hide)'!AU$6:AU$105)+SUMIF(Capacity_Resource,$E155,'Critical resources (hide)'!AU$6:AU$105)+SUMIF(Capacity_Resource,$F155,'Critical resources (hide)'!AU$6:AU$105)&gt;0,$E$1=2),0,1),0)</f>
        <v>1</v>
      </c>
      <c r="AI155" s="67">
        <f ca="1">IF(LOWER(Capacity!$V60)="x",IF(AND(SUMIF(Capacity_Resource,$D155,'Critical resources (hide)'!AV$6:AV$105)+SUMIF(Capacity_Resource,$E155,'Critical resources (hide)'!AV$6:AV$105)+SUMIF(Capacity_Resource,$F155,'Critical resources (hide)'!AV$6:AV$105)&gt;0,$E$1=2),0,1),0)</f>
        <v>1</v>
      </c>
      <c r="AJ155" s="67">
        <f ca="1">IF(LOWER(Capacity!$V60)="x",IF(AND(SUMIF(Capacity_Resource,$D155,'Critical resources (hide)'!AW$6:AW$105)+SUMIF(Capacity_Resource,$E155,'Critical resources (hide)'!AW$6:AW$105)+SUMIF(Capacity_Resource,$F155,'Critical resources (hide)'!AW$6:AW$105)&gt;0,$E$1=2),0,1),0)</f>
        <v>1</v>
      </c>
      <c r="AK155" s="67">
        <f ca="1">IF(LOWER(Capacity!$V60)="x",IF(AND(SUMIF(Capacity_Resource,$D155,'Critical resources (hide)'!AX$6:AX$105)+SUMIF(Capacity_Resource,$E155,'Critical resources (hide)'!AX$6:AX$105)+SUMIF(Capacity_Resource,$F155,'Critical resources (hide)'!AX$6:AX$105)&gt;0,$E$1=2),0,1),0)</f>
        <v>1</v>
      </c>
      <c r="AL155" s="67">
        <f ca="1">IF(LOWER(Capacity!$V60)="x",IF(AND(SUMIF(Capacity_Resource,$D155,'Critical resources (hide)'!AY$6:AY$105)+SUMIF(Capacity_Resource,$E155,'Critical resources (hide)'!AY$6:AY$105)+SUMIF(Capacity_Resource,$F155,'Critical resources (hide)'!AY$6:AY$105)&gt;0,$E$1=2),0,1),0)</f>
        <v>1</v>
      </c>
      <c r="AM155" s="67">
        <f ca="1">IF(LOWER(Capacity!$V60)="x",IF(AND(SUMIF(Capacity_Resource,$D155,'Critical resources (hide)'!AZ$6:AZ$105)+SUMIF(Capacity_Resource,$E155,'Critical resources (hide)'!AZ$6:AZ$105)+SUMIF(Capacity_Resource,$F155,'Critical resources (hide)'!AZ$6:AZ$105)&gt;0,$E$1=2),0,1),0)</f>
        <v>1</v>
      </c>
      <c r="AN155" s="67">
        <f ca="1">IF(LOWER(Capacity!$V60)="x",IF(AND(SUMIF(Capacity_Resource,$D155,'Critical resources (hide)'!BA$6:BA$105)+SUMIF(Capacity_Resource,$E155,'Critical resources (hide)'!BA$6:BA$105)+SUMIF(Capacity_Resource,$F155,'Critical resources (hide)'!BA$6:BA$105)&gt;0,$E$1=2),0,1),0)</f>
        <v>1</v>
      </c>
      <c r="AO155" s="67">
        <f ca="1">IF(LOWER(Capacity!$V60)="x",IF(AND(SUMIF(Capacity_Resource,$D155,'Critical resources (hide)'!BB$6:BB$105)+SUMIF(Capacity_Resource,$E155,'Critical resources (hide)'!BB$6:BB$105)+SUMIF(Capacity_Resource,$F155,'Critical resources (hide)'!BB$6:BB$105)&gt;0,$E$1=2),0,1),0)</f>
        <v>1</v>
      </c>
      <c r="AP155" s="67">
        <f ca="1">IF(LOWER(Capacity!$V60)="x",IF(AND(SUMIF(Capacity_Resource,$D155,'Critical resources (hide)'!BC$6:BC$105)+SUMIF(Capacity_Resource,$E155,'Critical resources (hide)'!BC$6:BC$105)+SUMIF(Capacity_Resource,$F155,'Critical resources (hide)'!BC$6:BC$105)&gt;0,$E$1=2),0,1),0)</f>
        <v>1</v>
      </c>
      <c r="AQ155" s="67">
        <f ca="1">IF(LOWER(Capacity!$V60)="x",IF(AND(SUMIF(Capacity_Resource,$D155,'Critical resources (hide)'!BD$6:BD$105)+SUMIF(Capacity_Resource,$E155,'Critical resources (hide)'!BD$6:BD$105)+SUMIF(Capacity_Resource,$F155,'Critical resources (hide)'!BD$6:BD$105)&gt;0,$E$1=2),0,1),0)</f>
        <v>1</v>
      </c>
      <c r="AR155" s="67">
        <f ca="1">IF(LOWER(Capacity!$V60)="x",IF(AND(SUMIF(Capacity_Resource,$D155,'Critical resources (hide)'!BE$6:BE$105)+SUMIF(Capacity_Resource,$E155,'Critical resources (hide)'!BE$6:BE$105)+SUMIF(Capacity_Resource,$F155,'Critical resources (hide)'!BE$6:BE$105)&gt;0,$E$1=2),0,1),0)</f>
        <v>1</v>
      </c>
      <c r="AS155" s="67">
        <f ca="1">IF(LOWER(Capacity!$V60)="x",IF(AND(SUMIF(Capacity_Resource,$D155,'Critical resources (hide)'!BF$6:BF$105)+SUMIF(Capacity_Resource,$E155,'Critical resources (hide)'!BF$6:BF$105)+SUMIF(Capacity_Resource,$F155,'Critical resources (hide)'!BF$6:BF$105)&gt;0,$E$1=2),0,1),0)</f>
        <v>1</v>
      </c>
      <c r="AT155" s="67">
        <f ca="1">IF(LOWER(Capacity!$V60)="x",IF(AND(SUMIF(Capacity_Resource,$D155,'Critical resources (hide)'!BG$6:BG$105)+SUMIF(Capacity_Resource,$E155,'Critical resources (hide)'!BG$6:BG$105)+SUMIF(Capacity_Resource,$F155,'Critical resources (hide)'!BG$6:BG$105)&gt;0,$E$1=2),0,1),0)</f>
        <v>1</v>
      </c>
      <c r="AU155" s="67">
        <f ca="1">IF(LOWER(Capacity!$V60)="x",IF(AND(SUMIF(Capacity_Resource,$D155,'Critical resources (hide)'!BH$6:BH$105)+SUMIF(Capacity_Resource,$E155,'Critical resources (hide)'!BH$6:BH$105)+SUMIF(Capacity_Resource,$F155,'Critical resources (hide)'!BH$6:BH$105)&gt;0,$E$1=2),0,1),0)</f>
        <v>1</v>
      </c>
      <c r="AV155" s="67">
        <f ca="1">IF(LOWER(Capacity!$V60)="x",IF(AND(SUMIF(Capacity_Resource,$D155,'Critical resources (hide)'!BI$6:BI$105)+SUMIF(Capacity_Resource,$E155,'Critical resources (hide)'!BI$6:BI$105)+SUMIF(Capacity_Resource,$F155,'Critical resources (hide)'!BI$6:BI$105)&gt;0,$E$1=2),0,1),0)</f>
        <v>1</v>
      </c>
      <c r="AW155" s="67">
        <f ca="1">IF(LOWER(Capacity!$V60)="x",IF(AND(SUMIF(Capacity_Resource,$D155,'Critical resources (hide)'!BJ$6:BJ$105)+SUMIF(Capacity_Resource,$E155,'Critical resources (hide)'!BJ$6:BJ$105)+SUMIF(Capacity_Resource,$F155,'Critical resources (hide)'!BJ$6:BJ$105)&gt;0,$E$1=2),0,1),0)</f>
        <v>1</v>
      </c>
      <c r="AX155" s="67">
        <f ca="1">IF(LOWER(Capacity!$V60)="x",IF(AND(SUMIF(Capacity_Resource,$D155,'Critical resources (hide)'!BK$6:BK$105)+SUMIF(Capacity_Resource,$E155,'Critical resources (hide)'!BK$6:BK$105)+SUMIF(Capacity_Resource,$F155,'Critical resources (hide)'!BK$6:BK$105)&gt;0,$E$1=2),0,1),0)</f>
        <v>1</v>
      </c>
      <c r="AY155" s="67">
        <f ca="1">IF(LOWER(Capacity!$V60)="x",IF(AND(SUMIF(Capacity_Resource,$D155,'Critical resources (hide)'!BL$6:BL$105)+SUMIF(Capacity_Resource,$E155,'Critical resources (hide)'!BL$6:BL$105)+SUMIF(Capacity_Resource,$F155,'Critical resources (hide)'!BL$6:BL$105)&gt;0,$E$1=2),0,1),0)</f>
        <v>1</v>
      </c>
      <c r="AZ155" s="67">
        <f ca="1">IF(LOWER(Capacity!$V60)="x",IF(AND(SUMIF(Capacity_Resource,$D155,'Critical resources (hide)'!BM$6:BM$105)+SUMIF(Capacity_Resource,$E155,'Critical resources (hide)'!BM$6:BM$105)+SUMIF(Capacity_Resource,$F155,'Critical resources (hide)'!BM$6:BM$105)&gt;0,$E$1=2),0,1),0)</f>
        <v>1</v>
      </c>
      <c r="BA155" s="67">
        <f ca="1">IF(LOWER(Capacity!$V60)="x",IF(AND(SUMIF(Capacity_Resource,$D155,'Critical resources (hide)'!BN$6:BN$105)+SUMIF(Capacity_Resource,$E155,'Critical resources (hide)'!BN$6:BN$105)+SUMIF(Capacity_Resource,$F155,'Critical resources (hide)'!BN$6:BN$105)&gt;0,$E$1=2),0,1),0)</f>
        <v>1</v>
      </c>
      <c r="BB155" s="67">
        <f ca="1">IF(LOWER(Capacity!$V60)="x",IF(AND(SUMIF(Capacity_Resource,$D155,'Critical resources (hide)'!BO$6:BO$105)+SUMIF(Capacity_Resource,$E155,'Critical resources (hide)'!BO$6:BO$105)+SUMIF(Capacity_Resource,$F155,'Critical resources (hide)'!BO$6:BO$105)&gt;0,$E$1=2),0,1),0)</f>
        <v>1</v>
      </c>
      <c r="BC155" s="67">
        <f ca="1">IF(LOWER(Capacity!$V60)="x",IF(AND(SUMIF(Capacity_Resource,$D155,'Critical resources (hide)'!BP$6:BP$105)+SUMIF(Capacity_Resource,$E155,'Critical resources (hide)'!BP$6:BP$105)+SUMIF(Capacity_Resource,$F155,'Critical resources (hide)'!BP$6:BP$105)&gt;0,$E$1=2),0,1),0)</f>
        <v>1</v>
      </c>
      <c r="BD155" s="67">
        <f ca="1">IF(LOWER(Capacity!$V60)="x",IF(AND(SUMIF(Capacity_Resource,$D155,'Critical resources (hide)'!BQ$6:BQ$105)+SUMIF(Capacity_Resource,$E155,'Critical resources (hide)'!BQ$6:BQ$105)+SUMIF(Capacity_Resource,$F155,'Critical resources (hide)'!BQ$6:BQ$105)&gt;0,$E$1=2),0,1),0)</f>
        <v>1</v>
      </c>
      <c r="BE155" s="67">
        <f ca="1">IF(LOWER(Capacity!$V60)="x",IF(AND(SUMIF(Capacity_Resource,$D155,'Critical resources (hide)'!BR$6:BR$105)+SUMIF(Capacity_Resource,$E155,'Critical resources (hide)'!BR$6:BR$105)+SUMIF(Capacity_Resource,$F155,'Critical resources (hide)'!BR$6:BR$105)&gt;0,$E$1=2),0,1),0)</f>
        <v>1</v>
      </c>
      <c r="BF155" s="67">
        <f ca="1">IF(LOWER(Capacity!$V60)="x",IF(AND(SUMIF(Capacity_Resource,$D155,'Critical resources (hide)'!BS$6:BS$105)+SUMIF(Capacity_Resource,$E155,'Critical resources (hide)'!BS$6:BS$105)+SUMIF(Capacity_Resource,$F155,'Critical resources (hide)'!BS$6:BS$105)&gt;0,$E$1=2),0,1),0)</f>
        <v>1</v>
      </c>
      <c r="BG155" s="67">
        <f ca="1">IF(LOWER(Capacity!$V60)="x",IF(AND(SUMIF(Capacity_Resource,$D155,'Critical resources (hide)'!BT$6:BT$105)+SUMIF(Capacity_Resource,$E155,'Critical resources (hide)'!BT$6:BT$105)+SUMIF(Capacity_Resource,$F155,'Critical resources (hide)'!BT$6:BT$105)&gt;0,$E$1=2),0,1),0)</f>
        <v>1</v>
      </c>
      <c r="BH155" s="67">
        <f>IF(ROW(A44)&lt;=Capacity!$M$16,IF('Capacity summary'!$C$14="No",SUM(H155:BG155),'Capacity summary'!$E67),0)</f>
        <v>0</v>
      </c>
      <c r="BI155" s="67" t="str">
        <f>IF(BH155&gt;0,IF(BH155&lt;Capacity!Q60,Capacity!R60,Capacity!T60/'Capacity calculation (hide)'!BH155),"")</f>
        <v/>
      </c>
      <c r="BJ155" s="5"/>
      <c r="BK155" s="5">
        <f>IF($BI155&lt;&gt;"",IF('Capacity summary'!$C$14="Yes",IF(COUNTBLANK('Capacity summary'!$H67:$BG67)&lt;52,IF('Capacity summary'!H67&lt;&gt;"",IF(LOWER('Capacity summary'!H67)="x",$BI155*H155,VALUE('Capacity summary'!H67)),0),H155*$BI155),H155*$BI155),0)</f>
        <v>0</v>
      </c>
      <c r="BL155" s="5">
        <f>IF($BI155&lt;&gt;"",IF('Capacity summary'!$C$14="Yes",IF(COUNTBLANK('Capacity summary'!$H67:$BG67)&lt;52,IF('Capacity summary'!I67&lt;&gt;"",IF(LOWER('Capacity summary'!I67)="x",$BI155*I155,VALUE('Capacity summary'!I67)),0),I155*$BI155),I155*$BI155),0)</f>
        <v>0</v>
      </c>
      <c r="BM155" s="5">
        <f>IF($BI155&lt;&gt;"",IF('Capacity summary'!$C$14="Yes",IF(COUNTBLANK('Capacity summary'!$H67:$BG67)&lt;52,IF('Capacity summary'!J67&lt;&gt;"",IF(LOWER('Capacity summary'!J67)="x",$BI155*J155,VALUE('Capacity summary'!J67)),0),J155*$BI155),J155*$BI155),0)</f>
        <v>0</v>
      </c>
      <c r="BN155" s="5">
        <f>IF($BI155&lt;&gt;"",IF('Capacity summary'!$C$14="Yes",IF(COUNTBLANK('Capacity summary'!$H67:$BG67)&lt;52,IF('Capacity summary'!K67&lt;&gt;"",IF(LOWER('Capacity summary'!K67)="x",$BI155*K155,VALUE('Capacity summary'!K67)),0),K155*$BI155),K155*$BI155),0)</f>
        <v>0</v>
      </c>
      <c r="BO155" s="5">
        <f>IF($BI155&lt;&gt;"",IF('Capacity summary'!$C$14="Yes",IF(COUNTBLANK('Capacity summary'!$H67:$BG67)&lt;52,IF('Capacity summary'!L67&lt;&gt;"",IF(LOWER('Capacity summary'!L67)="x",$BI155*L155,VALUE('Capacity summary'!L67)),0),L155*$BI155),L155*$BI155),0)</f>
        <v>0</v>
      </c>
      <c r="BP155" s="5">
        <f>IF($BI155&lt;&gt;"",IF('Capacity summary'!$C$14="Yes",IF(COUNTBLANK('Capacity summary'!$H67:$BG67)&lt;52,IF('Capacity summary'!M67&lt;&gt;"",IF(LOWER('Capacity summary'!M67)="x",$BI155*M155,VALUE('Capacity summary'!M67)),0),M155*$BI155),M155*$BI155),0)</f>
        <v>0</v>
      </c>
      <c r="BQ155" s="5">
        <f>IF($BI155&lt;&gt;"",IF('Capacity summary'!$C$14="Yes",IF(COUNTBLANK('Capacity summary'!$H67:$BG67)&lt;52,IF('Capacity summary'!N67&lt;&gt;"",IF(LOWER('Capacity summary'!N67)="x",$BI155*N155,VALUE('Capacity summary'!N67)),0),N155*$BI155),N155*$BI155),0)</f>
        <v>0</v>
      </c>
      <c r="BR155" s="5">
        <f>IF($BI155&lt;&gt;"",IF('Capacity summary'!$C$14="Yes",IF(COUNTBLANK('Capacity summary'!$H67:$BG67)&lt;52,IF('Capacity summary'!O67&lt;&gt;"",IF(LOWER('Capacity summary'!O67)="x",$BI155*O155,VALUE('Capacity summary'!O67)),0),O155*$BI155),O155*$BI155),0)</f>
        <v>0</v>
      </c>
      <c r="BS155" s="5">
        <f>IF($BI155&lt;&gt;"",IF('Capacity summary'!$C$14="Yes",IF(COUNTBLANK('Capacity summary'!$H67:$BG67)&lt;52,IF('Capacity summary'!P67&lt;&gt;"",IF(LOWER('Capacity summary'!P67)="x",$BI155*P155,VALUE('Capacity summary'!P67)),0),P155*$BI155),P155*$BI155),0)</f>
        <v>0</v>
      </c>
      <c r="BT155" s="5">
        <f>IF($BI155&lt;&gt;"",IF('Capacity summary'!$C$14="Yes",IF(COUNTBLANK('Capacity summary'!$H67:$BG67)&lt;52,IF('Capacity summary'!Q67&lt;&gt;"",IF(LOWER('Capacity summary'!Q67)="x",$BI155*Q155,VALUE('Capacity summary'!Q67)),0),Q155*$BI155),Q155*$BI155),0)</f>
        <v>0</v>
      </c>
      <c r="BU155" s="5">
        <f>IF($BI155&lt;&gt;"",IF('Capacity summary'!$C$14="Yes",IF(COUNTBLANK('Capacity summary'!$H67:$BG67)&lt;52,IF('Capacity summary'!R67&lt;&gt;"",IF(LOWER('Capacity summary'!R67)="x",$BI155*R155,VALUE('Capacity summary'!R67)),0),R155*$BI155),R155*$BI155),0)</f>
        <v>0</v>
      </c>
      <c r="BV155" s="5">
        <f>IF($BI155&lt;&gt;"",IF('Capacity summary'!$C$14="Yes",IF(COUNTBLANK('Capacity summary'!$H67:$BG67)&lt;52,IF('Capacity summary'!S67&lt;&gt;"",IF(LOWER('Capacity summary'!S67)="x",$BI155*S155,VALUE('Capacity summary'!S67)),0),S155*$BI155),S155*$BI155),0)</f>
        <v>0</v>
      </c>
      <c r="BW155" s="5">
        <f>IF($BI155&lt;&gt;"",IF('Capacity summary'!$C$14="Yes",IF(COUNTBLANK('Capacity summary'!$H67:$BG67)&lt;52,IF('Capacity summary'!T67&lt;&gt;"",IF(LOWER('Capacity summary'!T67)="x",$BI155*T155,VALUE('Capacity summary'!T67)),0),T155*$BI155),T155*$BI155),0)</f>
        <v>0</v>
      </c>
      <c r="BX155" s="5">
        <f>IF($BI155&lt;&gt;"",IF('Capacity summary'!$C$14="Yes",IF(COUNTBLANK('Capacity summary'!$H67:$BG67)&lt;52,IF('Capacity summary'!U67&lt;&gt;"",IF(LOWER('Capacity summary'!U67)="x",$BI155*U155,VALUE('Capacity summary'!U67)),0),U155*$BI155),U155*$BI155),0)</f>
        <v>0</v>
      </c>
      <c r="BY155" s="5">
        <f>IF($BI155&lt;&gt;"",IF('Capacity summary'!$C$14="Yes",IF(COUNTBLANK('Capacity summary'!$H67:$BG67)&lt;52,IF('Capacity summary'!V67&lt;&gt;"",IF(LOWER('Capacity summary'!V67)="x",$BI155*V155,VALUE('Capacity summary'!V67)),0),V155*$BI155),V155*$BI155),0)</f>
        <v>0</v>
      </c>
      <c r="BZ155" s="5">
        <f>IF($BI155&lt;&gt;"",IF('Capacity summary'!$C$14="Yes",IF(COUNTBLANK('Capacity summary'!$H67:$BG67)&lt;52,IF('Capacity summary'!W67&lt;&gt;"",IF(LOWER('Capacity summary'!W67)="x",$BI155*W155,VALUE('Capacity summary'!W67)),0),W155*$BI155),W155*$BI155),0)</f>
        <v>0</v>
      </c>
      <c r="CA155" s="5">
        <f>IF($BI155&lt;&gt;"",IF('Capacity summary'!$C$14="Yes",IF(COUNTBLANK('Capacity summary'!$H67:$BG67)&lt;52,IF('Capacity summary'!X67&lt;&gt;"",IF(LOWER('Capacity summary'!X67)="x",$BI155*X155,VALUE('Capacity summary'!X67)),0),X155*$BI155),X155*$BI155),0)</f>
        <v>0</v>
      </c>
      <c r="CB155" s="5">
        <f>IF($BI155&lt;&gt;"",IF('Capacity summary'!$C$14="Yes",IF(COUNTBLANK('Capacity summary'!$H67:$BG67)&lt;52,IF('Capacity summary'!Y67&lt;&gt;"",IF(LOWER('Capacity summary'!Y67)="x",$BI155*Y155,VALUE('Capacity summary'!Y67)),0),Y155*$BI155),Y155*$BI155),0)</f>
        <v>0</v>
      </c>
      <c r="CC155" s="5">
        <f>IF($BI155&lt;&gt;"",IF('Capacity summary'!$C$14="Yes",IF(COUNTBLANK('Capacity summary'!$H67:$BG67)&lt;52,IF('Capacity summary'!Z67&lt;&gt;"",IF(LOWER('Capacity summary'!Z67)="x",$BI155*Z155,VALUE('Capacity summary'!Z67)),0),Z155*$BI155),Z155*$BI155),0)</f>
        <v>0</v>
      </c>
      <c r="CD155" s="5">
        <f>IF($BI155&lt;&gt;"",IF('Capacity summary'!$C$14="Yes",IF(COUNTBLANK('Capacity summary'!$H67:$BG67)&lt;52,IF('Capacity summary'!AA67&lt;&gt;"",IF(LOWER('Capacity summary'!AA67)="x",$BI155*AA155,VALUE('Capacity summary'!AA67)),0),AA155*$BI155),AA155*$BI155),0)</f>
        <v>0</v>
      </c>
      <c r="CE155" s="5">
        <f>IF($BI155&lt;&gt;"",IF('Capacity summary'!$C$14="Yes",IF(COUNTBLANK('Capacity summary'!$H67:$BG67)&lt;52,IF('Capacity summary'!AB67&lt;&gt;"",IF(LOWER('Capacity summary'!AB67)="x",$BI155*AB155,VALUE('Capacity summary'!AB67)),0),AB155*$BI155),AB155*$BI155),0)</f>
        <v>0</v>
      </c>
      <c r="CF155" s="5">
        <f>IF($BI155&lt;&gt;"",IF('Capacity summary'!$C$14="Yes",IF(COUNTBLANK('Capacity summary'!$H67:$BG67)&lt;52,IF('Capacity summary'!AC67&lt;&gt;"",IF(LOWER('Capacity summary'!AC67)="x",$BI155*AC155,VALUE('Capacity summary'!AC67)),0),AC155*$BI155),AC155*$BI155),0)</f>
        <v>0</v>
      </c>
      <c r="CG155" s="5">
        <f>IF($BI155&lt;&gt;"",IF('Capacity summary'!$C$14="Yes",IF(COUNTBLANK('Capacity summary'!$H67:$BG67)&lt;52,IF('Capacity summary'!AD67&lt;&gt;"",IF(LOWER('Capacity summary'!AD67)="x",$BI155*AD155,VALUE('Capacity summary'!AD67)),0),AD155*$BI155),AD155*$BI155),0)</f>
        <v>0</v>
      </c>
      <c r="CH155" s="5">
        <f>IF($BI155&lt;&gt;"",IF('Capacity summary'!$C$14="Yes",IF(COUNTBLANK('Capacity summary'!$H67:$BG67)&lt;52,IF('Capacity summary'!AE67&lt;&gt;"",IF(LOWER('Capacity summary'!AE67)="x",$BI155*AE155,VALUE('Capacity summary'!AE67)),0),AE155*$BI155),AE155*$BI155),0)</f>
        <v>0</v>
      </c>
      <c r="CI155" s="5">
        <f>IF($BI155&lt;&gt;"",IF('Capacity summary'!$C$14="Yes",IF(COUNTBLANK('Capacity summary'!$H67:$BG67)&lt;52,IF('Capacity summary'!AF67&lt;&gt;"",IF(LOWER('Capacity summary'!AF67)="x",$BI155*AF155,VALUE('Capacity summary'!AF67)),0),AF155*$BI155),AF155*$BI155),0)</f>
        <v>0</v>
      </c>
      <c r="CJ155" s="5">
        <f>IF($BI155&lt;&gt;"",IF('Capacity summary'!$C$14="Yes",IF(COUNTBLANK('Capacity summary'!$H67:$BG67)&lt;52,IF('Capacity summary'!AG67&lt;&gt;"",IF(LOWER('Capacity summary'!AG67)="x",$BI155*AG155,VALUE('Capacity summary'!AG67)),0),AG155*$BI155),AG155*$BI155),0)</f>
        <v>0</v>
      </c>
      <c r="CK155" s="5">
        <f>IF($BI155&lt;&gt;"",IF('Capacity summary'!$C$14="Yes",IF(COUNTBLANK('Capacity summary'!$H67:$BG67)&lt;52,IF('Capacity summary'!AH67&lt;&gt;"",IF(LOWER('Capacity summary'!AH67)="x",$BI155*AH155,VALUE('Capacity summary'!AH67)),0),AH155*$BI155),AH155*$BI155),0)</f>
        <v>0</v>
      </c>
      <c r="CL155" s="5">
        <f>IF($BI155&lt;&gt;"",IF('Capacity summary'!$C$14="Yes",IF(COUNTBLANK('Capacity summary'!$H67:$BG67)&lt;52,IF('Capacity summary'!AI67&lt;&gt;"",IF(LOWER('Capacity summary'!AI67)="x",$BI155*AI155,VALUE('Capacity summary'!AI67)),0),AI155*$BI155),AI155*$BI155),0)</f>
        <v>0</v>
      </c>
      <c r="CM155" s="5">
        <f>IF($BI155&lt;&gt;"",IF('Capacity summary'!$C$14="Yes",IF(COUNTBLANK('Capacity summary'!$H67:$BG67)&lt;52,IF('Capacity summary'!AJ67&lt;&gt;"",IF(LOWER('Capacity summary'!AJ67)="x",$BI155*AJ155,VALUE('Capacity summary'!AJ67)),0),AJ155*$BI155),AJ155*$BI155),0)</f>
        <v>0</v>
      </c>
      <c r="CN155" s="5">
        <f>IF($BI155&lt;&gt;"",IF('Capacity summary'!$C$14="Yes",IF(COUNTBLANK('Capacity summary'!$H67:$BG67)&lt;52,IF('Capacity summary'!AK67&lt;&gt;"",IF(LOWER('Capacity summary'!AK67)="x",$BI155*AK155,VALUE('Capacity summary'!AK67)),0),AK155*$BI155),AK155*$BI155),0)</f>
        <v>0</v>
      </c>
      <c r="CO155" s="5">
        <f>IF($BI155&lt;&gt;"",IF('Capacity summary'!$C$14="Yes",IF(COUNTBLANK('Capacity summary'!$H67:$BG67)&lt;52,IF('Capacity summary'!AL67&lt;&gt;"",IF(LOWER('Capacity summary'!AL67)="x",$BI155*AL155,VALUE('Capacity summary'!AL67)),0),AL155*$BI155),AL155*$BI155),0)</f>
        <v>0</v>
      </c>
      <c r="CP155" s="5">
        <f>IF($BI155&lt;&gt;"",IF('Capacity summary'!$C$14="Yes",IF(COUNTBLANK('Capacity summary'!$H67:$BG67)&lt;52,IF('Capacity summary'!AM67&lt;&gt;"",IF(LOWER('Capacity summary'!AM67)="x",$BI155*AM155,VALUE('Capacity summary'!AM67)),0),AM155*$BI155),AM155*$BI155),0)</f>
        <v>0</v>
      </c>
      <c r="CQ155" s="5">
        <f>IF($BI155&lt;&gt;"",IF('Capacity summary'!$C$14="Yes",IF(COUNTBLANK('Capacity summary'!$H67:$BG67)&lt;52,IF('Capacity summary'!AN67&lt;&gt;"",IF(LOWER('Capacity summary'!AN67)="x",$BI155*AN155,VALUE('Capacity summary'!AN67)),0),AN155*$BI155),AN155*$BI155),0)</f>
        <v>0</v>
      </c>
      <c r="CR155" s="5">
        <f>IF($BI155&lt;&gt;"",IF('Capacity summary'!$C$14="Yes",IF(COUNTBLANK('Capacity summary'!$H67:$BG67)&lt;52,IF('Capacity summary'!AO67&lt;&gt;"",IF(LOWER('Capacity summary'!AO67)="x",$BI155*AO155,VALUE('Capacity summary'!AO67)),0),AO155*$BI155),AO155*$BI155),0)</f>
        <v>0</v>
      </c>
      <c r="CS155" s="5">
        <f>IF($BI155&lt;&gt;"",IF('Capacity summary'!$C$14="Yes",IF(COUNTBLANK('Capacity summary'!$H67:$BG67)&lt;52,IF('Capacity summary'!AP67&lt;&gt;"",IF(LOWER('Capacity summary'!AP67)="x",$BI155*AP155,VALUE('Capacity summary'!AP67)),0),AP155*$BI155),AP155*$BI155),0)</f>
        <v>0</v>
      </c>
      <c r="CT155" s="5">
        <f>IF($BI155&lt;&gt;"",IF('Capacity summary'!$C$14="Yes",IF(COUNTBLANK('Capacity summary'!$H67:$BG67)&lt;52,IF('Capacity summary'!AQ67&lt;&gt;"",IF(LOWER('Capacity summary'!AQ67)="x",$BI155*AQ155,VALUE('Capacity summary'!AQ67)),0),AQ155*$BI155),AQ155*$BI155),0)</f>
        <v>0</v>
      </c>
      <c r="CU155" s="5">
        <f>IF($BI155&lt;&gt;"",IF('Capacity summary'!$C$14="Yes",IF(COUNTBLANK('Capacity summary'!$H67:$BG67)&lt;52,IF('Capacity summary'!AR67&lt;&gt;"",IF(LOWER('Capacity summary'!AR67)="x",$BI155*AR155,VALUE('Capacity summary'!AR67)),0),AR155*$BI155),AR155*$BI155),0)</f>
        <v>0</v>
      </c>
      <c r="CV155" s="5">
        <f>IF($BI155&lt;&gt;"",IF('Capacity summary'!$C$14="Yes",IF(COUNTBLANK('Capacity summary'!$H67:$BG67)&lt;52,IF('Capacity summary'!AS67&lt;&gt;"",IF(LOWER('Capacity summary'!AS67)="x",$BI155*AS155,VALUE('Capacity summary'!AS67)),0),AS155*$BI155),AS155*$BI155),0)</f>
        <v>0</v>
      </c>
      <c r="CW155" s="5">
        <f>IF($BI155&lt;&gt;"",IF('Capacity summary'!$C$14="Yes",IF(COUNTBLANK('Capacity summary'!$H67:$BG67)&lt;52,IF('Capacity summary'!AT67&lt;&gt;"",IF(LOWER('Capacity summary'!AT67)="x",$BI155*AT155,VALUE('Capacity summary'!AT67)),0),AT155*$BI155),AT155*$BI155),0)</f>
        <v>0</v>
      </c>
      <c r="CX155" s="5">
        <f>IF($BI155&lt;&gt;"",IF('Capacity summary'!$C$14="Yes",IF(COUNTBLANK('Capacity summary'!$H67:$BG67)&lt;52,IF('Capacity summary'!AU67&lt;&gt;"",IF(LOWER('Capacity summary'!AU67)="x",$BI155*AU155,VALUE('Capacity summary'!AU67)),0),AU155*$BI155),AU155*$BI155),0)</f>
        <v>0</v>
      </c>
      <c r="CY155" s="5">
        <f>IF($BI155&lt;&gt;"",IF('Capacity summary'!$C$14="Yes",IF(COUNTBLANK('Capacity summary'!$H67:$BG67)&lt;52,IF('Capacity summary'!AV67&lt;&gt;"",IF(LOWER('Capacity summary'!AV67)="x",$BI155*AV155,VALUE('Capacity summary'!AV67)),0),AV155*$BI155),AV155*$BI155),0)</f>
        <v>0</v>
      </c>
      <c r="CZ155" s="5">
        <f>IF($BI155&lt;&gt;"",IF('Capacity summary'!$C$14="Yes",IF(COUNTBLANK('Capacity summary'!$H67:$BG67)&lt;52,IF('Capacity summary'!AW67&lt;&gt;"",IF(LOWER('Capacity summary'!AW67)="x",$BI155*AW155,VALUE('Capacity summary'!AW67)),0),AW155*$BI155),AW155*$BI155),0)</f>
        <v>0</v>
      </c>
      <c r="DA155" s="5">
        <f>IF($BI155&lt;&gt;"",IF('Capacity summary'!$C$14="Yes",IF(COUNTBLANK('Capacity summary'!$H67:$BG67)&lt;52,IF('Capacity summary'!AX67&lt;&gt;"",IF(LOWER('Capacity summary'!AX67)="x",$BI155*AX155,VALUE('Capacity summary'!AX67)),0),AX155*$BI155),AX155*$BI155),0)</f>
        <v>0</v>
      </c>
      <c r="DB155" s="5">
        <f>IF($BI155&lt;&gt;"",IF('Capacity summary'!$C$14="Yes",IF(COUNTBLANK('Capacity summary'!$H67:$BG67)&lt;52,IF('Capacity summary'!AY67&lt;&gt;"",IF(LOWER('Capacity summary'!AY67)="x",$BI155*AY155,VALUE('Capacity summary'!AY67)),0),AY155*$BI155),AY155*$BI155),0)</f>
        <v>0</v>
      </c>
      <c r="DC155" s="5">
        <f>IF($BI155&lt;&gt;"",IF('Capacity summary'!$C$14="Yes",IF(COUNTBLANK('Capacity summary'!$H67:$BG67)&lt;52,IF('Capacity summary'!AZ67&lt;&gt;"",IF(LOWER('Capacity summary'!AZ67)="x",$BI155*AZ155,VALUE('Capacity summary'!AZ67)),0),AZ155*$BI155),AZ155*$BI155),0)</f>
        <v>0</v>
      </c>
      <c r="DD155" s="5">
        <f>IF($BI155&lt;&gt;"",IF('Capacity summary'!$C$14="Yes",IF(COUNTBLANK('Capacity summary'!$H67:$BG67)&lt;52,IF('Capacity summary'!BA67&lt;&gt;"",IF(LOWER('Capacity summary'!BA67)="x",$BI155*BA155,VALUE('Capacity summary'!BA67)),0),BA155*$BI155),BA155*$BI155),0)</f>
        <v>0</v>
      </c>
      <c r="DE155" s="5">
        <f>IF($BI155&lt;&gt;"",IF('Capacity summary'!$C$14="Yes",IF(COUNTBLANK('Capacity summary'!$H67:$BG67)&lt;52,IF('Capacity summary'!BB67&lt;&gt;"",IF(LOWER('Capacity summary'!BB67)="x",$BI155*BB155,VALUE('Capacity summary'!BB67)),0),BB155*$BI155),BB155*$BI155),0)</f>
        <v>0</v>
      </c>
      <c r="DF155" s="5">
        <f>IF($BI155&lt;&gt;"",IF('Capacity summary'!$C$14="Yes",IF(COUNTBLANK('Capacity summary'!$H67:$BG67)&lt;52,IF('Capacity summary'!BC67&lt;&gt;"",IF(LOWER('Capacity summary'!BC67)="x",$BI155*BC155,VALUE('Capacity summary'!BC67)),0),BC155*$BI155),BC155*$BI155),0)</f>
        <v>0</v>
      </c>
      <c r="DG155" s="5">
        <f>IF($BI155&lt;&gt;"",IF('Capacity summary'!$C$14="Yes",IF(COUNTBLANK('Capacity summary'!$H67:$BG67)&lt;52,IF('Capacity summary'!BD67&lt;&gt;"",IF(LOWER('Capacity summary'!BD67)="x",$BI155*BD155,VALUE('Capacity summary'!BD67)),0),BD155*$BI155),BD155*$BI155),0)</f>
        <v>0</v>
      </c>
      <c r="DH155" s="5">
        <f>IF($BI155&lt;&gt;"",IF('Capacity summary'!$C$14="Yes",IF(COUNTBLANK('Capacity summary'!$H67:$BG67)&lt;52,IF('Capacity summary'!BE67&lt;&gt;"",IF(LOWER('Capacity summary'!BE67)="x",$BI155*BE155,VALUE('Capacity summary'!BE67)),0),BE155*$BI155),BE155*$BI155),0)</f>
        <v>0</v>
      </c>
      <c r="DI155" s="5">
        <f>IF($BI155&lt;&gt;"",IF('Capacity summary'!$C$14="Yes",IF(COUNTBLANK('Capacity summary'!$H67:$BG67)&lt;52,IF('Capacity summary'!BF67&lt;&gt;"",IF(LOWER('Capacity summary'!BF67)="x",$BI155*BF155,VALUE('Capacity summary'!BF67)),0),BF155*$BI155),BF155*$BI155),0)</f>
        <v>0</v>
      </c>
      <c r="DJ155" s="5">
        <f>IF($BI155&lt;&gt;"",IF('Capacity summary'!$C$14="Yes",IF(COUNTBLANK('Capacity summary'!$H67:$BG67)&lt;52,IF('Capacity summary'!BG67&lt;&gt;"",IF(LOWER('Capacity summary'!BG67)="x",$BI155*BG155,VALUE('Capacity summary'!BG67)),0),BG155*$BI155),BG155*$BI155),0)</f>
        <v>0</v>
      </c>
      <c r="DK155" s="391">
        <f t="shared" si="8"/>
        <v>0</v>
      </c>
      <c r="DL155" s="5">
        <f t="shared" si="9"/>
        <v>0</v>
      </c>
    </row>
    <row r="156" spans="3:116" x14ac:dyDescent="0.2">
      <c r="C156" s="67" t="str">
        <f>ROW(A45)&amp;". "&amp;Capacity!N61</f>
        <v xml:space="preserve">45. </v>
      </c>
      <c r="D156" s="67">
        <f>'Capacity setup'!C162</f>
        <v>0</v>
      </c>
      <c r="E156" s="67">
        <f>'Capacity setup'!D162</f>
        <v>0</v>
      </c>
      <c r="F156" s="67">
        <f>'Capacity setup'!E162</f>
        <v>0</v>
      </c>
      <c r="H156" s="67">
        <f ca="1">IF(LOWER(Capacity!$V61)="x",IF(AND(SUMIF(Capacity_Resource,$D156,'Critical resources (hide)'!U$6:U$105)+SUMIF(Capacity_Resource,$E156,'Critical resources (hide)'!U$6:U$105)+SUMIF(Capacity_Resource,$F156,'Critical resources (hide)'!U$6:U$105)&gt;0,$E$1=2),0,1),0)</f>
        <v>1</v>
      </c>
      <c r="I156" s="67">
        <f ca="1">IF(LOWER(Capacity!$V61)="x",IF(AND(SUMIF(Capacity_Resource,$D156,'Critical resources (hide)'!V$6:V$105)+SUMIF(Capacity_Resource,$E156,'Critical resources (hide)'!V$6:V$105)+SUMIF(Capacity_Resource,$F156,'Critical resources (hide)'!V$6:V$105)&gt;0,$E$1=2),0,1),0)</f>
        <v>1</v>
      </c>
      <c r="J156" s="67">
        <f ca="1">IF(LOWER(Capacity!$V61)="x",IF(AND(SUMIF(Capacity_Resource,$D156,'Critical resources (hide)'!W$6:W$105)+SUMIF(Capacity_Resource,$E156,'Critical resources (hide)'!W$6:W$105)+SUMIF(Capacity_Resource,$F156,'Critical resources (hide)'!W$6:W$105)&gt;0,$E$1=2),0,1),0)</f>
        <v>1</v>
      </c>
      <c r="K156" s="67">
        <f ca="1">IF(LOWER(Capacity!$V61)="x",IF(AND(SUMIF(Capacity_Resource,$D156,'Critical resources (hide)'!X$6:X$105)+SUMIF(Capacity_Resource,$E156,'Critical resources (hide)'!X$6:X$105)+SUMIF(Capacity_Resource,$F156,'Critical resources (hide)'!X$6:X$105)&gt;0,$E$1=2),0,1),0)</f>
        <v>1</v>
      </c>
      <c r="L156" s="67">
        <f ca="1">IF(LOWER(Capacity!$V61)="x",IF(AND(SUMIF(Capacity_Resource,$D156,'Critical resources (hide)'!Y$6:Y$105)+SUMIF(Capacity_Resource,$E156,'Critical resources (hide)'!Y$6:Y$105)+SUMIF(Capacity_Resource,$F156,'Critical resources (hide)'!Y$6:Y$105)&gt;0,$E$1=2),0,1),0)</f>
        <v>1</v>
      </c>
      <c r="M156" s="67">
        <f ca="1">IF(LOWER(Capacity!$V61)="x",IF(AND(SUMIF(Capacity_Resource,$D156,'Critical resources (hide)'!Z$6:Z$105)+SUMIF(Capacity_Resource,$E156,'Critical resources (hide)'!Z$6:Z$105)+SUMIF(Capacity_Resource,$F156,'Critical resources (hide)'!Z$6:Z$105)&gt;0,$E$1=2),0,1),0)</f>
        <v>1</v>
      </c>
      <c r="N156" s="67">
        <f ca="1">IF(LOWER(Capacity!$V61)="x",IF(AND(SUMIF(Capacity_Resource,$D156,'Critical resources (hide)'!AA$6:AA$105)+SUMIF(Capacity_Resource,$E156,'Critical resources (hide)'!AA$6:AA$105)+SUMIF(Capacity_Resource,$F156,'Critical resources (hide)'!AA$6:AA$105)&gt;0,$E$1=2),0,1),0)</f>
        <v>1</v>
      </c>
      <c r="O156" s="67">
        <f ca="1">IF(LOWER(Capacity!$V61)="x",IF(AND(SUMIF(Capacity_Resource,$D156,'Critical resources (hide)'!AB$6:AB$105)+SUMIF(Capacity_Resource,$E156,'Critical resources (hide)'!AB$6:AB$105)+SUMIF(Capacity_Resource,$F156,'Critical resources (hide)'!AB$6:AB$105)&gt;0,$E$1=2),0,1),0)</f>
        <v>1</v>
      </c>
      <c r="P156" s="67">
        <f ca="1">IF(LOWER(Capacity!$V61)="x",IF(AND(SUMIF(Capacity_Resource,$D156,'Critical resources (hide)'!AC$6:AC$105)+SUMIF(Capacity_Resource,$E156,'Critical resources (hide)'!AC$6:AC$105)+SUMIF(Capacity_Resource,$F156,'Critical resources (hide)'!AC$6:AC$105)&gt;0,$E$1=2),0,1),0)</f>
        <v>1</v>
      </c>
      <c r="Q156" s="67">
        <f ca="1">IF(LOWER(Capacity!$V61)="x",IF(AND(SUMIF(Capacity_Resource,$D156,'Critical resources (hide)'!AD$6:AD$105)+SUMIF(Capacity_Resource,$E156,'Critical resources (hide)'!AD$6:AD$105)+SUMIF(Capacity_Resource,$F156,'Critical resources (hide)'!AD$6:AD$105)&gt;0,$E$1=2),0,1),0)</f>
        <v>1</v>
      </c>
      <c r="R156" s="67">
        <f ca="1">IF(LOWER(Capacity!$V61)="x",IF(AND(SUMIF(Capacity_Resource,$D156,'Critical resources (hide)'!AE$6:AE$105)+SUMIF(Capacity_Resource,$E156,'Critical resources (hide)'!AE$6:AE$105)+SUMIF(Capacity_Resource,$F156,'Critical resources (hide)'!AE$6:AE$105)&gt;0,$E$1=2),0,1),0)</f>
        <v>1</v>
      </c>
      <c r="S156" s="67">
        <f ca="1">IF(LOWER(Capacity!$V61)="x",IF(AND(SUMIF(Capacity_Resource,$D156,'Critical resources (hide)'!AF$6:AF$105)+SUMIF(Capacity_Resource,$E156,'Critical resources (hide)'!AF$6:AF$105)+SUMIF(Capacity_Resource,$F156,'Critical resources (hide)'!AF$6:AF$105)&gt;0,$E$1=2),0,1),0)</f>
        <v>1</v>
      </c>
      <c r="T156" s="67">
        <f ca="1">IF(LOWER(Capacity!$V61)="x",IF(AND(SUMIF(Capacity_Resource,$D156,'Critical resources (hide)'!AG$6:AG$105)+SUMIF(Capacity_Resource,$E156,'Critical resources (hide)'!AG$6:AG$105)+SUMIF(Capacity_Resource,$F156,'Critical resources (hide)'!AG$6:AG$105)&gt;0,$E$1=2),0,1),0)</f>
        <v>1</v>
      </c>
      <c r="U156" s="67">
        <f ca="1">IF(LOWER(Capacity!$V61)="x",IF(AND(SUMIF(Capacity_Resource,$D156,'Critical resources (hide)'!AH$6:AH$105)+SUMIF(Capacity_Resource,$E156,'Critical resources (hide)'!AH$6:AH$105)+SUMIF(Capacity_Resource,$F156,'Critical resources (hide)'!AH$6:AH$105)&gt;0,$E$1=2),0,1),0)</f>
        <v>1</v>
      </c>
      <c r="V156" s="67">
        <f ca="1">IF(LOWER(Capacity!$V61)="x",IF(AND(SUMIF(Capacity_Resource,$D156,'Critical resources (hide)'!AI$6:AI$105)+SUMIF(Capacity_Resource,$E156,'Critical resources (hide)'!AI$6:AI$105)+SUMIF(Capacity_Resource,$F156,'Critical resources (hide)'!AI$6:AI$105)&gt;0,$E$1=2),0,1),0)</f>
        <v>1</v>
      </c>
      <c r="W156" s="67">
        <f ca="1">IF(LOWER(Capacity!$V61)="x",IF(AND(SUMIF(Capacity_Resource,$D156,'Critical resources (hide)'!AJ$6:AJ$105)+SUMIF(Capacity_Resource,$E156,'Critical resources (hide)'!AJ$6:AJ$105)+SUMIF(Capacity_Resource,$F156,'Critical resources (hide)'!AJ$6:AJ$105)&gt;0,$E$1=2),0,1),0)</f>
        <v>1</v>
      </c>
      <c r="X156" s="67">
        <f ca="1">IF(LOWER(Capacity!$V61)="x",IF(AND(SUMIF(Capacity_Resource,$D156,'Critical resources (hide)'!AK$6:AK$105)+SUMIF(Capacity_Resource,$E156,'Critical resources (hide)'!AK$6:AK$105)+SUMIF(Capacity_Resource,$F156,'Critical resources (hide)'!AK$6:AK$105)&gt;0,$E$1=2),0,1),0)</f>
        <v>1</v>
      </c>
      <c r="Y156" s="67">
        <f ca="1">IF(LOWER(Capacity!$V61)="x",IF(AND(SUMIF(Capacity_Resource,$D156,'Critical resources (hide)'!AL$6:AL$105)+SUMIF(Capacity_Resource,$E156,'Critical resources (hide)'!AL$6:AL$105)+SUMIF(Capacity_Resource,$F156,'Critical resources (hide)'!AL$6:AL$105)&gt;0,$E$1=2),0,1),0)</f>
        <v>1</v>
      </c>
      <c r="Z156" s="67">
        <f ca="1">IF(LOWER(Capacity!$V61)="x",IF(AND(SUMIF(Capacity_Resource,$D156,'Critical resources (hide)'!AM$6:AM$105)+SUMIF(Capacity_Resource,$E156,'Critical resources (hide)'!AM$6:AM$105)+SUMIF(Capacity_Resource,$F156,'Critical resources (hide)'!AM$6:AM$105)&gt;0,$E$1=2),0,1),0)</f>
        <v>1</v>
      </c>
      <c r="AA156" s="67">
        <f ca="1">IF(LOWER(Capacity!$V61)="x",IF(AND(SUMIF(Capacity_Resource,$D156,'Critical resources (hide)'!AN$6:AN$105)+SUMIF(Capacity_Resource,$E156,'Critical resources (hide)'!AN$6:AN$105)+SUMIF(Capacity_Resource,$F156,'Critical resources (hide)'!AN$6:AN$105)&gt;0,$E$1=2),0,1),0)</f>
        <v>1</v>
      </c>
      <c r="AB156" s="67">
        <f ca="1">IF(LOWER(Capacity!$V61)="x",IF(AND(SUMIF(Capacity_Resource,$D156,'Critical resources (hide)'!AO$6:AO$105)+SUMIF(Capacity_Resource,$E156,'Critical resources (hide)'!AO$6:AO$105)+SUMIF(Capacity_Resource,$F156,'Critical resources (hide)'!AO$6:AO$105)&gt;0,$E$1=2),0,1),0)</f>
        <v>1</v>
      </c>
      <c r="AC156" s="67">
        <f ca="1">IF(LOWER(Capacity!$V61)="x",IF(AND(SUMIF(Capacity_Resource,$D156,'Critical resources (hide)'!AP$6:AP$105)+SUMIF(Capacity_Resource,$E156,'Critical resources (hide)'!AP$6:AP$105)+SUMIF(Capacity_Resource,$F156,'Critical resources (hide)'!AP$6:AP$105)&gt;0,$E$1=2),0,1),0)</f>
        <v>1</v>
      </c>
      <c r="AD156" s="67">
        <f ca="1">IF(LOWER(Capacity!$V61)="x",IF(AND(SUMIF(Capacity_Resource,$D156,'Critical resources (hide)'!AQ$6:AQ$105)+SUMIF(Capacity_Resource,$E156,'Critical resources (hide)'!AQ$6:AQ$105)+SUMIF(Capacity_Resource,$F156,'Critical resources (hide)'!AQ$6:AQ$105)&gt;0,$E$1=2),0,1),0)</f>
        <v>1</v>
      </c>
      <c r="AE156" s="67">
        <f ca="1">IF(LOWER(Capacity!$V61)="x",IF(AND(SUMIF(Capacity_Resource,$D156,'Critical resources (hide)'!AR$6:AR$105)+SUMIF(Capacity_Resource,$E156,'Critical resources (hide)'!AR$6:AR$105)+SUMIF(Capacity_Resource,$F156,'Critical resources (hide)'!AR$6:AR$105)&gt;0,$E$1=2),0,1),0)</f>
        <v>1</v>
      </c>
      <c r="AF156" s="67">
        <f ca="1">IF(LOWER(Capacity!$V61)="x",IF(AND(SUMIF(Capacity_Resource,$D156,'Critical resources (hide)'!AS$6:AS$105)+SUMIF(Capacity_Resource,$E156,'Critical resources (hide)'!AS$6:AS$105)+SUMIF(Capacity_Resource,$F156,'Critical resources (hide)'!AS$6:AS$105)&gt;0,$E$1=2),0,1),0)</f>
        <v>1</v>
      </c>
      <c r="AG156" s="67">
        <f ca="1">IF(LOWER(Capacity!$V61)="x",IF(AND(SUMIF(Capacity_Resource,$D156,'Critical resources (hide)'!AT$6:AT$105)+SUMIF(Capacity_Resource,$E156,'Critical resources (hide)'!AT$6:AT$105)+SUMIF(Capacity_Resource,$F156,'Critical resources (hide)'!AT$6:AT$105)&gt;0,$E$1=2),0,1),0)</f>
        <v>1</v>
      </c>
      <c r="AH156" s="67">
        <f ca="1">IF(LOWER(Capacity!$V61)="x",IF(AND(SUMIF(Capacity_Resource,$D156,'Critical resources (hide)'!AU$6:AU$105)+SUMIF(Capacity_Resource,$E156,'Critical resources (hide)'!AU$6:AU$105)+SUMIF(Capacity_Resource,$F156,'Critical resources (hide)'!AU$6:AU$105)&gt;0,$E$1=2),0,1),0)</f>
        <v>1</v>
      </c>
      <c r="AI156" s="67">
        <f ca="1">IF(LOWER(Capacity!$V61)="x",IF(AND(SUMIF(Capacity_Resource,$D156,'Critical resources (hide)'!AV$6:AV$105)+SUMIF(Capacity_Resource,$E156,'Critical resources (hide)'!AV$6:AV$105)+SUMIF(Capacity_Resource,$F156,'Critical resources (hide)'!AV$6:AV$105)&gt;0,$E$1=2),0,1),0)</f>
        <v>1</v>
      </c>
      <c r="AJ156" s="67">
        <f ca="1">IF(LOWER(Capacity!$V61)="x",IF(AND(SUMIF(Capacity_Resource,$D156,'Critical resources (hide)'!AW$6:AW$105)+SUMIF(Capacity_Resource,$E156,'Critical resources (hide)'!AW$6:AW$105)+SUMIF(Capacity_Resource,$F156,'Critical resources (hide)'!AW$6:AW$105)&gt;0,$E$1=2),0,1),0)</f>
        <v>1</v>
      </c>
      <c r="AK156" s="67">
        <f ca="1">IF(LOWER(Capacity!$V61)="x",IF(AND(SUMIF(Capacity_Resource,$D156,'Critical resources (hide)'!AX$6:AX$105)+SUMIF(Capacity_Resource,$E156,'Critical resources (hide)'!AX$6:AX$105)+SUMIF(Capacity_Resource,$F156,'Critical resources (hide)'!AX$6:AX$105)&gt;0,$E$1=2),0,1),0)</f>
        <v>1</v>
      </c>
      <c r="AL156" s="67">
        <f ca="1">IF(LOWER(Capacity!$V61)="x",IF(AND(SUMIF(Capacity_Resource,$D156,'Critical resources (hide)'!AY$6:AY$105)+SUMIF(Capacity_Resource,$E156,'Critical resources (hide)'!AY$6:AY$105)+SUMIF(Capacity_Resource,$F156,'Critical resources (hide)'!AY$6:AY$105)&gt;0,$E$1=2),0,1),0)</f>
        <v>1</v>
      </c>
      <c r="AM156" s="67">
        <f ca="1">IF(LOWER(Capacity!$V61)="x",IF(AND(SUMIF(Capacity_Resource,$D156,'Critical resources (hide)'!AZ$6:AZ$105)+SUMIF(Capacity_Resource,$E156,'Critical resources (hide)'!AZ$6:AZ$105)+SUMIF(Capacity_Resource,$F156,'Critical resources (hide)'!AZ$6:AZ$105)&gt;0,$E$1=2),0,1),0)</f>
        <v>1</v>
      </c>
      <c r="AN156" s="67">
        <f ca="1">IF(LOWER(Capacity!$V61)="x",IF(AND(SUMIF(Capacity_Resource,$D156,'Critical resources (hide)'!BA$6:BA$105)+SUMIF(Capacity_Resource,$E156,'Critical resources (hide)'!BA$6:BA$105)+SUMIF(Capacity_Resource,$F156,'Critical resources (hide)'!BA$6:BA$105)&gt;0,$E$1=2),0,1),0)</f>
        <v>1</v>
      </c>
      <c r="AO156" s="67">
        <f ca="1">IF(LOWER(Capacity!$V61)="x",IF(AND(SUMIF(Capacity_Resource,$D156,'Critical resources (hide)'!BB$6:BB$105)+SUMIF(Capacity_Resource,$E156,'Critical resources (hide)'!BB$6:BB$105)+SUMIF(Capacity_Resource,$F156,'Critical resources (hide)'!BB$6:BB$105)&gt;0,$E$1=2),0,1),0)</f>
        <v>1</v>
      </c>
      <c r="AP156" s="67">
        <f ca="1">IF(LOWER(Capacity!$V61)="x",IF(AND(SUMIF(Capacity_Resource,$D156,'Critical resources (hide)'!BC$6:BC$105)+SUMIF(Capacity_Resource,$E156,'Critical resources (hide)'!BC$6:BC$105)+SUMIF(Capacity_Resource,$F156,'Critical resources (hide)'!BC$6:BC$105)&gt;0,$E$1=2),0,1),0)</f>
        <v>1</v>
      </c>
      <c r="AQ156" s="67">
        <f ca="1">IF(LOWER(Capacity!$V61)="x",IF(AND(SUMIF(Capacity_Resource,$D156,'Critical resources (hide)'!BD$6:BD$105)+SUMIF(Capacity_Resource,$E156,'Critical resources (hide)'!BD$6:BD$105)+SUMIF(Capacity_Resource,$F156,'Critical resources (hide)'!BD$6:BD$105)&gt;0,$E$1=2),0,1),0)</f>
        <v>1</v>
      </c>
      <c r="AR156" s="67">
        <f ca="1">IF(LOWER(Capacity!$V61)="x",IF(AND(SUMIF(Capacity_Resource,$D156,'Critical resources (hide)'!BE$6:BE$105)+SUMIF(Capacity_Resource,$E156,'Critical resources (hide)'!BE$6:BE$105)+SUMIF(Capacity_Resource,$F156,'Critical resources (hide)'!BE$6:BE$105)&gt;0,$E$1=2),0,1),0)</f>
        <v>1</v>
      </c>
      <c r="AS156" s="67">
        <f ca="1">IF(LOWER(Capacity!$V61)="x",IF(AND(SUMIF(Capacity_Resource,$D156,'Critical resources (hide)'!BF$6:BF$105)+SUMIF(Capacity_Resource,$E156,'Critical resources (hide)'!BF$6:BF$105)+SUMIF(Capacity_Resource,$F156,'Critical resources (hide)'!BF$6:BF$105)&gt;0,$E$1=2),0,1),0)</f>
        <v>1</v>
      </c>
      <c r="AT156" s="67">
        <f ca="1">IF(LOWER(Capacity!$V61)="x",IF(AND(SUMIF(Capacity_Resource,$D156,'Critical resources (hide)'!BG$6:BG$105)+SUMIF(Capacity_Resource,$E156,'Critical resources (hide)'!BG$6:BG$105)+SUMIF(Capacity_Resource,$F156,'Critical resources (hide)'!BG$6:BG$105)&gt;0,$E$1=2),0,1),0)</f>
        <v>1</v>
      </c>
      <c r="AU156" s="67">
        <f ca="1">IF(LOWER(Capacity!$V61)="x",IF(AND(SUMIF(Capacity_Resource,$D156,'Critical resources (hide)'!BH$6:BH$105)+SUMIF(Capacity_Resource,$E156,'Critical resources (hide)'!BH$6:BH$105)+SUMIF(Capacity_Resource,$F156,'Critical resources (hide)'!BH$6:BH$105)&gt;0,$E$1=2),0,1),0)</f>
        <v>1</v>
      </c>
      <c r="AV156" s="67">
        <f ca="1">IF(LOWER(Capacity!$V61)="x",IF(AND(SUMIF(Capacity_Resource,$D156,'Critical resources (hide)'!BI$6:BI$105)+SUMIF(Capacity_Resource,$E156,'Critical resources (hide)'!BI$6:BI$105)+SUMIF(Capacity_Resource,$F156,'Critical resources (hide)'!BI$6:BI$105)&gt;0,$E$1=2),0,1),0)</f>
        <v>1</v>
      </c>
      <c r="AW156" s="67">
        <f ca="1">IF(LOWER(Capacity!$V61)="x",IF(AND(SUMIF(Capacity_Resource,$D156,'Critical resources (hide)'!BJ$6:BJ$105)+SUMIF(Capacity_Resource,$E156,'Critical resources (hide)'!BJ$6:BJ$105)+SUMIF(Capacity_Resource,$F156,'Critical resources (hide)'!BJ$6:BJ$105)&gt;0,$E$1=2),0,1),0)</f>
        <v>1</v>
      </c>
      <c r="AX156" s="67">
        <f ca="1">IF(LOWER(Capacity!$V61)="x",IF(AND(SUMIF(Capacity_Resource,$D156,'Critical resources (hide)'!BK$6:BK$105)+SUMIF(Capacity_Resource,$E156,'Critical resources (hide)'!BK$6:BK$105)+SUMIF(Capacity_Resource,$F156,'Critical resources (hide)'!BK$6:BK$105)&gt;0,$E$1=2),0,1),0)</f>
        <v>1</v>
      </c>
      <c r="AY156" s="67">
        <f ca="1">IF(LOWER(Capacity!$V61)="x",IF(AND(SUMIF(Capacity_Resource,$D156,'Critical resources (hide)'!BL$6:BL$105)+SUMIF(Capacity_Resource,$E156,'Critical resources (hide)'!BL$6:BL$105)+SUMIF(Capacity_Resource,$F156,'Critical resources (hide)'!BL$6:BL$105)&gt;0,$E$1=2),0,1),0)</f>
        <v>1</v>
      </c>
      <c r="AZ156" s="67">
        <f ca="1">IF(LOWER(Capacity!$V61)="x",IF(AND(SUMIF(Capacity_Resource,$D156,'Critical resources (hide)'!BM$6:BM$105)+SUMIF(Capacity_Resource,$E156,'Critical resources (hide)'!BM$6:BM$105)+SUMIF(Capacity_Resource,$F156,'Critical resources (hide)'!BM$6:BM$105)&gt;0,$E$1=2),0,1),0)</f>
        <v>1</v>
      </c>
      <c r="BA156" s="67">
        <f ca="1">IF(LOWER(Capacity!$V61)="x",IF(AND(SUMIF(Capacity_Resource,$D156,'Critical resources (hide)'!BN$6:BN$105)+SUMIF(Capacity_Resource,$E156,'Critical resources (hide)'!BN$6:BN$105)+SUMIF(Capacity_Resource,$F156,'Critical resources (hide)'!BN$6:BN$105)&gt;0,$E$1=2),0,1),0)</f>
        <v>1</v>
      </c>
      <c r="BB156" s="67">
        <f ca="1">IF(LOWER(Capacity!$V61)="x",IF(AND(SUMIF(Capacity_Resource,$D156,'Critical resources (hide)'!BO$6:BO$105)+SUMIF(Capacity_Resource,$E156,'Critical resources (hide)'!BO$6:BO$105)+SUMIF(Capacity_Resource,$F156,'Critical resources (hide)'!BO$6:BO$105)&gt;0,$E$1=2),0,1),0)</f>
        <v>1</v>
      </c>
      <c r="BC156" s="67">
        <f ca="1">IF(LOWER(Capacity!$V61)="x",IF(AND(SUMIF(Capacity_Resource,$D156,'Critical resources (hide)'!BP$6:BP$105)+SUMIF(Capacity_Resource,$E156,'Critical resources (hide)'!BP$6:BP$105)+SUMIF(Capacity_Resource,$F156,'Critical resources (hide)'!BP$6:BP$105)&gt;0,$E$1=2),0,1),0)</f>
        <v>1</v>
      </c>
      <c r="BD156" s="67">
        <f ca="1">IF(LOWER(Capacity!$V61)="x",IF(AND(SUMIF(Capacity_Resource,$D156,'Critical resources (hide)'!BQ$6:BQ$105)+SUMIF(Capacity_Resource,$E156,'Critical resources (hide)'!BQ$6:BQ$105)+SUMIF(Capacity_Resource,$F156,'Critical resources (hide)'!BQ$6:BQ$105)&gt;0,$E$1=2),0,1),0)</f>
        <v>1</v>
      </c>
      <c r="BE156" s="67">
        <f ca="1">IF(LOWER(Capacity!$V61)="x",IF(AND(SUMIF(Capacity_Resource,$D156,'Critical resources (hide)'!BR$6:BR$105)+SUMIF(Capacity_Resource,$E156,'Critical resources (hide)'!BR$6:BR$105)+SUMIF(Capacity_Resource,$F156,'Critical resources (hide)'!BR$6:BR$105)&gt;0,$E$1=2),0,1),0)</f>
        <v>1</v>
      </c>
      <c r="BF156" s="67">
        <f ca="1">IF(LOWER(Capacity!$V61)="x",IF(AND(SUMIF(Capacity_Resource,$D156,'Critical resources (hide)'!BS$6:BS$105)+SUMIF(Capacity_Resource,$E156,'Critical resources (hide)'!BS$6:BS$105)+SUMIF(Capacity_Resource,$F156,'Critical resources (hide)'!BS$6:BS$105)&gt;0,$E$1=2),0,1),0)</f>
        <v>1</v>
      </c>
      <c r="BG156" s="67">
        <f ca="1">IF(LOWER(Capacity!$V61)="x",IF(AND(SUMIF(Capacity_Resource,$D156,'Critical resources (hide)'!BT$6:BT$105)+SUMIF(Capacity_Resource,$E156,'Critical resources (hide)'!BT$6:BT$105)+SUMIF(Capacity_Resource,$F156,'Critical resources (hide)'!BT$6:BT$105)&gt;0,$E$1=2),0,1),0)</f>
        <v>1</v>
      </c>
      <c r="BH156" s="67">
        <f>IF(ROW(A45)&lt;=Capacity!$M$16,IF('Capacity summary'!$C$14="No",SUM(H156:BG156),'Capacity summary'!$E68),0)</f>
        <v>0</v>
      </c>
      <c r="BI156" s="67" t="str">
        <f>IF(BH156&gt;0,IF(BH156&lt;Capacity!Q61,Capacity!R61,Capacity!T61/'Capacity calculation (hide)'!BH156),"")</f>
        <v/>
      </c>
      <c r="BJ156" s="5"/>
      <c r="BK156" s="5">
        <f>IF($BI156&lt;&gt;"",IF('Capacity summary'!$C$14="Yes",IF(COUNTBLANK('Capacity summary'!$H68:$BG68)&lt;52,IF('Capacity summary'!H68&lt;&gt;"",IF(LOWER('Capacity summary'!H68)="x",$BI156*H156,VALUE('Capacity summary'!H68)),0),H156*$BI156),H156*$BI156),0)</f>
        <v>0</v>
      </c>
      <c r="BL156" s="5">
        <f>IF($BI156&lt;&gt;"",IF('Capacity summary'!$C$14="Yes",IF(COUNTBLANK('Capacity summary'!$H68:$BG68)&lt;52,IF('Capacity summary'!I68&lt;&gt;"",IF(LOWER('Capacity summary'!I68)="x",$BI156*I156,VALUE('Capacity summary'!I68)),0),I156*$BI156),I156*$BI156),0)</f>
        <v>0</v>
      </c>
      <c r="BM156" s="5">
        <f>IF($BI156&lt;&gt;"",IF('Capacity summary'!$C$14="Yes",IF(COUNTBLANK('Capacity summary'!$H68:$BG68)&lt;52,IF('Capacity summary'!J68&lt;&gt;"",IF(LOWER('Capacity summary'!J68)="x",$BI156*J156,VALUE('Capacity summary'!J68)),0),J156*$BI156),J156*$BI156),0)</f>
        <v>0</v>
      </c>
      <c r="BN156" s="5">
        <f>IF($BI156&lt;&gt;"",IF('Capacity summary'!$C$14="Yes",IF(COUNTBLANK('Capacity summary'!$H68:$BG68)&lt;52,IF('Capacity summary'!K68&lt;&gt;"",IF(LOWER('Capacity summary'!K68)="x",$BI156*K156,VALUE('Capacity summary'!K68)),0),K156*$BI156),K156*$BI156),0)</f>
        <v>0</v>
      </c>
      <c r="BO156" s="5">
        <f>IF($BI156&lt;&gt;"",IF('Capacity summary'!$C$14="Yes",IF(COUNTBLANK('Capacity summary'!$H68:$BG68)&lt;52,IF('Capacity summary'!L68&lt;&gt;"",IF(LOWER('Capacity summary'!L68)="x",$BI156*L156,VALUE('Capacity summary'!L68)),0),L156*$BI156),L156*$BI156),0)</f>
        <v>0</v>
      </c>
      <c r="BP156" s="5">
        <f>IF($BI156&lt;&gt;"",IF('Capacity summary'!$C$14="Yes",IF(COUNTBLANK('Capacity summary'!$H68:$BG68)&lt;52,IF('Capacity summary'!M68&lt;&gt;"",IF(LOWER('Capacity summary'!M68)="x",$BI156*M156,VALUE('Capacity summary'!M68)),0),M156*$BI156),M156*$BI156),0)</f>
        <v>0</v>
      </c>
      <c r="BQ156" s="5">
        <f>IF($BI156&lt;&gt;"",IF('Capacity summary'!$C$14="Yes",IF(COUNTBLANK('Capacity summary'!$H68:$BG68)&lt;52,IF('Capacity summary'!N68&lt;&gt;"",IF(LOWER('Capacity summary'!N68)="x",$BI156*N156,VALUE('Capacity summary'!N68)),0),N156*$BI156),N156*$BI156),0)</f>
        <v>0</v>
      </c>
      <c r="BR156" s="5">
        <f>IF($BI156&lt;&gt;"",IF('Capacity summary'!$C$14="Yes",IF(COUNTBLANK('Capacity summary'!$H68:$BG68)&lt;52,IF('Capacity summary'!O68&lt;&gt;"",IF(LOWER('Capacity summary'!O68)="x",$BI156*O156,VALUE('Capacity summary'!O68)),0),O156*$BI156),O156*$BI156),0)</f>
        <v>0</v>
      </c>
      <c r="BS156" s="5">
        <f>IF($BI156&lt;&gt;"",IF('Capacity summary'!$C$14="Yes",IF(COUNTBLANK('Capacity summary'!$H68:$BG68)&lt;52,IF('Capacity summary'!P68&lt;&gt;"",IF(LOWER('Capacity summary'!P68)="x",$BI156*P156,VALUE('Capacity summary'!P68)),0),P156*$BI156),P156*$BI156),0)</f>
        <v>0</v>
      </c>
      <c r="BT156" s="5">
        <f>IF($BI156&lt;&gt;"",IF('Capacity summary'!$C$14="Yes",IF(COUNTBLANK('Capacity summary'!$H68:$BG68)&lt;52,IF('Capacity summary'!Q68&lt;&gt;"",IF(LOWER('Capacity summary'!Q68)="x",$BI156*Q156,VALUE('Capacity summary'!Q68)),0),Q156*$BI156),Q156*$BI156),0)</f>
        <v>0</v>
      </c>
      <c r="BU156" s="5">
        <f>IF($BI156&lt;&gt;"",IF('Capacity summary'!$C$14="Yes",IF(COUNTBLANK('Capacity summary'!$H68:$BG68)&lt;52,IF('Capacity summary'!R68&lt;&gt;"",IF(LOWER('Capacity summary'!R68)="x",$BI156*R156,VALUE('Capacity summary'!R68)),0),R156*$BI156),R156*$BI156),0)</f>
        <v>0</v>
      </c>
      <c r="BV156" s="5">
        <f>IF($BI156&lt;&gt;"",IF('Capacity summary'!$C$14="Yes",IF(COUNTBLANK('Capacity summary'!$H68:$BG68)&lt;52,IF('Capacity summary'!S68&lt;&gt;"",IF(LOWER('Capacity summary'!S68)="x",$BI156*S156,VALUE('Capacity summary'!S68)),0),S156*$BI156),S156*$BI156),0)</f>
        <v>0</v>
      </c>
      <c r="BW156" s="5">
        <f>IF($BI156&lt;&gt;"",IF('Capacity summary'!$C$14="Yes",IF(COUNTBLANK('Capacity summary'!$H68:$BG68)&lt;52,IF('Capacity summary'!T68&lt;&gt;"",IF(LOWER('Capacity summary'!T68)="x",$BI156*T156,VALUE('Capacity summary'!T68)),0),T156*$BI156),T156*$BI156),0)</f>
        <v>0</v>
      </c>
      <c r="BX156" s="5">
        <f>IF($BI156&lt;&gt;"",IF('Capacity summary'!$C$14="Yes",IF(COUNTBLANK('Capacity summary'!$H68:$BG68)&lt;52,IF('Capacity summary'!U68&lt;&gt;"",IF(LOWER('Capacity summary'!U68)="x",$BI156*U156,VALUE('Capacity summary'!U68)),0),U156*$BI156),U156*$BI156),0)</f>
        <v>0</v>
      </c>
      <c r="BY156" s="5">
        <f>IF($BI156&lt;&gt;"",IF('Capacity summary'!$C$14="Yes",IF(COUNTBLANK('Capacity summary'!$H68:$BG68)&lt;52,IF('Capacity summary'!V68&lt;&gt;"",IF(LOWER('Capacity summary'!V68)="x",$BI156*V156,VALUE('Capacity summary'!V68)),0),V156*$BI156),V156*$BI156),0)</f>
        <v>0</v>
      </c>
      <c r="BZ156" s="5">
        <f>IF($BI156&lt;&gt;"",IF('Capacity summary'!$C$14="Yes",IF(COUNTBLANK('Capacity summary'!$H68:$BG68)&lt;52,IF('Capacity summary'!W68&lt;&gt;"",IF(LOWER('Capacity summary'!W68)="x",$BI156*W156,VALUE('Capacity summary'!W68)),0),W156*$BI156),W156*$BI156),0)</f>
        <v>0</v>
      </c>
      <c r="CA156" s="5">
        <f>IF($BI156&lt;&gt;"",IF('Capacity summary'!$C$14="Yes",IF(COUNTBLANK('Capacity summary'!$H68:$BG68)&lt;52,IF('Capacity summary'!X68&lt;&gt;"",IF(LOWER('Capacity summary'!X68)="x",$BI156*X156,VALUE('Capacity summary'!X68)),0),X156*$BI156),X156*$BI156),0)</f>
        <v>0</v>
      </c>
      <c r="CB156" s="5">
        <f>IF($BI156&lt;&gt;"",IF('Capacity summary'!$C$14="Yes",IF(COUNTBLANK('Capacity summary'!$H68:$BG68)&lt;52,IF('Capacity summary'!Y68&lt;&gt;"",IF(LOWER('Capacity summary'!Y68)="x",$BI156*Y156,VALUE('Capacity summary'!Y68)),0),Y156*$BI156),Y156*$BI156),0)</f>
        <v>0</v>
      </c>
      <c r="CC156" s="5">
        <f>IF($BI156&lt;&gt;"",IF('Capacity summary'!$C$14="Yes",IF(COUNTBLANK('Capacity summary'!$H68:$BG68)&lt;52,IF('Capacity summary'!Z68&lt;&gt;"",IF(LOWER('Capacity summary'!Z68)="x",$BI156*Z156,VALUE('Capacity summary'!Z68)),0),Z156*$BI156),Z156*$BI156),0)</f>
        <v>0</v>
      </c>
      <c r="CD156" s="5">
        <f>IF($BI156&lt;&gt;"",IF('Capacity summary'!$C$14="Yes",IF(COUNTBLANK('Capacity summary'!$H68:$BG68)&lt;52,IF('Capacity summary'!AA68&lt;&gt;"",IF(LOWER('Capacity summary'!AA68)="x",$BI156*AA156,VALUE('Capacity summary'!AA68)),0),AA156*$BI156),AA156*$BI156),0)</f>
        <v>0</v>
      </c>
      <c r="CE156" s="5">
        <f>IF($BI156&lt;&gt;"",IF('Capacity summary'!$C$14="Yes",IF(COUNTBLANK('Capacity summary'!$H68:$BG68)&lt;52,IF('Capacity summary'!AB68&lt;&gt;"",IF(LOWER('Capacity summary'!AB68)="x",$BI156*AB156,VALUE('Capacity summary'!AB68)),0),AB156*$BI156),AB156*$BI156),0)</f>
        <v>0</v>
      </c>
      <c r="CF156" s="5">
        <f>IF($BI156&lt;&gt;"",IF('Capacity summary'!$C$14="Yes",IF(COUNTBLANK('Capacity summary'!$H68:$BG68)&lt;52,IF('Capacity summary'!AC68&lt;&gt;"",IF(LOWER('Capacity summary'!AC68)="x",$BI156*AC156,VALUE('Capacity summary'!AC68)),0),AC156*$BI156),AC156*$BI156),0)</f>
        <v>0</v>
      </c>
      <c r="CG156" s="5">
        <f>IF($BI156&lt;&gt;"",IF('Capacity summary'!$C$14="Yes",IF(COUNTBLANK('Capacity summary'!$H68:$BG68)&lt;52,IF('Capacity summary'!AD68&lt;&gt;"",IF(LOWER('Capacity summary'!AD68)="x",$BI156*AD156,VALUE('Capacity summary'!AD68)),0),AD156*$BI156),AD156*$BI156),0)</f>
        <v>0</v>
      </c>
      <c r="CH156" s="5">
        <f>IF($BI156&lt;&gt;"",IF('Capacity summary'!$C$14="Yes",IF(COUNTBLANK('Capacity summary'!$H68:$BG68)&lt;52,IF('Capacity summary'!AE68&lt;&gt;"",IF(LOWER('Capacity summary'!AE68)="x",$BI156*AE156,VALUE('Capacity summary'!AE68)),0),AE156*$BI156),AE156*$BI156),0)</f>
        <v>0</v>
      </c>
      <c r="CI156" s="5">
        <f>IF($BI156&lt;&gt;"",IF('Capacity summary'!$C$14="Yes",IF(COUNTBLANK('Capacity summary'!$H68:$BG68)&lt;52,IF('Capacity summary'!AF68&lt;&gt;"",IF(LOWER('Capacity summary'!AF68)="x",$BI156*AF156,VALUE('Capacity summary'!AF68)),0),AF156*$BI156),AF156*$BI156),0)</f>
        <v>0</v>
      </c>
      <c r="CJ156" s="5">
        <f>IF($BI156&lt;&gt;"",IF('Capacity summary'!$C$14="Yes",IF(COUNTBLANK('Capacity summary'!$H68:$BG68)&lt;52,IF('Capacity summary'!AG68&lt;&gt;"",IF(LOWER('Capacity summary'!AG68)="x",$BI156*AG156,VALUE('Capacity summary'!AG68)),0),AG156*$BI156),AG156*$BI156),0)</f>
        <v>0</v>
      </c>
      <c r="CK156" s="5">
        <f>IF($BI156&lt;&gt;"",IF('Capacity summary'!$C$14="Yes",IF(COUNTBLANK('Capacity summary'!$H68:$BG68)&lt;52,IF('Capacity summary'!AH68&lt;&gt;"",IF(LOWER('Capacity summary'!AH68)="x",$BI156*AH156,VALUE('Capacity summary'!AH68)),0),AH156*$BI156),AH156*$BI156),0)</f>
        <v>0</v>
      </c>
      <c r="CL156" s="5">
        <f>IF($BI156&lt;&gt;"",IF('Capacity summary'!$C$14="Yes",IF(COUNTBLANK('Capacity summary'!$H68:$BG68)&lt;52,IF('Capacity summary'!AI68&lt;&gt;"",IF(LOWER('Capacity summary'!AI68)="x",$BI156*AI156,VALUE('Capacity summary'!AI68)),0),AI156*$BI156),AI156*$BI156),0)</f>
        <v>0</v>
      </c>
      <c r="CM156" s="5">
        <f>IF($BI156&lt;&gt;"",IF('Capacity summary'!$C$14="Yes",IF(COUNTBLANK('Capacity summary'!$H68:$BG68)&lt;52,IF('Capacity summary'!AJ68&lt;&gt;"",IF(LOWER('Capacity summary'!AJ68)="x",$BI156*AJ156,VALUE('Capacity summary'!AJ68)),0),AJ156*$BI156),AJ156*$BI156),0)</f>
        <v>0</v>
      </c>
      <c r="CN156" s="5">
        <f>IF($BI156&lt;&gt;"",IF('Capacity summary'!$C$14="Yes",IF(COUNTBLANK('Capacity summary'!$H68:$BG68)&lt;52,IF('Capacity summary'!AK68&lt;&gt;"",IF(LOWER('Capacity summary'!AK68)="x",$BI156*AK156,VALUE('Capacity summary'!AK68)),0),AK156*$BI156),AK156*$BI156),0)</f>
        <v>0</v>
      </c>
      <c r="CO156" s="5">
        <f>IF($BI156&lt;&gt;"",IF('Capacity summary'!$C$14="Yes",IF(COUNTBLANK('Capacity summary'!$H68:$BG68)&lt;52,IF('Capacity summary'!AL68&lt;&gt;"",IF(LOWER('Capacity summary'!AL68)="x",$BI156*AL156,VALUE('Capacity summary'!AL68)),0),AL156*$BI156),AL156*$BI156),0)</f>
        <v>0</v>
      </c>
      <c r="CP156" s="5">
        <f>IF($BI156&lt;&gt;"",IF('Capacity summary'!$C$14="Yes",IF(COUNTBLANK('Capacity summary'!$H68:$BG68)&lt;52,IF('Capacity summary'!AM68&lt;&gt;"",IF(LOWER('Capacity summary'!AM68)="x",$BI156*AM156,VALUE('Capacity summary'!AM68)),0),AM156*$BI156),AM156*$BI156),0)</f>
        <v>0</v>
      </c>
      <c r="CQ156" s="5">
        <f>IF($BI156&lt;&gt;"",IF('Capacity summary'!$C$14="Yes",IF(COUNTBLANK('Capacity summary'!$H68:$BG68)&lt;52,IF('Capacity summary'!AN68&lt;&gt;"",IF(LOWER('Capacity summary'!AN68)="x",$BI156*AN156,VALUE('Capacity summary'!AN68)),0),AN156*$BI156),AN156*$BI156),0)</f>
        <v>0</v>
      </c>
      <c r="CR156" s="5">
        <f>IF($BI156&lt;&gt;"",IF('Capacity summary'!$C$14="Yes",IF(COUNTBLANK('Capacity summary'!$H68:$BG68)&lt;52,IF('Capacity summary'!AO68&lt;&gt;"",IF(LOWER('Capacity summary'!AO68)="x",$BI156*AO156,VALUE('Capacity summary'!AO68)),0),AO156*$BI156),AO156*$BI156),0)</f>
        <v>0</v>
      </c>
      <c r="CS156" s="5">
        <f>IF($BI156&lt;&gt;"",IF('Capacity summary'!$C$14="Yes",IF(COUNTBLANK('Capacity summary'!$H68:$BG68)&lt;52,IF('Capacity summary'!AP68&lt;&gt;"",IF(LOWER('Capacity summary'!AP68)="x",$BI156*AP156,VALUE('Capacity summary'!AP68)),0),AP156*$BI156),AP156*$BI156),0)</f>
        <v>0</v>
      </c>
      <c r="CT156" s="5">
        <f>IF($BI156&lt;&gt;"",IF('Capacity summary'!$C$14="Yes",IF(COUNTBLANK('Capacity summary'!$H68:$BG68)&lt;52,IF('Capacity summary'!AQ68&lt;&gt;"",IF(LOWER('Capacity summary'!AQ68)="x",$BI156*AQ156,VALUE('Capacity summary'!AQ68)),0),AQ156*$BI156),AQ156*$BI156),0)</f>
        <v>0</v>
      </c>
      <c r="CU156" s="5">
        <f>IF($BI156&lt;&gt;"",IF('Capacity summary'!$C$14="Yes",IF(COUNTBLANK('Capacity summary'!$H68:$BG68)&lt;52,IF('Capacity summary'!AR68&lt;&gt;"",IF(LOWER('Capacity summary'!AR68)="x",$BI156*AR156,VALUE('Capacity summary'!AR68)),0),AR156*$BI156),AR156*$BI156),0)</f>
        <v>0</v>
      </c>
      <c r="CV156" s="5">
        <f>IF($BI156&lt;&gt;"",IF('Capacity summary'!$C$14="Yes",IF(COUNTBLANK('Capacity summary'!$H68:$BG68)&lt;52,IF('Capacity summary'!AS68&lt;&gt;"",IF(LOWER('Capacity summary'!AS68)="x",$BI156*AS156,VALUE('Capacity summary'!AS68)),0),AS156*$BI156),AS156*$BI156),0)</f>
        <v>0</v>
      </c>
      <c r="CW156" s="5">
        <f>IF($BI156&lt;&gt;"",IF('Capacity summary'!$C$14="Yes",IF(COUNTBLANK('Capacity summary'!$H68:$BG68)&lt;52,IF('Capacity summary'!AT68&lt;&gt;"",IF(LOWER('Capacity summary'!AT68)="x",$BI156*AT156,VALUE('Capacity summary'!AT68)),0),AT156*$BI156),AT156*$BI156),0)</f>
        <v>0</v>
      </c>
      <c r="CX156" s="5">
        <f>IF($BI156&lt;&gt;"",IF('Capacity summary'!$C$14="Yes",IF(COUNTBLANK('Capacity summary'!$H68:$BG68)&lt;52,IF('Capacity summary'!AU68&lt;&gt;"",IF(LOWER('Capacity summary'!AU68)="x",$BI156*AU156,VALUE('Capacity summary'!AU68)),0),AU156*$BI156),AU156*$BI156),0)</f>
        <v>0</v>
      </c>
      <c r="CY156" s="5">
        <f>IF($BI156&lt;&gt;"",IF('Capacity summary'!$C$14="Yes",IF(COUNTBLANK('Capacity summary'!$H68:$BG68)&lt;52,IF('Capacity summary'!AV68&lt;&gt;"",IF(LOWER('Capacity summary'!AV68)="x",$BI156*AV156,VALUE('Capacity summary'!AV68)),0),AV156*$BI156),AV156*$BI156),0)</f>
        <v>0</v>
      </c>
      <c r="CZ156" s="5">
        <f>IF($BI156&lt;&gt;"",IF('Capacity summary'!$C$14="Yes",IF(COUNTBLANK('Capacity summary'!$H68:$BG68)&lt;52,IF('Capacity summary'!AW68&lt;&gt;"",IF(LOWER('Capacity summary'!AW68)="x",$BI156*AW156,VALUE('Capacity summary'!AW68)),0),AW156*$BI156),AW156*$BI156),0)</f>
        <v>0</v>
      </c>
      <c r="DA156" s="5">
        <f>IF($BI156&lt;&gt;"",IF('Capacity summary'!$C$14="Yes",IF(COUNTBLANK('Capacity summary'!$H68:$BG68)&lt;52,IF('Capacity summary'!AX68&lt;&gt;"",IF(LOWER('Capacity summary'!AX68)="x",$BI156*AX156,VALUE('Capacity summary'!AX68)),0),AX156*$BI156),AX156*$BI156),0)</f>
        <v>0</v>
      </c>
      <c r="DB156" s="5">
        <f>IF($BI156&lt;&gt;"",IF('Capacity summary'!$C$14="Yes",IF(COUNTBLANK('Capacity summary'!$H68:$BG68)&lt;52,IF('Capacity summary'!AY68&lt;&gt;"",IF(LOWER('Capacity summary'!AY68)="x",$BI156*AY156,VALUE('Capacity summary'!AY68)),0),AY156*$BI156),AY156*$BI156),0)</f>
        <v>0</v>
      </c>
      <c r="DC156" s="5">
        <f>IF($BI156&lt;&gt;"",IF('Capacity summary'!$C$14="Yes",IF(COUNTBLANK('Capacity summary'!$H68:$BG68)&lt;52,IF('Capacity summary'!AZ68&lt;&gt;"",IF(LOWER('Capacity summary'!AZ68)="x",$BI156*AZ156,VALUE('Capacity summary'!AZ68)),0),AZ156*$BI156),AZ156*$BI156),0)</f>
        <v>0</v>
      </c>
      <c r="DD156" s="5">
        <f>IF($BI156&lt;&gt;"",IF('Capacity summary'!$C$14="Yes",IF(COUNTBLANK('Capacity summary'!$H68:$BG68)&lt;52,IF('Capacity summary'!BA68&lt;&gt;"",IF(LOWER('Capacity summary'!BA68)="x",$BI156*BA156,VALUE('Capacity summary'!BA68)),0),BA156*$BI156),BA156*$BI156),0)</f>
        <v>0</v>
      </c>
      <c r="DE156" s="5">
        <f>IF($BI156&lt;&gt;"",IF('Capacity summary'!$C$14="Yes",IF(COUNTBLANK('Capacity summary'!$H68:$BG68)&lt;52,IF('Capacity summary'!BB68&lt;&gt;"",IF(LOWER('Capacity summary'!BB68)="x",$BI156*BB156,VALUE('Capacity summary'!BB68)),0),BB156*$BI156),BB156*$BI156),0)</f>
        <v>0</v>
      </c>
      <c r="DF156" s="5">
        <f>IF($BI156&lt;&gt;"",IF('Capacity summary'!$C$14="Yes",IF(COUNTBLANK('Capacity summary'!$H68:$BG68)&lt;52,IF('Capacity summary'!BC68&lt;&gt;"",IF(LOWER('Capacity summary'!BC68)="x",$BI156*BC156,VALUE('Capacity summary'!BC68)),0),BC156*$BI156),BC156*$BI156),0)</f>
        <v>0</v>
      </c>
      <c r="DG156" s="5">
        <f>IF($BI156&lt;&gt;"",IF('Capacity summary'!$C$14="Yes",IF(COUNTBLANK('Capacity summary'!$H68:$BG68)&lt;52,IF('Capacity summary'!BD68&lt;&gt;"",IF(LOWER('Capacity summary'!BD68)="x",$BI156*BD156,VALUE('Capacity summary'!BD68)),0),BD156*$BI156),BD156*$BI156),0)</f>
        <v>0</v>
      </c>
      <c r="DH156" s="5">
        <f>IF($BI156&lt;&gt;"",IF('Capacity summary'!$C$14="Yes",IF(COUNTBLANK('Capacity summary'!$H68:$BG68)&lt;52,IF('Capacity summary'!BE68&lt;&gt;"",IF(LOWER('Capacity summary'!BE68)="x",$BI156*BE156,VALUE('Capacity summary'!BE68)),0),BE156*$BI156),BE156*$BI156),0)</f>
        <v>0</v>
      </c>
      <c r="DI156" s="5">
        <f>IF($BI156&lt;&gt;"",IF('Capacity summary'!$C$14="Yes",IF(COUNTBLANK('Capacity summary'!$H68:$BG68)&lt;52,IF('Capacity summary'!BF68&lt;&gt;"",IF(LOWER('Capacity summary'!BF68)="x",$BI156*BF156,VALUE('Capacity summary'!BF68)),0),BF156*$BI156),BF156*$BI156),0)</f>
        <v>0</v>
      </c>
      <c r="DJ156" s="5">
        <f>IF($BI156&lt;&gt;"",IF('Capacity summary'!$C$14="Yes",IF(COUNTBLANK('Capacity summary'!$H68:$BG68)&lt;52,IF('Capacity summary'!BG68&lt;&gt;"",IF(LOWER('Capacity summary'!BG68)="x",$BI156*BG156,VALUE('Capacity summary'!BG68)),0),BG156*$BI156),BG156*$BI156),0)</f>
        <v>0</v>
      </c>
      <c r="DK156" s="391">
        <f t="shared" si="8"/>
        <v>0</v>
      </c>
      <c r="DL156" s="5">
        <f t="shared" si="9"/>
        <v>0</v>
      </c>
    </row>
    <row r="157" spans="3:116" x14ac:dyDescent="0.2">
      <c r="C157" s="67" t="str">
        <f>ROW(A46)&amp;". "&amp;Capacity!N62</f>
        <v xml:space="preserve">46. </v>
      </c>
      <c r="D157" s="67">
        <f>'Capacity setup'!C163</f>
        <v>0</v>
      </c>
      <c r="E157" s="67">
        <f>'Capacity setup'!D163</f>
        <v>0</v>
      </c>
      <c r="F157" s="67">
        <f>'Capacity setup'!E163</f>
        <v>0</v>
      </c>
      <c r="H157" s="67">
        <f ca="1">IF(LOWER(Capacity!$V62)="x",IF(AND(SUMIF(Capacity_Resource,$D157,'Critical resources (hide)'!U$6:U$105)+SUMIF(Capacity_Resource,$E157,'Critical resources (hide)'!U$6:U$105)+SUMIF(Capacity_Resource,$F157,'Critical resources (hide)'!U$6:U$105)&gt;0,$E$1=2),0,1),0)</f>
        <v>1</v>
      </c>
      <c r="I157" s="67">
        <f ca="1">IF(LOWER(Capacity!$V62)="x",IF(AND(SUMIF(Capacity_Resource,$D157,'Critical resources (hide)'!V$6:V$105)+SUMIF(Capacity_Resource,$E157,'Critical resources (hide)'!V$6:V$105)+SUMIF(Capacity_Resource,$F157,'Critical resources (hide)'!V$6:V$105)&gt;0,$E$1=2),0,1),0)</f>
        <v>1</v>
      </c>
      <c r="J157" s="67">
        <f ca="1">IF(LOWER(Capacity!$V62)="x",IF(AND(SUMIF(Capacity_Resource,$D157,'Critical resources (hide)'!W$6:W$105)+SUMIF(Capacity_Resource,$E157,'Critical resources (hide)'!W$6:W$105)+SUMIF(Capacity_Resource,$F157,'Critical resources (hide)'!W$6:W$105)&gt;0,$E$1=2),0,1),0)</f>
        <v>1</v>
      </c>
      <c r="K157" s="67">
        <f ca="1">IF(LOWER(Capacity!$V62)="x",IF(AND(SUMIF(Capacity_Resource,$D157,'Critical resources (hide)'!X$6:X$105)+SUMIF(Capacity_Resource,$E157,'Critical resources (hide)'!X$6:X$105)+SUMIF(Capacity_Resource,$F157,'Critical resources (hide)'!X$6:X$105)&gt;0,$E$1=2),0,1),0)</f>
        <v>1</v>
      </c>
      <c r="L157" s="67">
        <f ca="1">IF(LOWER(Capacity!$V62)="x",IF(AND(SUMIF(Capacity_Resource,$D157,'Critical resources (hide)'!Y$6:Y$105)+SUMIF(Capacity_Resource,$E157,'Critical resources (hide)'!Y$6:Y$105)+SUMIF(Capacity_Resource,$F157,'Critical resources (hide)'!Y$6:Y$105)&gt;0,$E$1=2),0,1),0)</f>
        <v>1</v>
      </c>
      <c r="M157" s="67">
        <f ca="1">IF(LOWER(Capacity!$V62)="x",IF(AND(SUMIF(Capacity_Resource,$D157,'Critical resources (hide)'!Z$6:Z$105)+SUMIF(Capacity_Resource,$E157,'Critical resources (hide)'!Z$6:Z$105)+SUMIF(Capacity_Resource,$F157,'Critical resources (hide)'!Z$6:Z$105)&gt;0,$E$1=2),0,1),0)</f>
        <v>1</v>
      </c>
      <c r="N157" s="67">
        <f ca="1">IF(LOWER(Capacity!$V62)="x",IF(AND(SUMIF(Capacity_Resource,$D157,'Critical resources (hide)'!AA$6:AA$105)+SUMIF(Capacity_Resource,$E157,'Critical resources (hide)'!AA$6:AA$105)+SUMIF(Capacity_Resource,$F157,'Critical resources (hide)'!AA$6:AA$105)&gt;0,$E$1=2),0,1),0)</f>
        <v>1</v>
      </c>
      <c r="O157" s="67">
        <f ca="1">IF(LOWER(Capacity!$V62)="x",IF(AND(SUMIF(Capacity_Resource,$D157,'Critical resources (hide)'!AB$6:AB$105)+SUMIF(Capacity_Resource,$E157,'Critical resources (hide)'!AB$6:AB$105)+SUMIF(Capacity_Resource,$F157,'Critical resources (hide)'!AB$6:AB$105)&gt;0,$E$1=2),0,1),0)</f>
        <v>1</v>
      </c>
      <c r="P157" s="67">
        <f ca="1">IF(LOWER(Capacity!$V62)="x",IF(AND(SUMIF(Capacity_Resource,$D157,'Critical resources (hide)'!AC$6:AC$105)+SUMIF(Capacity_Resource,$E157,'Critical resources (hide)'!AC$6:AC$105)+SUMIF(Capacity_Resource,$F157,'Critical resources (hide)'!AC$6:AC$105)&gt;0,$E$1=2),0,1),0)</f>
        <v>1</v>
      </c>
      <c r="Q157" s="67">
        <f ca="1">IF(LOWER(Capacity!$V62)="x",IF(AND(SUMIF(Capacity_Resource,$D157,'Critical resources (hide)'!AD$6:AD$105)+SUMIF(Capacity_Resource,$E157,'Critical resources (hide)'!AD$6:AD$105)+SUMIF(Capacity_Resource,$F157,'Critical resources (hide)'!AD$6:AD$105)&gt;0,$E$1=2),0,1),0)</f>
        <v>1</v>
      </c>
      <c r="R157" s="67">
        <f ca="1">IF(LOWER(Capacity!$V62)="x",IF(AND(SUMIF(Capacity_Resource,$D157,'Critical resources (hide)'!AE$6:AE$105)+SUMIF(Capacity_Resource,$E157,'Critical resources (hide)'!AE$6:AE$105)+SUMIF(Capacity_Resource,$F157,'Critical resources (hide)'!AE$6:AE$105)&gt;0,$E$1=2),0,1),0)</f>
        <v>1</v>
      </c>
      <c r="S157" s="67">
        <f ca="1">IF(LOWER(Capacity!$V62)="x",IF(AND(SUMIF(Capacity_Resource,$D157,'Critical resources (hide)'!AF$6:AF$105)+SUMIF(Capacity_Resource,$E157,'Critical resources (hide)'!AF$6:AF$105)+SUMIF(Capacity_Resource,$F157,'Critical resources (hide)'!AF$6:AF$105)&gt;0,$E$1=2),0,1),0)</f>
        <v>1</v>
      </c>
      <c r="T157" s="67">
        <f ca="1">IF(LOWER(Capacity!$V62)="x",IF(AND(SUMIF(Capacity_Resource,$D157,'Critical resources (hide)'!AG$6:AG$105)+SUMIF(Capacity_Resource,$E157,'Critical resources (hide)'!AG$6:AG$105)+SUMIF(Capacity_Resource,$F157,'Critical resources (hide)'!AG$6:AG$105)&gt;0,$E$1=2),0,1),0)</f>
        <v>1</v>
      </c>
      <c r="U157" s="67">
        <f ca="1">IF(LOWER(Capacity!$V62)="x",IF(AND(SUMIF(Capacity_Resource,$D157,'Critical resources (hide)'!AH$6:AH$105)+SUMIF(Capacity_Resource,$E157,'Critical resources (hide)'!AH$6:AH$105)+SUMIF(Capacity_Resource,$F157,'Critical resources (hide)'!AH$6:AH$105)&gt;0,$E$1=2),0,1),0)</f>
        <v>1</v>
      </c>
      <c r="V157" s="67">
        <f ca="1">IF(LOWER(Capacity!$V62)="x",IF(AND(SUMIF(Capacity_Resource,$D157,'Critical resources (hide)'!AI$6:AI$105)+SUMIF(Capacity_Resource,$E157,'Critical resources (hide)'!AI$6:AI$105)+SUMIF(Capacity_Resource,$F157,'Critical resources (hide)'!AI$6:AI$105)&gt;0,$E$1=2),0,1),0)</f>
        <v>1</v>
      </c>
      <c r="W157" s="67">
        <f ca="1">IF(LOWER(Capacity!$V62)="x",IF(AND(SUMIF(Capacity_Resource,$D157,'Critical resources (hide)'!AJ$6:AJ$105)+SUMIF(Capacity_Resource,$E157,'Critical resources (hide)'!AJ$6:AJ$105)+SUMIF(Capacity_Resource,$F157,'Critical resources (hide)'!AJ$6:AJ$105)&gt;0,$E$1=2),0,1),0)</f>
        <v>1</v>
      </c>
      <c r="X157" s="67">
        <f ca="1">IF(LOWER(Capacity!$V62)="x",IF(AND(SUMIF(Capacity_Resource,$D157,'Critical resources (hide)'!AK$6:AK$105)+SUMIF(Capacity_Resource,$E157,'Critical resources (hide)'!AK$6:AK$105)+SUMIF(Capacity_Resource,$F157,'Critical resources (hide)'!AK$6:AK$105)&gt;0,$E$1=2),0,1),0)</f>
        <v>1</v>
      </c>
      <c r="Y157" s="67">
        <f ca="1">IF(LOWER(Capacity!$V62)="x",IF(AND(SUMIF(Capacity_Resource,$D157,'Critical resources (hide)'!AL$6:AL$105)+SUMIF(Capacity_Resource,$E157,'Critical resources (hide)'!AL$6:AL$105)+SUMIF(Capacity_Resource,$F157,'Critical resources (hide)'!AL$6:AL$105)&gt;0,$E$1=2),0,1),0)</f>
        <v>1</v>
      </c>
      <c r="Z157" s="67">
        <f ca="1">IF(LOWER(Capacity!$V62)="x",IF(AND(SUMIF(Capacity_Resource,$D157,'Critical resources (hide)'!AM$6:AM$105)+SUMIF(Capacity_Resource,$E157,'Critical resources (hide)'!AM$6:AM$105)+SUMIF(Capacity_Resource,$F157,'Critical resources (hide)'!AM$6:AM$105)&gt;0,$E$1=2),0,1),0)</f>
        <v>1</v>
      </c>
      <c r="AA157" s="67">
        <f ca="1">IF(LOWER(Capacity!$V62)="x",IF(AND(SUMIF(Capacity_Resource,$D157,'Critical resources (hide)'!AN$6:AN$105)+SUMIF(Capacity_Resource,$E157,'Critical resources (hide)'!AN$6:AN$105)+SUMIF(Capacity_Resource,$F157,'Critical resources (hide)'!AN$6:AN$105)&gt;0,$E$1=2),0,1),0)</f>
        <v>1</v>
      </c>
      <c r="AB157" s="67">
        <f ca="1">IF(LOWER(Capacity!$V62)="x",IF(AND(SUMIF(Capacity_Resource,$D157,'Critical resources (hide)'!AO$6:AO$105)+SUMIF(Capacity_Resource,$E157,'Critical resources (hide)'!AO$6:AO$105)+SUMIF(Capacity_Resource,$F157,'Critical resources (hide)'!AO$6:AO$105)&gt;0,$E$1=2),0,1),0)</f>
        <v>1</v>
      </c>
      <c r="AC157" s="67">
        <f ca="1">IF(LOWER(Capacity!$V62)="x",IF(AND(SUMIF(Capacity_Resource,$D157,'Critical resources (hide)'!AP$6:AP$105)+SUMIF(Capacity_Resource,$E157,'Critical resources (hide)'!AP$6:AP$105)+SUMIF(Capacity_Resource,$F157,'Critical resources (hide)'!AP$6:AP$105)&gt;0,$E$1=2),0,1),0)</f>
        <v>1</v>
      </c>
      <c r="AD157" s="67">
        <f ca="1">IF(LOWER(Capacity!$V62)="x",IF(AND(SUMIF(Capacity_Resource,$D157,'Critical resources (hide)'!AQ$6:AQ$105)+SUMIF(Capacity_Resource,$E157,'Critical resources (hide)'!AQ$6:AQ$105)+SUMIF(Capacity_Resource,$F157,'Critical resources (hide)'!AQ$6:AQ$105)&gt;0,$E$1=2),0,1),0)</f>
        <v>1</v>
      </c>
      <c r="AE157" s="67">
        <f ca="1">IF(LOWER(Capacity!$V62)="x",IF(AND(SUMIF(Capacity_Resource,$D157,'Critical resources (hide)'!AR$6:AR$105)+SUMIF(Capacity_Resource,$E157,'Critical resources (hide)'!AR$6:AR$105)+SUMIF(Capacity_Resource,$F157,'Critical resources (hide)'!AR$6:AR$105)&gt;0,$E$1=2),0,1),0)</f>
        <v>1</v>
      </c>
      <c r="AF157" s="67">
        <f ca="1">IF(LOWER(Capacity!$V62)="x",IF(AND(SUMIF(Capacity_Resource,$D157,'Critical resources (hide)'!AS$6:AS$105)+SUMIF(Capacity_Resource,$E157,'Critical resources (hide)'!AS$6:AS$105)+SUMIF(Capacity_Resource,$F157,'Critical resources (hide)'!AS$6:AS$105)&gt;0,$E$1=2),0,1),0)</f>
        <v>1</v>
      </c>
      <c r="AG157" s="67">
        <f ca="1">IF(LOWER(Capacity!$V62)="x",IF(AND(SUMIF(Capacity_Resource,$D157,'Critical resources (hide)'!AT$6:AT$105)+SUMIF(Capacity_Resource,$E157,'Critical resources (hide)'!AT$6:AT$105)+SUMIF(Capacity_Resource,$F157,'Critical resources (hide)'!AT$6:AT$105)&gt;0,$E$1=2),0,1),0)</f>
        <v>1</v>
      </c>
      <c r="AH157" s="67">
        <f ca="1">IF(LOWER(Capacity!$V62)="x",IF(AND(SUMIF(Capacity_Resource,$D157,'Critical resources (hide)'!AU$6:AU$105)+SUMIF(Capacity_Resource,$E157,'Critical resources (hide)'!AU$6:AU$105)+SUMIF(Capacity_Resource,$F157,'Critical resources (hide)'!AU$6:AU$105)&gt;0,$E$1=2),0,1),0)</f>
        <v>1</v>
      </c>
      <c r="AI157" s="67">
        <f ca="1">IF(LOWER(Capacity!$V62)="x",IF(AND(SUMIF(Capacity_Resource,$D157,'Critical resources (hide)'!AV$6:AV$105)+SUMIF(Capacity_Resource,$E157,'Critical resources (hide)'!AV$6:AV$105)+SUMIF(Capacity_Resource,$F157,'Critical resources (hide)'!AV$6:AV$105)&gt;0,$E$1=2),0,1),0)</f>
        <v>1</v>
      </c>
      <c r="AJ157" s="67">
        <f ca="1">IF(LOWER(Capacity!$V62)="x",IF(AND(SUMIF(Capacity_Resource,$D157,'Critical resources (hide)'!AW$6:AW$105)+SUMIF(Capacity_Resource,$E157,'Critical resources (hide)'!AW$6:AW$105)+SUMIF(Capacity_Resource,$F157,'Critical resources (hide)'!AW$6:AW$105)&gt;0,$E$1=2),0,1),0)</f>
        <v>1</v>
      </c>
      <c r="AK157" s="67">
        <f ca="1">IF(LOWER(Capacity!$V62)="x",IF(AND(SUMIF(Capacity_Resource,$D157,'Critical resources (hide)'!AX$6:AX$105)+SUMIF(Capacity_Resource,$E157,'Critical resources (hide)'!AX$6:AX$105)+SUMIF(Capacity_Resource,$F157,'Critical resources (hide)'!AX$6:AX$105)&gt;0,$E$1=2),0,1),0)</f>
        <v>1</v>
      </c>
      <c r="AL157" s="67">
        <f ca="1">IF(LOWER(Capacity!$V62)="x",IF(AND(SUMIF(Capacity_Resource,$D157,'Critical resources (hide)'!AY$6:AY$105)+SUMIF(Capacity_Resource,$E157,'Critical resources (hide)'!AY$6:AY$105)+SUMIF(Capacity_Resource,$F157,'Critical resources (hide)'!AY$6:AY$105)&gt;0,$E$1=2),0,1),0)</f>
        <v>1</v>
      </c>
      <c r="AM157" s="67">
        <f ca="1">IF(LOWER(Capacity!$V62)="x",IF(AND(SUMIF(Capacity_Resource,$D157,'Critical resources (hide)'!AZ$6:AZ$105)+SUMIF(Capacity_Resource,$E157,'Critical resources (hide)'!AZ$6:AZ$105)+SUMIF(Capacity_Resource,$F157,'Critical resources (hide)'!AZ$6:AZ$105)&gt;0,$E$1=2),0,1),0)</f>
        <v>1</v>
      </c>
      <c r="AN157" s="67">
        <f ca="1">IF(LOWER(Capacity!$V62)="x",IF(AND(SUMIF(Capacity_Resource,$D157,'Critical resources (hide)'!BA$6:BA$105)+SUMIF(Capacity_Resource,$E157,'Critical resources (hide)'!BA$6:BA$105)+SUMIF(Capacity_Resource,$F157,'Critical resources (hide)'!BA$6:BA$105)&gt;0,$E$1=2),0,1),0)</f>
        <v>1</v>
      </c>
      <c r="AO157" s="67">
        <f ca="1">IF(LOWER(Capacity!$V62)="x",IF(AND(SUMIF(Capacity_Resource,$D157,'Critical resources (hide)'!BB$6:BB$105)+SUMIF(Capacity_Resource,$E157,'Critical resources (hide)'!BB$6:BB$105)+SUMIF(Capacity_Resource,$F157,'Critical resources (hide)'!BB$6:BB$105)&gt;0,$E$1=2),0,1),0)</f>
        <v>1</v>
      </c>
      <c r="AP157" s="67">
        <f ca="1">IF(LOWER(Capacity!$V62)="x",IF(AND(SUMIF(Capacity_Resource,$D157,'Critical resources (hide)'!BC$6:BC$105)+SUMIF(Capacity_Resource,$E157,'Critical resources (hide)'!BC$6:BC$105)+SUMIF(Capacity_Resource,$F157,'Critical resources (hide)'!BC$6:BC$105)&gt;0,$E$1=2),0,1),0)</f>
        <v>1</v>
      </c>
      <c r="AQ157" s="67">
        <f ca="1">IF(LOWER(Capacity!$V62)="x",IF(AND(SUMIF(Capacity_Resource,$D157,'Critical resources (hide)'!BD$6:BD$105)+SUMIF(Capacity_Resource,$E157,'Critical resources (hide)'!BD$6:BD$105)+SUMIF(Capacity_Resource,$F157,'Critical resources (hide)'!BD$6:BD$105)&gt;0,$E$1=2),0,1),0)</f>
        <v>1</v>
      </c>
      <c r="AR157" s="67">
        <f ca="1">IF(LOWER(Capacity!$V62)="x",IF(AND(SUMIF(Capacity_Resource,$D157,'Critical resources (hide)'!BE$6:BE$105)+SUMIF(Capacity_Resource,$E157,'Critical resources (hide)'!BE$6:BE$105)+SUMIF(Capacity_Resource,$F157,'Critical resources (hide)'!BE$6:BE$105)&gt;0,$E$1=2),0,1),0)</f>
        <v>1</v>
      </c>
      <c r="AS157" s="67">
        <f ca="1">IF(LOWER(Capacity!$V62)="x",IF(AND(SUMIF(Capacity_Resource,$D157,'Critical resources (hide)'!BF$6:BF$105)+SUMIF(Capacity_Resource,$E157,'Critical resources (hide)'!BF$6:BF$105)+SUMIF(Capacity_Resource,$F157,'Critical resources (hide)'!BF$6:BF$105)&gt;0,$E$1=2),0,1),0)</f>
        <v>1</v>
      </c>
      <c r="AT157" s="67">
        <f ca="1">IF(LOWER(Capacity!$V62)="x",IF(AND(SUMIF(Capacity_Resource,$D157,'Critical resources (hide)'!BG$6:BG$105)+SUMIF(Capacity_Resource,$E157,'Critical resources (hide)'!BG$6:BG$105)+SUMIF(Capacity_Resource,$F157,'Critical resources (hide)'!BG$6:BG$105)&gt;0,$E$1=2),0,1),0)</f>
        <v>1</v>
      </c>
      <c r="AU157" s="67">
        <f ca="1">IF(LOWER(Capacity!$V62)="x",IF(AND(SUMIF(Capacity_Resource,$D157,'Critical resources (hide)'!BH$6:BH$105)+SUMIF(Capacity_Resource,$E157,'Critical resources (hide)'!BH$6:BH$105)+SUMIF(Capacity_Resource,$F157,'Critical resources (hide)'!BH$6:BH$105)&gt;0,$E$1=2),0,1),0)</f>
        <v>1</v>
      </c>
      <c r="AV157" s="67">
        <f ca="1">IF(LOWER(Capacity!$V62)="x",IF(AND(SUMIF(Capacity_Resource,$D157,'Critical resources (hide)'!BI$6:BI$105)+SUMIF(Capacity_Resource,$E157,'Critical resources (hide)'!BI$6:BI$105)+SUMIF(Capacity_Resource,$F157,'Critical resources (hide)'!BI$6:BI$105)&gt;0,$E$1=2),0,1),0)</f>
        <v>1</v>
      </c>
      <c r="AW157" s="67">
        <f ca="1">IF(LOWER(Capacity!$V62)="x",IF(AND(SUMIF(Capacity_Resource,$D157,'Critical resources (hide)'!BJ$6:BJ$105)+SUMIF(Capacity_Resource,$E157,'Critical resources (hide)'!BJ$6:BJ$105)+SUMIF(Capacity_Resource,$F157,'Critical resources (hide)'!BJ$6:BJ$105)&gt;0,$E$1=2),0,1),0)</f>
        <v>1</v>
      </c>
      <c r="AX157" s="67">
        <f ca="1">IF(LOWER(Capacity!$V62)="x",IF(AND(SUMIF(Capacity_Resource,$D157,'Critical resources (hide)'!BK$6:BK$105)+SUMIF(Capacity_Resource,$E157,'Critical resources (hide)'!BK$6:BK$105)+SUMIF(Capacity_Resource,$F157,'Critical resources (hide)'!BK$6:BK$105)&gt;0,$E$1=2),0,1),0)</f>
        <v>1</v>
      </c>
      <c r="AY157" s="67">
        <f ca="1">IF(LOWER(Capacity!$V62)="x",IF(AND(SUMIF(Capacity_Resource,$D157,'Critical resources (hide)'!BL$6:BL$105)+SUMIF(Capacity_Resource,$E157,'Critical resources (hide)'!BL$6:BL$105)+SUMIF(Capacity_Resource,$F157,'Critical resources (hide)'!BL$6:BL$105)&gt;0,$E$1=2),0,1),0)</f>
        <v>1</v>
      </c>
      <c r="AZ157" s="67">
        <f ca="1">IF(LOWER(Capacity!$V62)="x",IF(AND(SUMIF(Capacity_Resource,$D157,'Critical resources (hide)'!BM$6:BM$105)+SUMIF(Capacity_Resource,$E157,'Critical resources (hide)'!BM$6:BM$105)+SUMIF(Capacity_Resource,$F157,'Critical resources (hide)'!BM$6:BM$105)&gt;0,$E$1=2),0,1),0)</f>
        <v>1</v>
      </c>
      <c r="BA157" s="67">
        <f ca="1">IF(LOWER(Capacity!$V62)="x",IF(AND(SUMIF(Capacity_Resource,$D157,'Critical resources (hide)'!BN$6:BN$105)+SUMIF(Capacity_Resource,$E157,'Critical resources (hide)'!BN$6:BN$105)+SUMIF(Capacity_Resource,$F157,'Critical resources (hide)'!BN$6:BN$105)&gt;0,$E$1=2),0,1),0)</f>
        <v>1</v>
      </c>
      <c r="BB157" s="67">
        <f ca="1">IF(LOWER(Capacity!$V62)="x",IF(AND(SUMIF(Capacity_Resource,$D157,'Critical resources (hide)'!BO$6:BO$105)+SUMIF(Capacity_Resource,$E157,'Critical resources (hide)'!BO$6:BO$105)+SUMIF(Capacity_Resource,$F157,'Critical resources (hide)'!BO$6:BO$105)&gt;0,$E$1=2),0,1),0)</f>
        <v>1</v>
      </c>
      <c r="BC157" s="67">
        <f ca="1">IF(LOWER(Capacity!$V62)="x",IF(AND(SUMIF(Capacity_Resource,$D157,'Critical resources (hide)'!BP$6:BP$105)+SUMIF(Capacity_Resource,$E157,'Critical resources (hide)'!BP$6:BP$105)+SUMIF(Capacity_Resource,$F157,'Critical resources (hide)'!BP$6:BP$105)&gt;0,$E$1=2),0,1),0)</f>
        <v>1</v>
      </c>
      <c r="BD157" s="67">
        <f ca="1">IF(LOWER(Capacity!$V62)="x",IF(AND(SUMIF(Capacity_Resource,$D157,'Critical resources (hide)'!BQ$6:BQ$105)+SUMIF(Capacity_Resource,$E157,'Critical resources (hide)'!BQ$6:BQ$105)+SUMIF(Capacity_Resource,$F157,'Critical resources (hide)'!BQ$6:BQ$105)&gt;0,$E$1=2),0,1),0)</f>
        <v>1</v>
      </c>
      <c r="BE157" s="67">
        <f ca="1">IF(LOWER(Capacity!$V62)="x",IF(AND(SUMIF(Capacity_Resource,$D157,'Critical resources (hide)'!BR$6:BR$105)+SUMIF(Capacity_Resource,$E157,'Critical resources (hide)'!BR$6:BR$105)+SUMIF(Capacity_Resource,$F157,'Critical resources (hide)'!BR$6:BR$105)&gt;0,$E$1=2),0,1),0)</f>
        <v>1</v>
      </c>
      <c r="BF157" s="67">
        <f ca="1">IF(LOWER(Capacity!$V62)="x",IF(AND(SUMIF(Capacity_Resource,$D157,'Critical resources (hide)'!BS$6:BS$105)+SUMIF(Capacity_Resource,$E157,'Critical resources (hide)'!BS$6:BS$105)+SUMIF(Capacity_Resource,$F157,'Critical resources (hide)'!BS$6:BS$105)&gt;0,$E$1=2),0,1),0)</f>
        <v>1</v>
      </c>
      <c r="BG157" s="67">
        <f ca="1">IF(LOWER(Capacity!$V62)="x",IF(AND(SUMIF(Capacity_Resource,$D157,'Critical resources (hide)'!BT$6:BT$105)+SUMIF(Capacity_Resource,$E157,'Critical resources (hide)'!BT$6:BT$105)+SUMIF(Capacity_Resource,$F157,'Critical resources (hide)'!BT$6:BT$105)&gt;0,$E$1=2),0,1),0)</f>
        <v>1</v>
      </c>
      <c r="BH157" s="67">
        <f>IF(ROW(A46)&lt;=Capacity!$M$16,IF('Capacity summary'!$C$14="No",SUM(H157:BG157),'Capacity summary'!$E69),0)</f>
        <v>0</v>
      </c>
      <c r="BI157" s="67" t="str">
        <f>IF(BH157&gt;0,IF(BH157&lt;Capacity!Q62,Capacity!R62,Capacity!T62/'Capacity calculation (hide)'!BH157),"")</f>
        <v/>
      </c>
      <c r="BJ157" s="5"/>
      <c r="BK157" s="5">
        <f>IF($BI157&lt;&gt;"",IF('Capacity summary'!$C$14="Yes",IF(COUNTBLANK('Capacity summary'!$H69:$BG69)&lt;52,IF('Capacity summary'!H69&lt;&gt;"",IF(LOWER('Capacity summary'!H69)="x",$BI157*H157,VALUE('Capacity summary'!H69)),0),H157*$BI157),H157*$BI157),0)</f>
        <v>0</v>
      </c>
      <c r="BL157" s="5">
        <f>IF($BI157&lt;&gt;"",IF('Capacity summary'!$C$14="Yes",IF(COUNTBLANK('Capacity summary'!$H69:$BG69)&lt;52,IF('Capacity summary'!I69&lt;&gt;"",IF(LOWER('Capacity summary'!I69)="x",$BI157*I157,VALUE('Capacity summary'!I69)),0),I157*$BI157),I157*$BI157),0)</f>
        <v>0</v>
      </c>
      <c r="BM157" s="5">
        <f>IF($BI157&lt;&gt;"",IF('Capacity summary'!$C$14="Yes",IF(COUNTBLANK('Capacity summary'!$H69:$BG69)&lt;52,IF('Capacity summary'!J69&lt;&gt;"",IF(LOWER('Capacity summary'!J69)="x",$BI157*J157,VALUE('Capacity summary'!J69)),0),J157*$BI157),J157*$BI157),0)</f>
        <v>0</v>
      </c>
      <c r="BN157" s="5">
        <f>IF($BI157&lt;&gt;"",IF('Capacity summary'!$C$14="Yes",IF(COUNTBLANK('Capacity summary'!$H69:$BG69)&lt;52,IF('Capacity summary'!K69&lt;&gt;"",IF(LOWER('Capacity summary'!K69)="x",$BI157*K157,VALUE('Capacity summary'!K69)),0),K157*$BI157),K157*$BI157),0)</f>
        <v>0</v>
      </c>
      <c r="BO157" s="5">
        <f>IF($BI157&lt;&gt;"",IF('Capacity summary'!$C$14="Yes",IF(COUNTBLANK('Capacity summary'!$H69:$BG69)&lt;52,IF('Capacity summary'!L69&lt;&gt;"",IF(LOWER('Capacity summary'!L69)="x",$BI157*L157,VALUE('Capacity summary'!L69)),0),L157*$BI157),L157*$BI157),0)</f>
        <v>0</v>
      </c>
      <c r="BP157" s="5">
        <f>IF($BI157&lt;&gt;"",IF('Capacity summary'!$C$14="Yes",IF(COUNTBLANK('Capacity summary'!$H69:$BG69)&lt;52,IF('Capacity summary'!M69&lt;&gt;"",IF(LOWER('Capacity summary'!M69)="x",$BI157*M157,VALUE('Capacity summary'!M69)),0),M157*$BI157),M157*$BI157),0)</f>
        <v>0</v>
      </c>
      <c r="BQ157" s="5">
        <f>IF($BI157&lt;&gt;"",IF('Capacity summary'!$C$14="Yes",IF(COUNTBLANK('Capacity summary'!$H69:$BG69)&lt;52,IF('Capacity summary'!N69&lt;&gt;"",IF(LOWER('Capacity summary'!N69)="x",$BI157*N157,VALUE('Capacity summary'!N69)),0),N157*$BI157),N157*$BI157),0)</f>
        <v>0</v>
      </c>
      <c r="BR157" s="5">
        <f>IF($BI157&lt;&gt;"",IF('Capacity summary'!$C$14="Yes",IF(COUNTBLANK('Capacity summary'!$H69:$BG69)&lt;52,IF('Capacity summary'!O69&lt;&gt;"",IF(LOWER('Capacity summary'!O69)="x",$BI157*O157,VALUE('Capacity summary'!O69)),0),O157*$BI157),O157*$BI157),0)</f>
        <v>0</v>
      </c>
      <c r="BS157" s="5">
        <f>IF($BI157&lt;&gt;"",IF('Capacity summary'!$C$14="Yes",IF(COUNTBLANK('Capacity summary'!$H69:$BG69)&lt;52,IF('Capacity summary'!P69&lt;&gt;"",IF(LOWER('Capacity summary'!P69)="x",$BI157*P157,VALUE('Capacity summary'!P69)),0),P157*$BI157),P157*$BI157),0)</f>
        <v>0</v>
      </c>
      <c r="BT157" s="5">
        <f>IF($BI157&lt;&gt;"",IF('Capacity summary'!$C$14="Yes",IF(COUNTBLANK('Capacity summary'!$H69:$BG69)&lt;52,IF('Capacity summary'!Q69&lt;&gt;"",IF(LOWER('Capacity summary'!Q69)="x",$BI157*Q157,VALUE('Capacity summary'!Q69)),0),Q157*$BI157),Q157*$BI157),0)</f>
        <v>0</v>
      </c>
      <c r="BU157" s="5">
        <f>IF($BI157&lt;&gt;"",IF('Capacity summary'!$C$14="Yes",IF(COUNTBLANK('Capacity summary'!$H69:$BG69)&lt;52,IF('Capacity summary'!R69&lt;&gt;"",IF(LOWER('Capacity summary'!R69)="x",$BI157*R157,VALUE('Capacity summary'!R69)),0),R157*$BI157),R157*$BI157),0)</f>
        <v>0</v>
      </c>
      <c r="BV157" s="5">
        <f>IF($BI157&lt;&gt;"",IF('Capacity summary'!$C$14="Yes",IF(COUNTBLANK('Capacity summary'!$H69:$BG69)&lt;52,IF('Capacity summary'!S69&lt;&gt;"",IF(LOWER('Capacity summary'!S69)="x",$BI157*S157,VALUE('Capacity summary'!S69)),0),S157*$BI157),S157*$BI157),0)</f>
        <v>0</v>
      </c>
      <c r="BW157" s="5">
        <f>IF($BI157&lt;&gt;"",IF('Capacity summary'!$C$14="Yes",IF(COUNTBLANK('Capacity summary'!$H69:$BG69)&lt;52,IF('Capacity summary'!T69&lt;&gt;"",IF(LOWER('Capacity summary'!T69)="x",$BI157*T157,VALUE('Capacity summary'!T69)),0),T157*$BI157),T157*$BI157),0)</f>
        <v>0</v>
      </c>
      <c r="BX157" s="5">
        <f>IF($BI157&lt;&gt;"",IF('Capacity summary'!$C$14="Yes",IF(COUNTBLANK('Capacity summary'!$H69:$BG69)&lt;52,IF('Capacity summary'!U69&lt;&gt;"",IF(LOWER('Capacity summary'!U69)="x",$BI157*U157,VALUE('Capacity summary'!U69)),0),U157*$BI157),U157*$BI157),0)</f>
        <v>0</v>
      </c>
      <c r="BY157" s="5">
        <f>IF($BI157&lt;&gt;"",IF('Capacity summary'!$C$14="Yes",IF(COUNTBLANK('Capacity summary'!$H69:$BG69)&lt;52,IF('Capacity summary'!V69&lt;&gt;"",IF(LOWER('Capacity summary'!V69)="x",$BI157*V157,VALUE('Capacity summary'!V69)),0),V157*$BI157),V157*$BI157),0)</f>
        <v>0</v>
      </c>
      <c r="BZ157" s="5">
        <f>IF($BI157&lt;&gt;"",IF('Capacity summary'!$C$14="Yes",IF(COUNTBLANK('Capacity summary'!$H69:$BG69)&lt;52,IF('Capacity summary'!W69&lt;&gt;"",IF(LOWER('Capacity summary'!W69)="x",$BI157*W157,VALUE('Capacity summary'!W69)),0),W157*$BI157),W157*$BI157),0)</f>
        <v>0</v>
      </c>
      <c r="CA157" s="5">
        <f>IF($BI157&lt;&gt;"",IF('Capacity summary'!$C$14="Yes",IF(COUNTBLANK('Capacity summary'!$H69:$BG69)&lt;52,IF('Capacity summary'!X69&lt;&gt;"",IF(LOWER('Capacity summary'!X69)="x",$BI157*X157,VALUE('Capacity summary'!X69)),0),X157*$BI157),X157*$BI157),0)</f>
        <v>0</v>
      </c>
      <c r="CB157" s="5">
        <f>IF($BI157&lt;&gt;"",IF('Capacity summary'!$C$14="Yes",IF(COUNTBLANK('Capacity summary'!$H69:$BG69)&lt;52,IF('Capacity summary'!Y69&lt;&gt;"",IF(LOWER('Capacity summary'!Y69)="x",$BI157*Y157,VALUE('Capacity summary'!Y69)),0),Y157*$BI157),Y157*$BI157),0)</f>
        <v>0</v>
      </c>
      <c r="CC157" s="5">
        <f>IF($BI157&lt;&gt;"",IF('Capacity summary'!$C$14="Yes",IF(COUNTBLANK('Capacity summary'!$H69:$BG69)&lt;52,IF('Capacity summary'!Z69&lt;&gt;"",IF(LOWER('Capacity summary'!Z69)="x",$BI157*Z157,VALUE('Capacity summary'!Z69)),0),Z157*$BI157),Z157*$BI157),0)</f>
        <v>0</v>
      </c>
      <c r="CD157" s="5">
        <f>IF($BI157&lt;&gt;"",IF('Capacity summary'!$C$14="Yes",IF(COUNTBLANK('Capacity summary'!$H69:$BG69)&lt;52,IF('Capacity summary'!AA69&lt;&gt;"",IF(LOWER('Capacity summary'!AA69)="x",$BI157*AA157,VALUE('Capacity summary'!AA69)),0),AA157*$BI157),AA157*$BI157),0)</f>
        <v>0</v>
      </c>
      <c r="CE157" s="5">
        <f>IF($BI157&lt;&gt;"",IF('Capacity summary'!$C$14="Yes",IF(COUNTBLANK('Capacity summary'!$H69:$BG69)&lt;52,IF('Capacity summary'!AB69&lt;&gt;"",IF(LOWER('Capacity summary'!AB69)="x",$BI157*AB157,VALUE('Capacity summary'!AB69)),0),AB157*$BI157),AB157*$BI157),0)</f>
        <v>0</v>
      </c>
      <c r="CF157" s="5">
        <f>IF($BI157&lt;&gt;"",IF('Capacity summary'!$C$14="Yes",IF(COUNTBLANK('Capacity summary'!$H69:$BG69)&lt;52,IF('Capacity summary'!AC69&lt;&gt;"",IF(LOWER('Capacity summary'!AC69)="x",$BI157*AC157,VALUE('Capacity summary'!AC69)),0),AC157*$BI157),AC157*$BI157),0)</f>
        <v>0</v>
      </c>
      <c r="CG157" s="5">
        <f>IF($BI157&lt;&gt;"",IF('Capacity summary'!$C$14="Yes",IF(COUNTBLANK('Capacity summary'!$H69:$BG69)&lt;52,IF('Capacity summary'!AD69&lt;&gt;"",IF(LOWER('Capacity summary'!AD69)="x",$BI157*AD157,VALUE('Capacity summary'!AD69)),0),AD157*$BI157),AD157*$BI157),0)</f>
        <v>0</v>
      </c>
      <c r="CH157" s="5">
        <f>IF($BI157&lt;&gt;"",IF('Capacity summary'!$C$14="Yes",IF(COUNTBLANK('Capacity summary'!$H69:$BG69)&lt;52,IF('Capacity summary'!AE69&lt;&gt;"",IF(LOWER('Capacity summary'!AE69)="x",$BI157*AE157,VALUE('Capacity summary'!AE69)),0),AE157*$BI157),AE157*$BI157),0)</f>
        <v>0</v>
      </c>
      <c r="CI157" s="5">
        <f>IF($BI157&lt;&gt;"",IF('Capacity summary'!$C$14="Yes",IF(COUNTBLANK('Capacity summary'!$H69:$BG69)&lt;52,IF('Capacity summary'!AF69&lt;&gt;"",IF(LOWER('Capacity summary'!AF69)="x",$BI157*AF157,VALUE('Capacity summary'!AF69)),0),AF157*$BI157),AF157*$BI157),0)</f>
        <v>0</v>
      </c>
      <c r="CJ157" s="5">
        <f>IF($BI157&lt;&gt;"",IF('Capacity summary'!$C$14="Yes",IF(COUNTBLANK('Capacity summary'!$H69:$BG69)&lt;52,IF('Capacity summary'!AG69&lt;&gt;"",IF(LOWER('Capacity summary'!AG69)="x",$BI157*AG157,VALUE('Capacity summary'!AG69)),0),AG157*$BI157),AG157*$BI157),0)</f>
        <v>0</v>
      </c>
      <c r="CK157" s="5">
        <f>IF($BI157&lt;&gt;"",IF('Capacity summary'!$C$14="Yes",IF(COUNTBLANK('Capacity summary'!$H69:$BG69)&lt;52,IF('Capacity summary'!AH69&lt;&gt;"",IF(LOWER('Capacity summary'!AH69)="x",$BI157*AH157,VALUE('Capacity summary'!AH69)),0),AH157*$BI157),AH157*$BI157),0)</f>
        <v>0</v>
      </c>
      <c r="CL157" s="5">
        <f>IF($BI157&lt;&gt;"",IF('Capacity summary'!$C$14="Yes",IF(COUNTBLANK('Capacity summary'!$H69:$BG69)&lt;52,IF('Capacity summary'!AI69&lt;&gt;"",IF(LOWER('Capacity summary'!AI69)="x",$BI157*AI157,VALUE('Capacity summary'!AI69)),0),AI157*$BI157),AI157*$BI157),0)</f>
        <v>0</v>
      </c>
      <c r="CM157" s="5">
        <f>IF($BI157&lt;&gt;"",IF('Capacity summary'!$C$14="Yes",IF(COUNTBLANK('Capacity summary'!$H69:$BG69)&lt;52,IF('Capacity summary'!AJ69&lt;&gt;"",IF(LOWER('Capacity summary'!AJ69)="x",$BI157*AJ157,VALUE('Capacity summary'!AJ69)),0),AJ157*$BI157),AJ157*$BI157),0)</f>
        <v>0</v>
      </c>
      <c r="CN157" s="5">
        <f>IF($BI157&lt;&gt;"",IF('Capacity summary'!$C$14="Yes",IF(COUNTBLANK('Capacity summary'!$H69:$BG69)&lt;52,IF('Capacity summary'!AK69&lt;&gt;"",IF(LOWER('Capacity summary'!AK69)="x",$BI157*AK157,VALUE('Capacity summary'!AK69)),0),AK157*$BI157),AK157*$BI157),0)</f>
        <v>0</v>
      </c>
      <c r="CO157" s="5">
        <f>IF($BI157&lt;&gt;"",IF('Capacity summary'!$C$14="Yes",IF(COUNTBLANK('Capacity summary'!$H69:$BG69)&lt;52,IF('Capacity summary'!AL69&lt;&gt;"",IF(LOWER('Capacity summary'!AL69)="x",$BI157*AL157,VALUE('Capacity summary'!AL69)),0),AL157*$BI157),AL157*$BI157),0)</f>
        <v>0</v>
      </c>
      <c r="CP157" s="5">
        <f>IF($BI157&lt;&gt;"",IF('Capacity summary'!$C$14="Yes",IF(COUNTBLANK('Capacity summary'!$H69:$BG69)&lt;52,IF('Capacity summary'!AM69&lt;&gt;"",IF(LOWER('Capacity summary'!AM69)="x",$BI157*AM157,VALUE('Capacity summary'!AM69)),0),AM157*$BI157),AM157*$BI157),0)</f>
        <v>0</v>
      </c>
      <c r="CQ157" s="5">
        <f>IF($BI157&lt;&gt;"",IF('Capacity summary'!$C$14="Yes",IF(COUNTBLANK('Capacity summary'!$H69:$BG69)&lt;52,IF('Capacity summary'!AN69&lt;&gt;"",IF(LOWER('Capacity summary'!AN69)="x",$BI157*AN157,VALUE('Capacity summary'!AN69)),0),AN157*$BI157),AN157*$BI157),0)</f>
        <v>0</v>
      </c>
      <c r="CR157" s="5">
        <f>IF($BI157&lt;&gt;"",IF('Capacity summary'!$C$14="Yes",IF(COUNTBLANK('Capacity summary'!$H69:$BG69)&lt;52,IF('Capacity summary'!AO69&lt;&gt;"",IF(LOWER('Capacity summary'!AO69)="x",$BI157*AO157,VALUE('Capacity summary'!AO69)),0),AO157*$BI157),AO157*$BI157),0)</f>
        <v>0</v>
      </c>
      <c r="CS157" s="5">
        <f>IF($BI157&lt;&gt;"",IF('Capacity summary'!$C$14="Yes",IF(COUNTBLANK('Capacity summary'!$H69:$BG69)&lt;52,IF('Capacity summary'!AP69&lt;&gt;"",IF(LOWER('Capacity summary'!AP69)="x",$BI157*AP157,VALUE('Capacity summary'!AP69)),0),AP157*$BI157),AP157*$BI157),0)</f>
        <v>0</v>
      </c>
      <c r="CT157" s="5">
        <f>IF($BI157&lt;&gt;"",IF('Capacity summary'!$C$14="Yes",IF(COUNTBLANK('Capacity summary'!$H69:$BG69)&lt;52,IF('Capacity summary'!AQ69&lt;&gt;"",IF(LOWER('Capacity summary'!AQ69)="x",$BI157*AQ157,VALUE('Capacity summary'!AQ69)),0),AQ157*$BI157),AQ157*$BI157),0)</f>
        <v>0</v>
      </c>
      <c r="CU157" s="5">
        <f>IF($BI157&lt;&gt;"",IF('Capacity summary'!$C$14="Yes",IF(COUNTBLANK('Capacity summary'!$H69:$BG69)&lt;52,IF('Capacity summary'!AR69&lt;&gt;"",IF(LOWER('Capacity summary'!AR69)="x",$BI157*AR157,VALUE('Capacity summary'!AR69)),0),AR157*$BI157),AR157*$BI157),0)</f>
        <v>0</v>
      </c>
      <c r="CV157" s="5">
        <f>IF($BI157&lt;&gt;"",IF('Capacity summary'!$C$14="Yes",IF(COUNTBLANK('Capacity summary'!$H69:$BG69)&lt;52,IF('Capacity summary'!AS69&lt;&gt;"",IF(LOWER('Capacity summary'!AS69)="x",$BI157*AS157,VALUE('Capacity summary'!AS69)),0),AS157*$BI157),AS157*$BI157),0)</f>
        <v>0</v>
      </c>
      <c r="CW157" s="5">
        <f>IF($BI157&lt;&gt;"",IF('Capacity summary'!$C$14="Yes",IF(COUNTBLANK('Capacity summary'!$H69:$BG69)&lt;52,IF('Capacity summary'!AT69&lt;&gt;"",IF(LOWER('Capacity summary'!AT69)="x",$BI157*AT157,VALUE('Capacity summary'!AT69)),0),AT157*$BI157),AT157*$BI157),0)</f>
        <v>0</v>
      </c>
      <c r="CX157" s="5">
        <f>IF($BI157&lt;&gt;"",IF('Capacity summary'!$C$14="Yes",IF(COUNTBLANK('Capacity summary'!$H69:$BG69)&lt;52,IF('Capacity summary'!AU69&lt;&gt;"",IF(LOWER('Capacity summary'!AU69)="x",$BI157*AU157,VALUE('Capacity summary'!AU69)),0),AU157*$BI157),AU157*$BI157),0)</f>
        <v>0</v>
      </c>
      <c r="CY157" s="5">
        <f>IF($BI157&lt;&gt;"",IF('Capacity summary'!$C$14="Yes",IF(COUNTBLANK('Capacity summary'!$H69:$BG69)&lt;52,IF('Capacity summary'!AV69&lt;&gt;"",IF(LOWER('Capacity summary'!AV69)="x",$BI157*AV157,VALUE('Capacity summary'!AV69)),0),AV157*$BI157),AV157*$BI157),0)</f>
        <v>0</v>
      </c>
      <c r="CZ157" s="5">
        <f>IF($BI157&lt;&gt;"",IF('Capacity summary'!$C$14="Yes",IF(COUNTBLANK('Capacity summary'!$H69:$BG69)&lt;52,IF('Capacity summary'!AW69&lt;&gt;"",IF(LOWER('Capacity summary'!AW69)="x",$BI157*AW157,VALUE('Capacity summary'!AW69)),0),AW157*$BI157),AW157*$BI157),0)</f>
        <v>0</v>
      </c>
      <c r="DA157" s="5">
        <f>IF($BI157&lt;&gt;"",IF('Capacity summary'!$C$14="Yes",IF(COUNTBLANK('Capacity summary'!$H69:$BG69)&lt;52,IF('Capacity summary'!AX69&lt;&gt;"",IF(LOWER('Capacity summary'!AX69)="x",$BI157*AX157,VALUE('Capacity summary'!AX69)),0),AX157*$BI157),AX157*$BI157),0)</f>
        <v>0</v>
      </c>
      <c r="DB157" s="5">
        <f>IF($BI157&lt;&gt;"",IF('Capacity summary'!$C$14="Yes",IF(COUNTBLANK('Capacity summary'!$H69:$BG69)&lt;52,IF('Capacity summary'!AY69&lt;&gt;"",IF(LOWER('Capacity summary'!AY69)="x",$BI157*AY157,VALUE('Capacity summary'!AY69)),0),AY157*$BI157),AY157*$BI157),0)</f>
        <v>0</v>
      </c>
      <c r="DC157" s="5">
        <f>IF($BI157&lt;&gt;"",IF('Capacity summary'!$C$14="Yes",IF(COUNTBLANK('Capacity summary'!$H69:$BG69)&lt;52,IF('Capacity summary'!AZ69&lt;&gt;"",IF(LOWER('Capacity summary'!AZ69)="x",$BI157*AZ157,VALUE('Capacity summary'!AZ69)),0),AZ157*$BI157),AZ157*$BI157),0)</f>
        <v>0</v>
      </c>
      <c r="DD157" s="5">
        <f>IF($BI157&lt;&gt;"",IF('Capacity summary'!$C$14="Yes",IF(COUNTBLANK('Capacity summary'!$H69:$BG69)&lt;52,IF('Capacity summary'!BA69&lt;&gt;"",IF(LOWER('Capacity summary'!BA69)="x",$BI157*BA157,VALUE('Capacity summary'!BA69)),0),BA157*$BI157),BA157*$BI157),0)</f>
        <v>0</v>
      </c>
      <c r="DE157" s="5">
        <f>IF($BI157&lt;&gt;"",IF('Capacity summary'!$C$14="Yes",IF(COUNTBLANK('Capacity summary'!$H69:$BG69)&lt;52,IF('Capacity summary'!BB69&lt;&gt;"",IF(LOWER('Capacity summary'!BB69)="x",$BI157*BB157,VALUE('Capacity summary'!BB69)),0),BB157*$BI157),BB157*$BI157),0)</f>
        <v>0</v>
      </c>
      <c r="DF157" s="5">
        <f>IF($BI157&lt;&gt;"",IF('Capacity summary'!$C$14="Yes",IF(COUNTBLANK('Capacity summary'!$H69:$BG69)&lt;52,IF('Capacity summary'!BC69&lt;&gt;"",IF(LOWER('Capacity summary'!BC69)="x",$BI157*BC157,VALUE('Capacity summary'!BC69)),0),BC157*$BI157),BC157*$BI157),0)</f>
        <v>0</v>
      </c>
      <c r="DG157" s="5">
        <f>IF($BI157&lt;&gt;"",IF('Capacity summary'!$C$14="Yes",IF(COUNTBLANK('Capacity summary'!$H69:$BG69)&lt;52,IF('Capacity summary'!BD69&lt;&gt;"",IF(LOWER('Capacity summary'!BD69)="x",$BI157*BD157,VALUE('Capacity summary'!BD69)),0),BD157*$BI157),BD157*$BI157),0)</f>
        <v>0</v>
      </c>
      <c r="DH157" s="5">
        <f>IF($BI157&lt;&gt;"",IF('Capacity summary'!$C$14="Yes",IF(COUNTBLANK('Capacity summary'!$H69:$BG69)&lt;52,IF('Capacity summary'!BE69&lt;&gt;"",IF(LOWER('Capacity summary'!BE69)="x",$BI157*BE157,VALUE('Capacity summary'!BE69)),0),BE157*$BI157),BE157*$BI157),0)</f>
        <v>0</v>
      </c>
      <c r="DI157" s="5">
        <f>IF($BI157&lt;&gt;"",IF('Capacity summary'!$C$14="Yes",IF(COUNTBLANK('Capacity summary'!$H69:$BG69)&lt;52,IF('Capacity summary'!BF69&lt;&gt;"",IF(LOWER('Capacity summary'!BF69)="x",$BI157*BF157,VALUE('Capacity summary'!BF69)),0),BF157*$BI157),BF157*$BI157),0)</f>
        <v>0</v>
      </c>
      <c r="DJ157" s="5">
        <f>IF($BI157&lt;&gt;"",IF('Capacity summary'!$C$14="Yes",IF(COUNTBLANK('Capacity summary'!$H69:$BG69)&lt;52,IF('Capacity summary'!BG69&lt;&gt;"",IF(LOWER('Capacity summary'!BG69)="x",$BI157*BG157,VALUE('Capacity summary'!BG69)),0),BG157*$BI157),BG157*$BI157),0)</f>
        <v>0</v>
      </c>
      <c r="DK157" s="391">
        <f t="shared" si="8"/>
        <v>0</v>
      </c>
      <c r="DL157" s="5">
        <f t="shared" si="9"/>
        <v>0</v>
      </c>
    </row>
    <row r="158" spans="3:116" x14ac:dyDescent="0.2">
      <c r="C158" s="67" t="str">
        <f>ROW(A47)&amp;". "&amp;Capacity!N63</f>
        <v xml:space="preserve">47. </v>
      </c>
      <c r="D158" s="67">
        <f>'Capacity setup'!C164</f>
        <v>0</v>
      </c>
      <c r="E158" s="67">
        <f>'Capacity setup'!D164</f>
        <v>0</v>
      </c>
      <c r="F158" s="67">
        <f>'Capacity setup'!E164</f>
        <v>0</v>
      </c>
      <c r="H158" s="67">
        <f ca="1">IF(LOWER(Capacity!$V63)="x",IF(AND(SUMIF(Capacity_Resource,$D158,'Critical resources (hide)'!U$6:U$105)+SUMIF(Capacity_Resource,$E158,'Critical resources (hide)'!U$6:U$105)+SUMIF(Capacity_Resource,$F158,'Critical resources (hide)'!U$6:U$105)&gt;0,$E$1=2),0,1),0)</f>
        <v>1</v>
      </c>
      <c r="I158" s="67">
        <f ca="1">IF(LOWER(Capacity!$V63)="x",IF(AND(SUMIF(Capacity_Resource,$D158,'Critical resources (hide)'!V$6:V$105)+SUMIF(Capacity_Resource,$E158,'Critical resources (hide)'!V$6:V$105)+SUMIF(Capacity_Resource,$F158,'Critical resources (hide)'!V$6:V$105)&gt;0,$E$1=2),0,1),0)</f>
        <v>1</v>
      </c>
      <c r="J158" s="67">
        <f ca="1">IF(LOWER(Capacity!$V63)="x",IF(AND(SUMIF(Capacity_Resource,$D158,'Critical resources (hide)'!W$6:W$105)+SUMIF(Capacity_Resource,$E158,'Critical resources (hide)'!W$6:W$105)+SUMIF(Capacity_Resource,$F158,'Critical resources (hide)'!W$6:W$105)&gt;0,$E$1=2),0,1),0)</f>
        <v>1</v>
      </c>
      <c r="K158" s="67">
        <f ca="1">IF(LOWER(Capacity!$V63)="x",IF(AND(SUMIF(Capacity_Resource,$D158,'Critical resources (hide)'!X$6:X$105)+SUMIF(Capacity_Resource,$E158,'Critical resources (hide)'!X$6:X$105)+SUMIF(Capacity_Resource,$F158,'Critical resources (hide)'!X$6:X$105)&gt;0,$E$1=2),0,1),0)</f>
        <v>1</v>
      </c>
      <c r="L158" s="67">
        <f ca="1">IF(LOWER(Capacity!$V63)="x",IF(AND(SUMIF(Capacity_Resource,$D158,'Critical resources (hide)'!Y$6:Y$105)+SUMIF(Capacity_Resource,$E158,'Critical resources (hide)'!Y$6:Y$105)+SUMIF(Capacity_Resource,$F158,'Critical resources (hide)'!Y$6:Y$105)&gt;0,$E$1=2),0,1),0)</f>
        <v>1</v>
      </c>
      <c r="M158" s="67">
        <f ca="1">IF(LOWER(Capacity!$V63)="x",IF(AND(SUMIF(Capacity_Resource,$D158,'Critical resources (hide)'!Z$6:Z$105)+SUMIF(Capacity_Resource,$E158,'Critical resources (hide)'!Z$6:Z$105)+SUMIF(Capacity_Resource,$F158,'Critical resources (hide)'!Z$6:Z$105)&gt;0,$E$1=2),0,1),0)</f>
        <v>1</v>
      </c>
      <c r="N158" s="67">
        <f ca="1">IF(LOWER(Capacity!$V63)="x",IF(AND(SUMIF(Capacity_Resource,$D158,'Critical resources (hide)'!AA$6:AA$105)+SUMIF(Capacity_Resource,$E158,'Critical resources (hide)'!AA$6:AA$105)+SUMIF(Capacity_Resource,$F158,'Critical resources (hide)'!AA$6:AA$105)&gt;0,$E$1=2),0,1),0)</f>
        <v>1</v>
      </c>
      <c r="O158" s="67">
        <f ca="1">IF(LOWER(Capacity!$V63)="x",IF(AND(SUMIF(Capacity_Resource,$D158,'Critical resources (hide)'!AB$6:AB$105)+SUMIF(Capacity_Resource,$E158,'Critical resources (hide)'!AB$6:AB$105)+SUMIF(Capacity_Resource,$F158,'Critical resources (hide)'!AB$6:AB$105)&gt;0,$E$1=2),0,1),0)</f>
        <v>1</v>
      </c>
      <c r="P158" s="67">
        <f ca="1">IF(LOWER(Capacity!$V63)="x",IF(AND(SUMIF(Capacity_Resource,$D158,'Critical resources (hide)'!AC$6:AC$105)+SUMIF(Capacity_Resource,$E158,'Critical resources (hide)'!AC$6:AC$105)+SUMIF(Capacity_Resource,$F158,'Critical resources (hide)'!AC$6:AC$105)&gt;0,$E$1=2),0,1),0)</f>
        <v>1</v>
      </c>
      <c r="Q158" s="67">
        <f ca="1">IF(LOWER(Capacity!$V63)="x",IF(AND(SUMIF(Capacity_Resource,$D158,'Critical resources (hide)'!AD$6:AD$105)+SUMIF(Capacity_Resource,$E158,'Critical resources (hide)'!AD$6:AD$105)+SUMIF(Capacity_Resource,$F158,'Critical resources (hide)'!AD$6:AD$105)&gt;0,$E$1=2),0,1),0)</f>
        <v>1</v>
      </c>
      <c r="R158" s="67">
        <f ca="1">IF(LOWER(Capacity!$V63)="x",IF(AND(SUMIF(Capacity_Resource,$D158,'Critical resources (hide)'!AE$6:AE$105)+SUMIF(Capacity_Resource,$E158,'Critical resources (hide)'!AE$6:AE$105)+SUMIF(Capacity_Resource,$F158,'Critical resources (hide)'!AE$6:AE$105)&gt;0,$E$1=2),0,1),0)</f>
        <v>1</v>
      </c>
      <c r="S158" s="67">
        <f ca="1">IF(LOWER(Capacity!$V63)="x",IF(AND(SUMIF(Capacity_Resource,$D158,'Critical resources (hide)'!AF$6:AF$105)+SUMIF(Capacity_Resource,$E158,'Critical resources (hide)'!AF$6:AF$105)+SUMIF(Capacity_Resource,$F158,'Critical resources (hide)'!AF$6:AF$105)&gt;0,$E$1=2),0,1),0)</f>
        <v>1</v>
      </c>
      <c r="T158" s="67">
        <f ca="1">IF(LOWER(Capacity!$V63)="x",IF(AND(SUMIF(Capacity_Resource,$D158,'Critical resources (hide)'!AG$6:AG$105)+SUMIF(Capacity_Resource,$E158,'Critical resources (hide)'!AG$6:AG$105)+SUMIF(Capacity_Resource,$F158,'Critical resources (hide)'!AG$6:AG$105)&gt;0,$E$1=2),0,1),0)</f>
        <v>1</v>
      </c>
      <c r="U158" s="67">
        <f ca="1">IF(LOWER(Capacity!$V63)="x",IF(AND(SUMIF(Capacity_Resource,$D158,'Critical resources (hide)'!AH$6:AH$105)+SUMIF(Capacity_Resource,$E158,'Critical resources (hide)'!AH$6:AH$105)+SUMIF(Capacity_Resource,$F158,'Critical resources (hide)'!AH$6:AH$105)&gt;0,$E$1=2),0,1),0)</f>
        <v>1</v>
      </c>
      <c r="V158" s="67">
        <f ca="1">IF(LOWER(Capacity!$V63)="x",IF(AND(SUMIF(Capacity_Resource,$D158,'Critical resources (hide)'!AI$6:AI$105)+SUMIF(Capacity_Resource,$E158,'Critical resources (hide)'!AI$6:AI$105)+SUMIF(Capacity_Resource,$F158,'Critical resources (hide)'!AI$6:AI$105)&gt;0,$E$1=2),0,1),0)</f>
        <v>1</v>
      </c>
      <c r="W158" s="67">
        <f ca="1">IF(LOWER(Capacity!$V63)="x",IF(AND(SUMIF(Capacity_Resource,$D158,'Critical resources (hide)'!AJ$6:AJ$105)+SUMIF(Capacity_Resource,$E158,'Critical resources (hide)'!AJ$6:AJ$105)+SUMIF(Capacity_Resource,$F158,'Critical resources (hide)'!AJ$6:AJ$105)&gt;0,$E$1=2),0,1),0)</f>
        <v>1</v>
      </c>
      <c r="X158" s="67">
        <f ca="1">IF(LOWER(Capacity!$V63)="x",IF(AND(SUMIF(Capacity_Resource,$D158,'Critical resources (hide)'!AK$6:AK$105)+SUMIF(Capacity_Resource,$E158,'Critical resources (hide)'!AK$6:AK$105)+SUMIF(Capacity_Resource,$F158,'Critical resources (hide)'!AK$6:AK$105)&gt;0,$E$1=2),0,1),0)</f>
        <v>1</v>
      </c>
      <c r="Y158" s="67">
        <f ca="1">IF(LOWER(Capacity!$V63)="x",IF(AND(SUMIF(Capacity_Resource,$D158,'Critical resources (hide)'!AL$6:AL$105)+SUMIF(Capacity_Resource,$E158,'Critical resources (hide)'!AL$6:AL$105)+SUMIF(Capacity_Resource,$F158,'Critical resources (hide)'!AL$6:AL$105)&gt;0,$E$1=2),0,1),0)</f>
        <v>1</v>
      </c>
      <c r="Z158" s="67">
        <f ca="1">IF(LOWER(Capacity!$V63)="x",IF(AND(SUMIF(Capacity_Resource,$D158,'Critical resources (hide)'!AM$6:AM$105)+SUMIF(Capacity_Resource,$E158,'Critical resources (hide)'!AM$6:AM$105)+SUMIF(Capacity_Resource,$F158,'Critical resources (hide)'!AM$6:AM$105)&gt;0,$E$1=2),0,1),0)</f>
        <v>1</v>
      </c>
      <c r="AA158" s="67">
        <f ca="1">IF(LOWER(Capacity!$V63)="x",IF(AND(SUMIF(Capacity_Resource,$D158,'Critical resources (hide)'!AN$6:AN$105)+SUMIF(Capacity_Resource,$E158,'Critical resources (hide)'!AN$6:AN$105)+SUMIF(Capacity_Resource,$F158,'Critical resources (hide)'!AN$6:AN$105)&gt;0,$E$1=2),0,1),0)</f>
        <v>1</v>
      </c>
      <c r="AB158" s="67">
        <f ca="1">IF(LOWER(Capacity!$V63)="x",IF(AND(SUMIF(Capacity_Resource,$D158,'Critical resources (hide)'!AO$6:AO$105)+SUMIF(Capacity_Resource,$E158,'Critical resources (hide)'!AO$6:AO$105)+SUMIF(Capacity_Resource,$F158,'Critical resources (hide)'!AO$6:AO$105)&gt;0,$E$1=2),0,1),0)</f>
        <v>1</v>
      </c>
      <c r="AC158" s="67">
        <f ca="1">IF(LOWER(Capacity!$V63)="x",IF(AND(SUMIF(Capacity_Resource,$D158,'Critical resources (hide)'!AP$6:AP$105)+SUMIF(Capacity_Resource,$E158,'Critical resources (hide)'!AP$6:AP$105)+SUMIF(Capacity_Resource,$F158,'Critical resources (hide)'!AP$6:AP$105)&gt;0,$E$1=2),0,1),0)</f>
        <v>1</v>
      </c>
      <c r="AD158" s="67">
        <f ca="1">IF(LOWER(Capacity!$V63)="x",IF(AND(SUMIF(Capacity_Resource,$D158,'Critical resources (hide)'!AQ$6:AQ$105)+SUMIF(Capacity_Resource,$E158,'Critical resources (hide)'!AQ$6:AQ$105)+SUMIF(Capacity_Resource,$F158,'Critical resources (hide)'!AQ$6:AQ$105)&gt;0,$E$1=2),0,1),0)</f>
        <v>1</v>
      </c>
      <c r="AE158" s="67">
        <f ca="1">IF(LOWER(Capacity!$V63)="x",IF(AND(SUMIF(Capacity_Resource,$D158,'Critical resources (hide)'!AR$6:AR$105)+SUMIF(Capacity_Resource,$E158,'Critical resources (hide)'!AR$6:AR$105)+SUMIF(Capacity_Resource,$F158,'Critical resources (hide)'!AR$6:AR$105)&gt;0,$E$1=2),0,1),0)</f>
        <v>1</v>
      </c>
      <c r="AF158" s="67">
        <f ca="1">IF(LOWER(Capacity!$V63)="x",IF(AND(SUMIF(Capacity_Resource,$D158,'Critical resources (hide)'!AS$6:AS$105)+SUMIF(Capacity_Resource,$E158,'Critical resources (hide)'!AS$6:AS$105)+SUMIF(Capacity_Resource,$F158,'Critical resources (hide)'!AS$6:AS$105)&gt;0,$E$1=2),0,1),0)</f>
        <v>1</v>
      </c>
      <c r="AG158" s="67">
        <f ca="1">IF(LOWER(Capacity!$V63)="x",IF(AND(SUMIF(Capacity_Resource,$D158,'Critical resources (hide)'!AT$6:AT$105)+SUMIF(Capacity_Resource,$E158,'Critical resources (hide)'!AT$6:AT$105)+SUMIF(Capacity_Resource,$F158,'Critical resources (hide)'!AT$6:AT$105)&gt;0,$E$1=2),0,1),0)</f>
        <v>1</v>
      </c>
      <c r="AH158" s="67">
        <f ca="1">IF(LOWER(Capacity!$V63)="x",IF(AND(SUMIF(Capacity_Resource,$D158,'Critical resources (hide)'!AU$6:AU$105)+SUMIF(Capacity_Resource,$E158,'Critical resources (hide)'!AU$6:AU$105)+SUMIF(Capacity_Resource,$F158,'Critical resources (hide)'!AU$6:AU$105)&gt;0,$E$1=2),0,1),0)</f>
        <v>1</v>
      </c>
      <c r="AI158" s="67">
        <f ca="1">IF(LOWER(Capacity!$V63)="x",IF(AND(SUMIF(Capacity_Resource,$D158,'Critical resources (hide)'!AV$6:AV$105)+SUMIF(Capacity_Resource,$E158,'Critical resources (hide)'!AV$6:AV$105)+SUMIF(Capacity_Resource,$F158,'Critical resources (hide)'!AV$6:AV$105)&gt;0,$E$1=2),0,1),0)</f>
        <v>1</v>
      </c>
      <c r="AJ158" s="67">
        <f ca="1">IF(LOWER(Capacity!$V63)="x",IF(AND(SUMIF(Capacity_Resource,$D158,'Critical resources (hide)'!AW$6:AW$105)+SUMIF(Capacity_Resource,$E158,'Critical resources (hide)'!AW$6:AW$105)+SUMIF(Capacity_Resource,$F158,'Critical resources (hide)'!AW$6:AW$105)&gt;0,$E$1=2),0,1),0)</f>
        <v>1</v>
      </c>
      <c r="AK158" s="67">
        <f ca="1">IF(LOWER(Capacity!$V63)="x",IF(AND(SUMIF(Capacity_Resource,$D158,'Critical resources (hide)'!AX$6:AX$105)+SUMIF(Capacity_Resource,$E158,'Critical resources (hide)'!AX$6:AX$105)+SUMIF(Capacity_Resource,$F158,'Critical resources (hide)'!AX$6:AX$105)&gt;0,$E$1=2),0,1),0)</f>
        <v>1</v>
      </c>
      <c r="AL158" s="67">
        <f ca="1">IF(LOWER(Capacity!$V63)="x",IF(AND(SUMIF(Capacity_Resource,$D158,'Critical resources (hide)'!AY$6:AY$105)+SUMIF(Capacity_Resource,$E158,'Critical resources (hide)'!AY$6:AY$105)+SUMIF(Capacity_Resource,$F158,'Critical resources (hide)'!AY$6:AY$105)&gt;0,$E$1=2),0,1),0)</f>
        <v>1</v>
      </c>
      <c r="AM158" s="67">
        <f ca="1">IF(LOWER(Capacity!$V63)="x",IF(AND(SUMIF(Capacity_Resource,$D158,'Critical resources (hide)'!AZ$6:AZ$105)+SUMIF(Capacity_Resource,$E158,'Critical resources (hide)'!AZ$6:AZ$105)+SUMIF(Capacity_Resource,$F158,'Critical resources (hide)'!AZ$6:AZ$105)&gt;0,$E$1=2),0,1),0)</f>
        <v>1</v>
      </c>
      <c r="AN158" s="67">
        <f ca="1">IF(LOWER(Capacity!$V63)="x",IF(AND(SUMIF(Capacity_Resource,$D158,'Critical resources (hide)'!BA$6:BA$105)+SUMIF(Capacity_Resource,$E158,'Critical resources (hide)'!BA$6:BA$105)+SUMIF(Capacity_Resource,$F158,'Critical resources (hide)'!BA$6:BA$105)&gt;0,$E$1=2),0,1),0)</f>
        <v>1</v>
      </c>
      <c r="AO158" s="67">
        <f ca="1">IF(LOWER(Capacity!$V63)="x",IF(AND(SUMIF(Capacity_Resource,$D158,'Critical resources (hide)'!BB$6:BB$105)+SUMIF(Capacity_Resource,$E158,'Critical resources (hide)'!BB$6:BB$105)+SUMIF(Capacity_Resource,$F158,'Critical resources (hide)'!BB$6:BB$105)&gt;0,$E$1=2),0,1),0)</f>
        <v>1</v>
      </c>
      <c r="AP158" s="67">
        <f ca="1">IF(LOWER(Capacity!$V63)="x",IF(AND(SUMIF(Capacity_Resource,$D158,'Critical resources (hide)'!BC$6:BC$105)+SUMIF(Capacity_Resource,$E158,'Critical resources (hide)'!BC$6:BC$105)+SUMIF(Capacity_Resource,$F158,'Critical resources (hide)'!BC$6:BC$105)&gt;0,$E$1=2),0,1),0)</f>
        <v>1</v>
      </c>
      <c r="AQ158" s="67">
        <f ca="1">IF(LOWER(Capacity!$V63)="x",IF(AND(SUMIF(Capacity_Resource,$D158,'Critical resources (hide)'!BD$6:BD$105)+SUMIF(Capacity_Resource,$E158,'Critical resources (hide)'!BD$6:BD$105)+SUMIF(Capacity_Resource,$F158,'Critical resources (hide)'!BD$6:BD$105)&gt;0,$E$1=2),0,1),0)</f>
        <v>1</v>
      </c>
      <c r="AR158" s="67">
        <f ca="1">IF(LOWER(Capacity!$V63)="x",IF(AND(SUMIF(Capacity_Resource,$D158,'Critical resources (hide)'!BE$6:BE$105)+SUMIF(Capacity_Resource,$E158,'Critical resources (hide)'!BE$6:BE$105)+SUMIF(Capacity_Resource,$F158,'Critical resources (hide)'!BE$6:BE$105)&gt;0,$E$1=2),0,1),0)</f>
        <v>1</v>
      </c>
      <c r="AS158" s="67">
        <f ca="1">IF(LOWER(Capacity!$V63)="x",IF(AND(SUMIF(Capacity_Resource,$D158,'Critical resources (hide)'!BF$6:BF$105)+SUMIF(Capacity_Resource,$E158,'Critical resources (hide)'!BF$6:BF$105)+SUMIF(Capacity_Resource,$F158,'Critical resources (hide)'!BF$6:BF$105)&gt;0,$E$1=2),0,1),0)</f>
        <v>1</v>
      </c>
      <c r="AT158" s="67">
        <f ca="1">IF(LOWER(Capacity!$V63)="x",IF(AND(SUMIF(Capacity_Resource,$D158,'Critical resources (hide)'!BG$6:BG$105)+SUMIF(Capacity_Resource,$E158,'Critical resources (hide)'!BG$6:BG$105)+SUMIF(Capacity_Resource,$F158,'Critical resources (hide)'!BG$6:BG$105)&gt;0,$E$1=2),0,1),0)</f>
        <v>1</v>
      </c>
      <c r="AU158" s="67">
        <f ca="1">IF(LOWER(Capacity!$V63)="x",IF(AND(SUMIF(Capacity_Resource,$D158,'Critical resources (hide)'!BH$6:BH$105)+SUMIF(Capacity_Resource,$E158,'Critical resources (hide)'!BH$6:BH$105)+SUMIF(Capacity_Resource,$F158,'Critical resources (hide)'!BH$6:BH$105)&gt;0,$E$1=2),0,1),0)</f>
        <v>1</v>
      </c>
      <c r="AV158" s="67">
        <f ca="1">IF(LOWER(Capacity!$V63)="x",IF(AND(SUMIF(Capacity_Resource,$D158,'Critical resources (hide)'!BI$6:BI$105)+SUMIF(Capacity_Resource,$E158,'Critical resources (hide)'!BI$6:BI$105)+SUMIF(Capacity_Resource,$F158,'Critical resources (hide)'!BI$6:BI$105)&gt;0,$E$1=2),0,1),0)</f>
        <v>1</v>
      </c>
      <c r="AW158" s="67">
        <f ca="1">IF(LOWER(Capacity!$V63)="x",IF(AND(SUMIF(Capacity_Resource,$D158,'Critical resources (hide)'!BJ$6:BJ$105)+SUMIF(Capacity_Resource,$E158,'Critical resources (hide)'!BJ$6:BJ$105)+SUMIF(Capacity_Resource,$F158,'Critical resources (hide)'!BJ$6:BJ$105)&gt;0,$E$1=2),0,1),0)</f>
        <v>1</v>
      </c>
      <c r="AX158" s="67">
        <f ca="1">IF(LOWER(Capacity!$V63)="x",IF(AND(SUMIF(Capacity_Resource,$D158,'Critical resources (hide)'!BK$6:BK$105)+SUMIF(Capacity_Resource,$E158,'Critical resources (hide)'!BK$6:BK$105)+SUMIF(Capacity_Resource,$F158,'Critical resources (hide)'!BK$6:BK$105)&gt;0,$E$1=2),0,1),0)</f>
        <v>1</v>
      </c>
      <c r="AY158" s="67">
        <f ca="1">IF(LOWER(Capacity!$V63)="x",IF(AND(SUMIF(Capacity_Resource,$D158,'Critical resources (hide)'!BL$6:BL$105)+SUMIF(Capacity_Resource,$E158,'Critical resources (hide)'!BL$6:BL$105)+SUMIF(Capacity_Resource,$F158,'Critical resources (hide)'!BL$6:BL$105)&gt;0,$E$1=2),0,1),0)</f>
        <v>1</v>
      </c>
      <c r="AZ158" s="67">
        <f ca="1">IF(LOWER(Capacity!$V63)="x",IF(AND(SUMIF(Capacity_Resource,$D158,'Critical resources (hide)'!BM$6:BM$105)+SUMIF(Capacity_Resource,$E158,'Critical resources (hide)'!BM$6:BM$105)+SUMIF(Capacity_Resource,$F158,'Critical resources (hide)'!BM$6:BM$105)&gt;0,$E$1=2),0,1),0)</f>
        <v>1</v>
      </c>
      <c r="BA158" s="67">
        <f ca="1">IF(LOWER(Capacity!$V63)="x",IF(AND(SUMIF(Capacity_Resource,$D158,'Critical resources (hide)'!BN$6:BN$105)+SUMIF(Capacity_Resource,$E158,'Critical resources (hide)'!BN$6:BN$105)+SUMIF(Capacity_Resource,$F158,'Critical resources (hide)'!BN$6:BN$105)&gt;0,$E$1=2),0,1),0)</f>
        <v>1</v>
      </c>
      <c r="BB158" s="67">
        <f ca="1">IF(LOWER(Capacity!$V63)="x",IF(AND(SUMIF(Capacity_Resource,$D158,'Critical resources (hide)'!BO$6:BO$105)+SUMIF(Capacity_Resource,$E158,'Critical resources (hide)'!BO$6:BO$105)+SUMIF(Capacity_Resource,$F158,'Critical resources (hide)'!BO$6:BO$105)&gt;0,$E$1=2),0,1),0)</f>
        <v>1</v>
      </c>
      <c r="BC158" s="67">
        <f ca="1">IF(LOWER(Capacity!$V63)="x",IF(AND(SUMIF(Capacity_Resource,$D158,'Critical resources (hide)'!BP$6:BP$105)+SUMIF(Capacity_Resource,$E158,'Critical resources (hide)'!BP$6:BP$105)+SUMIF(Capacity_Resource,$F158,'Critical resources (hide)'!BP$6:BP$105)&gt;0,$E$1=2),0,1),0)</f>
        <v>1</v>
      </c>
      <c r="BD158" s="67">
        <f ca="1">IF(LOWER(Capacity!$V63)="x",IF(AND(SUMIF(Capacity_Resource,$D158,'Critical resources (hide)'!BQ$6:BQ$105)+SUMIF(Capacity_Resource,$E158,'Critical resources (hide)'!BQ$6:BQ$105)+SUMIF(Capacity_Resource,$F158,'Critical resources (hide)'!BQ$6:BQ$105)&gt;0,$E$1=2),0,1),0)</f>
        <v>1</v>
      </c>
      <c r="BE158" s="67">
        <f ca="1">IF(LOWER(Capacity!$V63)="x",IF(AND(SUMIF(Capacity_Resource,$D158,'Critical resources (hide)'!BR$6:BR$105)+SUMIF(Capacity_Resource,$E158,'Critical resources (hide)'!BR$6:BR$105)+SUMIF(Capacity_Resource,$F158,'Critical resources (hide)'!BR$6:BR$105)&gt;0,$E$1=2),0,1),0)</f>
        <v>1</v>
      </c>
      <c r="BF158" s="67">
        <f ca="1">IF(LOWER(Capacity!$V63)="x",IF(AND(SUMIF(Capacity_Resource,$D158,'Critical resources (hide)'!BS$6:BS$105)+SUMIF(Capacity_Resource,$E158,'Critical resources (hide)'!BS$6:BS$105)+SUMIF(Capacity_Resource,$F158,'Critical resources (hide)'!BS$6:BS$105)&gt;0,$E$1=2),0,1),0)</f>
        <v>1</v>
      </c>
      <c r="BG158" s="67">
        <f ca="1">IF(LOWER(Capacity!$V63)="x",IF(AND(SUMIF(Capacity_Resource,$D158,'Critical resources (hide)'!BT$6:BT$105)+SUMIF(Capacity_Resource,$E158,'Critical resources (hide)'!BT$6:BT$105)+SUMIF(Capacity_Resource,$F158,'Critical resources (hide)'!BT$6:BT$105)&gt;0,$E$1=2),0,1),0)</f>
        <v>1</v>
      </c>
      <c r="BH158" s="67">
        <f>IF(ROW(A47)&lt;=Capacity!$M$16,IF('Capacity summary'!$C$14="No",SUM(H158:BG158),'Capacity summary'!$E70),0)</f>
        <v>0</v>
      </c>
      <c r="BI158" s="67" t="str">
        <f>IF(BH158&gt;0,IF(BH158&lt;Capacity!Q63,Capacity!R63,Capacity!T63/'Capacity calculation (hide)'!BH158),"")</f>
        <v/>
      </c>
      <c r="BJ158" s="5"/>
      <c r="BK158" s="5">
        <f>IF($BI158&lt;&gt;"",IF('Capacity summary'!$C$14="Yes",IF(COUNTBLANK('Capacity summary'!$H70:$BG70)&lt;52,IF('Capacity summary'!H70&lt;&gt;"",IF(LOWER('Capacity summary'!H70)="x",$BI158*H158,VALUE('Capacity summary'!H70)),0),H158*$BI158),H158*$BI158),0)</f>
        <v>0</v>
      </c>
      <c r="BL158" s="5">
        <f>IF($BI158&lt;&gt;"",IF('Capacity summary'!$C$14="Yes",IF(COUNTBLANK('Capacity summary'!$H70:$BG70)&lt;52,IF('Capacity summary'!I70&lt;&gt;"",IF(LOWER('Capacity summary'!I70)="x",$BI158*I158,VALUE('Capacity summary'!I70)),0),I158*$BI158),I158*$BI158),0)</f>
        <v>0</v>
      </c>
      <c r="BM158" s="5">
        <f>IF($BI158&lt;&gt;"",IF('Capacity summary'!$C$14="Yes",IF(COUNTBLANK('Capacity summary'!$H70:$BG70)&lt;52,IF('Capacity summary'!J70&lt;&gt;"",IF(LOWER('Capacity summary'!J70)="x",$BI158*J158,VALUE('Capacity summary'!J70)),0),J158*$BI158),J158*$BI158),0)</f>
        <v>0</v>
      </c>
      <c r="BN158" s="5">
        <f>IF($BI158&lt;&gt;"",IF('Capacity summary'!$C$14="Yes",IF(COUNTBLANK('Capacity summary'!$H70:$BG70)&lt;52,IF('Capacity summary'!K70&lt;&gt;"",IF(LOWER('Capacity summary'!K70)="x",$BI158*K158,VALUE('Capacity summary'!K70)),0),K158*$BI158),K158*$BI158),0)</f>
        <v>0</v>
      </c>
      <c r="BO158" s="5">
        <f>IF($BI158&lt;&gt;"",IF('Capacity summary'!$C$14="Yes",IF(COUNTBLANK('Capacity summary'!$H70:$BG70)&lt;52,IF('Capacity summary'!L70&lt;&gt;"",IF(LOWER('Capacity summary'!L70)="x",$BI158*L158,VALUE('Capacity summary'!L70)),0),L158*$BI158),L158*$BI158),0)</f>
        <v>0</v>
      </c>
      <c r="BP158" s="5">
        <f>IF($BI158&lt;&gt;"",IF('Capacity summary'!$C$14="Yes",IF(COUNTBLANK('Capacity summary'!$H70:$BG70)&lt;52,IF('Capacity summary'!M70&lt;&gt;"",IF(LOWER('Capacity summary'!M70)="x",$BI158*M158,VALUE('Capacity summary'!M70)),0),M158*$BI158),M158*$BI158),0)</f>
        <v>0</v>
      </c>
      <c r="BQ158" s="5">
        <f>IF($BI158&lt;&gt;"",IF('Capacity summary'!$C$14="Yes",IF(COUNTBLANK('Capacity summary'!$H70:$BG70)&lt;52,IF('Capacity summary'!N70&lt;&gt;"",IF(LOWER('Capacity summary'!N70)="x",$BI158*N158,VALUE('Capacity summary'!N70)),0),N158*$BI158),N158*$BI158),0)</f>
        <v>0</v>
      </c>
      <c r="BR158" s="5">
        <f>IF($BI158&lt;&gt;"",IF('Capacity summary'!$C$14="Yes",IF(COUNTBLANK('Capacity summary'!$H70:$BG70)&lt;52,IF('Capacity summary'!O70&lt;&gt;"",IF(LOWER('Capacity summary'!O70)="x",$BI158*O158,VALUE('Capacity summary'!O70)),0),O158*$BI158),O158*$BI158),0)</f>
        <v>0</v>
      </c>
      <c r="BS158" s="5">
        <f>IF($BI158&lt;&gt;"",IF('Capacity summary'!$C$14="Yes",IF(COUNTBLANK('Capacity summary'!$H70:$BG70)&lt;52,IF('Capacity summary'!P70&lt;&gt;"",IF(LOWER('Capacity summary'!P70)="x",$BI158*P158,VALUE('Capacity summary'!P70)),0),P158*$BI158),P158*$BI158),0)</f>
        <v>0</v>
      </c>
      <c r="BT158" s="5">
        <f>IF($BI158&lt;&gt;"",IF('Capacity summary'!$C$14="Yes",IF(COUNTBLANK('Capacity summary'!$H70:$BG70)&lt;52,IF('Capacity summary'!Q70&lt;&gt;"",IF(LOWER('Capacity summary'!Q70)="x",$BI158*Q158,VALUE('Capacity summary'!Q70)),0),Q158*$BI158),Q158*$BI158),0)</f>
        <v>0</v>
      </c>
      <c r="BU158" s="5">
        <f>IF($BI158&lt;&gt;"",IF('Capacity summary'!$C$14="Yes",IF(COUNTBLANK('Capacity summary'!$H70:$BG70)&lt;52,IF('Capacity summary'!R70&lt;&gt;"",IF(LOWER('Capacity summary'!R70)="x",$BI158*R158,VALUE('Capacity summary'!R70)),0),R158*$BI158),R158*$BI158),0)</f>
        <v>0</v>
      </c>
      <c r="BV158" s="5">
        <f>IF($BI158&lt;&gt;"",IF('Capacity summary'!$C$14="Yes",IF(COUNTBLANK('Capacity summary'!$H70:$BG70)&lt;52,IF('Capacity summary'!S70&lt;&gt;"",IF(LOWER('Capacity summary'!S70)="x",$BI158*S158,VALUE('Capacity summary'!S70)),0),S158*$BI158),S158*$BI158),0)</f>
        <v>0</v>
      </c>
      <c r="BW158" s="5">
        <f>IF($BI158&lt;&gt;"",IF('Capacity summary'!$C$14="Yes",IF(COUNTBLANK('Capacity summary'!$H70:$BG70)&lt;52,IF('Capacity summary'!T70&lt;&gt;"",IF(LOWER('Capacity summary'!T70)="x",$BI158*T158,VALUE('Capacity summary'!T70)),0),T158*$BI158),T158*$BI158),0)</f>
        <v>0</v>
      </c>
      <c r="BX158" s="5">
        <f>IF($BI158&lt;&gt;"",IF('Capacity summary'!$C$14="Yes",IF(COUNTBLANK('Capacity summary'!$H70:$BG70)&lt;52,IF('Capacity summary'!U70&lt;&gt;"",IF(LOWER('Capacity summary'!U70)="x",$BI158*U158,VALUE('Capacity summary'!U70)),0),U158*$BI158),U158*$BI158),0)</f>
        <v>0</v>
      </c>
      <c r="BY158" s="5">
        <f>IF($BI158&lt;&gt;"",IF('Capacity summary'!$C$14="Yes",IF(COUNTBLANK('Capacity summary'!$H70:$BG70)&lt;52,IF('Capacity summary'!V70&lt;&gt;"",IF(LOWER('Capacity summary'!V70)="x",$BI158*V158,VALUE('Capacity summary'!V70)),0),V158*$BI158),V158*$BI158),0)</f>
        <v>0</v>
      </c>
      <c r="BZ158" s="5">
        <f>IF($BI158&lt;&gt;"",IF('Capacity summary'!$C$14="Yes",IF(COUNTBLANK('Capacity summary'!$H70:$BG70)&lt;52,IF('Capacity summary'!W70&lt;&gt;"",IF(LOWER('Capacity summary'!W70)="x",$BI158*W158,VALUE('Capacity summary'!W70)),0),W158*$BI158),W158*$BI158),0)</f>
        <v>0</v>
      </c>
      <c r="CA158" s="5">
        <f>IF($BI158&lt;&gt;"",IF('Capacity summary'!$C$14="Yes",IF(COUNTBLANK('Capacity summary'!$H70:$BG70)&lt;52,IF('Capacity summary'!X70&lt;&gt;"",IF(LOWER('Capacity summary'!X70)="x",$BI158*X158,VALUE('Capacity summary'!X70)),0),X158*$BI158),X158*$BI158),0)</f>
        <v>0</v>
      </c>
      <c r="CB158" s="5">
        <f>IF($BI158&lt;&gt;"",IF('Capacity summary'!$C$14="Yes",IF(COUNTBLANK('Capacity summary'!$H70:$BG70)&lt;52,IF('Capacity summary'!Y70&lt;&gt;"",IF(LOWER('Capacity summary'!Y70)="x",$BI158*Y158,VALUE('Capacity summary'!Y70)),0),Y158*$BI158),Y158*$BI158),0)</f>
        <v>0</v>
      </c>
      <c r="CC158" s="5">
        <f>IF($BI158&lt;&gt;"",IF('Capacity summary'!$C$14="Yes",IF(COUNTBLANK('Capacity summary'!$H70:$BG70)&lt;52,IF('Capacity summary'!Z70&lt;&gt;"",IF(LOWER('Capacity summary'!Z70)="x",$BI158*Z158,VALUE('Capacity summary'!Z70)),0),Z158*$BI158),Z158*$BI158),0)</f>
        <v>0</v>
      </c>
      <c r="CD158" s="5">
        <f>IF($BI158&lt;&gt;"",IF('Capacity summary'!$C$14="Yes",IF(COUNTBLANK('Capacity summary'!$H70:$BG70)&lt;52,IF('Capacity summary'!AA70&lt;&gt;"",IF(LOWER('Capacity summary'!AA70)="x",$BI158*AA158,VALUE('Capacity summary'!AA70)),0),AA158*$BI158),AA158*$BI158),0)</f>
        <v>0</v>
      </c>
      <c r="CE158" s="5">
        <f>IF($BI158&lt;&gt;"",IF('Capacity summary'!$C$14="Yes",IF(COUNTBLANK('Capacity summary'!$H70:$BG70)&lt;52,IF('Capacity summary'!AB70&lt;&gt;"",IF(LOWER('Capacity summary'!AB70)="x",$BI158*AB158,VALUE('Capacity summary'!AB70)),0),AB158*$BI158),AB158*$BI158),0)</f>
        <v>0</v>
      </c>
      <c r="CF158" s="5">
        <f>IF($BI158&lt;&gt;"",IF('Capacity summary'!$C$14="Yes",IF(COUNTBLANK('Capacity summary'!$H70:$BG70)&lt;52,IF('Capacity summary'!AC70&lt;&gt;"",IF(LOWER('Capacity summary'!AC70)="x",$BI158*AC158,VALUE('Capacity summary'!AC70)),0),AC158*$BI158),AC158*$BI158),0)</f>
        <v>0</v>
      </c>
      <c r="CG158" s="5">
        <f>IF($BI158&lt;&gt;"",IF('Capacity summary'!$C$14="Yes",IF(COUNTBLANK('Capacity summary'!$H70:$BG70)&lt;52,IF('Capacity summary'!AD70&lt;&gt;"",IF(LOWER('Capacity summary'!AD70)="x",$BI158*AD158,VALUE('Capacity summary'!AD70)),0),AD158*$BI158),AD158*$BI158),0)</f>
        <v>0</v>
      </c>
      <c r="CH158" s="5">
        <f>IF($BI158&lt;&gt;"",IF('Capacity summary'!$C$14="Yes",IF(COUNTBLANK('Capacity summary'!$H70:$BG70)&lt;52,IF('Capacity summary'!AE70&lt;&gt;"",IF(LOWER('Capacity summary'!AE70)="x",$BI158*AE158,VALUE('Capacity summary'!AE70)),0),AE158*$BI158),AE158*$BI158),0)</f>
        <v>0</v>
      </c>
      <c r="CI158" s="5">
        <f>IF($BI158&lt;&gt;"",IF('Capacity summary'!$C$14="Yes",IF(COUNTBLANK('Capacity summary'!$H70:$BG70)&lt;52,IF('Capacity summary'!AF70&lt;&gt;"",IF(LOWER('Capacity summary'!AF70)="x",$BI158*AF158,VALUE('Capacity summary'!AF70)),0),AF158*$BI158),AF158*$BI158),0)</f>
        <v>0</v>
      </c>
      <c r="CJ158" s="5">
        <f>IF($BI158&lt;&gt;"",IF('Capacity summary'!$C$14="Yes",IF(COUNTBLANK('Capacity summary'!$H70:$BG70)&lt;52,IF('Capacity summary'!AG70&lt;&gt;"",IF(LOWER('Capacity summary'!AG70)="x",$BI158*AG158,VALUE('Capacity summary'!AG70)),0),AG158*$BI158),AG158*$BI158),0)</f>
        <v>0</v>
      </c>
      <c r="CK158" s="5">
        <f>IF($BI158&lt;&gt;"",IF('Capacity summary'!$C$14="Yes",IF(COUNTBLANK('Capacity summary'!$H70:$BG70)&lt;52,IF('Capacity summary'!AH70&lt;&gt;"",IF(LOWER('Capacity summary'!AH70)="x",$BI158*AH158,VALUE('Capacity summary'!AH70)),0),AH158*$BI158),AH158*$BI158),0)</f>
        <v>0</v>
      </c>
      <c r="CL158" s="5">
        <f>IF($BI158&lt;&gt;"",IF('Capacity summary'!$C$14="Yes",IF(COUNTBLANK('Capacity summary'!$H70:$BG70)&lt;52,IF('Capacity summary'!AI70&lt;&gt;"",IF(LOWER('Capacity summary'!AI70)="x",$BI158*AI158,VALUE('Capacity summary'!AI70)),0),AI158*$BI158),AI158*$BI158),0)</f>
        <v>0</v>
      </c>
      <c r="CM158" s="5">
        <f>IF($BI158&lt;&gt;"",IF('Capacity summary'!$C$14="Yes",IF(COUNTBLANK('Capacity summary'!$H70:$BG70)&lt;52,IF('Capacity summary'!AJ70&lt;&gt;"",IF(LOWER('Capacity summary'!AJ70)="x",$BI158*AJ158,VALUE('Capacity summary'!AJ70)),0),AJ158*$BI158),AJ158*$BI158),0)</f>
        <v>0</v>
      </c>
      <c r="CN158" s="5">
        <f>IF($BI158&lt;&gt;"",IF('Capacity summary'!$C$14="Yes",IF(COUNTBLANK('Capacity summary'!$H70:$BG70)&lt;52,IF('Capacity summary'!AK70&lt;&gt;"",IF(LOWER('Capacity summary'!AK70)="x",$BI158*AK158,VALUE('Capacity summary'!AK70)),0),AK158*$BI158),AK158*$BI158),0)</f>
        <v>0</v>
      </c>
      <c r="CO158" s="5">
        <f>IF($BI158&lt;&gt;"",IF('Capacity summary'!$C$14="Yes",IF(COUNTBLANK('Capacity summary'!$H70:$BG70)&lt;52,IF('Capacity summary'!AL70&lt;&gt;"",IF(LOWER('Capacity summary'!AL70)="x",$BI158*AL158,VALUE('Capacity summary'!AL70)),0),AL158*$BI158),AL158*$BI158),0)</f>
        <v>0</v>
      </c>
      <c r="CP158" s="5">
        <f>IF($BI158&lt;&gt;"",IF('Capacity summary'!$C$14="Yes",IF(COUNTBLANK('Capacity summary'!$H70:$BG70)&lt;52,IF('Capacity summary'!AM70&lt;&gt;"",IF(LOWER('Capacity summary'!AM70)="x",$BI158*AM158,VALUE('Capacity summary'!AM70)),0),AM158*$BI158),AM158*$BI158),0)</f>
        <v>0</v>
      </c>
      <c r="CQ158" s="5">
        <f>IF($BI158&lt;&gt;"",IF('Capacity summary'!$C$14="Yes",IF(COUNTBLANK('Capacity summary'!$H70:$BG70)&lt;52,IF('Capacity summary'!AN70&lt;&gt;"",IF(LOWER('Capacity summary'!AN70)="x",$BI158*AN158,VALUE('Capacity summary'!AN70)),0),AN158*$BI158),AN158*$BI158),0)</f>
        <v>0</v>
      </c>
      <c r="CR158" s="5">
        <f>IF($BI158&lt;&gt;"",IF('Capacity summary'!$C$14="Yes",IF(COUNTBLANK('Capacity summary'!$H70:$BG70)&lt;52,IF('Capacity summary'!AO70&lt;&gt;"",IF(LOWER('Capacity summary'!AO70)="x",$BI158*AO158,VALUE('Capacity summary'!AO70)),0),AO158*$BI158),AO158*$BI158),0)</f>
        <v>0</v>
      </c>
      <c r="CS158" s="5">
        <f>IF($BI158&lt;&gt;"",IF('Capacity summary'!$C$14="Yes",IF(COUNTBLANK('Capacity summary'!$H70:$BG70)&lt;52,IF('Capacity summary'!AP70&lt;&gt;"",IF(LOWER('Capacity summary'!AP70)="x",$BI158*AP158,VALUE('Capacity summary'!AP70)),0),AP158*$BI158),AP158*$BI158),0)</f>
        <v>0</v>
      </c>
      <c r="CT158" s="5">
        <f>IF($BI158&lt;&gt;"",IF('Capacity summary'!$C$14="Yes",IF(COUNTBLANK('Capacity summary'!$H70:$BG70)&lt;52,IF('Capacity summary'!AQ70&lt;&gt;"",IF(LOWER('Capacity summary'!AQ70)="x",$BI158*AQ158,VALUE('Capacity summary'!AQ70)),0),AQ158*$BI158),AQ158*$BI158),0)</f>
        <v>0</v>
      </c>
      <c r="CU158" s="5">
        <f>IF($BI158&lt;&gt;"",IF('Capacity summary'!$C$14="Yes",IF(COUNTBLANK('Capacity summary'!$H70:$BG70)&lt;52,IF('Capacity summary'!AR70&lt;&gt;"",IF(LOWER('Capacity summary'!AR70)="x",$BI158*AR158,VALUE('Capacity summary'!AR70)),0),AR158*$BI158),AR158*$BI158),0)</f>
        <v>0</v>
      </c>
      <c r="CV158" s="5">
        <f>IF($BI158&lt;&gt;"",IF('Capacity summary'!$C$14="Yes",IF(COUNTBLANK('Capacity summary'!$H70:$BG70)&lt;52,IF('Capacity summary'!AS70&lt;&gt;"",IF(LOWER('Capacity summary'!AS70)="x",$BI158*AS158,VALUE('Capacity summary'!AS70)),0),AS158*$BI158),AS158*$BI158),0)</f>
        <v>0</v>
      </c>
      <c r="CW158" s="5">
        <f>IF($BI158&lt;&gt;"",IF('Capacity summary'!$C$14="Yes",IF(COUNTBLANK('Capacity summary'!$H70:$BG70)&lt;52,IF('Capacity summary'!AT70&lt;&gt;"",IF(LOWER('Capacity summary'!AT70)="x",$BI158*AT158,VALUE('Capacity summary'!AT70)),0),AT158*$BI158),AT158*$BI158),0)</f>
        <v>0</v>
      </c>
      <c r="CX158" s="5">
        <f>IF($BI158&lt;&gt;"",IF('Capacity summary'!$C$14="Yes",IF(COUNTBLANK('Capacity summary'!$H70:$BG70)&lt;52,IF('Capacity summary'!AU70&lt;&gt;"",IF(LOWER('Capacity summary'!AU70)="x",$BI158*AU158,VALUE('Capacity summary'!AU70)),0),AU158*$BI158),AU158*$BI158),0)</f>
        <v>0</v>
      </c>
      <c r="CY158" s="5">
        <f>IF($BI158&lt;&gt;"",IF('Capacity summary'!$C$14="Yes",IF(COUNTBLANK('Capacity summary'!$H70:$BG70)&lt;52,IF('Capacity summary'!AV70&lt;&gt;"",IF(LOWER('Capacity summary'!AV70)="x",$BI158*AV158,VALUE('Capacity summary'!AV70)),0),AV158*$BI158),AV158*$BI158),0)</f>
        <v>0</v>
      </c>
      <c r="CZ158" s="5">
        <f>IF($BI158&lt;&gt;"",IF('Capacity summary'!$C$14="Yes",IF(COUNTBLANK('Capacity summary'!$H70:$BG70)&lt;52,IF('Capacity summary'!AW70&lt;&gt;"",IF(LOWER('Capacity summary'!AW70)="x",$BI158*AW158,VALUE('Capacity summary'!AW70)),0),AW158*$BI158),AW158*$BI158),0)</f>
        <v>0</v>
      </c>
      <c r="DA158" s="5">
        <f>IF($BI158&lt;&gt;"",IF('Capacity summary'!$C$14="Yes",IF(COUNTBLANK('Capacity summary'!$H70:$BG70)&lt;52,IF('Capacity summary'!AX70&lt;&gt;"",IF(LOWER('Capacity summary'!AX70)="x",$BI158*AX158,VALUE('Capacity summary'!AX70)),0),AX158*$BI158),AX158*$BI158),0)</f>
        <v>0</v>
      </c>
      <c r="DB158" s="5">
        <f>IF($BI158&lt;&gt;"",IF('Capacity summary'!$C$14="Yes",IF(COUNTBLANK('Capacity summary'!$H70:$BG70)&lt;52,IF('Capacity summary'!AY70&lt;&gt;"",IF(LOWER('Capacity summary'!AY70)="x",$BI158*AY158,VALUE('Capacity summary'!AY70)),0),AY158*$BI158),AY158*$BI158),0)</f>
        <v>0</v>
      </c>
      <c r="DC158" s="5">
        <f>IF($BI158&lt;&gt;"",IF('Capacity summary'!$C$14="Yes",IF(COUNTBLANK('Capacity summary'!$H70:$BG70)&lt;52,IF('Capacity summary'!AZ70&lt;&gt;"",IF(LOWER('Capacity summary'!AZ70)="x",$BI158*AZ158,VALUE('Capacity summary'!AZ70)),0),AZ158*$BI158),AZ158*$BI158),0)</f>
        <v>0</v>
      </c>
      <c r="DD158" s="5">
        <f>IF($BI158&lt;&gt;"",IF('Capacity summary'!$C$14="Yes",IF(COUNTBLANK('Capacity summary'!$H70:$BG70)&lt;52,IF('Capacity summary'!BA70&lt;&gt;"",IF(LOWER('Capacity summary'!BA70)="x",$BI158*BA158,VALUE('Capacity summary'!BA70)),0),BA158*$BI158),BA158*$BI158),0)</f>
        <v>0</v>
      </c>
      <c r="DE158" s="5">
        <f>IF($BI158&lt;&gt;"",IF('Capacity summary'!$C$14="Yes",IF(COUNTBLANK('Capacity summary'!$H70:$BG70)&lt;52,IF('Capacity summary'!BB70&lt;&gt;"",IF(LOWER('Capacity summary'!BB70)="x",$BI158*BB158,VALUE('Capacity summary'!BB70)),0),BB158*$BI158),BB158*$BI158),0)</f>
        <v>0</v>
      </c>
      <c r="DF158" s="5">
        <f>IF($BI158&lt;&gt;"",IF('Capacity summary'!$C$14="Yes",IF(COUNTBLANK('Capacity summary'!$H70:$BG70)&lt;52,IF('Capacity summary'!BC70&lt;&gt;"",IF(LOWER('Capacity summary'!BC70)="x",$BI158*BC158,VALUE('Capacity summary'!BC70)),0),BC158*$BI158),BC158*$BI158),0)</f>
        <v>0</v>
      </c>
      <c r="DG158" s="5">
        <f>IF($BI158&lt;&gt;"",IF('Capacity summary'!$C$14="Yes",IF(COUNTBLANK('Capacity summary'!$H70:$BG70)&lt;52,IF('Capacity summary'!BD70&lt;&gt;"",IF(LOWER('Capacity summary'!BD70)="x",$BI158*BD158,VALUE('Capacity summary'!BD70)),0),BD158*$BI158),BD158*$BI158),0)</f>
        <v>0</v>
      </c>
      <c r="DH158" s="5">
        <f>IF($BI158&lt;&gt;"",IF('Capacity summary'!$C$14="Yes",IF(COUNTBLANK('Capacity summary'!$H70:$BG70)&lt;52,IF('Capacity summary'!BE70&lt;&gt;"",IF(LOWER('Capacity summary'!BE70)="x",$BI158*BE158,VALUE('Capacity summary'!BE70)),0),BE158*$BI158),BE158*$BI158),0)</f>
        <v>0</v>
      </c>
      <c r="DI158" s="5">
        <f>IF($BI158&lt;&gt;"",IF('Capacity summary'!$C$14="Yes",IF(COUNTBLANK('Capacity summary'!$H70:$BG70)&lt;52,IF('Capacity summary'!BF70&lt;&gt;"",IF(LOWER('Capacity summary'!BF70)="x",$BI158*BF158,VALUE('Capacity summary'!BF70)),0),BF158*$BI158),BF158*$BI158),0)</f>
        <v>0</v>
      </c>
      <c r="DJ158" s="5">
        <f>IF($BI158&lt;&gt;"",IF('Capacity summary'!$C$14="Yes",IF(COUNTBLANK('Capacity summary'!$H70:$BG70)&lt;52,IF('Capacity summary'!BG70&lt;&gt;"",IF(LOWER('Capacity summary'!BG70)="x",$BI158*BG158,VALUE('Capacity summary'!BG70)),0),BG158*$BI158),BG158*$BI158),0)</f>
        <v>0</v>
      </c>
      <c r="DK158" s="391">
        <f t="shared" si="8"/>
        <v>0</v>
      </c>
      <c r="DL158" s="5">
        <f t="shared" si="9"/>
        <v>0</v>
      </c>
    </row>
    <row r="159" spans="3:116" x14ac:dyDescent="0.2">
      <c r="C159" s="67" t="str">
        <f>ROW(A48)&amp;". "&amp;Capacity!N64</f>
        <v xml:space="preserve">48. </v>
      </c>
      <c r="D159" s="67">
        <f>'Capacity setup'!C165</f>
        <v>0</v>
      </c>
      <c r="E159" s="67">
        <f>'Capacity setup'!D165</f>
        <v>0</v>
      </c>
      <c r="F159" s="67">
        <f>'Capacity setup'!E165</f>
        <v>0</v>
      </c>
      <c r="H159" s="67">
        <f ca="1">IF(LOWER(Capacity!$V64)="x",IF(AND(SUMIF(Capacity_Resource,$D159,'Critical resources (hide)'!U$6:U$105)+SUMIF(Capacity_Resource,$E159,'Critical resources (hide)'!U$6:U$105)+SUMIF(Capacity_Resource,$F159,'Critical resources (hide)'!U$6:U$105)&gt;0,$E$1=2),0,1),0)</f>
        <v>1</v>
      </c>
      <c r="I159" s="67">
        <f ca="1">IF(LOWER(Capacity!$V64)="x",IF(AND(SUMIF(Capacity_Resource,$D159,'Critical resources (hide)'!V$6:V$105)+SUMIF(Capacity_Resource,$E159,'Critical resources (hide)'!V$6:V$105)+SUMIF(Capacity_Resource,$F159,'Critical resources (hide)'!V$6:V$105)&gt;0,$E$1=2),0,1),0)</f>
        <v>1</v>
      </c>
      <c r="J159" s="67">
        <f ca="1">IF(LOWER(Capacity!$V64)="x",IF(AND(SUMIF(Capacity_Resource,$D159,'Critical resources (hide)'!W$6:W$105)+SUMIF(Capacity_Resource,$E159,'Critical resources (hide)'!W$6:W$105)+SUMIF(Capacity_Resource,$F159,'Critical resources (hide)'!W$6:W$105)&gt;0,$E$1=2),0,1),0)</f>
        <v>1</v>
      </c>
      <c r="K159" s="67">
        <f ca="1">IF(LOWER(Capacity!$V64)="x",IF(AND(SUMIF(Capacity_Resource,$D159,'Critical resources (hide)'!X$6:X$105)+SUMIF(Capacity_Resource,$E159,'Critical resources (hide)'!X$6:X$105)+SUMIF(Capacity_Resource,$F159,'Critical resources (hide)'!X$6:X$105)&gt;0,$E$1=2),0,1),0)</f>
        <v>1</v>
      </c>
      <c r="L159" s="67">
        <f ca="1">IF(LOWER(Capacity!$V64)="x",IF(AND(SUMIF(Capacity_Resource,$D159,'Critical resources (hide)'!Y$6:Y$105)+SUMIF(Capacity_Resource,$E159,'Critical resources (hide)'!Y$6:Y$105)+SUMIF(Capacity_Resource,$F159,'Critical resources (hide)'!Y$6:Y$105)&gt;0,$E$1=2),0,1),0)</f>
        <v>1</v>
      </c>
      <c r="M159" s="67">
        <f ca="1">IF(LOWER(Capacity!$V64)="x",IF(AND(SUMIF(Capacity_Resource,$D159,'Critical resources (hide)'!Z$6:Z$105)+SUMIF(Capacity_Resource,$E159,'Critical resources (hide)'!Z$6:Z$105)+SUMIF(Capacity_Resource,$F159,'Critical resources (hide)'!Z$6:Z$105)&gt;0,$E$1=2),0,1),0)</f>
        <v>1</v>
      </c>
      <c r="N159" s="67">
        <f ca="1">IF(LOWER(Capacity!$V64)="x",IF(AND(SUMIF(Capacity_Resource,$D159,'Critical resources (hide)'!AA$6:AA$105)+SUMIF(Capacity_Resource,$E159,'Critical resources (hide)'!AA$6:AA$105)+SUMIF(Capacity_Resource,$F159,'Critical resources (hide)'!AA$6:AA$105)&gt;0,$E$1=2),0,1),0)</f>
        <v>1</v>
      </c>
      <c r="O159" s="67">
        <f ca="1">IF(LOWER(Capacity!$V64)="x",IF(AND(SUMIF(Capacity_Resource,$D159,'Critical resources (hide)'!AB$6:AB$105)+SUMIF(Capacity_Resource,$E159,'Critical resources (hide)'!AB$6:AB$105)+SUMIF(Capacity_Resource,$F159,'Critical resources (hide)'!AB$6:AB$105)&gt;0,$E$1=2),0,1),0)</f>
        <v>1</v>
      </c>
      <c r="P159" s="67">
        <f ca="1">IF(LOWER(Capacity!$V64)="x",IF(AND(SUMIF(Capacity_Resource,$D159,'Critical resources (hide)'!AC$6:AC$105)+SUMIF(Capacity_Resource,$E159,'Critical resources (hide)'!AC$6:AC$105)+SUMIF(Capacity_Resource,$F159,'Critical resources (hide)'!AC$6:AC$105)&gt;0,$E$1=2),0,1),0)</f>
        <v>1</v>
      </c>
      <c r="Q159" s="67">
        <f ca="1">IF(LOWER(Capacity!$V64)="x",IF(AND(SUMIF(Capacity_Resource,$D159,'Critical resources (hide)'!AD$6:AD$105)+SUMIF(Capacity_Resource,$E159,'Critical resources (hide)'!AD$6:AD$105)+SUMIF(Capacity_Resource,$F159,'Critical resources (hide)'!AD$6:AD$105)&gt;0,$E$1=2),0,1),0)</f>
        <v>1</v>
      </c>
      <c r="R159" s="67">
        <f ca="1">IF(LOWER(Capacity!$V64)="x",IF(AND(SUMIF(Capacity_Resource,$D159,'Critical resources (hide)'!AE$6:AE$105)+SUMIF(Capacity_Resource,$E159,'Critical resources (hide)'!AE$6:AE$105)+SUMIF(Capacity_Resource,$F159,'Critical resources (hide)'!AE$6:AE$105)&gt;0,$E$1=2),0,1),0)</f>
        <v>1</v>
      </c>
      <c r="S159" s="67">
        <f ca="1">IF(LOWER(Capacity!$V64)="x",IF(AND(SUMIF(Capacity_Resource,$D159,'Critical resources (hide)'!AF$6:AF$105)+SUMIF(Capacity_Resource,$E159,'Critical resources (hide)'!AF$6:AF$105)+SUMIF(Capacity_Resource,$F159,'Critical resources (hide)'!AF$6:AF$105)&gt;0,$E$1=2),0,1),0)</f>
        <v>1</v>
      </c>
      <c r="T159" s="67">
        <f ca="1">IF(LOWER(Capacity!$V64)="x",IF(AND(SUMIF(Capacity_Resource,$D159,'Critical resources (hide)'!AG$6:AG$105)+SUMIF(Capacity_Resource,$E159,'Critical resources (hide)'!AG$6:AG$105)+SUMIF(Capacity_Resource,$F159,'Critical resources (hide)'!AG$6:AG$105)&gt;0,$E$1=2),0,1),0)</f>
        <v>1</v>
      </c>
      <c r="U159" s="67">
        <f ca="1">IF(LOWER(Capacity!$V64)="x",IF(AND(SUMIF(Capacity_Resource,$D159,'Critical resources (hide)'!AH$6:AH$105)+SUMIF(Capacity_Resource,$E159,'Critical resources (hide)'!AH$6:AH$105)+SUMIF(Capacity_Resource,$F159,'Critical resources (hide)'!AH$6:AH$105)&gt;0,$E$1=2),0,1),0)</f>
        <v>1</v>
      </c>
      <c r="V159" s="67">
        <f ca="1">IF(LOWER(Capacity!$V64)="x",IF(AND(SUMIF(Capacity_Resource,$D159,'Critical resources (hide)'!AI$6:AI$105)+SUMIF(Capacity_Resource,$E159,'Critical resources (hide)'!AI$6:AI$105)+SUMIF(Capacity_Resource,$F159,'Critical resources (hide)'!AI$6:AI$105)&gt;0,$E$1=2),0,1),0)</f>
        <v>1</v>
      </c>
      <c r="W159" s="67">
        <f ca="1">IF(LOWER(Capacity!$V64)="x",IF(AND(SUMIF(Capacity_Resource,$D159,'Critical resources (hide)'!AJ$6:AJ$105)+SUMIF(Capacity_Resource,$E159,'Critical resources (hide)'!AJ$6:AJ$105)+SUMIF(Capacity_Resource,$F159,'Critical resources (hide)'!AJ$6:AJ$105)&gt;0,$E$1=2),0,1),0)</f>
        <v>1</v>
      </c>
      <c r="X159" s="67">
        <f ca="1">IF(LOWER(Capacity!$V64)="x",IF(AND(SUMIF(Capacity_Resource,$D159,'Critical resources (hide)'!AK$6:AK$105)+SUMIF(Capacity_Resource,$E159,'Critical resources (hide)'!AK$6:AK$105)+SUMIF(Capacity_Resource,$F159,'Critical resources (hide)'!AK$6:AK$105)&gt;0,$E$1=2),0,1),0)</f>
        <v>1</v>
      </c>
      <c r="Y159" s="67">
        <f ca="1">IF(LOWER(Capacity!$V64)="x",IF(AND(SUMIF(Capacity_Resource,$D159,'Critical resources (hide)'!AL$6:AL$105)+SUMIF(Capacity_Resource,$E159,'Critical resources (hide)'!AL$6:AL$105)+SUMIF(Capacity_Resource,$F159,'Critical resources (hide)'!AL$6:AL$105)&gt;0,$E$1=2),0,1),0)</f>
        <v>1</v>
      </c>
      <c r="Z159" s="67">
        <f ca="1">IF(LOWER(Capacity!$V64)="x",IF(AND(SUMIF(Capacity_Resource,$D159,'Critical resources (hide)'!AM$6:AM$105)+SUMIF(Capacity_Resource,$E159,'Critical resources (hide)'!AM$6:AM$105)+SUMIF(Capacity_Resource,$F159,'Critical resources (hide)'!AM$6:AM$105)&gt;0,$E$1=2),0,1),0)</f>
        <v>1</v>
      </c>
      <c r="AA159" s="67">
        <f ca="1">IF(LOWER(Capacity!$V64)="x",IF(AND(SUMIF(Capacity_Resource,$D159,'Critical resources (hide)'!AN$6:AN$105)+SUMIF(Capacity_Resource,$E159,'Critical resources (hide)'!AN$6:AN$105)+SUMIF(Capacity_Resource,$F159,'Critical resources (hide)'!AN$6:AN$105)&gt;0,$E$1=2),0,1),0)</f>
        <v>1</v>
      </c>
      <c r="AB159" s="67">
        <f ca="1">IF(LOWER(Capacity!$V64)="x",IF(AND(SUMIF(Capacity_Resource,$D159,'Critical resources (hide)'!AO$6:AO$105)+SUMIF(Capacity_Resource,$E159,'Critical resources (hide)'!AO$6:AO$105)+SUMIF(Capacity_Resource,$F159,'Critical resources (hide)'!AO$6:AO$105)&gt;0,$E$1=2),0,1),0)</f>
        <v>1</v>
      </c>
      <c r="AC159" s="67">
        <f ca="1">IF(LOWER(Capacity!$V64)="x",IF(AND(SUMIF(Capacity_Resource,$D159,'Critical resources (hide)'!AP$6:AP$105)+SUMIF(Capacity_Resource,$E159,'Critical resources (hide)'!AP$6:AP$105)+SUMIF(Capacity_Resource,$F159,'Critical resources (hide)'!AP$6:AP$105)&gt;0,$E$1=2),0,1),0)</f>
        <v>1</v>
      </c>
      <c r="AD159" s="67">
        <f ca="1">IF(LOWER(Capacity!$V64)="x",IF(AND(SUMIF(Capacity_Resource,$D159,'Critical resources (hide)'!AQ$6:AQ$105)+SUMIF(Capacity_Resource,$E159,'Critical resources (hide)'!AQ$6:AQ$105)+SUMIF(Capacity_Resource,$F159,'Critical resources (hide)'!AQ$6:AQ$105)&gt;0,$E$1=2),0,1),0)</f>
        <v>1</v>
      </c>
      <c r="AE159" s="67">
        <f ca="1">IF(LOWER(Capacity!$V64)="x",IF(AND(SUMIF(Capacity_Resource,$D159,'Critical resources (hide)'!AR$6:AR$105)+SUMIF(Capacity_Resource,$E159,'Critical resources (hide)'!AR$6:AR$105)+SUMIF(Capacity_Resource,$F159,'Critical resources (hide)'!AR$6:AR$105)&gt;0,$E$1=2),0,1),0)</f>
        <v>1</v>
      </c>
      <c r="AF159" s="67">
        <f ca="1">IF(LOWER(Capacity!$V64)="x",IF(AND(SUMIF(Capacity_Resource,$D159,'Critical resources (hide)'!AS$6:AS$105)+SUMIF(Capacity_Resource,$E159,'Critical resources (hide)'!AS$6:AS$105)+SUMIF(Capacity_Resource,$F159,'Critical resources (hide)'!AS$6:AS$105)&gt;0,$E$1=2),0,1),0)</f>
        <v>1</v>
      </c>
      <c r="AG159" s="67">
        <f ca="1">IF(LOWER(Capacity!$V64)="x",IF(AND(SUMIF(Capacity_Resource,$D159,'Critical resources (hide)'!AT$6:AT$105)+SUMIF(Capacity_Resource,$E159,'Critical resources (hide)'!AT$6:AT$105)+SUMIF(Capacity_Resource,$F159,'Critical resources (hide)'!AT$6:AT$105)&gt;0,$E$1=2),0,1),0)</f>
        <v>1</v>
      </c>
      <c r="AH159" s="67">
        <f ca="1">IF(LOWER(Capacity!$V64)="x",IF(AND(SUMIF(Capacity_Resource,$D159,'Critical resources (hide)'!AU$6:AU$105)+SUMIF(Capacity_Resource,$E159,'Critical resources (hide)'!AU$6:AU$105)+SUMIF(Capacity_Resource,$F159,'Critical resources (hide)'!AU$6:AU$105)&gt;0,$E$1=2),0,1),0)</f>
        <v>1</v>
      </c>
      <c r="AI159" s="67">
        <f ca="1">IF(LOWER(Capacity!$V64)="x",IF(AND(SUMIF(Capacity_Resource,$D159,'Critical resources (hide)'!AV$6:AV$105)+SUMIF(Capacity_Resource,$E159,'Critical resources (hide)'!AV$6:AV$105)+SUMIF(Capacity_Resource,$F159,'Critical resources (hide)'!AV$6:AV$105)&gt;0,$E$1=2),0,1),0)</f>
        <v>1</v>
      </c>
      <c r="AJ159" s="67">
        <f ca="1">IF(LOWER(Capacity!$V64)="x",IF(AND(SUMIF(Capacity_Resource,$D159,'Critical resources (hide)'!AW$6:AW$105)+SUMIF(Capacity_Resource,$E159,'Critical resources (hide)'!AW$6:AW$105)+SUMIF(Capacity_Resource,$F159,'Critical resources (hide)'!AW$6:AW$105)&gt;0,$E$1=2),0,1),0)</f>
        <v>1</v>
      </c>
      <c r="AK159" s="67">
        <f ca="1">IF(LOWER(Capacity!$V64)="x",IF(AND(SUMIF(Capacity_Resource,$D159,'Critical resources (hide)'!AX$6:AX$105)+SUMIF(Capacity_Resource,$E159,'Critical resources (hide)'!AX$6:AX$105)+SUMIF(Capacity_Resource,$F159,'Critical resources (hide)'!AX$6:AX$105)&gt;0,$E$1=2),0,1),0)</f>
        <v>1</v>
      </c>
      <c r="AL159" s="67">
        <f ca="1">IF(LOWER(Capacity!$V64)="x",IF(AND(SUMIF(Capacity_Resource,$D159,'Critical resources (hide)'!AY$6:AY$105)+SUMIF(Capacity_Resource,$E159,'Critical resources (hide)'!AY$6:AY$105)+SUMIF(Capacity_Resource,$F159,'Critical resources (hide)'!AY$6:AY$105)&gt;0,$E$1=2),0,1),0)</f>
        <v>1</v>
      </c>
      <c r="AM159" s="67">
        <f ca="1">IF(LOWER(Capacity!$V64)="x",IF(AND(SUMIF(Capacity_Resource,$D159,'Critical resources (hide)'!AZ$6:AZ$105)+SUMIF(Capacity_Resource,$E159,'Critical resources (hide)'!AZ$6:AZ$105)+SUMIF(Capacity_Resource,$F159,'Critical resources (hide)'!AZ$6:AZ$105)&gt;0,$E$1=2),0,1),0)</f>
        <v>1</v>
      </c>
      <c r="AN159" s="67">
        <f ca="1">IF(LOWER(Capacity!$V64)="x",IF(AND(SUMIF(Capacity_Resource,$D159,'Critical resources (hide)'!BA$6:BA$105)+SUMIF(Capacity_Resource,$E159,'Critical resources (hide)'!BA$6:BA$105)+SUMIF(Capacity_Resource,$F159,'Critical resources (hide)'!BA$6:BA$105)&gt;0,$E$1=2),0,1),0)</f>
        <v>1</v>
      </c>
      <c r="AO159" s="67">
        <f ca="1">IF(LOWER(Capacity!$V64)="x",IF(AND(SUMIF(Capacity_Resource,$D159,'Critical resources (hide)'!BB$6:BB$105)+SUMIF(Capacity_Resource,$E159,'Critical resources (hide)'!BB$6:BB$105)+SUMIF(Capacity_Resource,$F159,'Critical resources (hide)'!BB$6:BB$105)&gt;0,$E$1=2),0,1),0)</f>
        <v>1</v>
      </c>
      <c r="AP159" s="67">
        <f ca="1">IF(LOWER(Capacity!$V64)="x",IF(AND(SUMIF(Capacity_Resource,$D159,'Critical resources (hide)'!BC$6:BC$105)+SUMIF(Capacity_Resource,$E159,'Critical resources (hide)'!BC$6:BC$105)+SUMIF(Capacity_Resource,$F159,'Critical resources (hide)'!BC$6:BC$105)&gt;0,$E$1=2),0,1),0)</f>
        <v>1</v>
      </c>
      <c r="AQ159" s="67">
        <f ca="1">IF(LOWER(Capacity!$V64)="x",IF(AND(SUMIF(Capacity_Resource,$D159,'Critical resources (hide)'!BD$6:BD$105)+SUMIF(Capacity_Resource,$E159,'Critical resources (hide)'!BD$6:BD$105)+SUMIF(Capacity_Resource,$F159,'Critical resources (hide)'!BD$6:BD$105)&gt;0,$E$1=2),0,1),0)</f>
        <v>1</v>
      </c>
      <c r="AR159" s="67">
        <f ca="1">IF(LOWER(Capacity!$V64)="x",IF(AND(SUMIF(Capacity_Resource,$D159,'Critical resources (hide)'!BE$6:BE$105)+SUMIF(Capacity_Resource,$E159,'Critical resources (hide)'!BE$6:BE$105)+SUMIF(Capacity_Resource,$F159,'Critical resources (hide)'!BE$6:BE$105)&gt;0,$E$1=2),0,1),0)</f>
        <v>1</v>
      </c>
      <c r="AS159" s="67">
        <f ca="1">IF(LOWER(Capacity!$V64)="x",IF(AND(SUMIF(Capacity_Resource,$D159,'Critical resources (hide)'!BF$6:BF$105)+SUMIF(Capacity_Resource,$E159,'Critical resources (hide)'!BF$6:BF$105)+SUMIF(Capacity_Resource,$F159,'Critical resources (hide)'!BF$6:BF$105)&gt;0,$E$1=2),0,1),0)</f>
        <v>1</v>
      </c>
      <c r="AT159" s="67">
        <f ca="1">IF(LOWER(Capacity!$V64)="x",IF(AND(SUMIF(Capacity_Resource,$D159,'Critical resources (hide)'!BG$6:BG$105)+SUMIF(Capacity_Resource,$E159,'Critical resources (hide)'!BG$6:BG$105)+SUMIF(Capacity_Resource,$F159,'Critical resources (hide)'!BG$6:BG$105)&gt;0,$E$1=2),0,1),0)</f>
        <v>1</v>
      </c>
      <c r="AU159" s="67">
        <f ca="1">IF(LOWER(Capacity!$V64)="x",IF(AND(SUMIF(Capacity_Resource,$D159,'Critical resources (hide)'!BH$6:BH$105)+SUMIF(Capacity_Resource,$E159,'Critical resources (hide)'!BH$6:BH$105)+SUMIF(Capacity_Resource,$F159,'Critical resources (hide)'!BH$6:BH$105)&gt;0,$E$1=2),0,1),0)</f>
        <v>1</v>
      </c>
      <c r="AV159" s="67">
        <f ca="1">IF(LOWER(Capacity!$V64)="x",IF(AND(SUMIF(Capacity_Resource,$D159,'Critical resources (hide)'!BI$6:BI$105)+SUMIF(Capacity_Resource,$E159,'Critical resources (hide)'!BI$6:BI$105)+SUMIF(Capacity_Resource,$F159,'Critical resources (hide)'!BI$6:BI$105)&gt;0,$E$1=2),0,1),0)</f>
        <v>1</v>
      </c>
      <c r="AW159" s="67">
        <f ca="1">IF(LOWER(Capacity!$V64)="x",IF(AND(SUMIF(Capacity_Resource,$D159,'Critical resources (hide)'!BJ$6:BJ$105)+SUMIF(Capacity_Resource,$E159,'Critical resources (hide)'!BJ$6:BJ$105)+SUMIF(Capacity_Resource,$F159,'Critical resources (hide)'!BJ$6:BJ$105)&gt;0,$E$1=2),0,1),0)</f>
        <v>1</v>
      </c>
      <c r="AX159" s="67">
        <f ca="1">IF(LOWER(Capacity!$V64)="x",IF(AND(SUMIF(Capacity_Resource,$D159,'Critical resources (hide)'!BK$6:BK$105)+SUMIF(Capacity_Resource,$E159,'Critical resources (hide)'!BK$6:BK$105)+SUMIF(Capacity_Resource,$F159,'Critical resources (hide)'!BK$6:BK$105)&gt;0,$E$1=2),0,1),0)</f>
        <v>1</v>
      </c>
      <c r="AY159" s="67">
        <f ca="1">IF(LOWER(Capacity!$V64)="x",IF(AND(SUMIF(Capacity_Resource,$D159,'Critical resources (hide)'!BL$6:BL$105)+SUMIF(Capacity_Resource,$E159,'Critical resources (hide)'!BL$6:BL$105)+SUMIF(Capacity_Resource,$F159,'Critical resources (hide)'!BL$6:BL$105)&gt;0,$E$1=2),0,1),0)</f>
        <v>1</v>
      </c>
      <c r="AZ159" s="67">
        <f ca="1">IF(LOWER(Capacity!$V64)="x",IF(AND(SUMIF(Capacity_Resource,$D159,'Critical resources (hide)'!BM$6:BM$105)+SUMIF(Capacity_Resource,$E159,'Critical resources (hide)'!BM$6:BM$105)+SUMIF(Capacity_Resource,$F159,'Critical resources (hide)'!BM$6:BM$105)&gt;0,$E$1=2),0,1),0)</f>
        <v>1</v>
      </c>
      <c r="BA159" s="67">
        <f ca="1">IF(LOWER(Capacity!$V64)="x",IF(AND(SUMIF(Capacity_Resource,$D159,'Critical resources (hide)'!BN$6:BN$105)+SUMIF(Capacity_Resource,$E159,'Critical resources (hide)'!BN$6:BN$105)+SUMIF(Capacity_Resource,$F159,'Critical resources (hide)'!BN$6:BN$105)&gt;0,$E$1=2),0,1),0)</f>
        <v>1</v>
      </c>
      <c r="BB159" s="67">
        <f ca="1">IF(LOWER(Capacity!$V64)="x",IF(AND(SUMIF(Capacity_Resource,$D159,'Critical resources (hide)'!BO$6:BO$105)+SUMIF(Capacity_Resource,$E159,'Critical resources (hide)'!BO$6:BO$105)+SUMIF(Capacity_Resource,$F159,'Critical resources (hide)'!BO$6:BO$105)&gt;0,$E$1=2),0,1),0)</f>
        <v>1</v>
      </c>
      <c r="BC159" s="67">
        <f ca="1">IF(LOWER(Capacity!$V64)="x",IF(AND(SUMIF(Capacity_Resource,$D159,'Critical resources (hide)'!BP$6:BP$105)+SUMIF(Capacity_Resource,$E159,'Critical resources (hide)'!BP$6:BP$105)+SUMIF(Capacity_Resource,$F159,'Critical resources (hide)'!BP$6:BP$105)&gt;0,$E$1=2),0,1),0)</f>
        <v>1</v>
      </c>
      <c r="BD159" s="67">
        <f ca="1">IF(LOWER(Capacity!$V64)="x",IF(AND(SUMIF(Capacity_Resource,$D159,'Critical resources (hide)'!BQ$6:BQ$105)+SUMIF(Capacity_Resource,$E159,'Critical resources (hide)'!BQ$6:BQ$105)+SUMIF(Capacity_Resource,$F159,'Critical resources (hide)'!BQ$6:BQ$105)&gt;0,$E$1=2),0,1),0)</f>
        <v>1</v>
      </c>
      <c r="BE159" s="67">
        <f ca="1">IF(LOWER(Capacity!$V64)="x",IF(AND(SUMIF(Capacity_Resource,$D159,'Critical resources (hide)'!BR$6:BR$105)+SUMIF(Capacity_Resource,$E159,'Critical resources (hide)'!BR$6:BR$105)+SUMIF(Capacity_Resource,$F159,'Critical resources (hide)'!BR$6:BR$105)&gt;0,$E$1=2),0,1),0)</f>
        <v>1</v>
      </c>
      <c r="BF159" s="67">
        <f ca="1">IF(LOWER(Capacity!$V64)="x",IF(AND(SUMIF(Capacity_Resource,$D159,'Critical resources (hide)'!BS$6:BS$105)+SUMIF(Capacity_Resource,$E159,'Critical resources (hide)'!BS$6:BS$105)+SUMIF(Capacity_Resource,$F159,'Critical resources (hide)'!BS$6:BS$105)&gt;0,$E$1=2),0,1),0)</f>
        <v>1</v>
      </c>
      <c r="BG159" s="67">
        <f ca="1">IF(LOWER(Capacity!$V64)="x",IF(AND(SUMIF(Capacity_Resource,$D159,'Critical resources (hide)'!BT$6:BT$105)+SUMIF(Capacity_Resource,$E159,'Critical resources (hide)'!BT$6:BT$105)+SUMIF(Capacity_Resource,$F159,'Critical resources (hide)'!BT$6:BT$105)&gt;0,$E$1=2),0,1),0)</f>
        <v>1</v>
      </c>
      <c r="BH159" s="67">
        <f>IF(ROW(A48)&lt;=Capacity!$M$16,IF('Capacity summary'!$C$14="No",SUM(H159:BG159),'Capacity summary'!$E71),0)</f>
        <v>0</v>
      </c>
      <c r="BI159" s="67" t="str">
        <f>IF(BH159&gt;0,IF(BH159&lt;Capacity!Q64,Capacity!R64,Capacity!T64/'Capacity calculation (hide)'!BH159),"")</f>
        <v/>
      </c>
      <c r="BJ159" s="5"/>
      <c r="BK159" s="5">
        <f>IF($BI159&lt;&gt;"",IF('Capacity summary'!$C$14="Yes",IF(COUNTBLANK('Capacity summary'!$H71:$BG71)&lt;52,IF('Capacity summary'!H71&lt;&gt;"",IF(LOWER('Capacity summary'!H71)="x",$BI159*H159,VALUE('Capacity summary'!H71)),0),H159*$BI159),H159*$BI159),0)</f>
        <v>0</v>
      </c>
      <c r="BL159" s="5">
        <f>IF($BI159&lt;&gt;"",IF('Capacity summary'!$C$14="Yes",IF(COUNTBLANK('Capacity summary'!$H71:$BG71)&lt;52,IF('Capacity summary'!I71&lt;&gt;"",IF(LOWER('Capacity summary'!I71)="x",$BI159*I159,VALUE('Capacity summary'!I71)),0),I159*$BI159),I159*$BI159),0)</f>
        <v>0</v>
      </c>
      <c r="BM159" s="5">
        <f>IF($BI159&lt;&gt;"",IF('Capacity summary'!$C$14="Yes",IF(COUNTBLANK('Capacity summary'!$H71:$BG71)&lt;52,IF('Capacity summary'!J71&lt;&gt;"",IF(LOWER('Capacity summary'!J71)="x",$BI159*J159,VALUE('Capacity summary'!J71)),0),J159*$BI159),J159*$BI159),0)</f>
        <v>0</v>
      </c>
      <c r="BN159" s="5">
        <f>IF($BI159&lt;&gt;"",IF('Capacity summary'!$C$14="Yes",IF(COUNTBLANK('Capacity summary'!$H71:$BG71)&lt;52,IF('Capacity summary'!K71&lt;&gt;"",IF(LOWER('Capacity summary'!K71)="x",$BI159*K159,VALUE('Capacity summary'!K71)),0),K159*$BI159),K159*$BI159),0)</f>
        <v>0</v>
      </c>
      <c r="BO159" s="5">
        <f>IF($BI159&lt;&gt;"",IF('Capacity summary'!$C$14="Yes",IF(COUNTBLANK('Capacity summary'!$H71:$BG71)&lt;52,IF('Capacity summary'!L71&lt;&gt;"",IF(LOWER('Capacity summary'!L71)="x",$BI159*L159,VALUE('Capacity summary'!L71)),0),L159*$BI159),L159*$BI159),0)</f>
        <v>0</v>
      </c>
      <c r="BP159" s="5">
        <f>IF($BI159&lt;&gt;"",IF('Capacity summary'!$C$14="Yes",IF(COUNTBLANK('Capacity summary'!$H71:$BG71)&lt;52,IF('Capacity summary'!M71&lt;&gt;"",IF(LOWER('Capacity summary'!M71)="x",$BI159*M159,VALUE('Capacity summary'!M71)),0),M159*$BI159),M159*$BI159),0)</f>
        <v>0</v>
      </c>
      <c r="BQ159" s="5">
        <f>IF($BI159&lt;&gt;"",IF('Capacity summary'!$C$14="Yes",IF(COUNTBLANK('Capacity summary'!$H71:$BG71)&lt;52,IF('Capacity summary'!N71&lt;&gt;"",IF(LOWER('Capacity summary'!N71)="x",$BI159*N159,VALUE('Capacity summary'!N71)),0),N159*$BI159),N159*$BI159),0)</f>
        <v>0</v>
      </c>
      <c r="BR159" s="5">
        <f>IF($BI159&lt;&gt;"",IF('Capacity summary'!$C$14="Yes",IF(COUNTBLANK('Capacity summary'!$H71:$BG71)&lt;52,IF('Capacity summary'!O71&lt;&gt;"",IF(LOWER('Capacity summary'!O71)="x",$BI159*O159,VALUE('Capacity summary'!O71)),0),O159*$BI159),O159*$BI159),0)</f>
        <v>0</v>
      </c>
      <c r="BS159" s="5">
        <f>IF($BI159&lt;&gt;"",IF('Capacity summary'!$C$14="Yes",IF(COUNTBLANK('Capacity summary'!$H71:$BG71)&lt;52,IF('Capacity summary'!P71&lt;&gt;"",IF(LOWER('Capacity summary'!P71)="x",$BI159*P159,VALUE('Capacity summary'!P71)),0),P159*$BI159),P159*$BI159),0)</f>
        <v>0</v>
      </c>
      <c r="BT159" s="5">
        <f>IF($BI159&lt;&gt;"",IF('Capacity summary'!$C$14="Yes",IF(COUNTBLANK('Capacity summary'!$H71:$BG71)&lt;52,IF('Capacity summary'!Q71&lt;&gt;"",IF(LOWER('Capacity summary'!Q71)="x",$BI159*Q159,VALUE('Capacity summary'!Q71)),0),Q159*$BI159),Q159*$BI159),0)</f>
        <v>0</v>
      </c>
      <c r="BU159" s="5">
        <f>IF($BI159&lt;&gt;"",IF('Capacity summary'!$C$14="Yes",IF(COUNTBLANK('Capacity summary'!$H71:$BG71)&lt;52,IF('Capacity summary'!R71&lt;&gt;"",IF(LOWER('Capacity summary'!R71)="x",$BI159*R159,VALUE('Capacity summary'!R71)),0),R159*$BI159),R159*$BI159),0)</f>
        <v>0</v>
      </c>
      <c r="BV159" s="5">
        <f>IF($BI159&lt;&gt;"",IF('Capacity summary'!$C$14="Yes",IF(COUNTBLANK('Capacity summary'!$H71:$BG71)&lt;52,IF('Capacity summary'!S71&lt;&gt;"",IF(LOWER('Capacity summary'!S71)="x",$BI159*S159,VALUE('Capacity summary'!S71)),0),S159*$BI159),S159*$BI159),0)</f>
        <v>0</v>
      </c>
      <c r="BW159" s="5">
        <f>IF($BI159&lt;&gt;"",IF('Capacity summary'!$C$14="Yes",IF(COUNTBLANK('Capacity summary'!$H71:$BG71)&lt;52,IF('Capacity summary'!T71&lt;&gt;"",IF(LOWER('Capacity summary'!T71)="x",$BI159*T159,VALUE('Capacity summary'!T71)),0),T159*$BI159),T159*$BI159),0)</f>
        <v>0</v>
      </c>
      <c r="BX159" s="5">
        <f>IF($BI159&lt;&gt;"",IF('Capacity summary'!$C$14="Yes",IF(COUNTBLANK('Capacity summary'!$H71:$BG71)&lt;52,IF('Capacity summary'!U71&lt;&gt;"",IF(LOWER('Capacity summary'!U71)="x",$BI159*U159,VALUE('Capacity summary'!U71)),0),U159*$BI159),U159*$BI159),0)</f>
        <v>0</v>
      </c>
      <c r="BY159" s="5">
        <f>IF($BI159&lt;&gt;"",IF('Capacity summary'!$C$14="Yes",IF(COUNTBLANK('Capacity summary'!$H71:$BG71)&lt;52,IF('Capacity summary'!V71&lt;&gt;"",IF(LOWER('Capacity summary'!V71)="x",$BI159*V159,VALUE('Capacity summary'!V71)),0),V159*$BI159),V159*$BI159),0)</f>
        <v>0</v>
      </c>
      <c r="BZ159" s="5">
        <f>IF($BI159&lt;&gt;"",IF('Capacity summary'!$C$14="Yes",IF(COUNTBLANK('Capacity summary'!$H71:$BG71)&lt;52,IF('Capacity summary'!W71&lt;&gt;"",IF(LOWER('Capacity summary'!W71)="x",$BI159*W159,VALUE('Capacity summary'!W71)),0),W159*$BI159),W159*$BI159),0)</f>
        <v>0</v>
      </c>
      <c r="CA159" s="5">
        <f>IF($BI159&lt;&gt;"",IF('Capacity summary'!$C$14="Yes",IF(COUNTBLANK('Capacity summary'!$H71:$BG71)&lt;52,IF('Capacity summary'!X71&lt;&gt;"",IF(LOWER('Capacity summary'!X71)="x",$BI159*X159,VALUE('Capacity summary'!X71)),0),X159*$BI159),X159*$BI159),0)</f>
        <v>0</v>
      </c>
      <c r="CB159" s="5">
        <f>IF($BI159&lt;&gt;"",IF('Capacity summary'!$C$14="Yes",IF(COUNTBLANK('Capacity summary'!$H71:$BG71)&lt;52,IF('Capacity summary'!Y71&lt;&gt;"",IF(LOWER('Capacity summary'!Y71)="x",$BI159*Y159,VALUE('Capacity summary'!Y71)),0),Y159*$BI159),Y159*$BI159),0)</f>
        <v>0</v>
      </c>
      <c r="CC159" s="5">
        <f>IF($BI159&lt;&gt;"",IF('Capacity summary'!$C$14="Yes",IF(COUNTBLANK('Capacity summary'!$H71:$BG71)&lt;52,IF('Capacity summary'!Z71&lt;&gt;"",IF(LOWER('Capacity summary'!Z71)="x",$BI159*Z159,VALUE('Capacity summary'!Z71)),0),Z159*$BI159),Z159*$BI159),0)</f>
        <v>0</v>
      </c>
      <c r="CD159" s="5">
        <f>IF($BI159&lt;&gt;"",IF('Capacity summary'!$C$14="Yes",IF(COUNTBLANK('Capacity summary'!$H71:$BG71)&lt;52,IF('Capacity summary'!AA71&lt;&gt;"",IF(LOWER('Capacity summary'!AA71)="x",$BI159*AA159,VALUE('Capacity summary'!AA71)),0),AA159*$BI159),AA159*$BI159),0)</f>
        <v>0</v>
      </c>
      <c r="CE159" s="5">
        <f>IF($BI159&lt;&gt;"",IF('Capacity summary'!$C$14="Yes",IF(COUNTBLANK('Capacity summary'!$H71:$BG71)&lt;52,IF('Capacity summary'!AB71&lt;&gt;"",IF(LOWER('Capacity summary'!AB71)="x",$BI159*AB159,VALUE('Capacity summary'!AB71)),0),AB159*$BI159),AB159*$BI159),0)</f>
        <v>0</v>
      </c>
      <c r="CF159" s="5">
        <f>IF($BI159&lt;&gt;"",IF('Capacity summary'!$C$14="Yes",IF(COUNTBLANK('Capacity summary'!$H71:$BG71)&lt;52,IF('Capacity summary'!AC71&lt;&gt;"",IF(LOWER('Capacity summary'!AC71)="x",$BI159*AC159,VALUE('Capacity summary'!AC71)),0),AC159*$BI159),AC159*$BI159),0)</f>
        <v>0</v>
      </c>
      <c r="CG159" s="5">
        <f>IF($BI159&lt;&gt;"",IF('Capacity summary'!$C$14="Yes",IF(COUNTBLANK('Capacity summary'!$H71:$BG71)&lt;52,IF('Capacity summary'!AD71&lt;&gt;"",IF(LOWER('Capacity summary'!AD71)="x",$BI159*AD159,VALUE('Capacity summary'!AD71)),0),AD159*$BI159),AD159*$BI159),0)</f>
        <v>0</v>
      </c>
      <c r="CH159" s="5">
        <f>IF($BI159&lt;&gt;"",IF('Capacity summary'!$C$14="Yes",IF(COUNTBLANK('Capacity summary'!$H71:$BG71)&lt;52,IF('Capacity summary'!AE71&lt;&gt;"",IF(LOWER('Capacity summary'!AE71)="x",$BI159*AE159,VALUE('Capacity summary'!AE71)),0),AE159*$BI159),AE159*$BI159),0)</f>
        <v>0</v>
      </c>
      <c r="CI159" s="5">
        <f>IF($BI159&lt;&gt;"",IF('Capacity summary'!$C$14="Yes",IF(COUNTBLANK('Capacity summary'!$H71:$BG71)&lt;52,IF('Capacity summary'!AF71&lt;&gt;"",IF(LOWER('Capacity summary'!AF71)="x",$BI159*AF159,VALUE('Capacity summary'!AF71)),0),AF159*$BI159),AF159*$BI159),0)</f>
        <v>0</v>
      </c>
      <c r="CJ159" s="5">
        <f>IF($BI159&lt;&gt;"",IF('Capacity summary'!$C$14="Yes",IF(COUNTBLANK('Capacity summary'!$H71:$BG71)&lt;52,IF('Capacity summary'!AG71&lt;&gt;"",IF(LOWER('Capacity summary'!AG71)="x",$BI159*AG159,VALUE('Capacity summary'!AG71)),0),AG159*$BI159),AG159*$BI159),0)</f>
        <v>0</v>
      </c>
      <c r="CK159" s="5">
        <f>IF($BI159&lt;&gt;"",IF('Capacity summary'!$C$14="Yes",IF(COUNTBLANK('Capacity summary'!$H71:$BG71)&lt;52,IF('Capacity summary'!AH71&lt;&gt;"",IF(LOWER('Capacity summary'!AH71)="x",$BI159*AH159,VALUE('Capacity summary'!AH71)),0),AH159*$BI159),AH159*$BI159),0)</f>
        <v>0</v>
      </c>
      <c r="CL159" s="5">
        <f>IF($BI159&lt;&gt;"",IF('Capacity summary'!$C$14="Yes",IF(COUNTBLANK('Capacity summary'!$H71:$BG71)&lt;52,IF('Capacity summary'!AI71&lt;&gt;"",IF(LOWER('Capacity summary'!AI71)="x",$BI159*AI159,VALUE('Capacity summary'!AI71)),0),AI159*$BI159),AI159*$BI159),0)</f>
        <v>0</v>
      </c>
      <c r="CM159" s="5">
        <f>IF($BI159&lt;&gt;"",IF('Capacity summary'!$C$14="Yes",IF(COUNTBLANK('Capacity summary'!$H71:$BG71)&lt;52,IF('Capacity summary'!AJ71&lt;&gt;"",IF(LOWER('Capacity summary'!AJ71)="x",$BI159*AJ159,VALUE('Capacity summary'!AJ71)),0),AJ159*$BI159),AJ159*$BI159),0)</f>
        <v>0</v>
      </c>
      <c r="CN159" s="5">
        <f>IF($BI159&lt;&gt;"",IF('Capacity summary'!$C$14="Yes",IF(COUNTBLANK('Capacity summary'!$H71:$BG71)&lt;52,IF('Capacity summary'!AK71&lt;&gt;"",IF(LOWER('Capacity summary'!AK71)="x",$BI159*AK159,VALUE('Capacity summary'!AK71)),0),AK159*$BI159),AK159*$BI159),0)</f>
        <v>0</v>
      </c>
      <c r="CO159" s="5">
        <f>IF($BI159&lt;&gt;"",IF('Capacity summary'!$C$14="Yes",IF(COUNTBLANK('Capacity summary'!$H71:$BG71)&lt;52,IF('Capacity summary'!AL71&lt;&gt;"",IF(LOWER('Capacity summary'!AL71)="x",$BI159*AL159,VALUE('Capacity summary'!AL71)),0),AL159*$BI159),AL159*$BI159),0)</f>
        <v>0</v>
      </c>
      <c r="CP159" s="5">
        <f>IF($BI159&lt;&gt;"",IF('Capacity summary'!$C$14="Yes",IF(COUNTBLANK('Capacity summary'!$H71:$BG71)&lt;52,IF('Capacity summary'!AM71&lt;&gt;"",IF(LOWER('Capacity summary'!AM71)="x",$BI159*AM159,VALUE('Capacity summary'!AM71)),0),AM159*$BI159),AM159*$BI159),0)</f>
        <v>0</v>
      </c>
      <c r="CQ159" s="5">
        <f>IF($BI159&lt;&gt;"",IF('Capacity summary'!$C$14="Yes",IF(COUNTBLANK('Capacity summary'!$H71:$BG71)&lt;52,IF('Capacity summary'!AN71&lt;&gt;"",IF(LOWER('Capacity summary'!AN71)="x",$BI159*AN159,VALUE('Capacity summary'!AN71)),0),AN159*$BI159),AN159*$BI159),0)</f>
        <v>0</v>
      </c>
      <c r="CR159" s="5">
        <f>IF($BI159&lt;&gt;"",IF('Capacity summary'!$C$14="Yes",IF(COUNTBLANK('Capacity summary'!$H71:$BG71)&lt;52,IF('Capacity summary'!AO71&lt;&gt;"",IF(LOWER('Capacity summary'!AO71)="x",$BI159*AO159,VALUE('Capacity summary'!AO71)),0),AO159*$BI159),AO159*$BI159),0)</f>
        <v>0</v>
      </c>
      <c r="CS159" s="5">
        <f>IF($BI159&lt;&gt;"",IF('Capacity summary'!$C$14="Yes",IF(COUNTBLANK('Capacity summary'!$H71:$BG71)&lt;52,IF('Capacity summary'!AP71&lt;&gt;"",IF(LOWER('Capacity summary'!AP71)="x",$BI159*AP159,VALUE('Capacity summary'!AP71)),0),AP159*$BI159),AP159*$BI159),0)</f>
        <v>0</v>
      </c>
      <c r="CT159" s="5">
        <f>IF($BI159&lt;&gt;"",IF('Capacity summary'!$C$14="Yes",IF(COUNTBLANK('Capacity summary'!$H71:$BG71)&lt;52,IF('Capacity summary'!AQ71&lt;&gt;"",IF(LOWER('Capacity summary'!AQ71)="x",$BI159*AQ159,VALUE('Capacity summary'!AQ71)),0),AQ159*$BI159),AQ159*$BI159),0)</f>
        <v>0</v>
      </c>
      <c r="CU159" s="5">
        <f>IF($BI159&lt;&gt;"",IF('Capacity summary'!$C$14="Yes",IF(COUNTBLANK('Capacity summary'!$H71:$BG71)&lt;52,IF('Capacity summary'!AR71&lt;&gt;"",IF(LOWER('Capacity summary'!AR71)="x",$BI159*AR159,VALUE('Capacity summary'!AR71)),0),AR159*$BI159),AR159*$BI159),0)</f>
        <v>0</v>
      </c>
      <c r="CV159" s="5">
        <f>IF($BI159&lt;&gt;"",IF('Capacity summary'!$C$14="Yes",IF(COUNTBLANK('Capacity summary'!$H71:$BG71)&lt;52,IF('Capacity summary'!AS71&lt;&gt;"",IF(LOWER('Capacity summary'!AS71)="x",$BI159*AS159,VALUE('Capacity summary'!AS71)),0),AS159*$BI159),AS159*$BI159),0)</f>
        <v>0</v>
      </c>
      <c r="CW159" s="5">
        <f>IF($BI159&lt;&gt;"",IF('Capacity summary'!$C$14="Yes",IF(COUNTBLANK('Capacity summary'!$H71:$BG71)&lt;52,IF('Capacity summary'!AT71&lt;&gt;"",IF(LOWER('Capacity summary'!AT71)="x",$BI159*AT159,VALUE('Capacity summary'!AT71)),0),AT159*$BI159),AT159*$BI159),0)</f>
        <v>0</v>
      </c>
      <c r="CX159" s="5">
        <f>IF($BI159&lt;&gt;"",IF('Capacity summary'!$C$14="Yes",IF(COUNTBLANK('Capacity summary'!$H71:$BG71)&lt;52,IF('Capacity summary'!AU71&lt;&gt;"",IF(LOWER('Capacity summary'!AU71)="x",$BI159*AU159,VALUE('Capacity summary'!AU71)),0),AU159*$BI159),AU159*$BI159),0)</f>
        <v>0</v>
      </c>
      <c r="CY159" s="5">
        <f>IF($BI159&lt;&gt;"",IF('Capacity summary'!$C$14="Yes",IF(COUNTBLANK('Capacity summary'!$H71:$BG71)&lt;52,IF('Capacity summary'!AV71&lt;&gt;"",IF(LOWER('Capacity summary'!AV71)="x",$BI159*AV159,VALUE('Capacity summary'!AV71)),0),AV159*$BI159),AV159*$BI159),0)</f>
        <v>0</v>
      </c>
      <c r="CZ159" s="5">
        <f>IF($BI159&lt;&gt;"",IF('Capacity summary'!$C$14="Yes",IF(COUNTBLANK('Capacity summary'!$H71:$BG71)&lt;52,IF('Capacity summary'!AW71&lt;&gt;"",IF(LOWER('Capacity summary'!AW71)="x",$BI159*AW159,VALUE('Capacity summary'!AW71)),0),AW159*$BI159),AW159*$BI159),0)</f>
        <v>0</v>
      </c>
      <c r="DA159" s="5">
        <f>IF($BI159&lt;&gt;"",IF('Capacity summary'!$C$14="Yes",IF(COUNTBLANK('Capacity summary'!$H71:$BG71)&lt;52,IF('Capacity summary'!AX71&lt;&gt;"",IF(LOWER('Capacity summary'!AX71)="x",$BI159*AX159,VALUE('Capacity summary'!AX71)),0),AX159*$BI159),AX159*$BI159),0)</f>
        <v>0</v>
      </c>
      <c r="DB159" s="5">
        <f>IF($BI159&lt;&gt;"",IF('Capacity summary'!$C$14="Yes",IF(COUNTBLANK('Capacity summary'!$H71:$BG71)&lt;52,IF('Capacity summary'!AY71&lt;&gt;"",IF(LOWER('Capacity summary'!AY71)="x",$BI159*AY159,VALUE('Capacity summary'!AY71)),0),AY159*$BI159),AY159*$BI159),0)</f>
        <v>0</v>
      </c>
      <c r="DC159" s="5">
        <f>IF($BI159&lt;&gt;"",IF('Capacity summary'!$C$14="Yes",IF(COUNTBLANK('Capacity summary'!$H71:$BG71)&lt;52,IF('Capacity summary'!AZ71&lt;&gt;"",IF(LOWER('Capacity summary'!AZ71)="x",$BI159*AZ159,VALUE('Capacity summary'!AZ71)),0),AZ159*$BI159),AZ159*$BI159),0)</f>
        <v>0</v>
      </c>
      <c r="DD159" s="5">
        <f>IF($BI159&lt;&gt;"",IF('Capacity summary'!$C$14="Yes",IF(COUNTBLANK('Capacity summary'!$H71:$BG71)&lt;52,IF('Capacity summary'!BA71&lt;&gt;"",IF(LOWER('Capacity summary'!BA71)="x",$BI159*BA159,VALUE('Capacity summary'!BA71)),0),BA159*$BI159),BA159*$BI159),0)</f>
        <v>0</v>
      </c>
      <c r="DE159" s="5">
        <f>IF($BI159&lt;&gt;"",IF('Capacity summary'!$C$14="Yes",IF(COUNTBLANK('Capacity summary'!$H71:$BG71)&lt;52,IF('Capacity summary'!BB71&lt;&gt;"",IF(LOWER('Capacity summary'!BB71)="x",$BI159*BB159,VALUE('Capacity summary'!BB71)),0),BB159*$BI159),BB159*$BI159),0)</f>
        <v>0</v>
      </c>
      <c r="DF159" s="5">
        <f>IF($BI159&lt;&gt;"",IF('Capacity summary'!$C$14="Yes",IF(COUNTBLANK('Capacity summary'!$H71:$BG71)&lt;52,IF('Capacity summary'!BC71&lt;&gt;"",IF(LOWER('Capacity summary'!BC71)="x",$BI159*BC159,VALUE('Capacity summary'!BC71)),0),BC159*$BI159),BC159*$BI159),0)</f>
        <v>0</v>
      </c>
      <c r="DG159" s="5">
        <f>IF($BI159&lt;&gt;"",IF('Capacity summary'!$C$14="Yes",IF(COUNTBLANK('Capacity summary'!$H71:$BG71)&lt;52,IF('Capacity summary'!BD71&lt;&gt;"",IF(LOWER('Capacity summary'!BD71)="x",$BI159*BD159,VALUE('Capacity summary'!BD71)),0),BD159*$BI159),BD159*$BI159),0)</f>
        <v>0</v>
      </c>
      <c r="DH159" s="5">
        <f>IF($BI159&lt;&gt;"",IF('Capacity summary'!$C$14="Yes",IF(COUNTBLANK('Capacity summary'!$H71:$BG71)&lt;52,IF('Capacity summary'!BE71&lt;&gt;"",IF(LOWER('Capacity summary'!BE71)="x",$BI159*BE159,VALUE('Capacity summary'!BE71)),0),BE159*$BI159),BE159*$BI159),0)</f>
        <v>0</v>
      </c>
      <c r="DI159" s="5">
        <f>IF($BI159&lt;&gt;"",IF('Capacity summary'!$C$14="Yes",IF(COUNTBLANK('Capacity summary'!$H71:$BG71)&lt;52,IF('Capacity summary'!BF71&lt;&gt;"",IF(LOWER('Capacity summary'!BF71)="x",$BI159*BF159,VALUE('Capacity summary'!BF71)),0),BF159*$BI159),BF159*$BI159),0)</f>
        <v>0</v>
      </c>
      <c r="DJ159" s="5">
        <f>IF($BI159&lt;&gt;"",IF('Capacity summary'!$C$14="Yes",IF(COUNTBLANK('Capacity summary'!$H71:$BG71)&lt;52,IF('Capacity summary'!BG71&lt;&gt;"",IF(LOWER('Capacity summary'!BG71)="x",$BI159*BG159,VALUE('Capacity summary'!BG71)),0),BG159*$BI159),BG159*$BI159),0)</f>
        <v>0</v>
      </c>
      <c r="DK159" s="391">
        <f t="shared" si="8"/>
        <v>0</v>
      </c>
      <c r="DL159" s="5">
        <f t="shared" si="9"/>
        <v>0</v>
      </c>
    </row>
    <row r="160" spans="3:116" x14ac:dyDescent="0.2">
      <c r="C160" s="67" t="str">
        <f>ROW(A49)&amp;". "&amp;Capacity!N65</f>
        <v xml:space="preserve">49. </v>
      </c>
      <c r="D160" s="67">
        <f>'Capacity setup'!C166</f>
        <v>0</v>
      </c>
      <c r="E160" s="67">
        <f>'Capacity setup'!D166</f>
        <v>0</v>
      </c>
      <c r="F160" s="67">
        <f>'Capacity setup'!E166</f>
        <v>0</v>
      </c>
      <c r="H160" s="67">
        <f ca="1">IF(LOWER(Capacity!$V65)="x",IF(AND(SUMIF(Capacity_Resource,$D160,'Critical resources (hide)'!U$6:U$105)+SUMIF(Capacity_Resource,$E160,'Critical resources (hide)'!U$6:U$105)+SUMIF(Capacity_Resource,$F160,'Critical resources (hide)'!U$6:U$105)&gt;0,$E$1=2),0,1),0)</f>
        <v>1</v>
      </c>
      <c r="I160" s="67">
        <f ca="1">IF(LOWER(Capacity!$V65)="x",IF(AND(SUMIF(Capacity_Resource,$D160,'Critical resources (hide)'!V$6:V$105)+SUMIF(Capacity_Resource,$E160,'Critical resources (hide)'!V$6:V$105)+SUMIF(Capacity_Resource,$F160,'Critical resources (hide)'!V$6:V$105)&gt;0,$E$1=2),0,1),0)</f>
        <v>1</v>
      </c>
      <c r="J160" s="67">
        <f ca="1">IF(LOWER(Capacity!$V65)="x",IF(AND(SUMIF(Capacity_Resource,$D160,'Critical resources (hide)'!W$6:W$105)+SUMIF(Capacity_Resource,$E160,'Critical resources (hide)'!W$6:W$105)+SUMIF(Capacity_Resource,$F160,'Critical resources (hide)'!W$6:W$105)&gt;0,$E$1=2),0,1),0)</f>
        <v>1</v>
      </c>
      <c r="K160" s="67">
        <f ca="1">IF(LOWER(Capacity!$V65)="x",IF(AND(SUMIF(Capacity_Resource,$D160,'Critical resources (hide)'!X$6:X$105)+SUMIF(Capacity_Resource,$E160,'Critical resources (hide)'!X$6:X$105)+SUMIF(Capacity_Resource,$F160,'Critical resources (hide)'!X$6:X$105)&gt;0,$E$1=2),0,1),0)</f>
        <v>1</v>
      </c>
      <c r="L160" s="67">
        <f ca="1">IF(LOWER(Capacity!$V65)="x",IF(AND(SUMIF(Capacity_Resource,$D160,'Critical resources (hide)'!Y$6:Y$105)+SUMIF(Capacity_Resource,$E160,'Critical resources (hide)'!Y$6:Y$105)+SUMIF(Capacity_Resource,$F160,'Critical resources (hide)'!Y$6:Y$105)&gt;0,$E$1=2),0,1),0)</f>
        <v>1</v>
      </c>
      <c r="M160" s="67">
        <f ca="1">IF(LOWER(Capacity!$V65)="x",IF(AND(SUMIF(Capacity_Resource,$D160,'Critical resources (hide)'!Z$6:Z$105)+SUMIF(Capacity_Resource,$E160,'Critical resources (hide)'!Z$6:Z$105)+SUMIF(Capacity_Resource,$F160,'Critical resources (hide)'!Z$6:Z$105)&gt;0,$E$1=2),0,1),0)</f>
        <v>1</v>
      </c>
      <c r="N160" s="67">
        <f ca="1">IF(LOWER(Capacity!$V65)="x",IF(AND(SUMIF(Capacity_Resource,$D160,'Critical resources (hide)'!AA$6:AA$105)+SUMIF(Capacity_Resource,$E160,'Critical resources (hide)'!AA$6:AA$105)+SUMIF(Capacity_Resource,$F160,'Critical resources (hide)'!AA$6:AA$105)&gt;0,$E$1=2),0,1),0)</f>
        <v>1</v>
      </c>
      <c r="O160" s="67">
        <f ca="1">IF(LOWER(Capacity!$V65)="x",IF(AND(SUMIF(Capacity_Resource,$D160,'Critical resources (hide)'!AB$6:AB$105)+SUMIF(Capacity_Resource,$E160,'Critical resources (hide)'!AB$6:AB$105)+SUMIF(Capacity_Resource,$F160,'Critical resources (hide)'!AB$6:AB$105)&gt;0,$E$1=2),0,1),0)</f>
        <v>1</v>
      </c>
      <c r="P160" s="67">
        <f ca="1">IF(LOWER(Capacity!$V65)="x",IF(AND(SUMIF(Capacity_Resource,$D160,'Critical resources (hide)'!AC$6:AC$105)+SUMIF(Capacity_Resource,$E160,'Critical resources (hide)'!AC$6:AC$105)+SUMIF(Capacity_Resource,$F160,'Critical resources (hide)'!AC$6:AC$105)&gt;0,$E$1=2),0,1),0)</f>
        <v>1</v>
      </c>
      <c r="Q160" s="67">
        <f ca="1">IF(LOWER(Capacity!$V65)="x",IF(AND(SUMIF(Capacity_Resource,$D160,'Critical resources (hide)'!AD$6:AD$105)+SUMIF(Capacity_Resource,$E160,'Critical resources (hide)'!AD$6:AD$105)+SUMIF(Capacity_Resource,$F160,'Critical resources (hide)'!AD$6:AD$105)&gt;0,$E$1=2),0,1),0)</f>
        <v>1</v>
      </c>
      <c r="R160" s="67">
        <f ca="1">IF(LOWER(Capacity!$V65)="x",IF(AND(SUMIF(Capacity_Resource,$D160,'Critical resources (hide)'!AE$6:AE$105)+SUMIF(Capacity_Resource,$E160,'Critical resources (hide)'!AE$6:AE$105)+SUMIF(Capacity_Resource,$F160,'Critical resources (hide)'!AE$6:AE$105)&gt;0,$E$1=2),0,1),0)</f>
        <v>1</v>
      </c>
      <c r="S160" s="67">
        <f ca="1">IF(LOWER(Capacity!$V65)="x",IF(AND(SUMIF(Capacity_Resource,$D160,'Critical resources (hide)'!AF$6:AF$105)+SUMIF(Capacity_Resource,$E160,'Critical resources (hide)'!AF$6:AF$105)+SUMIF(Capacity_Resource,$F160,'Critical resources (hide)'!AF$6:AF$105)&gt;0,$E$1=2),0,1),0)</f>
        <v>1</v>
      </c>
      <c r="T160" s="67">
        <f ca="1">IF(LOWER(Capacity!$V65)="x",IF(AND(SUMIF(Capacity_Resource,$D160,'Critical resources (hide)'!AG$6:AG$105)+SUMIF(Capacity_Resource,$E160,'Critical resources (hide)'!AG$6:AG$105)+SUMIF(Capacity_Resource,$F160,'Critical resources (hide)'!AG$6:AG$105)&gt;0,$E$1=2),0,1),0)</f>
        <v>1</v>
      </c>
      <c r="U160" s="67">
        <f ca="1">IF(LOWER(Capacity!$V65)="x",IF(AND(SUMIF(Capacity_Resource,$D160,'Critical resources (hide)'!AH$6:AH$105)+SUMIF(Capacity_Resource,$E160,'Critical resources (hide)'!AH$6:AH$105)+SUMIF(Capacity_Resource,$F160,'Critical resources (hide)'!AH$6:AH$105)&gt;0,$E$1=2),0,1),0)</f>
        <v>1</v>
      </c>
      <c r="V160" s="67">
        <f ca="1">IF(LOWER(Capacity!$V65)="x",IF(AND(SUMIF(Capacity_Resource,$D160,'Critical resources (hide)'!AI$6:AI$105)+SUMIF(Capacity_Resource,$E160,'Critical resources (hide)'!AI$6:AI$105)+SUMIF(Capacity_Resource,$F160,'Critical resources (hide)'!AI$6:AI$105)&gt;0,$E$1=2),0,1),0)</f>
        <v>1</v>
      </c>
      <c r="W160" s="67">
        <f ca="1">IF(LOWER(Capacity!$V65)="x",IF(AND(SUMIF(Capacity_Resource,$D160,'Critical resources (hide)'!AJ$6:AJ$105)+SUMIF(Capacity_Resource,$E160,'Critical resources (hide)'!AJ$6:AJ$105)+SUMIF(Capacity_Resource,$F160,'Critical resources (hide)'!AJ$6:AJ$105)&gt;0,$E$1=2),0,1),0)</f>
        <v>1</v>
      </c>
      <c r="X160" s="67">
        <f ca="1">IF(LOWER(Capacity!$V65)="x",IF(AND(SUMIF(Capacity_Resource,$D160,'Critical resources (hide)'!AK$6:AK$105)+SUMIF(Capacity_Resource,$E160,'Critical resources (hide)'!AK$6:AK$105)+SUMIF(Capacity_Resource,$F160,'Critical resources (hide)'!AK$6:AK$105)&gt;0,$E$1=2),0,1),0)</f>
        <v>1</v>
      </c>
      <c r="Y160" s="67">
        <f ca="1">IF(LOWER(Capacity!$V65)="x",IF(AND(SUMIF(Capacity_Resource,$D160,'Critical resources (hide)'!AL$6:AL$105)+SUMIF(Capacity_Resource,$E160,'Critical resources (hide)'!AL$6:AL$105)+SUMIF(Capacity_Resource,$F160,'Critical resources (hide)'!AL$6:AL$105)&gt;0,$E$1=2),0,1),0)</f>
        <v>1</v>
      </c>
      <c r="Z160" s="67">
        <f ca="1">IF(LOWER(Capacity!$V65)="x",IF(AND(SUMIF(Capacity_Resource,$D160,'Critical resources (hide)'!AM$6:AM$105)+SUMIF(Capacity_Resource,$E160,'Critical resources (hide)'!AM$6:AM$105)+SUMIF(Capacity_Resource,$F160,'Critical resources (hide)'!AM$6:AM$105)&gt;0,$E$1=2),0,1),0)</f>
        <v>1</v>
      </c>
      <c r="AA160" s="67">
        <f ca="1">IF(LOWER(Capacity!$V65)="x",IF(AND(SUMIF(Capacity_Resource,$D160,'Critical resources (hide)'!AN$6:AN$105)+SUMIF(Capacity_Resource,$E160,'Critical resources (hide)'!AN$6:AN$105)+SUMIF(Capacity_Resource,$F160,'Critical resources (hide)'!AN$6:AN$105)&gt;0,$E$1=2),0,1),0)</f>
        <v>1</v>
      </c>
      <c r="AB160" s="67">
        <f ca="1">IF(LOWER(Capacity!$V65)="x",IF(AND(SUMIF(Capacity_Resource,$D160,'Critical resources (hide)'!AO$6:AO$105)+SUMIF(Capacity_Resource,$E160,'Critical resources (hide)'!AO$6:AO$105)+SUMIF(Capacity_Resource,$F160,'Critical resources (hide)'!AO$6:AO$105)&gt;0,$E$1=2),0,1),0)</f>
        <v>1</v>
      </c>
      <c r="AC160" s="67">
        <f ca="1">IF(LOWER(Capacity!$V65)="x",IF(AND(SUMIF(Capacity_Resource,$D160,'Critical resources (hide)'!AP$6:AP$105)+SUMIF(Capacity_Resource,$E160,'Critical resources (hide)'!AP$6:AP$105)+SUMIF(Capacity_Resource,$F160,'Critical resources (hide)'!AP$6:AP$105)&gt;0,$E$1=2),0,1),0)</f>
        <v>1</v>
      </c>
      <c r="AD160" s="67">
        <f ca="1">IF(LOWER(Capacity!$V65)="x",IF(AND(SUMIF(Capacity_Resource,$D160,'Critical resources (hide)'!AQ$6:AQ$105)+SUMIF(Capacity_Resource,$E160,'Critical resources (hide)'!AQ$6:AQ$105)+SUMIF(Capacity_Resource,$F160,'Critical resources (hide)'!AQ$6:AQ$105)&gt;0,$E$1=2),0,1),0)</f>
        <v>1</v>
      </c>
      <c r="AE160" s="67">
        <f ca="1">IF(LOWER(Capacity!$V65)="x",IF(AND(SUMIF(Capacity_Resource,$D160,'Critical resources (hide)'!AR$6:AR$105)+SUMIF(Capacity_Resource,$E160,'Critical resources (hide)'!AR$6:AR$105)+SUMIF(Capacity_Resource,$F160,'Critical resources (hide)'!AR$6:AR$105)&gt;0,$E$1=2),0,1),0)</f>
        <v>1</v>
      </c>
      <c r="AF160" s="67">
        <f ca="1">IF(LOWER(Capacity!$V65)="x",IF(AND(SUMIF(Capacity_Resource,$D160,'Critical resources (hide)'!AS$6:AS$105)+SUMIF(Capacity_Resource,$E160,'Critical resources (hide)'!AS$6:AS$105)+SUMIF(Capacity_Resource,$F160,'Critical resources (hide)'!AS$6:AS$105)&gt;0,$E$1=2),0,1),0)</f>
        <v>1</v>
      </c>
      <c r="AG160" s="67">
        <f ca="1">IF(LOWER(Capacity!$V65)="x",IF(AND(SUMIF(Capacity_Resource,$D160,'Critical resources (hide)'!AT$6:AT$105)+SUMIF(Capacity_Resource,$E160,'Critical resources (hide)'!AT$6:AT$105)+SUMIF(Capacity_Resource,$F160,'Critical resources (hide)'!AT$6:AT$105)&gt;0,$E$1=2),0,1),0)</f>
        <v>1</v>
      </c>
      <c r="AH160" s="67">
        <f ca="1">IF(LOWER(Capacity!$V65)="x",IF(AND(SUMIF(Capacity_Resource,$D160,'Critical resources (hide)'!AU$6:AU$105)+SUMIF(Capacity_Resource,$E160,'Critical resources (hide)'!AU$6:AU$105)+SUMIF(Capacity_Resource,$F160,'Critical resources (hide)'!AU$6:AU$105)&gt;0,$E$1=2),0,1),0)</f>
        <v>1</v>
      </c>
      <c r="AI160" s="67">
        <f ca="1">IF(LOWER(Capacity!$V65)="x",IF(AND(SUMIF(Capacity_Resource,$D160,'Critical resources (hide)'!AV$6:AV$105)+SUMIF(Capacity_Resource,$E160,'Critical resources (hide)'!AV$6:AV$105)+SUMIF(Capacity_Resource,$F160,'Critical resources (hide)'!AV$6:AV$105)&gt;0,$E$1=2),0,1),0)</f>
        <v>1</v>
      </c>
      <c r="AJ160" s="67">
        <f ca="1">IF(LOWER(Capacity!$V65)="x",IF(AND(SUMIF(Capacity_Resource,$D160,'Critical resources (hide)'!AW$6:AW$105)+SUMIF(Capacity_Resource,$E160,'Critical resources (hide)'!AW$6:AW$105)+SUMIF(Capacity_Resource,$F160,'Critical resources (hide)'!AW$6:AW$105)&gt;0,$E$1=2),0,1),0)</f>
        <v>1</v>
      </c>
      <c r="AK160" s="67">
        <f ca="1">IF(LOWER(Capacity!$V65)="x",IF(AND(SUMIF(Capacity_Resource,$D160,'Critical resources (hide)'!AX$6:AX$105)+SUMIF(Capacity_Resource,$E160,'Critical resources (hide)'!AX$6:AX$105)+SUMIF(Capacity_Resource,$F160,'Critical resources (hide)'!AX$6:AX$105)&gt;0,$E$1=2),0,1),0)</f>
        <v>1</v>
      </c>
      <c r="AL160" s="67">
        <f ca="1">IF(LOWER(Capacity!$V65)="x",IF(AND(SUMIF(Capacity_Resource,$D160,'Critical resources (hide)'!AY$6:AY$105)+SUMIF(Capacity_Resource,$E160,'Critical resources (hide)'!AY$6:AY$105)+SUMIF(Capacity_Resource,$F160,'Critical resources (hide)'!AY$6:AY$105)&gt;0,$E$1=2),0,1),0)</f>
        <v>1</v>
      </c>
      <c r="AM160" s="67">
        <f ca="1">IF(LOWER(Capacity!$V65)="x",IF(AND(SUMIF(Capacity_Resource,$D160,'Critical resources (hide)'!AZ$6:AZ$105)+SUMIF(Capacity_Resource,$E160,'Critical resources (hide)'!AZ$6:AZ$105)+SUMIF(Capacity_Resource,$F160,'Critical resources (hide)'!AZ$6:AZ$105)&gt;0,$E$1=2),0,1),0)</f>
        <v>1</v>
      </c>
      <c r="AN160" s="67">
        <f ca="1">IF(LOWER(Capacity!$V65)="x",IF(AND(SUMIF(Capacity_Resource,$D160,'Critical resources (hide)'!BA$6:BA$105)+SUMIF(Capacity_Resource,$E160,'Critical resources (hide)'!BA$6:BA$105)+SUMIF(Capacity_Resource,$F160,'Critical resources (hide)'!BA$6:BA$105)&gt;0,$E$1=2),0,1),0)</f>
        <v>1</v>
      </c>
      <c r="AO160" s="67">
        <f ca="1">IF(LOWER(Capacity!$V65)="x",IF(AND(SUMIF(Capacity_Resource,$D160,'Critical resources (hide)'!BB$6:BB$105)+SUMIF(Capacity_Resource,$E160,'Critical resources (hide)'!BB$6:BB$105)+SUMIF(Capacity_Resource,$F160,'Critical resources (hide)'!BB$6:BB$105)&gt;0,$E$1=2),0,1),0)</f>
        <v>1</v>
      </c>
      <c r="AP160" s="67">
        <f ca="1">IF(LOWER(Capacity!$V65)="x",IF(AND(SUMIF(Capacity_Resource,$D160,'Critical resources (hide)'!BC$6:BC$105)+SUMIF(Capacity_Resource,$E160,'Critical resources (hide)'!BC$6:BC$105)+SUMIF(Capacity_Resource,$F160,'Critical resources (hide)'!BC$6:BC$105)&gt;0,$E$1=2),0,1),0)</f>
        <v>1</v>
      </c>
      <c r="AQ160" s="67">
        <f ca="1">IF(LOWER(Capacity!$V65)="x",IF(AND(SUMIF(Capacity_Resource,$D160,'Critical resources (hide)'!BD$6:BD$105)+SUMIF(Capacity_Resource,$E160,'Critical resources (hide)'!BD$6:BD$105)+SUMIF(Capacity_Resource,$F160,'Critical resources (hide)'!BD$6:BD$105)&gt;0,$E$1=2),0,1),0)</f>
        <v>1</v>
      </c>
      <c r="AR160" s="67">
        <f ca="1">IF(LOWER(Capacity!$V65)="x",IF(AND(SUMIF(Capacity_Resource,$D160,'Critical resources (hide)'!BE$6:BE$105)+SUMIF(Capacity_Resource,$E160,'Critical resources (hide)'!BE$6:BE$105)+SUMIF(Capacity_Resource,$F160,'Critical resources (hide)'!BE$6:BE$105)&gt;0,$E$1=2),0,1),0)</f>
        <v>1</v>
      </c>
      <c r="AS160" s="67">
        <f ca="1">IF(LOWER(Capacity!$V65)="x",IF(AND(SUMIF(Capacity_Resource,$D160,'Critical resources (hide)'!BF$6:BF$105)+SUMIF(Capacity_Resource,$E160,'Critical resources (hide)'!BF$6:BF$105)+SUMIF(Capacity_Resource,$F160,'Critical resources (hide)'!BF$6:BF$105)&gt;0,$E$1=2),0,1),0)</f>
        <v>1</v>
      </c>
      <c r="AT160" s="67">
        <f ca="1">IF(LOWER(Capacity!$V65)="x",IF(AND(SUMIF(Capacity_Resource,$D160,'Critical resources (hide)'!BG$6:BG$105)+SUMIF(Capacity_Resource,$E160,'Critical resources (hide)'!BG$6:BG$105)+SUMIF(Capacity_Resource,$F160,'Critical resources (hide)'!BG$6:BG$105)&gt;0,$E$1=2),0,1),0)</f>
        <v>1</v>
      </c>
      <c r="AU160" s="67">
        <f ca="1">IF(LOWER(Capacity!$V65)="x",IF(AND(SUMIF(Capacity_Resource,$D160,'Critical resources (hide)'!BH$6:BH$105)+SUMIF(Capacity_Resource,$E160,'Critical resources (hide)'!BH$6:BH$105)+SUMIF(Capacity_Resource,$F160,'Critical resources (hide)'!BH$6:BH$105)&gt;0,$E$1=2),0,1),0)</f>
        <v>1</v>
      </c>
      <c r="AV160" s="67">
        <f ca="1">IF(LOWER(Capacity!$V65)="x",IF(AND(SUMIF(Capacity_Resource,$D160,'Critical resources (hide)'!BI$6:BI$105)+SUMIF(Capacity_Resource,$E160,'Critical resources (hide)'!BI$6:BI$105)+SUMIF(Capacity_Resource,$F160,'Critical resources (hide)'!BI$6:BI$105)&gt;0,$E$1=2),0,1),0)</f>
        <v>1</v>
      </c>
      <c r="AW160" s="67">
        <f ca="1">IF(LOWER(Capacity!$V65)="x",IF(AND(SUMIF(Capacity_Resource,$D160,'Critical resources (hide)'!BJ$6:BJ$105)+SUMIF(Capacity_Resource,$E160,'Critical resources (hide)'!BJ$6:BJ$105)+SUMIF(Capacity_Resource,$F160,'Critical resources (hide)'!BJ$6:BJ$105)&gt;0,$E$1=2),0,1),0)</f>
        <v>1</v>
      </c>
      <c r="AX160" s="67">
        <f ca="1">IF(LOWER(Capacity!$V65)="x",IF(AND(SUMIF(Capacity_Resource,$D160,'Critical resources (hide)'!BK$6:BK$105)+SUMIF(Capacity_Resource,$E160,'Critical resources (hide)'!BK$6:BK$105)+SUMIF(Capacity_Resource,$F160,'Critical resources (hide)'!BK$6:BK$105)&gt;0,$E$1=2),0,1),0)</f>
        <v>1</v>
      </c>
      <c r="AY160" s="67">
        <f ca="1">IF(LOWER(Capacity!$V65)="x",IF(AND(SUMIF(Capacity_Resource,$D160,'Critical resources (hide)'!BL$6:BL$105)+SUMIF(Capacity_Resource,$E160,'Critical resources (hide)'!BL$6:BL$105)+SUMIF(Capacity_Resource,$F160,'Critical resources (hide)'!BL$6:BL$105)&gt;0,$E$1=2),0,1),0)</f>
        <v>1</v>
      </c>
      <c r="AZ160" s="67">
        <f ca="1">IF(LOWER(Capacity!$V65)="x",IF(AND(SUMIF(Capacity_Resource,$D160,'Critical resources (hide)'!BM$6:BM$105)+SUMIF(Capacity_Resource,$E160,'Critical resources (hide)'!BM$6:BM$105)+SUMIF(Capacity_Resource,$F160,'Critical resources (hide)'!BM$6:BM$105)&gt;0,$E$1=2),0,1),0)</f>
        <v>1</v>
      </c>
      <c r="BA160" s="67">
        <f ca="1">IF(LOWER(Capacity!$V65)="x",IF(AND(SUMIF(Capacity_Resource,$D160,'Critical resources (hide)'!BN$6:BN$105)+SUMIF(Capacity_Resource,$E160,'Critical resources (hide)'!BN$6:BN$105)+SUMIF(Capacity_Resource,$F160,'Critical resources (hide)'!BN$6:BN$105)&gt;0,$E$1=2),0,1),0)</f>
        <v>1</v>
      </c>
      <c r="BB160" s="67">
        <f ca="1">IF(LOWER(Capacity!$V65)="x",IF(AND(SUMIF(Capacity_Resource,$D160,'Critical resources (hide)'!BO$6:BO$105)+SUMIF(Capacity_Resource,$E160,'Critical resources (hide)'!BO$6:BO$105)+SUMIF(Capacity_Resource,$F160,'Critical resources (hide)'!BO$6:BO$105)&gt;0,$E$1=2),0,1),0)</f>
        <v>1</v>
      </c>
      <c r="BC160" s="67">
        <f ca="1">IF(LOWER(Capacity!$V65)="x",IF(AND(SUMIF(Capacity_Resource,$D160,'Critical resources (hide)'!BP$6:BP$105)+SUMIF(Capacity_Resource,$E160,'Critical resources (hide)'!BP$6:BP$105)+SUMIF(Capacity_Resource,$F160,'Critical resources (hide)'!BP$6:BP$105)&gt;0,$E$1=2),0,1),0)</f>
        <v>1</v>
      </c>
      <c r="BD160" s="67">
        <f ca="1">IF(LOWER(Capacity!$V65)="x",IF(AND(SUMIF(Capacity_Resource,$D160,'Critical resources (hide)'!BQ$6:BQ$105)+SUMIF(Capacity_Resource,$E160,'Critical resources (hide)'!BQ$6:BQ$105)+SUMIF(Capacity_Resource,$F160,'Critical resources (hide)'!BQ$6:BQ$105)&gt;0,$E$1=2),0,1),0)</f>
        <v>1</v>
      </c>
      <c r="BE160" s="67">
        <f ca="1">IF(LOWER(Capacity!$V65)="x",IF(AND(SUMIF(Capacity_Resource,$D160,'Critical resources (hide)'!BR$6:BR$105)+SUMIF(Capacity_Resource,$E160,'Critical resources (hide)'!BR$6:BR$105)+SUMIF(Capacity_Resource,$F160,'Critical resources (hide)'!BR$6:BR$105)&gt;0,$E$1=2),0,1),0)</f>
        <v>1</v>
      </c>
      <c r="BF160" s="67">
        <f ca="1">IF(LOWER(Capacity!$V65)="x",IF(AND(SUMIF(Capacity_Resource,$D160,'Critical resources (hide)'!BS$6:BS$105)+SUMIF(Capacity_Resource,$E160,'Critical resources (hide)'!BS$6:BS$105)+SUMIF(Capacity_Resource,$F160,'Critical resources (hide)'!BS$6:BS$105)&gt;0,$E$1=2),0,1),0)</f>
        <v>1</v>
      </c>
      <c r="BG160" s="67">
        <f ca="1">IF(LOWER(Capacity!$V65)="x",IF(AND(SUMIF(Capacity_Resource,$D160,'Critical resources (hide)'!BT$6:BT$105)+SUMIF(Capacity_Resource,$E160,'Critical resources (hide)'!BT$6:BT$105)+SUMIF(Capacity_Resource,$F160,'Critical resources (hide)'!BT$6:BT$105)&gt;0,$E$1=2),0,1),0)</f>
        <v>1</v>
      </c>
      <c r="BH160" s="67">
        <f>IF(ROW(A49)&lt;=Capacity!$M$16,IF('Capacity summary'!$C$14="No",SUM(H160:BG160),'Capacity summary'!$E72),0)</f>
        <v>0</v>
      </c>
      <c r="BI160" s="67" t="str">
        <f>IF(BH160&gt;0,IF(BH160&lt;Capacity!Q65,Capacity!R65,Capacity!T65/'Capacity calculation (hide)'!BH160),"")</f>
        <v/>
      </c>
      <c r="BJ160" s="5"/>
      <c r="BK160" s="5">
        <f>IF($BI160&lt;&gt;"",IF('Capacity summary'!$C$14="Yes",IF(COUNTBLANK('Capacity summary'!$H72:$BG72)&lt;52,IF('Capacity summary'!H72&lt;&gt;"",IF(LOWER('Capacity summary'!H72)="x",$BI160*H160,VALUE('Capacity summary'!H72)),0),H160*$BI160),H160*$BI160),0)</f>
        <v>0</v>
      </c>
      <c r="BL160" s="5">
        <f>IF($BI160&lt;&gt;"",IF('Capacity summary'!$C$14="Yes",IF(COUNTBLANK('Capacity summary'!$H72:$BG72)&lt;52,IF('Capacity summary'!I72&lt;&gt;"",IF(LOWER('Capacity summary'!I72)="x",$BI160*I160,VALUE('Capacity summary'!I72)),0),I160*$BI160),I160*$BI160),0)</f>
        <v>0</v>
      </c>
      <c r="BM160" s="5">
        <f>IF($BI160&lt;&gt;"",IF('Capacity summary'!$C$14="Yes",IF(COUNTBLANK('Capacity summary'!$H72:$BG72)&lt;52,IF('Capacity summary'!J72&lt;&gt;"",IF(LOWER('Capacity summary'!J72)="x",$BI160*J160,VALUE('Capacity summary'!J72)),0),J160*$BI160),J160*$BI160),0)</f>
        <v>0</v>
      </c>
      <c r="BN160" s="5">
        <f>IF($BI160&lt;&gt;"",IF('Capacity summary'!$C$14="Yes",IF(COUNTBLANK('Capacity summary'!$H72:$BG72)&lt;52,IF('Capacity summary'!K72&lt;&gt;"",IF(LOWER('Capacity summary'!K72)="x",$BI160*K160,VALUE('Capacity summary'!K72)),0),K160*$BI160),K160*$BI160),0)</f>
        <v>0</v>
      </c>
      <c r="BO160" s="5">
        <f>IF($BI160&lt;&gt;"",IF('Capacity summary'!$C$14="Yes",IF(COUNTBLANK('Capacity summary'!$H72:$BG72)&lt;52,IF('Capacity summary'!L72&lt;&gt;"",IF(LOWER('Capacity summary'!L72)="x",$BI160*L160,VALUE('Capacity summary'!L72)),0),L160*$BI160),L160*$BI160),0)</f>
        <v>0</v>
      </c>
      <c r="BP160" s="5">
        <f>IF($BI160&lt;&gt;"",IF('Capacity summary'!$C$14="Yes",IF(COUNTBLANK('Capacity summary'!$H72:$BG72)&lt;52,IF('Capacity summary'!M72&lt;&gt;"",IF(LOWER('Capacity summary'!M72)="x",$BI160*M160,VALUE('Capacity summary'!M72)),0),M160*$BI160),M160*$BI160),0)</f>
        <v>0</v>
      </c>
      <c r="BQ160" s="5">
        <f>IF($BI160&lt;&gt;"",IF('Capacity summary'!$C$14="Yes",IF(COUNTBLANK('Capacity summary'!$H72:$BG72)&lt;52,IF('Capacity summary'!N72&lt;&gt;"",IF(LOWER('Capacity summary'!N72)="x",$BI160*N160,VALUE('Capacity summary'!N72)),0),N160*$BI160),N160*$BI160),0)</f>
        <v>0</v>
      </c>
      <c r="BR160" s="5">
        <f>IF($BI160&lt;&gt;"",IF('Capacity summary'!$C$14="Yes",IF(COUNTBLANK('Capacity summary'!$H72:$BG72)&lt;52,IF('Capacity summary'!O72&lt;&gt;"",IF(LOWER('Capacity summary'!O72)="x",$BI160*O160,VALUE('Capacity summary'!O72)),0),O160*$BI160),O160*$BI160),0)</f>
        <v>0</v>
      </c>
      <c r="BS160" s="5">
        <f>IF($BI160&lt;&gt;"",IF('Capacity summary'!$C$14="Yes",IF(COUNTBLANK('Capacity summary'!$H72:$BG72)&lt;52,IF('Capacity summary'!P72&lt;&gt;"",IF(LOWER('Capacity summary'!P72)="x",$BI160*P160,VALUE('Capacity summary'!P72)),0),P160*$BI160),P160*$BI160),0)</f>
        <v>0</v>
      </c>
      <c r="BT160" s="5">
        <f>IF($BI160&lt;&gt;"",IF('Capacity summary'!$C$14="Yes",IF(COUNTBLANK('Capacity summary'!$H72:$BG72)&lt;52,IF('Capacity summary'!Q72&lt;&gt;"",IF(LOWER('Capacity summary'!Q72)="x",$BI160*Q160,VALUE('Capacity summary'!Q72)),0),Q160*$BI160),Q160*$BI160),0)</f>
        <v>0</v>
      </c>
      <c r="BU160" s="5">
        <f>IF($BI160&lt;&gt;"",IF('Capacity summary'!$C$14="Yes",IF(COUNTBLANK('Capacity summary'!$H72:$BG72)&lt;52,IF('Capacity summary'!R72&lt;&gt;"",IF(LOWER('Capacity summary'!R72)="x",$BI160*R160,VALUE('Capacity summary'!R72)),0),R160*$BI160),R160*$BI160),0)</f>
        <v>0</v>
      </c>
      <c r="BV160" s="5">
        <f>IF($BI160&lt;&gt;"",IF('Capacity summary'!$C$14="Yes",IF(COUNTBLANK('Capacity summary'!$H72:$BG72)&lt;52,IF('Capacity summary'!S72&lt;&gt;"",IF(LOWER('Capacity summary'!S72)="x",$BI160*S160,VALUE('Capacity summary'!S72)),0),S160*$BI160),S160*$BI160),0)</f>
        <v>0</v>
      </c>
      <c r="BW160" s="5">
        <f>IF($BI160&lt;&gt;"",IF('Capacity summary'!$C$14="Yes",IF(COUNTBLANK('Capacity summary'!$H72:$BG72)&lt;52,IF('Capacity summary'!T72&lt;&gt;"",IF(LOWER('Capacity summary'!T72)="x",$BI160*T160,VALUE('Capacity summary'!T72)),0),T160*$BI160),T160*$BI160),0)</f>
        <v>0</v>
      </c>
      <c r="BX160" s="5">
        <f>IF($BI160&lt;&gt;"",IF('Capacity summary'!$C$14="Yes",IF(COUNTBLANK('Capacity summary'!$H72:$BG72)&lt;52,IF('Capacity summary'!U72&lt;&gt;"",IF(LOWER('Capacity summary'!U72)="x",$BI160*U160,VALUE('Capacity summary'!U72)),0),U160*$BI160),U160*$BI160),0)</f>
        <v>0</v>
      </c>
      <c r="BY160" s="5">
        <f>IF($BI160&lt;&gt;"",IF('Capacity summary'!$C$14="Yes",IF(COUNTBLANK('Capacity summary'!$H72:$BG72)&lt;52,IF('Capacity summary'!V72&lt;&gt;"",IF(LOWER('Capacity summary'!V72)="x",$BI160*V160,VALUE('Capacity summary'!V72)),0),V160*$BI160),V160*$BI160),0)</f>
        <v>0</v>
      </c>
      <c r="BZ160" s="5">
        <f>IF($BI160&lt;&gt;"",IF('Capacity summary'!$C$14="Yes",IF(COUNTBLANK('Capacity summary'!$H72:$BG72)&lt;52,IF('Capacity summary'!W72&lt;&gt;"",IF(LOWER('Capacity summary'!W72)="x",$BI160*W160,VALUE('Capacity summary'!W72)),0),W160*$BI160),W160*$BI160),0)</f>
        <v>0</v>
      </c>
      <c r="CA160" s="5">
        <f>IF($BI160&lt;&gt;"",IF('Capacity summary'!$C$14="Yes",IF(COUNTBLANK('Capacity summary'!$H72:$BG72)&lt;52,IF('Capacity summary'!X72&lt;&gt;"",IF(LOWER('Capacity summary'!X72)="x",$BI160*X160,VALUE('Capacity summary'!X72)),0),X160*$BI160),X160*$BI160),0)</f>
        <v>0</v>
      </c>
      <c r="CB160" s="5">
        <f>IF($BI160&lt;&gt;"",IF('Capacity summary'!$C$14="Yes",IF(COUNTBLANK('Capacity summary'!$H72:$BG72)&lt;52,IF('Capacity summary'!Y72&lt;&gt;"",IF(LOWER('Capacity summary'!Y72)="x",$BI160*Y160,VALUE('Capacity summary'!Y72)),0),Y160*$BI160),Y160*$BI160),0)</f>
        <v>0</v>
      </c>
      <c r="CC160" s="5">
        <f>IF($BI160&lt;&gt;"",IF('Capacity summary'!$C$14="Yes",IF(COUNTBLANK('Capacity summary'!$H72:$BG72)&lt;52,IF('Capacity summary'!Z72&lt;&gt;"",IF(LOWER('Capacity summary'!Z72)="x",$BI160*Z160,VALUE('Capacity summary'!Z72)),0),Z160*$BI160),Z160*$BI160),0)</f>
        <v>0</v>
      </c>
      <c r="CD160" s="5">
        <f>IF($BI160&lt;&gt;"",IF('Capacity summary'!$C$14="Yes",IF(COUNTBLANK('Capacity summary'!$H72:$BG72)&lt;52,IF('Capacity summary'!AA72&lt;&gt;"",IF(LOWER('Capacity summary'!AA72)="x",$BI160*AA160,VALUE('Capacity summary'!AA72)),0),AA160*$BI160),AA160*$BI160),0)</f>
        <v>0</v>
      </c>
      <c r="CE160" s="5">
        <f>IF($BI160&lt;&gt;"",IF('Capacity summary'!$C$14="Yes",IF(COUNTBLANK('Capacity summary'!$H72:$BG72)&lt;52,IF('Capacity summary'!AB72&lt;&gt;"",IF(LOWER('Capacity summary'!AB72)="x",$BI160*AB160,VALUE('Capacity summary'!AB72)),0),AB160*$BI160),AB160*$BI160),0)</f>
        <v>0</v>
      </c>
      <c r="CF160" s="5">
        <f>IF($BI160&lt;&gt;"",IF('Capacity summary'!$C$14="Yes",IF(COUNTBLANK('Capacity summary'!$H72:$BG72)&lt;52,IF('Capacity summary'!AC72&lt;&gt;"",IF(LOWER('Capacity summary'!AC72)="x",$BI160*AC160,VALUE('Capacity summary'!AC72)),0),AC160*$BI160),AC160*$BI160),0)</f>
        <v>0</v>
      </c>
      <c r="CG160" s="5">
        <f>IF($BI160&lt;&gt;"",IF('Capacity summary'!$C$14="Yes",IF(COUNTBLANK('Capacity summary'!$H72:$BG72)&lt;52,IF('Capacity summary'!AD72&lt;&gt;"",IF(LOWER('Capacity summary'!AD72)="x",$BI160*AD160,VALUE('Capacity summary'!AD72)),0),AD160*$BI160),AD160*$BI160),0)</f>
        <v>0</v>
      </c>
      <c r="CH160" s="5">
        <f>IF($BI160&lt;&gt;"",IF('Capacity summary'!$C$14="Yes",IF(COUNTBLANK('Capacity summary'!$H72:$BG72)&lt;52,IF('Capacity summary'!AE72&lt;&gt;"",IF(LOWER('Capacity summary'!AE72)="x",$BI160*AE160,VALUE('Capacity summary'!AE72)),0),AE160*$BI160),AE160*$BI160),0)</f>
        <v>0</v>
      </c>
      <c r="CI160" s="5">
        <f>IF($BI160&lt;&gt;"",IF('Capacity summary'!$C$14="Yes",IF(COUNTBLANK('Capacity summary'!$H72:$BG72)&lt;52,IF('Capacity summary'!AF72&lt;&gt;"",IF(LOWER('Capacity summary'!AF72)="x",$BI160*AF160,VALUE('Capacity summary'!AF72)),0),AF160*$BI160),AF160*$BI160),0)</f>
        <v>0</v>
      </c>
      <c r="CJ160" s="5">
        <f>IF($BI160&lt;&gt;"",IF('Capacity summary'!$C$14="Yes",IF(COUNTBLANK('Capacity summary'!$H72:$BG72)&lt;52,IF('Capacity summary'!AG72&lt;&gt;"",IF(LOWER('Capacity summary'!AG72)="x",$BI160*AG160,VALUE('Capacity summary'!AG72)),0),AG160*$BI160),AG160*$BI160),0)</f>
        <v>0</v>
      </c>
      <c r="CK160" s="5">
        <f>IF($BI160&lt;&gt;"",IF('Capacity summary'!$C$14="Yes",IF(COUNTBLANK('Capacity summary'!$H72:$BG72)&lt;52,IF('Capacity summary'!AH72&lt;&gt;"",IF(LOWER('Capacity summary'!AH72)="x",$BI160*AH160,VALUE('Capacity summary'!AH72)),0),AH160*$BI160),AH160*$BI160),0)</f>
        <v>0</v>
      </c>
      <c r="CL160" s="5">
        <f>IF($BI160&lt;&gt;"",IF('Capacity summary'!$C$14="Yes",IF(COUNTBLANK('Capacity summary'!$H72:$BG72)&lt;52,IF('Capacity summary'!AI72&lt;&gt;"",IF(LOWER('Capacity summary'!AI72)="x",$BI160*AI160,VALUE('Capacity summary'!AI72)),0),AI160*$BI160),AI160*$BI160),0)</f>
        <v>0</v>
      </c>
      <c r="CM160" s="5">
        <f>IF($BI160&lt;&gt;"",IF('Capacity summary'!$C$14="Yes",IF(COUNTBLANK('Capacity summary'!$H72:$BG72)&lt;52,IF('Capacity summary'!AJ72&lt;&gt;"",IF(LOWER('Capacity summary'!AJ72)="x",$BI160*AJ160,VALUE('Capacity summary'!AJ72)),0),AJ160*$BI160),AJ160*$BI160),0)</f>
        <v>0</v>
      </c>
      <c r="CN160" s="5">
        <f>IF($BI160&lt;&gt;"",IF('Capacity summary'!$C$14="Yes",IF(COUNTBLANK('Capacity summary'!$H72:$BG72)&lt;52,IF('Capacity summary'!AK72&lt;&gt;"",IF(LOWER('Capacity summary'!AK72)="x",$BI160*AK160,VALUE('Capacity summary'!AK72)),0),AK160*$BI160),AK160*$BI160),0)</f>
        <v>0</v>
      </c>
      <c r="CO160" s="5">
        <f>IF($BI160&lt;&gt;"",IF('Capacity summary'!$C$14="Yes",IF(COUNTBLANK('Capacity summary'!$H72:$BG72)&lt;52,IF('Capacity summary'!AL72&lt;&gt;"",IF(LOWER('Capacity summary'!AL72)="x",$BI160*AL160,VALUE('Capacity summary'!AL72)),0),AL160*$BI160),AL160*$BI160),0)</f>
        <v>0</v>
      </c>
      <c r="CP160" s="5">
        <f>IF($BI160&lt;&gt;"",IF('Capacity summary'!$C$14="Yes",IF(COUNTBLANK('Capacity summary'!$H72:$BG72)&lt;52,IF('Capacity summary'!AM72&lt;&gt;"",IF(LOWER('Capacity summary'!AM72)="x",$BI160*AM160,VALUE('Capacity summary'!AM72)),0),AM160*$BI160),AM160*$BI160),0)</f>
        <v>0</v>
      </c>
      <c r="CQ160" s="5">
        <f>IF($BI160&lt;&gt;"",IF('Capacity summary'!$C$14="Yes",IF(COUNTBLANK('Capacity summary'!$H72:$BG72)&lt;52,IF('Capacity summary'!AN72&lt;&gt;"",IF(LOWER('Capacity summary'!AN72)="x",$BI160*AN160,VALUE('Capacity summary'!AN72)),0),AN160*$BI160),AN160*$BI160),0)</f>
        <v>0</v>
      </c>
      <c r="CR160" s="5">
        <f>IF($BI160&lt;&gt;"",IF('Capacity summary'!$C$14="Yes",IF(COUNTBLANK('Capacity summary'!$H72:$BG72)&lt;52,IF('Capacity summary'!AO72&lt;&gt;"",IF(LOWER('Capacity summary'!AO72)="x",$BI160*AO160,VALUE('Capacity summary'!AO72)),0),AO160*$BI160),AO160*$BI160),0)</f>
        <v>0</v>
      </c>
      <c r="CS160" s="5">
        <f>IF($BI160&lt;&gt;"",IF('Capacity summary'!$C$14="Yes",IF(COUNTBLANK('Capacity summary'!$H72:$BG72)&lt;52,IF('Capacity summary'!AP72&lt;&gt;"",IF(LOWER('Capacity summary'!AP72)="x",$BI160*AP160,VALUE('Capacity summary'!AP72)),0),AP160*$BI160),AP160*$BI160),0)</f>
        <v>0</v>
      </c>
      <c r="CT160" s="5">
        <f>IF($BI160&lt;&gt;"",IF('Capacity summary'!$C$14="Yes",IF(COUNTBLANK('Capacity summary'!$H72:$BG72)&lt;52,IF('Capacity summary'!AQ72&lt;&gt;"",IF(LOWER('Capacity summary'!AQ72)="x",$BI160*AQ160,VALUE('Capacity summary'!AQ72)),0),AQ160*$BI160),AQ160*$BI160),0)</f>
        <v>0</v>
      </c>
      <c r="CU160" s="5">
        <f>IF($BI160&lt;&gt;"",IF('Capacity summary'!$C$14="Yes",IF(COUNTBLANK('Capacity summary'!$H72:$BG72)&lt;52,IF('Capacity summary'!AR72&lt;&gt;"",IF(LOWER('Capacity summary'!AR72)="x",$BI160*AR160,VALUE('Capacity summary'!AR72)),0),AR160*$BI160),AR160*$BI160),0)</f>
        <v>0</v>
      </c>
      <c r="CV160" s="5">
        <f>IF($BI160&lt;&gt;"",IF('Capacity summary'!$C$14="Yes",IF(COUNTBLANK('Capacity summary'!$H72:$BG72)&lt;52,IF('Capacity summary'!AS72&lt;&gt;"",IF(LOWER('Capacity summary'!AS72)="x",$BI160*AS160,VALUE('Capacity summary'!AS72)),0),AS160*$BI160),AS160*$BI160),0)</f>
        <v>0</v>
      </c>
      <c r="CW160" s="5">
        <f>IF($BI160&lt;&gt;"",IF('Capacity summary'!$C$14="Yes",IF(COUNTBLANK('Capacity summary'!$H72:$BG72)&lt;52,IF('Capacity summary'!AT72&lt;&gt;"",IF(LOWER('Capacity summary'!AT72)="x",$BI160*AT160,VALUE('Capacity summary'!AT72)),0),AT160*$BI160),AT160*$BI160),0)</f>
        <v>0</v>
      </c>
      <c r="CX160" s="5">
        <f>IF($BI160&lt;&gt;"",IF('Capacity summary'!$C$14="Yes",IF(COUNTBLANK('Capacity summary'!$H72:$BG72)&lt;52,IF('Capacity summary'!AU72&lt;&gt;"",IF(LOWER('Capacity summary'!AU72)="x",$BI160*AU160,VALUE('Capacity summary'!AU72)),0),AU160*$BI160),AU160*$BI160),0)</f>
        <v>0</v>
      </c>
      <c r="CY160" s="5">
        <f>IF($BI160&lt;&gt;"",IF('Capacity summary'!$C$14="Yes",IF(COUNTBLANK('Capacity summary'!$H72:$BG72)&lt;52,IF('Capacity summary'!AV72&lt;&gt;"",IF(LOWER('Capacity summary'!AV72)="x",$BI160*AV160,VALUE('Capacity summary'!AV72)),0),AV160*$BI160),AV160*$BI160),0)</f>
        <v>0</v>
      </c>
      <c r="CZ160" s="5">
        <f>IF($BI160&lt;&gt;"",IF('Capacity summary'!$C$14="Yes",IF(COUNTBLANK('Capacity summary'!$H72:$BG72)&lt;52,IF('Capacity summary'!AW72&lt;&gt;"",IF(LOWER('Capacity summary'!AW72)="x",$BI160*AW160,VALUE('Capacity summary'!AW72)),0),AW160*$BI160),AW160*$BI160),0)</f>
        <v>0</v>
      </c>
      <c r="DA160" s="5">
        <f>IF($BI160&lt;&gt;"",IF('Capacity summary'!$C$14="Yes",IF(COUNTBLANK('Capacity summary'!$H72:$BG72)&lt;52,IF('Capacity summary'!AX72&lt;&gt;"",IF(LOWER('Capacity summary'!AX72)="x",$BI160*AX160,VALUE('Capacity summary'!AX72)),0),AX160*$BI160),AX160*$BI160),0)</f>
        <v>0</v>
      </c>
      <c r="DB160" s="5">
        <f>IF($BI160&lt;&gt;"",IF('Capacity summary'!$C$14="Yes",IF(COUNTBLANK('Capacity summary'!$H72:$BG72)&lt;52,IF('Capacity summary'!AY72&lt;&gt;"",IF(LOWER('Capacity summary'!AY72)="x",$BI160*AY160,VALUE('Capacity summary'!AY72)),0),AY160*$BI160),AY160*$BI160),0)</f>
        <v>0</v>
      </c>
      <c r="DC160" s="5">
        <f>IF($BI160&lt;&gt;"",IF('Capacity summary'!$C$14="Yes",IF(COUNTBLANK('Capacity summary'!$H72:$BG72)&lt;52,IF('Capacity summary'!AZ72&lt;&gt;"",IF(LOWER('Capacity summary'!AZ72)="x",$BI160*AZ160,VALUE('Capacity summary'!AZ72)),0),AZ160*$BI160),AZ160*$BI160),0)</f>
        <v>0</v>
      </c>
      <c r="DD160" s="5">
        <f>IF($BI160&lt;&gt;"",IF('Capacity summary'!$C$14="Yes",IF(COUNTBLANK('Capacity summary'!$H72:$BG72)&lt;52,IF('Capacity summary'!BA72&lt;&gt;"",IF(LOWER('Capacity summary'!BA72)="x",$BI160*BA160,VALUE('Capacity summary'!BA72)),0),BA160*$BI160),BA160*$BI160),0)</f>
        <v>0</v>
      </c>
      <c r="DE160" s="5">
        <f>IF($BI160&lt;&gt;"",IF('Capacity summary'!$C$14="Yes",IF(COUNTBLANK('Capacity summary'!$H72:$BG72)&lt;52,IF('Capacity summary'!BB72&lt;&gt;"",IF(LOWER('Capacity summary'!BB72)="x",$BI160*BB160,VALUE('Capacity summary'!BB72)),0),BB160*$BI160),BB160*$BI160),0)</f>
        <v>0</v>
      </c>
      <c r="DF160" s="5">
        <f>IF($BI160&lt;&gt;"",IF('Capacity summary'!$C$14="Yes",IF(COUNTBLANK('Capacity summary'!$H72:$BG72)&lt;52,IF('Capacity summary'!BC72&lt;&gt;"",IF(LOWER('Capacity summary'!BC72)="x",$BI160*BC160,VALUE('Capacity summary'!BC72)),0),BC160*$BI160),BC160*$BI160),0)</f>
        <v>0</v>
      </c>
      <c r="DG160" s="5">
        <f>IF($BI160&lt;&gt;"",IF('Capacity summary'!$C$14="Yes",IF(COUNTBLANK('Capacity summary'!$H72:$BG72)&lt;52,IF('Capacity summary'!BD72&lt;&gt;"",IF(LOWER('Capacity summary'!BD72)="x",$BI160*BD160,VALUE('Capacity summary'!BD72)),0),BD160*$BI160),BD160*$BI160),0)</f>
        <v>0</v>
      </c>
      <c r="DH160" s="5">
        <f>IF($BI160&lt;&gt;"",IF('Capacity summary'!$C$14="Yes",IF(COUNTBLANK('Capacity summary'!$H72:$BG72)&lt;52,IF('Capacity summary'!BE72&lt;&gt;"",IF(LOWER('Capacity summary'!BE72)="x",$BI160*BE160,VALUE('Capacity summary'!BE72)),0),BE160*$BI160),BE160*$BI160),0)</f>
        <v>0</v>
      </c>
      <c r="DI160" s="5">
        <f>IF($BI160&lt;&gt;"",IF('Capacity summary'!$C$14="Yes",IF(COUNTBLANK('Capacity summary'!$H72:$BG72)&lt;52,IF('Capacity summary'!BF72&lt;&gt;"",IF(LOWER('Capacity summary'!BF72)="x",$BI160*BF160,VALUE('Capacity summary'!BF72)),0),BF160*$BI160),BF160*$BI160),0)</f>
        <v>0</v>
      </c>
      <c r="DJ160" s="5">
        <f>IF($BI160&lt;&gt;"",IF('Capacity summary'!$C$14="Yes",IF(COUNTBLANK('Capacity summary'!$H72:$BG72)&lt;52,IF('Capacity summary'!BG72&lt;&gt;"",IF(LOWER('Capacity summary'!BG72)="x",$BI160*BG160,VALUE('Capacity summary'!BG72)),0),BG160*$BI160),BG160*$BI160),0)</f>
        <v>0</v>
      </c>
      <c r="DK160" s="391">
        <f t="shared" si="8"/>
        <v>0</v>
      </c>
      <c r="DL160" s="5">
        <f t="shared" si="9"/>
        <v>0</v>
      </c>
    </row>
    <row r="161" spans="3:116" x14ac:dyDescent="0.2">
      <c r="C161" s="67" t="str">
        <f>ROW(A50)&amp;". "&amp;Capacity!N66</f>
        <v xml:space="preserve">50. </v>
      </c>
      <c r="D161" s="67">
        <f>'Capacity setup'!C167</f>
        <v>0</v>
      </c>
      <c r="E161" s="67">
        <f>'Capacity setup'!D167</f>
        <v>0</v>
      </c>
      <c r="F161" s="67">
        <f>'Capacity setup'!E167</f>
        <v>0</v>
      </c>
      <c r="H161" s="67">
        <f ca="1">IF(LOWER(Capacity!$V66)="x",IF(AND(SUMIF(Capacity_Resource,$D161,'Critical resources (hide)'!U$6:U$105)+SUMIF(Capacity_Resource,$E161,'Critical resources (hide)'!U$6:U$105)+SUMIF(Capacity_Resource,$F161,'Critical resources (hide)'!U$6:U$105)&gt;0,$E$1=2),0,1),0)</f>
        <v>1</v>
      </c>
      <c r="I161" s="67">
        <f ca="1">IF(LOWER(Capacity!$V66)="x",IF(AND(SUMIF(Capacity_Resource,$D161,'Critical resources (hide)'!V$6:V$105)+SUMIF(Capacity_Resource,$E161,'Critical resources (hide)'!V$6:V$105)+SUMIF(Capacity_Resource,$F161,'Critical resources (hide)'!V$6:V$105)&gt;0,$E$1=2),0,1),0)</f>
        <v>1</v>
      </c>
      <c r="J161" s="67">
        <f ca="1">IF(LOWER(Capacity!$V66)="x",IF(AND(SUMIF(Capacity_Resource,$D161,'Critical resources (hide)'!W$6:W$105)+SUMIF(Capacity_Resource,$E161,'Critical resources (hide)'!W$6:W$105)+SUMIF(Capacity_Resource,$F161,'Critical resources (hide)'!W$6:W$105)&gt;0,$E$1=2),0,1),0)</f>
        <v>1</v>
      </c>
      <c r="K161" s="67">
        <f ca="1">IF(LOWER(Capacity!$V66)="x",IF(AND(SUMIF(Capacity_Resource,$D161,'Critical resources (hide)'!X$6:X$105)+SUMIF(Capacity_Resource,$E161,'Critical resources (hide)'!X$6:X$105)+SUMIF(Capacity_Resource,$F161,'Critical resources (hide)'!X$6:X$105)&gt;0,$E$1=2),0,1),0)</f>
        <v>1</v>
      </c>
      <c r="L161" s="67">
        <f ca="1">IF(LOWER(Capacity!$V66)="x",IF(AND(SUMIF(Capacity_Resource,$D161,'Critical resources (hide)'!Y$6:Y$105)+SUMIF(Capacity_Resource,$E161,'Critical resources (hide)'!Y$6:Y$105)+SUMIF(Capacity_Resource,$F161,'Critical resources (hide)'!Y$6:Y$105)&gt;0,$E$1=2),0,1),0)</f>
        <v>1</v>
      </c>
      <c r="M161" s="67">
        <f ca="1">IF(LOWER(Capacity!$V66)="x",IF(AND(SUMIF(Capacity_Resource,$D161,'Critical resources (hide)'!Z$6:Z$105)+SUMIF(Capacity_Resource,$E161,'Critical resources (hide)'!Z$6:Z$105)+SUMIF(Capacity_Resource,$F161,'Critical resources (hide)'!Z$6:Z$105)&gt;0,$E$1=2),0,1),0)</f>
        <v>1</v>
      </c>
      <c r="N161" s="67">
        <f ca="1">IF(LOWER(Capacity!$V66)="x",IF(AND(SUMIF(Capacity_Resource,$D161,'Critical resources (hide)'!AA$6:AA$105)+SUMIF(Capacity_Resource,$E161,'Critical resources (hide)'!AA$6:AA$105)+SUMIF(Capacity_Resource,$F161,'Critical resources (hide)'!AA$6:AA$105)&gt;0,$E$1=2),0,1),0)</f>
        <v>1</v>
      </c>
      <c r="O161" s="67">
        <f ca="1">IF(LOWER(Capacity!$V66)="x",IF(AND(SUMIF(Capacity_Resource,$D161,'Critical resources (hide)'!AB$6:AB$105)+SUMIF(Capacity_Resource,$E161,'Critical resources (hide)'!AB$6:AB$105)+SUMIF(Capacity_Resource,$F161,'Critical resources (hide)'!AB$6:AB$105)&gt;0,$E$1=2),0,1),0)</f>
        <v>1</v>
      </c>
      <c r="P161" s="67">
        <f ca="1">IF(LOWER(Capacity!$V66)="x",IF(AND(SUMIF(Capacity_Resource,$D161,'Critical resources (hide)'!AC$6:AC$105)+SUMIF(Capacity_Resource,$E161,'Critical resources (hide)'!AC$6:AC$105)+SUMIF(Capacity_Resource,$F161,'Critical resources (hide)'!AC$6:AC$105)&gt;0,$E$1=2),0,1),0)</f>
        <v>1</v>
      </c>
      <c r="Q161" s="67">
        <f ca="1">IF(LOWER(Capacity!$V66)="x",IF(AND(SUMIF(Capacity_Resource,$D161,'Critical resources (hide)'!AD$6:AD$105)+SUMIF(Capacity_Resource,$E161,'Critical resources (hide)'!AD$6:AD$105)+SUMIF(Capacity_Resource,$F161,'Critical resources (hide)'!AD$6:AD$105)&gt;0,$E$1=2),0,1),0)</f>
        <v>1</v>
      </c>
      <c r="R161" s="67">
        <f ca="1">IF(LOWER(Capacity!$V66)="x",IF(AND(SUMIF(Capacity_Resource,$D161,'Critical resources (hide)'!AE$6:AE$105)+SUMIF(Capacity_Resource,$E161,'Critical resources (hide)'!AE$6:AE$105)+SUMIF(Capacity_Resource,$F161,'Critical resources (hide)'!AE$6:AE$105)&gt;0,$E$1=2),0,1),0)</f>
        <v>1</v>
      </c>
      <c r="S161" s="67">
        <f ca="1">IF(LOWER(Capacity!$V66)="x",IF(AND(SUMIF(Capacity_Resource,$D161,'Critical resources (hide)'!AF$6:AF$105)+SUMIF(Capacity_Resource,$E161,'Critical resources (hide)'!AF$6:AF$105)+SUMIF(Capacity_Resource,$F161,'Critical resources (hide)'!AF$6:AF$105)&gt;0,$E$1=2),0,1),0)</f>
        <v>1</v>
      </c>
      <c r="T161" s="67">
        <f ca="1">IF(LOWER(Capacity!$V66)="x",IF(AND(SUMIF(Capacity_Resource,$D161,'Critical resources (hide)'!AG$6:AG$105)+SUMIF(Capacity_Resource,$E161,'Critical resources (hide)'!AG$6:AG$105)+SUMIF(Capacity_Resource,$F161,'Critical resources (hide)'!AG$6:AG$105)&gt;0,$E$1=2),0,1),0)</f>
        <v>1</v>
      </c>
      <c r="U161" s="67">
        <f ca="1">IF(LOWER(Capacity!$V66)="x",IF(AND(SUMIF(Capacity_Resource,$D161,'Critical resources (hide)'!AH$6:AH$105)+SUMIF(Capacity_Resource,$E161,'Critical resources (hide)'!AH$6:AH$105)+SUMIF(Capacity_Resource,$F161,'Critical resources (hide)'!AH$6:AH$105)&gt;0,$E$1=2),0,1),0)</f>
        <v>1</v>
      </c>
      <c r="V161" s="67">
        <f ca="1">IF(LOWER(Capacity!$V66)="x",IF(AND(SUMIF(Capacity_Resource,$D161,'Critical resources (hide)'!AI$6:AI$105)+SUMIF(Capacity_Resource,$E161,'Critical resources (hide)'!AI$6:AI$105)+SUMIF(Capacity_Resource,$F161,'Critical resources (hide)'!AI$6:AI$105)&gt;0,$E$1=2),0,1),0)</f>
        <v>1</v>
      </c>
      <c r="W161" s="67">
        <f ca="1">IF(LOWER(Capacity!$V66)="x",IF(AND(SUMIF(Capacity_Resource,$D161,'Critical resources (hide)'!AJ$6:AJ$105)+SUMIF(Capacity_Resource,$E161,'Critical resources (hide)'!AJ$6:AJ$105)+SUMIF(Capacity_Resource,$F161,'Critical resources (hide)'!AJ$6:AJ$105)&gt;0,$E$1=2),0,1),0)</f>
        <v>1</v>
      </c>
      <c r="X161" s="67">
        <f ca="1">IF(LOWER(Capacity!$V66)="x",IF(AND(SUMIF(Capacity_Resource,$D161,'Critical resources (hide)'!AK$6:AK$105)+SUMIF(Capacity_Resource,$E161,'Critical resources (hide)'!AK$6:AK$105)+SUMIF(Capacity_Resource,$F161,'Critical resources (hide)'!AK$6:AK$105)&gt;0,$E$1=2),0,1),0)</f>
        <v>1</v>
      </c>
      <c r="Y161" s="67">
        <f ca="1">IF(LOWER(Capacity!$V66)="x",IF(AND(SUMIF(Capacity_Resource,$D161,'Critical resources (hide)'!AL$6:AL$105)+SUMIF(Capacity_Resource,$E161,'Critical resources (hide)'!AL$6:AL$105)+SUMIF(Capacity_Resource,$F161,'Critical resources (hide)'!AL$6:AL$105)&gt;0,$E$1=2),0,1),0)</f>
        <v>1</v>
      </c>
      <c r="Z161" s="67">
        <f ca="1">IF(LOWER(Capacity!$V66)="x",IF(AND(SUMIF(Capacity_Resource,$D161,'Critical resources (hide)'!AM$6:AM$105)+SUMIF(Capacity_Resource,$E161,'Critical resources (hide)'!AM$6:AM$105)+SUMIF(Capacity_Resource,$F161,'Critical resources (hide)'!AM$6:AM$105)&gt;0,$E$1=2),0,1),0)</f>
        <v>1</v>
      </c>
      <c r="AA161" s="67">
        <f ca="1">IF(LOWER(Capacity!$V66)="x",IF(AND(SUMIF(Capacity_Resource,$D161,'Critical resources (hide)'!AN$6:AN$105)+SUMIF(Capacity_Resource,$E161,'Critical resources (hide)'!AN$6:AN$105)+SUMIF(Capacity_Resource,$F161,'Critical resources (hide)'!AN$6:AN$105)&gt;0,$E$1=2),0,1),0)</f>
        <v>1</v>
      </c>
      <c r="AB161" s="67">
        <f ca="1">IF(LOWER(Capacity!$V66)="x",IF(AND(SUMIF(Capacity_Resource,$D161,'Critical resources (hide)'!AO$6:AO$105)+SUMIF(Capacity_Resource,$E161,'Critical resources (hide)'!AO$6:AO$105)+SUMIF(Capacity_Resource,$F161,'Critical resources (hide)'!AO$6:AO$105)&gt;0,$E$1=2),0,1),0)</f>
        <v>1</v>
      </c>
      <c r="AC161" s="67">
        <f ca="1">IF(LOWER(Capacity!$V66)="x",IF(AND(SUMIF(Capacity_Resource,$D161,'Critical resources (hide)'!AP$6:AP$105)+SUMIF(Capacity_Resource,$E161,'Critical resources (hide)'!AP$6:AP$105)+SUMIF(Capacity_Resource,$F161,'Critical resources (hide)'!AP$6:AP$105)&gt;0,$E$1=2),0,1),0)</f>
        <v>1</v>
      </c>
      <c r="AD161" s="67">
        <f ca="1">IF(LOWER(Capacity!$V66)="x",IF(AND(SUMIF(Capacity_Resource,$D161,'Critical resources (hide)'!AQ$6:AQ$105)+SUMIF(Capacity_Resource,$E161,'Critical resources (hide)'!AQ$6:AQ$105)+SUMIF(Capacity_Resource,$F161,'Critical resources (hide)'!AQ$6:AQ$105)&gt;0,$E$1=2),0,1),0)</f>
        <v>1</v>
      </c>
      <c r="AE161" s="67">
        <f ca="1">IF(LOWER(Capacity!$V66)="x",IF(AND(SUMIF(Capacity_Resource,$D161,'Critical resources (hide)'!AR$6:AR$105)+SUMIF(Capacity_Resource,$E161,'Critical resources (hide)'!AR$6:AR$105)+SUMIF(Capacity_Resource,$F161,'Critical resources (hide)'!AR$6:AR$105)&gt;0,$E$1=2),0,1),0)</f>
        <v>1</v>
      </c>
      <c r="AF161" s="67">
        <f ca="1">IF(LOWER(Capacity!$V66)="x",IF(AND(SUMIF(Capacity_Resource,$D161,'Critical resources (hide)'!AS$6:AS$105)+SUMIF(Capacity_Resource,$E161,'Critical resources (hide)'!AS$6:AS$105)+SUMIF(Capacity_Resource,$F161,'Critical resources (hide)'!AS$6:AS$105)&gt;0,$E$1=2),0,1),0)</f>
        <v>1</v>
      </c>
      <c r="AG161" s="67">
        <f ca="1">IF(LOWER(Capacity!$V66)="x",IF(AND(SUMIF(Capacity_Resource,$D161,'Critical resources (hide)'!AT$6:AT$105)+SUMIF(Capacity_Resource,$E161,'Critical resources (hide)'!AT$6:AT$105)+SUMIF(Capacity_Resource,$F161,'Critical resources (hide)'!AT$6:AT$105)&gt;0,$E$1=2),0,1),0)</f>
        <v>1</v>
      </c>
      <c r="AH161" s="67">
        <f ca="1">IF(LOWER(Capacity!$V66)="x",IF(AND(SUMIF(Capacity_Resource,$D161,'Critical resources (hide)'!AU$6:AU$105)+SUMIF(Capacity_Resource,$E161,'Critical resources (hide)'!AU$6:AU$105)+SUMIF(Capacity_Resource,$F161,'Critical resources (hide)'!AU$6:AU$105)&gt;0,$E$1=2),0,1),0)</f>
        <v>1</v>
      </c>
      <c r="AI161" s="67">
        <f ca="1">IF(LOWER(Capacity!$V66)="x",IF(AND(SUMIF(Capacity_Resource,$D161,'Critical resources (hide)'!AV$6:AV$105)+SUMIF(Capacity_Resource,$E161,'Critical resources (hide)'!AV$6:AV$105)+SUMIF(Capacity_Resource,$F161,'Critical resources (hide)'!AV$6:AV$105)&gt;0,$E$1=2),0,1),0)</f>
        <v>1</v>
      </c>
      <c r="AJ161" s="67">
        <f ca="1">IF(LOWER(Capacity!$V66)="x",IF(AND(SUMIF(Capacity_Resource,$D161,'Critical resources (hide)'!AW$6:AW$105)+SUMIF(Capacity_Resource,$E161,'Critical resources (hide)'!AW$6:AW$105)+SUMIF(Capacity_Resource,$F161,'Critical resources (hide)'!AW$6:AW$105)&gt;0,$E$1=2),0,1),0)</f>
        <v>1</v>
      </c>
      <c r="AK161" s="67">
        <f ca="1">IF(LOWER(Capacity!$V66)="x",IF(AND(SUMIF(Capacity_Resource,$D161,'Critical resources (hide)'!AX$6:AX$105)+SUMIF(Capacity_Resource,$E161,'Critical resources (hide)'!AX$6:AX$105)+SUMIF(Capacity_Resource,$F161,'Critical resources (hide)'!AX$6:AX$105)&gt;0,$E$1=2),0,1),0)</f>
        <v>1</v>
      </c>
      <c r="AL161" s="67">
        <f ca="1">IF(LOWER(Capacity!$V66)="x",IF(AND(SUMIF(Capacity_Resource,$D161,'Critical resources (hide)'!AY$6:AY$105)+SUMIF(Capacity_Resource,$E161,'Critical resources (hide)'!AY$6:AY$105)+SUMIF(Capacity_Resource,$F161,'Critical resources (hide)'!AY$6:AY$105)&gt;0,$E$1=2),0,1),0)</f>
        <v>1</v>
      </c>
      <c r="AM161" s="67">
        <f ca="1">IF(LOWER(Capacity!$V66)="x",IF(AND(SUMIF(Capacity_Resource,$D161,'Critical resources (hide)'!AZ$6:AZ$105)+SUMIF(Capacity_Resource,$E161,'Critical resources (hide)'!AZ$6:AZ$105)+SUMIF(Capacity_Resource,$F161,'Critical resources (hide)'!AZ$6:AZ$105)&gt;0,$E$1=2),0,1),0)</f>
        <v>1</v>
      </c>
      <c r="AN161" s="67">
        <f ca="1">IF(LOWER(Capacity!$V66)="x",IF(AND(SUMIF(Capacity_Resource,$D161,'Critical resources (hide)'!BA$6:BA$105)+SUMIF(Capacity_Resource,$E161,'Critical resources (hide)'!BA$6:BA$105)+SUMIF(Capacity_Resource,$F161,'Critical resources (hide)'!BA$6:BA$105)&gt;0,$E$1=2),0,1),0)</f>
        <v>1</v>
      </c>
      <c r="AO161" s="67">
        <f ca="1">IF(LOWER(Capacity!$V66)="x",IF(AND(SUMIF(Capacity_Resource,$D161,'Critical resources (hide)'!BB$6:BB$105)+SUMIF(Capacity_Resource,$E161,'Critical resources (hide)'!BB$6:BB$105)+SUMIF(Capacity_Resource,$F161,'Critical resources (hide)'!BB$6:BB$105)&gt;0,$E$1=2),0,1),0)</f>
        <v>1</v>
      </c>
      <c r="AP161" s="67">
        <f ca="1">IF(LOWER(Capacity!$V66)="x",IF(AND(SUMIF(Capacity_Resource,$D161,'Critical resources (hide)'!BC$6:BC$105)+SUMIF(Capacity_Resource,$E161,'Critical resources (hide)'!BC$6:BC$105)+SUMIF(Capacity_Resource,$F161,'Critical resources (hide)'!BC$6:BC$105)&gt;0,$E$1=2),0,1),0)</f>
        <v>1</v>
      </c>
      <c r="AQ161" s="67">
        <f ca="1">IF(LOWER(Capacity!$V66)="x",IF(AND(SUMIF(Capacity_Resource,$D161,'Critical resources (hide)'!BD$6:BD$105)+SUMIF(Capacity_Resource,$E161,'Critical resources (hide)'!BD$6:BD$105)+SUMIF(Capacity_Resource,$F161,'Critical resources (hide)'!BD$6:BD$105)&gt;0,$E$1=2),0,1),0)</f>
        <v>1</v>
      </c>
      <c r="AR161" s="67">
        <f ca="1">IF(LOWER(Capacity!$V66)="x",IF(AND(SUMIF(Capacity_Resource,$D161,'Critical resources (hide)'!BE$6:BE$105)+SUMIF(Capacity_Resource,$E161,'Critical resources (hide)'!BE$6:BE$105)+SUMIF(Capacity_Resource,$F161,'Critical resources (hide)'!BE$6:BE$105)&gt;0,$E$1=2),0,1),0)</f>
        <v>1</v>
      </c>
      <c r="AS161" s="67">
        <f ca="1">IF(LOWER(Capacity!$V66)="x",IF(AND(SUMIF(Capacity_Resource,$D161,'Critical resources (hide)'!BF$6:BF$105)+SUMIF(Capacity_Resource,$E161,'Critical resources (hide)'!BF$6:BF$105)+SUMIF(Capacity_Resource,$F161,'Critical resources (hide)'!BF$6:BF$105)&gt;0,$E$1=2),0,1),0)</f>
        <v>1</v>
      </c>
      <c r="AT161" s="67">
        <f ca="1">IF(LOWER(Capacity!$V66)="x",IF(AND(SUMIF(Capacity_Resource,$D161,'Critical resources (hide)'!BG$6:BG$105)+SUMIF(Capacity_Resource,$E161,'Critical resources (hide)'!BG$6:BG$105)+SUMIF(Capacity_Resource,$F161,'Critical resources (hide)'!BG$6:BG$105)&gt;0,$E$1=2),0,1),0)</f>
        <v>1</v>
      </c>
      <c r="AU161" s="67">
        <f ca="1">IF(LOWER(Capacity!$V66)="x",IF(AND(SUMIF(Capacity_Resource,$D161,'Critical resources (hide)'!BH$6:BH$105)+SUMIF(Capacity_Resource,$E161,'Critical resources (hide)'!BH$6:BH$105)+SUMIF(Capacity_Resource,$F161,'Critical resources (hide)'!BH$6:BH$105)&gt;0,$E$1=2),0,1),0)</f>
        <v>1</v>
      </c>
      <c r="AV161" s="67">
        <f ca="1">IF(LOWER(Capacity!$V66)="x",IF(AND(SUMIF(Capacity_Resource,$D161,'Critical resources (hide)'!BI$6:BI$105)+SUMIF(Capacity_Resource,$E161,'Critical resources (hide)'!BI$6:BI$105)+SUMIF(Capacity_Resource,$F161,'Critical resources (hide)'!BI$6:BI$105)&gt;0,$E$1=2),0,1),0)</f>
        <v>1</v>
      </c>
      <c r="AW161" s="67">
        <f ca="1">IF(LOWER(Capacity!$V66)="x",IF(AND(SUMIF(Capacity_Resource,$D161,'Critical resources (hide)'!BJ$6:BJ$105)+SUMIF(Capacity_Resource,$E161,'Critical resources (hide)'!BJ$6:BJ$105)+SUMIF(Capacity_Resource,$F161,'Critical resources (hide)'!BJ$6:BJ$105)&gt;0,$E$1=2),0,1),0)</f>
        <v>1</v>
      </c>
      <c r="AX161" s="67">
        <f ca="1">IF(LOWER(Capacity!$V66)="x",IF(AND(SUMIF(Capacity_Resource,$D161,'Critical resources (hide)'!BK$6:BK$105)+SUMIF(Capacity_Resource,$E161,'Critical resources (hide)'!BK$6:BK$105)+SUMIF(Capacity_Resource,$F161,'Critical resources (hide)'!BK$6:BK$105)&gt;0,$E$1=2),0,1),0)</f>
        <v>1</v>
      </c>
      <c r="AY161" s="67">
        <f ca="1">IF(LOWER(Capacity!$V66)="x",IF(AND(SUMIF(Capacity_Resource,$D161,'Critical resources (hide)'!BL$6:BL$105)+SUMIF(Capacity_Resource,$E161,'Critical resources (hide)'!BL$6:BL$105)+SUMIF(Capacity_Resource,$F161,'Critical resources (hide)'!BL$6:BL$105)&gt;0,$E$1=2),0,1),0)</f>
        <v>1</v>
      </c>
      <c r="AZ161" s="67">
        <f ca="1">IF(LOWER(Capacity!$V66)="x",IF(AND(SUMIF(Capacity_Resource,$D161,'Critical resources (hide)'!BM$6:BM$105)+SUMIF(Capacity_Resource,$E161,'Critical resources (hide)'!BM$6:BM$105)+SUMIF(Capacity_Resource,$F161,'Critical resources (hide)'!BM$6:BM$105)&gt;0,$E$1=2),0,1),0)</f>
        <v>1</v>
      </c>
      <c r="BA161" s="67">
        <f ca="1">IF(LOWER(Capacity!$V66)="x",IF(AND(SUMIF(Capacity_Resource,$D161,'Critical resources (hide)'!BN$6:BN$105)+SUMIF(Capacity_Resource,$E161,'Critical resources (hide)'!BN$6:BN$105)+SUMIF(Capacity_Resource,$F161,'Critical resources (hide)'!BN$6:BN$105)&gt;0,$E$1=2),0,1),0)</f>
        <v>1</v>
      </c>
      <c r="BB161" s="67">
        <f ca="1">IF(LOWER(Capacity!$V66)="x",IF(AND(SUMIF(Capacity_Resource,$D161,'Critical resources (hide)'!BO$6:BO$105)+SUMIF(Capacity_Resource,$E161,'Critical resources (hide)'!BO$6:BO$105)+SUMIF(Capacity_Resource,$F161,'Critical resources (hide)'!BO$6:BO$105)&gt;0,$E$1=2),0,1),0)</f>
        <v>1</v>
      </c>
      <c r="BC161" s="67">
        <f ca="1">IF(LOWER(Capacity!$V66)="x",IF(AND(SUMIF(Capacity_Resource,$D161,'Critical resources (hide)'!BP$6:BP$105)+SUMIF(Capacity_Resource,$E161,'Critical resources (hide)'!BP$6:BP$105)+SUMIF(Capacity_Resource,$F161,'Critical resources (hide)'!BP$6:BP$105)&gt;0,$E$1=2),0,1),0)</f>
        <v>1</v>
      </c>
      <c r="BD161" s="67">
        <f ca="1">IF(LOWER(Capacity!$V66)="x",IF(AND(SUMIF(Capacity_Resource,$D161,'Critical resources (hide)'!BQ$6:BQ$105)+SUMIF(Capacity_Resource,$E161,'Critical resources (hide)'!BQ$6:BQ$105)+SUMIF(Capacity_Resource,$F161,'Critical resources (hide)'!BQ$6:BQ$105)&gt;0,$E$1=2),0,1),0)</f>
        <v>1</v>
      </c>
      <c r="BE161" s="67">
        <f ca="1">IF(LOWER(Capacity!$V66)="x",IF(AND(SUMIF(Capacity_Resource,$D161,'Critical resources (hide)'!BR$6:BR$105)+SUMIF(Capacity_Resource,$E161,'Critical resources (hide)'!BR$6:BR$105)+SUMIF(Capacity_Resource,$F161,'Critical resources (hide)'!BR$6:BR$105)&gt;0,$E$1=2),0,1),0)</f>
        <v>1</v>
      </c>
      <c r="BF161" s="67">
        <f ca="1">IF(LOWER(Capacity!$V66)="x",IF(AND(SUMIF(Capacity_Resource,$D161,'Critical resources (hide)'!BS$6:BS$105)+SUMIF(Capacity_Resource,$E161,'Critical resources (hide)'!BS$6:BS$105)+SUMIF(Capacity_Resource,$F161,'Critical resources (hide)'!BS$6:BS$105)&gt;0,$E$1=2),0,1),0)</f>
        <v>1</v>
      </c>
      <c r="BG161" s="67">
        <f ca="1">IF(LOWER(Capacity!$V66)="x",IF(AND(SUMIF(Capacity_Resource,$D161,'Critical resources (hide)'!BT$6:BT$105)+SUMIF(Capacity_Resource,$E161,'Critical resources (hide)'!BT$6:BT$105)+SUMIF(Capacity_Resource,$F161,'Critical resources (hide)'!BT$6:BT$105)&gt;0,$E$1=2),0,1),0)</f>
        <v>1</v>
      </c>
      <c r="BH161" s="67">
        <f>IF(ROW(A50)&lt;=Capacity!$M$16,IF('Capacity summary'!$C$14="No",SUM(H161:BG161),'Capacity summary'!$E73),0)</f>
        <v>0</v>
      </c>
      <c r="BI161" s="67" t="str">
        <f>IF(BH161&gt;0,IF(BH161&lt;Capacity!Q66,Capacity!R66,Capacity!T66/'Capacity calculation (hide)'!BH161),"")</f>
        <v/>
      </c>
      <c r="BJ161" s="5"/>
      <c r="BK161" s="5">
        <f>IF($BI161&lt;&gt;"",IF('Capacity summary'!$C$14="Yes",IF(COUNTBLANK('Capacity summary'!$H73:$BG73)&lt;52,IF('Capacity summary'!H73&lt;&gt;"",IF(LOWER('Capacity summary'!H73)="x",$BI161*H161,VALUE('Capacity summary'!H73)),0),H161*$BI161),H161*$BI161),0)</f>
        <v>0</v>
      </c>
      <c r="BL161" s="5">
        <f>IF($BI161&lt;&gt;"",IF('Capacity summary'!$C$14="Yes",IF(COUNTBLANK('Capacity summary'!$H73:$BG73)&lt;52,IF('Capacity summary'!I73&lt;&gt;"",IF(LOWER('Capacity summary'!I73)="x",$BI161*I161,VALUE('Capacity summary'!I73)),0),I161*$BI161),I161*$BI161),0)</f>
        <v>0</v>
      </c>
      <c r="BM161" s="5">
        <f>IF($BI161&lt;&gt;"",IF('Capacity summary'!$C$14="Yes",IF(COUNTBLANK('Capacity summary'!$H73:$BG73)&lt;52,IF('Capacity summary'!J73&lt;&gt;"",IF(LOWER('Capacity summary'!J73)="x",$BI161*J161,VALUE('Capacity summary'!J73)),0),J161*$BI161),J161*$BI161),0)</f>
        <v>0</v>
      </c>
      <c r="BN161" s="5">
        <f>IF($BI161&lt;&gt;"",IF('Capacity summary'!$C$14="Yes",IF(COUNTBLANK('Capacity summary'!$H73:$BG73)&lt;52,IF('Capacity summary'!K73&lt;&gt;"",IF(LOWER('Capacity summary'!K73)="x",$BI161*K161,VALUE('Capacity summary'!K73)),0),K161*$BI161),K161*$BI161),0)</f>
        <v>0</v>
      </c>
      <c r="BO161" s="5">
        <f>IF($BI161&lt;&gt;"",IF('Capacity summary'!$C$14="Yes",IF(COUNTBLANK('Capacity summary'!$H73:$BG73)&lt;52,IF('Capacity summary'!L73&lt;&gt;"",IF(LOWER('Capacity summary'!L73)="x",$BI161*L161,VALUE('Capacity summary'!L73)),0),L161*$BI161),L161*$BI161),0)</f>
        <v>0</v>
      </c>
      <c r="BP161" s="5">
        <f>IF($BI161&lt;&gt;"",IF('Capacity summary'!$C$14="Yes",IF(COUNTBLANK('Capacity summary'!$H73:$BG73)&lt;52,IF('Capacity summary'!M73&lt;&gt;"",IF(LOWER('Capacity summary'!M73)="x",$BI161*M161,VALUE('Capacity summary'!M73)),0),M161*$BI161),M161*$BI161),0)</f>
        <v>0</v>
      </c>
      <c r="BQ161" s="5">
        <f>IF($BI161&lt;&gt;"",IF('Capacity summary'!$C$14="Yes",IF(COUNTBLANK('Capacity summary'!$H73:$BG73)&lt;52,IF('Capacity summary'!N73&lt;&gt;"",IF(LOWER('Capacity summary'!N73)="x",$BI161*N161,VALUE('Capacity summary'!N73)),0),N161*$BI161),N161*$BI161),0)</f>
        <v>0</v>
      </c>
      <c r="BR161" s="5">
        <f>IF($BI161&lt;&gt;"",IF('Capacity summary'!$C$14="Yes",IF(COUNTBLANK('Capacity summary'!$H73:$BG73)&lt;52,IF('Capacity summary'!O73&lt;&gt;"",IF(LOWER('Capacity summary'!O73)="x",$BI161*O161,VALUE('Capacity summary'!O73)),0),O161*$BI161),O161*$BI161),0)</f>
        <v>0</v>
      </c>
      <c r="BS161" s="5">
        <f>IF($BI161&lt;&gt;"",IF('Capacity summary'!$C$14="Yes",IF(COUNTBLANK('Capacity summary'!$H73:$BG73)&lt;52,IF('Capacity summary'!P73&lt;&gt;"",IF(LOWER('Capacity summary'!P73)="x",$BI161*P161,VALUE('Capacity summary'!P73)),0),P161*$BI161),P161*$BI161),0)</f>
        <v>0</v>
      </c>
      <c r="BT161" s="5">
        <f>IF($BI161&lt;&gt;"",IF('Capacity summary'!$C$14="Yes",IF(COUNTBLANK('Capacity summary'!$H73:$BG73)&lt;52,IF('Capacity summary'!Q73&lt;&gt;"",IF(LOWER('Capacity summary'!Q73)="x",$BI161*Q161,VALUE('Capacity summary'!Q73)),0),Q161*$BI161),Q161*$BI161),0)</f>
        <v>0</v>
      </c>
      <c r="BU161" s="5">
        <f>IF($BI161&lt;&gt;"",IF('Capacity summary'!$C$14="Yes",IF(COUNTBLANK('Capacity summary'!$H73:$BG73)&lt;52,IF('Capacity summary'!R73&lt;&gt;"",IF(LOWER('Capacity summary'!R73)="x",$BI161*R161,VALUE('Capacity summary'!R73)),0),R161*$BI161),R161*$BI161),0)</f>
        <v>0</v>
      </c>
      <c r="BV161" s="5">
        <f>IF($BI161&lt;&gt;"",IF('Capacity summary'!$C$14="Yes",IF(COUNTBLANK('Capacity summary'!$H73:$BG73)&lt;52,IF('Capacity summary'!S73&lt;&gt;"",IF(LOWER('Capacity summary'!S73)="x",$BI161*S161,VALUE('Capacity summary'!S73)),0),S161*$BI161),S161*$BI161),0)</f>
        <v>0</v>
      </c>
      <c r="BW161" s="5">
        <f>IF($BI161&lt;&gt;"",IF('Capacity summary'!$C$14="Yes",IF(COUNTBLANK('Capacity summary'!$H73:$BG73)&lt;52,IF('Capacity summary'!T73&lt;&gt;"",IF(LOWER('Capacity summary'!T73)="x",$BI161*T161,VALUE('Capacity summary'!T73)),0),T161*$BI161),T161*$BI161),0)</f>
        <v>0</v>
      </c>
      <c r="BX161" s="5">
        <f>IF($BI161&lt;&gt;"",IF('Capacity summary'!$C$14="Yes",IF(COUNTBLANK('Capacity summary'!$H73:$BG73)&lt;52,IF('Capacity summary'!U73&lt;&gt;"",IF(LOWER('Capacity summary'!U73)="x",$BI161*U161,VALUE('Capacity summary'!U73)),0),U161*$BI161),U161*$BI161),0)</f>
        <v>0</v>
      </c>
      <c r="BY161" s="5">
        <f>IF($BI161&lt;&gt;"",IF('Capacity summary'!$C$14="Yes",IF(COUNTBLANK('Capacity summary'!$H73:$BG73)&lt;52,IF('Capacity summary'!V73&lt;&gt;"",IF(LOWER('Capacity summary'!V73)="x",$BI161*V161,VALUE('Capacity summary'!V73)),0),V161*$BI161),V161*$BI161),0)</f>
        <v>0</v>
      </c>
      <c r="BZ161" s="5">
        <f>IF($BI161&lt;&gt;"",IF('Capacity summary'!$C$14="Yes",IF(COUNTBLANK('Capacity summary'!$H73:$BG73)&lt;52,IF('Capacity summary'!W73&lt;&gt;"",IF(LOWER('Capacity summary'!W73)="x",$BI161*W161,VALUE('Capacity summary'!W73)),0),W161*$BI161),W161*$BI161),0)</f>
        <v>0</v>
      </c>
      <c r="CA161" s="5">
        <f>IF($BI161&lt;&gt;"",IF('Capacity summary'!$C$14="Yes",IF(COUNTBLANK('Capacity summary'!$H73:$BG73)&lt;52,IF('Capacity summary'!X73&lt;&gt;"",IF(LOWER('Capacity summary'!X73)="x",$BI161*X161,VALUE('Capacity summary'!X73)),0),X161*$BI161),X161*$BI161),0)</f>
        <v>0</v>
      </c>
      <c r="CB161" s="5">
        <f>IF($BI161&lt;&gt;"",IF('Capacity summary'!$C$14="Yes",IF(COUNTBLANK('Capacity summary'!$H73:$BG73)&lt;52,IF('Capacity summary'!Y73&lt;&gt;"",IF(LOWER('Capacity summary'!Y73)="x",$BI161*Y161,VALUE('Capacity summary'!Y73)),0),Y161*$BI161),Y161*$BI161),0)</f>
        <v>0</v>
      </c>
      <c r="CC161" s="5">
        <f>IF($BI161&lt;&gt;"",IF('Capacity summary'!$C$14="Yes",IF(COUNTBLANK('Capacity summary'!$H73:$BG73)&lt;52,IF('Capacity summary'!Z73&lt;&gt;"",IF(LOWER('Capacity summary'!Z73)="x",$BI161*Z161,VALUE('Capacity summary'!Z73)),0),Z161*$BI161),Z161*$BI161),0)</f>
        <v>0</v>
      </c>
      <c r="CD161" s="5">
        <f>IF($BI161&lt;&gt;"",IF('Capacity summary'!$C$14="Yes",IF(COUNTBLANK('Capacity summary'!$H73:$BG73)&lt;52,IF('Capacity summary'!AA73&lt;&gt;"",IF(LOWER('Capacity summary'!AA73)="x",$BI161*AA161,VALUE('Capacity summary'!AA73)),0),AA161*$BI161),AA161*$BI161),0)</f>
        <v>0</v>
      </c>
      <c r="CE161" s="5">
        <f>IF($BI161&lt;&gt;"",IF('Capacity summary'!$C$14="Yes",IF(COUNTBLANK('Capacity summary'!$H73:$BG73)&lt;52,IF('Capacity summary'!AB73&lt;&gt;"",IF(LOWER('Capacity summary'!AB73)="x",$BI161*AB161,VALUE('Capacity summary'!AB73)),0),AB161*$BI161),AB161*$BI161),0)</f>
        <v>0</v>
      </c>
      <c r="CF161" s="5">
        <f>IF($BI161&lt;&gt;"",IF('Capacity summary'!$C$14="Yes",IF(COUNTBLANK('Capacity summary'!$H73:$BG73)&lt;52,IF('Capacity summary'!AC73&lt;&gt;"",IF(LOWER('Capacity summary'!AC73)="x",$BI161*AC161,VALUE('Capacity summary'!AC73)),0),AC161*$BI161),AC161*$BI161),0)</f>
        <v>0</v>
      </c>
      <c r="CG161" s="5">
        <f>IF($BI161&lt;&gt;"",IF('Capacity summary'!$C$14="Yes",IF(COUNTBLANK('Capacity summary'!$H73:$BG73)&lt;52,IF('Capacity summary'!AD73&lt;&gt;"",IF(LOWER('Capacity summary'!AD73)="x",$BI161*AD161,VALUE('Capacity summary'!AD73)),0),AD161*$BI161),AD161*$BI161),0)</f>
        <v>0</v>
      </c>
      <c r="CH161" s="5">
        <f>IF($BI161&lt;&gt;"",IF('Capacity summary'!$C$14="Yes",IF(COUNTBLANK('Capacity summary'!$H73:$BG73)&lt;52,IF('Capacity summary'!AE73&lt;&gt;"",IF(LOWER('Capacity summary'!AE73)="x",$BI161*AE161,VALUE('Capacity summary'!AE73)),0),AE161*$BI161),AE161*$BI161),0)</f>
        <v>0</v>
      </c>
      <c r="CI161" s="5">
        <f>IF($BI161&lt;&gt;"",IF('Capacity summary'!$C$14="Yes",IF(COUNTBLANK('Capacity summary'!$H73:$BG73)&lt;52,IF('Capacity summary'!AF73&lt;&gt;"",IF(LOWER('Capacity summary'!AF73)="x",$BI161*AF161,VALUE('Capacity summary'!AF73)),0),AF161*$BI161),AF161*$BI161),0)</f>
        <v>0</v>
      </c>
      <c r="CJ161" s="5">
        <f>IF($BI161&lt;&gt;"",IF('Capacity summary'!$C$14="Yes",IF(COUNTBLANK('Capacity summary'!$H73:$BG73)&lt;52,IF('Capacity summary'!AG73&lt;&gt;"",IF(LOWER('Capacity summary'!AG73)="x",$BI161*AG161,VALUE('Capacity summary'!AG73)),0),AG161*$BI161),AG161*$BI161),0)</f>
        <v>0</v>
      </c>
      <c r="CK161" s="5">
        <f>IF($BI161&lt;&gt;"",IF('Capacity summary'!$C$14="Yes",IF(COUNTBLANK('Capacity summary'!$H73:$BG73)&lt;52,IF('Capacity summary'!AH73&lt;&gt;"",IF(LOWER('Capacity summary'!AH73)="x",$BI161*AH161,VALUE('Capacity summary'!AH73)),0),AH161*$BI161),AH161*$BI161),0)</f>
        <v>0</v>
      </c>
      <c r="CL161" s="5">
        <f>IF($BI161&lt;&gt;"",IF('Capacity summary'!$C$14="Yes",IF(COUNTBLANK('Capacity summary'!$H73:$BG73)&lt;52,IF('Capacity summary'!AI73&lt;&gt;"",IF(LOWER('Capacity summary'!AI73)="x",$BI161*AI161,VALUE('Capacity summary'!AI73)),0),AI161*$BI161),AI161*$BI161),0)</f>
        <v>0</v>
      </c>
      <c r="CM161" s="5">
        <f>IF($BI161&lt;&gt;"",IF('Capacity summary'!$C$14="Yes",IF(COUNTBLANK('Capacity summary'!$H73:$BG73)&lt;52,IF('Capacity summary'!AJ73&lt;&gt;"",IF(LOWER('Capacity summary'!AJ73)="x",$BI161*AJ161,VALUE('Capacity summary'!AJ73)),0),AJ161*$BI161),AJ161*$BI161),0)</f>
        <v>0</v>
      </c>
      <c r="CN161" s="5">
        <f>IF($BI161&lt;&gt;"",IF('Capacity summary'!$C$14="Yes",IF(COUNTBLANK('Capacity summary'!$H73:$BG73)&lt;52,IF('Capacity summary'!AK73&lt;&gt;"",IF(LOWER('Capacity summary'!AK73)="x",$BI161*AK161,VALUE('Capacity summary'!AK73)),0),AK161*$BI161),AK161*$BI161),0)</f>
        <v>0</v>
      </c>
      <c r="CO161" s="5">
        <f>IF($BI161&lt;&gt;"",IF('Capacity summary'!$C$14="Yes",IF(COUNTBLANK('Capacity summary'!$H73:$BG73)&lt;52,IF('Capacity summary'!AL73&lt;&gt;"",IF(LOWER('Capacity summary'!AL73)="x",$BI161*AL161,VALUE('Capacity summary'!AL73)),0),AL161*$BI161),AL161*$BI161),0)</f>
        <v>0</v>
      </c>
      <c r="CP161" s="5">
        <f>IF($BI161&lt;&gt;"",IF('Capacity summary'!$C$14="Yes",IF(COUNTBLANK('Capacity summary'!$H73:$BG73)&lt;52,IF('Capacity summary'!AM73&lt;&gt;"",IF(LOWER('Capacity summary'!AM73)="x",$BI161*AM161,VALUE('Capacity summary'!AM73)),0),AM161*$BI161),AM161*$BI161),0)</f>
        <v>0</v>
      </c>
      <c r="CQ161" s="5">
        <f>IF($BI161&lt;&gt;"",IF('Capacity summary'!$C$14="Yes",IF(COUNTBLANK('Capacity summary'!$H73:$BG73)&lt;52,IF('Capacity summary'!AN73&lt;&gt;"",IF(LOWER('Capacity summary'!AN73)="x",$BI161*AN161,VALUE('Capacity summary'!AN73)),0),AN161*$BI161),AN161*$BI161),0)</f>
        <v>0</v>
      </c>
      <c r="CR161" s="5">
        <f>IF($BI161&lt;&gt;"",IF('Capacity summary'!$C$14="Yes",IF(COUNTBLANK('Capacity summary'!$H73:$BG73)&lt;52,IF('Capacity summary'!AO73&lt;&gt;"",IF(LOWER('Capacity summary'!AO73)="x",$BI161*AO161,VALUE('Capacity summary'!AO73)),0),AO161*$BI161),AO161*$BI161),0)</f>
        <v>0</v>
      </c>
      <c r="CS161" s="5">
        <f>IF($BI161&lt;&gt;"",IF('Capacity summary'!$C$14="Yes",IF(COUNTBLANK('Capacity summary'!$H73:$BG73)&lt;52,IF('Capacity summary'!AP73&lt;&gt;"",IF(LOWER('Capacity summary'!AP73)="x",$BI161*AP161,VALUE('Capacity summary'!AP73)),0),AP161*$BI161),AP161*$BI161),0)</f>
        <v>0</v>
      </c>
      <c r="CT161" s="5">
        <f>IF($BI161&lt;&gt;"",IF('Capacity summary'!$C$14="Yes",IF(COUNTBLANK('Capacity summary'!$H73:$BG73)&lt;52,IF('Capacity summary'!AQ73&lt;&gt;"",IF(LOWER('Capacity summary'!AQ73)="x",$BI161*AQ161,VALUE('Capacity summary'!AQ73)),0),AQ161*$BI161),AQ161*$BI161),0)</f>
        <v>0</v>
      </c>
      <c r="CU161" s="5">
        <f>IF($BI161&lt;&gt;"",IF('Capacity summary'!$C$14="Yes",IF(COUNTBLANK('Capacity summary'!$H73:$BG73)&lt;52,IF('Capacity summary'!AR73&lt;&gt;"",IF(LOWER('Capacity summary'!AR73)="x",$BI161*AR161,VALUE('Capacity summary'!AR73)),0),AR161*$BI161),AR161*$BI161),0)</f>
        <v>0</v>
      </c>
      <c r="CV161" s="5">
        <f>IF($BI161&lt;&gt;"",IF('Capacity summary'!$C$14="Yes",IF(COUNTBLANK('Capacity summary'!$H73:$BG73)&lt;52,IF('Capacity summary'!AS73&lt;&gt;"",IF(LOWER('Capacity summary'!AS73)="x",$BI161*AS161,VALUE('Capacity summary'!AS73)),0),AS161*$BI161),AS161*$BI161),0)</f>
        <v>0</v>
      </c>
      <c r="CW161" s="5">
        <f>IF($BI161&lt;&gt;"",IF('Capacity summary'!$C$14="Yes",IF(COUNTBLANK('Capacity summary'!$H73:$BG73)&lt;52,IF('Capacity summary'!AT73&lt;&gt;"",IF(LOWER('Capacity summary'!AT73)="x",$BI161*AT161,VALUE('Capacity summary'!AT73)),0),AT161*$BI161),AT161*$BI161),0)</f>
        <v>0</v>
      </c>
      <c r="CX161" s="5">
        <f>IF($BI161&lt;&gt;"",IF('Capacity summary'!$C$14="Yes",IF(COUNTBLANK('Capacity summary'!$H73:$BG73)&lt;52,IF('Capacity summary'!AU73&lt;&gt;"",IF(LOWER('Capacity summary'!AU73)="x",$BI161*AU161,VALUE('Capacity summary'!AU73)),0),AU161*$BI161),AU161*$BI161),0)</f>
        <v>0</v>
      </c>
      <c r="CY161" s="5">
        <f>IF($BI161&lt;&gt;"",IF('Capacity summary'!$C$14="Yes",IF(COUNTBLANK('Capacity summary'!$H73:$BG73)&lt;52,IF('Capacity summary'!AV73&lt;&gt;"",IF(LOWER('Capacity summary'!AV73)="x",$BI161*AV161,VALUE('Capacity summary'!AV73)),0),AV161*$BI161),AV161*$BI161),0)</f>
        <v>0</v>
      </c>
      <c r="CZ161" s="5">
        <f>IF($BI161&lt;&gt;"",IF('Capacity summary'!$C$14="Yes",IF(COUNTBLANK('Capacity summary'!$H73:$BG73)&lt;52,IF('Capacity summary'!AW73&lt;&gt;"",IF(LOWER('Capacity summary'!AW73)="x",$BI161*AW161,VALUE('Capacity summary'!AW73)),0),AW161*$BI161),AW161*$BI161),0)</f>
        <v>0</v>
      </c>
      <c r="DA161" s="5">
        <f>IF($BI161&lt;&gt;"",IF('Capacity summary'!$C$14="Yes",IF(COUNTBLANK('Capacity summary'!$H73:$BG73)&lt;52,IF('Capacity summary'!AX73&lt;&gt;"",IF(LOWER('Capacity summary'!AX73)="x",$BI161*AX161,VALUE('Capacity summary'!AX73)),0),AX161*$BI161),AX161*$BI161),0)</f>
        <v>0</v>
      </c>
      <c r="DB161" s="5">
        <f>IF($BI161&lt;&gt;"",IF('Capacity summary'!$C$14="Yes",IF(COUNTBLANK('Capacity summary'!$H73:$BG73)&lt;52,IF('Capacity summary'!AY73&lt;&gt;"",IF(LOWER('Capacity summary'!AY73)="x",$BI161*AY161,VALUE('Capacity summary'!AY73)),0),AY161*$BI161),AY161*$BI161),0)</f>
        <v>0</v>
      </c>
      <c r="DC161" s="5">
        <f>IF($BI161&lt;&gt;"",IF('Capacity summary'!$C$14="Yes",IF(COUNTBLANK('Capacity summary'!$H73:$BG73)&lt;52,IF('Capacity summary'!AZ73&lt;&gt;"",IF(LOWER('Capacity summary'!AZ73)="x",$BI161*AZ161,VALUE('Capacity summary'!AZ73)),0),AZ161*$BI161),AZ161*$BI161),0)</f>
        <v>0</v>
      </c>
      <c r="DD161" s="5">
        <f>IF($BI161&lt;&gt;"",IF('Capacity summary'!$C$14="Yes",IF(COUNTBLANK('Capacity summary'!$H73:$BG73)&lt;52,IF('Capacity summary'!BA73&lt;&gt;"",IF(LOWER('Capacity summary'!BA73)="x",$BI161*BA161,VALUE('Capacity summary'!BA73)),0),BA161*$BI161),BA161*$BI161),0)</f>
        <v>0</v>
      </c>
      <c r="DE161" s="5">
        <f>IF($BI161&lt;&gt;"",IF('Capacity summary'!$C$14="Yes",IF(COUNTBLANK('Capacity summary'!$H73:$BG73)&lt;52,IF('Capacity summary'!BB73&lt;&gt;"",IF(LOWER('Capacity summary'!BB73)="x",$BI161*BB161,VALUE('Capacity summary'!BB73)),0),BB161*$BI161),BB161*$BI161),0)</f>
        <v>0</v>
      </c>
      <c r="DF161" s="5">
        <f>IF($BI161&lt;&gt;"",IF('Capacity summary'!$C$14="Yes",IF(COUNTBLANK('Capacity summary'!$H73:$BG73)&lt;52,IF('Capacity summary'!BC73&lt;&gt;"",IF(LOWER('Capacity summary'!BC73)="x",$BI161*BC161,VALUE('Capacity summary'!BC73)),0),BC161*$BI161),BC161*$BI161),0)</f>
        <v>0</v>
      </c>
      <c r="DG161" s="5">
        <f>IF($BI161&lt;&gt;"",IF('Capacity summary'!$C$14="Yes",IF(COUNTBLANK('Capacity summary'!$H73:$BG73)&lt;52,IF('Capacity summary'!BD73&lt;&gt;"",IF(LOWER('Capacity summary'!BD73)="x",$BI161*BD161,VALUE('Capacity summary'!BD73)),0),BD161*$BI161),BD161*$BI161),0)</f>
        <v>0</v>
      </c>
      <c r="DH161" s="5">
        <f>IF($BI161&lt;&gt;"",IF('Capacity summary'!$C$14="Yes",IF(COUNTBLANK('Capacity summary'!$H73:$BG73)&lt;52,IF('Capacity summary'!BE73&lt;&gt;"",IF(LOWER('Capacity summary'!BE73)="x",$BI161*BE161,VALUE('Capacity summary'!BE73)),0),BE161*$BI161),BE161*$BI161),0)</f>
        <v>0</v>
      </c>
      <c r="DI161" s="5">
        <f>IF($BI161&lt;&gt;"",IF('Capacity summary'!$C$14="Yes",IF(COUNTBLANK('Capacity summary'!$H73:$BG73)&lt;52,IF('Capacity summary'!BF73&lt;&gt;"",IF(LOWER('Capacity summary'!BF73)="x",$BI161*BF161,VALUE('Capacity summary'!BF73)),0),BF161*$BI161),BF161*$BI161),0)</f>
        <v>0</v>
      </c>
      <c r="DJ161" s="5">
        <f>IF($BI161&lt;&gt;"",IF('Capacity summary'!$C$14="Yes",IF(COUNTBLANK('Capacity summary'!$H73:$BG73)&lt;52,IF('Capacity summary'!BG73&lt;&gt;"",IF(LOWER('Capacity summary'!BG73)="x",$BI161*BG161,VALUE('Capacity summary'!BG73)),0),BG161*$BI161),BG161*$BI161),0)</f>
        <v>0</v>
      </c>
      <c r="DK161" s="391">
        <f t="shared" si="8"/>
        <v>0</v>
      </c>
      <c r="DL161" s="5">
        <f t="shared" si="9"/>
        <v>0</v>
      </c>
    </row>
    <row r="162" spans="3:116" x14ac:dyDescent="0.2">
      <c r="C162" s="67" t="str">
        <f>ROW(A51)&amp;". "&amp;Capacity!N67</f>
        <v xml:space="preserve">51. </v>
      </c>
      <c r="D162" s="67">
        <f>'Capacity setup'!C168</f>
        <v>0</v>
      </c>
      <c r="E162" s="67">
        <f>'Capacity setup'!D168</f>
        <v>0</v>
      </c>
      <c r="F162" s="67">
        <f>'Capacity setup'!E168</f>
        <v>0</v>
      </c>
      <c r="H162" s="67">
        <f ca="1">IF(LOWER(Capacity!$V67)="x",IF(AND(SUMIF(Capacity_Resource,$D162,'Critical resources (hide)'!U$6:U$105)+SUMIF(Capacity_Resource,$E162,'Critical resources (hide)'!U$6:U$105)+SUMIF(Capacity_Resource,$F162,'Critical resources (hide)'!U$6:U$105)&gt;0,$E$1=2),0,1),0)</f>
        <v>1</v>
      </c>
      <c r="I162" s="67">
        <f ca="1">IF(LOWER(Capacity!$V67)="x",IF(AND(SUMIF(Capacity_Resource,$D162,'Critical resources (hide)'!V$6:V$105)+SUMIF(Capacity_Resource,$E162,'Critical resources (hide)'!V$6:V$105)+SUMIF(Capacity_Resource,$F162,'Critical resources (hide)'!V$6:V$105)&gt;0,$E$1=2),0,1),0)</f>
        <v>1</v>
      </c>
      <c r="J162" s="67">
        <f ca="1">IF(LOWER(Capacity!$V67)="x",IF(AND(SUMIF(Capacity_Resource,$D162,'Critical resources (hide)'!W$6:W$105)+SUMIF(Capacity_Resource,$E162,'Critical resources (hide)'!W$6:W$105)+SUMIF(Capacity_Resource,$F162,'Critical resources (hide)'!W$6:W$105)&gt;0,$E$1=2),0,1),0)</f>
        <v>1</v>
      </c>
      <c r="K162" s="67">
        <f ca="1">IF(LOWER(Capacity!$V67)="x",IF(AND(SUMIF(Capacity_Resource,$D162,'Critical resources (hide)'!X$6:X$105)+SUMIF(Capacity_Resource,$E162,'Critical resources (hide)'!X$6:X$105)+SUMIF(Capacity_Resource,$F162,'Critical resources (hide)'!X$6:X$105)&gt;0,$E$1=2),0,1),0)</f>
        <v>1</v>
      </c>
      <c r="L162" s="67">
        <f ca="1">IF(LOWER(Capacity!$V67)="x",IF(AND(SUMIF(Capacity_Resource,$D162,'Critical resources (hide)'!Y$6:Y$105)+SUMIF(Capacity_Resource,$E162,'Critical resources (hide)'!Y$6:Y$105)+SUMIF(Capacity_Resource,$F162,'Critical resources (hide)'!Y$6:Y$105)&gt;0,$E$1=2),0,1),0)</f>
        <v>1</v>
      </c>
      <c r="M162" s="67">
        <f ca="1">IF(LOWER(Capacity!$V67)="x",IF(AND(SUMIF(Capacity_Resource,$D162,'Critical resources (hide)'!Z$6:Z$105)+SUMIF(Capacity_Resource,$E162,'Critical resources (hide)'!Z$6:Z$105)+SUMIF(Capacity_Resource,$F162,'Critical resources (hide)'!Z$6:Z$105)&gt;0,$E$1=2),0,1),0)</f>
        <v>1</v>
      </c>
      <c r="N162" s="67">
        <f ca="1">IF(LOWER(Capacity!$V67)="x",IF(AND(SUMIF(Capacity_Resource,$D162,'Critical resources (hide)'!AA$6:AA$105)+SUMIF(Capacity_Resource,$E162,'Critical resources (hide)'!AA$6:AA$105)+SUMIF(Capacity_Resource,$F162,'Critical resources (hide)'!AA$6:AA$105)&gt;0,$E$1=2),0,1),0)</f>
        <v>1</v>
      </c>
      <c r="O162" s="67">
        <f ca="1">IF(LOWER(Capacity!$V67)="x",IF(AND(SUMIF(Capacity_Resource,$D162,'Critical resources (hide)'!AB$6:AB$105)+SUMIF(Capacity_Resource,$E162,'Critical resources (hide)'!AB$6:AB$105)+SUMIF(Capacity_Resource,$F162,'Critical resources (hide)'!AB$6:AB$105)&gt;0,$E$1=2),0,1),0)</f>
        <v>1</v>
      </c>
      <c r="P162" s="67">
        <f ca="1">IF(LOWER(Capacity!$V67)="x",IF(AND(SUMIF(Capacity_Resource,$D162,'Critical resources (hide)'!AC$6:AC$105)+SUMIF(Capacity_Resource,$E162,'Critical resources (hide)'!AC$6:AC$105)+SUMIF(Capacity_Resource,$F162,'Critical resources (hide)'!AC$6:AC$105)&gt;0,$E$1=2),0,1),0)</f>
        <v>1</v>
      </c>
      <c r="Q162" s="67">
        <f ca="1">IF(LOWER(Capacity!$V67)="x",IF(AND(SUMIF(Capacity_Resource,$D162,'Critical resources (hide)'!AD$6:AD$105)+SUMIF(Capacity_Resource,$E162,'Critical resources (hide)'!AD$6:AD$105)+SUMIF(Capacity_Resource,$F162,'Critical resources (hide)'!AD$6:AD$105)&gt;0,$E$1=2),0,1),0)</f>
        <v>1</v>
      </c>
      <c r="R162" s="67">
        <f ca="1">IF(LOWER(Capacity!$V67)="x",IF(AND(SUMIF(Capacity_Resource,$D162,'Critical resources (hide)'!AE$6:AE$105)+SUMIF(Capacity_Resource,$E162,'Critical resources (hide)'!AE$6:AE$105)+SUMIF(Capacity_Resource,$F162,'Critical resources (hide)'!AE$6:AE$105)&gt;0,$E$1=2),0,1),0)</f>
        <v>1</v>
      </c>
      <c r="S162" s="67">
        <f ca="1">IF(LOWER(Capacity!$V67)="x",IF(AND(SUMIF(Capacity_Resource,$D162,'Critical resources (hide)'!AF$6:AF$105)+SUMIF(Capacity_Resource,$E162,'Critical resources (hide)'!AF$6:AF$105)+SUMIF(Capacity_Resource,$F162,'Critical resources (hide)'!AF$6:AF$105)&gt;0,$E$1=2),0,1),0)</f>
        <v>1</v>
      </c>
      <c r="T162" s="67">
        <f ca="1">IF(LOWER(Capacity!$V67)="x",IF(AND(SUMIF(Capacity_Resource,$D162,'Critical resources (hide)'!AG$6:AG$105)+SUMIF(Capacity_Resource,$E162,'Critical resources (hide)'!AG$6:AG$105)+SUMIF(Capacity_Resource,$F162,'Critical resources (hide)'!AG$6:AG$105)&gt;0,$E$1=2),0,1),0)</f>
        <v>1</v>
      </c>
      <c r="U162" s="67">
        <f ca="1">IF(LOWER(Capacity!$V67)="x",IF(AND(SUMIF(Capacity_Resource,$D162,'Critical resources (hide)'!AH$6:AH$105)+SUMIF(Capacity_Resource,$E162,'Critical resources (hide)'!AH$6:AH$105)+SUMIF(Capacity_Resource,$F162,'Critical resources (hide)'!AH$6:AH$105)&gt;0,$E$1=2),0,1),0)</f>
        <v>1</v>
      </c>
      <c r="V162" s="67">
        <f ca="1">IF(LOWER(Capacity!$V67)="x",IF(AND(SUMIF(Capacity_Resource,$D162,'Critical resources (hide)'!AI$6:AI$105)+SUMIF(Capacity_Resource,$E162,'Critical resources (hide)'!AI$6:AI$105)+SUMIF(Capacity_Resource,$F162,'Critical resources (hide)'!AI$6:AI$105)&gt;0,$E$1=2),0,1),0)</f>
        <v>1</v>
      </c>
      <c r="W162" s="67">
        <f ca="1">IF(LOWER(Capacity!$V67)="x",IF(AND(SUMIF(Capacity_Resource,$D162,'Critical resources (hide)'!AJ$6:AJ$105)+SUMIF(Capacity_Resource,$E162,'Critical resources (hide)'!AJ$6:AJ$105)+SUMIF(Capacity_Resource,$F162,'Critical resources (hide)'!AJ$6:AJ$105)&gt;0,$E$1=2),0,1),0)</f>
        <v>1</v>
      </c>
      <c r="X162" s="67">
        <f ca="1">IF(LOWER(Capacity!$V67)="x",IF(AND(SUMIF(Capacity_Resource,$D162,'Critical resources (hide)'!AK$6:AK$105)+SUMIF(Capacity_Resource,$E162,'Critical resources (hide)'!AK$6:AK$105)+SUMIF(Capacity_Resource,$F162,'Critical resources (hide)'!AK$6:AK$105)&gt;0,$E$1=2),0,1),0)</f>
        <v>1</v>
      </c>
      <c r="Y162" s="67">
        <f ca="1">IF(LOWER(Capacity!$V67)="x",IF(AND(SUMIF(Capacity_Resource,$D162,'Critical resources (hide)'!AL$6:AL$105)+SUMIF(Capacity_Resource,$E162,'Critical resources (hide)'!AL$6:AL$105)+SUMIF(Capacity_Resource,$F162,'Critical resources (hide)'!AL$6:AL$105)&gt;0,$E$1=2),0,1),0)</f>
        <v>1</v>
      </c>
      <c r="Z162" s="67">
        <f ca="1">IF(LOWER(Capacity!$V67)="x",IF(AND(SUMIF(Capacity_Resource,$D162,'Critical resources (hide)'!AM$6:AM$105)+SUMIF(Capacity_Resource,$E162,'Critical resources (hide)'!AM$6:AM$105)+SUMIF(Capacity_Resource,$F162,'Critical resources (hide)'!AM$6:AM$105)&gt;0,$E$1=2),0,1),0)</f>
        <v>1</v>
      </c>
      <c r="AA162" s="67">
        <f ca="1">IF(LOWER(Capacity!$V67)="x",IF(AND(SUMIF(Capacity_Resource,$D162,'Critical resources (hide)'!AN$6:AN$105)+SUMIF(Capacity_Resource,$E162,'Critical resources (hide)'!AN$6:AN$105)+SUMIF(Capacity_Resource,$F162,'Critical resources (hide)'!AN$6:AN$105)&gt;0,$E$1=2),0,1),0)</f>
        <v>1</v>
      </c>
      <c r="AB162" s="67">
        <f ca="1">IF(LOWER(Capacity!$V67)="x",IF(AND(SUMIF(Capacity_Resource,$D162,'Critical resources (hide)'!AO$6:AO$105)+SUMIF(Capacity_Resource,$E162,'Critical resources (hide)'!AO$6:AO$105)+SUMIF(Capacity_Resource,$F162,'Critical resources (hide)'!AO$6:AO$105)&gt;0,$E$1=2),0,1),0)</f>
        <v>1</v>
      </c>
      <c r="AC162" s="67">
        <f ca="1">IF(LOWER(Capacity!$V67)="x",IF(AND(SUMIF(Capacity_Resource,$D162,'Critical resources (hide)'!AP$6:AP$105)+SUMIF(Capacity_Resource,$E162,'Critical resources (hide)'!AP$6:AP$105)+SUMIF(Capacity_Resource,$F162,'Critical resources (hide)'!AP$6:AP$105)&gt;0,$E$1=2),0,1),0)</f>
        <v>1</v>
      </c>
      <c r="AD162" s="67">
        <f ca="1">IF(LOWER(Capacity!$V67)="x",IF(AND(SUMIF(Capacity_Resource,$D162,'Critical resources (hide)'!AQ$6:AQ$105)+SUMIF(Capacity_Resource,$E162,'Critical resources (hide)'!AQ$6:AQ$105)+SUMIF(Capacity_Resource,$F162,'Critical resources (hide)'!AQ$6:AQ$105)&gt;0,$E$1=2),0,1),0)</f>
        <v>1</v>
      </c>
      <c r="AE162" s="67">
        <f ca="1">IF(LOWER(Capacity!$V67)="x",IF(AND(SUMIF(Capacity_Resource,$D162,'Critical resources (hide)'!AR$6:AR$105)+SUMIF(Capacity_Resource,$E162,'Critical resources (hide)'!AR$6:AR$105)+SUMIF(Capacity_Resource,$F162,'Critical resources (hide)'!AR$6:AR$105)&gt;0,$E$1=2),0,1),0)</f>
        <v>1</v>
      </c>
      <c r="AF162" s="67">
        <f ca="1">IF(LOWER(Capacity!$V67)="x",IF(AND(SUMIF(Capacity_Resource,$D162,'Critical resources (hide)'!AS$6:AS$105)+SUMIF(Capacity_Resource,$E162,'Critical resources (hide)'!AS$6:AS$105)+SUMIF(Capacity_Resource,$F162,'Critical resources (hide)'!AS$6:AS$105)&gt;0,$E$1=2),0,1),0)</f>
        <v>1</v>
      </c>
      <c r="AG162" s="67">
        <f ca="1">IF(LOWER(Capacity!$V67)="x",IF(AND(SUMIF(Capacity_Resource,$D162,'Critical resources (hide)'!AT$6:AT$105)+SUMIF(Capacity_Resource,$E162,'Critical resources (hide)'!AT$6:AT$105)+SUMIF(Capacity_Resource,$F162,'Critical resources (hide)'!AT$6:AT$105)&gt;0,$E$1=2),0,1),0)</f>
        <v>1</v>
      </c>
      <c r="AH162" s="67">
        <f ca="1">IF(LOWER(Capacity!$V67)="x",IF(AND(SUMIF(Capacity_Resource,$D162,'Critical resources (hide)'!AU$6:AU$105)+SUMIF(Capacity_Resource,$E162,'Critical resources (hide)'!AU$6:AU$105)+SUMIF(Capacity_Resource,$F162,'Critical resources (hide)'!AU$6:AU$105)&gt;0,$E$1=2),0,1),0)</f>
        <v>1</v>
      </c>
      <c r="AI162" s="67">
        <f ca="1">IF(LOWER(Capacity!$V67)="x",IF(AND(SUMIF(Capacity_Resource,$D162,'Critical resources (hide)'!AV$6:AV$105)+SUMIF(Capacity_Resource,$E162,'Critical resources (hide)'!AV$6:AV$105)+SUMIF(Capacity_Resource,$F162,'Critical resources (hide)'!AV$6:AV$105)&gt;0,$E$1=2),0,1),0)</f>
        <v>1</v>
      </c>
      <c r="AJ162" s="67">
        <f ca="1">IF(LOWER(Capacity!$V67)="x",IF(AND(SUMIF(Capacity_Resource,$D162,'Critical resources (hide)'!AW$6:AW$105)+SUMIF(Capacity_Resource,$E162,'Critical resources (hide)'!AW$6:AW$105)+SUMIF(Capacity_Resource,$F162,'Critical resources (hide)'!AW$6:AW$105)&gt;0,$E$1=2),0,1),0)</f>
        <v>1</v>
      </c>
      <c r="AK162" s="67">
        <f ca="1">IF(LOWER(Capacity!$V67)="x",IF(AND(SUMIF(Capacity_Resource,$D162,'Critical resources (hide)'!AX$6:AX$105)+SUMIF(Capacity_Resource,$E162,'Critical resources (hide)'!AX$6:AX$105)+SUMIF(Capacity_Resource,$F162,'Critical resources (hide)'!AX$6:AX$105)&gt;0,$E$1=2),0,1),0)</f>
        <v>1</v>
      </c>
      <c r="AL162" s="67">
        <f ca="1">IF(LOWER(Capacity!$V67)="x",IF(AND(SUMIF(Capacity_Resource,$D162,'Critical resources (hide)'!AY$6:AY$105)+SUMIF(Capacity_Resource,$E162,'Critical resources (hide)'!AY$6:AY$105)+SUMIF(Capacity_Resource,$F162,'Critical resources (hide)'!AY$6:AY$105)&gt;0,$E$1=2),0,1),0)</f>
        <v>1</v>
      </c>
      <c r="AM162" s="67">
        <f ca="1">IF(LOWER(Capacity!$V67)="x",IF(AND(SUMIF(Capacity_Resource,$D162,'Critical resources (hide)'!AZ$6:AZ$105)+SUMIF(Capacity_Resource,$E162,'Critical resources (hide)'!AZ$6:AZ$105)+SUMIF(Capacity_Resource,$F162,'Critical resources (hide)'!AZ$6:AZ$105)&gt;0,$E$1=2),0,1),0)</f>
        <v>1</v>
      </c>
      <c r="AN162" s="67">
        <f ca="1">IF(LOWER(Capacity!$V67)="x",IF(AND(SUMIF(Capacity_Resource,$D162,'Critical resources (hide)'!BA$6:BA$105)+SUMIF(Capacity_Resource,$E162,'Critical resources (hide)'!BA$6:BA$105)+SUMIF(Capacity_Resource,$F162,'Critical resources (hide)'!BA$6:BA$105)&gt;0,$E$1=2),0,1),0)</f>
        <v>1</v>
      </c>
      <c r="AO162" s="67">
        <f ca="1">IF(LOWER(Capacity!$V67)="x",IF(AND(SUMIF(Capacity_Resource,$D162,'Critical resources (hide)'!BB$6:BB$105)+SUMIF(Capacity_Resource,$E162,'Critical resources (hide)'!BB$6:BB$105)+SUMIF(Capacity_Resource,$F162,'Critical resources (hide)'!BB$6:BB$105)&gt;0,$E$1=2),0,1),0)</f>
        <v>1</v>
      </c>
      <c r="AP162" s="67">
        <f ca="1">IF(LOWER(Capacity!$V67)="x",IF(AND(SUMIF(Capacity_Resource,$D162,'Critical resources (hide)'!BC$6:BC$105)+SUMIF(Capacity_Resource,$E162,'Critical resources (hide)'!BC$6:BC$105)+SUMIF(Capacity_Resource,$F162,'Critical resources (hide)'!BC$6:BC$105)&gt;0,$E$1=2),0,1),0)</f>
        <v>1</v>
      </c>
      <c r="AQ162" s="67">
        <f ca="1">IF(LOWER(Capacity!$V67)="x",IF(AND(SUMIF(Capacity_Resource,$D162,'Critical resources (hide)'!BD$6:BD$105)+SUMIF(Capacity_Resource,$E162,'Critical resources (hide)'!BD$6:BD$105)+SUMIF(Capacity_Resource,$F162,'Critical resources (hide)'!BD$6:BD$105)&gt;0,$E$1=2),0,1),0)</f>
        <v>1</v>
      </c>
      <c r="AR162" s="67">
        <f ca="1">IF(LOWER(Capacity!$V67)="x",IF(AND(SUMIF(Capacity_Resource,$D162,'Critical resources (hide)'!BE$6:BE$105)+SUMIF(Capacity_Resource,$E162,'Critical resources (hide)'!BE$6:BE$105)+SUMIF(Capacity_Resource,$F162,'Critical resources (hide)'!BE$6:BE$105)&gt;0,$E$1=2),0,1),0)</f>
        <v>1</v>
      </c>
      <c r="AS162" s="67">
        <f ca="1">IF(LOWER(Capacity!$V67)="x",IF(AND(SUMIF(Capacity_Resource,$D162,'Critical resources (hide)'!BF$6:BF$105)+SUMIF(Capacity_Resource,$E162,'Critical resources (hide)'!BF$6:BF$105)+SUMIF(Capacity_Resource,$F162,'Critical resources (hide)'!BF$6:BF$105)&gt;0,$E$1=2),0,1),0)</f>
        <v>1</v>
      </c>
      <c r="AT162" s="67">
        <f ca="1">IF(LOWER(Capacity!$V67)="x",IF(AND(SUMIF(Capacity_Resource,$D162,'Critical resources (hide)'!BG$6:BG$105)+SUMIF(Capacity_Resource,$E162,'Critical resources (hide)'!BG$6:BG$105)+SUMIF(Capacity_Resource,$F162,'Critical resources (hide)'!BG$6:BG$105)&gt;0,$E$1=2),0,1),0)</f>
        <v>1</v>
      </c>
      <c r="AU162" s="67">
        <f ca="1">IF(LOWER(Capacity!$V67)="x",IF(AND(SUMIF(Capacity_Resource,$D162,'Critical resources (hide)'!BH$6:BH$105)+SUMIF(Capacity_Resource,$E162,'Critical resources (hide)'!BH$6:BH$105)+SUMIF(Capacity_Resource,$F162,'Critical resources (hide)'!BH$6:BH$105)&gt;0,$E$1=2),0,1),0)</f>
        <v>1</v>
      </c>
      <c r="AV162" s="67">
        <f ca="1">IF(LOWER(Capacity!$V67)="x",IF(AND(SUMIF(Capacity_Resource,$D162,'Critical resources (hide)'!BI$6:BI$105)+SUMIF(Capacity_Resource,$E162,'Critical resources (hide)'!BI$6:BI$105)+SUMIF(Capacity_Resource,$F162,'Critical resources (hide)'!BI$6:BI$105)&gt;0,$E$1=2),0,1),0)</f>
        <v>1</v>
      </c>
      <c r="AW162" s="67">
        <f ca="1">IF(LOWER(Capacity!$V67)="x",IF(AND(SUMIF(Capacity_Resource,$D162,'Critical resources (hide)'!BJ$6:BJ$105)+SUMIF(Capacity_Resource,$E162,'Critical resources (hide)'!BJ$6:BJ$105)+SUMIF(Capacity_Resource,$F162,'Critical resources (hide)'!BJ$6:BJ$105)&gt;0,$E$1=2),0,1),0)</f>
        <v>1</v>
      </c>
      <c r="AX162" s="67">
        <f ca="1">IF(LOWER(Capacity!$V67)="x",IF(AND(SUMIF(Capacity_Resource,$D162,'Critical resources (hide)'!BK$6:BK$105)+SUMIF(Capacity_Resource,$E162,'Critical resources (hide)'!BK$6:BK$105)+SUMIF(Capacity_Resource,$F162,'Critical resources (hide)'!BK$6:BK$105)&gt;0,$E$1=2),0,1),0)</f>
        <v>1</v>
      </c>
      <c r="AY162" s="67">
        <f ca="1">IF(LOWER(Capacity!$V67)="x",IF(AND(SUMIF(Capacity_Resource,$D162,'Critical resources (hide)'!BL$6:BL$105)+SUMIF(Capacity_Resource,$E162,'Critical resources (hide)'!BL$6:BL$105)+SUMIF(Capacity_Resource,$F162,'Critical resources (hide)'!BL$6:BL$105)&gt;0,$E$1=2),0,1),0)</f>
        <v>1</v>
      </c>
      <c r="AZ162" s="67">
        <f ca="1">IF(LOWER(Capacity!$V67)="x",IF(AND(SUMIF(Capacity_Resource,$D162,'Critical resources (hide)'!BM$6:BM$105)+SUMIF(Capacity_Resource,$E162,'Critical resources (hide)'!BM$6:BM$105)+SUMIF(Capacity_Resource,$F162,'Critical resources (hide)'!BM$6:BM$105)&gt;0,$E$1=2),0,1),0)</f>
        <v>1</v>
      </c>
      <c r="BA162" s="67">
        <f ca="1">IF(LOWER(Capacity!$V67)="x",IF(AND(SUMIF(Capacity_Resource,$D162,'Critical resources (hide)'!BN$6:BN$105)+SUMIF(Capacity_Resource,$E162,'Critical resources (hide)'!BN$6:BN$105)+SUMIF(Capacity_Resource,$F162,'Critical resources (hide)'!BN$6:BN$105)&gt;0,$E$1=2),0,1),0)</f>
        <v>1</v>
      </c>
      <c r="BB162" s="67">
        <f ca="1">IF(LOWER(Capacity!$V67)="x",IF(AND(SUMIF(Capacity_Resource,$D162,'Critical resources (hide)'!BO$6:BO$105)+SUMIF(Capacity_Resource,$E162,'Critical resources (hide)'!BO$6:BO$105)+SUMIF(Capacity_Resource,$F162,'Critical resources (hide)'!BO$6:BO$105)&gt;0,$E$1=2),0,1),0)</f>
        <v>1</v>
      </c>
      <c r="BC162" s="67">
        <f ca="1">IF(LOWER(Capacity!$V67)="x",IF(AND(SUMIF(Capacity_Resource,$D162,'Critical resources (hide)'!BP$6:BP$105)+SUMIF(Capacity_Resource,$E162,'Critical resources (hide)'!BP$6:BP$105)+SUMIF(Capacity_Resource,$F162,'Critical resources (hide)'!BP$6:BP$105)&gt;0,$E$1=2),0,1),0)</f>
        <v>1</v>
      </c>
      <c r="BD162" s="67">
        <f ca="1">IF(LOWER(Capacity!$V67)="x",IF(AND(SUMIF(Capacity_Resource,$D162,'Critical resources (hide)'!BQ$6:BQ$105)+SUMIF(Capacity_Resource,$E162,'Critical resources (hide)'!BQ$6:BQ$105)+SUMIF(Capacity_Resource,$F162,'Critical resources (hide)'!BQ$6:BQ$105)&gt;0,$E$1=2),0,1),0)</f>
        <v>1</v>
      </c>
      <c r="BE162" s="67">
        <f ca="1">IF(LOWER(Capacity!$V67)="x",IF(AND(SUMIF(Capacity_Resource,$D162,'Critical resources (hide)'!BR$6:BR$105)+SUMIF(Capacity_Resource,$E162,'Critical resources (hide)'!BR$6:BR$105)+SUMIF(Capacity_Resource,$F162,'Critical resources (hide)'!BR$6:BR$105)&gt;0,$E$1=2),0,1),0)</f>
        <v>1</v>
      </c>
      <c r="BF162" s="67">
        <f ca="1">IF(LOWER(Capacity!$V67)="x",IF(AND(SUMIF(Capacity_Resource,$D162,'Critical resources (hide)'!BS$6:BS$105)+SUMIF(Capacity_Resource,$E162,'Critical resources (hide)'!BS$6:BS$105)+SUMIF(Capacity_Resource,$F162,'Critical resources (hide)'!BS$6:BS$105)&gt;0,$E$1=2),0,1),0)</f>
        <v>1</v>
      </c>
      <c r="BG162" s="67">
        <f ca="1">IF(LOWER(Capacity!$V67)="x",IF(AND(SUMIF(Capacity_Resource,$D162,'Critical resources (hide)'!BT$6:BT$105)+SUMIF(Capacity_Resource,$E162,'Critical resources (hide)'!BT$6:BT$105)+SUMIF(Capacity_Resource,$F162,'Critical resources (hide)'!BT$6:BT$105)&gt;0,$E$1=2),0,1),0)</f>
        <v>1</v>
      </c>
      <c r="BH162" s="67">
        <f>IF(ROW(A51)&lt;=Capacity!$M$16,IF('Capacity summary'!$C$14="No",SUM(H162:BG162),'Capacity summary'!$E74),0)</f>
        <v>0</v>
      </c>
      <c r="BI162" s="67" t="str">
        <f>IF(BH162&gt;0,IF(BH162&lt;Capacity!Q67,Capacity!R67,Capacity!T67/'Capacity calculation (hide)'!BH162),"")</f>
        <v/>
      </c>
      <c r="BJ162" s="5"/>
      <c r="BK162" s="5">
        <f>IF($BI162&lt;&gt;"",IF('Capacity summary'!$C$14="Yes",IF(COUNTBLANK('Capacity summary'!$H74:$BG74)&lt;52,IF('Capacity summary'!H74&lt;&gt;"",IF(LOWER('Capacity summary'!H74)="x",$BI162*H162,VALUE('Capacity summary'!H74)),0),H162*$BI162),H162*$BI162),0)</f>
        <v>0</v>
      </c>
      <c r="BL162" s="5">
        <f>IF($BI162&lt;&gt;"",IF('Capacity summary'!$C$14="Yes",IF(COUNTBLANK('Capacity summary'!$H74:$BG74)&lt;52,IF('Capacity summary'!I74&lt;&gt;"",IF(LOWER('Capacity summary'!I74)="x",$BI162*I162,VALUE('Capacity summary'!I74)),0),I162*$BI162),I162*$BI162),0)</f>
        <v>0</v>
      </c>
      <c r="BM162" s="5">
        <f>IF($BI162&lt;&gt;"",IF('Capacity summary'!$C$14="Yes",IF(COUNTBLANK('Capacity summary'!$H74:$BG74)&lt;52,IF('Capacity summary'!J74&lt;&gt;"",IF(LOWER('Capacity summary'!J74)="x",$BI162*J162,VALUE('Capacity summary'!J74)),0),J162*$BI162),J162*$BI162),0)</f>
        <v>0</v>
      </c>
      <c r="BN162" s="5">
        <f>IF($BI162&lt;&gt;"",IF('Capacity summary'!$C$14="Yes",IF(COUNTBLANK('Capacity summary'!$H74:$BG74)&lt;52,IF('Capacity summary'!K74&lt;&gt;"",IF(LOWER('Capacity summary'!K74)="x",$BI162*K162,VALUE('Capacity summary'!K74)),0),K162*$BI162),K162*$BI162),0)</f>
        <v>0</v>
      </c>
      <c r="BO162" s="5">
        <f>IF($BI162&lt;&gt;"",IF('Capacity summary'!$C$14="Yes",IF(COUNTBLANK('Capacity summary'!$H74:$BG74)&lt;52,IF('Capacity summary'!L74&lt;&gt;"",IF(LOWER('Capacity summary'!L74)="x",$BI162*L162,VALUE('Capacity summary'!L74)),0),L162*$BI162),L162*$BI162),0)</f>
        <v>0</v>
      </c>
      <c r="BP162" s="5">
        <f>IF($BI162&lt;&gt;"",IF('Capacity summary'!$C$14="Yes",IF(COUNTBLANK('Capacity summary'!$H74:$BG74)&lt;52,IF('Capacity summary'!M74&lt;&gt;"",IF(LOWER('Capacity summary'!M74)="x",$BI162*M162,VALUE('Capacity summary'!M74)),0),M162*$BI162),M162*$BI162),0)</f>
        <v>0</v>
      </c>
      <c r="BQ162" s="5">
        <f>IF($BI162&lt;&gt;"",IF('Capacity summary'!$C$14="Yes",IF(COUNTBLANK('Capacity summary'!$H74:$BG74)&lt;52,IF('Capacity summary'!N74&lt;&gt;"",IF(LOWER('Capacity summary'!N74)="x",$BI162*N162,VALUE('Capacity summary'!N74)),0),N162*$BI162),N162*$BI162),0)</f>
        <v>0</v>
      </c>
      <c r="BR162" s="5">
        <f>IF($BI162&lt;&gt;"",IF('Capacity summary'!$C$14="Yes",IF(COUNTBLANK('Capacity summary'!$H74:$BG74)&lt;52,IF('Capacity summary'!O74&lt;&gt;"",IF(LOWER('Capacity summary'!O74)="x",$BI162*O162,VALUE('Capacity summary'!O74)),0),O162*$BI162),O162*$BI162),0)</f>
        <v>0</v>
      </c>
      <c r="BS162" s="5">
        <f>IF($BI162&lt;&gt;"",IF('Capacity summary'!$C$14="Yes",IF(COUNTBLANK('Capacity summary'!$H74:$BG74)&lt;52,IF('Capacity summary'!P74&lt;&gt;"",IF(LOWER('Capacity summary'!P74)="x",$BI162*P162,VALUE('Capacity summary'!P74)),0),P162*$BI162),P162*$BI162),0)</f>
        <v>0</v>
      </c>
      <c r="BT162" s="5">
        <f>IF($BI162&lt;&gt;"",IF('Capacity summary'!$C$14="Yes",IF(COUNTBLANK('Capacity summary'!$H74:$BG74)&lt;52,IF('Capacity summary'!Q74&lt;&gt;"",IF(LOWER('Capacity summary'!Q74)="x",$BI162*Q162,VALUE('Capacity summary'!Q74)),0),Q162*$BI162),Q162*$BI162),0)</f>
        <v>0</v>
      </c>
      <c r="BU162" s="5">
        <f>IF($BI162&lt;&gt;"",IF('Capacity summary'!$C$14="Yes",IF(COUNTBLANK('Capacity summary'!$H74:$BG74)&lt;52,IF('Capacity summary'!R74&lt;&gt;"",IF(LOWER('Capacity summary'!R74)="x",$BI162*R162,VALUE('Capacity summary'!R74)),0),R162*$BI162),R162*$BI162),0)</f>
        <v>0</v>
      </c>
      <c r="BV162" s="5">
        <f>IF($BI162&lt;&gt;"",IF('Capacity summary'!$C$14="Yes",IF(COUNTBLANK('Capacity summary'!$H74:$BG74)&lt;52,IF('Capacity summary'!S74&lt;&gt;"",IF(LOWER('Capacity summary'!S74)="x",$BI162*S162,VALUE('Capacity summary'!S74)),0),S162*$BI162),S162*$BI162),0)</f>
        <v>0</v>
      </c>
      <c r="BW162" s="5">
        <f>IF($BI162&lt;&gt;"",IF('Capacity summary'!$C$14="Yes",IF(COUNTBLANK('Capacity summary'!$H74:$BG74)&lt;52,IF('Capacity summary'!T74&lt;&gt;"",IF(LOWER('Capacity summary'!T74)="x",$BI162*T162,VALUE('Capacity summary'!T74)),0),T162*$BI162),T162*$BI162),0)</f>
        <v>0</v>
      </c>
      <c r="BX162" s="5">
        <f>IF($BI162&lt;&gt;"",IF('Capacity summary'!$C$14="Yes",IF(COUNTBLANK('Capacity summary'!$H74:$BG74)&lt;52,IF('Capacity summary'!U74&lt;&gt;"",IF(LOWER('Capacity summary'!U74)="x",$BI162*U162,VALUE('Capacity summary'!U74)),0),U162*$BI162),U162*$BI162),0)</f>
        <v>0</v>
      </c>
      <c r="BY162" s="5">
        <f>IF($BI162&lt;&gt;"",IF('Capacity summary'!$C$14="Yes",IF(COUNTBLANK('Capacity summary'!$H74:$BG74)&lt;52,IF('Capacity summary'!V74&lt;&gt;"",IF(LOWER('Capacity summary'!V74)="x",$BI162*V162,VALUE('Capacity summary'!V74)),0),V162*$BI162),V162*$BI162),0)</f>
        <v>0</v>
      </c>
      <c r="BZ162" s="5">
        <f>IF($BI162&lt;&gt;"",IF('Capacity summary'!$C$14="Yes",IF(COUNTBLANK('Capacity summary'!$H74:$BG74)&lt;52,IF('Capacity summary'!W74&lt;&gt;"",IF(LOWER('Capacity summary'!W74)="x",$BI162*W162,VALUE('Capacity summary'!W74)),0),W162*$BI162),W162*$BI162),0)</f>
        <v>0</v>
      </c>
      <c r="CA162" s="5">
        <f>IF($BI162&lt;&gt;"",IF('Capacity summary'!$C$14="Yes",IF(COUNTBLANK('Capacity summary'!$H74:$BG74)&lt;52,IF('Capacity summary'!X74&lt;&gt;"",IF(LOWER('Capacity summary'!X74)="x",$BI162*X162,VALUE('Capacity summary'!X74)),0),X162*$BI162),X162*$BI162),0)</f>
        <v>0</v>
      </c>
      <c r="CB162" s="5">
        <f>IF($BI162&lt;&gt;"",IF('Capacity summary'!$C$14="Yes",IF(COUNTBLANK('Capacity summary'!$H74:$BG74)&lt;52,IF('Capacity summary'!Y74&lt;&gt;"",IF(LOWER('Capacity summary'!Y74)="x",$BI162*Y162,VALUE('Capacity summary'!Y74)),0),Y162*$BI162),Y162*$BI162),0)</f>
        <v>0</v>
      </c>
      <c r="CC162" s="5">
        <f>IF($BI162&lt;&gt;"",IF('Capacity summary'!$C$14="Yes",IF(COUNTBLANK('Capacity summary'!$H74:$BG74)&lt;52,IF('Capacity summary'!Z74&lt;&gt;"",IF(LOWER('Capacity summary'!Z74)="x",$BI162*Z162,VALUE('Capacity summary'!Z74)),0),Z162*$BI162),Z162*$BI162),0)</f>
        <v>0</v>
      </c>
      <c r="CD162" s="5">
        <f>IF($BI162&lt;&gt;"",IF('Capacity summary'!$C$14="Yes",IF(COUNTBLANK('Capacity summary'!$H74:$BG74)&lt;52,IF('Capacity summary'!AA74&lt;&gt;"",IF(LOWER('Capacity summary'!AA74)="x",$BI162*AA162,VALUE('Capacity summary'!AA74)),0),AA162*$BI162),AA162*$BI162),0)</f>
        <v>0</v>
      </c>
      <c r="CE162" s="5">
        <f>IF($BI162&lt;&gt;"",IF('Capacity summary'!$C$14="Yes",IF(COUNTBLANK('Capacity summary'!$H74:$BG74)&lt;52,IF('Capacity summary'!AB74&lt;&gt;"",IF(LOWER('Capacity summary'!AB74)="x",$BI162*AB162,VALUE('Capacity summary'!AB74)),0),AB162*$BI162),AB162*$BI162),0)</f>
        <v>0</v>
      </c>
      <c r="CF162" s="5">
        <f>IF($BI162&lt;&gt;"",IF('Capacity summary'!$C$14="Yes",IF(COUNTBLANK('Capacity summary'!$H74:$BG74)&lt;52,IF('Capacity summary'!AC74&lt;&gt;"",IF(LOWER('Capacity summary'!AC74)="x",$BI162*AC162,VALUE('Capacity summary'!AC74)),0),AC162*$BI162),AC162*$BI162),0)</f>
        <v>0</v>
      </c>
      <c r="CG162" s="5">
        <f>IF($BI162&lt;&gt;"",IF('Capacity summary'!$C$14="Yes",IF(COUNTBLANK('Capacity summary'!$H74:$BG74)&lt;52,IF('Capacity summary'!AD74&lt;&gt;"",IF(LOWER('Capacity summary'!AD74)="x",$BI162*AD162,VALUE('Capacity summary'!AD74)),0),AD162*$BI162),AD162*$BI162),0)</f>
        <v>0</v>
      </c>
      <c r="CH162" s="5">
        <f>IF($BI162&lt;&gt;"",IF('Capacity summary'!$C$14="Yes",IF(COUNTBLANK('Capacity summary'!$H74:$BG74)&lt;52,IF('Capacity summary'!AE74&lt;&gt;"",IF(LOWER('Capacity summary'!AE74)="x",$BI162*AE162,VALUE('Capacity summary'!AE74)),0),AE162*$BI162),AE162*$BI162),0)</f>
        <v>0</v>
      </c>
      <c r="CI162" s="5">
        <f>IF($BI162&lt;&gt;"",IF('Capacity summary'!$C$14="Yes",IF(COUNTBLANK('Capacity summary'!$H74:$BG74)&lt;52,IF('Capacity summary'!AF74&lt;&gt;"",IF(LOWER('Capacity summary'!AF74)="x",$BI162*AF162,VALUE('Capacity summary'!AF74)),0),AF162*$BI162),AF162*$BI162),0)</f>
        <v>0</v>
      </c>
      <c r="CJ162" s="5">
        <f>IF($BI162&lt;&gt;"",IF('Capacity summary'!$C$14="Yes",IF(COUNTBLANK('Capacity summary'!$H74:$BG74)&lt;52,IF('Capacity summary'!AG74&lt;&gt;"",IF(LOWER('Capacity summary'!AG74)="x",$BI162*AG162,VALUE('Capacity summary'!AG74)),0),AG162*$BI162),AG162*$BI162),0)</f>
        <v>0</v>
      </c>
      <c r="CK162" s="5">
        <f>IF($BI162&lt;&gt;"",IF('Capacity summary'!$C$14="Yes",IF(COUNTBLANK('Capacity summary'!$H74:$BG74)&lt;52,IF('Capacity summary'!AH74&lt;&gt;"",IF(LOWER('Capacity summary'!AH74)="x",$BI162*AH162,VALUE('Capacity summary'!AH74)),0),AH162*$BI162),AH162*$BI162),0)</f>
        <v>0</v>
      </c>
      <c r="CL162" s="5">
        <f>IF($BI162&lt;&gt;"",IF('Capacity summary'!$C$14="Yes",IF(COUNTBLANK('Capacity summary'!$H74:$BG74)&lt;52,IF('Capacity summary'!AI74&lt;&gt;"",IF(LOWER('Capacity summary'!AI74)="x",$BI162*AI162,VALUE('Capacity summary'!AI74)),0),AI162*$BI162),AI162*$BI162),0)</f>
        <v>0</v>
      </c>
      <c r="CM162" s="5">
        <f>IF($BI162&lt;&gt;"",IF('Capacity summary'!$C$14="Yes",IF(COUNTBLANK('Capacity summary'!$H74:$BG74)&lt;52,IF('Capacity summary'!AJ74&lt;&gt;"",IF(LOWER('Capacity summary'!AJ74)="x",$BI162*AJ162,VALUE('Capacity summary'!AJ74)),0),AJ162*$BI162),AJ162*$BI162),0)</f>
        <v>0</v>
      </c>
      <c r="CN162" s="5">
        <f>IF($BI162&lt;&gt;"",IF('Capacity summary'!$C$14="Yes",IF(COUNTBLANK('Capacity summary'!$H74:$BG74)&lt;52,IF('Capacity summary'!AK74&lt;&gt;"",IF(LOWER('Capacity summary'!AK74)="x",$BI162*AK162,VALUE('Capacity summary'!AK74)),0),AK162*$BI162),AK162*$BI162),0)</f>
        <v>0</v>
      </c>
      <c r="CO162" s="5">
        <f>IF($BI162&lt;&gt;"",IF('Capacity summary'!$C$14="Yes",IF(COUNTBLANK('Capacity summary'!$H74:$BG74)&lt;52,IF('Capacity summary'!AL74&lt;&gt;"",IF(LOWER('Capacity summary'!AL74)="x",$BI162*AL162,VALUE('Capacity summary'!AL74)),0),AL162*$BI162),AL162*$BI162),0)</f>
        <v>0</v>
      </c>
      <c r="CP162" s="5">
        <f>IF($BI162&lt;&gt;"",IF('Capacity summary'!$C$14="Yes",IF(COUNTBLANK('Capacity summary'!$H74:$BG74)&lt;52,IF('Capacity summary'!AM74&lt;&gt;"",IF(LOWER('Capacity summary'!AM74)="x",$BI162*AM162,VALUE('Capacity summary'!AM74)),0),AM162*$BI162),AM162*$BI162),0)</f>
        <v>0</v>
      </c>
      <c r="CQ162" s="5">
        <f>IF($BI162&lt;&gt;"",IF('Capacity summary'!$C$14="Yes",IF(COUNTBLANK('Capacity summary'!$H74:$BG74)&lt;52,IF('Capacity summary'!AN74&lt;&gt;"",IF(LOWER('Capacity summary'!AN74)="x",$BI162*AN162,VALUE('Capacity summary'!AN74)),0),AN162*$BI162),AN162*$BI162),0)</f>
        <v>0</v>
      </c>
      <c r="CR162" s="5">
        <f>IF($BI162&lt;&gt;"",IF('Capacity summary'!$C$14="Yes",IF(COUNTBLANK('Capacity summary'!$H74:$BG74)&lt;52,IF('Capacity summary'!AO74&lt;&gt;"",IF(LOWER('Capacity summary'!AO74)="x",$BI162*AO162,VALUE('Capacity summary'!AO74)),0),AO162*$BI162),AO162*$BI162),0)</f>
        <v>0</v>
      </c>
      <c r="CS162" s="5">
        <f>IF($BI162&lt;&gt;"",IF('Capacity summary'!$C$14="Yes",IF(COUNTBLANK('Capacity summary'!$H74:$BG74)&lt;52,IF('Capacity summary'!AP74&lt;&gt;"",IF(LOWER('Capacity summary'!AP74)="x",$BI162*AP162,VALUE('Capacity summary'!AP74)),0),AP162*$BI162),AP162*$BI162),0)</f>
        <v>0</v>
      </c>
      <c r="CT162" s="5">
        <f>IF($BI162&lt;&gt;"",IF('Capacity summary'!$C$14="Yes",IF(COUNTBLANK('Capacity summary'!$H74:$BG74)&lt;52,IF('Capacity summary'!AQ74&lt;&gt;"",IF(LOWER('Capacity summary'!AQ74)="x",$BI162*AQ162,VALUE('Capacity summary'!AQ74)),0),AQ162*$BI162),AQ162*$BI162),0)</f>
        <v>0</v>
      </c>
      <c r="CU162" s="5">
        <f>IF($BI162&lt;&gt;"",IF('Capacity summary'!$C$14="Yes",IF(COUNTBLANK('Capacity summary'!$H74:$BG74)&lt;52,IF('Capacity summary'!AR74&lt;&gt;"",IF(LOWER('Capacity summary'!AR74)="x",$BI162*AR162,VALUE('Capacity summary'!AR74)),0),AR162*$BI162),AR162*$BI162),0)</f>
        <v>0</v>
      </c>
      <c r="CV162" s="5">
        <f>IF($BI162&lt;&gt;"",IF('Capacity summary'!$C$14="Yes",IF(COUNTBLANK('Capacity summary'!$H74:$BG74)&lt;52,IF('Capacity summary'!AS74&lt;&gt;"",IF(LOWER('Capacity summary'!AS74)="x",$BI162*AS162,VALUE('Capacity summary'!AS74)),0),AS162*$BI162),AS162*$BI162),0)</f>
        <v>0</v>
      </c>
      <c r="CW162" s="5">
        <f>IF($BI162&lt;&gt;"",IF('Capacity summary'!$C$14="Yes",IF(COUNTBLANK('Capacity summary'!$H74:$BG74)&lt;52,IF('Capacity summary'!AT74&lt;&gt;"",IF(LOWER('Capacity summary'!AT74)="x",$BI162*AT162,VALUE('Capacity summary'!AT74)),0),AT162*$BI162),AT162*$BI162),0)</f>
        <v>0</v>
      </c>
      <c r="CX162" s="5">
        <f>IF($BI162&lt;&gt;"",IF('Capacity summary'!$C$14="Yes",IF(COUNTBLANK('Capacity summary'!$H74:$BG74)&lt;52,IF('Capacity summary'!AU74&lt;&gt;"",IF(LOWER('Capacity summary'!AU74)="x",$BI162*AU162,VALUE('Capacity summary'!AU74)),0),AU162*$BI162),AU162*$BI162),0)</f>
        <v>0</v>
      </c>
      <c r="CY162" s="5">
        <f>IF($BI162&lt;&gt;"",IF('Capacity summary'!$C$14="Yes",IF(COUNTBLANK('Capacity summary'!$H74:$BG74)&lt;52,IF('Capacity summary'!AV74&lt;&gt;"",IF(LOWER('Capacity summary'!AV74)="x",$BI162*AV162,VALUE('Capacity summary'!AV74)),0),AV162*$BI162),AV162*$BI162),0)</f>
        <v>0</v>
      </c>
      <c r="CZ162" s="5">
        <f>IF($BI162&lt;&gt;"",IF('Capacity summary'!$C$14="Yes",IF(COUNTBLANK('Capacity summary'!$H74:$BG74)&lt;52,IF('Capacity summary'!AW74&lt;&gt;"",IF(LOWER('Capacity summary'!AW74)="x",$BI162*AW162,VALUE('Capacity summary'!AW74)),0),AW162*$BI162),AW162*$BI162),0)</f>
        <v>0</v>
      </c>
      <c r="DA162" s="5">
        <f>IF($BI162&lt;&gt;"",IF('Capacity summary'!$C$14="Yes",IF(COUNTBLANK('Capacity summary'!$H74:$BG74)&lt;52,IF('Capacity summary'!AX74&lt;&gt;"",IF(LOWER('Capacity summary'!AX74)="x",$BI162*AX162,VALUE('Capacity summary'!AX74)),0),AX162*$BI162),AX162*$BI162),0)</f>
        <v>0</v>
      </c>
      <c r="DB162" s="5">
        <f>IF($BI162&lt;&gt;"",IF('Capacity summary'!$C$14="Yes",IF(COUNTBLANK('Capacity summary'!$H74:$BG74)&lt;52,IF('Capacity summary'!AY74&lt;&gt;"",IF(LOWER('Capacity summary'!AY74)="x",$BI162*AY162,VALUE('Capacity summary'!AY74)),0),AY162*$BI162),AY162*$BI162),0)</f>
        <v>0</v>
      </c>
      <c r="DC162" s="5">
        <f>IF($BI162&lt;&gt;"",IF('Capacity summary'!$C$14="Yes",IF(COUNTBLANK('Capacity summary'!$H74:$BG74)&lt;52,IF('Capacity summary'!AZ74&lt;&gt;"",IF(LOWER('Capacity summary'!AZ74)="x",$BI162*AZ162,VALUE('Capacity summary'!AZ74)),0),AZ162*$BI162),AZ162*$BI162),0)</f>
        <v>0</v>
      </c>
      <c r="DD162" s="5">
        <f>IF($BI162&lt;&gt;"",IF('Capacity summary'!$C$14="Yes",IF(COUNTBLANK('Capacity summary'!$H74:$BG74)&lt;52,IF('Capacity summary'!BA74&lt;&gt;"",IF(LOWER('Capacity summary'!BA74)="x",$BI162*BA162,VALUE('Capacity summary'!BA74)),0),BA162*$BI162),BA162*$BI162),0)</f>
        <v>0</v>
      </c>
      <c r="DE162" s="5">
        <f>IF($BI162&lt;&gt;"",IF('Capacity summary'!$C$14="Yes",IF(COUNTBLANK('Capacity summary'!$H74:$BG74)&lt;52,IF('Capacity summary'!BB74&lt;&gt;"",IF(LOWER('Capacity summary'!BB74)="x",$BI162*BB162,VALUE('Capacity summary'!BB74)),0),BB162*$BI162),BB162*$BI162),0)</f>
        <v>0</v>
      </c>
      <c r="DF162" s="5">
        <f>IF($BI162&lt;&gt;"",IF('Capacity summary'!$C$14="Yes",IF(COUNTBLANK('Capacity summary'!$H74:$BG74)&lt;52,IF('Capacity summary'!BC74&lt;&gt;"",IF(LOWER('Capacity summary'!BC74)="x",$BI162*BC162,VALUE('Capacity summary'!BC74)),0),BC162*$BI162),BC162*$BI162),0)</f>
        <v>0</v>
      </c>
      <c r="DG162" s="5">
        <f>IF($BI162&lt;&gt;"",IF('Capacity summary'!$C$14="Yes",IF(COUNTBLANK('Capacity summary'!$H74:$BG74)&lt;52,IF('Capacity summary'!BD74&lt;&gt;"",IF(LOWER('Capacity summary'!BD74)="x",$BI162*BD162,VALUE('Capacity summary'!BD74)),0),BD162*$BI162),BD162*$BI162),0)</f>
        <v>0</v>
      </c>
      <c r="DH162" s="5">
        <f>IF($BI162&lt;&gt;"",IF('Capacity summary'!$C$14="Yes",IF(COUNTBLANK('Capacity summary'!$H74:$BG74)&lt;52,IF('Capacity summary'!BE74&lt;&gt;"",IF(LOWER('Capacity summary'!BE74)="x",$BI162*BE162,VALUE('Capacity summary'!BE74)),0),BE162*$BI162),BE162*$BI162),0)</f>
        <v>0</v>
      </c>
      <c r="DI162" s="5">
        <f>IF($BI162&lt;&gt;"",IF('Capacity summary'!$C$14="Yes",IF(COUNTBLANK('Capacity summary'!$H74:$BG74)&lt;52,IF('Capacity summary'!BF74&lt;&gt;"",IF(LOWER('Capacity summary'!BF74)="x",$BI162*BF162,VALUE('Capacity summary'!BF74)),0),BF162*$BI162),BF162*$BI162),0)</f>
        <v>0</v>
      </c>
      <c r="DJ162" s="5">
        <f>IF($BI162&lt;&gt;"",IF('Capacity summary'!$C$14="Yes",IF(COUNTBLANK('Capacity summary'!$H74:$BG74)&lt;52,IF('Capacity summary'!BG74&lt;&gt;"",IF(LOWER('Capacity summary'!BG74)="x",$BI162*BG162,VALUE('Capacity summary'!BG74)),0),BG162*$BI162),BG162*$BI162),0)</f>
        <v>0</v>
      </c>
      <c r="DK162" s="391">
        <f t="shared" si="8"/>
        <v>0</v>
      </c>
      <c r="DL162" s="5">
        <f t="shared" si="9"/>
        <v>0</v>
      </c>
    </row>
    <row r="163" spans="3:116" x14ac:dyDescent="0.2">
      <c r="C163" s="67" t="str">
        <f>ROW(A52)&amp;". "&amp;Capacity!N68</f>
        <v xml:space="preserve">52. </v>
      </c>
      <c r="D163" s="67">
        <f>'Capacity setup'!C169</f>
        <v>0</v>
      </c>
      <c r="E163" s="67">
        <f>'Capacity setup'!D169</f>
        <v>0</v>
      </c>
      <c r="F163" s="67">
        <f>'Capacity setup'!E169</f>
        <v>0</v>
      </c>
      <c r="H163" s="67">
        <f ca="1">IF(LOWER(Capacity!$V68)="x",IF(AND(SUMIF(Capacity_Resource,$D163,'Critical resources (hide)'!U$6:U$105)+SUMIF(Capacity_Resource,$E163,'Critical resources (hide)'!U$6:U$105)+SUMIF(Capacity_Resource,$F163,'Critical resources (hide)'!U$6:U$105)&gt;0,$E$1=2),0,1),0)</f>
        <v>1</v>
      </c>
      <c r="I163" s="67">
        <f ca="1">IF(LOWER(Capacity!$V68)="x",IF(AND(SUMIF(Capacity_Resource,$D163,'Critical resources (hide)'!V$6:V$105)+SUMIF(Capacity_Resource,$E163,'Critical resources (hide)'!V$6:V$105)+SUMIF(Capacity_Resource,$F163,'Critical resources (hide)'!V$6:V$105)&gt;0,$E$1=2),0,1),0)</f>
        <v>1</v>
      </c>
      <c r="J163" s="67">
        <f ca="1">IF(LOWER(Capacity!$V68)="x",IF(AND(SUMIF(Capacity_Resource,$D163,'Critical resources (hide)'!W$6:W$105)+SUMIF(Capacity_Resource,$E163,'Critical resources (hide)'!W$6:W$105)+SUMIF(Capacity_Resource,$F163,'Critical resources (hide)'!W$6:W$105)&gt;0,$E$1=2),0,1),0)</f>
        <v>1</v>
      </c>
      <c r="K163" s="67">
        <f ca="1">IF(LOWER(Capacity!$V68)="x",IF(AND(SUMIF(Capacity_Resource,$D163,'Critical resources (hide)'!X$6:X$105)+SUMIF(Capacity_Resource,$E163,'Critical resources (hide)'!X$6:X$105)+SUMIF(Capacity_Resource,$F163,'Critical resources (hide)'!X$6:X$105)&gt;0,$E$1=2),0,1),0)</f>
        <v>1</v>
      </c>
      <c r="L163" s="67">
        <f ca="1">IF(LOWER(Capacity!$V68)="x",IF(AND(SUMIF(Capacity_Resource,$D163,'Critical resources (hide)'!Y$6:Y$105)+SUMIF(Capacity_Resource,$E163,'Critical resources (hide)'!Y$6:Y$105)+SUMIF(Capacity_Resource,$F163,'Critical resources (hide)'!Y$6:Y$105)&gt;0,$E$1=2),0,1),0)</f>
        <v>1</v>
      </c>
      <c r="M163" s="67">
        <f ca="1">IF(LOWER(Capacity!$V68)="x",IF(AND(SUMIF(Capacity_Resource,$D163,'Critical resources (hide)'!Z$6:Z$105)+SUMIF(Capacity_Resource,$E163,'Critical resources (hide)'!Z$6:Z$105)+SUMIF(Capacity_Resource,$F163,'Critical resources (hide)'!Z$6:Z$105)&gt;0,$E$1=2),0,1),0)</f>
        <v>1</v>
      </c>
      <c r="N163" s="67">
        <f ca="1">IF(LOWER(Capacity!$V68)="x",IF(AND(SUMIF(Capacity_Resource,$D163,'Critical resources (hide)'!AA$6:AA$105)+SUMIF(Capacity_Resource,$E163,'Critical resources (hide)'!AA$6:AA$105)+SUMIF(Capacity_Resource,$F163,'Critical resources (hide)'!AA$6:AA$105)&gt;0,$E$1=2),0,1),0)</f>
        <v>1</v>
      </c>
      <c r="O163" s="67">
        <f ca="1">IF(LOWER(Capacity!$V68)="x",IF(AND(SUMIF(Capacity_Resource,$D163,'Critical resources (hide)'!AB$6:AB$105)+SUMIF(Capacity_Resource,$E163,'Critical resources (hide)'!AB$6:AB$105)+SUMIF(Capacity_Resource,$F163,'Critical resources (hide)'!AB$6:AB$105)&gt;0,$E$1=2),0,1),0)</f>
        <v>1</v>
      </c>
      <c r="P163" s="67">
        <f ca="1">IF(LOWER(Capacity!$V68)="x",IF(AND(SUMIF(Capacity_Resource,$D163,'Critical resources (hide)'!AC$6:AC$105)+SUMIF(Capacity_Resource,$E163,'Critical resources (hide)'!AC$6:AC$105)+SUMIF(Capacity_Resource,$F163,'Critical resources (hide)'!AC$6:AC$105)&gt;0,$E$1=2),0,1),0)</f>
        <v>1</v>
      </c>
      <c r="Q163" s="67">
        <f ca="1">IF(LOWER(Capacity!$V68)="x",IF(AND(SUMIF(Capacity_Resource,$D163,'Critical resources (hide)'!AD$6:AD$105)+SUMIF(Capacity_Resource,$E163,'Critical resources (hide)'!AD$6:AD$105)+SUMIF(Capacity_Resource,$F163,'Critical resources (hide)'!AD$6:AD$105)&gt;0,$E$1=2),0,1),0)</f>
        <v>1</v>
      </c>
      <c r="R163" s="67">
        <f ca="1">IF(LOWER(Capacity!$V68)="x",IF(AND(SUMIF(Capacity_Resource,$D163,'Critical resources (hide)'!AE$6:AE$105)+SUMIF(Capacity_Resource,$E163,'Critical resources (hide)'!AE$6:AE$105)+SUMIF(Capacity_Resource,$F163,'Critical resources (hide)'!AE$6:AE$105)&gt;0,$E$1=2),0,1),0)</f>
        <v>1</v>
      </c>
      <c r="S163" s="67">
        <f ca="1">IF(LOWER(Capacity!$V68)="x",IF(AND(SUMIF(Capacity_Resource,$D163,'Critical resources (hide)'!AF$6:AF$105)+SUMIF(Capacity_Resource,$E163,'Critical resources (hide)'!AF$6:AF$105)+SUMIF(Capacity_Resource,$F163,'Critical resources (hide)'!AF$6:AF$105)&gt;0,$E$1=2),0,1),0)</f>
        <v>1</v>
      </c>
      <c r="T163" s="67">
        <f ca="1">IF(LOWER(Capacity!$V68)="x",IF(AND(SUMIF(Capacity_Resource,$D163,'Critical resources (hide)'!AG$6:AG$105)+SUMIF(Capacity_Resource,$E163,'Critical resources (hide)'!AG$6:AG$105)+SUMIF(Capacity_Resource,$F163,'Critical resources (hide)'!AG$6:AG$105)&gt;0,$E$1=2),0,1),0)</f>
        <v>1</v>
      </c>
      <c r="U163" s="67">
        <f ca="1">IF(LOWER(Capacity!$V68)="x",IF(AND(SUMIF(Capacity_Resource,$D163,'Critical resources (hide)'!AH$6:AH$105)+SUMIF(Capacity_Resource,$E163,'Critical resources (hide)'!AH$6:AH$105)+SUMIF(Capacity_Resource,$F163,'Critical resources (hide)'!AH$6:AH$105)&gt;0,$E$1=2),0,1),0)</f>
        <v>1</v>
      </c>
      <c r="V163" s="67">
        <f ca="1">IF(LOWER(Capacity!$V68)="x",IF(AND(SUMIF(Capacity_Resource,$D163,'Critical resources (hide)'!AI$6:AI$105)+SUMIF(Capacity_Resource,$E163,'Critical resources (hide)'!AI$6:AI$105)+SUMIF(Capacity_Resource,$F163,'Critical resources (hide)'!AI$6:AI$105)&gt;0,$E$1=2),0,1),0)</f>
        <v>1</v>
      </c>
      <c r="W163" s="67">
        <f ca="1">IF(LOWER(Capacity!$V68)="x",IF(AND(SUMIF(Capacity_Resource,$D163,'Critical resources (hide)'!AJ$6:AJ$105)+SUMIF(Capacity_Resource,$E163,'Critical resources (hide)'!AJ$6:AJ$105)+SUMIF(Capacity_Resource,$F163,'Critical resources (hide)'!AJ$6:AJ$105)&gt;0,$E$1=2),0,1),0)</f>
        <v>1</v>
      </c>
      <c r="X163" s="67">
        <f ca="1">IF(LOWER(Capacity!$V68)="x",IF(AND(SUMIF(Capacity_Resource,$D163,'Critical resources (hide)'!AK$6:AK$105)+SUMIF(Capacity_Resource,$E163,'Critical resources (hide)'!AK$6:AK$105)+SUMIF(Capacity_Resource,$F163,'Critical resources (hide)'!AK$6:AK$105)&gt;0,$E$1=2),0,1),0)</f>
        <v>1</v>
      </c>
      <c r="Y163" s="67">
        <f ca="1">IF(LOWER(Capacity!$V68)="x",IF(AND(SUMIF(Capacity_Resource,$D163,'Critical resources (hide)'!AL$6:AL$105)+SUMIF(Capacity_Resource,$E163,'Critical resources (hide)'!AL$6:AL$105)+SUMIF(Capacity_Resource,$F163,'Critical resources (hide)'!AL$6:AL$105)&gt;0,$E$1=2),0,1),0)</f>
        <v>1</v>
      </c>
      <c r="Z163" s="67">
        <f ca="1">IF(LOWER(Capacity!$V68)="x",IF(AND(SUMIF(Capacity_Resource,$D163,'Critical resources (hide)'!AM$6:AM$105)+SUMIF(Capacity_Resource,$E163,'Critical resources (hide)'!AM$6:AM$105)+SUMIF(Capacity_Resource,$F163,'Critical resources (hide)'!AM$6:AM$105)&gt;0,$E$1=2),0,1),0)</f>
        <v>1</v>
      </c>
      <c r="AA163" s="67">
        <f ca="1">IF(LOWER(Capacity!$V68)="x",IF(AND(SUMIF(Capacity_Resource,$D163,'Critical resources (hide)'!AN$6:AN$105)+SUMIF(Capacity_Resource,$E163,'Critical resources (hide)'!AN$6:AN$105)+SUMIF(Capacity_Resource,$F163,'Critical resources (hide)'!AN$6:AN$105)&gt;0,$E$1=2),0,1),0)</f>
        <v>1</v>
      </c>
      <c r="AB163" s="67">
        <f ca="1">IF(LOWER(Capacity!$V68)="x",IF(AND(SUMIF(Capacity_Resource,$D163,'Critical resources (hide)'!AO$6:AO$105)+SUMIF(Capacity_Resource,$E163,'Critical resources (hide)'!AO$6:AO$105)+SUMIF(Capacity_Resource,$F163,'Critical resources (hide)'!AO$6:AO$105)&gt;0,$E$1=2),0,1),0)</f>
        <v>1</v>
      </c>
      <c r="AC163" s="67">
        <f ca="1">IF(LOWER(Capacity!$V68)="x",IF(AND(SUMIF(Capacity_Resource,$D163,'Critical resources (hide)'!AP$6:AP$105)+SUMIF(Capacity_Resource,$E163,'Critical resources (hide)'!AP$6:AP$105)+SUMIF(Capacity_Resource,$F163,'Critical resources (hide)'!AP$6:AP$105)&gt;0,$E$1=2),0,1),0)</f>
        <v>1</v>
      </c>
      <c r="AD163" s="67">
        <f ca="1">IF(LOWER(Capacity!$V68)="x",IF(AND(SUMIF(Capacity_Resource,$D163,'Critical resources (hide)'!AQ$6:AQ$105)+SUMIF(Capacity_Resource,$E163,'Critical resources (hide)'!AQ$6:AQ$105)+SUMIF(Capacity_Resource,$F163,'Critical resources (hide)'!AQ$6:AQ$105)&gt;0,$E$1=2),0,1),0)</f>
        <v>1</v>
      </c>
      <c r="AE163" s="67">
        <f ca="1">IF(LOWER(Capacity!$V68)="x",IF(AND(SUMIF(Capacity_Resource,$D163,'Critical resources (hide)'!AR$6:AR$105)+SUMIF(Capacity_Resource,$E163,'Critical resources (hide)'!AR$6:AR$105)+SUMIF(Capacity_Resource,$F163,'Critical resources (hide)'!AR$6:AR$105)&gt;0,$E$1=2),0,1),0)</f>
        <v>1</v>
      </c>
      <c r="AF163" s="67">
        <f ca="1">IF(LOWER(Capacity!$V68)="x",IF(AND(SUMIF(Capacity_Resource,$D163,'Critical resources (hide)'!AS$6:AS$105)+SUMIF(Capacity_Resource,$E163,'Critical resources (hide)'!AS$6:AS$105)+SUMIF(Capacity_Resource,$F163,'Critical resources (hide)'!AS$6:AS$105)&gt;0,$E$1=2),0,1),0)</f>
        <v>1</v>
      </c>
      <c r="AG163" s="67">
        <f ca="1">IF(LOWER(Capacity!$V68)="x",IF(AND(SUMIF(Capacity_Resource,$D163,'Critical resources (hide)'!AT$6:AT$105)+SUMIF(Capacity_Resource,$E163,'Critical resources (hide)'!AT$6:AT$105)+SUMIF(Capacity_Resource,$F163,'Critical resources (hide)'!AT$6:AT$105)&gt;0,$E$1=2),0,1),0)</f>
        <v>1</v>
      </c>
      <c r="AH163" s="67">
        <f ca="1">IF(LOWER(Capacity!$V68)="x",IF(AND(SUMIF(Capacity_Resource,$D163,'Critical resources (hide)'!AU$6:AU$105)+SUMIF(Capacity_Resource,$E163,'Critical resources (hide)'!AU$6:AU$105)+SUMIF(Capacity_Resource,$F163,'Critical resources (hide)'!AU$6:AU$105)&gt;0,$E$1=2),0,1),0)</f>
        <v>1</v>
      </c>
      <c r="AI163" s="67">
        <f ca="1">IF(LOWER(Capacity!$V68)="x",IF(AND(SUMIF(Capacity_Resource,$D163,'Critical resources (hide)'!AV$6:AV$105)+SUMIF(Capacity_Resource,$E163,'Critical resources (hide)'!AV$6:AV$105)+SUMIF(Capacity_Resource,$F163,'Critical resources (hide)'!AV$6:AV$105)&gt;0,$E$1=2),0,1),0)</f>
        <v>1</v>
      </c>
      <c r="AJ163" s="67">
        <f ca="1">IF(LOWER(Capacity!$V68)="x",IF(AND(SUMIF(Capacity_Resource,$D163,'Critical resources (hide)'!AW$6:AW$105)+SUMIF(Capacity_Resource,$E163,'Critical resources (hide)'!AW$6:AW$105)+SUMIF(Capacity_Resource,$F163,'Critical resources (hide)'!AW$6:AW$105)&gt;0,$E$1=2),0,1),0)</f>
        <v>1</v>
      </c>
      <c r="AK163" s="67">
        <f ca="1">IF(LOWER(Capacity!$V68)="x",IF(AND(SUMIF(Capacity_Resource,$D163,'Critical resources (hide)'!AX$6:AX$105)+SUMIF(Capacity_Resource,$E163,'Critical resources (hide)'!AX$6:AX$105)+SUMIF(Capacity_Resource,$F163,'Critical resources (hide)'!AX$6:AX$105)&gt;0,$E$1=2),0,1),0)</f>
        <v>1</v>
      </c>
      <c r="AL163" s="67">
        <f ca="1">IF(LOWER(Capacity!$V68)="x",IF(AND(SUMIF(Capacity_Resource,$D163,'Critical resources (hide)'!AY$6:AY$105)+SUMIF(Capacity_Resource,$E163,'Critical resources (hide)'!AY$6:AY$105)+SUMIF(Capacity_Resource,$F163,'Critical resources (hide)'!AY$6:AY$105)&gt;0,$E$1=2),0,1),0)</f>
        <v>1</v>
      </c>
      <c r="AM163" s="67">
        <f ca="1">IF(LOWER(Capacity!$V68)="x",IF(AND(SUMIF(Capacity_Resource,$D163,'Critical resources (hide)'!AZ$6:AZ$105)+SUMIF(Capacity_Resource,$E163,'Critical resources (hide)'!AZ$6:AZ$105)+SUMIF(Capacity_Resource,$F163,'Critical resources (hide)'!AZ$6:AZ$105)&gt;0,$E$1=2),0,1),0)</f>
        <v>1</v>
      </c>
      <c r="AN163" s="67">
        <f ca="1">IF(LOWER(Capacity!$V68)="x",IF(AND(SUMIF(Capacity_Resource,$D163,'Critical resources (hide)'!BA$6:BA$105)+SUMIF(Capacity_Resource,$E163,'Critical resources (hide)'!BA$6:BA$105)+SUMIF(Capacity_Resource,$F163,'Critical resources (hide)'!BA$6:BA$105)&gt;0,$E$1=2),0,1),0)</f>
        <v>1</v>
      </c>
      <c r="AO163" s="67">
        <f ca="1">IF(LOWER(Capacity!$V68)="x",IF(AND(SUMIF(Capacity_Resource,$D163,'Critical resources (hide)'!BB$6:BB$105)+SUMIF(Capacity_Resource,$E163,'Critical resources (hide)'!BB$6:BB$105)+SUMIF(Capacity_Resource,$F163,'Critical resources (hide)'!BB$6:BB$105)&gt;0,$E$1=2),0,1),0)</f>
        <v>1</v>
      </c>
      <c r="AP163" s="67">
        <f ca="1">IF(LOWER(Capacity!$V68)="x",IF(AND(SUMIF(Capacity_Resource,$D163,'Critical resources (hide)'!BC$6:BC$105)+SUMIF(Capacity_Resource,$E163,'Critical resources (hide)'!BC$6:BC$105)+SUMIF(Capacity_Resource,$F163,'Critical resources (hide)'!BC$6:BC$105)&gt;0,$E$1=2),0,1),0)</f>
        <v>1</v>
      </c>
      <c r="AQ163" s="67">
        <f ca="1">IF(LOWER(Capacity!$V68)="x",IF(AND(SUMIF(Capacity_Resource,$D163,'Critical resources (hide)'!BD$6:BD$105)+SUMIF(Capacity_Resource,$E163,'Critical resources (hide)'!BD$6:BD$105)+SUMIF(Capacity_Resource,$F163,'Critical resources (hide)'!BD$6:BD$105)&gt;0,$E$1=2),0,1),0)</f>
        <v>1</v>
      </c>
      <c r="AR163" s="67">
        <f ca="1">IF(LOWER(Capacity!$V68)="x",IF(AND(SUMIF(Capacity_Resource,$D163,'Critical resources (hide)'!BE$6:BE$105)+SUMIF(Capacity_Resource,$E163,'Critical resources (hide)'!BE$6:BE$105)+SUMIF(Capacity_Resource,$F163,'Critical resources (hide)'!BE$6:BE$105)&gt;0,$E$1=2),0,1),0)</f>
        <v>1</v>
      </c>
      <c r="AS163" s="67">
        <f ca="1">IF(LOWER(Capacity!$V68)="x",IF(AND(SUMIF(Capacity_Resource,$D163,'Critical resources (hide)'!BF$6:BF$105)+SUMIF(Capacity_Resource,$E163,'Critical resources (hide)'!BF$6:BF$105)+SUMIF(Capacity_Resource,$F163,'Critical resources (hide)'!BF$6:BF$105)&gt;0,$E$1=2),0,1),0)</f>
        <v>1</v>
      </c>
      <c r="AT163" s="67">
        <f ca="1">IF(LOWER(Capacity!$V68)="x",IF(AND(SUMIF(Capacity_Resource,$D163,'Critical resources (hide)'!BG$6:BG$105)+SUMIF(Capacity_Resource,$E163,'Critical resources (hide)'!BG$6:BG$105)+SUMIF(Capacity_Resource,$F163,'Critical resources (hide)'!BG$6:BG$105)&gt;0,$E$1=2),0,1),0)</f>
        <v>1</v>
      </c>
      <c r="AU163" s="67">
        <f ca="1">IF(LOWER(Capacity!$V68)="x",IF(AND(SUMIF(Capacity_Resource,$D163,'Critical resources (hide)'!BH$6:BH$105)+SUMIF(Capacity_Resource,$E163,'Critical resources (hide)'!BH$6:BH$105)+SUMIF(Capacity_Resource,$F163,'Critical resources (hide)'!BH$6:BH$105)&gt;0,$E$1=2),0,1),0)</f>
        <v>1</v>
      </c>
      <c r="AV163" s="67">
        <f ca="1">IF(LOWER(Capacity!$V68)="x",IF(AND(SUMIF(Capacity_Resource,$D163,'Critical resources (hide)'!BI$6:BI$105)+SUMIF(Capacity_Resource,$E163,'Critical resources (hide)'!BI$6:BI$105)+SUMIF(Capacity_Resource,$F163,'Critical resources (hide)'!BI$6:BI$105)&gt;0,$E$1=2),0,1),0)</f>
        <v>1</v>
      </c>
      <c r="AW163" s="67">
        <f ca="1">IF(LOWER(Capacity!$V68)="x",IF(AND(SUMIF(Capacity_Resource,$D163,'Critical resources (hide)'!BJ$6:BJ$105)+SUMIF(Capacity_Resource,$E163,'Critical resources (hide)'!BJ$6:BJ$105)+SUMIF(Capacity_Resource,$F163,'Critical resources (hide)'!BJ$6:BJ$105)&gt;0,$E$1=2),0,1),0)</f>
        <v>1</v>
      </c>
      <c r="AX163" s="67">
        <f ca="1">IF(LOWER(Capacity!$V68)="x",IF(AND(SUMIF(Capacity_Resource,$D163,'Critical resources (hide)'!BK$6:BK$105)+SUMIF(Capacity_Resource,$E163,'Critical resources (hide)'!BK$6:BK$105)+SUMIF(Capacity_Resource,$F163,'Critical resources (hide)'!BK$6:BK$105)&gt;0,$E$1=2),0,1),0)</f>
        <v>1</v>
      </c>
      <c r="AY163" s="67">
        <f ca="1">IF(LOWER(Capacity!$V68)="x",IF(AND(SUMIF(Capacity_Resource,$D163,'Critical resources (hide)'!BL$6:BL$105)+SUMIF(Capacity_Resource,$E163,'Critical resources (hide)'!BL$6:BL$105)+SUMIF(Capacity_Resource,$F163,'Critical resources (hide)'!BL$6:BL$105)&gt;0,$E$1=2),0,1),0)</f>
        <v>1</v>
      </c>
      <c r="AZ163" s="67">
        <f ca="1">IF(LOWER(Capacity!$V68)="x",IF(AND(SUMIF(Capacity_Resource,$D163,'Critical resources (hide)'!BM$6:BM$105)+SUMIF(Capacity_Resource,$E163,'Critical resources (hide)'!BM$6:BM$105)+SUMIF(Capacity_Resource,$F163,'Critical resources (hide)'!BM$6:BM$105)&gt;0,$E$1=2),0,1),0)</f>
        <v>1</v>
      </c>
      <c r="BA163" s="67">
        <f ca="1">IF(LOWER(Capacity!$V68)="x",IF(AND(SUMIF(Capacity_Resource,$D163,'Critical resources (hide)'!BN$6:BN$105)+SUMIF(Capacity_Resource,$E163,'Critical resources (hide)'!BN$6:BN$105)+SUMIF(Capacity_Resource,$F163,'Critical resources (hide)'!BN$6:BN$105)&gt;0,$E$1=2),0,1),0)</f>
        <v>1</v>
      </c>
      <c r="BB163" s="67">
        <f ca="1">IF(LOWER(Capacity!$V68)="x",IF(AND(SUMIF(Capacity_Resource,$D163,'Critical resources (hide)'!BO$6:BO$105)+SUMIF(Capacity_Resource,$E163,'Critical resources (hide)'!BO$6:BO$105)+SUMIF(Capacity_Resource,$F163,'Critical resources (hide)'!BO$6:BO$105)&gt;0,$E$1=2),0,1),0)</f>
        <v>1</v>
      </c>
      <c r="BC163" s="67">
        <f ca="1">IF(LOWER(Capacity!$V68)="x",IF(AND(SUMIF(Capacity_Resource,$D163,'Critical resources (hide)'!BP$6:BP$105)+SUMIF(Capacity_Resource,$E163,'Critical resources (hide)'!BP$6:BP$105)+SUMIF(Capacity_Resource,$F163,'Critical resources (hide)'!BP$6:BP$105)&gt;0,$E$1=2),0,1),0)</f>
        <v>1</v>
      </c>
      <c r="BD163" s="67">
        <f ca="1">IF(LOWER(Capacity!$V68)="x",IF(AND(SUMIF(Capacity_Resource,$D163,'Critical resources (hide)'!BQ$6:BQ$105)+SUMIF(Capacity_Resource,$E163,'Critical resources (hide)'!BQ$6:BQ$105)+SUMIF(Capacity_Resource,$F163,'Critical resources (hide)'!BQ$6:BQ$105)&gt;0,$E$1=2),0,1),0)</f>
        <v>1</v>
      </c>
      <c r="BE163" s="67">
        <f ca="1">IF(LOWER(Capacity!$V68)="x",IF(AND(SUMIF(Capacity_Resource,$D163,'Critical resources (hide)'!BR$6:BR$105)+SUMIF(Capacity_Resource,$E163,'Critical resources (hide)'!BR$6:BR$105)+SUMIF(Capacity_Resource,$F163,'Critical resources (hide)'!BR$6:BR$105)&gt;0,$E$1=2),0,1),0)</f>
        <v>1</v>
      </c>
      <c r="BF163" s="67">
        <f ca="1">IF(LOWER(Capacity!$V68)="x",IF(AND(SUMIF(Capacity_Resource,$D163,'Critical resources (hide)'!BS$6:BS$105)+SUMIF(Capacity_Resource,$E163,'Critical resources (hide)'!BS$6:BS$105)+SUMIF(Capacity_Resource,$F163,'Critical resources (hide)'!BS$6:BS$105)&gt;0,$E$1=2),0,1),0)</f>
        <v>1</v>
      </c>
      <c r="BG163" s="67">
        <f ca="1">IF(LOWER(Capacity!$V68)="x",IF(AND(SUMIF(Capacity_Resource,$D163,'Critical resources (hide)'!BT$6:BT$105)+SUMIF(Capacity_Resource,$E163,'Critical resources (hide)'!BT$6:BT$105)+SUMIF(Capacity_Resource,$F163,'Critical resources (hide)'!BT$6:BT$105)&gt;0,$E$1=2),0,1),0)</f>
        <v>1</v>
      </c>
      <c r="BH163" s="67">
        <f>IF(ROW(A52)&lt;=Capacity!$M$16,IF('Capacity summary'!$C$14="No",SUM(H163:BG163),'Capacity summary'!$E75),0)</f>
        <v>0</v>
      </c>
      <c r="BI163" s="67" t="str">
        <f>IF(BH163&gt;0,IF(BH163&lt;Capacity!Q68,Capacity!R68,Capacity!T68/'Capacity calculation (hide)'!BH163),"")</f>
        <v/>
      </c>
      <c r="BJ163" s="5"/>
      <c r="BK163" s="5">
        <f>IF($BI163&lt;&gt;"",IF('Capacity summary'!$C$14="Yes",IF(COUNTBLANK('Capacity summary'!$H75:$BG75)&lt;52,IF('Capacity summary'!H75&lt;&gt;"",IF(LOWER('Capacity summary'!H75)="x",$BI163*H163,VALUE('Capacity summary'!H75)),0),H163*$BI163),H163*$BI163),0)</f>
        <v>0</v>
      </c>
      <c r="BL163" s="5">
        <f>IF($BI163&lt;&gt;"",IF('Capacity summary'!$C$14="Yes",IF(COUNTBLANK('Capacity summary'!$H75:$BG75)&lt;52,IF('Capacity summary'!I75&lt;&gt;"",IF(LOWER('Capacity summary'!I75)="x",$BI163*I163,VALUE('Capacity summary'!I75)),0),I163*$BI163),I163*$BI163),0)</f>
        <v>0</v>
      </c>
      <c r="BM163" s="5">
        <f>IF($BI163&lt;&gt;"",IF('Capacity summary'!$C$14="Yes",IF(COUNTBLANK('Capacity summary'!$H75:$BG75)&lt;52,IF('Capacity summary'!J75&lt;&gt;"",IF(LOWER('Capacity summary'!J75)="x",$BI163*J163,VALUE('Capacity summary'!J75)),0),J163*$BI163),J163*$BI163),0)</f>
        <v>0</v>
      </c>
      <c r="BN163" s="5">
        <f>IF($BI163&lt;&gt;"",IF('Capacity summary'!$C$14="Yes",IF(COUNTBLANK('Capacity summary'!$H75:$BG75)&lt;52,IF('Capacity summary'!K75&lt;&gt;"",IF(LOWER('Capacity summary'!K75)="x",$BI163*K163,VALUE('Capacity summary'!K75)),0),K163*$BI163),K163*$BI163),0)</f>
        <v>0</v>
      </c>
      <c r="BO163" s="5">
        <f>IF($BI163&lt;&gt;"",IF('Capacity summary'!$C$14="Yes",IF(COUNTBLANK('Capacity summary'!$H75:$BG75)&lt;52,IF('Capacity summary'!L75&lt;&gt;"",IF(LOWER('Capacity summary'!L75)="x",$BI163*L163,VALUE('Capacity summary'!L75)),0),L163*$BI163),L163*$BI163),0)</f>
        <v>0</v>
      </c>
      <c r="BP163" s="5">
        <f>IF($BI163&lt;&gt;"",IF('Capacity summary'!$C$14="Yes",IF(COUNTBLANK('Capacity summary'!$H75:$BG75)&lt;52,IF('Capacity summary'!M75&lt;&gt;"",IF(LOWER('Capacity summary'!M75)="x",$BI163*M163,VALUE('Capacity summary'!M75)),0),M163*$BI163),M163*$BI163),0)</f>
        <v>0</v>
      </c>
      <c r="BQ163" s="5">
        <f>IF($BI163&lt;&gt;"",IF('Capacity summary'!$C$14="Yes",IF(COUNTBLANK('Capacity summary'!$H75:$BG75)&lt;52,IF('Capacity summary'!N75&lt;&gt;"",IF(LOWER('Capacity summary'!N75)="x",$BI163*N163,VALUE('Capacity summary'!N75)),0),N163*$BI163),N163*$BI163),0)</f>
        <v>0</v>
      </c>
      <c r="BR163" s="5">
        <f>IF($BI163&lt;&gt;"",IF('Capacity summary'!$C$14="Yes",IF(COUNTBLANK('Capacity summary'!$H75:$BG75)&lt;52,IF('Capacity summary'!O75&lt;&gt;"",IF(LOWER('Capacity summary'!O75)="x",$BI163*O163,VALUE('Capacity summary'!O75)),0),O163*$BI163),O163*$BI163),0)</f>
        <v>0</v>
      </c>
      <c r="BS163" s="5">
        <f>IF($BI163&lt;&gt;"",IF('Capacity summary'!$C$14="Yes",IF(COUNTBLANK('Capacity summary'!$H75:$BG75)&lt;52,IF('Capacity summary'!P75&lt;&gt;"",IF(LOWER('Capacity summary'!P75)="x",$BI163*P163,VALUE('Capacity summary'!P75)),0),P163*$BI163),P163*$BI163),0)</f>
        <v>0</v>
      </c>
      <c r="BT163" s="5">
        <f>IF($BI163&lt;&gt;"",IF('Capacity summary'!$C$14="Yes",IF(COUNTBLANK('Capacity summary'!$H75:$BG75)&lt;52,IF('Capacity summary'!Q75&lt;&gt;"",IF(LOWER('Capacity summary'!Q75)="x",$BI163*Q163,VALUE('Capacity summary'!Q75)),0),Q163*$BI163),Q163*$BI163),0)</f>
        <v>0</v>
      </c>
      <c r="BU163" s="5">
        <f>IF($BI163&lt;&gt;"",IF('Capacity summary'!$C$14="Yes",IF(COUNTBLANK('Capacity summary'!$H75:$BG75)&lt;52,IF('Capacity summary'!R75&lt;&gt;"",IF(LOWER('Capacity summary'!R75)="x",$BI163*R163,VALUE('Capacity summary'!R75)),0),R163*$BI163),R163*$BI163),0)</f>
        <v>0</v>
      </c>
      <c r="BV163" s="5">
        <f>IF($BI163&lt;&gt;"",IF('Capacity summary'!$C$14="Yes",IF(COUNTBLANK('Capacity summary'!$H75:$BG75)&lt;52,IF('Capacity summary'!S75&lt;&gt;"",IF(LOWER('Capacity summary'!S75)="x",$BI163*S163,VALUE('Capacity summary'!S75)),0),S163*$BI163),S163*$BI163),0)</f>
        <v>0</v>
      </c>
      <c r="BW163" s="5">
        <f>IF($BI163&lt;&gt;"",IF('Capacity summary'!$C$14="Yes",IF(COUNTBLANK('Capacity summary'!$H75:$BG75)&lt;52,IF('Capacity summary'!T75&lt;&gt;"",IF(LOWER('Capacity summary'!T75)="x",$BI163*T163,VALUE('Capacity summary'!T75)),0),T163*$BI163),T163*$BI163),0)</f>
        <v>0</v>
      </c>
      <c r="BX163" s="5">
        <f>IF($BI163&lt;&gt;"",IF('Capacity summary'!$C$14="Yes",IF(COUNTBLANK('Capacity summary'!$H75:$BG75)&lt;52,IF('Capacity summary'!U75&lt;&gt;"",IF(LOWER('Capacity summary'!U75)="x",$BI163*U163,VALUE('Capacity summary'!U75)),0),U163*$BI163),U163*$BI163),0)</f>
        <v>0</v>
      </c>
      <c r="BY163" s="5">
        <f>IF($BI163&lt;&gt;"",IF('Capacity summary'!$C$14="Yes",IF(COUNTBLANK('Capacity summary'!$H75:$BG75)&lt;52,IF('Capacity summary'!V75&lt;&gt;"",IF(LOWER('Capacity summary'!V75)="x",$BI163*V163,VALUE('Capacity summary'!V75)),0),V163*$BI163),V163*$BI163),0)</f>
        <v>0</v>
      </c>
      <c r="BZ163" s="5">
        <f>IF($BI163&lt;&gt;"",IF('Capacity summary'!$C$14="Yes",IF(COUNTBLANK('Capacity summary'!$H75:$BG75)&lt;52,IF('Capacity summary'!W75&lt;&gt;"",IF(LOWER('Capacity summary'!W75)="x",$BI163*W163,VALUE('Capacity summary'!W75)),0),W163*$BI163),W163*$BI163),0)</f>
        <v>0</v>
      </c>
      <c r="CA163" s="5">
        <f>IF($BI163&lt;&gt;"",IF('Capacity summary'!$C$14="Yes",IF(COUNTBLANK('Capacity summary'!$H75:$BG75)&lt;52,IF('Capacity summary'!X75&lt;&gt;"",IF(LOWER('Capacity summary'!X75)="x",$BI163*X163,VALUE('Capacity summary'!X75)),0),X163*$BI163),X163*$BI163),0)</f>
        <v>0</v>
      </c>
      <c r="CB163" s="5">
        <f>IF($BI163&lt;&gt;"",IF('Capacity summary'!$C$14="Yes",IF(COUNTBLANK('Capacity summary'!$H75:$BG75)&lt;52,IF('Capacity summary'!Y75&lt;&gt;"",IF(LOWER('Capacity summary'!Y75)="x",$BI163*Y163,VALUE('Capacity summary'!Y75)),0),Y163*$BI163),Y163*$BI163),0)</f>
        <v>0</v>
      </c>
      <c r="CC163" s="5">
        <f>IF($BI163&lt;&gt;"",IF('Capacity summary'!$C$14="Yes",IF(COUNTBLANK('Capacity summary'!$H75:$BG75)&lt;52,IF('Capacity summary'!Z75&lt;&gt;"",IF(LOWER('Capacity summary'!Z75)="x",$BI163*Z163,VALUE('Capacity summary'!Z75)),0),Z163*$BI163),Z163*$BI163),0)</f>
        <v>0</v>
      </c>
      <c r="CD163" s="5">
        <f>IF($BI163&lt;&gt;"",IF('Capacity summary'!$C$14="Yes",IF(COUNTBLANK('Capacity summary'!$H75:$BG75)&lt;52,IF('Capacity summary'!AA75&lt;&gt;"",IF(LOWER('Capacity summary'!AA75)="x",$BI163*AA163,VALUE('Capacity summary'!AA75)),0),AA163*$BI163),AA163*$BI163),0)</f>
        <v>0</v>
      </c>
      <c r="CE163" s="5">
        <f>IF($BI163&lt;&gt;"",IF('Capacity summary'!$C$14="Yes",IF(COUNTBLANK('Capacity summary'!$H75:$BG75)&lt;52,IF('Capacity summary'!AB75&lt;&gt;"",IF(LOWER('Capacity summary'!AB75)="x",$BI163*AB163,VALUE('Capacity summary'!AB75)),0),AB163*$BI163),AB163*$BI163),0)</f>
        <v>0</v>
      </c>
      <c r="CF163" s="5">
        <f>IF($BI163&lt;&gt;"",IF('Capacity summary'!$C$14="Yes",IF(COUNTBLANK('Capacity summary'!$H75:$BG75)&lt;52,IF('Capacity summary'!AC75&lt;&gt;"",IF(LOWER('Capacity summary'!AC75)="x",$BI163*AC163,VALUE('Capacity summary'!AC75)),0),AC163*$BI163),AC163*$BI163),0)</f>
        <v>0</v>
      </c>
      <c r="CG163" s="5">
        <f>IF($BI163&lt;&gt;"",IF('Capacity summary'!$C$14="Yes",IF(COUNTBLANK('Capacity summary'!$H75:$BG75)&lt;52,IF('Capacity summary'!AD75&lt;&gt;"",IF(LOWER('Capacity summary'!AD75)="x",$BI163*AD163,VALUE('Capacity summary'!AD75)),0),AD163*$BI163),AD163*$BI163),0)</f>
        <v>0</v>
      </c>
      <c r="CH163" s="5">
        <f>IF($BI163&lt;&gt;"",IF('Capacity summary'!$C$14="Yes",IF(COUNTBLANK('Capacity summary'!$H75:$BG75)&lt;52,IF('Capacity summary'!AE75&lt;&gt;"",IF(LOWER('Capacity summary'!AE75)="x",$BI163*AE163,VALUE('Capacity summary'!AE75)),0),AE163*$BI163),AE163*$BI163),0)</f>
        <v>0</v>
      </c>
      <c r="CI163" s="5">
        <f>IF($BI163&lt;&gt;"",IF('Capacity summary'!$C$14="Yes",IF(COUNTBLANK('Capacity summary'!$H75:$BG75)&lt;52,IF('Capacity summary'!AF75&lt;&gt;"",IF(LOWER('Capacity summary'!AF75)="x",$BI163*AF163,VALUE('Capacity summary'!AF75)),0),AF163*$BI163),AF163*$BI163),0)</f>
        <v>0</v>
      </c>
      <c r="CJ163" s="5">
        <f>IF($BI163&lt;&gt;"",IF('Capacity summary'!$C$14="Yes",IF(COUNTBLANK('Capacity summary'!$H75:$BG75)&lt;52,IF('Capacity summary'!AG75&lt;&gt;"",IF(LOWER('Capacity summary'!AG75)="x",$BI163*AG163,VALUE('Capacity summary'!AG75)),0),AG163*$BI163),AG163*$BI163),0)</f>
        <v>0</v>
      </c>
      <c r="CK163" s="5">
        <f>IF($BI163&lt;&gt;"",IF('Capacity summary'!$C$14="Yes",IF(COUNTBLANK('Capacity summary'!$H75:$BG75)&lt;52,IF('Capacity summary'!AH75&lt;&gt;"",IF(LOWER('Capacity summary'!AH75)="x",$BI163*AH163,VALUE('Capacity summary'!AH75)),0),AH163*$BI163),AH163*$BI163),0)</f>
        <v>0</v>
      </c>
      <c r="CL163" s="5">
        <f>IF($BI163&lt;&gt;"",IF('Capacity summary'!$C$14="Yes",IF(COUNTBLANK('Capacity summary'!$H75:$BG75)&lt;52,IF('Capacity summary'!AI75&lt;&gt;"",IF(LOWER('Capacity summary'!AI75)="x",$BI163*AI163,VALUE('Capacity summary'!AI75)),0),AI163*$BI163),AI163*$BI163),0)</f>
        <v>0</v>
      </c>
      <c r="CM163" s="5">
        <f>IF($BI163&lt;&gt;"",IF('Capacity summary'!$C$14="Yes",IF(COUNTBLANK('Capacity summary'!$H75:$BG75)&lt;52,IF('Capacity summary'!AJ75&lt;&gt;"",IF(LOWER('Capacity summary'!AJ75)="x",$BI163*AJ163,VALUE('Capacity summary'!AJ75)),0),AJ163*$BI163),AJ163*$BI163),0)</f>
        <v>0</v>
      </c>
      <c r="CN163" s="5">
        <f>IF($BI163&lt;&gt;"",IF('Capacity summary'!$C$14="Yes",IF(COUNTBLANK('Capacity summary'!$H75:$BG75)&lt;52,IF('Capacity summary'!AK75&lt;&gt;"",IF(LOWER('Capacity summary'!AK75)="x",$BI163*AK163,VALUE('Capacity summary'!AK75)),0),AK163*$BI163),AK163*$BI163),0)</f>
        <v>0</v>
      </c>
      <c r="CO163" s="5">
        <f>IF($BI163&lt;&gt;"",IF('Capacity summary'!$C$14="Yes",IF(COUNTBLANK('Capacity summary'!$H75:$BG75)&lt;52,IF('Capacity summary'!AL75&lt;&gt;"",IF(LOWER('Capacity summary'!AL75)="x",$BI163*AL163,VALUE('Capacity summary'!AL75)),0),AL163*$BI163),AL163*$BI163),0)</f>
        <v>0</v>
      </c>
      <c r="CP163" s="5">
        <f>IF($BI163&lt;&gt;"",IF('Capacity summary'!$C$14="Yes",IF(COUNTBLANK('Capacity summary'!$H75:$BG75)&lt;52,IF('Capacity summary'!AM75&lt;&gt;"",IF(LOWER('Capacity summary'!AM75)="x",$BI163*AM163,VALUE('Capacity summary'!AM75)),0),AM163*$BI163),AM163*$BI163),0)</f>
        <v>0</v>
      </c>
      <c r="CQ163" s="5">
        <f>IF($BI163&lt;&gt;"",IF('Capacity summary'!$C$14="Yes",IF(COUNTBLANK('Capacity summary'!$H75:$BG75)&lt;52,IF('Capacity summary'!AN75&lt;&gt;"",IF(LOWER('Capacity summary'!AN75)="x",$BI163*AN163,VALUE('Capacity summary'!AN75)),0),AN163*$BI163),AN163*$BI163),0)</f>
        <v>0</v>
      </c>
      <c r="CR163" s="5">
        <f>IF($BI163&lt;&gt;"",IF('Capacity summary'!$C$14="Yes",IF(COUNTBLANK('Capacity summary'!$H75:$BG75)&lt;52,IF('Capacity summary'!AO75&lt;&gt;"",IF(LOWER('Capacity summary'!AO75)="x",$BI163*AO163,VALUE('Capacity summary'!AO75)),0),AO163*$BI163),AO163*$BI163),0)</f>
        <v>0</v>
      </c>
      <c r="CS163" s="5">
        <f>IF($BI163&lt;&gt;"",IF('Capacity summary'!$C$14="Yes",IF(COUNTBLANK('Capacity summary'!$H75:$BG75)&lt;52,IF('Capacity summary'!AP75&lt;&gt;"",IF(LOWER('Capacity summary'!AP75)="x",$BI163*AP163,VALUE('Capacity summary'!AP75)),0),AP163*$BI163),AP163*$BI163),0)</f>
        <v>0</v>
      </c>
      <c r="CT163" s="5">
        <f>IF($BI163&lt;&gt;"",IF('Capacity summary'!$C$14="Yes",IF(COUNTBLANK('Capacity summary'!$H75:$BG75)&lt;52,IF('Capacity summary'!AQ75&lt;&gt;"",IF(LOWER('Capacity summary'!AQ75)="x",$BI163*AQ163,VALUE('Capacity summary'!AQ75)),0),AQ163*$BI163),AQ163*$BI163),0)</f>
        <v>0</v>
      </c>
      <c r="CU163" s="5">
        <f>IF($BI163&lt;&gt;"",IF('Capacity summary'!$C$14="Yes",IF(COUNTBLANK('Capacity summary'!$H75:$BG75)&lt;52,IF('Capacity summary'!AR75&lt;&gt;"",IF(LOWER('Capacity summary'!AR75)="x",$BI163*AR163,VALUE('Capacity summary'!AR75)),0),AR163*$BI163),AR163*$BI163),0)</f>
        <v>0</v>
      </c>
      <c r="CV163" s="5">
        <f>IF($BI163&lt;&gt;"",IF('Capacity summary'!$C$14="Yes",IF(COUNTBLANK('Capacity summary'!$H75:$BG75)&lt;52,IF('Capacity summary'!AS75&lt;&gt;"",IF(LOWER('Capacity summary'!AS75)="x",$BI163*AS163,VALUE('Capacity summary'!AS75)),0),AS163*$BI163),AS163*$BI163),0)</f>
        <v>0</v>
      </c>
      <c r="CW163" s="5">
        <f>IF($BI163&lt;&gt;"",IF('Capacity summary'!$C$14="Yes",IF(COUNTBLANK('Capacity summary'!$H75:$BG75)&lt;52,IF('Capacity summary'!AT75&lt;&gt;"",IF(LOWER('Capacity summary'!AT75)="x",$BI163*AT163,VALUE('Capacity summary'!AT75)),0),AT163*$BI163),AT163*$BI163),0)</f>
        <v>0</v>
      </c>
      <c r="CX163" s="5">
        <f>IF($BI163&lt;&gt;"",IF('Capacity summary'!$C$14="Yes",IF(COUNTBLANK('Capacity summary'!$H75:$BG75)&lt;52,IF('Capacity summary'!AU75&lt;&gt;"",IF(LOWER('Capacity summary'!AU75)="x",$BI163*AU163,VALUE('Capacity summary'!AU75)),0),AU163*$BI163),AU163*$BI163),0)</f>
        <v>0</v>
      </c>
      <c r="CY163" s="5">
        <f>IF($BI163&lt;&gt;"",IF('Capacity summary'!$C$14="Yes",IF(COUNTBLANK('Capacity summary'!$H75:$BG75)&lt;52,IF('Capacity summary'!AV75&lt;&gt;"",IF(LOWER('Capacity summary'!AV75)="x",$BI163*AV163,VALUE('Capacity summary'!AV75)),0),AV163*$BI163),AV163*$BI163),0)</f>
        <v>0</v>
      </c>
      <c r="CZ163" s="5">
        <f>IF($BI163&lt;&gt;"",IF('Capacity summary'!$C$14="Yes",IF(COUNTBLANK('Capacity summary'!$H75:$BG75)&lt;52,IF('Capacity summary'!AW75&lt;&gt;"",IF(LOWER('Capacity summary'!AW75)="x",$BI163*AW163,VALUE('Capacity summary'!AW75)),0),AW163*$BI163),AW163*$BI163),0)</f>
        <v>0</v>
      </c>
      <c r="DA163" s="5">
        <f>IF($BI163&lt;&gt;"",IF('Capacity summary'!$C$14="Yes",IF(COUNTBLANK('Capacity summary'!$H75:$BG75)&lt;52,IF('Capacity summary'!AX75&lt;&gt;"",IF(LOWER('Capacity summary'!AX75)="x",$BI163*AX163,VALUE('Capacity summary'!AX75)),0),AX163*$BI163),AX163*$BI163),0)</f>
        <v>0</v>
      </c>
      <c r="DB163" s="5">
        <f>IF($BI163&lt;&gt;"",IF('Capacity summary'!$C$14="Yes",IF(COUNTBLANK('Capacity summary'!$H75:$BG75)&lt;52,IF('Capacity summary'!AY75&lt;&gt;"",IF(LOWER('Capacity summary'!AY75)="x",$BI163*AY163,VALUE('Capacity summary'!AY75)),0),AY163*$BI163),AY163*$BI163),0)</f>
        <v>0</v>
      </c>
      <c r="DC163" s="5">
        <f>IF($BI163&lt;&gt;"",IF('Capacity summary'!$C$14="Yes",IF(COUNTBLANK('Capacity summary'!$H75:$BG75)&lt;52,IF('Capacity summary'!AZ75&lt;&gt;"",IF(LOWER('Capacity summary'!AZ75)="x",$BI163*AZ163,VALUE('Capacity summary'!AZ75)),0),AZ163*$BI163),AZ163*$BI163),0)</f>
        <v>0</v>
      </c>
      <c r="DD163" s="5">
        <f>IF($BI163&lt;&gt;"",IF('Capacity summary'!$C$14="Yes",IF(COUNTBLANK('Capacity summary'!$H75:$BG75)&lt;52,IF('Capacity summary'!BA75&lt;&gt;"",IF(LOWER('Capacity summary'!BA75)="x",$BI163*BA163,VALUE('Capacity summary'!BA75)),0),BA163*$BI163),BA163*$BI163),0)</f>
        <v>0</v>
      </c>
      <c r="DE163" s="5">
        <f>IF($BI163&lt;&gt;"",IF('Capacity summary'!$C$14="Yes",IF(COUNTBLANK('Capacity summary'!$H75:$BG75)&lt;52,IF('Capacity summary'!BB75&lt;&gt;"",IF(LOWER('Capacity summary'!BB75)="x",$BI163*BB163,VALUE('Capacity summary'!BB75)),0),BB163*$BI163),BB163*$BI163),0)</f>
        <v>0</v>
      </c>
      <c r="DF163" s="5">
        <f>IF($BI163&lt;&gt;"",IF('Capacity summary'!$C$14="Yes",IF(COUNTBLANK('Capacity summary'!$H75:$BG75)&lt;52,IF('Capacity summary'!BC75&lt;&gt;"",IF(LOWER('Capacity summary'!BC75)="x",$BI163*BC163,VALUE('Capacity summary'!BC75)),0),BC163*$BI163),BC163*$BI163),0)</f>
        <v>0</v>
      </c>
      <c r="DG163" s="5">
        <f>IF($BI163&lt;&gt;"",IF('Capacity summary'!$C$14="Yes",IF(COUNTBLANK('Capacity summary'!$H75:$BG75)&lt;52,IF('Capacity summary'!BD75&lt;&gt;"",IF(LOWER('Capacity summary'!BD75)="x",$BI163*BD163,VALUE('Capacity summary'!BD75)),0),BD163*$BI163),BD163*$BI163),0)</f>
        <v>0</v>
      </c>
      <c r="DH163" s="5">
        <f>IF($BI163&lt;&gt;"",IF('Capacity summary'!$C$14="Yes",IF(COUNTBLANK('Capacity summary'!$H75:$BG75)&lt;52,IF('Capacity summary'!BE75&lt;&gt;"",IF(LOWER('Capacity summary'!BE75)="x",$BI163*BE163,VALUE('Capacity summary'!BE75)),0),BE163*$BI163),BE163*$BI163),0)</f>
        <v>0</v>
      </c>
      <c r="DI163" s="5">
        <f>IF($BI163&lt;&gt;"",IF('Capacity summary'!$C$14="Yes",IF(COUNTBLANK('Capacity summary'!$H75:$BG75)&lt;52,IF('Capacity summary'!BF75&lt;&gt;"",IF(LOWER('Capacity summary'!BF75)="x",$BI163*BF163,VALUE('Capacity summary'!BF75)),0),BF163*$BI163),BF163*$BI163),0)</f>
        <v>0</v>
      </c>
      <c r="DJ163" s="5">
        <f>IF($BI163&lt;&gt;"",IF('Capacity summary'!$C$14="Yes",IF(COUNTBLANK('Capacity summary'!$H75:$BG75)&lt;52,IF('Capacity summary'!BG75&lt;&gt;"",IF(LOWER('Capacity summary'!BG75)="x",$BI163*BG163,VALUE('Capacity summary'!BG75)),0),BG163*$BI163),BG163*$BI163),0)</f>
        <v>0</v>
      </c>
      <c r="DK163" s="391">
        <f t="shared" si="8"/>
        <v>0</v>
      </c>
      <c r="DL163" s="5">
        <f t="shared" si="9"/>
        <v>0</v>
      </c>
    </row>
    <row r="164" spans="3:116" x14ac:dyDescent="0.2">
      <c r="C164" s="67" t="str">
        <f>ROW(A53)&amp;". "&amp;Capacity!N69</f>
        <v xml:space="preserve">53. </v>
      </c>
      <c r="D164" s="67">
        <f>'Capacity setup'!C170</f>
        <v>0</v>
      </c>
      <c r="E164" s="67">
        <f>'Capacity setup'!D170</f>
        <v>0</v>
      </c>
      <c r="F164" s="67">
        <f>'Capacity setup'!E170</f>
        <v>0</v>
      </c>
      <c r="H164" s="67">
        <f ca="1">IF(LOWER(Capacity!$V69)="x",IF(AND(SUMIF(Capacity_Resource,$D164,'Critical resources (hide)'!U$6:U$105)+SUMIF(Capacity_Resource,$E164,'Critical resources (hide)'!U$6:U$105)+SUMIF(Capacity_Resource,$F164,'Critical resources (hide)'!U$6:U$105)&gt;0,$E$1=2),0,1),0)</f>
        <v>1</v>
      </c>
      <c r="I164" s="67">
        <f ca="1">IF(LOWER(Capacity!$V69)="x",IF(AND(SUMIF(Capacity_Resource,$D164,'Critical resources (hide)'!V$6:V$105)+SUMIF(Capacity_Resource,$E164,'Critical resources (hide)'!V$6:V$105)+SUMIF(Capacity_Resource,$F164,'Critical resources (hide)'!V$6:V$105)&gt;0,$E$1=2),0,1),0)</f>
        <v>1</v>
      </c>
      <c r="J164" s="67">
        <f ca="1">IF(LOWER(Capacity!$V69)="x",IF(AND(SUMIF(Capacity_Resource,$D164,'Critical resources (hide)'!W$6:W$105)+SUMIF(Capacity_Resource,$E164,'Critical resources (hide)'!W$6:W$105)+SUMIF(Capacity_Resource,$F164,'Critical resources (hide)'!W$6:W$105)&gt;0,$E$1=2),0,1),0)</f>
        <v>1</v>
      </c>
      <c r="K164" s="67">
        <f ca="1">IF(LOWER(Capacity!$V69)="x",IF(AND(SUMIF(Capacity_Resource,$D164,'Critical resources (hide)'!X$6:X$105)+SUMIF(Capacity_Resource,$E164,'Critical resources (hide)'!X$6:X$105)+SUMIF(Capacity_Resource,$F164,'Critical resources (hide)'!X$6:X$105)&gt;0,$E$1=2),0,1),0)</f>
        <v>1</v>
      </c>
      <c r="L164" s="67">
        <f ca="1">IF(LOWER(Capacity!$V69)="x",IF(AND(SUMIF(Capacity_Resource,$D164,'Critical resources (hide)'!Y$6:Y$105)+SUMIF(Capacity_Resource,$E164,'Critical resources (hide)'!Y$6:Y$105)+SUMIF(Capacity_Resource,$F164,'Critical resources (hide)'!Y$6:Y$105)&gt;0,$E$1=2),0,1),0)</f>
        <v>1</v>
      </c>
      <c r="M164" s="67">
        <f ca="1">IF(LOWER(Capacity!$V69)="x",IF(AND(SUMIF(Capacity_Resource,$D164,'Critical resources (hide)'!Z$6:Z$105)+SUMIF(Capacity_Resource,$E164,'Critical resources (hide)'!Z$6:Z$105)+SUMIF(Capacity_Resource,$F164,'Critical resources (hide)'!Z$6:Z$105)&gt;0,$E$1=2),0,1),0)</f>
        <v>1</v>
      </c>
      <c r="N164" s="67">
        <f ca="1">IF(LOWER(Capacity!$V69)="x",IF(AND(SUMIF(Capacity_Resource,$D164,'Critical resources (hide)'!AA$6:AA$105)+SUMIF(Capacity_Resource,$E164,'Critical resources (hide)'!AA$6:AA$105)+SUMIF(Capacity_Resource,$F164,'Critical resources (hide)'!AA$6:AA$105)&gt;0,$E$1=2),0,1),0)</f>
        <v>1</v>
      </c>
      <c r="O164" s="67">
        <f ca="1">IF(LOWER(Capacity!$V69)="x",IF(AND(SUMIF(Capacity_Resource,$D164,'Critical resources (hide)'!AB$6:AB$105)+SUMIF(Capacity_Resource,$E164,'Critical resources (hide)'!AB$6:AB$105)+SUMIF(Capacity_Resource,$F164,'Critical resources (hide)'!AB$6:AB$105)&gt;0,$E$1=2),0,1),0)</f>
        <v>1</v>
      </c>
      <c r="P164" s="67">
        <f ca="1">IF(LOWER(Capacity!$V69)="x",IF(AND(SUMIF(Capacity_Resource,$D164,'Critical resources (hide)'!AC$6:AC$105)+SUMIF(Capacity_Resource,$E164,'Critical resources (hide)'!AC$6:AC$105)+SUMIF(Capacity_Resource,$F164,'Critical resources (hide)'!AC$6:AC$105)&gt;0,$E$1=2),0,1),0)</f>
        <v>1</v>
      </c>
      <c r="Q164" s="67">
        <f ca="1">IF(LOWER(Capacity!$V69)="x",IF(AND(SUMIF(Capacity_Resource,$D164,'Critical resources (hide)'!AD$6:AD$105)+SUMIF(Capacity_Resource,$E164,'Critical resources (hide)'!AD$6:AD$105)+SUMIF(Capacity_Resource,$F164,'Critical resources (hide)'!AD$6:AD$105)&gt;0,$E$1=2),0,1),0)</f>
        <v>1</v>
      </c>
      <c r="R164" s="67">
        <f ca="1">IF(LOWER(Capacity!$V69)="x",IF(AND(SUMIF(Capacity_Resource,$D164,'Critical resources (hide)'!AE$6:AE$105)+SUMIF(Capacity_Resource,$E164,'Critical resources (hide)'!AE$6:AE$105)+SUMIF(Capacity_Resource,$F164,'Critical resources (hide)'!AE$6:AE$105)&gt;0,$E$1=2),0,1),0)</f>
        <v>1</v>
      </c>
      <c r="S164" s="67">
        <f ca="1">IF(LOWER(Capacity!$V69)="x",IF(AND(SUMIF(Capacity_Resource,$D164,'Critical resources (hide)'!AF$6:AF$105)+SUMIF(Capacity_Resource,$E164,'Critical resources (hide)'!AF$6:AF$105)+SUMIF(Capacity_Resource,$F164,'Critical resources (hide)'!AF$6:AF$105)&gt;0,$E$1=2),0,1),0)</f>
        <v>1</v>
      </c>
      <c r="T164" s="67">
        <f ca="1">IF(LOWER(Capacity!$V69)="x",IF(AND(SUMIF(Capacity_Resource,$D164,'Critical resources (hide)'!AG$6:AG$105)+SUMIF(Capacity_Resource,$E164,'Critical resources (hide)'!AG$6:AG$105)+SUMIF(Capacity_Resource,$F164,'Critical resources (hide)'!AG$6:AG$105)&gt;0,$E$1=2),0,1),0)</f>
        <v>1</v>
      </c>
      <c r="U164" s="67">
        <f ca="1">IF(LOWER(Capacity!$V69)="x",IF(AND(SUMIF(Capacity_Resource,$D164,'Critical resources (hide)'!AH$6:AH$105)+SUMIF(Capacity_Resource,$E164,'Critical resources (hide)'!AH$6:AH$105)+SUMIF(Capacity_Resource,$F164,'Critical resources (hide)'!AH$6:AH$105)&gt;0,$E$1=2),0,1),0)</f>
        <v>1</v>
      </c>
      <c r="V164" s="67">
        <f ca="1">IF(LOWER(Capacity!$V69)="x",IF(AND(SUMIF(Capacity_Resource,$D164,'Critical resources (hide)'!AI$6:AI$105)+SUMIF(Capacity_Resource,$E164,'Critical resources (hide)'!AI$6:AI$105)+SUMIF(Capacity_Resource,$F164,'Critical resources (hide)'!AI$6:AI$105)&gt;0,$E$1=2),0,1),0)</f>
        <v>1</v>
      </c>
      <c r="W164" s="67">
        <f ca="1">IF(LOWER(Capacity!$V69)="x",IF(AND(SUMIF(Capacity_Resource,$D164,'Critical resources (hide)'!AJ$6:AJ$105)+SUMIF(Capacity_Resource,$E164,'Critical resources (hide)'!AJ$6:AJ$105)+SUMIF(Capacity_Resource,$F164,'Critical resources (hide)'!AJ$6:AJ$105)&gt;0,$E$1=2),0,1),0)</f>
        <v>1</v>
      </c>
      <c r="X164" s="67">
        <f ca="1">IF(LOWER(Capacity!$V69)="x",IF(AND(SUMIF(Capacity_Resource,$D164,'Critical resources (hide)'!AK$6:AK$105)+SUMIF(Capacity_Resource,$E164,'Critical resources (hide)'!AK$6:AK$105)+SUMIF(Capacity_Resource,$F164,'Critical resources (hide)'!AK$6:AK$105)&gt;0,$E$1=2),0,1),0)</f>
        <v>1</v>
      </c>
      <c r="Y164" s="67">
        <f ca="1">IF(LOWER(Capacity!$V69)="x",IF(AND(SUMIF(Capacity_Resource,$D164,'Critical resources (hide)'!AL$6:AL$105)+SUMIF(Capacity_Resource,$E164,'Critical resources (hide)'!AL$6:AL$105)+SUMIF(Capacity_Resource,$F164,'Critical resources (hide)'!AL$6:AL$105)&gt;0,$E$1=2),0,1),0)</f>
        <v>1</v>
      </c>
      <c r="Z164" s="67">
        <f ca="1">IF(LOWER(Capacity!$V69)="x",IF(AND(SUMIF(Capacity_Resource,$D164,'Critical resources (hide)'!AM$6:AM$105)+SUMIF(Capacity_Resource,$E164,'Critical resources (hide)'!AM$6:AM$105)+SUMIF(Capacity_Resource,$F164,'Critical resources (hide)'!AM$6:AM$105)&gt;0,$E$1=2),0,1),0)</f>
        <v>1</v>
      </c>
      <c r="AA164" s="67">
        <f ca="1">IF(LOWER(Capacity!$V69)="x",IF(AND(SUMIF(Capacity_Resource,$D164,'Critical resources (hide)'!AN$6:AN$105)+SUMIF(Capacity_Resource,$E164,'Critical resources (hide)'!AN$6:AN$105)+SUMIF(Capacity_Resource,$F164,'Critical resources (hide)'!AN$6:AN$105)&gt;0,$E$1=2),0,1),0)</f>
        <v>1</v>
      </c>
      <c r="AB164" s="67">
        <f ca="1">IF(LOWER(Capacity!$V69)="x",IF(AND(SUMIF(Capacity_Resource,$D164,'Critical resources (hide)'!AO$6:AO$105)+SUMIF(Capacity_Resource,$E164,'Critical resources (hide)'!AO$6:AO$105)+SUMIF(Capacity_Resource,$F164,'Critical resources (hide)'!AO$6:AO$105)&gt;0,$E$1=2),0,1),0)</f>
        <v>1</v>
      </c>
      <c r="AC164" s="67">
        <f ca="1">IF(LOWER(Capacity!$V69)="x",IF(AND(SUMIF(Capacity_Resource,$D164,'Critical resources (hide)'!AP$6:AP$105)+SUMIF(Capacity_Resource,$E164,'Critical resources (hide)'!AP$6:AP$105)+SUMIF(Capacity_Resource,$F164,'Critical resources (hide)'!AP$6:AP$105)&gt;0,$E$1=2),0,1),0)</f>
        <v>1</v>
      </c>
      <c r="AD164" s="67">
        <f ca="1">IF(LOWER(Capacity!$V69)="x",IF(AND(SUMIF(Capacity_Resource,$D164,'Critical resources (hide)'!AQ$6:AQ$105)+SUMIF(Capacity_Resource,$E164,'Critical resources (hide)'!AQ$6:AQ$105)+SUMIF(Capacity_Resource,$F164,'Critical resources (hide)'!AQ$6:AQ$105)&gt;0,$E$1=2),0,1),0)</f>
        <v>1</v>
      </c>
      <c r="AE164" s="67">
        <f ca="1">IF(LOWER(Capacity!$V69)="x",IF(AND(SUMIF(Capacity_Resource,$D164,'Critical resources (hide)'!AR$6:AR$105)+SUMIF(Capacity_Resource,$E164,'Critical resources (hide)'!AR$6:AR$105)+SUMIF(Capacity_Resource,$F164,'Critical resources (hide)'!AR$6:AR$105)&gt;0,$E$1=2),0,1),0)</f>
        <v>1</v>
      </c>
      <c r="AF164" s="67">
        <f ca="1">IF(LOWER(Capacity!$V69)="x",IF(AND(SUMIF(Capacity_Resource,$D164,'Critical resources (hide)'!AS$6:AS$105)+SUMIF(Capacity_Resource,$E164,'Critical resources (hide)'!AS$6:AS$105)+SUMIF(Capacity_Resource,$F164,'Critical resources (hide)'!AS$6:AS$105)&gt;0,$E$1=2),0,1),0)</f>
        <v>1</v>
      </c>
      <c r="AG164" s="67">
        <f ca="1">IF(LOWER(Capacity!$V69)="x",IF(AND(SUMIF(Capacity_Resource,$D164,'Critical resources (hide)'!AT$6:AT$105)+SUMIF(Capacity_Resource,$E164,'Critical resources (hide)'!AT$6:AT$105)+SUMIF(Capacity_Resource,$F164,'Critical resources (hide)'!AT$6:AT$105)&gt;0,$E$1=2),0,1),0)</f>
        <v>1</v>
      </c>
      <c r="AH164" s="67">
        <f ca="1">IF(LOWER(Capacity!$V69)="x",IF(AND(SUMIF(Capacity_Resource,$D164,'Critical resources (hide)'!AU$6:AU$105)+SUMIF(Capacity_Resource,$E164,'Critical resources (hide)'!AU$6:AU$105)+SUMIF(Capacity_Resource,$F164,'Critical resources (hide)'!AU$6:AU$105)&gt;0,$E$1=2),0,1),0)</f>
        <v>1</v>
      </c>
      <c r="AI164" s="67">
        <f ca="1">IF(LOWER(Capacity!$V69)="x",IF(AND(SUMIF(Capacity_Resource,$D164,'Critical resources (hide)'!AV$6:AV$105)+SUMIF(Capacity_Resource,$E164,'Critical resources (hide)'!AV$6:AV$105)+SUMIF(Capacity_Resource,$F164,'Critical resources (hide)'!AV$6:AV$105)&gt;0,$E$1=2),0,1),0)</f>
        <v>1</v>
      </c>
      <c r="AJ164" s="67">
        <f ca="1">IF(LOWER(Capacity!$V69)="x",IF(AND(SUMIF(Capacity_Resource,$D164,'Critical resources (hide)'!AW$6:AW$105)+SUMIF(Capacity_Resource,$E164,'Critical resources (hide)'!AW$6:AW$105)+SUMIF(Capacity_Resource,$F164,'Critical resources (hide)'!AW$6:AW$105)&gt;0,$E$1=2),0,1),0)</f>
        <v>1</v>
      </c>
      <c r="AK164" s="67">
        <f ca="1">IF(LOWER(Capacity!$V69)="x",IF(AND(SUMIF(Capacity_Resource,$D164,'Critical resources (hide)'!AX$6:AX$105)+SUMIF(Capacity_Resource,$E164,'Critical resources (hide)'!AX$6:AX$105)+SUMIF(Capacity_Resource,$F164,'Critical resources (hide)'!AX$6:AX$105)&gt;0,$E$1=2),0,1),0)</f>
        <v>1</v>
      </c>
      <c r="AL164" s="67">
        <f ca="1">IF(LOWER(Capacity!$V69)="x",IF(AND(SUMIF(Capacity_Resource,$D164,'Critical resources (hide)'!AY$6:AY$105)+SUMIF(Capacity_Resource,$E164,'Critical resources (hide)'!AY$6:AY$105)+SUMIF(Capacity_Resource,$F164,'Critical resources (hide)'!AY$6:AY$105)&gt;0,$E$1=2),0,1),0)</f>
        <v>1</v>
      </c>
      <c r="AM164" s="67">
        <f ca="1">IF(LOWER(Capacity!$V69)="x",IF(AND(SUMIF(Capacity_Resource,$D164,'Critical resources (hide)'!AZ$6:AZ$105)+SUMIF(Capacity_Resource,$E164,'Critical resources (hide)'!AZ$6:AZ$105)+SUMIF(Capacity_Resource,$F164,'Critical resources (hide)'!AZ$6:AZ$105)&gt;0,$E$1=2),0,1),0)</f>
        <v>1</v>
      </c>
      <c r="AN164" s="67">
        <f ca="1">IF(LOWER(Capacity!$V69)="x",IF(AND(SUMIF(Capacity_Resource,$D164,'Critical resources (hide)'!BA$6:BA$105)+SUMIF(Capacity_Resource,$E164,'Critical resources (hide)'!BA$6:BA$105)+SUMIF(Capacity_Resource,$F164,'Critical resources (hide)'!BA$6:BA$105)&gt;0,$E$1=2),0,1),0)</f>
        <v>1</v>
      </c>
      <c r="AO164" s="67">
        <f ca="1">IF(LOWER(Capacity!$V69)="x",IF(AND(SUMIF(Capacity_Resource,$D164,'Critical resources (hide)'!BB$6:BB$105)+SUMIF(Capacity_Resource,$E164,'Critical resources (hide)'!BB$6:BB$105)+SUMIF(Capacity_Resource,$F164,'Critical resources (hide)'!BB$6:BB$105)&gt;0,$E$1=2),0,1),0)</f>
        <v>1</v>
      </c>
      <c r="AP164" s="67">
        <f ca="1">IF(LOWER(Capacity!$V69)="x",IF(AND(SUMIF(Capacity_Resource,$D164,'Critical resources (hide)'!BC$6:BC$105)+SUMIF(Capacity_Resource,$E164,'Critical resources (hide)'!BC$6:BC$105)+SUMIF(Capacity_Resource,$F164,'Critical resources (hide)'!BC$6:BC$105)&gt;0,$E$1=2),0,1),0)</f>
        <v>1</v>
      </c>
      <c r="AQ164" s="67">
        <f ca="1">IF(LOWER(Capacity!$V69)="x",IF(AND(SUMIF(Capacity_Resource,$D164,'Critical resources (hide)'!BD$6:BD$105)+SUMIF(Capacity_Resource,$E164,'Critical resources (hide)'!BD$6:BD$105)+SUMIF(Capacity_Resource,$F164,'Critical resources (hide)'!BD$6:BD$105)&gt;0,$E$1=2),0,1),0)</f>
        <v>1</v>
      </c>
      <c r="AR164" s="67">
        <f ca="1">IF(LOWER(Capacity!$V69)="x",IF(AND(SUMIF(Capacity_Resource,$D164,'Critical resources (hide)'!BE$6:BE$105)+SUMIF(Capacity_Resource,$E164,'Critical resources (hide)'!BE$6:BE$105)+SUMIF(Capacity_Resource,$F164,'Critical resources (hide)'!BE$6:BE$105)&gt;0,$E$1=2),0,1),0)</f>
        <v>1</v>
      </c>
      <c r="AS164" s="67">
        <f ca="1">IF(LOWER(Capacity!$V69)="x",IF(AND(SUMIF(Capacity_Resource,$D164,'Critical resources (hide)'!BF$6:BF$105)+SUMIF(Capacity_Resource,$E164,'Critical resources (hide)'!BF$6:BF$105)+SUMIF(Capacity_Resource,$F164,'Critical resources (hide)'!BF$6:BF$105)&gt;0,$E$1=2),0,1),0)</f>
        <v>1</v>
      </c>
      <c r="AT164" s="67">
        <f ca="1">IF(LOWER(Capacity!$V69)="x",IF(AND(SUMIF(Capacity_Resource,$D164,'Critical resources (hide)'!BG$6:BG$105)+SUMIF(Capacity_Resource,$E164,'Critical resources (hide)'!BG$6:BG$105)+SUMIF(Capacity_Resource,$F164,'Critical resources (hide)'!BG$6:BG$105)&gt;0,$E$1=2),0,1),0)</f>
        <v>1</v>
      </c>
      <c r="AU164" s="67">
        <f ca="1">IF(LOWER(Capacity!$V69)="x",IF(AND(SUMIF(Capacity_Resource,$D164,'Critical resources (hide)'!BH$6:BH$105)+SUMIF(Capacity_Resource,$E164,'Critical resources (hide)'!BH$6:BH$105)+SUMIF(Capacity_Resource,$F164,'Critical resources (hide)'!BH$6:BH$105)&gt;0,$E$1=2),0,1),0)</f>
        <v>1</v>
      </c>
      <c r="AV164" s="67">
        <f ca="1">IF(LOWER(Capacity!$V69)="x",IF(AND(SUMIF(Capacity_Resource,$D164,'Critical resources (hide)'!BI$6:BI$105)+SUMIF(Capacity_Resource,$E164,'Critical resources (hide)'!BI$6:BI$105)+SUMIF(Capacity_Resource,$F164,'Critical resources (hide)'!BI$6:BI$105)&gt;0,$E$1=2),0,1),0)</f>
        <v>1</v>
      </c>
      <c r="AW164" s="67">
        <f ca="1">IF(LOWER(Capacity!$V69)="x",IF(AND(SUMIF(Capacity_Resource,$D164,'Critical resources (hide)'!BJ$6:BJ$105)+SUMIF(Capacity_Resource,$E164,'Critical resources (hide)'!BJ$6:BJ$105)+SUMIF(Capacity_Resource,$F164,'Critical resources (hide)'!BJ$6:BJ$105)&gt;0,$E$1=2),0,1),0)</f>
        <v>1</v>
      </c>
      <c r="AX164" s="67">
        <f ca="1">IF(LOWER(Capacity!$V69)="x",IF(AND(SUMIF(Capacity_Resource,$D164,'Critical resources (hide)'!BK$6:BK$105)+SUMIF(Capacity_Resource,$E164,'Critical resources (hide)'!BK$6:BK$105)+SUMIF(Capacity_Resource,$F164,'Critical resources (hide)'!BK$6:BK$105)&gt;0,$E$1=2),0,1),0)</f>
        <v>1</v>
      </c>
      <c r="AY164" s="67">
        <f ca="1">IF(LOWER(Capacity!$V69)="x",IF(AND(SUMIF(Capacity_Resource,$D164,'Critical resources (hide)'!BL$6:BL$105)+SUMIF(Capacity_Resource,$E164,'Critical resources (hide)'!BL$6:BL$105)+SUMIF(Capacity_Resource,$F164,'Critical resources (hide)'!BL$6:BL$105)&gt;0,$E$1=2),0,1),0)</f>
        <v>1</v>
      </c>
      <c r="AZ164" s="67">
        <f ca="1">IF(LOWER(Capacity!$V69)="x",IF(AND(SUMIF(Capacity_Resource,$D164,'Critical resources (hide)'!BM$6:BM$105)+SUMIF(Capacity_Resource,$E164,'Critical resources (hide)'!BM$6:BM$105)+SUMIF(Capacity_Resource,$F164,'Critical resources (hide)'!BM$6:BM$105)&gt;0,$E$1=2),0,1),0)</f>
        <v>1</v>
      </c>
      <c r="BA164" s="67">
        <f ca="1">IF(LOWER(Capacity!$V69)="x",IF(AND(SUMIF(Capacity_Resource,$D164,'Critical resources (hide)'!BN$6:BN$105)+SUMIF(Capacity_Resource,$E164,'Critical resources (hide)'!BN$6:BN$105)+SUMIF(Capacity_Resource,$F164,'Critical resources (hide)'!BN$6:BN$105)&gt;0,$E$1=2),0,1),0)</f>
        <v>1</v>
      </c>
      <c r="BB164" s="67">
        <f ca="1">IF(LOWER(Capacity!$V69)="x",IF(AND(SUMIF(Capacity_Resource,$D164,'Critical resources (hide)'!BO$6:BO$105)+SUMIF(Capacity_Resource,$E164,'Critical resources (hide)'!BO$6:BO$105)+SUMIF(Capacity_Resource,$F164,'Critical resources (hide)'!BO$6:BO$105)&gt;0,$E$1=2),0,1),0)</f>
        <v>1</v>
      </c>
      <c r="BC164" s="67">
        <f ca="1">IF(LOWER(Capacity!$V69)="x",IF(AND(SUMIF(Capacity_Resource,$D164,'Critical resources (hide)'!BP$6:BP$105)+SUMIF(Capacity_Resource,$E164,'Critical resources (hide)'!BP$6:BP$105)+SUMIF(Capacity_Resource,$F164,'Critical resources (hide)'!BP$6:BP$105)&gt;0,$E$1=2),0,1),0)</f>
        <v>1</v>
      </c>
      <c r="BD164" s="67">
        <f ca="1">IF(LOWER(Capacity!$V69)="x",IF(AND(SUMIF(Capacity_Resource,$D164,'Critical resources (hide)'!BQ$6:BQ$105)+SUMIF(Capacity_Resource,$E164,'Critical resources (hide)'!BQ$6:BQ$105)+SUMIF(Capacity_Resource,$F164,'Critical resources (hide)'!BQ$6:BQ$105)&gt;0,$E$1=2),0,1),0)</f>
        <v>1</v>
      </c>
      <c r="BE164" s="67">
        <f ca="1">IF(LOWER(Capacity!$V69)="x",IF(AND(SUMIF(Capacity_Resource,$D164,'Critical resources (hide)'!BR$6:BR$105)+SUMIF(Capacity_Resource,$E164,'Critical resources (hide)'!BR$6:BR$105)+SUMIF(Capacity_Resource,$F164,'Critical resources (hide)'!BR$6:BR$105)&gt;0,$E$1=2),0,1),0)</f>
        <v>1</v>
      </c>
      <c r="BF164" s="67">
        <f ca="1">IF(LOWER(Capacity!$V69)="x",IF(AND(SUMIF(Capacity_Resource,$D164,'Critical resources (hide)'!BS$6:BS$105)+SUMIF(Capacity_Resource,$E164,'Critical resources (hide)'!BS$6:BS$105)+SUMIF(Capacity_Resource,$F164,'Critical resources (hide)'!BS$6:BS$105)&gt;0,$E$1=2),0,1),0)</f>
        <v>1</v>
      </c>
      <c r="BG164" s="67">
        <f ca="1">IF(LOWER(Capacity!$V69)="x",IF(AND(SUMIF(Capacity_Resource,$D164,'Critical resources (hide)'!BT$6:BT$105)+SUMIF(Capacity_Resource,$E164,'Critical resources (hide)'!BT$6:BT$105)+SUMIF(Capacity_Resource,$F164,'Critical resources (hide)'!BT$6:BT$105)&gt;0,$E$1=2),0,1),0)</f>
        <v>1</v>
      </c>
      <c r="BH164" s="67">
        <f>IF(ROW(A53)&lt;=Capacity!$M$16,IF('Capacity summary'!$C$14="No",SUM(H164:BG164),'Capacity summary'!$E76),0)</f>
        <v>0</v>
      </c>
      <c r="BI164" s="67" t="str">
        <f>IF(BH164&gt;0,IF(BH164&lt;Capacity!Q69,Capacity!R69,Capacity!T69/'Capacity calculation (hide)'!BH164),"")</f>
        <v/>
      </c>
      <c r="BJ164" s="5"/>
      <c r="BK164" s="5">
        <f>IF($BI164&lt;&gt;"",IF('Capacity summary'!$C$14="Yes",IF(COUNTBLANK('Capacity summary'!$H76:$BG76)&lt;52,IF('Capacity summary'!H76&lt;&gt;"",IF(LOWER('Capacity summary'!H76)="x",$BI164*H164,VALUE('Capacity summary'!H76)),0),H164*$BI164),H164*$BI164),0)</f>
        <v>0</v>
      </c>
      <c r="BL164" s="5">
        <f>IF($BI164&lt;&gt;"",IF('Capacity summary'!$C$14="Yes",IF(COUNTBLANK('Capacity summary'!$H76:$BG76)&lt;52,IF('Capacity summary'!I76&lt;&gt;"",IF(LOWER('Capacity summary'!I76)="x",$BI164*I164,VALUE('Capacity summary'!I76)),0),I164*$BI164),I164*$BI164),0)</f>
        <v>0</v>
      </c>
      <c r="BM164" s="5">
        <f>IF($BI164&lt;&gt;"",IF('Capacity summary'!$C$14="Yes",IF(COUNTBLANK('Capacity summary'!$H76:$BG76)&lt;52,IF('Capacity summary'!J76&lt;&gt;"",IF(LOWER('Capacity summary'!J76)="x",$BI164*J164,VALUE('Capacity summary'!J76)),0),J164*$BI164),J164*$BI164),0)</f>
        <v>0</v>
      </c>
      <c r="BN164" s="5">
        <f>IF($BI164&lt;&gt;"",IF('Capacity summary'!$C$14="Yes",IF(COUNTBLANK('Capacity summary'!$H76:$BG76)&lt;52,IF('Capacity summary'!K76&lt;&gt;"",IF(LOWER('Capacity summary'!K76)="x",$BI164*K164,VALUE('Capacity summary'!K76)),0),K164*$BI164),K164*$BI164),0)</f>
        <v>0</v>
      </c>
      <c r="BO164" s="5">
        <f>IF($BI164&lt;&gt;"",IF('Capacity summary'!$C$14="Yes",IF(COUNTBLANK('Capacity summary'!$H76:$BG76)&lt;52,IF('Capacity summary'!L76&lt;&gt;"",IF(LOWER('Capacity summary'!L76)="x",$BI164*L164,VALUE('Capacity summary'!L76)),0),L164*$BI164),L164*$BI164),0)</f>
        <v>0</v>
      </c>
      <c r="BP164" s="5">
        <f>IF($BI164&lt;&gt;"",IF('Capacity summary'!$C$14="Yes",IF(COUNTBLANK('Capacity summary'!$H76:$BG76)&lt;52,IF('Capacity summary'!M76&lt;&gt;"",IF(LOWER('Capacity summary'!M76)="x",$BI164*M164,VALUE('Capacity summary'!M76)),0),M164*$BI164),M164*$BI164),0)</f>
        <v>0</v>
      </c>
      <c r="BQ164" s="5">
        <f>IF($BI164&lt;&gt;"",IF('Capacity summary'!$C$14="Yes",IF(COUNTBLANK('Capacity summary'!$H76:$BG76)&lt;52,IF('Capacity summary'!N76&lt;&gt;"",IF(LOWER('Capacity summary'!N76)="x",$BI164*N164,VALUE('Capacity summary'!N76)),0),N164*$BI164),N164*$BI164),0)</f>
        <v>0</v>
      </c>
      <c r="BR164" s="5">
        <f>IF($BI164&lt;&gt;"",IF('Capacity summary'!$C$14="Yes",IF(COUNTBLANK('Capacity summary'!$H76:$BG76)&lt;52,IF('Capacity summary'!O76&lt;&gt;"",IF(LOWER('Capacity summary'!O76)="x",$BI164*O164,VALUE('Capacity summary'!O76)),0),O164*$BI164),O164*$BI164),0)</f>
        <v>0</v>
      </c>
      <c r="BS164" s="5">
        <f>IF($BI164&lt;&gt;"",IF('Capacity summary'!$C$14="Yes",IF(COUNTBLANK('Capacity summary'!$H76:$BG76)&lt;52,IF('Capacity summary'!P76&lt;&gt;"",IF(LOWER('Capacity summary'!P76)="x",$BI164*P164,VALUE('Capacity summary'!P76)),0),P164*$BI164),P164*$BI164),0)</f>
        <v>0</v>
      </c>
      <c r="BT164" s="5">
        <f>IF($BI164&lt;&gt;"",IF('Capacity summary'!$C$14="Yes",IF(COUNTBLANK('Capacity summary'!$H76:$BG76)&lt;52,IF('Capacity summary'!Q76&lt;&gt;"",IF(LOWER('Capacity summary'!Q76)="x",$BI164*Q164,VALUE('Capacity summary'!Q76)),0),Q164*$BI164),Q164*$BI164),0)</f>
        <v>0</v>
      </c>
      <c r="BU164" s="5">
        <f>IF($BI164&lt;&gt;"",IF('Capacity summary'!$C$14="Yes",IF(COUNTBLANK('Capacity summary'!$H76:$BG76)&lt;52,IF('Capacity summary'!R76&lt;&gt;"",IF(LOWER('Capacity summary'!R76)="x",$BI164*R164,VALUE('Capacity summary'!R76)),0),R164*$BI164),R164*$BI164),0)</f>
        <v>0</v>
      </c>
      <c r="BV164" s="5">
        <f>IF($BI164&lt;&gt;"",IF('Capacity summary'!$C$14="Yes",IF(COUNTBLANK('Capacity summary'!$H76:$BG76)&lt;52,IF('Capacity summary'!S76&lt;&gt;"",IF(LOWER('Capacity summary'!S76)="x",$BI164*S164,VALUE('Capacity summary'!S76)),0),S164*$BI164),S164*$BI164),0)</f>
        <v>0</v>
      </c>
      <c r="BW164" s="5">
        <f>IF($BI164&lt;&gt;"",IF('Capacity summary'!$C$14="Yes",IF(COUNTBLANK('Capacity summary'!$H76:$BG76)&lt;52,IF('Capacity summary'!T76&lt;&gt;"",IF(LOWER('Capacity summary'!T76)="x",$BI164*T164,VALUE('Capacity summary'!T76)),0),T164*$BI164),T164*$BI164),0)</f>
        <v>0</v>
      </c>
      <c r="BX164" s="5">
        <f>IF($BI164&lt;&gt;"",IF('Capacity summary'!$C$14="Yes",IF(COUNTBLANK('Capacity summary'!$H76:$BG76)&lt;52,IF('Capacity summary'!U76&lt;&gt;"",IF(LOWER('Capacity summary'!U76)="x",$BI164*U164,VALUE('Capacity summary'!U76)),0),U164*$BI164),U164*$BI164),0)</f>
        <v>0</v>
      </c>
      <c r="BY164" s="5">
        <f>IF($BI164&lt;&gt;"",IF('Capacity summary'!$C$14="Yes",IF(COUNTBLANK('Capacity summary'!$H76:$BG76)&lt;52,IF('Capacity summary'!V76&lt;&gt;"",IF(LOWER('Capacity summary'!V76)="x",$BI164*V164,VALUE('Capacity summary'!V76)),0),V164*$BI164),V164*$BI164),0)</f>
        <v>0</v>
      </c>
      <c r="BZ164" s="5">
        <f>IF($BI164&lt;&gt;"",IF('Capacity summary'!$C$14="Yes",IF(COUNTBLANK('Capacity summary'!$H76:$BG76)&lt;52,IF('Capacity summary'!W76&lt;&gt;"",IF(LOWER('Capacity summary'!W76)="x",$BI164*W164,VALUE('Capacity summary'!W76)),0),W164*$BI164),W164*$BI164),0)</f>
        <v>0</v>
      </c>
      <c r="CA164" s="5">
        <f>IF($BI164&lt;&gt;"",IF('Capacity summary'!$C$14="Yes",IF(COUNTBLANK('Capacity summary'!$H76:$BG76)&lt;52,IF('Capacity summary'!X76&lt;&gt;"",IF(LOWER('Capacity summary'!X76)="x",$BI164*X164,VALUE('Capacity summary'!X76)),0),X164*$BI164),X164*$BI164),0)</f>
        <v>0</v>
      </c>
      <c r="CB164" s="5">
        <f>IF($BI164&lt;&gt;"",IF('Capacity summary'!$C$14="Yes",IF(COUNTBLANK('Capacity summary'!$H76:$BG76)&lt;52,IF('Capacity summary'!Y76&lt;&gt;"",IF(LOWER('Capacity summary'!Y76)="x",$BI164*Y164,VALUE('Capacity summary'!Y76)),0),Y164*$BI164),Y164*$BI164),0)</f>
        <v>0</v>
      </c>
      <c r="CC164" s="5">
        <f>IF($BI164&lt;&gt;"",IF('Capacity summary'!$C$14="Yes",IF(COUNTBLANK('Capacity summary'!$H76:$BG76)&lt;52,IF('Capacity summary'!Z76&lt;&gt;"",IF(LOWER('Capacity summary'!Z76)="x",$BI164*Z164,VALUE('Capacity summary'!Z76)),0),Z164*$BI164),Z164*$BI164),0)</f>
        <v>0</v>
      </c>
      <c r="CD164" s="5">
        <f>IF($BI164&lt;&gt;"",IF('Capacity summary'!$C$14="Yes",IF(COUNTBLANK('Capacity summary'!$H76:$BG76)&lt;52,IF('Capacity summary'!AA76&lt;&gt;"",IF(LOWER('Capacity summary'!AA76)="x",$BI164*AA164,VALUE('Capacity summary'!AA76)),0),AA164*$BI164),AA164*$BI164),0)</f>
        <v>0</v>
      </c>
      <c r="CE164" s="5">
        <f>IF($BI164&lt;&gt;"",IF('Capacity summary'!$C$14="Yes",IF(COUNTBLANK('Capacity summary'!$H76:$BG76)&lt;52,IF('Capacity summary'!AB76&lt;&gt;"",IF(LOWER('Capacity summary'!AB76)="x",$BI164*AB164,VALUE('Capacity summary'!AB76)),0),AB164*$BI164),AB164*$BI164),0)</f>
        <v>0</v>
      </c>
      <c r="CF164" s="5">
        <f>IF($BI164&lt;&gt;"",IF('Capacity summary'!$C$14="Yes",IF(COUNTBLANK('Capacity summary'!$H76:$BG76)&lt;52,IF('Capacity summary'!AC76&lt;&gt;"",IF(LOWER('Capacity summary'!AC76)="x",$BI164*AC164,VALUE('Capacity summary'!AC76)),0),AC164*$BI164),AC164*$BI164),0)</f>
        <v>0</v>
      </c>
      <c r="CG164" s="5">
        <f>IF($BI164&lt;&gt;"",IF('Capacity summary'!$C$14="Yes",IF(COUNTBLANK('Capacity summary'!$H76:$BG76)&lt;52,IF('Capacity summary'!AD76&lt;&gt;"",IF(LOWER('Capacity summary'!AD76)="x",$BI164*AD164,VALUE('Capacity summary'!AD76)),0),AD164*$BI164),AD164*$BI164),0)</f>
        <v>0</v>
      </c>
      <c r="CH164" s="5">
        <f>IF($BI164&lt;&gt;"",IF('Capacity summary'!$C$14="Yes",IF(COUNTBLANK('Capacity summary'!$H76:$BG76)&lt;52,IF('Capacity summary'!AE76&lt;&gt;"",IF(LOWER('Capacity summary'!AE76)="x",$BI164*AE164,VALUE('Capacity summary'!AE76)),0),AE164*$BI164),AE164*$BI164),0)</f>
        <v>0</v>
      </c>
      <c r="CI164" s="5">
        <f>IF($BI164&lt;&gt;"",IF('Capacity summary'!$C$14="Yes",IF(COUNTBLANK('Capacity summary'!$H76:$BG76)&lt;52,IF('Capacity summary'!AF76&lt;&gt;"",IF(LOWER('Capacity summary'!AF76)="x",$BI164*AF164,VALUE('Capacity summary'!AF76)),0),AF164*$BI164),AF164*$BI164),0)</f>
        <v>0</v>
      </c>
      <c r="CJ164" s="5">
        <f>IF($BI164&lt;&gt;"",IF('Capacity summary'!$C$14="Yes",IF(COUNTBLANK('Capacity summary'!$H76:$BG76)&lt;52,IF('Capacity summary'!AG76&lt;&gt;"",IF(LOWER('Capacity summary'!AG76)="x",$BI164*AG164,VALUE('Capacity summary'!AG76)),0),AG164*$BI164),AG164*$BI164),0)</f>
        <v>0</v>
      </c>
      <c r="CK164" s="5">
        <f>IF($BI164&lt;&gt;"",IF('Capacity summary'!$C$14="Yes",IF(COUNTBLANK('Capacity summary'!$H76:$BG76)&lt;52,IF('Capacity summary'!AH76&lt;&gt;"",IF(LOWER('Capacity summary'!AH76)="x",$BI164*AH164,VALUE('Capacity summary'!AH76)),0),AH164*$BI164),AH164*$BI164),0)</f>
        <v>0</v>
      </c>
      <c r="CL164" s="5">
        <f>IF($BI164&lt;&gt;"",IF('Capacity summary'!$C$14="Yes",IF(COUNTBLANK('Capacity summary'!$H76:$BG76)&lt;52,IF('Capacity summary'!AI76&lt;&gt;"",IF(LOWER('Capacity summary'!AI76)="x",$BI164*AI164,VALUE('Capacity summary'!AI76)),0),AI164*$BI164),AI164*$BI164),0)</f>
        <v>0</v>
      </c>
      <c r="CM164" s="5">
        <f>IF($BI164&lt;&gt;"",IF('Capacity summary'!$C$14="Yes",IF(COUNTBLANK('Capacity summary'!$H76:$BG76)&lt;52,IF('Capacity summary'!AJ76&lt;&gt;"",IF(LOWER('Capacity summary'!AJ76)="x",$BI164*AJ164,VALUE('Capacity summary'!AJ76)),0),AJ164*$BI164),AJ164*$BI164),0)</f>
        <v>0</v>
      </c>
      <c r="CN164" s="5">
        <f>IF($BI164&lt;&gt;"",IF('Capacity summary'!$C$14="Yes",IF(COUNTBLANK('Capacity summary'!$H76:$BG76)&lt;52,IF('Capacity summary'!AK76&lt;&gt;"",IF(LOWER('Capacity summary'!AK76)="x",$BI164*AK164,VALUE('Capacity summary'!AK76)),0),AK164*$BI164),AK164*$BI164),0)</f>
        <v>0</v>
      </c>
      <c r="CO164" s="5">
        <f>IF($BI164&lt;&gt;"",IF('Capacity summary'!$C$14="Yes",IF(COUNTBLANK('Capacity summary'!$H76:$BG76)&lt;52,IF('Capacity summary'!AL76&lt;&gt;"",IF(LOWER('Capacity summary'!AL76)="x",$BI164*AL164,VALUE('Capacity summary'!AL76)),0),AL164*$BI164),AL164*$BI164),0)</f>
        <v>0</v>
      </c>
      <c r="CP164" s="5">
        <f>IF($BI164&lt;&gt;"",IF('Capacity summary'!$C$14="Yes",IF(COUNTBLANK('Capacity summary'!$H76:$BG76)&lt;52,IF('Capacity summary'!AM76&lt;&gt;"",IF(LOWER('Capacity summary'!AM76)="x",$BI164*AM164,VALUE('Capacity summary'!AM76)),0),AM164*$BI164),AM164*$BI164),0)</f>
        <v>0</v>
      </c>
      <c r="CQ164" s="5">
        <f>IF($BI164&lt;&gt;"",IF('Capacity summary'!$C$14="Yes",IF(COUNTBLANK('Capacity summary'!$H76:$BG76)&lt;52,IF('Capacity summary'!AN76&lt;&gt;"",IF(LOWER('Capacity summary'!AN76)="x",$BI164*AN164,VALUE('Capacity summary'!AN76)),0),AN164*$BI164),AN164*$BI164),0)</f>
        <v>0</v>
      </c>
      <c r="CR164" s="5">
        <f>IF($BI164&lt;&gt;"",IF('Capacity summary'!$C$14="Yes",IF(COUNTBLANK('Capacity summary'!$H76:$BG76)&lt;52,IF('Capacity summary'!AO76&lt;&gt;"",IF(LOWER('Capacity summary'!AO76)="x",$BI164*AO164,VALUE('Capacity summary'!AO76)),0),AO164*$BI164),AO164*$BI164),0)</f>
        <v>0</v>
      </c>
      <c r="CS164" s="5">
        <f>IF($BI164&lt;&gt;"",IF('Capacity summary'!$C$14="Yes",IF(COUNTBLANK('Capacity summary'!$H76:$BG76)&lt;52,IF('Capacity summary'!AP76&lt;&gt;"",IF(LOWER('Capacity summary'!AP76)="x",$BI164*AP164,VALUE('Capacity summary'!AP76)),0),AP164*$BI164),AP164*$BI164),0)</f>
        <v>0</v>
      </c>
      <c r="CT164" s="5">
        <f>IF($BI164&lt;&gt;"",IF('Capacity summary'!$C$14="Yes",IF(COUNTBLANK('Capacity summary'!$H76:$BG76)&lt;52,IF('Capacity summary'!AQ76&lt;&gt;"",IF(LOWER('Capacity summary'!AQ76)="x",$BI164*AQ164,VALUE('Capacity summary'!AQ76)),0),AQ164*$BI164),AQ164*$BI164),0)</f>
        <v>0</v>
      </c>
      <c r="CU164" s="5">
        <f>IF($BI164&lt;&gt;"",IF('Capacity summary'!$C$14="Yes",IF(COUNTBLANK('Capacity summary'!$H76:$BG76)&lt;52,IF('Capacity summary'!AR76&lt;&gt;"",IF(LOWER('Capacity summary'!AR76)="x",$BI164*AR164,VALUE('Capacity summary'!AR76)),0),AR164*$BI164),AR164*$BI164),0)</f>
        <v>0</v>
      </c>
      <c r="CV164" s="5">
        <f>IF($BI164&lt;&gt;"",IF('Capacity summary'!$C$14="Yes",IF(COUNTBLANK('Capacity summary'!$H76:$BG76)&lt;52,IF('Capacity summary'!AS76&lt;&gt;"",IF(LOWER('Capacity summary'!AS76)="x",$BI164*AS164,VALUE('Capacity summary'!AS76)),0),AS164*$BI164),AS164*$BI164),0)</f>
        <v>0</v>
      </c>
      <c r="CW164" s="5">
        <f>IF($BI164&lt;&gt;"",IF('Capacity summary'!$C$14="Yes",IF(COUNTBLANK('Capacity summary'!$H76:$BG76)&lt;52,IF('Capacity summary'!AT76&lt;&gt;"",IF(LOWER('Capacity summary'!AT76)="x",$BI164*AT164,VALUE('Capacity summary'!AT76)),0),AT164*$BI164),AT164*$BI164),0)</f>
        <v>0</v>
      </c>
      <c r="CX164" s="5">
        <f>IF($BI164&lt;&gt;"",IF('Capacity summary'!$C$14="Yes",IF(COUNTBLANK('Capacity summary'!$H76:$BG76)&lt;52,IF('Capacity summary'!AU76&lt;&gt;"",IF(LOWER('Capacity summary'!AU76)="x",$BI164*AU164,VALUE('Capacity summary'!AU76)),0),AU164*$BI164),AU164*$BI164),0)</f>
        <v>0</v>
      </c>
      <c r="CY164" s="5">
        <f>IF($BI164&lt;&gt;"",IF('Capacity summary'!$C$14="Yes",IF(COUNTBLANK('Capacity summary'!$H76:$BG76)&lt;52,IF('Capacity summary'!AV76&lt;&gt;"",IF(LOWER('Capacity summary'!AV76)="x",$BI164*AV164,VALUE('Capacity summary'!AV76)),0),AV164*$BI164),AV164*$BI164),0)</f>
        <v>0</v>
      </c>
      <c r="CZ164" s="5">
        <f>IF($BI164&lt;&gt;"",IF('Capacity summary'!$C$14="Yes",IF(COUNTBLANK('Capacity summary'!$H76:$BG76)&lt;52,IF('Capacity summary'!AW76&lt;&gt;"",IF(LOWER('Capacity summary'!AW76)="x",$BI164*AW164,VALUE('Capacity summary'!AW76)),0),AW164*$BI164),AW164*$BI164),0)</f>
        <v>0</v>
      </c>
      <c r="DA164" s="5">
        <f>IF($BI164&lt;&gt;"",IF('Capacity summary'!$C$14="Yes",IF(COUNTBLANK('Capacity summary'!$H76:$BG76)&lt;52,IF('Capacity summary'!AX76&lt;&gt;"",IF(LOWER('Capacity summary'!AX76)="x",$BI164*AX164,VALUE('Capacity summary'!AX76)),0),AX164*$BI164),AX164*$BI164),0)</f>
        <v>0</v>
      </c>
      <c r="DB164" s="5">
        <f>IF($BI164&lt;&gt;"",IF('Capacity summary'!$C$14="Yes",IF(COUNTBLANK('Capacity summary'!$H76:$BG76)&lt;52,IF('Capacity summary'!AY76&lt;&gt;"",IF(LOWER('Capacity summary'!AY76)="x",$BI164*AY164,VALUE('Capacity summary'!AY76)),0),AY164*$BI164),AY164*$BI164),0)</f>
        <v>0</v>
      </c>
      <c r="DC164" s="5">
        <f>IF($BI164&lt;&gt;"",IF('Capacity summary'!$C$14="Yes",IF(COUNTBLANK('Capacity summary'!$H76:$BG76)&lt;52,IF('Capacity summary'!AZ76&lt;&gt;"",IF(LOWER('Capacity summary'!AZ76)="x",$BI164*AZ164,VALUE('Capacity summary'!AZ76)),0),AZ164*$BI164),AZ164*$BI164),0)</f>
        <v>0</v>
      </c>
      <c r="DD164" s="5">
        <f>IF($BI164&lt;&gt;"",IF('Capacity summary'!$C$14="Yes",IF(COUNTBLANK('Capacity summary'!$H76:$BG76)&lt;52,IF('Capacity summary'!BA76&lt;&gt;"",IF(LOWER('Capacity summary'!BA76)="x",$BI164*BA164,VALUE('Capacity summary'!BA76)),0),BA164*$BI164),BA164*$BI164),0)</f>
        <v>0</v>
      </c>
      <c r="DE164" s="5">
        <f>IF($BI164&lt;&gt;"",IF('Capacity summary'!$C$14="Yes",IF(COUNTBLANK('Capacity summary'!$H76:$BG76)&lt;52,IF('Capacity summary'!BB76&lt;&gt;"",IF(LOWER('Capacity summary'!BB76)="x",$BI164*BB164,VALUE('Capacity summary'!BB76)),0),BB164*$BI164),BB164*$BI164),0)</f>
        <v>0</v>
      </c>
      <c r="DF164" s="5">
        <f>IF($BI164&lt;&gt;"",IF('Capacity summary'!$C$14="Yes",IF(COUNTBLANK('Capacity summary'!$H76:$BG76)&lt;52,IF('Capacity summary'!BC76&lt;&gt;"",IF(LOWER('Capacity summary'!BC76)="x",$BI164*BC164,VALUE('Capacity summary'!BC76)),0),BC164*$BI164),BC164*$BI164),0)</f>
        <v>0</v>
      </c>
      <c r="DG164" s="5">
        <f>IF($BI164&lt;&gt;"",IF('Capacity summary'!$C$14="Yes",IF(COUNTBLANK('Capacity summary'!$H76:$BG76)&lt;52,IF('Capacity summary'!BD76&lt;&gt;"",IF(LOWER('Capacity summary'!BD76)="x",$BI164*BD164,VALUE('Capacity summary'!BD76)),0),BD164*$BI164),BD164*$BI164),0)</f>
        <v>0</v>
      </c>
      <c r="DH164" s="5">
        <f>IF($BI164&lt;&gt;"",IF('Capacity summary'!$C$14="Yes",IF(COUNTBLANK('Capacity summary'!$H76:$BG76)&lt;52,IF('Capacity summary'!BE76&lt;&gt;"",IF(LOWER('Capacity summary'!BE76)="x",$BI164*BE164,VALUE('Capacity summary'!BE76)),0),BE164*$BI164),BE164*$BI164),0)</f>
        <v>0</v>
      </c>
      <c r="DI164" s="5">
        <f>IF($BI164&lt;&gt;"",IF('Capacity summary'!$C$14="Yes",IF(COUNTBLANK('Capacity summary'!$H76:$BG76)&lt;52,IF('Capacity summary'!BF76&lt;&gt;"",IF(LOWER('Capacity summary'!BF76)="x",$BI164*BF164,VALUE('Capacity summary'!BF76)),0),BF164*$BI164),BF164*$BI164),0)</f>
        <v>0</v>
      </c>
      <c r="DJ164" s="5">
        <f>IF($BI164&lt;&gt;"",IF('Capacity summary'!$C$14="Yes",IF(COUNTBLANK('Capacity summary'!$H76:$BG76)&lt;52,IF('Capacity summary'!BG76&lt;&gt;"",IF(LOWER('Capacity summary'!BG76)="x",$BI164*BG164,VALUE('Capacity summary'!BG76)),0),BG164*$BI164),BG164*$BI164),0)</f>
        <v>0</v>
      </c>
      <c r="DK164" s="391">
        <f t="shared" si="8"/>
        <v>0</v>
      </c>
      <c r="DL164" s="5">
        <f t="shared" si="9"/>
        <v>0</v>
      </c>
    </row>
    <row r="165" spans="3:116" x14ac:dyDescent="0.2">
      <c r="C165" s="67" t="str">
        <f>ROW(A54)&amp;". "&amp;Capacity!N70</f>
        <v xml:space="preserve">54. </v>
      </c>
      <c r="D165" s="67">
        <f>'Capacity setup'!C171</f>
        <v>0</v>
      </c>
      <c r="E165" s="67">
        <f>'Capacity setup'!D171</f>
        <v>0</v>
      </c>
      <c r="F165" s="67">
        <f>'Capacity setup'!E171</f>
        <v>0</v>
      </c>
      <c r="H165" s="67">
        <f ca="1">IF(LOWER(Capacity!$V70)="x",IF(AND(SUMIF(Capacity_Resource,$D165,'Critical resources (hide)'!U$6:U$105)+SUMIF(Capacity_Resource,$E165,'Critical resources (hide)'!U$6:U$105)+SUMIF(Capacity_Resource,$F165,'Critical resources (hide)'!U$6:U$105)&gt;0,$E$1=2),0,1),0)</f>
        <v>1</v>
      </c>
      <c r="I165" s="67">
        <f ca="1">IF(LOWER(Capacity!$V70)="x",IF(AND(SUMIF(Capacity_Resource,$D165,'Critical resources (hide)'!V$6:V$105)+SUMIF(Capacity_Resource,$E165,'Critical resources (hide)'!V$6:V$105)+SUMIF(Capacity_Resource,$F165,'Critical resources (hide)'!V$6:V$105)&gt;0,$E$1=2),0,1),0)</f>
        <v>1</v>
      </c>
      <c r="J165" s="67">
        <f ca="1">IF(LOWER(Capacity!$V70)="x",IF(AND(SUMIF(Capacity_Resource,$D165,'Critical resources (hide)'!W$6:W$105)+SUMIF(Capacity_Resource,$E165,'Critical resources (hide)'!W$6:W$105)+SUMIF(Capacity_Resource,$F165,'Critical resources (hide)'!W$6:W$105)&gt;0,$E$1=2),0,1),0)</f>
        <v>1</v>
      </c>
      <c r="K165" s="67">
        <f ca="1">IF(LOWER(Capacity!$V70)="x",IF(AND(SUMIF(Capacity_Resource,$D165,'Critical resources (hide)'!X$6:X$105)+SUMIF(Capacity_Resource,$E165,'Critical resources (hide)'!X$6:X$105)+SUMIF(Capacity_Resource,$F165,'Critical resources (hide)'!X$6:X$105)&gt;0,$E$1=2),0,1),0)</f>
        <v>1</v>
      </c>
      <c r="L165" s="67">
        <f ca="1">IF(LOWER(Capacity!$V70)="x",IF(AND(SUMIF(Capacity_Resource,$D165,'Critical resources (hide)'!Y$6:Y$105)+SUMIF(Capacity_Resource,$E165,'Critical resources (hide)'!Y$6:Y$105)+SUMIF(Capacity_Resource,$F165,'Critical resources (hide)'!Y$6:Y$105)&gt;0,$E$1=2),0,1),0)</f>
        <v>1</v>
      </c>
      <c r="M165" s="67">
        <f ca="1">IF(LOWER(Capacity!$V70)="x",IF(AND(SUMIF(Capacity_Resource,$D165,'Critical resources (hide)'!Z$6:Z$105)+SUMIF(Capacity_Resource,$E165,'Critical resources (hide)'!Z$6:Z$105)+SUMIF(Capacity_Resource,$F165,'Critical resources (hide)'!Z$6:Z$105)&gt;0,$E$1=2),0,1),0)</f>
        <v>1</v>
      </c>
      <c r="N165" s="67">
        <f ca="1">IF(LOWER(Capacity!$V70)="x",IF(AND(SUMIF(Capacity_Resource,$D165,'Critical resources (hide)'!AA$6:AA$105)+SUMIF(Capacity_Resource,$E165,'Critical resources (hide)'!AA$6:AA$105)+SUMIF(Capacity_Resource,$F165,'Critical resources (hide)'!AA$6:AA$105)&gt;0,$E$1=2),0,1),0)</f>
        <v>1</v>
      </c>
      <c r="O165" s="67">
        <f ca="1">IF(LOWER(Capacity!$V70)="x",IF(AND(SUMIF(Capacity_Resource,$D165,'Critical resources (hide)'!AB$6:AB$105)+SUMIF(Capacity_Resource,$E165,'Critical resources (hide)'!AB$6:AB$105)+SUMIF(Capacity_Resource,$F165,'Critical resources (hide)'!AB$6:AB$105)&gt;0,$E$1=2),0,1),0)</f>
        <v>1</v>
      </c>
      <c r="P165" s="67">
        <f ca="1">IF(LOWER(Capacity!$V70)="x",IF(AND(SUMIF(Capacity_Resource,$D165,'Critical resources (hide)'!AC$6:AC$105)+SUMIF(Capacity_Resource,$E165,'Critical resources (hide)'!AC$6:AC$105)+SUMIF(Capacity_Resource,$F165,'Critical resources (hide)'!AC$6:AC$105)&gt;0,$E$1=2),0,1),0)</f>
        <v>1</v>
      </c>
      <c r="Q165" s="67">
        <f ca="1">IF(LOWER(Capacity!$V70)="x",IF(AND(SUMIF(Capacity_Resource,$D165,'Critical resources (hide)'!AD$6:AD$105)+SUMIF(Capacity_Resource,$E165,'Critical resources (hide)'!AD$6:AD$105)+SUMIF(Capacity_Resource,$F165,'Critical resources (hide)'!AD$6:AD$105)&gt;0,$E$1=2),0,1),0)</f>
        <v>1</v>
      </c>
      <c r="R165" s="67">
        <f ca="1">IF(LOWER(Capacity!$V70)="x",IF(AND(SUMIF(Capacity_Resource,$D165,'Critical resources (hide)'!AE$6:AE$105)+SUMIF(Capacity_Resource,$E165,'Critical resources (hide)'!AE$6:AE$105)+SUMIF(Capacity_Resource,$F165,'Critical resources (hide)'!AE$6:AE$105)&gt;0,$E$1=2),0,1),0)</f>
        <v>1</v>
      </c>
      <c r="S165" s="67">
        <f ca="1">IF(LOWER(Capacity!$V70)="x",IF(AND(SUMIF(Capacity_Resource,$D165,'Critical resources (hide)'!AF$6:AF$105)+SUMIF(Capacity_Resource,$E165,'Critical resources (hide)'!AF$6:AF$105)+SUMIF(Capacity_Resource,$F165,'Critical resources (hide)'!AF$6:AF$105)&gt;0,$E$1=2),0,1),0)</f>
        <v>1</v>
      </c>
      <c r="T165" s="67">
        <f ca="1">IF(LOWER(Capacity!$V70)="x",IF(AND(SUMIF(Capacity_Resource,$D165,'Critical resources (hide)'!AG$6:AG$105)+SUMIF(Capacity_Resource,$E165,'Critical resources (hide)'!AG$6:AG$105)+SUMIF(Capacity_Resource,$F165,'Critical resources (hide)'!AG$6:AG$105)&gt;0,$E$1=2),0,1),0)</f>
        <v>1</v>
      </c>
      <c r="U165" s="67">
        <f ca="1">IF(LOWER(Capacity!$V70)="x",IF(AND(SUMIF(Capacity_Resource,$D165,'Critical resources (hide)'!AH$6:AH$105)+SUMIF(Capacity_Resource,$E165,'Critical resources (hide)'!AH$6:AH$105)+SUMIF(Capacity_Resource,$F165,'Critical resources (hide)'!AH$6:AH$105)&gt;0,$E$1=2),0,1),0)</f>
        <v>1</v>
      </c>
      <c r="V165" s="67">
        <f ca="1">IF(LOWER(Capacity!$V70)="x",IF(AND(SUMIF(Capacity_Resource,$D165,'Critical resources (hide)'!AI$6:AI$105)+SUMIF(Capacity_Resource,$E165,'Critical resources (hide)'!AI$6:AI$105)+SUMIF(Capacity_Resource,$F165,'Critical resources (hide)'!AI$6:AI$105)&gt;0,$E$1=2),0,1),0)</f>
        <v>1</v>
      </c>
      <c r="W165" s="67">
        <f ca="1">IF(LOWER(Capacity!$V70)="x",IF(AND(SUMIF(Capacity_Resource,$D165,'Critical resources (hide)'!AJ$6:AJ$105)+SUMIF(Capacity_Resource,$E165,'Critical resources (hide)'!AJ$6:AJ$105)+SUMIF(Capacity_Resource,$F165,'Critical resources (hide)'!AJ$6:AJ$105)&gt;0,$E$1=2),0,1),0)</f>
        <v>1</v>
      </c>
      <c r="X165" s="67">
        <f ca="1">IF(LOWER(Capacity!$V70)="x",IF(AND(SUMIF(Capacity_Resource,$D165,'Critical resources (hide)'!AK$6:AK$105)+SUMIF(Capacity_Resource,$E165,'Critical resources (hide)'!AK$6:AK$105)+SUMIF(Capacity_Resource,$F165,'Critical resources (hide)'!AK$6:AK$105)&gt;0,$E$1=2),0,1),0)</f>
        <v>1</v>
      </c>
      <c r="Y165" s="67">
        <f ca="1">IF(LOWER(Capacity!$V70)="x",IF(AND(SUMIF(Capacity_Resource,$D165,'Critical resources (hide)'!AL$6:AL$105)+SUMIF(Capacity_Resource,$E165,'Critical resources (hide)'!AL$6:AL$105)+SUMIF(Capacity_Resource,$F165,'Critical resources (hide)'!AL$6:AL$105)&gt;0,$E$1=2),0,1),0)</f>
        <v>1</v>
      </c>
      <c r="Z165" s="67">
        <f ca="1">IF(LOWER(Capacity!$V70)="x",IF(AND(SUMIF(Capacity_Resource,$D165,'Critical resources (hide)'!AM$6:AM$105)+SUMIF(Capacity_Resource,$E165,'Critical resources (hide)'!AM$6:AM$105)+SUMIF(Capacity_Resource,$F165,'Critical resources (hide)'!AM$6:AM$105)&gt;0,$E$1=2),0,1),0)</f>
        <v>1</v>
      </c>
      <c r="AA165" s="67">
        <f ca="1">IF(LOWER(Capacity!$V70)="x",IF(AND(SUMIF(Capacity_Resource,$D165,'Critical resources (hide)'!AN$6:AN$105)+SUMIF(Capacity_Resource,$E165,'Critical resources (hide)'!AN$6:AN$105)+SUMIF(Capacity_Resource,$F165,'Critical resources (hide)'!AN$6:AN$105)&gt;0,$E$1=2),0,1),0)</f>
        <v>1</v>
      </c>
      <c r="AB165" s="67">
        <f ca="1">IF(LOWER(Capacity!$V70)="x",IF(AND(SUMIF(Capacity_Resource,$D165,'Critical resources (hide)'!AO$6:AO$105)+SUMIF(Capacity_Resource,$E165,'Critical resources (hide)'!AO$6:AO$105)+SUMIF(Capacity_Resource,$F165,'Critical resources (hide)'!AO$6:AO$105)&gt;0,$E$1=2),0,1),0)</f>
        <v>1</v>
      </c>
      <c r="AC165" s="67">
        <f ca="1">IF(LOWER(Capacity!$V70)="x",IF(AND(SUMIF(Capacity_Resource,$D165,'Critical resources (hide)'!AP$6:AP$105)+SUMIF(Capacity_Resource,$E165,'Critical resources (hide)'!AP$6:AP$105)+SUMIF(Capacity_Resource,$F165,'Critical resources (hide)'!AP$6:AP$105)&gt;0,$E$1=2),0,1),0)</f>
        <v>1</v>
      </c>
      <c r="AD165" s="67">
        <f ca="1">IF(LOWER(Capacity!$V70)="x",IF(AND(SUMIF(Capacity_Resource,$D165,'Critical resources (hide)'!AQ$6:AQ$105)+SUMIF(Capacity_Resource,$E165,'Critical resources (hide)'!AQ$6:AQ$105)+SUMIF(Capacity_Resource,$F165,'Critical resources (hide)'!AQ$6:AQ$105)&gt;0,$E$1=2),0,1),0)</f>
        <v>1</v>
      </c>
      <c r="AE165" s="67">
        <f ca="1">IF(LOWER(Capacity!$V70)="x",IF(AND(SUMIF(Capacity_Resource,$D165,'Critical resources (hide)'!AR$6:AR$105)+SUMIF(Capacity_Resource,$E165,'Critical resources (hide)'!AR$6:AR$105)+SUMIF(Capacity_Resource,$F165,'Critical resources (hide)'!AR$6:AR$105)&gt;0,$E$1=2),0,1),0)</f>
        <v>1</v>
      </c>
      <c r="AF165" s="67">
        <f ca="1">IF(LOWER(Capacity!$V70)="x",IF(AND(SUMIF(Capacity_Resource,$D165,'Critical resources (hide)'!AS$6:AS$105)+SUMIF(Capacity_Resource,$E165,'Critical resources (hide)'!AS$6:AS$105)+SUMIF(Capacity_Resource,$F165,'Critical resources (hide)'!AS$6:AS$105)&gt;0,$E$1=2),0,1),0)</f>
        <v>1</v>
      </c>
      <c r="AG165" s="67">
        <f ca="1">IF(LOWER(Capacity!$V70)="x",IF(AND(SUMIF(Capacity_Resource,$D165,'Critical resources (hide)'!AT$6:AT$105)+SUMIF(Capacity_Resource,$E165,'Critical resources (hide)'!AT$6:AT$105)+SUMIF(Capacity_Resource,$F165,'Critical resources (hide)'!AT$6:AT$105)&gt;0,$E$1=2),0,1),0)</f>
        <v>1</v>
      </c>
      <c r="AH165" s="67">
        <f ca="1">IF(LOWER(Capacity!$V70)="x",IF(AND(SUMIF(Capacity_Resource,$D165,'Critical resources (hide)'!AU$6:AU$105)+SUMIF(Capacity_Resource,$E165,'Critical resources (hide)'!AU$6:AU$105)+SUMIF(Capacity_Resource,$F165,'Critical resources (hide)'!AU$6:AU$105)&gt;0,$E$1=2),0,1),0)</f>
        <v>1</v>
      </c>
      <c r="AI165" s="67">
        <f ca="1">IF(LOWER(Capacity!$V70)="x",IF(AND(SUMIF(Capacity_Resource,$D165,'Critical resources (hide)'!AV$6:AV$105)+SUMIF(Capacity_Resource,$E165,'Critical resources (hide)'!AV$6:AV$105)+SUMIF(Capacity_Resource,$F165,'Critical resources (hide)'!AV$6:AV$105)&gt;0,$E$1=2),0,1),0)</f>
        <v>1</v>
      </c>
      <c r="AJ165" s="67">
        <f ca="1">IF(LOWER(Capacity!$V70)="x",IF(AND(SUMIF(Capacity_Resource,$D165,'Critical resources (hide)'!AW$6:AW$105)+SUMIF(Capacity_Resource,$E165,'Critical resources (hide)'!AW$6:AW$105)+SUMIF(Capacity_Resource,$F165,'Critical resources (hide)'!AW$6:AW$105)&gt;0,$E$1=2),0,1),0)</f>
        <v>1</v>
      </c>
      <c r="AK165" s="67">
        <f ca="1">IF(LOWER(Capacity!$V70)="x",IF(AND(SUMIF(Capacity_Resource,$D165,'Critical resources (hide)'!AX$6:AX$105)+SUMIF(Capacity_Resource,$E165,'Critical resources (hide)'!AX$6:AX$105)+SUMIF(Capacity_Resource,$F165,'Critical resources (hide)'!AX$6:AX$105)&gt;0,$E$1=2),0,1),0)</f>
        <v>1</v>
      </c>
      <c r="AL165" s="67">
        <f ca="1">IF(LOWER(Capacity!$V70)="x",IF(AND(SUMIF(Capacity_Resource,$D165,'Critical resources (hide)'!AY$6:AY$105)+SUMIF(Capacity_Resource,$E165,'Critical resources (hide)'!AY$6:AY$105)+SUMIF(Capacity_Resource,$F165,'Critical resources (hide)'!AY$6:AY$105)&gt;0,$E$1=2),0,1),0)</f>
        <v>1</v>
      </c>
      <c r="AM165" s="67">
        <f ca="1">IF(LOWER(Capacity!$V70)="x",IF(AND(SUMIF(Capacity_Resource,$D165,'Critical resources (hide)'!AZ$6:AZ$105)+SUMIF(Capacity_Resource,$E165,'Critical resources (hide)'!AZ$6:AZ$105)+SUMIF(Capacity_Resource,$F165,'Critical resources (hide)'!AZ$6:AZ$105)&gt;0,$E$1=2),0,1),0)</f>
        <v>1</v>
      </c>
      <c r="AN165" s="67">
        <f ca="1">IF(LOWER(Capacity!$V70)="x",IF(AND(SUMIF(Capacity_Resource,$D165,'Critical resources (hide)'!BA$6:BA$105)+SUMIF(Capacity_Resource,$E165,'Critical resources (hide)'!BA$6:BA$105)+SUMIF(Capacity_Resource,$F165,'Critical resources (hide)'!BA$6:BA$105)&gt;0,$E$1=2),0,1),0)</f>
        <v>1</v>
      </c>
      <c r="AO165" s="67">
        <f ca="1">IF(LOWER(Capacity!$V70)="x",IF(AND(SUMIF(Capacity_Resource,$D165,'Critical resources (hide)'!BB$6:BB$105)+SUMIF(Capacity_Resource,$E165,'Critical resources (hide)'!BB$6:BB$105)+SUMIF(Capacity_Resource,$F165,'Critical resources (hide)'!BB$6:BB$105)&gt;0,$E$1=2),0,1),0)</f>
        <v>1</v>
      </c>
      <c r="AP165" s="67">
        <f ca="1">IF(LOWER(Capacity!$V70)="x",IF(AND(SUMIF(Capacity_Resource,$D165,'Critical resources (hide)'!BC$6:BC$105)+SUMIF(Capacity_Resource,$E165,'Critical resources (hide)'!BC$6:BC$105)+SUMIF(Capacity_Resource,$F165,'Critical resources (hide)'!BC$6:BC$105)&gt;0,$E$1=2),0,1),0)</f>
        <v>1</v>
      </c>
      <c r="AQ165" s="67">
        <f ca="1">IF(LOWER(Capacity!$V70)="x",IF(AND(SUMIF(Capacity_Resource,$D165,'Critical resources (hide)'!BD$6:BD$105)+SUMIF(Capacity_Resource,$E165,'Critical resources (hide)'!BD$6:BD$105)+SUMIF(Capacity_Resource,$F165,'Critical resources (hide)'!BD$6:BD$105)&gt;0,$E$1=2),0,1),0)</f>
        <v>1</v>
      </c>
      <c r="AR165" s="67">
        <f ca="1">IF(LOWER(Capacity!$V70)="x",IF(AND(SUMIF(Capacity_Resource,$D165,'Critical resources (hide)'!BE$6:BE$105)+SUMIF(Capacity_Resource,$E165,'Critical resources (hide)'!BE$6:BE$105)+SUMIF(Capacity_Resource,$F165,'Critical resources (hide)'!BE$6:BE$105)&gt;0,$E$1=2),0,1),0)</f>
        <v>1</v>
      </c>
      <c r="AS165" s="67">
        <f ca="1">IF(LOWER(Capacity!$V70)="x",IF(AND(SUMIF(Capacity_Resource,$D165,'Critical resources (hide)'!BF$6:BF$105)+SUMIF(Capacity_Resource,$E165,'Critical resources (hide)'!BF$6:BF$105)+SUMIF(Capacity_Resource,$F165,'Critical resources (hide)'!BF$6:BF$105)&gt;0,$E$1=2),0,1),0)</f>
        <v>1</v>
      </c>
      <c r="AT165" s="67">
        <f ca="1">IF(LOWER(Capacity!$V70)="x",IF(AND(SUMIF(Capacity_Resource,$D165,'Critical resources (hide)'!BG$6:BG$105)+SUMIF(Capacity_Resource,$E165,'Critical resources (hide)'!BG$6:BG$105)+SUMIF(Capacity_Resource,$F165,'Critical resources (hide)'!BG$6:BG$105)&gt;0,$E$1=2),0,1),0)</f>
        <v>1</v>
      </c>
      <c r="AU165" s="67">
        <f ca="1">IF(LOWER(Capacity!$V70)="x",IF(AND(SUMIF(Capacity_Resource,$D165,'Critical resources (hide)'!BH$6:BH$105)+SUMIF(Capacity_Resource,$E165,'Critical resources (hide)'!BH$6:BH$105)+SUMIF(Capacity_Resource,$F165,'Critical resources (hide)'!BH$6:BH$105)&gt;0,$E$1=2),0,1),0)</f>
        <v>1</v>
      </c>
      <c r="AV165" s="67">
        <f ca="1">IF(LOWER(Capacity!$V70)="x",IF(AND(SUMIF(Capacity_Resource,$D165,'Critical resources (hide)'!BI$6:BI$105)+SUMIF(Capacity_Resource,$E165,'Critical resources (hide)'!BI$6:BI$105)+SUMIF(Capacity_Resource,$F165,'Critical resources (hide)'!BI$6:BI$105)&gt;0,$E$1=2),0,1),0)</f>
        <v>1</v>
      </c>
      <c r="AW165" s="67">
        <f ca="1">IF(LOWER(Capacity!$V70)="x",IF(AND(SUMIF(Capacity_Resource,$D165,'Critical resources (hide)'!BJ$6:BJ$105)+SUMIF(Capacity_Resource,$E165,'Critical resources (hide)'!BJ$6:BJ$105)+SUMIF(Capacity_Resource,$F165,'Critical resources (hide)'!BJ$6:BJ$105)&gt;0,$E$1=2),0,1),0)</f>
        <v>1</v>
      </c>
      <c r="AX165" s="67">
        <f ca="1">IF(LOWER(Capacity!$V70)="x",IF(AND(SUMIF(Capacity_Resource,$D165,'Critical resources (hide)'!BK$6:BK$105)+SUMIF(Capacity_Resource,$E165,'Critical resources (hide)'!BK$6:BK$105)+SUMIF(Capacity_Resource,$F165,'Critical resources (hide)'!BK$6:BK$105)&gt;0,$E$1=2),0,1),0)</f>
        <v>1</v>
      </c>
      <c r="AY165" s="67">
        <f ca="1">IF(LOWER(Capacity!$V70)="x",IF(AND(SUMIF(Capacity_Resource,$D165,'Critical resources (hide)'!BL$6:BL$105)+SUMIF(Capacity_Resource,$E165,'Critical resources (hide)'!BL$6:BL$105)+SUMIF(Capacity_Resource,$F165,'Critical resources (hide)'!BL$6:BL$105)&gt;0,$E$1=2),0,1),0)</f>
        <v>1</v>
      </c>
      <c r="AZ165" s="67">
        <f ca="1">IF(LOWER(Capacity!$V70)="x",IF(AND(SUMIF(Capacity_Resource,$D165,'Critical resources (hide)'!BM$6:BM$105)+SUMIF(Capacity_Resource,$E165,'Critical resources (hide)'!BM$6:BM$105)+SUMIF(Capacity_Resource,$F165,'Critical resources (hide)'!BM$6:BM$105)&gt;0,$E$1=2),0,1),0)</f>
        <v>1</v>
      </c>
      <c r="BA165" s="67">
        <f ca="1">IF(LOWER(Capacity!$V70)="x",IF(AND(SUMIF(Capacity_Resource,$D165,'Critical resources (hide)'!BN$6:BN$105)+SUMIF(Capacity_Resource,$E165,'Critical resources (hide)'!BN$6:BN$105)+SUMIF(Capacity_Resource,$F165,'Critical resources (hide)'!BN$6:BN$105)&gt;0,$E$1=2),0,1),0)</f>
        <v>1</v>
      </c>
      <c r="BB165" s="67">
        <f ca="1">IF(LOWER(Capacity!$V70)="x",IF(AND(SUMIF(Capacity_Resource,$D165,'Critical resources (hide)'!BO$6:BO$105)+SUMIF(Capacity_Resource,$E165,'Critical resources (hide)'!BO$6:BO$105)+SUMIF(Capacity_Resource,$F165,'Critical resources (hide)'!BO$6:BO$105)&gt;0,$E$1=2),0,1),0)</f>
        <v>1</v>
      </c>
      <c r="BC165" s="67">
        <f ca="1">IF(LOWER(Capacity!$V70)="x",IF(AND(SUMIF(Capacity_Resource,$D165,'Critical resources (hide)'!BP$6:BP$105)+SUMIF(Capacity_Resource,$E165,'Critical resources (hide)'!BP$6:BP$105)+SUMIF(Capacity_Resource,$F165,'Critical resources (hide)'!BP$6:BP$105)&gt;0,$E$1=2),0,1),0)</f>
        <v>1</v>
      </c>
      <c r="BD165" s="67">
        <f ca="1">IF(LOWER(Capacity!$V70)="x",IF(AND(SUMIF(Capacity_Resource,$D165,'Critical resources (hide)'!BQ$6:BQ$105)+SUMIF(Capacity_Resource,$E165,'Critical resources (hide)'!BQ$6:BQ$105)+SUMIF(Capacity_Resource,$F165,'Critical resources (hide)'!BQ$6:BQ$105)&gt;0,$E$1=2),0,1),0)</f>
        <v>1</v>
      </c>
      <c r="BE165" s="67">
        <f ca="1">IF(LOWER(Capacity!$V70)="x",IF(AND(SUMIF(Capacity_Resource,$D165,'Critical resources (hide)'!BR$6:BR$105)+SUMIF(Capacity_Resource,$E165,'Critical resources (hide)'!BR$6:BR$105)+SUMIF(Capacity_Resource,$F165,'Critical resources (hide)'!BR$6:BR$105)&gt;0,$E$1=2),0,1),0)</f>
        <v>1</v>
      </c>
      <c r="BF165" s="67">
        <f ca="1">IF(LOWER(Capacity!$V70)="x",IF(AND(SUMIF(Capacity_Resource,$D165,'Critical resources (hide)'!BS$6:BS$105)+SUMIF(Capacity_Resource,$E165,'Critical resources (hide)'!BS$6:BS$105)+SUMIF(Capacity_Resource,$F165,'Critical resources (hide)'!BS$6:BS$105)&gt;0,$E$1=2),0,1),0)</f>
        <v>1</v>
      </c>
      <c r="BG165" s="67">
        <f ca="1">IF(LOWER(Capacity!$V70)="x",IF(AND(SUMIF(Capacity_Resource,$D165,'Critical resources (hide)'!BT$6:BT$105)+SUMIF(Capacity_Resource,$E165,'Critical resources (hide)'!BT$6:BT$105)+SUMIF(Capacity_Resource,$F165,'Critical resources (hide)'!BT$6:BT$105)&gt;0,$E$1=2),0,1),0)</f>
        <v>1</v>
      </c>
      <c r="BH165" s="67">
        <f>IF(ROW(A54)&lt;=Capacity!$M$16,IF('Capacity summary'!$C$14="No",SUM(H165:BG165),'Capacity summary'!$E77),0)</f>
        <v>0</v>
      </c>
      <c r="BI165" s="67" t="str">
        <f>IF(BH165&gt;0,IF(BH165&lt;Capacity!Q70,Capacity!R70,Capacity!T70/'Capacity calculation (hide)'!BH165),"")</f>
        <v/>
      </c>
      <c r="BJ165" s="5"/>
      <c r="BK165" s="5">
        <f>IF($BI165&lt;&gt;"",IF('Capacity summary'!$C$14="Yes",IF(COUNTBLANK('Capacity summary'!$H77:$BG77)&lt;52,IF('Capacity summary'!H77&lt;&gt;"",IF(LOWER('Capacity summary'!H77)="x",$BI165*H165,VALUE('Capacity summary'!H77)),0),H165*$BI165),H165*$BI165),0)</f>
        <v>0</v>
      </c>
      <c r="BL165" s="5">
        <f>IF($BI165&lt;&gt;"",IF('Capacity summary'!$C$14="Yes",IF(COUNTBLANK('Capacity summary'!$H77:$BG77)&lt;52,IF('Capacity summary'!I77&lt;&gt;"",IF(LOWER('Capacity summary'!I77)="x",$BI165*I165,VALUE('Capacity summary'!I77)),0),I165*$BI165),I165*$BI165),0)</f>
        <v>0</v>
      </c>
      <c r="BM165" s="5">
        <f>IF($BI165&lt;&gt;"",IF('Capacity summary'!$C$14="Yes",IF(COUNTBLANK('Capacity summary'!$H77:$BG77)&lt;52,IF('Capacity summary'!J77&lt;&gt;"",IF(LOWER('Capacity summary'!J77)="x",$BI165*J165,VALUE('Capacity summary'!J77)),0),J165*$BI165),J165*$BI165),0)</f>
        <v>0</v>
      </c>
      <c r="BN165" s="5">
        <f>IF($BI165&lt;&gt;"",IF('Capacity summary'!$C$14="Yes",IF(COUNTBLANK('Capacity summary'!$H77:$BG77)&lt;52,IF('Capacity summary'!K77&lt;&gt;"",IF(LOWER('Capacity summary'!K77)="x",$BI165*K165,VALUE('Capacity summary'!K77)),0),K165*$BI165),K165*$BI165),0)</f>
        <v>0</v>
      </c>
      <c r="BO165" s="5">
        <f>IF($BI165&lt;&gt;"",IF('Capacity summary'!$C$14="Yes",IF(COUNTBLANK('Capacity summary'!$H77:$BG77)&lt;52,IF('Capacity summary'!L77&lt;&gt;"",IF(LOWER('Capacity summary'!L77)="x",$BI165*L165,VALUE('Capacity summary'!L77)),0),L165*$BI165),L165*$BI165),0)</f>
        <v>0</v>
      </c>
      <c r="BP165" s="5">
        <f>IF($BI165&lt;&gt;"",IF('Capacity summary'!$C$14="Yes",IF(COUNTBLANK('Capacity summary'!$H77:$BG77)&lt;52,IF('Capacity summary'!M77&lt;&gt;"",IF(LOWER('Capacity summary'!M77)="x",$BI165*M165,VALUE('Capacity summary'!M77)),0),M165*$BI165),M165*$BI165),0)</f>
        <v>0</v>
      </c>
      <c r="BQ165" s="5">
        <f>IF($BI165&lt;&gt;"",IF('Capacity summary'!$C$14="Yes",IF(COUNTBLANK('Capacity summary'!$H77:$BG77)&lt;52,IF('Capacity summary'!N77&lt;&gt;"",IF(LOWER('Capacity summary'!N77)="x",$BI165*N165,VALUE('Capacity summary'!N77)),0),N165*$BI165),N165*$BI165),0)</f>
        <v>0</v>
      </c>
      <c r="BR165" s="5">
        <f>IF($BI165&lt;&gt;"",IF('Capacity summary'!$C$14="Yes",IF(COUNTBLANK('Capacity summary'!$H77:$BG77)&lt;52,IF('Capacity summary'!O77&lt;&gt;"",IF(LOWER('Capacity summary'!O77)="x",$BI165*O165,VALUE('Capacity summary'!O77)),0),O165*$BI165),O165*$BI165),0)</f>
        <v>0</v>
      </c>
      <c r="BS165" s="5">
        <f>IF($BI165&lt;&gt;"",IF('Capacity summary'!$C$14="Yes",IF(COUNTBLANK('Capacity summary'!$H77:$BG77)&lt;52,IF('Capacity summary'!P77&lt;&gt;"",IF(LOWER('Capacity summary'!P77)="x",$BI165*P165,VALUE('Capacity summary'!P77)),0),P165*$BI165),P165*$BI165),0)</f>
        <v>0</v>
      </c>
      <c r="BT165" s="5">
        <f>IF($BI165&lt;&gt;"",IF('Capacity summary'!$C$14="Yes",IF(COUNTBLANK('Capacity summary'!$H77:$BG77)&lt;52,IF('Capacity summary'!Q77&lt;&gt;"",IF(LOWER('Capacity summary'!Q77)="x",$BI165*Q165,VALUE('Capacity summary'!Q77)),0),Q165*$BI165),Q165*$BI165),0)</f>
        <v>0</v>
      </c>
      <c r="BU165" s="5">
        <f>IF($BI165&lt;&gt;"",IF('Capacity summary'!$C$14="Yes",IF(COUNTBLANK('Capacity summary'!$H77:$BG77)&lt;52,IF('Capacity summary'!R77&lt;&gt;"",IF(LOWER('Capacity summary'!R77)="x",$BI165*R165,VALUE('Capacity summary'!R77)),0),R165*$BI165),R165*$BI165),0)</f>
        <v>0</v>
      </c>
      <c r="BV165" s="5">
        <f>IF($BI165&lt;&gt;"",IF('Capacity summary'!$C$14="Yes",IF(COUNTBLANK('Capacity summary'!$H77:$BG77)&lt;52,IF('Capacity summary'!S77&lt;&gt;"",IF(LOWER('Capacity summary'!S77)="x",$BI165*S165,VALUE('Capacity summary'!S77)),0),S165*$BI165),S165*$BI165),0)</f>
        <v>0</v>
      </c>
      <c r="BW165" s="5">
        <f>IF($BI165&lt;&gt;"",IF('Capacity summary'!$C$14="Yes",IF(COUNTBLANK('Capacity summary'!$H77:$BG77)&lt;52,IF('Capacity summary'!T77&lt;&gt;"",IF(LOWER('Capacity summary'!T77)="x",$BI165*T165,VALUE('Capacity summary'!T77)),0),T165*$BI165),T165*$BI165),0)</f>
        <v>0</v>
      </c>
      <c r="BX165" s="5">
        <f>IF($BI165&lt;&gt;"",IF('Capacity summary'!$C$14="Yes",IF(COUNTBLANK('Capacity summary'!$H77:$BG77)&lt;52,IF('Capacity summary'!U77&lt;&gt;"",IF(LOWER('Capacity summary'!U77)="x",$BI165*U165,VALUE('Capacity summary'!U77)),0),U165*$BI165),U165*$BI165),0)</f>
        <v>0</v>
      </c>
      <c r="BY165" s="5">
        <f>IF($BI165&lt;&gt;"",IF('Capacity summary'!$C$14="Yes",IF(COUNTBLANK('Capacity summary'!$H77:$BG77)&lt;52,IF('Capacity summary'!V77&lt;&gt;"",IF(LOWER('Capacity summary'!V77)="x",$BI165*V165,VALUE('Capacity summary'!V77)),0),V165*$BI165),V165*$BI165),0)</f>
        <v>0</v>
      </c>
      <c r="BZ165" s="5">
        <f>IF($BI165&lt;&gt;"",IF('Capacity summary'!$C$14="Yes",IF(COUNTBLANK('Capacity summary'!$H77:$BG77)&lt;52,IF('Capacity summary'!W77&lt;&gt;"",IF(LOWER('Capacity summary'!W77)="x",$BI165*W165,VALUE('Capacity summary'!W77)),0),W165*$BI165),W165*$BI165),0)</f>
        <v>0</v>
      </c>
      <c r="CA165" s="5">
        <f>IF($BI165&lt;&gt;"",IF('Capacity summary'!$C$14="Yes",IF(COUNTBLANK('Capacity summary'!$H77:$BG77)&lt;52,IF('Capacity summary'!X77&lt;&gt;"",IF(LOWER('Capacity summary'!X77)="x",$BI165*X165,VALUE('Capacity summary'!X77)),0),X165*$BI165),X165*$BI165),0)</f>
        <v>0</v>
      </c>
      <c r="CB165" s="5">
        <f>IF($BI165&lt;&gt;"",IF('Capacity summary'!$C$14="Yes",IF(COUNTBLANK('Capacity summary'!$H77:$BG77)&lt;52,IF('Capacity summary'!Y77&lt;&gt;"",IF(LOWER('Capacity summary'!Y77)="x",$BI165*Y165,VALUE('Capacity summary'!Y77)),0),Y165*$BI165),Y165*$BI165),0)</f>
        <v>0</v>
      </c>
      <c r="CC165" s="5">
        <f>IF($BI165&lt;&gt;"",IF('Capacity summary'!$C$14="Yes",IF(COUNTBLANK('Capacity summary'!$H77:$BG77)&lt;52,IF('Capacity summary'!Z77&lt;&gt;"",IF(LOWER('Capacity summary'!Z77)="x",$BI165*Z165,VALUE('Capacity summary'!Z77)),0),Z165*$BI165),Z165*$BI165),0)</f>
        <v>0</v>
      </c>
      <c r="CD165" s="5">
        <f>IF($BI165&lt;&gt;"",IF('Capacity summary'!$C$14="Yes",IF(COUNTBLANK('Capacity summary'!$H77:$BG77)&lt;52,IF('Capacity summary'!AA77&lt;&gt;"",IF(LOWER('Capacity summary'!AA77)="x",$BI165*AA165,VALUE('Capacity summary'!AA77)),0),AA165*$BI165),AA165*$BI165),0)</f>
        <v>0</v>
      </c>
      <c r="CE165" s="5">
        <f>IF($BI165&lt;&gt;"",IF('Capacity summary'!$C$14="Yes",IF(COUNTBLANK('Capacity summary'!$H77:$BG77)&lt;52,IF('Capacity summary'!AB77&lt;&gt;"",IF(LOWER('Capacity summary'!AB77)="x",$BI165*AB165,VALUE('Capacity summary'!AB77)),0),AB165*$BI165),AB165*$BI165),0)</f>
        <v>0</v>
      </c>
      <c r="CF165" s="5">
        <f>IF($BI165&lt;&gt;"",IF('Capacity summary'!$C$14="Yes",IF(COUNTBLANK('Capacity summary'!$H77:$BG77)&lt;52,IF('Capacity summary'!AC77&lt;&gt;"",IF(LOWER('Capacity summary'!AC77)="x",$BI165*AC165,VALUE('Capacity summary'!AC77)),0),AC165*$BI165),AC165*$BI165),0)</f>
        <v>0</v>
      </c>
      <c r="CG165" s="5">
        <f>IF($BI165&lt;&gt;"",IF('Capacity summary'!$C$14="Yes",IF(COUNTBLANK('Capacity summary'!$H77:$BG77)&lt;52,IF('Capacity summary'!AD77&lt;&gt;"",IF(LOWER('Capacity summary'!AD77)="x",$BI165*AD165,VALUE('Capacity summary'!AD77)),0),AD165*$BI165),AD165*$BI165),0)</f>
        <v>0</v>
      </c>
      <c r="CH165" s="5">
        <f>IF($BI165&lt;&gt;"",IF('Capacity summary'!$C$14="Yes",IF(COUNTBLANK('Capacity summary'!$H77:$BG77)&lt;52,IF('Capacity summary'!AE77&lt;&gt;"",IF(LOWER('Capacity summary'!AE77)="x",$BI165*AE165,VALUE('Capacity summary'!AE77)),0),AE165*$BI165),AE165*$BI165),0)</f>
        <v>0</v>
      </c>
      <c r="CI165" s="5">
        <f>IF($BI165&lt;&gt;"",IF('Capacity summary'!$C$14="Yes",IF(COUNTBLANK('Capacity summary'!$H77:$BG77)&lt;52,IF('Capacity summary'!AF77&lt;&gt;"",IF(LOWER('Capacity summary'!AF77)="x",$BI165*AF165,VALUE('Capacity summary'!AF77)),0),AF165*$BI165),AF165*$BI165),0)</f>
        <v>0</v>
      </c>
      <c r="CJ165" s="5">
        <f>IF($BI165&lt;&gt;"",IF('Capacity summary'!$C$14="Yes",IF(COUNTBLANK('Capacity summary'!$H77:$BG77)&lt;52,IF('Capacity summary'!AG77&lt;&gt;"",IF(LOWER('Capacity summary'!AG77)="x",$BI165*AG165,VALUE('Capacity summary'!AG77)),0),AG165*$BI165),AG165*$BI165),0)</f>
        <v>0</v>
      </c>
      <c r="CK165" s="5">
        <f>IF($BI165&lt;&gt;"",IF('Capacity summary'!$C$14="Yes",IF(COUNTBLANK('Capacity summary'!$H77:$BG77)&lt;52,IF('Capacity summary'!AH77&lt;&gt;"",IF(LOWER('Capacity summary'!AH77)="x",$BI165*AH165,VALUE('Capacity summary'!AH77)),0),AH165*$BI165),AH165*$BI165),0)</f>
        <v>0</v>
      </c>
      <c r="CL165" s="5">
        <f>IF($BI165&lt;&gt;"",IF('Capacity summary'!$C$14="Yes",IF(COUNTBLANK('Capacity summary'!$H77:$BG77)&lt;52,IF('Capacity summary'!AI77&lt;&gt;"",IF(LOWER('Capacity summary'!AI77)="x",$BI165*AI165,VALUE('Capacity summary'!AI77)),0),AI165*$BI165),AI165*$BI165),0)</f>
        <v>0</v>
      </c>
      <c r="CM165" s="5">
        <f>IF($BI165&lt;&gt;"",IF('Capacity summary'!$C$14="Yes",IF(COUNTBLANK('Capacity summary'!$H77:$BG77)&lt;52,IF('Capacity summary'!AJ77&lt;&gt;"",IF(LOWER('Capacity summary'!AJ77)="x",$BI165*AJ165,VALUE('Capacity summary'!AJ77)),0),AJ165*$BI165),AJ165*$BI165),0)</f>
        <v>0</v>
      </c>
      <c r="CN165" s="5">
        <f>IF($BI165&lt;&gt;"",IF('Capacity summary'!$C$14="Yes",IF(COUNTBLANK('Capacity summary'!$H77:$BG77)&lt;52,IF('Capacity summary'!AK77&lt;&gt;"",IF(LOWER('Capacity summary'!AK77)="x",$BI165*AK165,VALUE('Capacity summary'!AK77)),0),AK165*$BI165),AK165*$BI165),0)</f>
        <v>0</v>
      </c>
      <c r="CO165" s="5">
        <f>IF($BI165&lt;&gt;"",IF('Capacity summary'!$C$14="Yes",IF(COUNTBLANK('Capacity summary'!$H77:$BG77)&lt;52,IF('Capacity summary'!AL77&lt;&gt;"",IF(LOWER('Capacity summary'!AL77)="x",$BI165*AL165,VALUE('Capacity summary'!AL77)),0),AL165*$BI165),AL165*$BI165),0)</f>
        <v>0</v>
      </c>
      <c r="CP165" s="5">
        <f>IF($BI165&lt;&gt;"",IF('Capacity summary'!$C$14="Yes",IF(COUNTBLANK('Capacity summary'!$H77:$BG77)&lt;52,IF('Capacity summary'!AM77&lt;&gt;"",IF(LOWER('Capacity summary'!AM77)="x",$BI165*AM165,VALUE('Capacity summary'!AM77)),0),AM165*$BI165),AM165*$BI165),0)</f>
        <v>0</v>
      </c>
      <c r="CQ165" s="5">
        <f>IF($BI165&lt;&gt;"",IF('Capacity summary'!$C$14="Yes",IF(COUNTBLANK('Capacity summary'!$H77:$BG77)&lt;52,IF('Capacity summary'!AN77&lt;&gt;"",IF(LOWER('Capacity summary'!AN77)="x",$BI165*AN165,VALUE('Capacity summary'!AN77)),0),AN165*$BI165),AN165*$BI165),0)</f>
        <v>0</v>
      </c>
      <c r="CR165" s="5">
        <f>IF($BI165&lt;&gt;"",IF('Capacity summary'!$C$14="Yes",IF(COUNTBLANK('Capacity summary'!$H77:$BG77)&lt;52,IF('Capacity summary'!AO77&lt;&gt;"",IF(LOWER('Capacity summary'!AO77)="x",$BI165*AO165,VALUE('Capacity summary'!AO77)),0),AO165*$BI165),AO165*$BI165),0)</f>
        <v>0</v>
      </c>
      <c r="CS165" s="5">
        <f>IF($BI165&lt;&gt;"",IF('Capacity summary'!$C$14="Yes",IF(COUNTBLANK('Capacity summary'!$H77:$BG77)&lt;52,IF('Capacity summary'!AP77&lt;&gt;"",IF(LOWER('Capacity summary'!AP77)="x",$BI165*AP165,VALUE('Capacity summary'!AP77)),0),AP165*$BI165),AP165*$BI165),0)</f>
        <v>0</v>
      </c>
      <c r="CT165" s="5">
        <f>IF($BI165&lt;&gt;"",IF('Capacity summary'!$C$14="Yes",IF(COUNTBLANK('Capacity summary'!$H77:$BG77)&lt;52,IF('Capacity summary'!AQ77&lt;&gt;"",IF(LOWER('Capacity summary'!AQ77)="x",$BI165*AQ165,VALUE('Capacity summary'!AQ77)),0),AQ165*$BI165),AQ165*$BI165),0)</f>
        <v>0</v>
      </c>
      <c r="CU165" s="5">
        <f>IF($BI165&lt;&gt;"",IF('Capacity summary'!$C$14="Yes",IF(COUNTBLANK('Capacity summary'!$H77:$BG77)&lt;52,IF('Capacity summary'!AR77&lt;&gt;"",IF(LOWER('Capacity summary'!AR77)="x",$BI165*AR165,VALUE('Capacity summary'!AR77)),0),AR165*$BI165),AR165*$BI165),0)</f>
        <v>0</v>
      </c>
      <c r="CV165" s="5">
        <f>IF($BI165&lt;&gt;"",IF('Capacity summary'!$C$14="Yes",IF(COUNTBLANK('Capacity summary'!$H77:$BG77)&lt;52,IF('Capacity summary'!AS77&lt;&gt;"",IF(LOWER('Capacity summary'!AS77)="x",$BI165*AS165,VALUE('Capacity summary'!AS77)),0),AS165*$BI165),AS165*$BI165),0)</f>
        <v>0</v>
      </c>
      <c r="CW165" s="5">
        <f>IF($BI165&lt;&gt;"",IF('Capacity summary'!$C$14="Yes",IF(COUNTBLANK('Capacity summary'!$H77:$BG77)&lt;52,IF('Capacity summary'!AT77&lt;&gt;"",IF(LOWER('Capacity summary'!AT77)="x",$BI165*AT165,VALUE('Capacity summary'!AT77)),0),AT165*$BI165),AT165*$BI165),0)</f>
        <v>0</v>
      </c>
      <c r="CX165" s="5">
        <f>IF($BI165&lt;&gt;"",IF('Capacity summary'!$C$14="Yes",IF(COUNTBLANK('Capacity summary'!$H77:$BG77)&lt;52,IF('Capacity summary'!AU77&lt;&gt;"",IF(LOWER('Capacity summary'!AU77)="x",$BI165*AU165,VALUE('Capacity summary'!AU77)),0),AU165*$BI165),AU165*$BI165),0)</f>
        <v>0</v>
      </c>
      <c r="CY165" s="5">
        <f>IF($BI165&lt;&gt;"",IF('Capacity summary'!$C$14="Yes",IF(COUNTBLANK('Capacity summary'!$H77:$BG77)&lt;52,IF('Capacity summary'!AV77&lt;&gt;"",IF(LOWER('Capacity summary'!AV77)="x",$BI165*AV165,VALUE('Capacity summary'!AV77)),0),AV165*$BI165),AV165*$BI165),0)</f>
        <v>0</v>
      </c>
      <c r="CZ165" s="5">
        <f>IF($BI165&lt;&gt;"",IF('Capacity summary'!$C$14="Yes",IF(COUNTBLANK('Capacity summary'!$H77:$BG77)&lt;52,IF('Capacity summary'!AW77&lt;&gt;"",IF(LOWER('Capacity summary'!AW77)="x",$BI165*AW165,VALUE('Capacity summary'!AW77)),0),AW165*$BI165),AW165*$BI165),0)</f>
        <v>0</v>
      </c>
      <c r="DA165" s="5">
        <f>IF($BI165&lt;&gt;"",IF('Capacity summary'!$C$14="Yes",IF(COUNTBLANK('Capacity summary'!$H77:$BG77)&lt;52,IF('Capacity summary'!AX77&lt;&gt;"",IF(LOWER('Capacity summary'!AX77)="x",$BI165*AX165,VALUE('Capacity summary'!AX77)),0),AX165*$BI165),AX165*$BI165),0)</f>
        <v>0</v>
      </c>
      <c r="DB165" s="5">
        <f>IF($BI165&lt;&gt;"",IF('Capacity summary'!$C$14="Yes",IF(COUNTBLANK('Capacity summary'!$H77:$BG77)&lt;52,IF('Capacity summary'!AY77&lt;&gt;"",IF(LOWER('Capacity summary'!AY77)="x",$BI165*AY165,VALUE('Capacity summary'!AY77)),0),AY165*$BI165),AY165*$BI165),0)</f>
        <v>0</v>
      </c>
      <c r="DC165" s="5">
        <f>IF($BI165&lt;&gt;"",IF('Capacity summary'!$C$14="Yes",IF(COUNTBLANK('Capacity summary'!$H77:$BG77)&lt;52,IF('Capacity summary'!AZ77&lt;&gt;"",IF(LOWER('Capacity summary'!AZ77)="x",$BI165*AZ165,VALUE('Capacity summary'!AZ77)),0),AZ165*$BI165),AZ165*$BI165),0)</f>
        <v>0</v>
      </c>
      <c r="DD165" s="5">
        <f>IF($BI165&lt;&gt;"",IF('Capacity summary'!$C$14="Yes",IF(COUNTBLANK('Capacity summary'!$H77:$BG77)&lt;52,IF('Capacity summary'!BA77&lt;&gt;"",IF(LOWER('Capacity summary'!BA77)="x",$BI165*BA165,VALUE('Capacity summary'!BA77)),0),BA165*$BI165),BA165*$BI165),0)</f>
        <v>0</v>
      </c>
      <c r="DE165" s="5">
        <f>IF($BI165&lt;&gt;"",IF('Capacity summary'!$C$14="Yes",IF(COUNTBLANK('Capacity summary'!$H77:$BG77)&lt;52,IF('Capacity summary'!BB77&lt;&gt;"",IF(LOWER('Capacity summary'!BB77)="x",$BI165*BB165,VALUE('Capacity summary'!BB77)),0),BB165*$BI165),BB165*$BI165),0)</f>
        <v>0</v>
      </c>
      <c r="DF165" s="5">
        <f>IF($BI165&lt;&gt;"",IF('Capacity summary'!$C$14="Yes",IF(COUNTBLANK('Capacity summary'!$H77:$BG77)&lt;52,IF('Capacity summary'!BC77&lt;&gt;"",IF(LOWER('Capacity summary'!BC77)="x",$BI165*BC165,VALUE('Capacity summary'!BC77)),0),BC165*$BI165),BC165*$BI165),0)</f>
        <v>0</v>
      </c>
      <c r="DG165" s="5">
        <f>IF($BI165&lt;&gt;"",IF('Capacity summary'!$C$14="Yes",IF(COUNTBLANK('Capacity summary'!$H77:$BG77)&lt;52,IF('Capacity summary'!BD77&lt;&gt;"",IF(LOWER('Capacity summary'!BD77)="x",$BI165*BD165,VALUE('Capacity summary'!BD77)),0),BD165*$BI165),BD165*$BI165),0)</f>
        <v>0</v>
      </c>
      <c r="DH165" s="5">
        <f>IF($BI165&lt;&gt;"",IF('Capacity summary'!$C$14="Yes",IF(COUNTBLANK('Capacity summary'!$H77:$BG77)&lt;52,IF('Capacity summary'!BE77&lt;&gt;"",IF(LOWER('Capacity summary'!BE77)="x",$BI165*BE165,VALUE('Capacity summary'!BE77)),0),BE165*$BI165),BE165*$BI165),0)</f>
        <v>0</v>
      </c>
      <c r="DI165" s="5">
        <f>IF($BI165&lt;&gt;"",IF('Capacity summary'!$C$14="Yes",IF(COUNTBLANK('Capacity summary'!$H77:$BG77)&lt;52,IF('Capacity summary'!BF77&lt;&gt;"",IF(LOWER('Capacity summary'!BF77)="x",$BI165*BF165,VALUE('Capacity summary'!BF77)),0),BF165*$BI165),BF165*$BI165),0)</f>
        <v>0</v>
      </c>
      <c r="DJ165" s="5">
        <f>IF($BI165&lt;&gt;"",IF('Capacity summary'!$C$14="Yes",IF(COUNTBLANK('Capacity summary'!$H77:$BG77)&lt;52,IF('Capacity summary'!BG77&lt;&gt;"",IF(LOWER('Capacity summary'!BG77)="x",$BI165*BG165,VALUE('Capacity summary'!BG77)),0),BG165*$BI165),BG165*$BI165),0)</f>
        <v>0</v>
      </c>
      <c r="DK165" s="391">
        <f t="shared" si="8"/>
        <v>0</v>
      </c>
      <c r="DL165" s="5">
        <f t="shared" si="9"/>
        <v>0</v>
      </c>
    </row>
    <row r="166" spans="3:116" x14ac:dyDescent="0.2">
      <c r="C166" s="67" t="str">
        <f>ROW(A55)&amp;". "&amp;Capacity!N71</f>
        <v xml:space="preserve">55. </v>
      </c>
      <c r="D166" s="67">
        <f>'Capacity setup'!C172</f>
        <v>0</v>
      </c>
      <c r="E166" s="67">
        <f>'Capacity setup'!D172</f>
        <v>0</v>
      </c>
      <c r="F166" s="67">
        <f>'Capacity setup'!E172</f>
        <v>0</v>
      </c>
      <c r="H166" s="67">
        <f ca="1">IF(LOWER(Capacity!$V71)="x",IF(AND(SUMIF(Capacity_Resource,$D166,'Critical resources (hide)'!U$6:U$105)+SUMIF(Capacity_Resource,$E166,'Critical resources (hide)'!U$6:U$105)+SUMIF(Capacity_Resource,$F166,'Critical resources (hide)'!U$6:U$105)&gt;0,$E$1=2),0,1),0)</f>
        <v>1</v>
      </c>
      <c r="I166" s="67">
        <f ca="1">IF(LOWER(Capacity!$V71)="x",IF(AND(SUMIF(Capacity_Resource,$D166,'Critical resources (hide)'!V$6:V$105)+SUMIF(Capacity_Resource,$E166,'Critical resources (hide)'!V$6:V$105)+SUMIF(Capacity_Resource,$F166,'Critical resources (hide)'!V$6:V$105)&gt;0,$E$1=2),0,1),0)</f>
        <v>1</v>
      </c>
      <c r="J166" s="67">
        <f ca="1">IF(LOWER(Capacity!$V71)="x",IF(AND(SUMIF(Capacity_Resource,$D166,'Critical resources (hide)'!W$6:W$105)+SUMIF(Capacity_Resource,$E166,'Critical resources (hide)'!W$6:W$105)+SUMIF(Capacity_Resource,$F166,'Critical resources (hide)'!W$6:W$105)&gt;0,$E$1=2),0,1),0)</f>
        <v>1</v>
      </c>
      <c r="K166" s="67">
        <f ca="1">IF(LOWER(Capacity!$V71)="x",IF(AND(SUMIF(Capacity_Resource,$D166,'Critical resources (hide)'!X$6:X$105)+SUMIF(Capacity_Resource,$E166,'Critical resources (hide)'!X$6:X$105)+SUMIF(Capacity_Resource,$F166,'Critical resources (hide)'!X$6:X$105)&gt;0,$E$1=2),0,1),0)</f>
        <v>1</v>
      </c>
      <c r="L166" s="67">
        <f ca="1">IF(LOWER(Capacity!$V71)="x",IF(AND(SUMIF(Capacity_Resource,$D166,'Critical resources (hide)'!Y$6:Y$105)+SUMIF(Capacity_Resource,$E166,'Critical resources (hide)'!Y$6:Y$105)+SUMIF(Capacity_Resource,$F166,'Critical resources (hide)'!Y$6:Y$105)&gt;0,$E$1=2),0,1),0)</f>
        <v>1</v>
      </c>
      <c r="M166" s="67">
        <f ca="1">IF(LOWER(Capacity!$V71)="x",IF(AND(SUMIF(Capacity_Resource,$D166,'Critical resources (hide)'!Z$6:Z$105)+SUMIF(Capacity_Resource,$E166,'Critical resources (hide)'!Z$6:Z$105)+SUMIF(Capacity_Resource,$F166,'Critical resources (hide)'!Z$6:Z$105)&gt;0,$E$1=2),0,1),0)</f>
        <v>1</v>
      </c>
      <c r="N166" s="67">
        <f ca="1">IF(LOWER(Capacity!$V71)="x",IF(AND(SUMIF(Capacity_Resource,$D166,'Critical resources (hide)'!AA$6:AA$105)+SUMIF(Capacity_Resource,$E166,'Critical resources (hide)'!AA$6:AA$105)+SUMIF(Capacity_Resource,$F166,'Critical resources (hide)'!AA$6:AA$105)&gt;0,$E$1=2),0,1),0)</f>
        <v>1</v>
      </c>
      <c r="O166" s="67">
        <f ca="1">IF(LOWER(Capacity!$V71)="x",IF(AND(SUMIF(Capacity_Resource,$D166,'Critical resources (hide)'!AB$6:AB$105)+SUMIF(Capacity_Resource,$E166,'Critical resources (hide)'!AB$6:AB$105)+SUMIF(Capacity_Resource,$F166,'Critical resources (hide)'!AB$6:AB$105)&gt;0,$E$1=2),0,1),0)</f>
        <v>1</v>
      </c>
      <c r="P166" s="67">
        <f ca="1">IF(LOWER(Capacity!$V71)="x",IF(AND(SUMIF(Capacity_Resource,$D166,'Critical resources (hide)'!AC$6:AC$105)+SUMIF(Capacity_Resource,$E166,'Critical resources (hide)'!AC$6:AC$105)+SUMIF(Capacity_Resource,$F166,'Critical resources (hide)'!AC$6:AC$105)&gt;0,$E$1=2),0,1),0)</f>
        <v>1</v>
      </c>
      <c r="Q166" s="67">
        <f ca="1">IF(LOWER(Capacity!$V71)="x",IF(AND(SUMIF(Capacity_Resource,$D166,'Critical resources (hide)'!AD$6:AD$105)+SUMIF(Capacity_Resource,$E166,'Critical resources (hide)'!AD$6:AD$105)+SUMIF(Capacity_Resource,$F166,'Critical resources (hide)'!AD$6:AD$105)&gt;0,$E$1=2),0,1),0)</f>
        <v>1</v>
      </c>
      <c r="R166" s="67">
        <f ca="1">IF(LOWER(Capacity!$V71)="x",IF(AND(SUMIF(Capacity_Resource,$D166,'Critical resources (hide)'!AE$6:AE$105)+SUMIF(Capacity_Resource,$E166,'Critical resources (hide)'!AE$6:AE$105)+SUMIF(Capacity_Resource,$F166,'Critical resources (hide)'!AE$6:AE$105)&gt;0,$E$1=2),0,1),0)</f>
        <v>1</v>
      </c>
      <c r="S166" s="67">
        <f ca="1">IF(LOWER(Capacity!$V71)="x",IF(AND(SUMIF(Capacity_Resource,$D166,'Critical resources (hide)'!AF$6:AF$105)+SUMIF(Capacity_Resource,$E166,'Critical resources (hide)'!AF$6:AF$105)+SUMIF(Capacity_Resource,$F166,'Critical resources (hide)'!AF$6:AF$105)&gt;0,$E$1=2),0,1),0)</f>
        <v>1</v>
      </c>
      <c r="T166" s="67">
        <f ca="1">IF(LOWER(Capacity!$V71)="x",IF(AND(SUMIF(Capacity_Resource,$D166,'Critical resources (hide)'!AG$6:AG$105)+SUMIF(Capacity_Resource,$E166,'Critical resources (hide)'!AG$6:AG$105)+SUMIF(Capacity_Resource,$F166,'Critical resources (hide)'!AG$6:AG$105)&gt;0,$E$1=2),0,1),0)</f>
        <v>1</v>
      </c>
      <c r="U166" s="67">
        <f ca="1">IF(LOWER(Capacity!$V71)="x",IF(AND(SUMIF(Capacity_Resource,$D166,'Critical resources (hide)'!AH$6:AH$105)+SUMIF(Capacity_Resource,$E166,'Critical resources (hide)'!AH$6:AH$105)+SUMIF(Capacity_Resource,$F166,'Critical resources (hide)'!AH$6:AH$105)&gt;0,$E$1=2),0,1),0)</f>
        <v>1</v>
      </c>
      <c r="V166" s="67">
        <f ca="1">IF(LOWER(Capacity!$V71)="x",IF(AND(SUMIF(Capacity_Resource,$D166,'Critical resources (hide)'!AI$6:AI$105)+SUMIF(Capacity_Resource,$E166,'Critical resources (hide)'!AI$6:AI$105)+SUMIF(Capacity_Resource,$F166,'Critical resources (hide)'!AI$6:AI$105)&gt;0,$E$1=2),0,1),0)</f>
        <v>1</v>
      </c>
      <c r="W166" s="67">
        <f ca="1">IF(LOWER(Capacity!$V71)="x",IF(AND(SUMIF(Capacity_Resource,$D166,'Critical resources (hide)'!AJ$6:AJ$105)+SUMIF(Capacity_Resource,$E166,'Critical resources (hide)'!AJ$6:AJ$105)+SUMIF(Capacity_Resource,$F166,'Critical resources (hide)'!AJ$6:AJ$105)&gt;0,$E$1=2),0,1),0)</f>
        <v>1</v>
      </c>
      <c r="X166" s="67">
        <f ca="1">IF(LOWER(Capacity!$V71)="x",IF(AND(SUMIF(Capacity_Resource,$D166,'Critical resources (hide)'!AK$6:AK$105)+SUMIF(Capacity_Resource,$E166,'Critical resources (hide)'!AK$6:AK$105)+SUMIF(Capacity_Resource,$F166,'Critical resources (hide)'!AK$6:AK$105)&gt;0,$E$1=2),0,1),0)</f>
        <v>1</v>
      </c>
      <c r="Y166" s="67">
        <f ca="1">IF(LOWER(Capacity!$V71)="x",IF(AND(SUMIF(Capacity_Resource,$D166,'Critical resources (hide)'!AL$6:AL$105)+SUMIF(Capacity_Resource,$E166,'Critical resources (hide)'!AL$6:AL$105)+SUMIF(Capacity_Resource,$F166,'Critical resources (hide)'!AL$6:AL$105)&gt;0,$E$1=2),0,1),0)</f>
        <v>1</v>
      </c>
      <c r="Z166" s="67">
        <f ca="1">IF(LOWER(Capacity!$V71)="x",IF(AND(SUMIF(Capacity_Resource,$D166,'Critical resources (hide)'!AM$6:AM$105)+SUMIF(Capacity_Resource,$E166,'Critical resources (hide)'!AM$6:AM$105)+SUMIF(Capacity_Resource,$F166,'Critical resources (hide)'!AM$6:AM$105)&gt;0,$E$1=2),0,1),0)</f>
        <v>1</v>
      </c>
      <c r="AA166" s="67">
        <f ca="1">IF(LOWER(Capacity!$V71)="x",IF(AND(SUMIF(Capacity_Resource,$D166,'Critical resources (hide)'!AN$6:AN$105)+SUMIF(Capacity_Resource,$E166,'Critical resources (hide)'!AN$6:AN$105)+SUMIF(Capacity_Resource,$F166,'Critical resources (hide)'!AN$6:AN$105)&gt;0,$E$1=2),0,1),0)</f>
        <v>1</v>
      </c>
      <c r="AB166" s="67">
        <f ca="1">IF(LOWER(Capacity!$V71)="x",IF(AND(SUMIF(Capacity_Resource,$D166,'Critical resources (hide)'!AO$6:AO$105)+SUMIF(Capacity_Resource,$E166,'Critical resources (hide)'!AO$6:AO$105)+SUMIF(Capacity_Resource,$F166,'Critical resources (hide)'!AO$6:AO$105)&gt;0,$E$1=2),0,1),0)</f>
        <v>1</v>
      </c>
      <c r="AC166" s="67">
        <f ca="1">IF(LOWER(Capacity!$V71)="x",IF(AND(SUMIF(Capacity_Resource,$D166,'Critical resources (hide)'!AP$6:AP$105)+SUMIF(Capacity_Resource,$E166,'Critical resources (hide)'!AP$6:AP$105)+SUMIF(Capacity_Resource,$F166,'Critical resources (hide)'!AP$6:AP$105)&gt;0,$E$1=2),0,1),0)</f>
        <v>1</v>
      </c>
      <c r="AD166" s="67">
        <f ca="1">IF(LOWER(Capacity!$V71)="x",IF(AND(SUMIF(Capacity_Resource,$D166,'Critical resources (hide)'!AQ$6:AQ$105)+SUMIF(Capacity_Resource,$E166,'Critical resources (hide)'!AQ$6:AQ$105)+SUMIF(Capacity_Resource,$F166,'Critical resources (hide)'!AQ$6:AQ$105)&gt;0,$E$1=2),0,1),0)</f>
        <v>1</v>
      </c>
      <c r="AE166" s="67">
        <f ca="1">IF(LOWER(Capacity!$V71)="x",IF(AND(SUMIF(Capacity_Resource,$D166,'Critical resources (hide)'!AR$6:AR$105)+SUMIF(Capacity_Resource,$E166,'Critical resources (hide)'!AR$6:AR$105)+SUMIF(Capacity_Resource,$F166,'Critical resources (hide)'!AR$6:AR$105)&gt;0,$E$1=2),0,1),0)</f>
        <v>1</v>
      </c>
      <c r="AF166" s="67">
        <f ca="1">IF(LOWER(Capacity!$V71)="x",IF(AND(SUMIF(Capacity_Resource,$D166,'Critical resources (hide)'!AS$6:AS$105)+SUMIF(Capacity_Resource,$E166,'Critical resources (hide)'!AS$6:AS$105)+SUMIF(Capacity_Resource,$F166,'Critical resources (hide)'!AS$6:AS$105)&gt;0,$E$1=2),0,1),0)</f>
        <v>1</v>
      </c>
      <c r="AG166" s="67">
        <f ca="1">IF(LOWER(Capacity!$V71)="x",IF(AND(SUMIF(Capacity_Resource,$D166,'Critical resources (hide)'!AT$6:AT$105)+SUMIF(Capacity_Resource,$E166,'Critical resources (hide)'!AT$6:AT$105)+SUMIF(Capacity_Resource,$F166,'Critical resources (hide)'!AT$6:AT$105)&gt;0,$E$1=2),0,1),0)</f>
        <v>1</v>
      </c>
      <c r="AH166" s="67">
        <f ca="1">IF(LOWER(Capacity!$V71)="x",IF(AND(SUMIF(Capacity_Resource,$D166,'Critical resources (hide)'!AU$6:AU$105)+SUMIF(Capacity_Resource,$E166,'Critical resources (hide)'!AU$6:AU$105)+SUMIF(Capacity_Resource,$F166,'Critical resources (hide)'!AU$6:AU$105)&gt;0,$E$1=2),0,1),0)</f>
        <v>1</v>
      </c>
      <c r="AI166" s="67">
        <f ca="1">IF(LOWER(Capacity!$V71)="x",IF(AND(SUMIF(Capacity_Resource,$D166,'Critical resources (hide)'!AV$6:AV$105)+SUMIF(Capacity_Resource,$E166,'Critical resources (hide)'!AV$6:AV$105)+SUMIF(Capacity_Resource,$F166,'Critical resources (hide)'!AV$6:AV$105)&gt;0,$E$1=2),0,1),0)</f>
        <v>1</v>
      </c>
      <c r="AJ166" s="67">
        <f ca="1">IF(LOWER(Capacity!$V71)="x",IF(AND(SUMIF(Capacity_Resource,$D166,'Critical resources (hide)'!AW$6:AW$105)+SUMIF(Capacity_Resource,$E166,'Critical resources (hide)'!AW$6:AW$105)+SUMIF(Capacity_Resource,$F166,'Critical resources (hide)'!AW$6:AW$105)&gt;0,$E$1=2),0,1),0)</f>
        <v>1</v>
      </c>
      <c r="AK166" s="67">
        <f ca="1">IF(LOWER(Capacity!$V71)="x",IF(AND(SUMIF(Capacity_Resource,$D166,'Critical resources (hide)'!AX$6:AX$105)+SUMIF(Capacity_Resource,$E166,'Critical resources (hide)'!AX$6:AX$105)+SUMIF(Capacity_Resource,$F166,'Critical resources (hide)'!AX$6:AX$105)&gt;0,$E$1=2),0,1),0)</f>
        <v>1</v>
      </c>
      <c r="AL166" s="67">
        <f ca="1">IF(LOWER(Capacity!$V71)="x",IF(AND(SUMIF(Capacity_Resource,$D166,'Critical resources (hide)'!AY$6:AY$105)+SUMIF(Capacity_Resource,$E166,'Critical resources (hide)'!AY$6:AY$105)+SUMIF(Capacity_Resource,$F166,'Critical resources (hide)'!AY$6:AY$105)&gt;0,$E$1=2),0,1),0)</f>
        <v>1</v>
      </c>
      <c r="AM166" s="67">
        <f ca="1">IF(LOWER(Capacity!$V71)="x",IF(AND(SUMIF(Capacity_Resource,$D166,'Critical resources (hide)'!AZ$6:AZ$105)+SUMIF(Capacity_Resource,$E166,'Critical resources (hide)'!AZ$6:AZ$105)+SUMIF(Capacity_Resource,$F166,'Critical resources (hide)'!AZ$6:AZ$105)&gt;0,$E$1=2),0,1),0)</f>
        <v>1</v>
      </c>
      <c r="AN166" s="67">
        <f ca="1">IF(LOWER(Capacity!$V71)="x",IF(AND(SUMIF(Capacity_Resource,$D166,'Critical resources (hide)'!BA$6:BA$105)+SUMIF(Capacity_Resource,$E166,'Critical resources (hide)'!BA$6:BA$105)+SUMIF(Capacity_Resource,$F166,'Critical resources (hide)'!BA$6:BA$105)&gt;0,$E$1=2),0,1),0)</f>
        <v>1</v>
      </c>
      <c r="AO166" s="67">
        <f ca="1">IF(LOWER(Capacity!$V71)="x",IF(AND(SUMIF(Capacity_Resource,$D166,'Critical resources (hide)'!BB$6:BB$105)+SUMIF(Capacity_Resource,$E166,'Critical resources (hide)'!BB$6:BB$105)+SUMIF(Capacity_Resource,$F166,'Critical resources (hide)'!BB$6:BB$105)&gt;0,$E$1=2),0,1),0)</f>
        <v>1</v>
      </c>
      <c r="AP166" s="67">
        <f ca="1">IF(LOWER(Capacity!$V71)="x",IF(AND(SUMIF(Capacity_Resource,$D166,'Critical resources (hide)'!BC$6:BC$105)+SUMIF(Capacity_Resource,$E166,'Critical resources (hide)'!BC$6:BC$105)+SUMIF(Capacity_Resource,$F166,'Critical resources (hide)'!BC$6:BC$105)&gt;0,$E$1=2),0,1),0)</f>
        <v>1</v>
      </c>
      <c r="AQ166" s="67">
        <f ca="1">IF(LOWER(Capacity!$V71)="x",IF(AND(SUMIF(Capacity_Resource,$D166,'Critical resources (hide)'!BD$6:BD$105)+SUMIF(Capacity_Resource,$E166,'Critical resources (hide)'!BD$6:BD$105)+SUMIF(Capacity_Resource,$F166,'Critical resources (hide)'!BD$6:BD$105)&gt;0,$E$1=2),0,1),0)</f>
        <v>1</v>
      </c>
      <c r="AR166" s="67">
        <f ca="1">IF(LOWER(Capacity!$V71)="x",IF(AND(SUMIF(Capacity_Resource,$D166,'Critical resources (hide)'!BE$6:BE$105)+SUMIF(Capacity_Resource,$E166,'Critical resources (hide)'!BE$6:BE$105)+SUMIF(Capacity_Resource,$F166,'Critical resources (hide)'!BE$6:BE$105)&gt;0,$E$1=2),0,1),0)</f>
        <v>1</v>
      </c>
      <c r="AS166" s="67">
        <f ca="1">IF(LOWER(Capacity!$V71)="x",IF(AND(SUMIF(Capacity_Resource,$D166,'Critical resources (hide)'!BF$6:BF$105)+SUMIF(Capacity_Resource,$E166,'Critical resources (hide)'!BF$6:BF$105)+SUMIF(Capacity_Resource,$F166,'Critical resources (hide)'!BF$6:BF$105)&gt;0,$E$1=2),0,1),0)</f>
        <v>1</v>
      </c>
      <c r="AT166" s="67">
        <f ca="1">IF(LOWER(Capacity!$V71)="x",IF(AND(SUMIF(Capacity_Resource,$D166,'Critical resources (hide)'!BG$6:BG$105)+SUMIF(Capacity_Resource,$E166,'Critical resources (hide)'!BG$6:BG$105)+SUMIF(Capacity_Resource,$F166,'Critical resources (hide)'!BG$6:BG$105)&gt;0,$E$1=2),0,1),0)</f>
        <v>1</v>
      </c>
      <c r="AU166" s="67">
        <f ca="1">IF(LOWER(Capacity!$V71)="x",IF(AND(SUMIF(Capacity_Resource,$D166,'Critical resources (hide)'!BH$6:BH$105)+SUMIF(Capacity_Resource,$E166,'Critical resources (hide)'!BH$6:BH$105)+SUMIF(Capacity_Resource,$F166,'Critical resources (hide)'!BH$6:BH$105)&gt;0,$E$1=2),0,1),0)</f>
        <v>1</v>
      </c>
      <c r="AV166" s="67">
        <f ca="1">IF(LOWER(Capacity!$V71)="x",IF(AND(SUMIF(Capacity_Resource,$D166,'Critical resources (hide)'!BI$6:BI$105)+SUMIF(Capacity_Resource,$E166,'Critical resources (hide)'!BI$6:BI$105)+SUMIF(Capacity_Resource,$F166,'Critical resources (hide)'!BI$6:BI$105)&gt;0,$E$1=2),0,1),0)</f>
        <v>1</v>
      </c>
      <c r="AW166" s="67">
        <f ca="1">IF(LOWER(Capacity!$V71)="x",IF(AND(SUMIF(Capacity_Resource,$D166,'Critical resources (hide)'!BJ$6:BJ$105)+SUMIF(Capacity_Resource,$E166,'Critical resources (hide)'!BJ$6:BJ$105)+SUMIF(Capacity_Resource,$F166,'Critical resources (hide)'!BJ$6:BJ$105)&gt;0,$E$1=2),0,1),0)</f>
        <v>1</v>
      </c>
      <c r="AX166" s="67">
        <f ca="1">IF(LOWER(Capacity!$V71)="x",IF(AND(SUMIF(Capacity_Resource,$D166,'Critical resources (hide)'!BK$6:BK$105)+SUMIF(Capacity_Resource,$E166,'Critical resources (hide)'!BK$6:BK$105)+SUMIF(Capacity_Resource,$F166,'Critical resources (hide)'!BK$6:BK$105)&gt;0,$E$1=2),0,1),0)</f>
        <v>1</v>
      </c>
      <c r="AY166" s="67">
        <f ca="1">IF(LOWER(Capacity!$V71)="x",IF(AND(SUMIF(Capacity_Resource,$D166,'Critical resources (hide)'!BL$6:BL$105)+SUMIF(Capacity_Resource,$E166,'Critical resources (hide)'!BL$6:BL$105)+SUMIF(Capacity_Resource,$F166,'Critical resources (hide)'!BL$6:BL$105)&gt;0,$E$1=2),0,1),0)</f>
        <v>1</v>
      </c>
      <c r="AZ166" s="67">
        <f ca="1">IF(LOWER(Capacity!$V71)="x",IF(AND(SUMIF(Capacity_Resource,$D166,'Critical resources (hide)'!BM$6:BM$105)+SUMIF(Capacity_Resource,$E166,'Critical resources (hide)'!BM$6:BM$105)+SUMIF(Capacity_Resource,$F166,'Critical resources (hide)'!BM$6:BM$105)&gt;0,$E$1=2),0,1),0)</f>
        <v>1</v>
      </c>
      <c r="BA166" s="67">
        <f ca="1">IF(LOWER(Capacity!$V71)="x",IF(AND(SUMIF(Capacity_Resource,$D166,'Critical resources (hide)'!BN$6:BN$105)+SUMIF(Capacity_Resource,$E166,'Critical resources (hide)'!BN$6:BN$105)+SUMIF(Capacity_Resource,$F166,'Critical resources (hide)'!BN$6:BN$105)&gt;0,$E$1=2),0,1),0)</f>
        <v>1</v>
      </c>
      <c r="BB166" s="67">
        <f ca="1">IF(LOWER(Capacity!$V71)="x",IF(AND(SUMIF(Capacity_Resource,$D166,'Critical resources (hide)'!BO$6:BO$105)+SUMIF(Capacity_Resource,$E166,'Critical resources (hide)'!BO$6:BO$105)+SUMIF(Capacity_Resource,$F166,'Critical resources (hide)'!BO$6:BO$105)&gt;0,$E$1=2),0,1),0)</f>
        <v>1</v>
      </c>
      <c r="BC166" s="67">
        <f ca="1">IF(LOWER(Capacity!$V71)="x",IF(AND(SUMIF(Capacity_Resource,$D166,'Critical resources (hide)'!BP$6:BP$105)+SUMIF(Capacity_Resource,$E166,'Critical resources (hide)'!BP$6:BP$105)+SUMIF(Capacity_Resource,$F166,'Critical resources (hide)'!BP$6:BP$105)&gt;0,$E$1=2),0,1),0)</f>
        <v>1</v>
      </c>
      <c r="BD166" s="67">
        <f ca="1">IF(LOWER(Capacity!$V71)="x",IF(AND(SUMIF(Capacity_Resource,$D166,'Critical resources (hide)'!BQ$6:BQ$105)+SUMIF(Capacity_Resource,$E166,'Critical resources (hide)'!BQ$6:BQ$105)+SUMIF(Capacity_Resource,$F166,'Critical resources (hide)'!BQ$6:BQ$105)&gt;0,$E$1=2),0,1),0)</f>
        <v>1</v>
      </c>
      <c r="BE166" s="67">
        <f ca="1">IF(LOWER(Capacity!$V71)="x",IF(AND(SUMIF(Capacity_Resource,$D166,'Critical resources (hide)'!BR$6:BR$105)+SUMIF(Capacity_Resource,$E166,'Critical resources (hide)'!BR$6:BR$105)+SUMIF(Capacity_Resource,$F166,'Critical resources (hide)'!BR$6:BR$105)&gt;0,$E$1=2),0,1),0)</f>
        <v>1</v>
      </c>
      <c r="BF166" s="67">
        <f ca="1">IF(LOWER(Capacity!$V71)="x",IF(AND(SUMIF(Capacity_Resource,$D166,'Critical resources (hide)'!BS$6:BS$105)+SUMIF(Capacity_Resource,$E166,'Critical resources (hide)'!BS$6:BS$105)+SUMIF(Capacity_Resource,$F166,'Critical resources (hide)'!BS$6:BS$105)&gt;0,$E$1=2),0,1),0)</f>
        <v>1</v>
      </c>
      <c r="BG166" s="67">
        <f ca="1">IF(LOWER(Capacity!$V71)="x",IF(AND(SUMIF(Capacity_Resource,$D166,'Critical resources (hide)'!BT$6:BT$105)+SUMIF(Capacity_Resource,$E166,'Critical resources (hide)'!BT$6:BT$105)+SUMIF(Capacity_Resource,$F166,'Critical resources (hide)'!BT$6:BT$105)&gt;0,$E$1=2),0,1),0)</f>
        <v>1</v>
      </c>
      <c r="BH166" s="67">
        <f>IF(ROW(A55)&lt;=Capacity!$M$16,IF('Capacity summary'!$C$14="No",SUM(H166:BG166),'Capacity summary'!$E78),0)</f>
        <v>0</v>
      </c>
      <c r="BI166" s="67" t="str">
        <f>IF(BH166&gt;0,IF(BH166&lt;Capacity!Q71,Capacity!R71,Capacity!T71/'Capacity calculation (hide)'!BH166),"")</f>
        <v/>
      </c>
      <c r="BJ166" s="5"/>
      <c r="BK166" s="5">
        <f>IF($BI166&lt;&gt;"",IF('Capacity summary'!$C$14="Yes",IF(COUNTBLANK('Capacity summary'!$H78:$BG78)&lt;52,IF('Capacity summary'!H78&lt;&gt;"",IF(LOWER('Capacity summary'!H78)="x",$BI166*H166,VALUE('Capacity summary'!H78)),0),H166*$BI166),H166*$BI166),0)</f>
        <v>0</v>
      </c>
      <c r="BL166" s="5">
        <f>IF($BI166&lt;&gt;"",IF('Capacity summary'!$C$14="Yes",IF(COUNTBLANK('Capacity summary'!$H78:$BG78)&lt;52,IF('Capacity summary'!I78&lt;&gt;"",IF(LOWER('Capacity summary'!I78)="x",$BI166*I166,VALUE('Capacity summary'!I78)),0),I166*$BI166),I166*$BI166),0)</f>
        <v>0</v>
      </c>
      <c r="BM166" s="5">
        <f>IF($BI166&lt;&gt;"",IF('Capacity summary'!$C$14="Yes",IF(COUNTBLANK('Capacity summary'!$H78:$BG78)&lt;52,IF('Capacity summary'!J78&lt;&gt;"",IF(LOWER('Capacity summary'!J78)="x",$BI166*J166,VALUE('Capacity summary'!J78)),0),J166*$BI166),J166*$BI166),0)</f>
        <v>0</v>
      </c>
      <c r="BN166" s="5">
        <f>IF($BI166&lt;&gt;"",IF('Capacity summary'!$C$14="Yes",IF(COUNTBLANK('Capacity summary'!$H78:$BG78)&lt;52,IF('Capacity summary'!K78&lt;&gt;"",IF(LOWER('Capacity summary'!K78)="x",$BI166*K166,VALUE('Capacity summary'!K78)),0),K166*$BI166),K166*$BI166),0)</f>
        <v>0</v>
      </c>
      <c r="BO166" s="5">
        <f>IF($BI166&lt;&gt;"",IF('Capacity summary'!$C$14="Yes",IF(COUNTBLANK('Capacity summary'!$H78:$BG78)&lt;52,IF('Capacity summary'!L78&lt;&gt;"",IF(LOWER('Capacity summary'!L78)="x",$BI166*L166,VALUE('Capacity summary'!L78)),0),L166*$BI166),L166*$BI166),0)</f>
        <v>0</v>
      </c>
      <c r="BP166" s="5">
        <f>IF($BI166&lt;&gt;"",IF('Capacity summary'!$C$14="Yes",IF(COUNTBLANK('Capacity summary'!$H78:$BG78)&lt;52,IF('Capacity summary'!M78&lt;&gt;"",IF(LOWER('Capacity summary'!M78)="x",$BI166*M166,VALUE('Capacity summary'!M78)),0),M166*$BI166),M166*$BI166),0)</f>
        <v>0</v>
      </c>
      <c r="BQ166" s="5">
        <f>IF($BI166&lt;&gt;"",IF('Capacity summary'!$C$14="Yes",IF(COUNTBLANK('Capacity summary'!$H78:$BG78)&lt;52,IF('Capacity summary'!N78&lt;&gt;"",IF(LOWER('Capacity summary'!N78)="x",$BI166*N166,VALUE('Capacity summary'!N78)),0),N166*$BI166),N166*$BI166),0)</f>
        <v>0</v>
      </c>
      <c r="BR166" s="5">
        <f>IF($BI166&lt;&gt;"",IF('Capacity summary'!$C$14="Yes",IF(COUNTBLANK('Capacity summary'!$H78:$BG78)&lt;52,IF('Capacity summary'!O78&lt;&gt;"",IF(LOWER('Capacity summary'!O78)="x",$BI166*O166,VALUE('Capacity summary'!O78)),0),O166*$BI166),O166*$BI166),0)</f>
        <v>0</v>
      </c>
      <c r="BS166" s="5">
        <f>IF($BI166&lt;&gt;"",IF('Capacity summary'!$C$14="Yes",IF(COUNTBLANK('Capacity summary'!$H78:$BG78)&lt;52,IF('Capacity summary'!P78&lt;&gt;"",IF(LOWER('Capacity summary'!P78)="x",$BI166*P166,VALUE('Capacity summary'!P78)),0),P166*$BI166),P166*$BI166),0)</f>
        <v>0</v>
      </c>
      <c r="BT166" s="5">
        <f>IF($BI166&lt;&gt;"",IF('Capacity summary'!$C$14="Yes",IF(COUNTBLANK('Capacity summary'!$H78:$BG78)&lt;52,IF('Capacity summary'!Q78&lt;&gt;"",IF(LOWER('Capacity summary'!Q78)="x",$BI166*Q166,VALUE('Capacity summary'!Q78)),0),Q166*$BI166),Q166*$BI166),0)</f>
        <v>0</v>
      </c>
      <c r="BU166" s="5">
        <f>IF($BI166&lt;&gt;"",IF('Capacity summary'!$C$14="Yes",IF(COUNTBLANK('Capacity summary'!$H78:$BG78)&lt;52,IF('Capacity summary'!R78&lt;&gt;"",IF(LOWER('Capacity summary'!R78)="x",$BI166*R166,VALUE('Capacity summary'!R78)),0),R166*$BI166),R166*$BI166),0)</f>
        <v>0</v>
      </c>
      <c r="BV166" s="5">
        <f>IF($BI166&lt;&gt;"",IF('Capacity summary'!$C$14="Yes",IF(COUNTBLANK('Capacity summary'!$H78:$BG78)&lt;52,IF('Capacity summary'!S78&lt;&gt;"",IF(LOWER('Capacity summary'!S78)="x",$BI166*S166,VALUE('Capacity summary'!S78)),0),S166*$BI166),S166*$BI166),0)</f>
        <v>0</v>
      </c>
      <c r="BW166" s="5">
        <f>IF($BI166&lt;&gt;"",IF('Capacity summary'!$C$14="Yes",IF(COUNTBLANK('Capacity summary'!$H78:$BG78)&lt;52,IF('Capacity summary'!T78&lt;&gt;"",IF(LOWER('Capacity summary'!T78)="x",$BI166*T166,VALUE('Capacity summary'!T78)),0),T166*$BI166),T166*$BI166),0)</f>
        <v>0</v>
      </c>
      <c r="BX166" s="5">
        <f>IF($BI166&lt;&gt;"",IF('Capacity summary'!$C$14="Yes",IF(COUNTBLANK('Capacity summary'!$H78:$BG78)&lt;52,IF('Capacity summary'!U78&lt;&gt;"",IF(LOWER('Capacity summary'!U78)="x",$BI166*U166,VALUE('Capacity summary'!U78)),0),U166*$BI166),U166*$BI166),0)</f>
        <v>0</v>
      </c>
      <c r="BY166" s="5">
        <f>IF($BI166&lt;&gt;"",IF('Capacity summary'!$C$14="Yes",IF(COUNTBLANK('Capacity summary'!$H78:$BG78)&lt;52,IF('Capacity summary'!V78&lt;&gt;"",IF(LOWER('Capacity summary'!V78)="x",$BI166*V166,VALUE('Capacity summary'!V78)),0),V166*$BI166),V166*$BI166),0)</f>
        <v>0</v>
      </c>
      <c r="BZ166" s="5">
        <f>IF($BI166&lt;&gt;"",IF('Capacity summary'!$C$14="Yes",IF(COUNTBLANK('Capacity summary'!$H78:$BG78)&lt;52,IF('Capacity summary'!W78&lt;&gt;"",IF(LOWER('Capacity summary'!W78)="x",$BI166*W166,VALUE('Capacity summary'!W78)),0),W166*$BI166),W166*$BI166),0)</f>
        <v>0</v>
      </c>
      <c r="CA166" s="5">
        <f>IF($BI166&lt;&gt;"",IF('Capacity summary'!$C$14="Yes",IF(COUNTBLANK('Capacity summary'!$H78:$BG78)&lt;52,IF('Capacity summary'!X78&lt;&gt;"",IF(LOWER('Capacity summary'!X78)="x",$BI166*X166,VALUE('Capacity summary'!X78)),0),X166*$BI166),X166*$BI166),0)</f>
        <v>0</v>
      </c>
      <c r="CB166" s="5">
        <f>IF($BI166&lt;&gt;"",IF('Capacity summary'!$C$14="Yes",IF(COUNTBLANK('Capacity summary'!$H78:$BG78)&lt;52,IF('Capacity summary'!Y78&lt;&gt;"",IF(LOWER('Capacity summary'!Y78)="x",$BI166*Y166,VALUE('Capacity summary'!Y78)),0),Y166*$BI166),Y166*$BI166),0)</f>
        <v>0</v>
      </c>
      <c r="CC166" s="5">
        <f>IF($BI166&lt;&gt;"",IF('Capacity summary'!$C$14="Yes",IF(COUNTBLANK('Capacity summary'!$H78:$BG78)&lt;52,IF('Capacity summary'!Z78&lt;&gt;"",IF(LOWER('Capacity summary'!Z78)="x",$BI166*Z166,VALUE('Capacity summary'!Z78)),0),Z166*$BI166),Z166*$BI166),0)</f>
        <v>0</v>
      </c>
      <c r="CD166" s="5">
        <f>IF($BI166&lt;&gt;"",IF('Capacity summary'!$C$14="Yes",IF(COUNTBLANK('Capacity summary'!$H78:$BG78)&lt;52,IF('Capacity summary'!AA78&lt;&gt;"",IF(LOWER('Capacity summary'!AA78)="x",$BI166*AA166,VALUE('Capacity summary'!AA78)),0),AA166*$BI166),AA166*$BI166),0)</f>
        <v>0</v>
      </c>
      <c r="CE166" s="5">
        <f>IF($BI166&lt;&gt;"",IF('Capacity summary'!$C$14="Yes",IF(COUNTBLANK('Capacity summary'!$H78:$BG78)&lt;52,IF('Capacity summary'!AB78&lt;&gt;"",IF(LOWER('Capacity summary'!AB78)="x",$BI166*AB166,VALUE('Capacity summary'!AB78)),0),AB166*$BI166),AB166*$BI166),0)</f>
        <v>0</v>
      </c>
      <c r="CF166" s="5">
        <f>IF($BI166&lt;&gt;"",IF('Capacity summary'!$C$14="Yes",IF(COUNTBLANK('Capacity summary'!$H78:$BG78)&lt;52,IF('Capacity summary'!AC78&lt;&gt;"",IF(LOWER('Capacity summary'!AC78)="x",$BI166*AC166,VALUE('Capacity summary'!AC78)),0),AC166*$BI166),AC166*$BI166),0)</f>
        <v>0</v>
      </c>
      <c r="CG166" s="5">
        <f>IF($BI166&lt;&gt;"",IF('Capacity summary'!$C$14="Yes",IF(COUNTBLANK('Capacity summary'!$H78:$BG78)&lt;52,IF('Capacity summary'!AD78&lt;&gt;"",IF(LOWER('Capacity summary'!AD78)="x",$BI166*AD166,VALUE('Capacity summary'!AD78)),0),AD166*$BI166),AD166*$BI166),0)</f>
        <v>0</v>
      </c>
      <c r="CH166" s="5">
        <f>IF($BI166&lt;&gt;"",IF('Capacity summary'!$C$14="Yes",IF(COUNTBLANK('Capacity summary'!$H78:$BG78)&lt;52,IF('Capacity summary'!AE78&lt;&gt;"",IF(LOWER('Capacity summary'!AE78)="x",$BI166*AE166,VALUE('Capacity summary'!AE78)),0),AE166*$BI166),AE166*$BI166),0)</f>
        <v>0</v>
      </c>
      <c r="CI166" s="5">
        <f>IF($BI166&lt;&gt;"",IF('Capacity summary'!$C$14="Yes",IF(COUNTBLANK('Capacity summary'!$H78:$BG78)&lt;52,IF('Capacity summary'!AF78&lt;&gt;"",IF(LOWER('Capacity summary'!AF78)="x",$BI166*AF166,VALUE('Capacity summary'!AF78)),0),AF166*$BI166),AF166*$BI166),0)</f>
        <v>0</v>
      </c>
      <c r="CJ166" s="5">
        <f>IF($BI166&lt;&gt;"",IF('Capacity summary'!$C$14="Yes",IF(COUNTBLANK('Capacity summary'!$H78:$BG78)&lt;52,IF('Capacity summary'!AG78&lt;&gt;"",IF(LOWER('Capacity summary'!AG78)="x",$BI166*AG166,VALUE('Capacity summary'!AG78)),0),AG166*$BI166),AG166*$BI166),0)</f>
        <v>0</v>
      </c>
      <c r="CK166" s="5">
        <f>IF($BI166&lt;&gt;"",IF('Capacity summary'!$C$14="Yes",IF(COUNTBLANK('Capacity summary'!$H78:$BG78)&lt;52,IF('Capacity summary'!AH78&lt;&gt;"",IF(LOWER('Capacity summary'!AH78)="x",$BI166*AH166,VALUE('Capacity summary'!AH78)),0),AH166*$BI166),AH166*$BI166),0)</f>
        <v>0</v>
      </c>
      <c r="CL166" s="5">
        <f>IF($BI166&lt;&gt;"",IF('Capacity summary'!$C$14="Yes",IF(COUNTBLANK('Capacity summary'!$H78:$BG78)&lt;52,IF('Capacity summary'!AI78&lt;&gt;"",IF(LOWER('Capacity summary'!AI78)="x",$BI166*AI166,VALUE('Capacity summary'!AI78)),0),AI166*$BI166),AI166*$BI166),0)</f>
        <v>0</v>
      </c>
      <c r="CM166" s="5">
        <f>IF($BI166&lt;&gt;"",IF('Capacity summary'!$C$14="Yes",IF(COUNTBLANK('Capacity summary'!$H78:$BG78)&lt;52,IF('Capacity summary'!AJ78&lt;&gt;"",IF(LOWER('Capacity summary'!AJ78)="x",$BI166*AJ166,VALUE('Capacity summary'!AJ78)),0),AJ166*$BI166),AJ166*$BI166),0)</f>
        <v>0</v>
      </c>
      <c r="CN166" s="5">
        <f>IF($BI166&lt;&gt;"",IF('Capacity summary'!$C$14="Yes",IF(COUNTBLANK('Capacity summary'!$H78:$BG78)&lt;52,IF('Capacity summary'!AK78&lt;&gt;"",IF(LOWER('Capacity summary'!AK78)="x",$BI166*AK166,VALUE('Capacity summary'!AK78)),0),AK166*$BI166),AK166*$BI166),0)</f>
        <v>0</v>
      </c>
      <c r="CO166" s="5">
        <f>IF($BI166&lt;&gt;"",IF('Capacity summary'!$C$14="Yes",IF(COUNTBLANK('Capacity summary'!$H78:$BG78)&lt;52,IF('Capacity summary'!AL78&lt;&gt;"",IF(LOWER('Capacity summary'!AL78)="x",$BI166*AL166,VALUE('Capacity summary'!AL78)),0),AL166*$BI166),AL166*$BI166),0)</f>
        <v>0</v>
      </c>
      <c r="CP166" s="5">
        <f>IF($BI166&lt;&gt;"",IF('Capacity summary'!$C$14="Yes",IF(COUNTBLANK('Capacity summary'!$H78:$BG78)&lt;52,IF('Capacity summary'!AM78&lt;&gt;"",IF(LOWER('Capacity summary'!AM78)="x",$BI166*AM166,VALUE('Capacity summary'!AM78)),0),AM166*$BI166),AM166*$BI166),0)</f>
        <v>0</v>
      </c>
      <c r="CQ166" s="5">
        <f>IF($BI166&lt;&gt;"",IF('Capacity summary'!$C$14="Yes",IF(COUNTBLANK('Capacity summary'!$H78:$BG78)&lt;52,IF('Capacity summary'!AN78&lt;&gt;"",IF(LOWER('Capacity summary'!AN78)="x",$BI166*AN166,VALUE('Capacity summary'!AN78)),0),AN166*$BI166),AN166*$BI166),0)</f>
        <v>0</v>
      </c>
      <c r="CR166" s="5">
        <f>IF($BI166&lt;&gt;"",IF('Capacity summary'!$C$14="Yes",IF(COUNTBLANK('Capacity summary'!$H78:$BG78)&lt;52,IF('Capacity summary'!AO78&lt;&gt;"",IF(LOWER('Capacity summary'!AO78)="x",$BI166*AO166,VALUE('Capacity summary'!AO78)),0),AO166*$BI166),AO166*$BI166),0)</f>
        <v>0</v>
      </c>
      <c r="CS166" s="5">
        <f>IF($BI166&lt;&gt;"",IF('Capacity summary'!$C$14="Yes",IF(COUNTBLANK('Capacity summary'!$H78:$BG78)&lt;52,IF('Capacity summary'!AP78&lt;&gt;"",IF(LOWER('Capacity summary'!AP78)="x",$BI166*AP166,VALUE('Capacity summary'!AP78)),0),AP166*$BI166),AP166*$BI166),0)</f>
        <v>0</v>
      </c>
      <c r="CT166" s="5">
        <f>IF($BI166&lt;&gt;"",IF('Capacity summary'!$C$14="Yes",IF(COUNTBLANK('Capacity summary'!$H78:$BG78)&lt;52,IF('Capacity summary'!AQ78&lt;&gt;"",IF(LOWER('Capacity summary'!AQ78)="x",$BI166*AQ166,VALUE('Capacity summary'!AQ78)),0),AQ166*$BI166),AQ166*$BI166),0)</f>
        <v>0</v>
      </c>
      <c r="CU166" s="5">
        <f>IF($BI166&lt;&gt;"",IF('Capacity summary'!$C$14="Yes",IF(COUNTBLANK('Capacity summary'!$H78:$BG78)&lt;52,IF('Capacity summary'!AR78&lt;&gt;"",IF(LOWER('Capacity summary'!AR78)="x",$BI166*AR166,VALUE('Capacity summary'!AR78)),0),AR166*$BI166),AR166*$BI166),0)</f>
        <v>0</v>
      </c>
      <c r="CV166" s="5">
        <f>IF($BI166&lt;&gt;"",IF('Capacity summary'!$C$14="Yes",IF(COUNTBLANK('Capacity summary'!$H78:$BG78)&lt;52,IF('Capacity summary'!AS78&lt;&gt;"",IF(LOWER('Capacity summary'!AS78)="x",$BI166*AS166,VALUE('Capacity summary'!AS78)),0),AS166*$BI166),AS166*$BI166),0)</f>
        <v>0</v>
      </c>
      <c r="CW166" s="5">
        <f>IF($BI166&lt;&gt;"",IF('Capacity summary'!$C$14="Yes",IF(COUNTBLANK('Capacity summary'!$H78:$BG78)&lt;52,IF('Capacity summary'!AT78&lt;&gt;"",IF(LOWER('Capacity summary'!AT78)="x",$BI166*AT166,VALUE('Capacity summary'!AT78)),0),AT166*$BI166),AT166*$BI166),0)</f>
        <v>0</v>
      </c>
      <c r="CX166" s="5">
        <f>IF($BI166&lt;&gt;"",IF('Capacity summary'!$C$14="Yes",IF(COUNTBLANK('Capacity summary'!$H78:$BG78)&lt;52,IF('Capacity summary'!AU78&lt;&gt;"",IF(LOWER('Capacity summary'!AU78)="x",$BI166*AU166,VALUE('Capacity summary'!AU78)),0),AU166*$BI166),AU166*$BI166),0)</f>
        <v>0</v>
      </c>
      <c r="CY166" s="5">
        <f>IF($BI166&lt;&gt;"",IF('Capacity summary'!$C$14="Yes",IF(COUNTBLANK('Capacity summary'!$H78:$BG78)&lt;52,IF('Capacity summary'!AV78&lt;&gt;"",IF(LOWER('Capacity summary'!AV78)="x",$BI166*AV166,VALUE('Capacity summary'!AV78)),0),AV166*$BI166),AV166*$BI166),0)</f>
        <v>0</v>
      </c>
      <c r="CZ166" s="5">
        <f>IF($BI166&lt;&gt;"",IF('Capacity summary'!$C$14="Yes",IF(COUNTBLANK('Capacity summary'!$H78:$BG78)&lt;52,IF('Capacity summary'!AW78&lt;&gt;"",IF(LOWER('Capacity summary'!AW78)="x",$BI166*AW166,VALUE('Capacity summary'!AW78)),0),AW166*$BI166),AW166*$BI166),0)</f>
        <v>0</v>
      </c>
      <c r="DA166" s="5">
        <f>IF($BI166&lt;&gt;"",IF('Capacity summary'!$C$14="Yes",IF(COUNTBLANK('Capacity summary'!$H78:$BG78)&lt;52,IF('Capacity summary'!AX78&lt;&gt;"",IF(LOWER('Capacity summary'!AX78)="x",$BI166*AX166,VALUE('Capacity summary'!AX78)),0),AX166*$BI166),AX166*$BI166),0)</f>
        <v>0</v>
      </c>
      <c r="DB166" s="5">
        <f>IF($BI166&lt;&gt;"",IF('Capacity summary'!$C$14="Yes",IF(COUNTBLANK('Capacity summary'!$H78:$BG78)&lt;52,IF('Capacity summary'!AY78&lt;&gt;"",IF(LOWER('Capacity summary'!AY78)="x",$BI166*AY166,VALUE('Capacity summary'!AY78)),0),AY166*$BI166),AY166*$BI166),0)</f>
        <v>0</v>
      </c>
      <c r="DC166" s="5">
        <f>IF($BI166&lt;&gt;"",IF('Capacity summary'!$C$14="Yes",IF(COUNTBLANK('Capacity summary'!$H78:$BG78)&lt;52,IF('Capacity summary'!AZ78&lt;&gt;"",IF(LOWER('Capacity summary'!AZ78)="x",$BI166*AZ166,VALUE('Capacity summary'!AZ78)),0),AZ166*$BI166),AZ166*$BI166),0)</f>
        <v>0</v>
      </c>
      <c r="DD166" s="5">
        <f>IF($BI166&lt;&gt;"",IF('Capacity summary'!$C$14="Yes",IF(COUNTBLANK('Capacity summary'!$H78:$BG78)&lt;52,IF('Capacity summary'!BA78&lt;&gt;"",IF(LOWER('Capacity summary'!BA78)="x",$BI166*BA166,VALUE('Capacity summary'!BA78)),0),BA166*$BI166),BA166*$BI166),0)</f>
        <v>0</v>
      </c>
      <c r="DE166" s="5">
        <f>IF($BI166&lt;&gt;"",IF('Capacity summary'!$C$14="Yes",IF(COUNTBLANK('Capacity summary'!$H78:$BG78)&lt;52,IF('Capacity summary'!BB78&lt;&gt;"",IF(LOWER('Capacity summary'!BB78)="x",$BI166*BB166,VALUE('Capacity summary'!BB78)),0),BB166*$BI166),BB166*$BI166),0)</f>
        <v>0</v>
      </c>
      <c r="DF166" s="5">
        <f>IF($BI166&lt;&gt;"",IF('Capacity summary'!$C$14="Yes",IF(COUNTBLANK('Capacity summary'!$H78:$BG78)&lt;52,IF('Capacity summary'!BC78&lt;&gt;"",IF(LOWER('Capacity summary'!BC78)="x",$BI166*BC166,VALUE('Capacity summary'!BC78)),0),BC166*$BI166),BC166*$BI166),0)</f>
        <v>0</v>
      </c>
      <c r="DG166" s="5">
        <f>IF($BI166&lt;&gt;"",IF('Capacity summary'!$C$14="Yes",IF(COUNTBLANK('Capacity summary'!$H78:$BG78)&lt;52,IF('Capacity summary'!BD78&lt;&gt;"",IF(LOWER('Capacity summary'!BD78)="x",$BI166*BD166,VALUE('Capacity summary'!BD78)),0),BD166*$BI166),BD166*$BI166),0)</f>
        <v>0</v>
      </c>
      <c r="DH166" s="5">
        <f>IF($BI166&lt;&gt;"",IF('Capacity summary'!$C$14="Yes",IF(COUNTBLANK('Capacity summary'!$H78:$BG78)&lt;52,IF('Capacity summary'!BE78&lt;&gt;"",IF(LOWER('Capacity summary'!BE78)="x",$BI166*BE166,VALUE('Capacity summary'!BE78)),0),BE166*$BI166),BE166*$BI166),0)</f>
        <v>0</v>
      </c>
      <c r="DI166" s="5">
        <f>IF($BI166&lt;&gt;"",IF('Capacity summary'!$C$14="Yes",IF(COUNTBLANK('Capacity summary'!$H78:$BG78)&lt;52,IF('Capacity summary'!BF78&lt;&gt;"",IF(LOWER('Capacity summary'!BF78)="x",$BI166*BF166,VALUE('Capacity summary'!BF78)),0),BF166*$BI166),BF166*$BI166),0)</f>
        <v>0</v>
      </c>
      <c r="DJ166" s="5">
        <f>IF($BI166&lt;&gt;"",IF('Capacity summary'!$C$14="Yes",IF(COUNTBLANK('Capacity summary'!$H78:$BG78)&lt;52,IF('Capacity summary'!BG78&lt;&gt;"",IF(LOWER('Capacity summary'!BG78)="x",$BI166*BG166,VALUE('Capacity summary'!BG78)),0),BG166*$BI166),BG166*$BI166),0)</f>
        <v>0</v>
      </c>
      <c r="DK166" s="391">
        <f t="shared" si="8"/>
        <v>0</v>
      </c>
      <c r="DL166" s="5">
        <f t="shared" si="9"/>
        <v>0</v>
      </c>
    </row>
    <row r="167" spans="3:116" x14ac:dyDescent="0.2">
      <c r="C167" s="67" t="str">
        <f>ROW(A56)&amp;". "&amp;Capacity!N72</f>
        <v xml:space="preserve">56. </v>
      </c>
      <c r="D167" s="67">
        <f>'Capacity setup'!C173</f>
        <v>0</v>
      </c>
      <c r="E167" s="67">
        <f>'Capacity setup'!D173</f>
        <v>0</v>
      </c>
      <c r="F167" s="67">
        <f>'Capacity setup'!E173</f>
        <v>0</v>
      </c>
      <c r="H167" s="67">
        <f ca="1">IF(LOWER(Capacity!$V72)="x",IF(AND(SUMIF(Capacity_Resource,$D167,'Critical resources (hide)'!U$6:U$105)+SUMIF(Capacity_Resource,$E167,'Critical resources (hide)'!U$6:U$105)+SUMIF(Capacity_Resource,$F167,'Critical resources (hide)'!U$6:U$105)&gt;0,$E$1=2),0,1),0)</f>
        <v>1</v>
      </c>
      <c r="I167" s="67">
        <f ca="1">IF(LOWER(Capacity!$V72)="x",IF(AND(SUMIF(Capacity_Resource,$D167,'Critical resources (hide)'!V$6:V$105)+SUMIF(Capacity_Resource,$E167,'Critical resources (hide)'!V$6:V$105)+SUMIF(Capacity_Resource,$F167,'Critical resources (hide)'!V$6:V$105)&gt;0,$E$1=2),0,1),0)</f>
        <v>1</v>
      </c>
      <c r="J167" s="67">
        <f ca="1">IF(LOWER(Capacity!$V72)="x",IF(AND(SUMIF(Capacity_Resource,$D167,'Critical resources (hide)'!W$6:W$105)+SUMIF(Capacity_Resource,$E167,'Critical resources (hide)'!W$6:W$105)+SUMIF(Capacity_Resource,$F167,'Critical resources (hide)'!W$6:W$105)&gt;0,$E$1=2),0,1),0)</f>
        <v>1</v>
      </c>
      <c r="K167" s="67">
        <f ca="1">IF(LOWER(Capacity!$V72)="x",IF(AND(SUMIF(Capacity_Resource,$D167,'Critical resources (hide)'!X$6:X$105)+SUMIF(Capacity_Resource,$E167,'Critical resources (hide)'!X$6:X$105)+SUMIF(Capacity_Resource,$F167,'Critical resources (hide)'!X$6:X$105)&gt;0,$E$1=2),0,1),0)</f>
        <v>1</v>
      </c>
      <c r="L167" s="67">
        <f ca="1">IF(LOWER(Capacity!$V72)="x",IF(AND(SUMIF(Capacity_Resource,$D167,'Critical resources (hide)'!Y$6:Y$105)+SUMIF(Capacity_Resource,$E167,'Critical resources (hide)'!Y$6:Y$105)+SUMIF(Capacity_Resource,$F167,'Critical resources (hide)'!Y$6:Y$105)&gt;0,$E$1=2),0,1),0)</f>
        <v>1</v>
      </c>
      <c r="M167" s="67">
        <f ca="1">IF(LOWER(Capacity!$V72)="x",IF(AND(SUMIF(Capacity_Resource,$D167,'Critical resources (hide)'!Z$6:Z$105)+SUMIF(Capacity_Resource,$E167,'Critical resources (hide)'!Z$6:Z$105)+SUMIF(Capacity_Resource,$F167,'Critical resources (hide)'!Z$6:Z$105)&gt;0,$E$1=2),0,1),0)</f>
        <v>1</v>
      </c>
      <c r="N167" s="67">
        <f ca="1">IF(LOWER(Capacity!$V72)="x",IF(AND(SUMIF(Capacity_Resource,$D167,'Critical resources (hide)'!AA$6:AA$105)+SUMIF(Capacity_Resource,$E167,'Critical resources (hide)'!AA$6:AA$105)+SUMIF(Capacity_Resource,$F167,'Critical resources (hide)'!AA$6:AA$105)&gt;0,$E$1=2),0,1),0)</f>
        <v>1</v>
      </c>
      <c r="O167" s="67">
        <f ca="1">IF(LOWER(Capacity!$V72)="x",IF(AND(SUMIF(Capacity_Resource,$D167,'Critical resources (hide)'!AB$6:AB$105)+SUMIF(Capacity_Resource,$E167,'Critical resources (hide)'!AB$6:AB$105)+SUMIF(Capacity_Resource,$F167,'Critical resources (hide)'!AB$6:AB$105)&gt;0,$E$1=2),0,1),0)</f>
        <v>1</v>
      </c>
      <c r="P167" s="67">
        <f ca="1">IF(LOWER(Capacity!$V72)="x",IF(AND(SUMIF(Capacity_Resource,$D167,'Critical resources (hide)'!AC$6:AC$105)+SUMIF(Capacity_Resource,$E167,'Critical resources (hide)'!AC$6:AC$105)+SUMIF(Capacity_Resource,$F167,'Critical resources (hide)'!AC$6:AC$105)&gt;0,$E$1=2),0,1),0)</f>
        <v>1</v>
      </c>
      <c r="Q167" s="67">
        <f ca="1">IF(LOWER(Capacity!$V72)="x",IF(AND(SUMIF(Capacity_Resource,$D167,'Critical resources (hide)'!AD$6:AD$105)+SUMIF(Capacity_Resource,$E167,'Critical resources (hide)'!AD$6:AD$105)+SUMIF(Capacity_Resource,$F167,'Critical resources (hide)'!AD$6:AD$105)&gt;0,$E$1=2),0,1),0)</f>
        <v>1</v>
      </c>
      <c r="R167" s="67">
        <f ca="1">IF(LOWER(Capacity!$V72)="x",IF(AND(SUMIF(Capacity_Resource,$D167,'Critical resources (hide)'!AE$6:AE$105)+SUMIF(Capacity_Resource,$E167,'Critical resources (hide)'!AE$6:AE$105)+SUMIF(Capacity_Resource,$F167,'Critical resources (hide)'!AE$6:AE$105)&gt;0,$E$1=2),0,1),0)</f>
        <v>1</v>
      </c>
      <c r="S167" s="67">
        <f ca="1">IF(LOWER(Capacity!$V72)="x",IF(AND(SUMIF(Capacity_Resource,$D167,'Critical resources (hide)'!AF$6:AF$105)+SUMIF(Capacity_Resource,$E167,'Critical resources (hide)'!AF$6:AF$105)+SUMIF(Capacity_Resource,$F167,'Critical resources (hide)'!AF$6:AF$105)&gt;0,$E$1=2),0,1),0)</f>
        <v>1</v>
      </c>
      <c r="T167" s="67">
        <f ca="1">IF(LOWER(Capacity!$V72)="x",IF(AND(SUMIF(Capacity_Resource,$D167,'Critical resources (hide)'!AG$6:AG$105)+SUMIF(Capacity_Resource,$E167,'Critical resources (hide)'!AG$6:AG$105)+SUMIF(Capacity_Resource,$F167,'Critical resources (hide)'!AG$6:AG$105)&gt;0,$E$1=2),0,1),0)</f>
        <v>1</v>
      </c>
      <c r="U167" s="67">
        <f ca="1">IF(LOWER(Capacity!$V72)="x",IF(AND(SUMIF(Capacity_Resource,$D167,'Critical resources (hide)'!AH$6:AH$105)+SUMIF(Capacity_Resource,$E167,'Critical resources (hide)'!AH$6:AH$105)+SUMIF(Capacity_Resource,$F167,'Critical resources (hide)'!AH$6:AH$105)&gt;0,$E$1=2),0,1),0)</f>
        <v>1</v>
      </c>
      <c r="V167" s="67">
        <f ca="1">IF(LOWER(Capacity!$V72)="x",IF(AND(SUMIF(Capacity_Resource,$D167,'Critical resources (hide)'!AI$6:AI$105)+SUMIF(Capacity_Resource,$E167,'Critical resources (hide)'!AI$6:AI$105)+SUMIF(Capacity_Resource,$F167,'Critical resources (hide)'!AI$6:AI$105)&gt;0,$E$1=2),0,1),0)</f>
        <v>1</v>
      </c>
      <c r="W167" s="67">
        <f ca="1">IF(LOWER(Capacity!$V72)="x",IF(AND(SUMIF(Capacity_Resource,$D167,'Critical resources (hide)'!AJ$6:AJ$105)+SUMIF(Capacity_Resource,$E167,'Critical resources (hide)'!AJ$6:AJ$105)+SUMIF(Capacity_Resource,$F167,'Critical resources (hide)'!AJ$6:AJ$105)&gt;0,$E$1=2),0,1),0)</f>
        <v>1</v>
      </c>
      <c r="X167" s="67">
        <f ca="1">IF(LOWER(Capacity!$V72)="x",IF(AND(SUMIF(Capacity_Resource,$D167,'Critical resources (hide)'!AK$6:AK$105)+SUMIF(Capacity_Resource,$E167,'Critical resources (hide)'!AK$6:AK$105)+SUMIF(Capacity_Resource,$F167,'Critical resources (hide)'!AK$6:AK$105)&gt;0,$E$1=2),0,1),0)</f>
        <v>1</v>
      </c>
      <c r="Y167" s="67">
        <f ca="1">IF(LOWER(Capacity!$V72)="x",IF(AND(SUMIF(Capacity_Resource,$D167,'Critical resources (hide)'!AL$6:AL$105)+SUMIF(Capacity_Resource,$E167,'Critical resources (hide)'!AL$6:AL$105)+SUMIF(Capacity_Resource,$F167,'Critical resources (hide)'!AL$6:AL$105)&gt;0,$E$1=2),0,1),0)</f>
        <v>1</v>
      </c>
      <c r="Z167" s="67">
        <f ca="1">IF(LOWER(Capacity!$V72)="x",IF(AND(SUMIF(Capacity_Resource,$D167,'Critical resources (hide)'!AM$6:AM$105)+SUMIF(Capacity_Resource,$E167,'Critical resources (hide)'!AM$6:AM$105)+SUMIF(Capacity_Resource,$F167,'Critical resources (hide)'!AM$6:AM$105)&gt;0,$E$1=2),0,1),0)</f>
        <v>1</v>
      </c>
      <c r="AA167" s="67">
        <f ca="1">IF(LOWER(Capacity!$V72)="x",IF(AND(SUMIF(Capacity_Resource,$D167,'Critical resources (hide)'!AN$6:AN$105)+SUMIF(Capacity_Resource,$E167,'Critical resources (hide)'!AN$6:AN$105)+SUMIF(Capacity_Resource,$F167,'Critical resources (hide)'!AN$6:AN$105)&gt;0,$E$1=2),0,1),0)</f>
        <v>1</v>
      </c>
      <c r="AB167" s="67">
        <f ca="1">IF(LOWER(Capacity!$V72)="x",IF(AND(SUMIF(Capacity_Resource,$D167,'Critical resources (hide)'!AO$6:AO$105)+SUMIF(Capacity_Resource,$E167,'Critical resources (hide)'!AO$6:AO$105)+SUMIF(Capacity_Resource,$F167,'Critical resources (hide)'!AO$6:AO$105)&gt;0,$E$1=2),0,1),0)</f>
        <v>1</v>
      </c>
      <c r="AC167" s="67">
        <f ca="1">IF(LOWER(Capacity!$V72)="x",IF(AND(SUMIF(Capacity_Resource,$D167,'Critical resources (hide)'!AP$6:AP$105)+SUMIF(Capacity_Resource,$E167,'Critical resources (hide)'!AP$6:AP$105)+SUMIF(Capacity_Resource,$F167,'Critical resources (hide)'!AP$6:AP$105)&gt;0,$E$1=2),0,1),0)</f>
        <v>1</v>
      </c>
      <c r="AD167" s="67">
        <f ca="1">IF(LOWER(Capacity!$V72)="x",IF(AND(SUMIF(Capacity_Resource,$D167,'Critical resources (hide)'!AQ$6:AQ$105)+SUMIF(Capacity_Resource,$E167,'Critical resources (hide)'!AQ$6:AQ$105)+SUMIF(Capacity_Resource,$F167,'Critical resources (hide)'!AQ$6:AQ$105)&gt;0,$E$1=2),0,1),0)</f>
        <v>1</v>
      </c>
      <c r="AE167" s="67">
        <f ca="1">IF(LOWER(Capacity!$V72)="x",IF(AND(SUMIF(Capacity_Resource,$D167,'Critical resources (hide)'!AR$6:AR$105)+SUMIF(Capacity_Resource,$E167,'Critical resources (hide)'!AR$6:AR$105)+SUMIF(Capacity_Resource,$F167,'Critical resources (hide)'!AR$6:AR$105)&gt;0,$E$1=2),0,1),0)</f>
        <v>1</v>
      </c>
      <c r="AF167" s="67">
        <f ca="1">IF(LOWER(Capacity!$V72)="x",IF(AND(SUMIF(Capacity_Resource,$D167,'Critical resources (hide)'!AS$6:AS$105)+SUMIF(Capacity_Resource,$E167,'Critical resources (hide)'!AS$6:AS$105)+SUMIF(Capacity_Resource,$F167,'Critical resources (hide)'!AS$6:AS$105)&gt;0,$E$1=2),0,1),0)</f>
        <v>1</v>
      </c>
      <c r="AG167" s="67">
        <f ca="1">IF(LOWER(Capacity!$V72)="x",IF(AND(SUMIF(Capacity_Resource,$D167,'Critical resources (hide)'!AT$6:AT$105)+SUMIF(Capacity_Resource,$E167,'Critical resources (hide)'!AT$6:AT$105)+SUMIF(Capacity_Resource,$F167,'Critical resources (hide)'!AT$6:AT$105)&gt;0,$E$1=2),0,1),0)</f>
        <v>1</v>
      </c>
      <c r="AH167" s="67">
        <f ca="1">IF(LOWER(Capacity!$V72)="x",IF(AND(SUMIF(Capacity_Resource,$D167,'Critical resources (hide)'!AU$6:AU$105)+SUMIF(Capacity_Resource,$E167,'Critical resources (hide)'!AU$6:AU$105)+SUMIF(Capacity_Resource,$F167,'Critical resources (hide)'!AU$6:AU$105)&gt;0,$E$1=2),0,1),0)</f>
        <v>1</v>
      </c>
      <c r="AI167" s="67">
        <f ca="1">IF(LOWER(Capacity!$V72)="x",IF(AND(SUMIF(Capacity_Resource,$D167,'Critical resources (hide)'!AV$6:AV$105)+SUMIF(Capacity_Resource,$E167,'Critical resources (hide)'!AV$6:AV$105)+SUMIF(Capacity_Resource,$F167,'Critical resources (hide)'!AV$6:AV$105)&gt;0,$E$1=2),0,1),0)</f>
        <v>1</v>
      </c>
      <c r="AJ167" s="67">
        <f ca="1">IF(LOWER(Capacity!$V72)="x",IF(AND(SUMIF(Capacity_Resource,$D167,'Critical resources (hide)'!AW$6:AW$105)+SUMIF(Capacity_Resource,$E167,'Critical resources (hide)'!AW$6:AW$105)+SUMIF(Capacity_Resource,$F167,'Critical resources (hide)'!AW$6:AW$105)&gt;0,$E$1=2),0,1),0)</f>
        <v>1</v>
      </c>
      <c r="AK167" s="67">
        <f ca="1">IF(LOWER(Capacity!$V72)="x",IF(AND(SUMIF(Capacity_Resource,$D167,'Critical resources (hide)'!AX$6:AX$105)+SUMIF(Capacity_Resource,$E167,'Critical resources (hide)'!AX$6:AX$105)+SUMIF(Capacity_Resource,$F167,'Critical resources (hide)'!AX$6:AX$105)&gt;0,$E$1=2),0,1),0)</f>
        <v>1</v>
      </c>
      <c r="AL167" s="67">
        <f ca="1">IF(LOWER(Capacity!$V72)="x",IF(AND(SUMIF(Capacity_Resource,$D167,'Critical resources (hide)'!AY$6:AY$105)+SUMIF(Capacity_Resource,$E167,'Critical resources (hide)'!AY$6:AY$105)+SUMIF(Capacity_Resource,$F167,'Critical resources (hide)'!AY$6:AY$105)&gt;0,$E$1=2),0,1),0)</f>
        <v>1</v>
      </c>
      <c r="AM167" s="67">
        <f ca="1">IF(LOWER(Capacity!$V72)="x",IF(AND(SUMIF(Capacity_Resource,$D167,'Critical resources (hide)'!AZ$6:AZ$105)+SUMIF(Capacity_Resource,$E167,'Critical resources (hide)'!AZ$6:AZ$105)+SUMIF(Capacity_Resource,$F167,'Critical resources (hide)'!AZ$6:AZ$105)&gt;0,$E$1=2),0,1),0)</f>
        <v>1</v>
      </c>
      <c r="AN167" s="67">
        <f ca="1">IF(LOWER(Capacity!$V72)="x",IF(AND(SUMIF(Capacity_Resource,$D167,'Critical resources (hide)'!BA$6:BA$105)+SUMIF(Capacity_Resource,$E167,'Critical resources (hide)'!BA$6:BA$105)+SUMIF(Capacity_Resource,$F167,'Critical resources (hide)'!BA$6:BA$105)&gt;0,$E$1=2),0,1),0)</f>
        <v>1</v>
      </c>
      <c r="AO167" s="67">
        <f ca="1">IF(LOWER(Capacity!$V72)="x",IF(AND(SUMIF(Capacity_Resource,$D167,'Critical resources (hide)'!BB$6:BB$105)+SUMIF(Capacity_Resource,$E167,'Critical resources (hide)'!BB$6:BB$105)+SUMIF(Capacity_Resource,$F167,'Critical resources (hide)'!BB$6:BB$105)&gt;0,$E$1=2),0,1),0)</f>
        <v>1</v>
      </c>
      <c r="AP167" s="67">
        <f ca="1">IF(LOWER(Capacity!$V72)="x",IF(AND(SUMIF(Capacity_Resource,$D167,'Critical resources (hide)'!BC$6:BC$105)+SUMIF(Capacity_Resource,$E167,'Critical resources (hide)'!BC$6:BC$105)+SUMIF(Capacity_Resource,$F167,'Critical resources (hide)'!BC$6:BC$105)&gt;0,$E$1=2),0,1),0)</f>
        <v>1</v>
      </c>
      <c r="AQ167" s="67">
        <f ca="1">IF(LOWER(Capacity!$V72)="x",IF(AND(SUMIF(Capacity_Resource,$D167,'Critical resources (hide)'!BD$6:BD$105)+SUMIF(Capacity_Resource,$E167,'Critical resources (hide)'!BD$6:BD$105)+SUMIF(Capacity_Resource,$F167,'Critical resources (hide)'!BD$6:BD$105)&gt;0,$E$1=2),0,1),0)</f>
        <v>1</v>
      </c>
      <c r="AR167" s="67">
        <f ca="1">IF(LOWER(Capacity!$V72)="x",IF(AND(SUMIF(Capacity_Resource,$D167,'Critical resources (hide)'!BE$6:BE$105)+SUMIF(Capacity_Resource,$E167,'Critical resources (hide)'!BE$6:BE$105)+SUMIF(Capacity_Resource,$F167,'Critical resources (hide)'!BE$6:BE$105)&gt;0,$E$1=2),0,1),0)</f>
        <v>1</v>
      </c>
      <c r="AS167" s="67">
        <f ca="1">IF(LOWER(Capacity!$V72)="x",IF(AND(SUMIF(Capacity_Resource,$D167,'Critical resources (hide)'!BF$6:BF$105)+SUMIF(Capacity_Resource,$E167,'Critical resources (hide)'!BF$6:BF$105)+SUMIF(Capacity_Resource,$F167,'Critical resources (hide)'!BF$6:BF$105)&gt;0,$E$1=2),0,1),0)</f>
        <v>1</v>
      </c>
      <c r="AT167" s="67">
        <f ca="1">IF(LOWER(Capacity!$V72)="x",IF(AND(SUMIF(Capacity_Resource,$D167,'Critical resources (hide)'!BG$6:BG$105)+SUMIF(Capacity_Resource,$E167,'Critical resources (hide)'!BG$6:BG$105)+SUMIF(Capacity_Resource,$F167,'Critical resources (hide)'!BG$6:BG$105)&gt;0,$E$1=2),0,1),0)</f>
        <v>1</v>
      </c>
      <c r="AU167" s="67">
        <f ca="1">IF(LOWER(Capacity!$V72)="x",IF(AND(SUMIF(Capacity_Resource,$D167,'Critical resources (hide)'!BH$6:BH$105)+SUMIF(Capacity_Resource,$E167,'Critical resources (hide)'!BH$6:BH$105)+SUMIF(Capacity_Resource,$F167,'Critical resources (hide)'!BH$6:BH$105)&gt;0,$E$1=2),0,1),0)</f>
        <v>1</v>
      </c>
      <c r="AV167" s="67">
        <f ca="1">IF(LOWER(Capacity!$V72)="x",IF(AND(SUMIF(Capacity_Resource,$D167,'Critical resources (hide)'!BI$6:BI$105)+SUMIF(Capacity_Resource,$E167,'Critical resources (hide)'!BI$6:BI$105)+SUMIF(Capacity_Resource,$F167,'Critical resources (hide)'!BI$6:BI$105)&gt;0,$E$1=2),0,1),0)</f>
        <v>1</v>
      </c>
      <c r="AW167" s="67">
        <f ca="1">IF(LOWER(Capacity!$V72)="x",IF(AND(SUMIF(Capacity_Resource,$D167,'Critical resources (hide)'!BJ$6:BJ$105)+SUMIF(Capacity_Resource,$E167,'Critical resources (hide)'!BJ$6:BJ$105)+SUMIF(Capacity_Resource,$F167,'Critical resources (hide)'!BJ$6:BJ$105)&gt;0,$E$1=2),0,1),0)</f>
        <v>1</v>
      </c>
      <c r="AX167" s="67">
        <f ca="1">IF(LOWER(Capacity!$V72)="x",IF(AND(SUMIF(Capacity_Resource,$D167,'Critical resources (hide)'!BK$6:BK$105)+SUMIF(Capacity_Resource,$E167,'Critical resources (hide)'!BK$6:BK$105)+SUMIF(Capacity_Resource,$F167,'Critical resources (hide)'!BK$6:BK$105)&gt;0,$E$1=2),0,1),0)</f>
        <v>1</v>
      </c>
      <c r="AY167" s="67">
        <f ca="1">IF(LOWER(Capacity!$V72)="x",IF(AND(SUMIF(Capacity_Resource,$D167,'Critical resources (hide)'!BL$6:BL$105)+SUMIF(Capacity_Resource,$E167,'Critical resources (hide)'!BL$6:BL$105)+SUMIF(Capacity_Resource,$F167,'Critical resources (hide)'!BL$6:BL$105)&gt;0,$E$1=2),0,1),0)</f>
        <v>1</v>
      </c>
      <c r="AZ167" s="67">
        <f ca="1">IF(LOWER(Capacity!$V72)="x",IF(AND(SUMIF(Capacity_Resource,$D167,'Critical resources (hide)'!BM$6:BM$105)+SUMIF(Capacity_Resource,$E167,'Critical resources (hide)'!BM$6:BM$105)+SUMIF(Capacity_Resource,$F167,'Critical resources (hide)'!BM$6:BM$105)&gt;0,$E$1=2),0,1),0)</f>
        <v>1</v>
      </c>
      <c r="BA167" s="67">
        <f ca="1">IF(LOWER(Capacity!$V72)="x",IF(AND(SUMIF(Capacity_Resource,$D167,'Critical resources (hide)'!BN$6:BN$105)+SUMIF(Capacity_Resource,$E167,'Critical resources (hide)'!BN$6:BN$105)+SUMIF(Capacity_Resource,$F167,'Critical resources (hide)'!BN$6:BN$105)&gt;0,$E$1=2),0,1),0)</f>
        <v>1</v>
      </c>
      <c r="BB167" s="67">
        <f ca="1">IF(LOWER(Capacity!$V72)="x",IF(AND(SUMIF(Capacity_Resource,$D167,'Critical resources (hide)'!BO$6:BO$105)+SUMIF(Capacity_Resource,$E167,'Critical resources (hide)'!BO$6:BO$105)+SUMIF(Capacity_Resource,$F167,'Critical resources (hide)'!BO$6:BO$105)&gt;0,$E$1=2),0,1),0)</f>
        <v>1</v>
      </c>
      <c r="BC167" s="67">
        <f ca="1">IF(LOWER(Capacity!$V72)="x",IF(AND(SUMIF(Capacity_Resource,$D167,'Critical resources (hide)'!BP$6:BP$105)+SUMIF(Capacity_Resource,$E167,'Critical resources (hide)'!BP$6:BP$105)+SUMIF(Capacity_Resource,$F167,'Critical resources (hide)'!BP$6:BP$105)&gt;0,$E$1=2),0,1),0)</f>
        <v>1</v>
      </c>
      <c r="BD167" s="67">
        <f ca="1">IF(LOWER(Capacity!$V72)="x",IF(AND(SUMIF(Capacity_Resource,$D167,'Critical resources (hide)'!BQ$6:BQ$105)+SUMIF(Capacity_Resource,$E167,'Critical resources (hide)'!BQ$6:BQ$105)+SUMIF(Capacity_Resource,$F167,'Critical resources (hide)'!BQ$6:BQ$105)&gt;0,$E$1=2),0,1),0)</f>
        <v>1</v>
      </c>
      <c r="BE167" s="67">
        <f ca="1">IF(LOWER(Capacity!$V72)="x",IF(AND(SUMIF(Capacity_Resource,$D167,'Critical resources (hide)'!BR$6:BR$105)+SUMIF(Capacity_Resource,$E167,'Critical resources (hide)'!BR$6:BR$105)+SUMIF(Capacity_Resource,$F167,'Critical resources (hide)'!BR$6:BR$105)&gt;0,$E$1=2),0,1),0)</f>
        <v>1</v>
      </c>
      <c r="BF167" s="67">
        <f ca="1">IF(LOWER(Capacity!$V72)="x",IF(AND(SUMIF(Capacity_Resource,$D167,'Critical resources (hide)'!BS$6:BS$105)+SUMIF(Capacity_Resource,$E167,'Critical resources (hide)'!BS$6:BS$105)+SUMIF(Capacity_Resource,$F167,'Critical resources (hide)'!BS$6:BS$105)&gt;0,$E$1=2),0,1),0)</f>
        <v>1</v>
      </c>
      <c r="BG167" s="67">
        <f ca="1">IF(LOWER(Capacity!$V72)="x",IF(AND(SUMIF(Capacity_Resource,$D167,'Critical resources (hide)'!BT$6:BT$105)+SUMIF(Capacity_Resource,$E167,'Critical resources (hide)'!BT$6:BT$105)+SUMIF(Capacity_Resource,$F167,'Critical resources (hide)'!BT$6:BT$105)&gt;0,$E$1=2),0,1),0)</f>
        <v>1</v>
      </c>
      <c r="BH167" s="67">
        <f>IF(ROW(A56)&lt;=Capacity!$M$16,IF('Capacity summary'!$C$14="No",SUM(H167:BG167),'Capacity summary'!$E79),0)</f>
        <v>0</v>
      </c>
      <c r="BI167" s="67" t="str">
        <f>IF(BH167&gt;0,IF(BH167&lt;Capacity!Q72,Capacity!R72,Capacity!T72/'Capacity calculation (hide)'!BH167),"")</f>
        <v/>
      </c>
      <c r="BJ167" s="5"/>
      <c r="BK167" s="5">
        <f>IF($BI167&lt;&gt;"",IF('Capacity summary'!$C$14="Yes",IF(COUNTBLANK('Capacity summary'!$H79:$BG79)&lt;52,IF('Capacity summary'!H79&lt;&gt;"",IF(LOWER('Capacity summary'!H79)="x",$BI167*H167,VALUE('Capacity summary'!H79)),0),H167*$BI167),H167*$BI167),0)</f>
        <v>0</v>
      </c>
      <c r="BL167" s="5">
        <f>IF($BI167&lt;&gt;"",IF('Capacity summary'!$C$14="Yes",IF(COUNTBLANK('Capacity summary'!$H79:$BG79)&lt;52,IF('Capacity summary'!I79&lt;&gt;"",IF(LOWER('Capacity summary'!I79)="x",$BI167*I167,VALUE('Capacity summary'!I79)),0),I167*$BI167),I167*$BI167),0)</f>
        <v>0</v>
      </c>
      <c r="BM167" s="5">
        <f>IF($BI167&lt;&gt;"",IF('Capacity summary'!$C$14="Yes",IF(COUNTBLANK('Capacity summary'!$H79:$BG79)&lt;52,IF('Capacity summary'!J79&lt;&gt;"",IF(LOWER('Capacity summary'!J79)="x",$BI167*J167,VALUE('Capacity summary'!J79)),0),J167*$BI167),J167*$BI167),0)</f>
        <v>0</v>
      </c>
      <c r="BN167" s="5">
        <f>IF($BI167&lt;&gt;"",IF('Capacity summary'!$C$14="Yes",IF(COUNTBLANK('Capacity summary'!$H79:$BG79)&lt;52,IF('Capacity summary'!K79&lt;&gt;"",IF(LOWER('Capacity summary'!K79)="x",$BI167*K167,VALUE('Capacity summary'!K79)),0),K167*$BI167),K167*$BI167),0)</f>
        <v>0</v>
      </c>
      <c r="BO167" s="5">
        <f>IF($BI167&lt;&gt;"",IF('Capacity summary'!$C$14="Yes",IF(COUNTBLANK('Capacity summary'!$H79:$BG79)&lt;52,IF('Capacity summary'!L79&lt;&gt;"",IF(LOWER('Capacity summary'!L79)="x",$BI167*L167,VALUE('Capacity summary'!L79)),0),L167*$BI167),L167*$BI167),0)</f>
        <v>0</v>
      </c>
      <c r="BP167" s="5">
        <f>IF($BI167&lt;&gt;"",IF('Capacity summary'!$C$14="Yes",IF(COUNTBLANK('Capacity summary'!$H79:$BG79)&lt;52,IF('Capacity summary'!M79&lt;&gt;"",IF(LOWER('Capacity summary'!M79)="x",$BI167*M167,VALUE('Capacity summary'!M79)),0),M167*$BI167),M167*$BI167),0)</f>
        <v>0</v>
      </c>
      <c r="BQ167" s="5">
        <f>IF($BI167&lt;&gt;"",IF('Capacity summary'!$C$14="Yes",IF(COUNTBLANK('Capacity summary'!$H79:$BG79)&lt;52,IF('Capacity summary'!N79&lt;&gt;"",IF(LOWER('Capacity summary'!N79)="x",$BI167*N167,VALUE('Capacity summary'!N79)),0),N167*$BI167),N167*$BI167),0)</f>
        <v>0</v>
      </c>
      <c r="BR167" s="5">
        <f>IF($BI167&lt;&gt;"",IF('Capacity summary'!$C$14="Yes",IF(COUNTBLANK('Capacity summary'!$H79:$BG79)&lt;52,IF('Capacity summary'!O79&lt;&gt;"",IF(LOWER('Capacity summary'!O79)="x",$BI167*O167,VALUE('Capacity summary'!O79)),0),O167*$BI167),O167*$BI167),0)</f>
        <v>0</v>
      </c>
      <c r="BS167" s="5">
        <f>IF($BI167&lt;&gt;"",IF('Capacity summary'!$C$14="Yes",IF(COUNTBLANK('Capacity summary'!$H79:$BG79)&lt;52,IF('Capacity summary'!P79&lt;&gt;"",IF(LOWER('Capacity summary'!P79)="x",$BI167*P167,VALUE('Capacity summary'!P79)),0),P167*$BI167),P167*$BI167),0)</f>
        <v>0</v>
      </c>
      <c r="BT167" s="5">
        <f>IF($BI167&lt;&gt;"",IF('Capacity summary'!$C$14="Yes",IF(COUNTBLANK('Capacity summary'!$H79:$BG79)&lt;52,IF('Capacity summary'!Q79&lt;&gt;"",IF(LOWER('Capacity summary'!Q79)="x",$BI167*Q167,VALUE('Capacity summary'!Q79)),0),Q167*$BI167),Q167*$BI167),0)</f>
        <v>0</v>
      </c>
      <c r="BU167" s="5">
        <f>IF($BI167&lt;&gt;"",IF('Capacity summary'!$C$14="Yes",IF(COUNTBLANK('Capacity summary'!$H79:$BG79)&lt;52,IF('Capacity summary'!R79&lt;&gt;"",IF(LOWER('Capacity summary'!R79)="x",$BI167*R167,VALUE('Capacity summary'!R79)),0),R167*$BI167),R167*$BI167),0)</f>
        <v>0</v>
      </c>
      <c r="BV167" s="5">
        <f>IF($BI167&lt;&gt;"",IF('Capacity summary'!$C$14="Yes",IF(COUNTBLANK('Capacity summary'!$H79:$BG79)&lt;52,IF('Capacity summary'!S79&lt;&gt;"",IF(LOWER('Capacity summary'!S79)="x",$BI167*S167,VALUE('Capacity summary'!S79)),0),S167*$BI167),S167*$BI167),0)</f>
        <v>0</v>
      </c>
      <c r="BW167" s="5">
        <f>IF($BI167&lt;&gt;"",IF('Capacity summary'!$C$14="Yes",IF(COUNTBLANK('Capacity summary'!$H79:$BG79)&lt;52,IF('Capacity summary'!T79&lt;&gt;"",IF(LOWER('Capacity summary'!T79)="x",$BI167*T167,VALUE('Capacity summary'!T79)),0),T167*$BI167),T167*$BI167),0)</f>
        <v>0</v>
      </c>
      <c r="BX167" s="5">
        <f>IF($BI167&lt;&gt;"",IF('Capacity summary'!$C$14="Yes",IF(COUNTBLANK('Capacity summary'!$H79:$BG79)&lt;52,IF('Capacity summary'!U79&lt;&gt;"",IF(LOWER('Capacity summary'!U79)="x",$BI167*U167,VALUE('Capacity summary'!U79)),0),U167*$BI167),U167*$BI167),0)</f>
        <v>0</v>
      </c>
      <c r="BY167" s="5">
        <f>IF($BI167&lt;&gt;"",IF('Capacity summary'!$C$14="Yes",IF(COUNTBLANK('Capacity summary'!$H79:$BG79)&lt;52,IF('Capacity summary'!V79&lt;&gt;"",IF(LOWER('Capacity summary'!V79)="x",$BI167*V167,VALUE('Capacity summary'!V79)),0),V167*$BI167),V167*$BI167),0)</f>
        <v>0</v>
      </c>
      <c r="BZ167" s="5">
        <f>IF($BI167&lt;&gt;"",IF('Capacity summary'!$C$14="Yes",IF(COUNTBLANK('Capacity summary'!$H79:$BG79)&lt;52,IF('Capacity summary'!W79&lt;&gt;"",IF(LOWER('Capacity summary'!W79)="x",$BI167*W167,VALUE('Capacity summary'!W79)),0),W167*$BI167),W167*$BI167),0)</f>
        <v>0</v>
      </c>
      <c r="CA167" s="5">
        <f>IF($BI167&lt;&gt;"",IF('Capacity summary'!$C$14="Yes",IF(COUNTBLANK('Capacity summary'!$H79:$BG79)&lt;52,IF('Capacity summary'!X79&lt;&gt;"",IF(LOWER('Capacity summary'!X79)="x",$BI167*X167,VALUE('Capacity summary'!X79)),0),X167*$BI167),X167*$BI167),0)</f>
        <v>0</v>
      </c>
      <c r="CB167" s="5">
        <f>IF($BI167&lt;&gt;"",IF('Capacity summary'!$C$14="Yes",IF(COUNTBLANK('Capacity summary'!$H79:$BG79)&lt;52,IF('Capacity summary'!Y79&lt;&gt;"",IF(LOWER('Capacity summary'!Y79)="x",$BI167*Y167,VALUE('Capacity summary'!Y79)),0),Y167*$BI167),Y167*$BI167),0)</f>
        <v>0</v>
      </c>
      <c r="CC167" s="5">
        <f>IF($BI167&lt;&gt;"",IF('Capacity summary'!$C$14="Yes",IF(COUNTBLANK('Capacity summary'!$H79:$BG79)&lt;52,IF('Capacity summary'!Z79&lt;&gt;"",IF(LOWER('Capacity summary'!Z79)="x",$BI167*Z167,VALUE('Capacity summary'!Z79)),0),Z167*$BI167),Z167*$BI167),0)</f>
        <v>0</v>
      </c>
      <c r="CD167" s="5">
        <f>IF($BI167&lt;&gt;"",IF('Capacity summary'!$C$14="Yes",IF(COUNTBLANK('Capacity summary'!$H79:$BG79)&lt;52,IF('Capacity summary'!AA79&lt;&gt;"",IF(LOWER('Capacity summary'!AA79)="x",$BI167*AA167,VALUE('Capacity summary'!AA79)),0),AA167*$BI167),AA167*$BI167),0)</f>
        <v>0</v>
      </c>
      <c r="CE167" s="5">
        <f>IF($BI167&lt;&gt;"",IF('Capacity summary'!$C$14="Yes",IF(COUNTBLANK('Capacity summary'!$H79:$BG79)&lt;52,IF('Capacity summary'!AB79&lt;&gt;"",IF(LOWER('Capacity summary'!AB79)="x",$BI167*AB167,VALUE('Capacity summary'!AB79)),0),AB167*$BI167),AB167*$BI167),0)</f>
        <v>0</v>
      </c>
      <c r="CF167" s="5">
        <f>IF($BI167&lt;&gt;"",IF('Capacity summary'!$C$14="Yes",IF(COUNTBLANK('Capacity summary'!$H79:$BG79)&lt;52,IF('Capacity summary'!AC79&lt;&gt;"",IF(LOWER('Capacity summary'!AC79)="x",$BI167*AC167,VALUE('Capacity summary'!AC79)),0),AC167*$BI167),AC167*$BI167),0)</f>
        <v>0</v>
      </c>
      <c r="CG167" s="5">
        <f>IF($BI167&lt;&gt;"",IF('Capacity summary'!$C$14="Yes",IF(COUNTBLANK('Capacity summary'!$H79:$BG79)&lt;52,IF('Capacity summary'!AD79&lt;&gt;"",IF(LOWER('Capacity summary'!AD79)="x",$BI167*AD167,VALUE('Capacity summary'!AD79)),0),AD167*$BI167),AD167*$BI167),0)</f>
        <v>0</v>
      </c>
      <c r="CH167" s="5">
        <f>IF($BI167&lt;&gt;"",IF('Capacity summary'!$C$14="Yes",IF(COUNTBLANK('Capacity summary'!$H79:$BG79)&lt;52,IF('Capacity summary'!AE79&lt;&gt;"",IF(LOWER('Capacity summary'!AE79)="x",$BI167*AE167,VALUE('Capacity summary'!AE79)),0),AE167*$BI167),AE167*$BI167),0)</f>
        <v>0</v>
      </c>
      <c r="CI167" s="5">
        <f>IF($BI167&lt;&gt;"",IF('Capacity summary'!$C$14="Yes",IF(COUNTBLANK('Capacity summary'!$H79:$BG79)&lt;52,IF('Capacity summary'!AF79&lt;&gt;"",IF(LOWER('Capacity summary'!AF79)="x",$BI167*AF167,VALUE('Capacity summary'!AF79)),0),AF167*$BI167),AF167*$BI167),0)</f>
        <v>0</v>
      </c>
      <c r="CJ167" s="5">
        <f>IF($BI167&lt;&gt;"",IF('Capacity summary'!$C$14="Yes",IF(COUNTBLANK('Capacity summary'!$H79:$BG79)&lt;52,IF('Capacity summary'!AG79&lt;&gt;"",IF(LOWER('Capacity summary'!AG79)="x",$BI167*AG167,VALUE('Capacity summary'!AG79)),0),AG167*$BI167),AG167*$BI167),0)</f>
        <v>0</v>
      </c>
      <c r="CK167" s="5">
        <f>IF($BI167&lt;&gt;"",IF('Capacity summary'!$C$14="Yes",IF(COUNTBLANK('Capacity summary'!$H79:$BG79)&lt;52,IF('Capacity summary'!AH79&lt;&gt;"",IF(LOWER('Capacity summary'!AH79)="x",$BI167*AH167,VALUE('Capacity summary'!AH79)),0),AH167*$BI167),AH167*$BI167),0)</f>
        <v>0</v>
      </c>
      <c r="CL167" s="5">
        <f>IF($BI167&lt;&gt;"",IF('Capacity summary'!$C$14="Yes",IF(COUNTBLANK('Capacity summary'!$H79:$BG79)&lt;52,IF('Capacity summary'!AI79&lt;&gt;"",IF(LOWER('Capacity summary'!AI79)="x",$BI167*AI167,VALUE('Capacity summary'!AI79)),0),AI167*$BI167),AI167*$BI167),0)</f>
        <v>0</v>
      </c>
      <c r="CM167" s="5">
        <f>IF($BI167&lt;&gt;"",IF('Capacity summary'!$C$14="Yes",IF(COUNTBLANK('Capacity summary'!$H79:$BG79)&lt;52,IF('Capacity summary'!AJ79&lt;&gt;"",IF(LOWER('Capacity summary'!AJ79)="x",$BI167*AJ167,VALUE('Capacity summary'!AJ79)),0),AJ167*$BI167),AJ167*$BI167),0)</f>
        <v>0</v>
      </c>
      <c r="CN167" s="5">
        <f>IF($BI167&lt;&gt;"",IF('Capacity summary'!$C$14="Yes",IF(COUNTBLANK('Capacity summary'!$H79:$BG79)&lt;52,IF('Capacity summary'!AK79&lt;&gt;"",IF(LOWER('Capacity summary'!AK79)="x",$BI167*AK167,VALUE('Capacity summary'!AK79)),0),AK167*$BI167),AK167*$BI167),0)</f>
        <v>0</v>
      </c>
      <c r="CO167" s="5">
        <f>IF($BI167&lt;&gt;"",IF('Capacity summary'!$C$14="Yes",IF(COUNTBLANK('Capacity summary'!$H79:$BG79)&lt;52,IF('Capacity summary'!AL79&lt;&gt;"",IF(LOWER('Capacity summary'!AL79)="x",$BI167*AL167,VALUE('Capacity summary'!AL79)),0),AL167*$BI167),AL167*$BI167),0)</f>
        <v>0</v>
      </c>
      <c r="CP167" s="5">
        <f>IF($BI167&lt;&gt;"",IF('Capacity summary'!$C$14="Yes",IF(COUNTBLANK('Capacity summary'!$H79:$BG79)&lt;52,IF('Capacity summary'!AM79&lt;&gt;"",IF(LOWER('Capacity summary'!AM79)="x",$BI167*AM167,VALUE('Capacity summary'!AM79)),0),AM167*$BI167),AM167*$BI167),0)</f>
        <v>0</v>
      </c>
      <c r="CQ167" s="5">
        <f>IF($BI167&lt;&gt;"",IF('Capacity summary'!$C$14="Yes",IF(COUNTBLANK('Capacity summary'!$H79:$BG79)&lt;52,IF('Capacity summary'!AN79&lt;&gt;"",IF(LOWER('Capacity summary'!AN79)="x",$BI167*AN167,VALUE('Capacity summary'!AN79)),0),AN167*$BI167),AN167*$BI167),0)</f>
        <v>0</v>
      </c>
      <c r="CR167" s="5">
        <f>IF($BI167&lt;&gt;"",IF('Capacity summary'!$C$14="Yes",IF(COUNTBLANK('Capacity summary'!$H79:$BG79)&lt;52,IF('Capacity summary'!AO79&lt;&gt;"",IF(LOWER('Capacity summary'!AO79)="x",$BI167*AO167,VALUE('Capacity summary'!AO79)),0),AO167*$BI167),AO167*$BI167),0)</f>
        <v>0</v>
      </c>
      <c r="CS167" s="5">
        <f>IF($BI167&lt;&gt;"",IF('Capacity summary'!$C$14="Yes",IF(COUNTBLANK('Capacity summary'!$H79:$BG79)&lt;52,IF('Capacity summary'!AP79&lt;&gt;"",IF(LOWER('Capacity summary'!AP79)="x",$BI167*AP167,VALUE('Capacity summary'!AP79)),0),AP167*$BI167),AP167*$BI167),0)</f>
        <v>0</v>
      </c>
      <c r="CT167" s="5">
        <f>IF($BI167&lt;&gt;"",IF('Capacity summary'!$C$14="Yes",IF(COUNTBLANK('Capacity summary'!$H79:$BG79)&lt;52,IF('Capacity summary'!AQ79&lt;&gt;"",IF(LOWER('Capacity summary'!AQ79)="x",$BI167*AQ167,VALUE('Capacity summary'!AQ79)),0),AQ167*$BI167),AQ167*$BI167),0)</f>
        <v>0</v>
      </c>
      <c r="CU167" s="5">
        <f>IF($BI167&lt;&gt;"",IF('Capacity summary'!$C$14="Yes",IF(COUNTBLANK('Capacity summary'!$H79:$BG79)&lt;52,IF('Capacity summary'!AR79&lt;&gt;"",IF(LOWER('Capacity summary'!AR79)="x",$BI167*AR167,VALUE('Capacity summary'!AR79)),0),AR167*$BI167),AR167*$BI167),0)</f>
        <v>0</v>
      </c>
      <c r="CV167" s="5">
        <f>IF($BI167&lt;&gt;"",IF('Capacity summary'!$C$14="Yes",IF(COUNTBLANK('Capacity summary'!$H79:$BG79)&lt;52,IF('Capacity summary'!AS79&lt;&gt;"",IF(LOWER('Capacity summary'!AS79)="x",$BI167*AS167,VALUE('Capacity summary'!AS79)),0),AS167*$BI167),AS167*$BI167),0)</f>
        <v>0</v>
      </c>
      <c r="CW167" s="5">
        <f>IF($BI167&lt;&gt;"",IF('Capacity summary'!$C$14="Yes",IF(COUNTBLANK('Capacity summary'!$H79:$BG79)&lt;52,IF('Capacity summary'!AT79&lt;&gt;"",IF(LOWER('Capacity summary'!AT79)="x",$BI167*AT167,VALUE('Capacity summary'!AT79)),0),AT167*$BI167),AT167*$BI167),0)</f>
        <v>0</v>
      </c>
      <c r="CX167" s="5">
        <f>IF($BI167&lt;&gt;"",IF('Capacity summary'!$C$14="Yes",IF(COUNTBLANK('Capacity summary'!$H79:$BG79)&lt;52,IF('Capacity summary'!AU79&lt;&gt;"",IF(LOWER('Capacity summary'!AU79)="x",$BI167*AU167,VALUE('Capacity summary'!AU79)),0),AU167*$BI167),AU167*$BI167),0)</f>
        <v>0</v>
      </c>
      <c r="CY167" s="5">
        <f>IF($BI167&lt;&gt;"",IF('Capacity summary'!$C$14="Yes",IF(COUNTBLANK('Capacity summary'!$H79:$BG79)&lt;52,IF('Capacity summary'!AV79&lt;&gt;"",IF(LOWER('Capacity summary'!AV79)="x",$BI167*AV167,VALUE('Capacity summary'!AV79)),0),AV167*$BI167),AV167*$BI167),0)</f>
        <v>0</v>
      </c>
      <c r="CZ167" s="5">
        <f>IF($BI167&lt;&gt;"",IF('Capacity summary'!$C$14="Yes",IF(COUNTBLANK('Capacity summary'!$H79:$BG79)&lt;52,IF('Capacity summary'!AW79&lt;&gt;"",IF(LOWER('Capacity summary'!AW79)="x",$BI167*AW167,VALUE('Capacity summary'!AW79)),0),AW167*$BI167),AW167*$BI167),0)</f>
        <v>0</v>
      </c>
      <c r="DA167" s="5">
        <f>IF($BI167&lt;&gt;"",IF('Capacity summary'!$C$14="Yes",IF(COUNTBLANK('Capacity summary'!$H79:$BG79)&lt;52,IF('Capacity summary'!AX79&lt;&gt;"",IF(LOWER('Capacity summary'!AX79)="x",$BI167*AX167,VALUE('Capacity summary'!AX79)),0),AX167*$BI167),AX167*$BI167),0)</f>
        <v>0</v>
      </c>
      <c r="DB167" s="5">
        <f>IF($BI167&lt;&gt;"",IF('Capacity summary'!$C$14="Yes",IF(COUNTBLANK('Capacity summary'!$H79:$BG79)&lt;52,IF('Capacity summary'!AY79&lt;&gt;"",IF(LOWER('Capacity summary'!AY79)="x",$BI167*AY167,VALUE('Capacity summary'!AY79)),0),AY167*$BI167),AY167*$BI167),0)</f>
        <v>0</v>
      </c>
      <c r="DC167" s="5">
        <f>IF($BI167&lt;&gt;"",IF('Capacity summary'!$C$14="Yes",IF(COUNTBLANK('Capacity summary'!$H79:$BG79)&lt;52,IF('Capacity summary'!AZ79&lt;&gt;"",IF(LOWER('Capacity summary'!AZ79)="x",$BI167*AZ167,VALUE('Capacity summary'!AZ79)),0),AZ167*$BI167),AZ167*$BI167),0)</f>
        <v>0</v>
      </c>
      <c r="DD167" s="5">
        <f>IF($BI167&lt;&gt;"",IF('Capacity summary'!$C$14="Yes",IF(COUNTBLANK('Capacity summary'!$H79:$BG79)&lt;52,IF('Capacity summary'!BA79&lt;&gt;"",IF(LOWER('Capacity summary'!BA79)="x",$BI167*BA167,VALUE('Capacity summary'!BA79)),0),BA167*$BI167),BA167*$BI167),0)</f>
        <v>0</v>
      </c>
      <c r="DE167" s="5">
        <f>IF($BI167&lt;&gt;"",IF('Capacity summary'!$C$14="Yes",IF(COUNTBLANK('Capacity summary'!$H79:$BG79)&lt;52,IF('Capacity summary'!BB79&lt;&gt;"",IF(LOWER('Capacity summary'!BB79)="x",$BI167*BB167,VALUE('Capacity summary'!BB79)),0),BB167*$BI167),BB167*$BI167),0)</f>
        <v>0</v>
      </c>
      <c r="DF167" s="5">
        <f>IF($BI167&lt;&gt;"",IF('Capacity summary'!$C$14="Yes",IF(COUNTBLANK('Capacity summary'!$H79:$BG79)&lt;52,IF('Capacity summary'!BC79&lt;&gt;"",IF(LOWER('Capacity summary'!BC79)="x",$BI167*BC167,VALUE('Capacity summary'!BC79)),0),BC167*$BI167),BC167*$BI167),0)</f>
        <v>0</v>
      </c>
      <c r="DG167" s="5">
        <f>IF($BI167&lt;&gt;"",IF('Capacity summary'!$C$14="Yes",IF(COUNTBLANK('Capacity summary'!$H79:$BG79)&lt;52,IF('Capacity summary'!BD79&lt;&gt;"",IF(LOWER('Capacity summary'!BD79)="x",$BI167*BD167,VALUE('Capacity summary'!BD79)),0),BD167*$BI167),BD167*$BI167),0)</f>
        <v>0</v>
      </c>
      <c r="DH167" s="5">
        <f>IF($BI167&lt;&gt;"",IF('Capacity summary'!$C$14="Yes",IF(COUNTBLANK('Capacity summary'!$H79:$BG79)&lt;52,IF('Capacity summary'!BE79&lt;&gt;"",IF(LOWER('Capacity summary'!BE79)="x",$BI167*BE167,VALUE('Capacity summary'!BE79)),0),BE167*$BI167),BE167*$BI167),0)</f>
        <v>0</v>
      </c>
      <c r="DI167" s="5">
        <f>IF($BI167&lt;&gt;"",IF('Capacity summary'!$C$14="Yes",IF(COUNTBLANK('Capacity summary'!$H79:$BG79)&lt;52,IF('Capacity summary'!BF79&lt;&gt;"",IF(LOWER('Capacity summary'!BF79)="x",$BI167*BF167,VALUE('Capacity summary'!BF79)),0),BF167*$BI167),BF167*$BI167),0)</f>
        <v>0</v>
      </c>
      <c r="DJ167" s="5">
        <f>IF($BI167&lt;&gt;"",IF('Capacity summary'!$C$14="Yes",IF(COUNTBLANK('Capacity summary'!$H79:$BG79)&lt;52,IF('Capacity summary'!BG79&lt;&gt;"",IF(LOWER('Capacity summary'!BG79)="x",$BI167*BG167,VALUE('Capacity summary'!BG79)),0),BG167*$BI167),BG167*$BI167),0)</f>
        <v>0</v>
      </c>
      <c r="DK167" s="391">
        <f t="shared" si="8"/>
        <v>0</v>
      </c>
      <c r="DL167" s="5">
        <f t="shared" si="9"/>
        <v>0</v>
      </c>
    </row>
    <row r="168" spans="3:116" x14ac:dyDescent="0.2">
      <c r="C168" s="67" t="str">
        <f>ROW(A57)&amp;". "&amp;Capacity!N73</f>
        <v xml:space="preserve">57. </v>
      </c>
      <c r="D168" s="67">
        <f>'Capacity setup'!C174</f>
        <v>0</v>
      </c>
      <c r="E168" s="67">
        <f>'Capacity setup'!D174</f>
        <v>0</v>
      </c>
      <c r="F168" s="67">
        <f>'Capacity setup'!E174</f>
        <v>0</v>
      </c>
      <c r="H168" s="67">
        <f ca="1">IF(LOWER(Capacity!$V73)="x",IF(AND(SUMIF(Capacity_Resource,$D168,'Critical resources (hide)'!U$6:U$105)+SUMIF(Capacity_Resource,$E168,'Critical resources (hide)'!U$6:U$105)+SUMIF(Capacity_Resource,$F168,'Critical resources (hide)'!U$6:U$105)&gt;0,$E$1=2),0,1),0)</f>
        <v>1</v>
      </c>
      <c r="I168" s="67">
        <f ca="1">IF(LOWER(Capacity!$V73)="x",IF(AND(SUMIF(Capacity_Resource,$D168,'Critical resources (hide)'!V$6:V$105)+SUMIF(Capacity_Resource,$E168,'Critical resources (hide)'!V$6:V$105)+SUMIF(Capacity_Resource,$F168,'Critical resources (hide)'!V$6:V$105)&gt;0,$E$1=2),0,1),0)</f>
        <v>1</v>
      </c>
      <c r="J168" s="67">
        <f ca="1">IF(LOWER(Capacity!$V73)="x",IF(AND(SUMIF(Capacity_Resource,$D168,'Critical resources (hide)'!W$6:W$105)+SUMIF(Capacity_Resource,$E168,'Critical resources (hide)'!W$6:W$105)+SUMIF(Capacity_Resource,$F168,'Critical resources (hide)'!W$6:W$105)&gt;0,$E$1=2),0,1),0)</f>
        <v>1</v>
      </c>
      <c r="K168" s="67">
        <f ca="1">IF(LOWER(Capacity!$V73)="x",IF(AND(SUMIF(Capacity_Resource,$D168,'Critical resources (hide)'!X$6:X$105)+SUMIF(Capacity_Resource,$E168,'Critical resources (hide)'!X$6:X$105)+SUMIF(Capacity_Resource,$F168,'Critical resources (hide)'!X$6:X$105)&gt;0,$E$1=2),0,1),0)</f>
        <v>1</v>
      </c>
      <c r="L168" s="67">
        <f ca="1">IF(LOWER(Capacity!$V73)="x",IF(AND(SUMIF(Capacity_Resource,$D168,'Critical resources (hide)'!Y$6:Y$105)+SUMIF(Capacity_Resource,$E168,'Critical resources (hide)'!Y$6:Y$105)+SUMIF(Capacity_Resource,$F168,'Critical resources (hide)'!Y$6:Y$105)&gt;0,$E$1=2),0,1),0)</f>
        <v>1</v>
      </c>
      <c r="M168" s="67">
        <f ca="1">IF(LOWER(Capacity!$V73)="x",IF(AND(SUMIF(Capacity_Resource,$D168,'Critical resources (hide)'!Z$6:Z$105)+SUMIF(Capacity_Resource,$E168,'Critical resources (hide)'!Z$6:Z$105)+SUMIF(Capacity_Resource,$F168,'Critical resources (hide)'!Z$6:Z$105)&gt;0,$E$1=2),0,1),0)</f>
        <v>1</v>
      </c>
      <c r="N168" s="67">
        <f ca="1">IF(LOWER(Capacity!$V73)="x",IF(AND(SUMIF(Capacity_Resource,$D168,'Critical resources (hide)'!AA$6:AA$105)+SUMIF(Capacity_Resource,$E168,'Critical resources (hide)'!AA$6:AA$105)+SUMIF(Capacity_Resource,$F168,'Critical resources (hide)'!AA$6:AA$105)&gt;0,$E$1=2),0,1),0)</f>
        <v>1</v>
      </c>
      <c r="O168" s="67">
        <f ca="1">IF(LOWER(Capacity!$V73)="x",IF(AND(SUMIF(Capacity_Resource,$D168,'Critical resources (hide)'!AB$6:AB$105)+SUMIF(Capacity_Resource,$E168,'Critical resources (hide)'!AB$6:AB$105)+SUMIF(Capacity_Resource,$F168,'Critical resources (hide)'!AB$6:AB$105)&gt;0,$E$1=2),0,1),0)</f>
        <v>1</v>
      </c>
      <c r="P168" s="67">
        <f ca="1">IF(LOWER(Capacity!$V73)="x",IF(AND(SUMIF(Capacity_Resource,$D168,'Critical resources (hide)'!AC$6:AC$105)+SUMIF(Capacity_Resource,$E168,'Critical resources (hide)'!AC$6:AC$105)+SUMIF(Capacity_Resource,$F168,'Critical resources (hide)'!AC$6:AC$105)&gt;0,$E$1=2),0,1),0)</f>
        <v>1</v>
      </c>
      <c r="Q168" s="67">
        <f ca="1">IF(LOWER(Capacity!$V73)="x",IF(AND(SUMIF(Capacity_Resource,$D168,'Critical resources (hide)'!AD$6:AD$105)+SUMIF(Capacity_Resource,$E168,'Critical resources (hide)'!AD$6:AD$105)+SUMIF(Capacity_Resource,$F168,'Critical resources (hide)'!AD$6:AD$105)&gt;0,$E$1=2),0,1),0)</f>
        <v>1</v>
      </c>
      <c r="R168" s="67">
        <f ca="1">IF(LOWER(Capacity!$V73)="x",IF(AND(SUMIF(Capacity_Resource,$D168,'Critical resources (hide)'!AE$6:AE$105)+SUMIF(Capacity_Resource,$E168,'Critical resources (hide)'!AE$6:AE$105)+SUMIF(Capacity_Resource,$F168,'Critical resources (hide)'!AE$6:AE$105)&gt;0,$E$1=2),0,1),0)</f>
        <v>1</v>
      </c>
      <c r="S168" s="67">
        <f ca="1">IF(LOWER(Capacity!$V73)="x",IF(AND(SUMIF(Capacity_Resource,$D168,'Critical resources (hide)'!AF$6:AF$105)+SUMIF(Capacity_Resource,$E168,'Critical resources (hide)'!AF$6:AF$105)+SUMIF(Capacity_Resource,$F168,'Critical resources (hide)'!AF$6:AF$105)&gt;0,$E$1=2),0,1),0)</f>
        <v>1</v>
      </c>
      <c r="T168" s="67">
        <f ca="1">IF(LOWER(Capacity!$V73)="x",IF(AND(SUMIF(Capacity_Resource,$D168,'Critical resources (hide)'!AG$6:AG$105)+SUMIF(Capacity_Resource,$E168,'Critical resources (hide)'!AG$6:AG$105)+SUMIF(Capacity_Resource,$F168,'Critical resources (hide)'!AG$6:AG$105)&gt;0,$E$1=2),0,1),0)</f>
        <v>1</v>
      </c>
      <c r="U168" s="67">
        <f ca="1">IF(LOWER(Capacity!$V73)="x",IF(AND(SUMIF(Capacity_Resource,$D168,'Critical resources (hide)'!AH$6:AH$105)+SUMIF(Capacity_Resource,$E168,'Critical resources (hide)'!AH$6:AH$105)+SUMIF(Capacity_Resource,$F168,'Critical resources (hide)'!AH$6:AH$105)&gt;0,$E$1=2),0,1),0)</f>
        <v>1</v>
      </c>
      <c r="V168" s="67">
        <f ca="1">IF(LOWER(Capacity!$V73)="x",IF(AND(SUMIF(Capacity_Resource,$D168,'Critical resources (hide)'!AI$6:AI$105)+SUMIF(Capacity_Resource,$E168,'Critical resources (hide)'!AI$6:AI$105)+SUMIF(Capacity_Resource,$F168,'Critical resources (hide)'!AI$6:AI$105)&gt;0,$E$1=2),0,1),0)</f>
        <v>1</v>
      </c>
      <c r="W168" s="67">
        <f ca="1">IF(LOWER(Capacity!$V73)="x",IF(AND(SUMIF(Capacity_Resource,$D168,'Critical resources (hide)'!AJ$6:AJ$105)+SUMIF(Capacity_Resource,$E168,'Critical resources (hide)'!AJ$6:AJ$105)+SUMIF(Capacity_Resource,$F168,'Critical resources (hide)'!AJ$6:AJ$105)&gt;0,$E$1=2),0,1),0)</f>
        <v>1</v>
      </c>
      <c r="X168" s="67">
        <f ca="1">IF(LOWER(Capacity!$V73)="x",IF(AND(SUMIF(Capacity_Resource,$D168,'Critical resources (hide)'!AK$6:AK$105)+SUMIF(Capacity_Resource,$E168,'Critical resources (hide)'!AK$6:AK$105)+SUMIF(Capacity_Resource,$F168,'Critical resources (hide)'!AK$6:AK$105)&gt;0,$E$1=2),0,1),0)</f>
        <v>1</v>
      </c>
      <c r="Y168" s="67">
        <f ca="1">IF(LOWER(Capacity!$V73)="x",IF(AND(SUMIF(Capacity_Resource,$D168,'Critical resources (hide)'!AL$6:AL$105)+SUMIF(Capacity_Resource,$E168,'Critical resources (hide)'!AL$6:AL$105)+SUMIF(Capacity_Resource,$F168,'Critical resources (hide)'!AL$6:AL$105)&gt;0,$E$1=2),0,1),0)</f>
        <v>1</v>
      </c>
      <c r="Z168" s="67">
        <f ca="1">IF(LOWER(Capacity!$V73)="x",IF(AND(SUMIF(Capacity_Resource,$D168,'Critical resources (hide)'!AM$6:AM$105)+SUMIF(Capacity_Resource,$E168,'Critical resources (hide)'!AM$6:AM$105)+SUMIF(Capacity_Resource,$F168,'Critical resources (hide)'!AM$6:AM$105)&gt;0,$E$1=2),0,1),0)</f>
        <v>1</v>
      </c>
      <c r="AA168" s="67">
        <f ca="1">IF(LOWER(Capacity!$V73)="x",IF(AND(SUMIF(Capacity_Resource,$D168,'Critical resources (hide)'!AN$6:AN$105)+SUMIF(Capacity_Resource,$E168,'Critical resources (hide)'!AN$6:AN$105)+SUMIF(Capacity_Resource,$F168,'Critical resources (hide)'!AN$6:AN$105)&gt;0,$E$1=2),0,1),0)</f>
        <v>1</v>
      </c>
      <c r="AB168" s="67">
        <f ca="1">IF(LOWER(Capacity!$V73)="x",IF(AND(SUMIF(Capacity_Resource,$D168,'Critical resources (hide)'!AO$6:AO$105)+SUMIF(Capacity_Resource,$E168,'Critical resources (hide)'!AO$6:AO$105)+SUMIF(Capacity_Resource,$F168,'Critical resources (hide)'!AO$6:AO$105)&gt;0,$E$1=2),0,1),0)</f>
        <v>1</v>
      </c>
      <c r="AC168" s="67">
        <f ca="1">IF(LOWER(Capacity!$V73)="x",IF(AND(SUMIF(Capacity_Resource,$D168,'Critical resources (hide)'!AP$6:AP$105)+SUMIF(Capacity_Resource,$E168,'Critical resources (hide)'!AP$6:AP$105)+SUMIF(Capacity_Resource,$F168,'Critical resources (hide)'!AP$6:AP$105)&gt;0,$E$1=2),0,1),0)</f>
        <v>1</v>
      </c>
      <c r="AD168" s="67">
        <f ca="1">IF(LOWER(Capacity!$V73)="x",IF(AND(SUMIF(Capacity_Resource,$D168,'Critical resources (hide)'!AQ$6:AQ$105)+SUMIF(Capacity_Resource,$E168,'Critical resources (hide)'!AQ$6:AQ$105)+SUMIF(Capacity_Resource,$F168,'Critical resources (hide)'!AQ$6:AQ$105)&gt;0,$E$1=2),0,1),0)</f>
        <v>1</v>
      </c>
      <c r="AE168" s="67">
        <f ca="1">IF(LOWER(Capacity!$V73)="x",IF(AND(SUMIF(Capacity_Resource,$D168,'Critical resources (hide)'!AR$6:AR$105)+SUMIF(Capacity_Resource,$E168,'Critical resources (hide)'!AR$6:AR$105)+SUMIF(Capacity_Resource,$F168,'Critical resources (hide)'!AR$6:AR$105)&gt;0,$E$1=2),0,1),0)</f>
        <v>1</v>
      </c>
      <c r="AF168" s="67">
        <f ca="1">IF(LOWER(Capacity!$V73)="x",IF(AND(SUMIF(Capacity_Resource,$D168,'Critical resources (hide)'!AS$6:AS$105)+SUMIF(Capacity_Resource,$E168,'Critical resources (hide)'!AS$6:AS$105)+SUMIF(Capacity_Resource,$F168,'Critical resources (hide)'!AS$6:AS$105)&gt;0,$E$1=2),0,1),0)</f>
        <v>1</v>
      </c>
      <c r="AG168" s="67">
        <f ca="1">IF(LOWER(Capacity!$V73)="x",IF(AND(SUMIF(Capacity_Resource,$D168,'Critical resources (hide)'!AT$6:AT$105)+SUMIF(Capacity_Resource,$E168,'Critical resources (hide)'!AT$6:AT$105)+SUMIF(Capacity_Resource,$F168,'Critical resources (hide)'!AT$6:AT$105)&gt;0,$E$1=2),0,1),0)</f>
        <v>1</v>
      </c>
      <c r="AH168" s="67">
        <f ca="1">IF(LOWER(Capacity!$V73)="x",IF(AND(SUMIF(Capacity_Resource,$D168,'Critical resources (hide)'!AU$6:AU$105)+SUMIF(Capacity_Resource,$E168,'Critical resources (hide)'!AU$6:AU$105)+SUMIF(Capacity_Resource,$F168,'Critical resources (hide)'!AU$6:AU$105)&gt;0,$E$1=2),0,1),0)</f>
        <v>1</v>
      </c>
      <c r="AI168" s="67">
        <f ca="1">IF(LOWER(Capacity!$V73)="x",IF(AND(SUMIF(Capacity_Resource,$D168,'Critical resources (hide)'!AV$6:AV$105)+SUMIF(Capacity_Resource,$E168,'Critical resources (hide)'!AV$6:AV$105)+SUMIF(Capacity_Resource,$F168,'Critical resources (hide)'!AV$6:AV$105)&gt;0,$E$1=2),0,1),0)</f>
        <v>1</v>
      </c>
      <c r="AJ168" s="67">
        <f ca="1">IF(LOWER(Capacity!$V73)="x",IF(AND(SUMIF(Capacity_Resource,$D168,'Critical resources (hide)'!AW$6:AW$105)+SUMIF(Capacity_Resource,$E168,'Critical resources (hide)'!AW$6:AW$105)+SUMIF(Capacity_Resource,$F168,'Critical resources (hide)'!AW$6:AW$105)&gt;0,$E$1=2),0,1),0)</f>
        <v>1</v>
      </c>
      <c r="AK168" s="67">
        <f ca="1">IF(LOWER(Capacity!$V73)="x",IF(AND(SUMIF(Capacity_Resource,$D168,'Critical resources (hide)'!AX$6:AX$105)+SUMIF(Capacity_Resource,$E168,'Critical resources (hide)'!AX$6:AX$105)+SUMIF(Capacity_Resource,$F168,'Critical resources (hide)'!AX$6:AX$105)&gt;0,$E$1=2),0,1),0)</f>
        <v>1</v>
      </c>
      <c r="AL168" s="67">
        <f ca="1">IF(LOWER(Capacity!$V73)="x",IF(AND(SUMIF(Capacity_Resource,$D168,'Critical resources (hide)'!AY$6:AY$105)+SUMIF(Capacity_Resource,$E168,'Critical resources (hide)'!AY$6:AY$105)+SUMIF(Capacity_Resource,$F168,'Critical resources (hide)'!AY$6:AY$105)&gt;0,$E$1=2),0,1),0)</f>
        <v>1</v>
      </c>
      <c r="AM168" s="67">
        <f ca="1">IF(LOWER(Capacity!$V73)="x",IF(AND(SUMIF(Capacity_Resource,$D168,'Critical resources (hide)'!AZ$6:AZ$105)+SUMIF(Capacity_Resource,$E168,'Critical resources (hide)'!AZ$6:AZ$105)+SUMIF(Capacity_Resource,$F168,'Critical resources (hide)'!AZ$6:AZ$105)&gt;0,$E$1=2),0,1),0)</f>
        <v>1</v>
      </c>
      <c r="AN168" s="67">
        <f ca="1">IF(LOWER(Capacity!$V73)="x",IF(AND(SUMIF(Capacity_Resource,$D168,'Critical resources (hide)'!BA$6:BA$105)+SUMIF(Capacity_Resource,$E168,'Critical resources (hide)'!BA$6:BA$105)+SUMIF(Capacity_Resource,$F168,'Critical resources (hide)'!BA$6:BA$105)&gt;0,$E$1=2),0,1),0)</f>
        <v>1</v>
      </c>
      <c r="AO168" s="67">
        <f ca="1">IF(LOWER(Capacity!$V73)="x",IF(AND(SUMIF(Capacity_Resource,$D168,'Critical resources (hide)'!BB$6:BB$105)+SUMIF(Capacity_Resource,$E168,'Critical resources (hide)'!BB$6:BB$105)+SUMIF(Capacity_Resource,$F168,'Critical resources (hide)'!BB$6:BB$105)&gt;0,$E$1=2),0,1),0)</f>
        <v>1</v>
      </c>
      <c r="AP168" s="67">
        <f ca="1">IF(LOWER(Capacity!$V73)="x",IF(AND(SUMIF(Capacity_Resource,$D168,'Critical resources (hide)'!BC$6:BC$105)+SUMIF(Capacity_Resource,$E168,'Critical resources (hide)'!BC$6:BC$105)+SUMIF(Capacity_Resource,$F168,'Critical resources (hide)'!BC$6:BC$105)&gt;0,$E$1=2),0,1),0)</f>
        <v>1</v>
      </c>
      <c r="AQ168" s="67">
        <f ca="1">IF(LOWER(Capacity!$V73)="x",IF(AND(SUMIF(Capacity_Resource,$D168,'Critical resources (hide)'!BD$6:BD$105)+SUMIF(Capacity_Resource,$E168,'Critical resources (hide)'!BD$6:BD$105)+SUMIF(Capacity_Resource,$F168,'Critical resources (hide)'!BD$6:BD$105)&gt;0,$E$1=2),0,1),0)</f>
        <v>1</v>
      </c>
      <c r="AR168" s="67">
        <f ca="1">IF(LOWER(Capacity!$V73)="x",IF(AND(SUMIF(Capacity_Resource,$D168,'Critical resources (hide)'!BE$6:BE$105)+SUMIF(Capacity_Resource,$E168,'Critical resources (hide)'!BE$6:BE$105)+SUMIF(Capacity_Resource,$F168,'Critical resources (hide)'!BE$6:BE$105)&gt;0,$E$1=2),0,1),0)</f>
        <v>1</v>
      </c>
      <c r="AS168" s="67">
        <f ca="1">IF(LOWER(Capacity!$V73)="x",IF(AND(SUMIF(Capacity_Resource,$D168,'Critical resources (hide)'!BF$6:BF$105)+SUMIF(Capacity_Resource,$E168,'Critical resources (hide)'!BF$6:BF$105)+SUMIF(Capacity_Resource,$F168,'Critical resources (hide)'!BF$6:BF$105)&gt;0,$E$1=2),0,1),0)</f>
        <v>1</v>
      </c>
      <c r="AT168" s="67">
        <f ca="1">IF(LOWER(Capacity!$V73)="x",IF(AND(SUMIF(Capacity_Resource,$D168,'Critical resources (hide)'!BG$6:BG$105)+SUMIF(Capacity_Resource,$E168,'Critical resources (hide)'!BG$6:BG$105)+SUMIF(Capacity_Resource,$F168,'Critical resources (hide)'!BG$6:BG$105)&gt;0,$E$1=2),0,1),0)</f>
        <v>1</v>
      </c>
      <c r="AU168" s="67">
        <f ca="1">IF(LOWER(Capacity!$V73)="x",IF(AND(SUMIF(Capacity_Resource,$D168,'Critical resources (hide)'!BH$6:BH$105)+SUMIF(Capacity_Resource,$E168,'Critical resources (hide)'!BH$6:BH$105)+SUMIF(Capacity_Resource,$F168,'Critical resources (hide)'!BH$6:BH$105)&gt;0,$E$1=2),0,1),0)</f>
        <v>1</v>
      </c>
      <c r="AV168" s="67">
        <f ca="1">IF(LOWER(Capacity!$V73)="x",IF(AND(SUMIF(Capacity_Resource,$D168,'Critical resources (hide)'!BI$6:BI$105)+SUMIF(Capacity_Resource,$E168,'Critical resources (hide)'!BI$6:BI$105)+SUMIF(Capacity_Resource,$F168,'Critical resources (hide)'!BI$6:BI$105)&gt;0,$E$1=2),0,1),0)</f>
        <v>1</v>
      </c>
      <c r="AW168" s="67">
        <f ca="1">IF(LOWER(Capacity!$V73)="x",IF(AND(SUMIF(Capacity_Resource,$D168,'Critical resources (hide)'!BJ$6:BJ$105)+SUMIF(Capacity_Resource,$E168,'Critical resources (hide)'!BJ$6:BJ$105)+SUMIF(Capacity_Resource,$F168,'Critical resources (hide)'!BJ$6:BJ$105)&gt;0,$E$1=2),0,1),0)</f>
        <v>1</v>
      </c>
      <c r="AX168" s="67">
        <f ca="1">IF(LOWER(Capacity!$V73)="x",IF(AND(SUMIF(Capacity_Resource,$D168,'Critical resources (hide)'!BK$6:BK$105)+SUMIF(Capacity_Resource,$E168,'Critical resources (hide)'!BK$6:BK$105)+SUMIF(Capacity_Resource,$F168,'Critical resources (hide)'!BK$6:BK$105)&gt;0,$E$1=2),0,1),0)</f>
        <v>1</v>
      </c>
      <c r="AY168" s="67">
        <f ca="1">IF(LOWER(Capacity!$V73)="x",IF(AND(SUMIF(Capacity_Resource,$D168,'Critical resources (hide)'!BL$6:BL$105)+SUMIF(Capacity_Resource,$E168,'Critical resources (hide)'!BL$6:BL$105)+SUMIF(Capacity_Resource,$F168,'Critical resources (hide)'!BL$6:BL$105)&gt;0,$E$1=2),0,1),0)</f>
        <v>1</v>
      </c>
      <c r="AZ168" s="67">
        <f ca="1">IF(LOWER(Capacity!$V73)="x",IF(AND(SUMIF(Capacity_Resource,$D168,'Critical resources (hide)'!BM$6:BM$105)+SUMIF(Capacity_Resource,$E168,'Critical resources (hide)'!BM$6:BM$105)+SUMIF(Capacity_Resource,$F168,'Critical resources (hide)'!BM$6:BM$105)&gt;0,$E$1=2),0,1),0)</f>
        <v>1</v>
      </c>
      <c r="BA168" s="67">
        <f ca="1">IF(LOWER(Capacity!$V73)="x",IF(AND(SUMIF(Capacity_Resource,$D168,'Critical resources (hide)'!BN$6:BN$105)+SUMIF(Capacity_Resource,$E168,'Critical resources (hide)'!BN$6:BN$105)+SUMIF(Capacity_Resource,$F168,'Critical resources (hide)'!BN$6:BN$105)&gt;0,$E$1=2),0,1),0)</f>
        <v>1</v>
      </c>
      <c r="BB168" s="67">
        <f ca="1">IF(LOWER(Capacity!$V73)="x",IF(AND(SUMIF(Capacity_Resource,$D168,'Critical resources (hide)'!BO$6:BO$105)+SUMIF(Capacity_Resource,$E168,'Critical resources (hide)'!BO$6:BO$105)+SUMIF(Capacity_Resource,$F168,'Critical resources (hide)'!BO$6:BO$105)&gt;0,$E$1=2),0,1),0)</f>
        <v>1</v>
      </c>
      <c r="BC168" s="67">
        <f ca="1">IF(LOWER(Capacity!$V73)="x",IF(AND(SUMIF(Capacity_Resource,$D168,'Critical resources (hide)'!BP$6:BP$105)+SUMIF(Capacity_Resource,$E168,'Critical resources (hide)'!BP$6:BP$105)+SUMIF(Capacity_Resource,$F168,'Critical resources (hide)'!BP$6:BP$105)&gt;0,$E$1=2),0,1),0)</f>
        <v>1</v>
      </c>
      <c r="BD168" s="67">
        <f ca="1">IF(LOWER(Capacity!$V73)="x",IF(AND(SUMIF(Capacity_Resource,$D168,'Critical resources (hide)'!BQ$6:BQ$105)+SUMIF(Capacity_Resource,$E168,'Critical resources (hide)'!BQ$6:BQ$105)+SUMIF(Capacity_Resource,$F168,'Critical resources (hide)'!BQ$6:BQ$105)&gt;0,$E$1=2),0,1),0)</f>
        <v>1</v>
      </c>
      <c r="BE168" s="67">
        <f ca="1">IF(LOWER(Capacity!$V73)="x",IF(AND(SUMIF(Capacity_Resource,$D168,'Critical resources (hide)'!BR$6:BR$105)+SUMIF(Capacity_Resource,$E168,'Critical resources (hide)'!BR$6:BR$105)+SUMIF(Capacity_Resource,$F168,'Critical resources (hide)'!BR$6:BR$105)&gt;0,$E$1=2),0,1),0)</f>
        <v>1</v>
      </c>
      <c r="BF168" s="67">
        <f ca="1">IF(LOWER(Capacity!$V73)="x",IF(AND(SUMIF(Capacity_Resource,$D168,'Critical resources (hide)'!BS$6:BS$105)+SUMIF(Capacity_Resource,$E168,'Critical resources (hide)'!BS$6:BS$105)+SUMIF(Capacity_Resource,$F168,'Critical resources (hide)'!BS$6:BS$105)&gt;0,$E$1=2),0,1),0)</f>
        <v>1</v>
      </c>
      <c r="BG168" s="67">
        <f ca="1">IF(LOWER(Capacity!$V73)="x",IF(AND(SUMIF(Capacity_Resource,$D168,'Critical resources (hide)'!BT$6:BT$105)+SUMIF(Capacity_Resource,$E168,'Critical resources (hide)'!BT$6:BT$105)+SUMIF(Capacity_Resource,$F168,'Critical resources (hide)'!BT$6:BT$105)&gt;0,$E$1=2),0,1),0)</f>
        <v>1</v>
      </c>
      <c r="BH168" s="67">
        <f>IF(ROW(A57)&lt;=Capacity!$M$16,IF('Capacity summary'!$C$14="No",SUM(H168:BG168),'Capacity summary'!$E80),0)</f>
        <v>0</v>
      </c>
      <c r="BI168" s="67" t="str">
        <f>IF(BH168&gt;0,IF(BH168&lt;Capacity!Q73,Capacity!R73,Capacity!T73/'Capacity calculation (hide)'!BH168),"")</f>
        <v/>
      </c>
      <c r="BJ168" s="5"/>
      <c r="BK168" s="5">
        <f>IF($BI168&lt;&gt;"",IF('Capacity summary'!$C$14="Yes",IF(COUNTBLANK('Capacity summary'!$H80:$BG80)&lt;52,IF('Capacity summary'!H80&lt;&gt;"",IF(LOWER('Capacity summary'!H80)="x",$BI168*H168,VALUE('Capacity summary'!H80)),0),H168*$BI168),H168*$BI168),0)</f>
        <v>0</v>
      </c>
      <c r="BL168" s="5">
        <f>IF($BI168&lt;&gt;"",IF('Capacity summary'!$C$14="Yes",IF(COUNTBLANK('Capacity summary'!$H80:$BG80)&lt;52,IF('Capacity summary'!I80&lt;&gt;"",IF(LOWER('Capacity summary'!I80)="x",$BI168*I168,VALUE('Capacity summary'!I80)),0),I168*$BI168),I168*$BI168),0)</f>
        <v>0</v>
      </c>
      <c r="BM168" s="5">
        <f>IF($BI168&lt;&gt;"",IF('Capacity summary'!$C$14="Yes",IF(COUNTBLANK('Capacity summary'!$H80:$BG80)&lt;52,IF('Capacity summary'!J80&lt;&gt;"",IF(LOWER('Capacity summary'!J80)="x",$BI168*J168,VALUE('Capacity summary'!J80)),0),J168*$BI168),J168*$BI168),0)</f>
        <v>0</v>
      </c>
      <c r="BN168" s="5">
        <f>IF($BI168&lt;&gt;"",IF('Capacity summary'!$C$14="Yes",IF(COUNTBLANK('Capacity summary'!$H80:$BG80)&lt;52,IF('Capacity summary'!K80&lt;&gt;"",IF(LOWER('Capacity summary'!K80)="x",$BI168*K168,VALUE('Capacity summary'!K80)),0),K168*$BI168),K168*$BI168),0)</f>
        <v>0</v>
      </c>
      <c r="BO168" s="5">
        <f>IF($BI168&lt;&gt;"",IF('Capacity summary'!$C$14="Yes",IF(COUNTBLANK('Capacity summary'!$H80:$BG80)&lt;52,IF('Capacity summary'!L80&lt;&gt;"",IF(LOWER('Capacity summary'!L80)="x",$BI168*L168,VALUE('Capacity summary'!L80)),0),L168*$BI168),L168*$BI168),0)</f>
        <v>0</v>
      </c>
      <c r="BP168" s="5">
        <f>IF($BI168&lt;&gt;"",IF('Capacity summary'!$C$14="Yes",IF(COUNTBLANK('Capacity summary'!$H80:$BG80)&lt;52,IF('Capacity summary'!M80&lt;&gt;"",IF(LOWER('Capacity summary'!M80)="x",$BI168*M168,VALUE('Capacity summary'!M80)),0),M168*$BI168),M168*$BI168),0)</f>
        <v>0</v>
      </c>
      <c r="BQ168" s="5">
        <f>IF($BI168&lt;&gt;"",IF('Capacity summary'!$C$14="Yes",IF(COUNTBLANK('Capacity summary'!$H80:$BG80)&lt;52,IF('Capacity summary'!N80&lt;&gt;"",IF(LOWER('Capacity summary'!N80)="x",$BI168*N168,VALUE('Capacity summary'!N80)),0),N168*$BI168),N168*$BI168),0)</f>
        <v>0</v>
      </c>
      <c r="BR168" s="5">
        <f>IF($BI168&lt;&gt;"",IF('Capacity summary'!$C$14="Yes",IF(COUNTBLANK('Capacity summary'!$H80:$BG80)&lt;52,IF('Capacity summary'!O80&lt;&gt;"",IF(LOWER('Capacity summary'!O80)="x",$BI168*O168,VALUE('Capacity summary'!O80)),0),O168*$BI168),O168*$BI168),0)</f>
        <v>0</v>
      </c>
      <c r="BS168" s="5">
        <f>IF($BI168&lt;&gt;"",IF('Capacity summary'!$C$14="Yes",IF(COUNTBLANK('Capacity summary'!$H80:$BG80)&lt;52,IF('Capacity summary'!P80&lt;&gt;"",IF(LOWER('Capacity summary'!P80)="x",$BI168*P168,VALUE('Capacity summary'!P80)),0),P168*$BI168),P168*$BI168),0)</f>
        <v>0</v>
      </c>
      <c r="BT168" s="5">
        <f>IF($BI168&lt;&gt;"",IF('Capacity summary'!$C$14="Yes",IF(COUNTBLANK('Capacity summary'!$H80:$BG80)&lt;52,IF('Capacity summary'!Q80&lt;&gt;"",IF(LOWER('Capacity summary'!Q80)="x",$BI168*Q168,VALUE('Capacity summary'!Q80)),0),Q168*$BI168),Q168*$BI168),0)</f>
        <v>0</v>
      </c>
      <c r="BU168" s="5">
        <f>IF($BI168&lt;&gt;"",IF('Capacity summary'!$C$14="Yes",IF(COUNTBLANK('Capacity summary'!$H80:$BG80)&lt;52,IF('Capacity summary'!R80&lt;&gt;"",IF(LOWER('Capacity summary'!R80)="x",$BI168*R168,VALUE('Capacity summary'!R80)),0),R168*$BI168),R168*$BI168),0)</f>
        <v>0</v>
      </c>
      <c r="BV168" s="5">
        <f>IF($BI168&lt;&gt;"",IF('Capacity summary'!$C$14="Yes",IF(COUNTBLANK('Capacity summary'!$H80:$BG80)&lt;52,IF('Capacity summary'!S80&lt;&gt;"",IF(LOWER('Capacity summary'!S80)="x",$BI168*S168,VALUE('Capacity summary'!S80)),0),S168*$BI168),S168*$BI168),0)</f>
        <v>0</v>
      </c>
      <c r="BW168" s="5">
        <f>IF($BI168&lt;&gt;"",IF('Capacity summary'!$C$14="Yes",IF(COUNTBLANK('Capacity summary'!$H80:$BG80)&lt;52,IF('Capacity summary'!T80&lt;&gt;"",IF(LOWER('Capacity summary'!T80)="x",$BI168*T168,VALUE('Capacity summary'!T80)),0),T168*$BI168),T168*$BI168),0)</f>
        <v>0</v>
      </c>
      <c r="BX168" s="5">
        <f>IF($BI168&lt;&gt;"",IF('Capacity summary'!$C$14="Yes",IF(COUNTBLANK('Capacity summary'!$H80:$BG80)&lt;52,IF('Capacity summary'!U80&lt;&gt;"",IF(LOWER('Capacity summary'!U80)="x",$BI168*U168,VALUE('Capacity summary'!U80)),0),U168*$BI168),U168*$BI168),0)</f>
        <v>0</v>
      </c>
      <c r="BY168" s="5">
        <f>IF($BI168&lt;&gt;"",IF('Capacity summary'!$C$14="Yes",IF(COUNTBLANK('Capacity summary'!$H80:$BG80)&lt;52,IF('Capacity summary'!V80&lt;&gt;"",IF(LOWER('Capacity summary'!V80)="x",$BI168*V168,VALUE('Capacity summary'!V80)),0),V168*$BI168),V168*$BI168),0)</f>
        <v>0</v>
      </c>
      <c r="BZ168" s="5">
        <f>IF($BI168&lt;&gt;"",IF('Capacity summary'!$C$14="Yes",IF(COUNTBLANK('Capacity summary'!$H80:$BG80)&lt;52,IF('Capacity summary'!W80&lt;&gt;"",IF(LOWER('Capacity summary'!W80)="x",$BI168*W168,VALUE('Capacity summary'!W80)),0),W168*$BI168),W168*$BI168),0)</f>
        <v>0</v>
      </c>
      <c r="CA168" s="5">
        <f>IF($BI168&lt;&gt;"",IF('Capacity summary'!$C$14="Yes",IF(COUNTBLANK('Capacity summary'!$H80:$BG80)&lt;52,IF('Capacity summary'!X80&lt;&gt;"",IF(LOWER('Capacity summary'!X80)="x",$BI168*X168,VALUE('Capacity summary'!X80)),0),X168*$BI168),X168*$BI168),0)</f>
        <v>0</v>
      </c>
      <c r="CB168" s="5">
        <f>IF($BI168&lt;&gt;"",IF('Capacity summary'!$C$14="Yes",IF(COUNTBLANK('Capacity summary'!$H80:$BG80)&lt;52,IF('Capacity summary'!Y80&lt;&gt;"",IF(LOWER('Capacity summary'!Y80)="x",$BI168*Y168,VALUE('Capacity summary'!Y80)),0),Y168*$BI168),Y168*$BI168),0)</f>
        <v>0</v>
      </c>
      <c r="CC168" s="5">
        <f>IF($BI168&lt;&gt;"",IF('Capacity summary'!$C$14="Yes",IF(COUNTBLANK('Capacity summary'!$H80:$BG80)&lt;52,IF('Capacity summary'!Z80&lt;&gt;"",IF(LOWER('Capacity summary'!Z80)="x",$BI168*Z168,VALUE('Capacity summary'!Z80)),0),Z168*$BI168),Z168*$BI168),0)</f>
        <v>0</v>
      </c>
      <c r="CD168" s="5">
        <f>IF($BI168&lt;&gt;"",IF('Capacity summary'!$C$14="Yes",IF(COUNTBLANK('Capacity summary'!$H80:$BG80)&lt;52,IF('Capacity summary'!AA80&lt;&gt;"",IF(LOWER('Capacity summary'!AA80)="x",$BI168*AA168,VALUE('Capacity summary'!AA80)),0),AA168*$BI168),AA168*$BI168),0)</f>
        <v>0</v>
      </c>
      <c r="CE168" s="5">
        <f>IF($BI168&lt;&gt;"",IF('Capacity summary'!$C$14="Yes",IF(COUNTBLANK('Capacity summary'!$H80:$BG80)&lt;52,IF('Capacity summary'!AB80&lt;&gt;"",IF(LOWER('Capacity summary'!AB80)="x",$BI168*AB168,VALUE('Capacity summary'!AB80)),0),AB168*$BI168),AB168*$BI168),0)</f>
        <v>0</v>
      </c>
      <c r="CF168" s="5">
        <f>IF($BI168&lt;&gt;"",IF('Capacity summary'!$C$14="Yes",IF(COUNTBLANK('Capacity summary'!$H80:$BG80)&lt;52,IF('Capacity summary'!AC80&lt;&gt;"",IF(LOWER('Capacity summary'!AC80)="x",$BI168*AC168,VALUE('Capacity summary'!AC80)),0),AC168*$BI168),AC168*$BI168),0)</f>
        <v>0</v>
      </c>
      <c r="CG168" s="5">
        <f>IF($BI168&lt;&gt;"",IF('Capacity summary'!$C$14="Yes",IF(COUNTBLANK('Capacity summary'!$H80:$BG80)&lt;52,IF('Capacity summary'!AD80&lt;&gt;"",IF(LOWER('Capacity summary'!AD80)="x",$BI168*AD168,VALUE('Capacity summary'!AD80)),0),AD168*$BI168),AD168*$BI168),0)</f>
        <v>0</v>
      </c>
      <c r="CH168" s="5">
        <f>IF($BI168&lt;&gt;"",IF('Capacity summary'!$C$14="Yes",IF(COUNTBLANK('Capacity summary'!$H80:$BG80)&lt;52,IF('Capacity summary'!AE80&lt;&gt;"",IF(LOWER('Capacity summary'!AE80)="x",$BI168*AE168,VALUE('Capacity summary'!AE80)),0),AE168*$BI168),AE168*$BI168),0)</f>
        <v>0</v>
      </c>
      <c r="CI168" s="5">
        <f>IF($BI168&lt;&gt;"",IF('Capacity summary'!$C$14="Yes",IF(COUNTBLANK('Capacity summary'!$H80:$BG80)&lt;52,IF('Capacity summary'!AF80&lt;&gt;"",IF(LOWER('Capacity summary'!AF80)="x",$BI168*AF168,VALUE('Capacity summary'!AF80)),0),AF168*$BI168),AF168*$BI168),0)</f>
        <v>0</v>
      </c>
      <c r="CJ168" s="5">
        <f>IF($BI168&lt;&gt;"",IF('Capacity summary'!$C$14="Yes",IF(COUNTBLANK('Capacity summary'!$H80:$BG80)&lt;52,IF('Capacity summary'!AG80&lt;&gt;"",IF(LOWER('Capacity summary'!AG80)="x",$BI168*AG168,VALUE('Capacity summary'!AG80)),0),AG168*$BI168),AG168*$BI168),0)</f>
        <v>0</v>
      </c>
      <c r="CK168" s="5">
        <f>IF($BI168&lt;&gt;"",IF('Capacity summary'!$C$14="Yes",IF(COUNTBLANK('Capacity summary'!$H80:$BG80)&lt;52,IF('Capacity summary'!AH80&lt;&gt;"",IF(LOWER('Capacity summary'!AH80)="x",$BI168*AH168,VALUE('Capacity summary'!AH80)),0),AH168*$BI168),AH168*$BI168),0)</f>
        <v>0</v>
      </c>
      <c r="CL168" s="5">
        <f>IF($BI168&lt;&gt;"",IF('Capacity summary'!$C$14="Yes",IF(COUNTBLANK('Capacity summary'!$H80:$BG80)&lt;52,IF('Capacity summary'!AI80&lt;&gt;"",IF(LOWER('Capacity summary'!AI80)="x",$BI168*AI168,VALUE('Capacity summary'!AI80)),0),AI168*$BI168),AI168*$BI168),0)</f>
        <v>0</v>
      </c>
      <c r="CM168" s="5">
        <f>IF($BI168&lt;&gt;"",IF('Capacity summary'!$C$14="Yes",IF(COUNTBLANK('Capacity summary'!$H80:$BG80)&lt;52,IF('Capacity summary'!AJ80&lt;&gt;"",IF(LOWER('Capacity summary'!AJ80)="x",$BI168*AJ168,VALUE('Capacity summary'!AJ80)),0),AJ168*$BI168),AJ168*$BI168),0)</f>
        <v>0</v>
      </c>
      <c r="CN168" s="5">
        <f>IF($BI168&lt;&gt;"",IF('Capacity summary'!$C$14="Yes",IF(COUNTBLANK('Capacity summary'!$H80:$BG80)&lt;52,IF('Capacity summary'!AK80&lt;&gt;"",IF(LOWER('Capacity summary'!AK80)="x",$BI168*AK168,VALUE('Capacity summary'!AK80)),0),AK168*$BI168),AK168*$BI168),0)</f>
        <v>0</v>
      </c>
      <c r="CO168" s="5">
        <f>IF($BI168&lt;&gt;"",IF('Capacity summary'!$C$14="Yes",IF(COUNTBLANK('Capacity summary'!$H80:$BG80)&lt;52,IF('Capacity summary'!AL80&lt;&gt;"",IF(LOWER('Capacity summary'!AL80)="x",$BI168*AL168,VALUE('Capacity summary'!AL80)),0),AL168*$BI168),AL168*$BI168),0)</f>
        <v>0</v>
      </c>
      <c r="CP168" s="5">
        <f>IF($BI168&lt;&gt;"",IF('Capacity summary'!$C$14="Yes",IF(COUNTBLANK('Capacity summary'!$H80:$BG80)&lt;52,IF('Capacity summary'!AM80&lt;&gt;"",IF(LOWER('Capacity summary'!AM80)="x",$BI168*AM168,VALUE('Capacity summary'!AM80)),0),AM168*$BI168),AM168*$BI168),0)</f>
        <v>0</v>
      </c>
      <c r="CQ168" s="5">
        <f>IF($BI168&lt;&gt;"",IF('Capacity summary'!$C$14="Yes",IF(COUNTBLANK('Capacity summary'!$H80:$BG80)&lt;52,IF('Capacity summary'!AN80&lt;&gt;"",IF(LOWER('Capacity summary'!AN80)="x",$BI168*AN168,VALUE('Capacity summary'!AN80)),0),AN168*$BI168),AN168*$BI168),0)</f>
        <v>0</v>
      </c>
      <c r="CR168" s="5">
        <f>IF($BI168&lt;&gt;"",IF('Capacity summary'!$C$14="Yes",IF(COUNTBLANK('Capacity summary'!$H80:$BG80)&lt;52,IF('Capacity summary'!AO80&lt;&gt;"",IF(LOWER('Capacity summary'!AO80)="x",$BI168*AO168,VALUE('Capacity summary'!AO80)),0),AO168*$BI168),AO168*$BI168),0)</f>
        <v>0</v>
      </c>
      <c r="CS168" s="5">
        <f>IF($BI168&lt;&gt;"",IF('Capacity summary'!$C$14="Yes",IF(COUNTBLANK('Capacity summary'!$H80:$BG80)&lt;52,IF('Capacity summary'!AP80&lt;&gt;"",IF(LOWER('Capacity summary'!AP80)="x",$BI168*AP168,VALUE('Capacity summary'!AP80)),0),AP168*$BI168),AP168*$BI168),0)</f>
        <v>0</v>
      </c>
      <c r="CT168" s="5">
        <f>IF($BI168&lt;&gt;"",IF('Capacity summary'!$C$14="Yes",IF(COUNTBLANK('Capacity summary'!$H80:$BG80)&lt;52,IF('Capacity summary'!AQ80&lt;&gt;"",IF(LOWER('Capacity summary'!AQ80)="x",$BI168*AQ168,VALUE('Capacity summary'!AQ80)),0),AQ168*$BI168),AQ168*$BI168),0)</f>
        <v>0</v>
      </c>
      <c r="CU168" s="5">
        <f>IF($BI168&lt;&gt;"",IF('Capacity summary'!$C$14="Yes",IF(COUNTBLANK('Capacity summary'!$H80:$BG80)&lt;52,IF('Capacity summary'!AR80&lt;&gt;"",IF(LOWER('Capacity summary'!AR80)="x",$BI168*AR168,VALUE('Capacity summary'!AR80)),0),AR168*$BI168),AR168*$BI168),0)</f>
        <v>0</v>
      </c>
      <c r="CV168" s="5">
        <f>IF($BI168&lt;&gt;"",IF('Capacity summary'!$C$14="Yes",IF(COUNTBLANK('Capacity summary'!$H80:$BG80)&lt;52,IF('Capacity summary'!AS80&lt;&gt;"",IF(LOWER('Capacity summary'!AS80)="x",$BI168*AS168,VALUE('Capacity summary'!AS80)),0),AS168*$BI168),AS168*$BI168),0)</f>
        <v>0</v>
      </c>
      <c r="CW168" s="5">
        <f>IF($BI168&lt;&gt;"",IF('Capacity summary'!$C$14="Yes",IF(COUNTBLANK('Capacity summary'!$H80:$BG80)&lt;52,IF('Capacity summary'!AT80&lt;&gt;"",IF(LOWER('Capacity summary'!AT80)="x",$BI168*AT168,VALUE('Capacity summary'!AT80)),0),AT168*$BI168),AT168*$BI168),0)</f>
        <v>0</v>
      </c>
      <c r="CX168" s="5">
        <f>IF($BI168&lt;&gt;"",IF('Capacity summary'!$C$14="Yes",IF(COUNTBLANK('Capacity summary'!$H80:$BG80)&lt;52,IF('Capacity summary'!AU80&lt;&gt;"",IF(LOWER('Capacity summary'!AU80)="x",$BI168*AU168,VALUE('Capacity summary'!AU80)),0),AU168*$BI168),AU168*$BI168),0)</f>
        <v>0</v>
      </c>
      <c r="CY168" s="5">
        <f>IF($BI168&lt;&gt;"",IF('Capacity summary'!$C$14="Yes",IF(COUNTBLANK('Capacity summary'!$H80:$BG80)&lt;52,IF('Capacity summary'!AV80&lt;&gt;"",IF(LOWER('Capacity summary'!AV80)="x",$BI168*AV168,VALUE('Capacity summary'!AV80)),0),AV168*$BI168),AV168*$BI168),0)</f>
        <v>0</v>
      </c>
      <c r="CZ168" s="5">
        <f>IF($BI168&lt;&gt;"",IF('Capacity summary'!$C$14="Yes",IF(COUNTBLANK('Capacity summary'!$H80:$BG80)&lt;52,IF('Capacity summary'!AW80&lt;&gt;"",IF(LOWER('Capacity summary'!AW80)="x",$BI168*AW168,VALUE('Capacity summary'!AW80)),0),AW168*$BI168),AW168*$BI168),0)</f>
        <v>0</v>
      </c>
      <c r="DA168" s="5">
        <f>IF($BI168&lt;&gt;"",IF('Capacity summary'!$C$14="Yes",IF(COUNTBLANK('Capacity summary'!$H80:$BG80)&lt;52,IF('Capacity summary'!AX80&lt;&gt;"",IF(LOWER('Capacity summary'!AX80)="x",$BI168*AX168,VALUE('Capacity summary'!AX80)),0),AX168*$BI168),AX168*$BI168),0)</f>
        <v>0</v>
      </c>
      <c r="DB168" s="5">
        <f>IF($BI168&lt;&gt;"",IF('Capacity summary'!$C$14="Yes",IF(COUNTBLANK('Capacity summary'!$H80:$BG80)&lt;52,IF('Capacity summary'!AY80&lt;&gt;"",IF(LOWER('Capacity summary'!AY80)="x",$BI168*AY168,VALUE('Capacity summary'!AY80)),0),AY168*$BI168),AY168*$BI168),0)</f>
        <v>0</v>
      </c>
      <c r="DC168" s="5">
        <f>IF($BI168&lt;&gt;"",IF('Capacity summary'!$C$14="Yes",IF(COUNTBLANK('Capacity summary'!$H80:$BG80)&lt;52,IF('Capacity summary'!AZ80&lt;&gt;"",IF(LOWER('Capacity summary'!AZ80)="x",$BI168*AZ168,VALUE('Capacity summary'!AZ80)),0),AZ168*$BI168),AZ168*$BI168),0)</f>
        <v>0</v>
      </c>
      <c r="DD168" s="5">
        <f>IF($BI168&lt;&gt;"",IF('Capacity summary'!$C$14="Yes",IF(COUNTBLANK('Capacity summary'!$H80:$BG80)&lt;52,IF('Capacity summary'!BA80&lt;&gt;"",IF(LOWER('Capacity summary'!BA80)="x",$BI168*BA168,VALUE('Capacity summary'!BA80)),0),BA168*$BI168),BA168*$BI168),0)</f>
        <v>0</v>
      </c>
      <c r="DE168" s="5">
        <f>IF($BI168&lt;&gt;"",IF('Capacity summary'!$C$14="Yes",IF(COUNTBLANK('Capacity summary'!$H80:$BG80)&lt;52,IF('Capacity summary'!BB80&lt;&gt;"",IF(LOWER('Capacity summary'!BB80)="x",$BI168*BB168,VALUE('Capacity summary'!BB80)),0),BB168*$BI168),BB168*$BI168),0)</f>
        <v>0</v>
      </c>
      <c r="DF168" s="5">
        <f>IF($BI168&lt;&gt;"",IF('Capacity summary'!$C$14="Yes",IF(COUNTBLANK('Capacity summary'!$H80:$BG80)&lt;52,IF('Capacity summary'!BC80&lt;&gt;"",IF(LOWER('Capacity summary'!BC80)="x",$BI168*BC168,VALUE('Capacity summary'!BC80)),0),BC168*$BI168),BC168*$BI168),0)</f>
        <v>0</v>
      </c>
      <c r="DG168" s="5">
        <f>IF($BI168&lt;&gt;"",IF('Capacity summary'!$C$14="Yes",IF(COUNTBLANK('Capacity summary'!$H80:$BG80)&lt;52,IF('Capacity summary'!BD80&lt;&gt;"",IF(LOWER('Capacity summary'!BD80)="x",$BI168*BD168,VALUE('Capacity summary'!BD80)),0),BD168*$BI168),BD168*$BI168),0)</f>
        <v>0</v>
      </c>
      <c r="DH168" s="5">
        <f>IF($BI168&lt;&gt;"",IF('Capacity summary'!$C$14="Yes",IF(COUNTBLANK('Capacity summary'!$H80:$BG80)&lt;52,IF('Capacity summary'!BE80&lt;&gt;"",IF(LOWER('Capacity summary'!BE80)="x",$BI168*BE168,VALUE('Capacity summary'!BE80)),0),BE168*$BI168),BE168*$BI168),0)</f>
        <v>0</v>
      </c>
      <c r="DI168" s="5">
        <f>IF($BI168&lt;&gt;"",IF('Capacity summary'!$C$14="Yes",IF(COUNTBLANK('Capacity summary'!$H80:$BG80)&lt;52,IF('Capacity summary'!BF80&lt;&gt;"",IF(LOWER('Capacity summary'!BF80)="x",$BI168*BF168,VALUE('Capacity summary'!BF80)),0),BF168*$BI168),BF168*$BI168),0)</f>
        <v>0</v>
      </c>
      <c r="DJ168" s="5">
        <f>IF($BI168&lt;&gt;"",IF('Capacity summary'!$C$14="Yes",IF(COUNTBLANK('Capacity summary'!$H80:$BG80)&lt;52,IF('Capacity summary'!BG80&lt;&gt;"",IF(LOWER('Capacity summary'!BG80)="x",$BI168*BG168,VALUE('Capacity summary'!BG80)),0),BG168*$BI168),BG168*$BI168),0)</f>
        <v>0</v>
      </c>
      <c r="DK168" s="391">
        <f t="shared" si="8"/>
        <v>0</v>
      </c>
      <c r="DL168" s="5">
        <f t="shared" si="9"/>
        <v>0</v>
      </c>
    </row>
    <row r="169" spans="3:116" x14ac:dyDescent="0.2">
      <c r="C169" s="67" t="str">
        <f>ROW(A58)&amp;". "&amp;Capacity!N74</f>
        <v xml:space="preserve">58. </v>
      </c>
      <c r="D169" s="67">
        <f>'Capacity setup'!C175</f>
        <v>0</v>
      </c>
      <c r="E169" s="67">
        <f>'Capacity setup'!D175</f>
        <v>0</v>
      </c>
      <c r="F169" s="67">
        <f>'Capacity setup'!E175</f>
        <v>0</v>
      </c>
      <c r="H169" s="67">
        <f ca="1">IF(LOWER(Capacity!$V74)="x",IF(AND(SUMIF(Capacity_Resource,$D169,'Critical resources (hide)'!U$6:U$105)+SUMIF(Capacity_Resource,$E169,'Critical resources (hide)'!U$6:U$105)+SUMIF(Capacity_Resource,$F169,'Critical resources (hide)'!U$6:U$105)&gt;0,$E$1=2),0,1),0)</f>
        <v>1</v>
      </c>
      <c r="I169" s="67">
        <f ca="1">IF(LOWER(Capacity!$V74)="x",IF(AND(SUMIF(Capacity_Resource,$D169,'Critical resources (hide)'!V$6:V$105)+SUMIF(Capacity_Resource,$E169,'Critical resources (hide)'!V$6:V$105)+SUMIF(Capacity_Resource,$F169,'Critical resources (hide)'!V$6:V$105)&gt;0,$E$1=2),0,1),0)</f>
        <v>1</v>
      </c>
      <c r="J169" s="67">
        <f ca="1">IF(LOWER(Capacity!$V74)="x",IF(AND(SUMIF(Capacity_Resource,$D169,'Critical resources (hide)'!W$6:W$105)+SUMIF(Capacity_Resource,$E169,'Critical resources (hide)'!W$6:W$105)+SUMIF(Capacity_Resource,$F169,'Critical resources (hide)'!W$6:W$105)&gt;0,$E$1=2),0,1),0)</f>
        <v>1</v>
      </c>
      <c r="K169" s="67">
        <f ca="1">IF(LOWER(Capacity!$V74)="x",IF(AND(SUMIF(Capacity_Resource,$D169,'Critical resources (hide)'!X$6:X$105)+SUMIF(Capacity_Resource,$E169,'Critical resources (hide)'!X$6:X$105)+SUMIF(Capacity_Resource,$F169,'Critical resources (hide)'!X$6:X$105)&gt;0,$E$1=2),0,1),0)</f>
        <v>1</v>
      </c>
      <c r="L169" s="67">
        <f ca="1">IF(LOWER(Capacity!$V74)="x",IF(AND(SUMIF(Capacity_Resource,$D169,'Critical resources (hide)'!Y$6:Y$105)+SUMIF(Capacity_Resource,$E169,'Critical resources (hide)'!Y$6:Y$105)+SUMIF(Capacity_Resource,$F169,'Critical resources (hide)'!Y$6:Y$105)&gt;0,$E$1=2),0,1),0)</f>
        <v>1</v>
      </c>
      <c r="M169" s="67">
        <f ca="1">IF(LOWER(Capacity!$V74)="x",IF(AND(SUMIF(Capacity_Resource,$D169,'Critical resources (hide)'!Z$6:Z$105)+SUMIF(Capacity_Resource,$E169,'Critical resources (hide)'!Z$6:Z$105)+SUMIF(Capacity_Resource,$F169,'Critical resources (hide)'!Z$6:Z$105)&gt;0,$E$1=2),0,1),0)</f>
        <v>1</v>
      </c>
      <c r="N169" s="67">
        <f ca="1">IF(LOWER(Capacity!$V74)="x",IF(AND(SUMIF(Capacity_Resource,$D169,'Critical resources (hide)'!AA$6:AA$105)+SUMIF(Capacity_Resource,$E169,'Critical resources (hide)'!AA$6:AA$105)+SUMIF(Capacity_Resource,$F169,'Critical resources (hide)'!AA$6:AA$105)&gt;0,$E$1=2),0,1),0)</f>
        <v>1</v>
      </c>
      <c r="O169" s="67">
        <f ca="1">IF(LOWER(Capacity!$V74)="x",IF(AND(SUMIF(Capacity_Resource,$D169,'Critical resources (hide)'!AB$6:AB$105)+SUMIF(Capacity_Resource,$E169,'Critical resources (hide)'!AB$6:AB$105)+SUMIF(Capacity_Resource,$F169,'Critical resources (hide)'!AB$6:AB$105)&gt;0,$E$1=2),0,1),0)</f>
        <v>1</v>
      </c>
      <c r="P169" s="67">
        <f ca="1">IF(LOWER(Capacity!$V74)="x",IF(AND(SUMIF(Capacity_Resource,$D169,'Critical resources (hide)'!AC$6:AC$105)+SUMIF(Capacity_Resource,$E169,'Critical resources (hide)'!AC$6:AC$105)+SUMIF(Capacity_Resource,$F169,'Critical resources (hide)'!AC$6:AC$105)&gt;0,$E$1=2),0,1),0)</f>
        <v>1</v>
      </c>
      <c r="Q169" s="67">
        <f ca="1">IF(LOWER(Capacity!$V74)="x",IF(AND(SUMIF(Capacity_Resource,$D169,'Critical resources (hide)'!AD$6:AD$105)+SUMIF(Capacity_Resource,$E169,'Critical resources (hide)'!AD$6:AD$105)+SUMIF(Capacity_Resource,$F169,'Critical resources (hide)'!AD$6:AD$105)&gt;0,$E$1=2),0,1),0)</f>
        <v>1</v>
      </c>
      <c r="R169" s="67">
        <f ca="1">IF(LOWER(Capacity!$V74)="x",IF(AND(SUMIF(Capacity_Resource,$D169,'Critical resources (hide)'!AE$6:AE$105)+SUMIF(Capacity_Resource,$E169,'Critical resources (hide)'!AE$6:AE$105)+SUMIF(Capacity_Resource,$F169,'Critical resources (hide)'!AE$6:AE$105)&gt;0,$E$1=2),0,1),0)</f>
        <v>1</v>
      </c>
      <c r="S169" s="67">
        <f ca="1">IF(LOWER(Capacity!$V74)="x",IF(AND(SUMIF(Capacity_Resource,$D169,'Critical resources (hide)'!AF$6:AF$105)+SUMIF(Capacity_Resource,$E169,'Critical resources (hide)'!AF$6:AF$105)+SUMIF(Capacity_Resource,$F169,'Critical resources (hide)'!AF$6:AF$105)&gt;0,$E$1=2),0,1),0)</f>
        <v>1</v>
      </c>
      <c r="T169" s="67">
        <f ca="1">IF(LOWER(Capacity!$V74)="x",IF(AND(SUMIF(Capacity_Resource,$D169,'Critical resources (hide)'!AG$6:AG$105)+SUMIF(Capacity_Resource,$E169,'Critical resources (hide)'!AG$6:AG$105)+SUMIF(Capacity_Resource,$F169,'Critical resources (hide)'!AG$6:AG$105)&gt;0,$E$1=2),0,1),0)</f>
        <v>1</v>
      </c>
      <c r="U169" s="67">
        <f ca="1">IF(LOWER(Capacity!$V74)="x",IF(AND(SUMIF(Capacity_Resource,$D169,'Critical resources (hide)'!AH$6:AH$105)+SUMIF(Capacity_Resource,$E169,'Critical resources (hide)'!AH$6:AH$105)+SUMIF(Capacity_Resource,$F169,'Critical resources (hide)'!AH$6:AH$105)&gt;0,$E$1=2),0,1),0)</f>
        <v>1</v>
      </c>
      <c r="V169" s="67">
        <f ca="1">IF(LOWER(Capacity!$V74)="x",IF(AND(SUMIF(Capacity_Resource,$D169,'Critical resources (hide)'!AI$6:AI$105)+SUMIF(Capacity_Resource,$E169,'Critical resources (hide)'!AI$6:AI$105)+SUMIF(Capacity_Resource,$F169,'Critical resources (hide)'!AI$6:AI$105)&gt;0,$E$1=2),0,1),0)</f>
        <v>1</v>
      </c>
      <c r="W169" s="67">
        <f ca="1">IF(LOWER(Capacity!$V74)="x",IF(AND(SUMIF(Capacity_Resource,$D169,'Critical resources (hide)'!AJ$6:AJ$105)+SUMIF(Capacity_Resource,$E169,'Critical resources (hide)'!AJ$6:AJ$105)+SUMIF(Capacity_Resource,$F169,'Critical resources (hide)'!AJ$6:AJ$105)&gt;0,$E$1=2),0,1),0)</f>
        <v>1</v>
      </c>
      <c r="X169" s="67">
        <f ca="1">IF(LOWER(Capacity!$V74)="x",IF(AND(SUMIF(Capacity_Resource,$D169,'Critical resources (hide)'!AK$6:AK$105)+SUMIF(Capacity_Resource,$E169,'Critical resources (hide)'!AK$6:AK$105)+SUMIF(Capacity_Resource,$F169,'Critical resources (hide)'!AK$6:AK$105)&gt;0,$E$1=2),0,1),0)</f>
        <v>1</v>
      </c>
      <c r="Y169" s="67">
        <f ca="1">IF(LOWER(Capacity!$V74)="x",IF(AND(SUMIF(Capacity_Resource,$D169,'Critical resources (hide)'!AL$6:AL$105)+SUMIF(Capacity_Resource,$E169,'Critical resources (hide)'!AL$6:AL$105)+SUMIF(Capacity_Resource,$F169,'Critical resources (hide)'!AL$6:AL$105)&gt;0,$E$1=2),0,1),0)</f>
        <v>1</v>
      </c>
      <c r="Z169" s="67">
        <f ca="1">IF(LOWER(Capacity!$V74)="x",IF(AND(SUMIF(Capacity_Resource,$D169,'Critical resources (hide)'!AM$6:AM$105)+SUMIF(Capacity_Resource,$E169,'Critical resources (hide)'!AM$6:AM$105)+SUMIF(Capacity_Resource,$F169,'Critical resources (hide)'!AM$6:AM$105)&gt;0,$E$1=2),0,1),0)</f>
        <v>1</v>
      </c>
      <c r="AA169" s="67">
        <f ca="1">IF(LOWER(Capacity!$V74)="x",IF(AND(SUMIF(Capacity_Resource,$D169,'Critical resources (hide)'!AN$6:AN$105)+SUMIF(Capacity_Resource,$E169,'Critical resources (hide)'!AN$6:AN$105)+SUMIF(Capacity_Resource,$F169,'Critical resources (hide)'!AN$6:AN$105)&gt;0,$E$1=2),0,1),0)</f>
        <v>1</v>
      </c>
      <c r="AB169" s="67">
        <f ca="1">IF(LOWER(Capacity!$V74)="x",IF(AND(SUMIF(Capacity_Resource,$D169,'Critical resources (hide)'!AO$6:AO$105)+SUMIF(Capacity_Resource,$E169,'Critical resources (hide)'!AO$6:AO$105)+SUMIF(Capacity_Resource,$F169,'Critical resources (hide)'!AO$6:AO$105)&gt;0,$E$1=2),0,1),0)</f>
        <v>1</v>
      </c>
      <c r="AC169" s="67">
        <f ca="1">IF(LOWER(Capacity!$V74)="x",IF(AND(SUMIF(Capacity_Resource,$D169,'Critical resources (hide)'!AP$6:AP$105)+SUMIF(Capacity_Resource,$E169,'Critical resources (hide)'!AP$6:AP$105)+SUMIF(Capacity_Resource,$F169,'Critical resources (hide)'!AP$6:AP$105)&gt;0,$E$1=2),0,1),0)</f>
        <v>1</v>
      </c>
      <c r="AD169" s="67">
        <f ca="1">IF(LOWER(Capacity!$V74)="x",IF(AND(SUMIF(Capacity_Resource,$D169,'Critical resources (hide)'!AQ$6:AQ$105)+SUMIF(Capacity_Resource,$E169,'Critical resources (hide)'!AQ$6:AQ$105)+SUMIF(Capacity_Resource,$F169,'Critical resources (hide)'!AQ$6:AQ$105)&gt;0,$E$1=2),0,1),0)</f>
        <v>1</v>
      </c>
      <c r="AE169" s="67">
        <f ca="1">IF(LOWER(Capacity!$V74)="x",IF(AND(SUMIF(Capacity_Resource,$D169,'Critical resources (hide)'!AR$6:AR$105)+SUMIF(Capacity_Resource,$E169,'Critical resources (hide)'!AR$6:AR$105)+SUMIF(Capacity_Resource,$F169,'Critical resources (hide)'!AR$6:AR$105)&gt;0,$E$1=2),0,1),0)</f>
        <v>1</v>
      </c>
      <c r="AF169" s="67">
        <f ca="1">IF(LOWER(Capacity!$V74)="x",IF(AND(SUMIF(Capacity_Resource,$D169,'Critical resources (hide)'!AS$6:AS$105)+SUMIF(Capacity_Resource,$E169,'Critical resources (hide)'!AS$6:AS$105)+SUMIF(Capacity_Resource,$F169,'Critical resources (hide)'!AS$6:AS$105)&gt;0,$E$1=2),0,1),0)</f>
        <v>1</v>
      </c>
      <c r="AG169" s="67">
        <f ca="1">IF(LOWER(Capacity!$V74)="x",IF(AND(SUMIF(Capacity_Resource,$D169,'Critical resources (hide)'!AT$6:AT$105)+SUMIF(Capacity_Resource,$E169,'Critical resources (hide)'!AT$6:AT$105)+SUMIF(Capacity_Resource,$F169,'Critical resources (hide)'!AT$6:AT$105)&gt;0,$E$1=2),0,1),0)</f>
        <v>1</v>
      </c>
      <c r="AH169" s="67">
        <f ca="1">IF(LOWER(Capacity!$V74)="x",IF(AND(SUMIF(Capacity_Resource,$D169,'Critical resources (hide)'!AU$6:AU$105)+SUMIF(Capacity_Resource,$E169,'Critical resources (hide)'!AU$6:AU$105)+SUMIF(Capacity_Resource,$F169,'Critical resources (hide)'!AU$6:AU$105)&gt;0,$E$1=2),0,1),0)</f>
        <v>1</v>
      </c>
      <c r="AI169" s="67">
        <f ca="1">IF(LOWER(Capacity!$V74)="x",IF(AND(SUMIF(Capacity_Resource,$D169,'Critical resources (hide)'!AV$6:AV$105)+SUMIF(Capacity_Resource,$E169,'Critical resources (hide)'!AV$6:AV$105)+SUMIF(Capacity_Resource,$F169,'Critical resources (hide)'!AV$6:AV$105)&gt;0,$E$1=2),0,1),0)</f>
        <v>1</v>
      </c>
      <c r="AJ169" s="67">
        <f ca="1">IF(LOWER(Capacity!$V74)="x",IF(AND(SUMIF(Capacity_Resource,$D169,'Critical resources (hide)'!AW$6:AW$105)+SUMIF(Capacity_Resource,$E169,'Critical resources (hide)'!AW$6:AW$105)+SUMIF(Capacity_Resource,$F169,'Critical resources (hide)'!AW$6:AW$105)&gt;0,$E$1=2),0,1),0)</f>
        <v>1</v>
      </c>
      <c r="AK169" s="67">
        <f ca="1">IF(LOWER(Capacity!$V74)="x",IF(AND(SUMIF(Capacity_Resource,$D169,'Critical resources (hide)'!AX$6:AX$105)+SUMIF(Capacity_Resource,$E169,'Critical resources (hide)'!AX$6:AX$105)+SUMIF(Capacity_Resource,$F169,'Critical resources (hide)'!AX$6:AX$105)&gt;0,$E$1=2),0,1),0)</f>
        <v>1</v>
      </c>
      <c r="AL169" s="67">
        <f ca="1">IF(LOWER(Capacity!$V74)="x",IF(AND(SUMIF(Capacity_Resource,$D169,'Critical resources (hide)'!AY$6:AY$105)+SUMIF(Capacity_Resource,$E169,'Critical resources (hide)'!AY$6:AY$105)+SUMIF(Capacity_Resource,$F169,'Critical resources (hide)'!AY$6:AY$105)&gt;0,$E$1=2),0,1),0)</f>
        <v>1</v>
      </c>
      <c r="AM169" s="67">
        <f ca="1">IF(LOWER(Capacity!$V74)="x",IF(AND(SUMIF(Capacity_Resource,$D169,'Critical resources (hide)'!AZ$6:AZ$105)+SUMIF(Capacity_Resource,$E169,'Critical resources (hide)'!AZ$6:AZ$105)+SUMIF(Capacity_Resource,$F169,'Critical resources (hide)'!AZ$6:AZ$105)&gt;0,$E$1=2),0,1),0)</f>
        <v>1</v>
      </c>
      <c r="AN169" s="67">
        <f ca="1">IF(LOWER(Capacity!$V74)="x",IF(AND(SUMIF(Capacity_Resource,$D169,'Critical resources (hide)'!BA$6:BA$105)+SUMIF(Capacity_Resource,$E169,'Critical resources (hide)'!BA$6:BA$105)+SUMIF(Capacity_Resource,$F169,'Critical resources (hide)'!BA$6:BA$105)&gt;0,$E$1=2),0,1),0)</f>
        <v>1</v>
      </c>
      <c r="AO169" s="67">
        <f ca="1">IF(LOWER(Capacity!$V74)="x",IF(AND(SUMIF(Capacity_Resource,$D169,'Critical resources (hide)'!BB$6:BB$105)+SUMIF(Capacity_Resource,$E169,'Critical resources (hide)'!BB$6:BB$105)+SUMIF(Capacity_Resource,$F169,'Critical resources (hide)'!BB$6:BB$105)&gt;0,$E$1=2),0,1),0)</f>
        <v>1</v>
      </c>
      <c r="AP169" s="67">
        <f ca="1">IF(LOWER(Capacity!$V74)="x",IF(AND(SUMIF(Capacity_Resource,$D169,'Critical resources (hide)'!BC$6:BC$105)+SUMIF(Capacity_Resource,$E169,'Critical resources (hide)'!BC$6:BC$105)+SUMIF(Capacity_Resource,$F169,'Critical resources (hide)'!BC$6:BC$105)&gt;0,$E$1=2),0,1),0)</f>
        <v>1</v>
      </c>
      <c r="AQ169" s="67">
        <f ca="1">IF(LOWER(Capacity!$V74)="x",IF(AND(SUMIF(Capacity_Resource,$D169,'Critical resources (hide)'!BD$6:BD$105)+SUMIF(Capacity_Resource,$E169,'Critical resources (hide)'!BD$6:BD$105)+SUMIF(Capacity_Resource,$F169,'Critical resources (hide)'!BD$6:BD$105)&gt;0,$E$1=2),0,1),0)</f>
        <v>1</v>
      </c>
      <c r="AR169" s="67">
        <f ca="1">IF(LOWER(Capacity!$V74)="x",IF(AND(SUMIF(Capacity_Resource,$D169,'Critical resources (hide)'!BE$6:BE$105)+SUMIF(Capacity_Resource,$E169,'Critical resources (hide)'!BE$6:BE$105)+SUMIF(Capacity_Resource,$F169,'Critical resources (hide)'!BE$6:BE$105)&gt;0,$E$1=2),0,1),0)</f>
        <v>1</v>
      </c>
      <c r="AS169" s="67">
        <f ca="1">IF(LOWER(Capacity!$V74)="x",IF(AND(SUMIF(Capacity_Resource,$D169,'Critical resources (hide)'!BF$6:BF$105)+SUMIF(Capacity_Resource,$E169,'Critical resources (hide)'!BF$6:BF$105)+SUMIF(Capacity_Resource,$F169,'Critical resources (hide)'!BF$6:BF$105)&gt;0,$E$1=2),0,1),0)</f>
        <v>1</v>
      </c>
      <c r="AT169" s="67">
        <f ca="1">IF(LOWER(Capacity!$V74)="x",IF(AND(SUMIF(Capacity_Resource,$D169,'Critical resources (hide)'!BG$6:BG$105)+SUMIF(Capacity_Resource,$E169,'Critical resources (hide)'!BG$6:BG$105)+SUMIF(Capacity_Resource,$F169,'Critical resources (hide)'!BG$6:BG$105)&gt;0,$E$1=2),0,1),0)</f>
        <v>1</v>
      </c>
      <c r="AU169" s="67">
        <f ca="1">IF(LOWER(Capacity!$V74)="x",IF(AND(SUMIF(Capacity_Resource,$D169,'Critical resources (hide)'!BH$6:BH$105)+SUMIF(Capacity_Resource,$E169,'Critical resources (hide)'!BH$6:BH$105)+SUMIF(Capacity_Resource,$F169,'Critical resources (hide)'!BH$6:BH$105)&gt;0,$E$1=2),0,1),0)</f>
        <v>1</v>
      </c>
      <c r="AV169" s="67">
        <f ca="1">IF(LOWER(Capacity!$V74)="x",IF(AND(SUMIF(Capacity_Resource,$D169,'Critical resources (hide)'!BI$6:BI$105)+SUMIF(Capacity_Resource,$E169,'Critical resources (hide)'!BI$6:BI$105)+SUMIF(Capacity_Resource,$F169,'Critical resources (hide)'!BI$6:BI$105)&gt;0,$E$1=2),0,1),0)</f>
        <v>1</v>
      </c>
      <c r="AW169" s="67">
        <f ca="1">IF(LOWER(Capacity!$V74)="x",IF(AND(SUMIF(Capacity_Resource,$D169,'Critical resources (hide)'!BJ$6:BJ$105)+SUMIF(Capacity_Resource,$E169,'Critical resources (hide)'!BJ$6:BJ$105)+SUMIF(Capacity_Resource,$F169,'Critical resources (hide)'!BJ$6:BJ$105)&gt;0,$E$1=2),0,1),0)</f>
        <v>1</v>
      </c>
      <c r="AX169" s="67">
        <f ca="1">IF(LOWER(Capacity!$V74)="x",IF(AND(SUMIF(Capacity_Resource,$D169,'Critical resources (hide)'!BK$6:BK$105)+SUMIF(Capacity_Resource,$E169,'Critical resources (hide)'!BK$6:BK$105)+SUMIF(Capacity_Resource,$F169,'Critical resources (hide)'!BK$6:BK$105)&gt;0,$E$1=2),0,1),0)</f>
        <v>1</v>
      </c>
      <c r="AY169" s="67">
        <f ca="1">IF(LOWER(Capacity!$V74)="x",IF(AND(SUMIF(Capacity_Resource,$D169,'Critical resources (hide)'!BL$6:BL$105)+SUMIF(Capacity_Resource,$E169,'Critical resources (hide)'!BL$6:BL$105)+SUMIF(Capacity_Resource,$F169,'Critical resources (hide)'!BL$6:BL$105)&gt;0,$E$1=2),0,1),0)</f>
        <v>1</v>
      </c>
      <c r="AZ169" s="67">
        <f ca="1">IF(LOWER(Capacity!$V74)="x",IF(AND(SUMIF(Capacity_Resource,$D169,'Critical resources (hide)'!BM$6:BM$105)+SUMIF(Capacity_Resource,$E169,'Critical resources (hide)'!BM$6:BM$105)+SUMIF(Capacity_Resource,$F169,'Critical resources (hide)'!BM$6:BM$105)&gt;0,$E$1=2),0,1),0)</f>
        <v>1</v>
      </c>
      <c r="BA169" s="67">
        <f ca="1">IF(LOWER(Capacity!$V74)="x",IF(AND(SUMIF(Capacity_Resource,$D169,'Critical resources (hide)'!BN$6:BN$105)+SUMIF(Capacity_Resource,$E169,'Critical resources (hide)'!BN$6:BN$105)+SUMIF(Capacity_Resource,$F169,'Critical resources (hide)'!BN$6:BN$105)&gt;0,$E$1=2),0,1),0)</f>
        <v>1</v>
      </c>
      <c r="BB169" s="67">
        <f ca="1">IF(LOWER(Capacity!$V74)="x",IF(AND(SUMIF(Capacity_Resource,$D169,'Critical resources (hide)'!BO$6:BO$105)+SUMIF(Capacity_Resource,$E169,'Critical resources (hide)'!BO$6:BO$105)+SUMIF(Capacity_Resource,$F169,'Critical resources (hide)'!BO$6:BO$105)&gt;0,$E$1=2),0,1),0)</f>
        <v>1</v>
      </c>
      <c r="BC169" s="67">
        <f ca="1">IF(LOWER(Capacity!$V74)="x",IF(AND(SUMIF(Capacity_Resource,$D169,'Critical resources (hide)'!BP$6:BP$105)+SUMIF(Capacity_Resource,$E169,'Critical resources (hide)'!BP$6:BP$105)+SUMIF(Capacity_Resource,$F169,'Critical resources (hide)'!BP$6:BP$105)&gt;0,$E$1=2),0,1),0)</f>
        <v>1</v>
      </c>
      <c r="BD169" s="67">
        <f ca="1">IF(LOWER(Capacity!$V74)="x",IF(AND(SUMIF(Capacity_Resource,$D169,'Critical resources (hide)'!BQ$6:BQ$105)+SUMIF(Capacity_Resource,$E169,'Critical resources (hide)'!BQ$6:BQ$105)+SUMIF(Capacity_Resource,$F169,'Critical resources (hide)'!BQ$6:BQ$105)&gt;0,$E$1=2),0,1),0)</f>
        <v>1</v>
      </c>
      <c r="BE169" s="67">
        <f ca="1">IF(LOWER(Capacity!$V74)="x",IF(AND(SUMIF(Capacity_Resource,$D169,'Critical resources (hide)'!BR$6:BR$105)+SUMIF(Capacity_Resource,$E169,'Critical resources (hide)'!BR$6:BR$105)+SUMIF(Capacity_Resource,$F169,'Critical resources (hide)'!BR$6:BR$105)&gt;0,$E$1=2),0,1),0)</f>
        <v>1</v>
      </c>
      <c r="BF169" s="67">
        <f ca="1">IF(LOWER(Capacity!$V74)="x",IF(AND(SUMIF(Capacity_Resource,$D169,'Critical resources (hide)'!BS$6:BS$105)+SUMIF(Capacity_Resource,$E169,'Critical resources (hide)'!BS$6:BS$105)+SUMIF(Capacity_Resource,$F169,'Critical resources (hide)'!BS$6:BS$105)&gt;0,$E$1=2),0,1),0)</f>
        <v>1</v>
      </c>
      <c r="BG169" s="67">
        <f ca="1">IF(LOWER(Capacity!$V74)="x",IF(AND(SUMIF(Capacity_Resource,$D169,'Critical resources (hide)'!BT$6:BT$105)+SUMIF(Capacity_Resource,$E169,'Critical resources (hide)'!BT$6:BT$105)+SUMIF(Capacity_Resource,$F169,'Critical resources (hide)'!BT$6:BT$105)&gt;0,$E$1=2),0,1),0)</f>
        <v>1</v>
      </c>
      <c r="BH169" s="67">
        <f>IF(ROW(A58)&lt;=Capacity!$M$16,IF('Capacity summary'!$C$14="No",SUM(H169:BG169),'Capacity summary'!$E81),0)</f>
        <v>0</v>
      </c>
      <c r="BI169" s="67" t="str">
        <f>IF(BH169&gt;0,IF(BH169&lt;Capacity!Q74,Capacity!R74,Capacity!T74/'Capacity calculation (hide)'!BH169),"")</f>
        <v/>
      </c>
      <c r="BJ169" s="5"/>
      <c r="BK169" s="5">
        <f>IF($BI169&lt;&gt;"",IF('Capacity summary'!$C$14="Yes",IF(COUNTBLANK('Capacity summary'!$H81:$BG81)&lt;52,IF('Capacity summary'!H81&lt;&gt;"",IF(LOWER('Capacity summary'!H81)="x",$BI169*H169,VALUE('Capacity summary'!H81)),0),H169*$BI169),H169*$BI169),0)</f>
        <v>0</v>
      </c>
      <c r="BL169" s="5">
        <f>IF($BI169&lt;&gt;"",IF('Capacity summary'!$C$14="Yes",IF(COUNTBLANK('Capacity summary'!$H81:$BG81)&lt;52,IF('Capacity summary'!I81&lt;&gt;"",IF(LOWER('Capacity summary'!I81)="x",$BI169*I169,VALUE('Capacity summary'!I81)),0),I169*$BI169),I169*$BI169),0)</f>
        <v>0</v>
      </c>
      <c r="BM169" s="5">
        <f>IF($BI169&lt;&gt;"",IF('Capacity summary'!$C$14="Yes",IF(COUNTBLANK('Capacity summary'!$H81:$BG81)&lt;52,IF('Capacity summary'!J81&lt;&gt;"",IF(LOWER('Capacity summary'!J81)="x",$BI169*J169,VALUE('Capacity summary'!J81)),0),J169*$BI169),J169*$BI169),0)</f>
        <v>0</v>
      </c>
      <c r="BN169" s="5">
        <f>IF($BI169&lt;&gt;"",IF('Capacity summary'!$C$14="Yes",IF(COUNTBLANK('Capacity summary'!$H81:$BG81)&lt;52,IF('Capacity summary'!K81&lt;&gt;"",IF(LOWER('Capacity summary'!K81)="x",$BI169*K169,VALUE('Capacity summary'!K81)),0),K169*$BI169),K169*$BI169),0)</f>
        <v>0</v>
      </c>
      <c r="BO169" s="5">
        <f>IF($BI169&lt;&gt;"",IF('Capacity summary'!$C$14="Yes",IF(COUNTBLANK('Capacity summary'!$H81:$BG81)&lt;52,IF('Capacity summary'!L81&lt;&gt;"",IF(LOWER('Capacity summary'!L81)="x",$BI169*L169,VALUE('Capacity summary'!L81)),0),L169*$BI169),L169*$BI169),0)</f>
        <v>0</v>
      </c>
      <c r="BP169" s="5">
        <f>IF($BI169&lt;&gt;"",IF('Capacity summary'!$C$14="Yes",IF(COUNTBLANK('Capacity summary'!$H81:$BG81)&lt;52,IF('Capacity summary'!M81&lt;&gt;"",IF(LOWER('Capacity summary'!M81)="x",$BI169*M169,VALUE('Capacity summary'!M81)),0),M169*$BI169),M169*$BI169),0)</f>
        <v>0</v>
      </c>
      <c r="BQ169" s="5">
        <f>IF($BI169&lt;&gt;"",IF('Capacity summary'!$C$14="Yes",IF(COUNTBLANK('Capacity summary'!$H81:$BG81)&lt;52,IF('Capacity summary'!N81&lt;&gt;"",IF(LOWER('Capacity summary'!N81)="x",$BI169*N169,VALUE('Capacity summary'!N81)),0),N169*$BI169),N169*$BI169),0)</f>
        <v>0</v>
      </c>
      <c r="BR169" s="5">
        <f>IF($BI169&lt;&gt;"",IF('Capacity summary'!$C$14="Yes",IF(COUNTBLANK('Capacity summary'!$H81:$BG81)&lt;52,IF('Capacity summary'!O81&lt;&gt;"",IF(LOWER('Capacity summary'!O81)="x",$BI169*O169,VALUE('Capacity summary'!O81)),0),O169*$BI169),O169*$BI169),0)</f>
        <v>0</v>
      </c>
      <c r="BS169" s="5">
        <f>IF($BI169&lt;&gt;"",IF('Capacity summary'!$C$14="Yes",IF(COUNTBLANK('Capacity summary'!$H81:$BG81)&lt;52,IF('Capacity summary'!P81&lt;&gt;"",IF(LOWER('Capacity summary'!P81)="x",$BI169*P169,VALUE('Capacity summary'!P81)),0),P169*$BI169),P169*$BI169),0)</f>
        <v>0</v>
      </c>
      <c r="BT169" s="5">
        <f>IF($BI169&lt;&gt;"",IF('Capacity summary'!$C$14="Yes",IF(COUNTBLANK('Capacity summary'!$H81:$BG81)&lt;52,IF('Capacity summary'!Q81&lt;&gt;"",IF(LOWER('Capacity summary'!Q81)="x",$BI169*Q169,VALUE('Capacity summary'!Q81)),0),Q169*$BI169),Q169*$BI169),0)</f>
        <v>0</v>
      </c>
      <c r="BU169" s="5">
        <f>IF($BI169&lt;&gt;"",IF('Capacity summary'!$C$14="Yes",IF(COUNTBLANK('Capacity summary'!$H81:$BG81)&lt;52,IF('Capacity summary'!R81&lt;&gt;"",IF(LOWER('Capacity summary'!R81)="x",$BI169*R169,VALUE('Capacity summary'!R81)),0),R169*$BI169),R169*$BI169),0)</f>
        <v>0</v>
      </c>
      <c r="BV169" s="5">
        <f>IF($BI169&lt;&gt;"",IF('Capacity summary'!$C$14="Yes",IF(COUNTBLANK('Capacity summary'!$H81:$BG81)&lt;52,IF('Capacity summary'!S81&lt;&gt;"",IF(LOWER('Capacity summary'!S81)="x",$BI169*S169,VALUE('Capacity summary'!S81)),0),S169*$BI169),S169*$BI169),0)</f>
        <v>0</v>
      </c>
      <c r="BW169" s="5">
        <f>IF($BI169&lt;&gt;"",IF('Capacity summary'!$C$14="Yes",IF(COUNTBLANK('Capacity summary'!$H81:$BG81)&lt;52,IF('Capacity summary'!T81&lt;&gt;"",IF(LOWER('Capacity summary'!T81)="x",$BI169*T169,VALUE('Capacity summary'!T81)),0),T169*$BI169),T169*$BI169),0)</f>
        <v>0</v>
      </c>
      <c r="BX169" s="5">
        <f>IF($BI169&lt;&gt;"",IF('Capacity summary'!$C$14="Yes",IF(COUNTBLANK('Capacity summary'!$H81:$BG81)&lt;52,IF('Capacity summary'!U81&lt;&gt;"",IF(LOWER('Capacity summary'!U81)="x",$BI169*U169,VALUE('Capacity summary'!U81)),0),U169*$BI169),U169*$BI169),0)</f>
        <v>0</v>
      </c>
      <c r="BY169" s="5">
        <f>IF($BI169&lt;&gt;"",IF('Capacity summary'!$C$14="Yes",IF(COUNTBLANK('Capacity summary'!$H81:$BG81)&lt;52,IF('Capacity summary'!V81&lt;&gt;"",IF(LOWER('Capacity summary'!V81)="x",$BI169*V169,VALUE('Capacity summary'!V81)),0),V169*$BI169),V169*$BI169),0)</f>
        <v>0</v>
      </c>
      <c r="BZ169" s="5">
        <f>IF($BI169&lt;&gt;"",IF('Capacity summary'!$C$14="Yes",IF(COUNTBLANK('Capacity summary'!$H81:$BG81)&lt;52,IF('Capacity summary'!W81&lt;&gt;"",IF(LOWER('Capacity summary'!W81)="x",$BI169*W169,VALUE('Capacity summary'!W81)),0),W169*$BI169),W169*$BI169),0)</f>
        <v>0</v>
      </c>
      <c r="CA169" s="5">
        <f>IF($BI169&lt;&gt;"",IF('Capacity summary'!$C$14="Yes",IF(COUNTBLANK('Capacity summary'!$H81:$BG81)&lt;52,IF('Capacity summary'!X81&lt;&gt;"",IF(LOWER('Capacity summary'!X81)="x",$BI169*X169,VALUE('Capacity summary'!X81)),0),X169*$BI169),X169*$BI169),0)</f>
        <v>0</v>
      </c>
      <c r="CB169" s="5">
        <f>IF($BI169&lt;&gt;"",IF('Capacity summary'!$C$14="Yes",IF(COUNTBLANK('Capacity summary'!$H81:$BG81)&lt;52,IF('Capacity summary'!Y81&lt;&gt;"",IF(LOWER('Capacity summary'!Y81)="x",$BI169*Y169,VALUE('Capacity summary'!Y81)),0),Y169*$BI169),Y169*$BI169),0)</f>
        <v>0</v>
      </c>
      <c r="CC169" s="5">
        <f>IF($BI169&lt;&gt;"",IF('Capacity summary'!$C$14="Yes",IF(COUNTBLANK('Capacity summary'!$H81:$BG81)&lt;52,IF('Capacity summary'!Z81&lt;&gt;"",IF(LOWER('Capacity summary'!Z81)="x",$BI169*Z169,VALUE('Capacity summary'!Z81)),0),Z169*$BI169),Z169*$BI169),0)</f>
        <v>0</v>
      </c>
      <c r="CD169" s="5">
        <f>IF($BI169&lt;&gt;"",IF('Capacity summary'!$C$14="Yes",IF(COUNTBLANK('Capacity summary'!$H81:$BG81)&lt;52,IF('Capacity summary'!AA81&lt;&gt;"",IF(LOWER('Capacity summary'!AA81)="x",$BI169*AA169,VALUE('Capacity summary'!AA81)),0),AA169*$BI169),AA169*$BI169),0)</f>
        <v>0</v>
      </c>
      <c r="CE169" s="5">
        <f>IF($BI169&lt;&gt;"",IF('Capacity summary'!$C$14="Yes",IF(COUNTBLANK('Capacity summary'!$H81:$BG81)&lt;52,IF('Capacity summary'!AB81&lt;&gt;"",IF(LOWER('Capacity summary'!AB81)="x",$BI169*AB169,VALUE('Capacity summary'!AB81)),0),AB169*$BI169),AB169*$BI169),0)</f>
        <v>0</v>
      </c>
      <c r="CF169" s="5">
        <f>IF($BI169&lt;&gt;"",IF('Capacity summary'!$C$14="Yes",IF(COUNTBLANK('Capacity summary'!$H81:$BG81)&lt;52,IF('Capacity summary'!AC81&lt;&gt;"",IF(LOWER('Capacity summary'!AC81)="x",$BI169*AC169,VALUE('Capacity summary'!AC81)),0),AC169*$BI169),AC169*$BI169),0)</f>
        <v>0</v>
      </c>
      <c r="CG169" s="5">
        <f>IF($BI169&lt;&gt;"",IF('Capacity summary'!$C$14="Yes",IF(COUNTBLANK('Capacity summary'!$H81:$BG81)&lt;52,IF('Capacity summary'!AD81&lt;&gt;"",IF(LOWER('Capacity summary'!AD81)="x",$BI169*AD169,VALUE('Capacity summary'!AD81)),0),AD169*$BI169),AD169*$BI169),0)</f>
        <v>0</v>
      </c>
      <c r="CH169" s="5">
        <f>IF($BI169&lt;&gt;"",IF('Capacity summary'!$C$14="Yes",IF(COUNTBLANK('Capacity summary'!$H81:$BG81)&lt;52,IF('Capacity summary'!AE81&lt;&gt;"",IF(LOWER('Capacity summary'!AE81)="x",$BI169*AE169,VALUE('Capacity summary'!AE81)),0),AE169*$BI169),AE169*$BI169),0)</f>
        <v>0</v>
      </c>
      <c r="CI169" s="5">
        <f>IF($BI169&lt;&gt;"",IF('Capacity summary'!$C$14="Yes",IF(COUNTBLANK('Capacity summary'!$H81:$BG81)&lt;52,IF('Capacity summary'!AF81&lt;&gt;"",IF(LOWER('Capacity summary'!AF81)="x",$BI169*AF169,VALUE('Capacity summary'!AF81)),0),AF169*$BI169),AF169*$BI169),0)</f>
        <v>0</v>
      </c>
      <c r="CJ169" s="5">
        <f>IF($BI169&lt;&gt;"",IF('Capacity summary'!$C$14="Yes",IF(COUNTBLANK('Capacity summary'!$H81:$BG81)&lt;52,IF('Capacity summary'!AG81&lt;&gt;"",IF(LOWER('Capacity summary'!AG81)="x",$BI169*AG169,VALUE('Capacity summary'!AG81)),0),AG169*$BI169),AG169*$BI169),0)</f>
        <v>0</v>
      </c>
      <c r="CK169" s="5">
        <f>IF($BI169&lt;&gt;"",IF('Capacity summary'!$C$14="Yes",IF(COUNTBLANK('Capacity summary'!$H81:$BG81)&lt;52,IF('Capacity summary'!AH81&lt;&gt;"",IF(LOWER('Capacity summary'!AH81)="x",$BI169*AH169,VALUE('Capacity summary'!AH81)),0),AH169*$BI169),AH169*$BI169),0)</f>
        <v>0</v>
      </c>
      <c r="CL169" s="5">
        <f>IF($BI169&lt;&gt;"",IF('Capacity summary'!$C$14="Yes",IF(COUNTBLANK('Capacity summary'!$H81:$BG81)&lt;52,IF('Capacity summary'!AI81&lt;&gt;"",IF(LOWER('Capacity summary'!AI81)="x",$BI169*AI169,VALUE('Capacity summary'!AI81)),0),AI169*$BI169),AI169*$BI169),0)</f>
        <v>0</v>
      </c>
      <c r="CM169" s="5">
        <f>IF($BI169&lt;&gt;"",IF('Capacity summary'!$C$14="Yes",IF(COUNTBLANK('Capacity summary'!$H81:$BG81)&lt;52,IF('Capacity summary'!AJ81&lt;&gt;"",IF(LOWER('Capacity summary'!AJ81)="x",$BI169*AJ169,VALUE('Capacity summary'!AJ81)),0),AJ169*$BI169),AJ169*$BI169),0)</f>
        <v>0</v>
      </c>
      <c r="CN169" s="5">
        <f>IF($BI169&lt;&gt;"",IF('Capacity summary'!$C$14="Yes",IF(COUNTBLANK('Capacity summary'!$H81:$BG81)&lt;52,IF('Capacity summary'!AK81&lt;&gt;"",IF(LOWER('Capacity summary'!AK81)="x",$BI169*AK169,VALUE('Capacity summary'!AK81)),0),AK169*$BI169),AK169*$BI169),0)</f>
        <v>0</v>
      </c>
      <c r="CO169" s="5">
        <f>IF($BI169&lt;&gt;"",IF('Capacity summary'!$C$14="Yes",IF(COUNTBLANK('Capacity summary'!$H81:$BG81)&lt;52,IF('Capacity summary'!AL81&lt;&gt;"",IF(LOWER('Capacity summary'!AL81)="x",$BI169*AL169,VALUE('Capacity summary'!AL81)),0),AL169*$BI169),AL169*$BI169),0)</f>
        <v>0</v>
      </c>
      <c r="CP169" s="5">
        <f>IF($BI169&lt;&gt;"",IF('Capacity summary'!$C$14="Yes",IF(COUNTBLANK('Capacity summary'!$H81:$BG81)&lt;52,IF('Capacity summary'!AM81&lt;&gt;"",IF(LOWER('Capacity summary'!AM81)="x",$BI169*AM169,VALUE('Capacity summary'!AM81)),0),AM169*$BI169),AM169*$BI169),0)</f>
        <v>0</v>
      </c>
      <c r="CQ169" s="5">
        <f>IF($BI169&lt;&gt;"",IF('Capacity summary'!$C$14="Yes",IF(COUNTBLANK('Capacity summary'!$H81:$BG81)&lt;52,IF('Capacity summary'!AN81&lt;&gt;"",IF(LOWER('Capacity summary'!AN81)="x",$BI169*AN169,VALUE('Capacity summary'!AN81)),0),AN169*$BI169),AN169*$BI169),0)</f>
        <v>0</v>
      </c>
      <c r="CR169" s="5">
        <f>IF($BI169&lt;&gt;"",IF('Capacity summary'!$C$14="Yes",IF(COUNTBLANK('Capacity summary'!$H81:$BG81)&lt;52,IF('Capacity summary'!AO81&lt;&gt;"",IF(LOWER('Capacity summary'!AO81)="x",$BI169*AO169,VALUE('Capacity summary'!AO81)),0),AO169*$BI169),AO169*$BI169),0)</f>
        <v>0</v>
      </c>
      <c r="CS169" s="5">
        <f>IF($BI169&lt;&gt;"",IF('Capacity summary'!$C$14="Yes",IF(COUNTBLANK('Capacity summary'!$H81:$BG81)&lt;52,IF('Capacity summary'!AP81&lt;&gt;"",IF(LOWER('Capacity summary'!AP81)="x",$BI169*AP169,VALUE('Capacity summary'!AP81)),0),AP169*$BI169),AP169*$BI169),0)</f>
        <v>0</v>
      </c>
      <c r="CT169" s="5">
        <f>IF($BI169&lt;&gt;"",IF('Capacity summary'!$C$14="Yes",IF(COUNTBLANK('Capacity summary'!$H81:$BG81)&lt;52,IF('Capacity summary'!AQ81&lt;&gt;"",IF(LOWER('Capacity summary'!AQ81)="x",$BI169*AQ169,VALUE('Capacity summary'!AQ81)),0),AQ169*$BI169),AQ169*$BI169),0)</f>
        <v>0</v>
      </c>
      <c r="CU169" s="5">
        <f>IF($BI169&lt;&gt;"",IF('Capacity summary'!$C$14="Yes",IF(COUNTBLANK('Capacity summary'!$H81:$BG81)&lt;52,IF('Capacity summary'!AR81&lt;&gt;"",IF(LOWER('Capacity summary'!AR81)="x",$BI169*AR169,VALUE('Capacity summary'!AR81)),0),AR169*$BI169),AR169*$BI169),0)</f>
        <v>0</v>
      </c>
      <c r="CV169" s="5">
        <f>IF($BI169&lt;&gt;"",IF('Capacity summary'!$C$14="Yes",IF(COUNTBLANK('Capacity summary'!$H81:$BG81)&lt;52,IF('Capacity summary'!AS81&lt;&gt;"",IF(LOWER('Capacity summary'!AS81)="x",$BI169*AS169,VALUE('Capacity summary'!AS81)),0),AS169*$BI169),AS169*$BI169),0)</f>
        <v>0</v>
      </c>
      <c r="CW169" s="5">
        <f>IF($BI169&lt;&gt;"",IF('Capacity summary'!$C$14="Yes",IF(COUNTBLANK('Capacity summary'!$H81:$BG81)&lt;52,IF('Capacity summary'!AT81&lt;&gt;"",IF(LOWER('Capacity summary'!AT81)="x",$BI169*AT169,VALUE('Capacity summary'!AT81)),0),AT169*$BI169),AT169*$BI169),0)</f>
        <v>0</v>
      </c>
      <c r="CX169" s="5">
        <f>IF($BI169&lt;&gt;"",IF('Capacity summary'!$C$14="Yes",IF(COUNTBLANK('Capacity summary'!$H81:$BG81)&lt;52,IF('Capacity summary'!AU81&lt;&gt;"",IF(LOWER('Capacity summary'!AU81)="x",$BI169*AU169,VALUE('Capacity summary'!AU81)),0),AU169*$BI169),AU169*$BI169),0)</f>
        <v>0</v>
      </c>
      <c r="CY169" s="5">
        <f>IF($BI169&lt;&gt;"",IF('Capacity summary'!$C$14="Yes",IF(COUNTBLANK('Capacity summary'!$H81:$BG81)&lt;52,IF('Capacity summary'!AV81&lt;&gt;"",IF(LOWER('Capacity summary'!AV81)="x",$BI169*AV169,VALUE('Capacity summary'!AV81)),0),AV169*$BI169),AV169*$BI169),0)</f>
        <v>0</v>
      </c>
      <c r="CZ169" s="5">
        <f>IF($BI169&lt;&gt;"",IF('Capacity summary'!$C$14="Yes",IF(COUNTBLANK('Capacity summary'!$H81:$BG81)&lt;52,IF('Capacity summary'!AW81&lt;&gt;"",IF(LOWER('Capacity summary'!AW81)="x",$BI169*AW169,VALUE('Capacity summary'!AW81)),0),AW169*$BI169),AW169*$BI169),0)</f>
        <v>0</v>
      </c>
      <c r="DA169" s="5">
        <f>IF($BI169&lt;&gt;"",IF('Capacity summary'!$C$14="Yes",IF(COUNTBLANK('Capacity summary'!$H81:$BG81)&lt;52,IF('Capacity summary'!AX81&lt;&gt;"",IF(LOWER('Capacity summary'!AX81)="x",$BI169*AX169,VALUE('Capacity summary'!AX81)),0),AX169*$BI169),AX169*$BI169),0)</f>
        <v>0</v>
      </c>
      <c r="DB169" s="5">
        <f>IF($BI169&lt;&gt;"",IF('Capacity summary'!$C$14="Yes",IF(COUNTBLANK('Capacity summary'!$H81:$BG81)&lt;52,IF('Capacity summary'!AY81&lt;&gt;"",IF(LOWER('Capacity summary'!AY81)="x",$BI169*AY169,VALUE('Capacity summary'!AY81)),0),AY169*$BI169),AY169*$BI169),0)</f>
        <v>0</v>
      </c>
      <c r="DC169" s="5">
        <f>IF($BI169&lt;&gt;"",IF('Capacity summary'!$C$14="Yes",IF(COUNTBLANK('Capacity summary'!$H81:$BG81)&lt;52,IF('Capacity summary'!AZ81&lt;&gt;"",IF(LOWER('Capacity summary'!AZ81)="x",$BI169*AZ169,VALUE('Capacity summary'!AZ81)),0),AZ169*$BI169),AZ169*$BI169),0)</f>
        <v>0</v>
      </c>
      <c r="DD169" s="5">
        <f>IF($BI169&lt;&gt;"",IF('Capacity summary'!$C$14="Yes",IF(COUNTBLANK('Capacity summary'!$H81:$BG81)&lt;52,IF('Capacity summary'!BA81&lt;&gt;"",IF(LOWER('Capacity summary'!BA81)="x",$BI169*BA169,VALUE('Capacity summary'!BA81)),0),BA169*$BI169),BA169*$BI169),0)</f>
        <v>0</v>
      </c>
      <c r="DE169" s="5">
        <f>IF($BI169&lt;&gt;"",IF('Capacity summary'!$C$14="Yes",IF(COUNTBLANK('Capacity summary'!$H81:$BG81)&lt;52,IF('Capacity summary'!BB81&lt;&gt;"",IF(LOWER('Capacity summary'!BB81)="x",$BI169*BB169,VALUE('Capacity summary'!BB81)),0),BB169*$BI169),BB169*$BI169),0)</f>
        <v>0</v>
      </c>
      <c r="DF169" s="5">
        <f>IF($BI169&lt;&gt;"",IF('Capacity summary'!$C$14="Yes",IF(COUNTBLANK('Capacity summary'!$H81:$BG81)&lt;52,IF('Capacity summary'!BC81&lt;&gt;"",IF(LOWER('Capacity summary'!BC81)="x",$BI169*BC169,VALUE('Capacity summary'!BC81)),0),BC169*$BI169),BC169*$BI169),0)</f>
        <v>0</v>
      </c>
      <c r="DG169" s="5">
        <f>IF($BI169&lt;&gt;"",IF('Capacity summary'!$C$14="Yes",IF(COUNTBLANK('Capacity summary'!$H81:$BG81)&lt;52,IF('Capacity summary'!BD81&lt;&gt;"",IF(LOWER('Capacity summary'!BD81)="x",$BI169*BD169,VALUE('Capacity summary'!BD81)),0),BD169*$BI169),BD169*$BI169),0)</f>
        <v>0</v>
      </c>
      <c r="DH169" s="5">
        <f>IF($BI169&lt;&gt;"",IF('Capacity summary'!$C$14="Yes",IF(COUNTBLANK('Capacity summary'!$H81:$BG81)&lt;52,IF('Capacity summary'!BE81&lt;&gt;"",IF(LOWER('Capacity summary'!BE81)="x",$BI169*BE169,VALUE('Capacity summary'!BE81)),0),BE169*$BI169),BE169*$BI169),0)</f>
        <v>0</v>
      </c>
      <c r="DI169" s="5">
        <f>IF($BI169&lt;&gt;"",IF('Capacity summary'!$C$14="Yes",IF(COUNTBLANK('Capacity summary'!$H81:$BG81)&lt;52,IF('Capacity summary'!BF81&lt;&gt;"",IF(LOWER('Capacity summary'!BF81)="x",$BI169*BF169,VALUE('Capacity summary'!BF81)),0),BF169*$BI169),BF169*$BI169),0)</f>
        <v>0</v>
      </c>
      <c r="DJ169" s="5">
        <f>IF($BI169&lt;&gt;"",IF('Capacity summary'!$C$14="Yes",IF(COUNTBLANK('Capacity summary'!$H81:$BG81)&lt;52,IF('Capacity summary'!BG81&lt;&gt;"",IF(LOWER('Capacity summary'!BG81)="x",$BI169*BG169,VALUE('Capacity summary'!BG81)),0),BG169*$BI169),BG169*$BI169),0)</f>
        <v>0</v>
      </c>
      <c r="DK169" s="391">
        <f t="shared" si="8"/>
        <v>0</v>
      </c>
      <c r="DL169" s="5">
        <f t="shared" si="9"/>
        <v>0</v>
      </c>
    </row>
    <row r="170" spans="3:116" x14ac:dyDescent="0.2">
      <c r="C170" s="67" t="str">
        <f>ROW(A59)&amp;". "&amp;Capacity!N75</f>
        <v xml:space="preserve">59. </v>
      </c>
      <c r="D170" s="67">
        <f>'Capacity setup'!C176</f>
        <v>0</v>
      </c>
      <c r="E170" s="67">
        <f>'Capacity setup'!D176</f>
        <v>0</v>
      </c>
      <c r="F170" s="67">
        <f>'Capacity setup'!E176</f>
        <v>0</v>
      </c>
      <c r="H170" s="67">
        <f ca="1">IF(LOWER(Capacity!$V75)="x",IF(AND(SUMIF(Capacity_Resource,$D170,'Critical resources (hide)'!U$6:U$105)+SUMIF(Capacity_Resource,$E170,'Critical resources (hide)'!U$6:U$105)+SUMIF(Capacity_Resource,$F170,'Critical resources (hide)'!U$6:U$105)&gt;0,$E$1=2),0,1),0)</f>
        <v>1</v>
      </c>
      <c r="I170" s="67">
        <f ca="1">IF(LOWER(Capacity!$V75)="x",IF(AND(SUMIF(Capacity_Resource,$D170,'Critical resources (hide)'!V$6:V$105)+SUMIF(Capacity_Resource,$E170,'Critical resources (hide)'!V$6:V$105)+SUMIF(Capacity_Resource,$F170,'Critical resources (hide)'!V$6:V$105)&gt;0,$E$1=2),0,1),0)</f>
        <v>1</v>
      </c>
      <c r="J170" s="67">
        <f ca="1">IF(LOWER(Capacity!$V75)="x",IF(AND(SUMIF(Capacity_Resource,$D170,'Critical resources (hide)'!W$6:W$105)+SUMIF(Capacity_Resource,$E170,'Critical resources (hide)'!W$6:W$105)+SUMIF(Capacity_Resource,$F170,'Critical resources (hide)'!W$6:W$105)&gt;0,$E$1=2),0,1),0)</f>
        <v>1</v>
      </c>
      <c r="K170" s="67">
        <f ca="1">IF(LOWER(Capacity!$V75)="x",IF(AND(SUMIF(Capacity_Resource,$D170,'Critical resources (hide)'!X$6:X$105)+SUMIF(Capacity_Resource,$E170,'Critical resources (hide)'!X$6:X$105)+SUMIF(Capacity_Resource,$F170,'Critical resources (hide)'!X$6:X$105)&gt;0,$E$1=2),0,1),0)</f>
        <v>1</v>
      </c>
      <c r="L170" s="67">
        <f ca="1">IF(LOWER(Capacity!$V75)="x",IF(AND(SUMIF(Capacity_Resource,$D170,'Critical resources (hide)'!Y$6:Y$105)+SUMIF(Capacity_Resource,$E170,'Critical resources (hide)'!Y$6:Y$105)+SUMIF(Capacity_Resource,$F170,'Critical resources (hide)'!Y$6:Y$105)&gt;0,$E$1=2),0,1),0)</f>
        <v>1</v>
      </c>
      <c r="M170" s="67">
        <f ca="1">IF(LOWER(Capacity!$V75)="x",IF(AND(SUMIF(Capacity_Resource,$D170,'Critical resources (hide)'!Z$6:Z$105)+SUMIF(Capacity_Resource,$E170,'Critical resources (hide)'!Z$6:Z$105)+SUMIF(Capacity_Resource,$F170,'Critical resources (hide)'!Z$6:Z$105)&gt;0,$E$1=2),0,1),0)</f>
        <v>1</v>
      </c>
      <c r="N170" s="67">
        <f ca="1">IF(LOWER(Capacity!$V75)="x",IF(AND(SUMIF(Capacity_Resource,$D170,'Critical resources (hide)'!AA$6:AA$105)+SUMIF(Capacity_Resource,$E170,'Critical resources (hide)'!AA$6:AA$105)+SUMIF(Capacity_Resource,$F170,'Critical resources (hide)'!AA$6:AA$105)&gt;0,$E$1=2),0,1),0)</f>
        <v>1</v>
      </c>
      <c r="O170" s="67">
        <f ca="1">IF(LOWER(Capacity!$V75)="x",IF(AND(SUMIF(Capacity_Resource,$D170,'Critical resources (hide)'!AB$6:AB$105)+SUMIF(Capacity_Resource,$E170,'Critical resources (hide)'!AB$6:AB$105)+SUMIF(Capacity_Resource,$F170,'Critical resources (hide)'!AB$6:AB$105)&gt;0,$E$1=2),0,1),0)</f>
        <v>1</v>
      </c>
      <c r="P170" s="67">
        <f ca="1">IF(LOWER(Capacity!$V75)="x",IF(AND(SUMIF(Capacity_Resource,$D170,'Critical resources (hide)'!AC$6:AC$105)+SUMIF(Capacity_Resource,$E170,'Critical resources (hide)'!AC$6:AC$105)+SUMIF(Capacity_Resource,$F170,'Critical resources (hide)'!AC$6:AC$105)&gt;0,$E$1=2),0,1),0)</f>
        <v>1</v>
      </c>
      <c r="Q170" s="67">
        <f ca="1">IF(LOWER(Capacity!$V75)="x",IF(AND(SUMIF(Capacity_Resource,$D170,'Critical resources (hide)'!AD$6:AD$105)+SUMIF(Capacity_Resource,$E170,'Critical resources (hide)'!AD$6:AD$105)+SUMIF(Capacity_Resource,$F170,'Critical resources (hide)'!AD$6:AD$105)&gt;0,$E$1=2),0,1),0)</f>
        <v>1</v>
      </c>
      <c r="R170" s="67">
        <f ca="1">IF(LOWER(Capacity!$V75)="x",IF(AND(SUMIF(Capacity_Resource,$D170,'Critical resources (hide)'!AE$6:AE$105)+SUMIF(Capacity_Resource,$E170,'Critical resources (hide)'!AE$6:AE$105)+SUMIF(Capacity_Resource,$F170,'Critical resources (hide)'!AE$6:AE$105)&gt;0,$E$1=2),0,1),0)</f>
        <v>1</v>
      </c>
      <c r="S170" s="67">
        <f ca="1">IF(LOWER(Capacity!$V75)="x",IF(AND(SUMIF(Capacity_Resource,$D170,'Critical resources (hide)'!AF$6:AF$105)+SUMIF(Capacity_Resource,$E170,'Critical resources (hide)'!AF$6:AF$105)+SUMIF(Capacity_Resource,$F170,'Critical resources (hide)'!AF$6:AF$105)&gt;0,$E$1=2),0,1),0)</f>
        <v>1</v>
      </c>
      <c r="T170" s="67">
        <f ca="1">IF(LOWER(Capacity!$V75)="x",IF(AND(SUMIF(Capacity_Resource,$D170,'Critical resources (hide)'!AG$6:AG$105)+SUMIF(Capacity_Resource,$E170,'Critical resources (hide)'!AG$6:AG$105)+SUMIF(Capacity_Resource,$F170,'Critical resources (hide)'!AG$6:AG$105)&gt;0,$E$1=2),0,1),0)</f>
        <v>1</v>
      </c>
      <c r="U170" s="67">
        <f ca="1">IF(LOWER(Capacity!$V75)="x",IF(AND(SUMIF(Capacity_Resource,$D170,'Critical resources (hide)'!AH$6:AH$105)+SUMIF(Capacity_Resource,$E170,'Critical resources (hide)'!AH$6:AH$105)+SUMIF(Capacity_Resource,$F170,'Critical resources (hide)'!AH$6:AH$105)&gt;0,$E$1=2),0,1),0)</f>
        <v>1</v>
      </c>
      <c r="V170" s="67">
        <f ca="1">IF(LOWER(Capacity!$V75)="x",IF(AND(SUMIF(Capacity_Resource,$D170,'Critical resources (hide)'!AI$6:AI$105)+SUMIF(Capacity_Resource,$E170,'Critical resources (hide)'!AI$6:AI$105)+SUMIF(Capacity_Resource,$F170,'Critical resources (hide)'!AI$6:AI$105)&gt;0,$E$1=2),0,1),0)</f>
        <v>1</v>
      </c>
      <c r="W170" s="67">
        <f ca="1">IF(LOWER(Capacity!$V75)="x",IF(AND(SUMIF(Capacity_Resource,$D170,'Critical resources (hide)'!AJ$6:AJ$105)+SUMIF(Capacity_Resource,$E170,'Critical resources (hide)'!AJ$6:AJ$105)+SUMIF(Capacity_Resource,$F170,'Critical resources (hide)'!AJ$6:AJ$105)&gt;0,$E$1=2),0,1),0)</f>
        <v>1</v>
      </c>
      <c r="X170" s="67">
        <f ca="1">IF(LOWER(Capacity!$V75)="x",IF(AND(SUMIF(Capacity_Resource,$D170,'Critical resources (hide)'!AK$6:AK$105)+SUMIF(Capacity_Resource,$E170,'Critical resources (hide)'!AK$6:AK$105)+SUMIF(Capacity_Resource,$F170,'Critical resources (hide)'!AK$6:AK$105)&gt;0,$E$1=2),0,1),0)</f>
        <v>1</v>
      </c>
      <c r="Y170" s="67">
        <f ca="1">IF(LOWER(Capacity!$V75)="x",IF(AND(SUMIF(Capacity_Resource,$D170,'Critical resources (hide)'!AL$6:AL$105)+SUMIF(Capacity_Resource,$E170,'Critical resources (hide)'!AL$6:AL$105)+SUMIF(Capacity_Resource,$F170,'Critical resources (hide)'!AL$6:AL$105)&gt;0,$E$1=2),0,1),0)</f>
        <v>1</v>
      </c>
      <c r="Z170" s="67">
        <f ca="1">IF(LOWER(Capacity!$V75)="x",IF(AND(SUMIF(Capacity_Resource,$D170,'Critical resources (hide)'!AM$6:AM$105)+SUMIF(Capacity_Resource,$E170,'Critical resources (hide)'!AM$6:AM$105)+SUMIF(Capacity_Resource,$F170,'Critical resources (hide)'!AM$6:AM$105)&gt;0,$E$1=2),0,1),0)</f>
        <v>1</v>
      </c>
      <c r="AA170" s="67">
        <f ca="1">IF(LOWER(Capacity!$V75)="x",IF(AND(SUMIF(Capacity_Resource,$D170,'Critical resources (hide)'!AN$6:AN$105)+SUMIF(Capacity_Resource,$E170,'Critical resources (hide)'!AN$6:AN$105)+SUMIF(Capacity_Resource,$F170,'Critical resources (hide)'!AN$6:AN$105)&gt;0,$E$1=2),0,1),0)</f>
        <v>1</v>
      </c>
      <c r="AB170" s="67">
        <f ca="1">IF(LOWER(Capacity!$V75)="x",IF(AND(SUMIF(Capacity_Resource,$D170,'Critical resources (hide)'!AO$6:AO$105)+SUMIF(Capacity_Resource,$E170,'Critical resources (hide)'!AO$6:AO$105)+SUMIF(Capacity_Resource,$F170,'Critical resources (hide)'!AO$6:AO$105)&gt;0,$E$1=2),0,1),0)</f>
        <v>1</v>
      </c>
      <c r="AC170" s="67">
        <f ca="1">IF(LOWER(Capacity!$V75)="x",IF(AND(SUMIF(Capacity_Resource,$D170,'Critical resources (hide)'!AP$6:AP$105)+SUMIF(Capacity_Resource,$E170,'Critical resources (hide)'!AP$6:AP$105)+SUMIF(Capacity_Resource,$F170,'Critical resources (hide)'!AP$6:AP$105)&gt;0,$E$1=2),0,1),0)</f>
        <v>1</v>
      </c>
      <c r="AD170" s="67">
        <f ca="1">IF(LOWER(Capacity!$V75)="x",IF(AND(SUMIF(Capacity_Resource,$D170,'Critical resources (hide)'!AQ$6:AQ$105)+SUMIF(Capacity_Resource,$E170,'Critical resources (hide)'!AQ$6:AQ$105)+SUMIF(Capacity_Resource,$F170,'Critical resources (hide)'!AQ$6:AQ$105)&gt;0,$E$1=2),0,1),0)</f>
        <v>1</v>
      </c>
      <c r="AE170" s="67">
        <f ca="1">IF(LOWER(Capacity!$V75)="x",IF(AND(SUMIF(Capacity_Resource,$D170,'Critical resources (hide)'!AR$6:AR$105)+SUMIF(Capacity_Resource,$E170,'Critical resources (hide)'!AR$6:AR$105)+SUMIF(Capacity_Resource,$F170,'Critical resources (hide)'!AR$6:AR$105)&gt;0,$E$1=2),0,1),0)</f>
        <v>1</v>
      </c>
      <c r="AF170" s="67">
        <f ca="1">IF(LOWER(Capacity!$V75)="x",IF(AND(SUMIF(Capacity_Resource,$D170,'Critical resources (hide)'!AS$6:AS$105)+SUMIF(Capacity_Resource,$E170,'Critical resources (hide)'!AS$6:AS$105)+SUMIF(Capacity_Resource,$F170,'Critical resources (hide)'!AS$6:AS$105)&gt;0,$E$1=2),0,1),0)</f>
        <v>1</v>
      </c>
      <c r="AG170" s="67">
        <f ca="1">IF(LOWER(Capacity!$V75)="x",IF(AND(SUMIF(Capacity_Resource,$D170,'Critical resources (hide)'!AT$6:AT$105)+SUMIF(Capacity_Resource,$E170,'Critical resources (hide)'!AT$6:AT$105)+SUMIF(Capacity_Resource,$F170,'Critical resources (hide)'!AT$6:AT$105)&gt;0,$E$1=2),0,1),0)</f>
        <v>1</v>
      </c>
      <c r="AH170" s="67">
        <f ca="1">IF(LOWER(Capacity!$V75)="x",IF(AND(SUMIF(Capacity_Resource,$D170,'Critical resources (hide)'!AU$6:AU$105)+SUMIF(Capacity_Resource,$E170,'Critical resources (hide)'!AU$6:AU$105)+SUMIF(Capacity_Resource,$F170,'Critical resources (hide)'!AU$6:AU$105)&gt;0,$E$1=2),0,1),0)</f>
        <v>1</v>
      </c>
      <c r="AI170" s="67">
        <f ca="1">IF(LOWER(Capacity!$V75)="x",IF(AND(SUMIF(Capacity_Resource,$D170,'Critical resources (hide)'!AV$6:AV$105)+SUMIF(Capacity_Resource,$E170,'Critical resources (hide)'!AV$6:AV$105)+SUMIF(Capacity_Resource,$F170,'Critical resources (hide)'!AV$6:AV$105)&gt;0,$E$1=2),0,1),0)</f>
        <v>1</v>
      </c>
      <c r="AJ170" s="67">
        <f ca="1">IF(LOWER(Capacity!$V75)="x",IF(AND(SUMIF(Capacity_Resource,$D170,'Critical resources (hide)'!AW$6:AW$105)+SUMIF(Capacity_Resource,$E170,'Critical resources (hide)'!AW$6:AW$105)+SUMIF(Capacity_Resource,$F170,'Critical resources (hide)'!AW$6:AW$105)&gt;0,$E$1=2),0,1),0)</f>
        <v>1</v>
      </c>
      <c r="AK170" s="67">
        <f ca="1">IF(LOWER(Capacity!$V75)="x",IF(AND(SUMIF(Capacity_Resource,$D170,'Critical resources (hide)'!AX$6:AX$105)+SUMIF(Capacity_Resource,$E170,'Critical resources (hide)'!AX$6:AX$105)+SUMIF(Capacity_Resource,$F170,'Critical resources (hide)'!AX$6:AX$105)&gt;0,$E$1=2),0,1),0)</f>
        <v>1</v>
      </c>
      <c r="AL170" s="67">
        <f ca="1">IF(LOWER(Capacity!$V75)="x",IF(AND(SUMIF(Capacity_Resource,$D170,'Critical resources (hide)'!AY$6:AY$105)+SUMIF(Capacity_Resource,$E170,'Critical resources (hide)'!AY$6:AY$105)+SUMIF(Capacity_Resource,$F170,'Critical resources (hide)'!AY$6:AY$105)&gt;0,$E$1=2),0,1),0)</f>
        <v>1</v>
      </c>
      <c r="AM170" s="67">
        <f ca="1">IF(LOWER(Capacity!$V75)="x",IF(AND(SUMIF(Capacity_Resource,$D170,'Critical resources (hide)'!AZ$6:AZ$105)+SUMIF(Capacity_Resource,$E170,'Critical resources (hide)'!AZ$6:AZ$105)+SUMIF(Capacity_Resource,$F170,'Critical resources (hide)'!AZ$6:AZ$105)&gt;0,$E$1=2),0,1),0)</f>
        <v>1</v>
      </c>
      <c r="AN170" s="67">
        <f ca="1">IF(LOWER(Capacity!$V75)="x",IF(AND(SUMIF(Capacity_Resource,$D170,'Critical resources (hide)'!BA$6:BA$105)+SUMIF(Capacity_Resource,$E170,'Critical resources (hide)'!BA$6:BA$105)+SUMIF(Capacity_Resource,$F170,'Critical resources (hide)'!BA$6:BA$105)&gt;0,$E$1=2),0,1),0)</f>
        <v>1</v>
      </c>
      <c r="AO170" s="67">
        <f ca="1">IF(LOWER(Capacity!$V75)="x",IF(AND(SUMIF(Capacity_Resource,$D170,'Critical resources (hide)'!BB$6:BB$105)+SUMIF(Capacity_Resource,$E170,'Critical resources (hide)'!BB$6:BB$105)+SUMIF(Capacity_Resource,$F170,'Critical resources (hide)'!BB$6:BB$105)&gt;0,$E$1=2),0,1),0)</f>
        <v>1</v>
      </c>
      <c r="AP170" s="67">
        <f ca="1">IF(LOWER(Capacity!$V75)="x",IF(AND(SUMIF(Capacity_Resource,$D170,'Critical resources (hide)'!BC$6:BC$105)+SUMIF(Capacity_Resource,$E170,'Critical resources (hide)'!BC$6:BC$105)+SUMIF(Capacity_Resource,$F170,'Critical resources (hide)'!BC$6:BC$105)&gt;0,$E$1=2),0,1),0)</f>
        <v>1</v>
      </c>
      <c r="AQ170" s="67">
        <f ca="1">IF(LOWER(Capacity!$V75)="x",IF(AND(SUMIF(Capacity_Resource,$D170,'Critical resources (hide)'!BD$6:BD$105)+SUMIF(Capacity_Resource,$E170,'Critical resources (hide)'!BD$6:BD$105)+SUMIF(Capacity_Resource,$F170,'Critical resources (hide)'!BD$6:BD$105)&gt;0,$E$1=2),0,1),0)</f>
        <v>1</v>
      </c>
      <c r="AR170" s="67">
        <f ca="1">IF(LOWER(Capacity!$V75)="x",IF(AND(SUMIF(Capacity_Resource,$D170,'Critical resources (hide)'!BE$6:BE$105)+SUMIF(Capacity_Resource,$E170,'Critical resources (hide)'!BE$6:BE$105)+SUMIF(Capacity_Resource,$F170,'Critical resources (hide)'!BE$6:BE$105)&gt;0,$E$1=2),0,1),0)</f>
        <v>1</v>
      </c>
      <c r="AS170" s="67">
        <f ca="1">IF(LOWER(Capacity!$V75)="x",IF(AND(SUMIF(Capacity_Resource,$D170,'Critical resources (hide)'!BF$6:BF$105)+SUMIF(Capacity_Resource,$E170,'Critical resources (hide)'!BF$6:BF$105)+SUMIF(Capacity_Resource,$F170,'Critical resources (hide)'!BF$6:BF$105)&gt;0,$E$1=2),0,1),0)</f>
        <v>1</v>
      </c>
      <c r="AT170" s="67">
        <f ca="1">IF(LOWER(Capacity!$V75)="x",IF(AND(SUMIF(Capacity_Resource,$D170,'Critical resources (hide)'!BG$6:BG$105)+SUMIF(Capacity_Resource,$E170,'Critical resources (hide)'!BG$6:BG$105)+SUMIF(Capacity_Resource,$F170,'Critical resources (hide)'!BG$6:BG$105)&gt;0,$E$1=2),0,1),0)</f>
        <v>1</v>
      </c>
      <c r="AU170" s="67">
        <f ca="1">IF(LOWER(Capacity!$V75)="x",IF(AND(SUMIF(Capacity_Resource,$D170,'Critical resources (hide)'!BH$6:BH$105)+SUMIF(Capacity_Resource,$E170,'Critical resources (hide)'!BH$6:BH$105)+SUMIF(Capacity_Resource,$F170,'Critical resources (hide)'!BH$6:BH$105)&gt;0,$E$1=2),0,1),0)</f>
        <v>1</v>
      </c>
      <c r="AV170" s="67">
        <f ca="1">IF(LOWER(Capacity!$V75)="x",IF(AND(SUMIF(Capacity_Resource,$D170,'Critical resources (hide)'!BI$6:BI$105)+SUMIF(Capacity_Resource,$E170,'Critical resources (hide)'!BI$6:BI$105)+SUMIF(Capacity_Resource,$F170,'Critical resources (hide)'!BI$6:BI$105)&gt;0,$E$1=2),0,1),0)</f>
        <v>1</v>
      </c>
      <c r="AW170" s="67">
        <f ca="1">IF(LOWER(Capacity!$V75)="x",IF(AND(SUMIF(Capacity_Resource,$D170,'Critical resources (hide)'!BJ$6:BJ$105)+SUMIF(Capacity_Resource,$E170,'Critical resources (hide)'!BJ$6:BJ$105)+SUMIF(Capacity_Resource,$F170,'Critical resources (hide)'!BJ$6:BJ$105)&gt;0,$E$1=2),0,1),0)</f>
        <v>1</v>
      </c>
      <c r="AX170" s="67">
        <f ca="1">IF(LOWER(Capacity!$V75)="x",IF(AND(SUMIF(Capacity_Resource,$D170,'Critical resources (hide)'!BK$6:BK$105)+SUMIF(Capacity_Resource,$E170,'Critical resources (hide)'!BK$6:BK$105)+SUMIF(Capacity_Resource,$F170,'Critical resources (hide)'!BK$6:BK$105)&gt;0,$E$1=2),0,1),0)</f>
        <v>1</v>
      </c>
      <c r="AY170" s="67">
        <f ca="1">IF(LOWER(Capacity!$V75)="x",IF(AND(SUMIF(Capacity_Resource,$D170,'Critical resources (hide)'!BL$6:BL$105)+SUMIF(Capacity_Resource,$E170,'Critical resources (hide)'!BL$6:BL$105)+SUMIF(Capacity_Resource,$F170,'Critical resources (hide)'!BL$6:BL$105)&gt;0,$E$1=2),0,1),0)</f>
        <v>1</v>
      </c>
      <c r="AZ170" s="67">
        <f ca="1">IF(LOWER(Capacity!$V75)="x",IF(AND(SUMIF(Capacity_Resource,$D170,'Critical resources (hide)'!BM$6:BM$105)+SUMIF(Capacity_Resource,$E170,'Critical resources (hide)'!BM$6:BM$105)+SUMIF(Capacity_Resource,$F170,'Critical resources (hide)'!BM$6:BM$105)&gt;0,$E$1=2),0,1),0)</f>
        <v>1</v>
      </c>
      <c r="BA170" s="67">
        <f ca="1">IF(LOWER(Capacity!$V75)="x",IF(AND(SUMIF(Capacity_Resource,$D170,'Critical resources (hide)'!BN$6:BN$105)+SUMIF(Capacity_Resource,$E170,'Critical resources (hide)'!BN$6:BN$105)+SUMIF(Capacity_Resource,$F170,'Critical resources (hide)'!BN$6:BN$105)&gt;0,$E$1=2),0,1),0)</f>
        <v>1</v>
      </c>
      <c r="BB170" s="67">
        <f ca="1">IF(LOWER(Capacity!$V75)="x",IF(AND(SUMIF(Capacity_Resource,$D170,'Critical resources (hide)'!BO$6:BO$105)+SUMIF(Capacity_Resource,$E170,'Critical resources (hide)'!BO$6:BO$105)+SUMIF(Capacity_Resource,$F170,'Critical resources (hide)'!BO$6:BO$105)&gt;0,$E$1=2),0,1),0)</f>
        <v>1</v>
      </c>
      <c r="BC170" s="67">
        <f ca="1">IF(LOWER(Capacity!$V75)="x",IF(AND(SUMIF(Capacity_Resource,$D170,'Critical resources (hide)'!BP$6:BP$105)+SUMIF(Capacity_Resource,$E170,'Critical resources (hide)'!BP$6:BP$105)+SUMIF(Capacity_Resource,$F170,'Critical resources (hide)'!BP$6:BP$105)&gt;0,$E$1=2),0,1),0)</f>
        <v>1</v>
      </c>
      <c r="BD170" s="67">
        <f ca="1">IF(LOWER(Capacity!$V75)="x",IF(AND(SUMIF(Capacity_Resource,$D170,'Critical resources (hide)'!BQ$6:BQ$105)+SUMIF(Capacity_Resource,$E170,'Critical resources (hide)'!BQ$6:BQ$105)+SUMIF(Capacity_Resource,$F170,'Critical resources (hide)'!BQ$6:BQ$105)&gt;0,$E$1=2),0,1),0)</f>
        <v>1</v>
      </c>
      <c r="BE170" s="67">
        <f ca="1">IF(LOWER(Capacity!$V75)="x",IF(AND(SUMIF(Capacity_Resource,$D170,'Critical resources (hide)'!BR$6:BR$105)+SUMIF(Capacity_Resource,$E170,'Critical resources (hide)'!BR$6:BR$105)+SUMIF(Capacity_Resource,$F170,'Critical resources (hide)'!BR$6:BR$105)&gt;0,$E$1=2),0,1),0)</f>
        <v>1</v>
      </c>
      <c r="BF170" s="67">
        <f ca="1">IF(LOWER(Capacity!$V75)="x",IF(AND(SUMIF(Capacity_Resource,$D170,'Critical resources (hide)'!BS$6:BS$105)+SUMIF(Capacity_Resource,$E170,'Critical resources (hide)'!BS$6:BS$105)+SUMIF(Capacity_Resource,$F170,'Critical resources (hide)'!BS$6:BS$105)&gt;0,$E$1=2),0,1),0)</f>
        <v>1</v>
      </c>
      <c r="BG170" s="67">
        <f ca="1">IF(LOWER(Capacity!$V75)="x",IF(AND(SUMIF(Capacity_Resource,$D170,'Critical resources (hide)'!BT$6:BT$105)+SUMIF(Capacity_Resource,$E170,'Critical resources (hide)'!BT$6:BT$105)+SUMIF(Capacity_Resource,$F170,'Critical resources (hide)'!BT$6:BT$105)&gt;0,$E$1=2),0,1),0)</f>
        <v>1</v>
      </c>
      <c r="BH170" s="67">
        <f>IF(ROW(A59)&lt;=Capacity!$M$16,IF('Capacity summary'!$C$14="No",SUM(H170:BG170),'Capacity summary'!$E82),0)</f>
        <v>0</v>
      </c>
      <c r="BI170" s="67" t="str">
        <f>IF(BH170&gt;0,IF(BH170&lt;Capacity!Q75,Capacity!R75,Capacity!T75/'Capacity calculation (hide)'!BH170),"")</f>
        <v/>
      </c>
      <c r="BJ170" s="5"/>
      <c r="BK170" s="5">
        <f>IF($BI170&lt;&gt;"",IF('Capacity summary'!$C$14="Yes",IF(COUNTBLANK('Capacity summary'!$H82:$BG82)&lt;52,IF('Capacity summary'!H82&lt;&gt;"",IF(LOWER('Capacity summary'!H82)="x",$BI170*H170,VALUE('Capacity summary'!H82)),0),H170*$BI170),H170*$BI170),0)</f>
        <v>0</v>
      </c>
      <c r="BL170" s="5">
        <f>IF($BI170&lt;&gt;"",IF('Capacity summary'!$C$14="Yes",IF(COUNTBLANK('Capacity summary'!$H82:$BG82)&lt;52,IF('Capacity summary'!I82&lt;&gt;"",IF(LOWER('Capacity summary'!I82)="x",$BI170*I170,VALUE('Capacity summary'!I82)),0),I170*$BI170),I170*$BI170),0)</f>
        <v>0</v>
      </c>
      <c r="BM170" s="5">
        <f>IF($BI170&lt;&gt;"",IF('Capacity summary'!$C$14="Yes",IF(COUNTBLANK('Capacity summary'!$H82:$BG82)&lt;52,IF('Capacity summary'!J82&lt;&gt;"",IF(LOWER('Capacity summary'!J82)="x",$BI170*J170,VALUE('Capacity summary'!J82)),0),J170*$BI170),J170*$BI170),0)</f>
        <v>0</v>
      </c>
      <c r="BN170" s="5">
        <f>IF($BI170&lt;&gt;"",IF('Capacity summary'!$C$14="Yes",IF(COUNTBLANK('Capacity summary'!$H82:$BG82)&lt;52,IF('Capacity summary'!K82&lt;&gt;"",IF(LOWER('Capacity summary'!K82)="x",$BI170*K170,VALUE('Capacity summary'!K82)),0),K170*$BI170),K170*$BI170),0)</f>
        <v>0</v>
      </c>
      <c r="BO170" s="5">
        <f>IF($BI170&lt;&gt;"",IF('Capacity summary'!$C$14="Yes",IF(COUNTBLANK('Capacity summary'!$H82:$BG82)&lt;52,IF('Capacity summary'!L82&lt;&gt;"",IF(LOWER('Capacity summary'!L82)="x",$BI170*L170,VALUE('Capacity summary'!L82)),0),L170*$BI170),L170*$BI170),0)</f>
        <v>0</v>
      </c>
      <c r="BP170" s="5">
        <f>IF($BI170&lt;&gt;"",IF('Capacity summary'!$C$14="Yes",IF(COUNTBLANK('Capacity summary'!$H82:$BG82)&lt;52,IF('Capacity summary'!M82&lt;&gt;"",IF(LOWER('Capacity summary'!M82)="x",$BI170*M170,VALUE('Capacity summary'!M82)),0),M170*$BI170),M170*$BI170),0)</f>
        <v>0</v>
      </c>
      <c r="BQ170" s="5">
        <f>IF($BI170&lt;&gt;"",IF('Capacity summary'!$C$14="Yes",IF(COUNTBLANK('Capacity summary'!$H82:$BG82)&lt;52,IF('Capacity summary'!N82&lt;&gt;"",IF(LOWER('Capacity summary'!N82)="x",$BI170*N170,VALUE('Capacity summary'!N82)),0),N170*$BI170),N170*$BI170),0)</f>
        <v>0</v>
      </c>
      <c r="BR170" s="5">
        <f>IF($BI170&lt;&gt;"",IF('Capacity summary'!$C$14="Yes",IF(COUNTBLANK('Capacity summary'!$H82:$BG82)&lt;52,IF('Capacity summary'!O82&lt;&gt;"",IF(LOWER('Capacity summary'!O82)="x",$BI170*O170,VALUE('Capacity summary'!O82)),0),O170*$BI170),O170*$BI170),0)</f>
        <v>0</v>
      </c>
      <c r="BS170" s="5">
        <f>IF($BI170&lt;&gt;"",IF('Capacity summary'!$C$14="Yes",IF(COUNTBLANK('Capacity summary'!$H82:$BG82)&lt;52,IF('Capacity summary'!P82&lt;&gt;"",IF(LOWER('Capacity summary'!P82)="x",$BI170*P170,VALUE('Capacity summary'!P82)),0),P170*$BI170),P170*$BI170),0)</f>
        <v>0</v>
      </c>
      <c r="BT170" s="5">
        <f>IF($BI170&lt;&gt;"",IF('Capacity summary'!$C$14="Yes",IF(COUNTBLANK('Capacity summary'!$H82:$BG82)&lt;52,IF('Capacity summary'!Q82&lt;&gt;"",IF(LOWER('Capacity summary'!Q82)="x",$BI170*Q170,VALUE('Capacity summary'!Q82)),0),Q170*$BI170),Q170*$BI170),0)</f>
        <v>0</v>
      </c>
      <c r="BU170" s="5">
        <f>IF($BI170&lt;&gt;"",IF('Capacity summary'!$C$14="Yes",IF(COUNTBLANK('Capacity summary'!$H82:$BG82)&lt;52,IF('Capacity summary'!R82&lt;&gt;"",IF(LOWER('Capacity summary'!R82)="x",$BI170*R170,VALUE('Capacity summary'!R82)),0),R170*$BI170),R170*$BI170),0)</f>
        <v>0</v>
      </c>
      <c r="BV170" s="5">
        <f>IF($BI170&lt;&gt;"",IF('Capacity summary'!$C$14="Yes",IF(COUNTBLANK('Capacity summary'!$H82:$BG82)&lt;52,IF('Capacity summary'!S82&lt;&gt;"",IF(LOWER('Capacity summary'!S82)="x",$BI170*S170,VALUE('Capacity summary'!S82)),0),S170*$BI170),S170*$BI170),0)</f>
        <v>0</v>
      </c>
      <c r="BW170" s="5">
        <f>IF($BI170&lt;&gt;"",IF('Capacity summary'!$C$14="Yes",IF(COUNTBLANK('Capacity summary'!$H82:$BG82)&lt;52,IF('Capacity summary'!T82&lt;&gt;"",IF(LOWER('Capacity summary'!T82)="x",$BI170*T170,VALUE('Capacity summary'!T82)),0),T170*$BI170),T170*$BI170),0)</f>
        <v>0</v>
      </c>
      <c r="BX170" s="5">
        <f>IF($BI170&lt;&gt;"",IF('Capacity summary'!$C$14="Yes",IF(COUNTBLANK('Capacity summary'!$H82:$BG82)&lt;52,IF('Capacity summary'!U82&lt;&gt;"",IF(LOWER('Capacity summary'!U82)="x",$BI170*U170,VALUE('Capacity summary'!U82)),0),U170*$BI170),U170*$BI170),0)</f>
        <v>0</v>
      </c>
      <c r="BY170" s="5">
        <f>IF($BI170&lt;&gt;"",IF('Capacity summary'!$C$14="Yes",IF(COUNTBLANK('Capacity summary'!$H82:$BG82)&lt;52,IF('Capacity summary'!V82&lt;&gt;"",IF(LOWER('Capacity summary'!V82)="x",$BI170*V170,VALUE('Capacity summary'!V82)),0),V170*$BI170),V170*$BI170),0)</f>
        <v>0</v>
      </c>
      <c r="BZ170" s="5">
        <f>IF($BI170&lt;&gt;"",IF('Capacity summary'!$C$14="Yes",IF(COUNTBLANK('Capacity summary'!$H82:$BG82)&lt;52,IF('Capacity summary'!W82&lt;&gt;"",IF(LOWER('Capacity summary'!W82)="x",$BI170*W170,VALUE('Capacity summary'!W82)),0),W170*$BI170),W170*$BI170),0)</f>
        <v>0</v>
      </c>
      <c r="CA170" s="5">
        <f>IF($BI170&lt;&gt;"",IF('Capacity summary'!$C$14="Yes",IF(COUNTBLANK('Capacity summary'!$H82:$BG82)&lt;52,IF('Capacity summary'!X82&lt;&gt;"",IF(LOWER('Capacity summary'!X82)="x",$BI170*X170,VALUE('Capacity summary'!X82)),0),X170*$BI170),X170*$BI170),0)</f>
        <v>0</v>
      </c>
      <c r="CB170" s="5">
        <f>IF($BI170&lt;&gt;"",IF('Capacity summary'!$C$14="Yes",IF(COUNTBLANK('Capacity summary'!$H82:$BG82)&lt;52,IF('Capacity summary'!Y82&lt;&gt;"",IF(LOWER('Capacity summary'!Y82)="x",$BI170*Y170,VALUE('Capacity summary'!Y82)),0),Y170*$BI170),Y170*$BI170),0)</f>
        <v>0</v>
      </c>
      <c r="CC170" s="5">
        <f>IF($BI170&lt;&gt;"",IF('Capacity summary'!$C$14="Yes",IF(COUNTBLANK('Capacity summary'!$H82:$BG82)&lt;52,IF('Capacity summary'!Z82&lt;&gt;"",IF(LOWER('Capacity summary'!Z82)="x",$BI170*Z170,VALUE('Capacity summary'!Z82)),0),Z170*$BI170),Z170*$BI170),0)</f>
        <v>0</v>
      </c>
      <c r="CD170" s="5">
        <f>IF($BI170&lt;&gt;"",IF('Capacity summary'!$C$14="Yes",IF(COUNTBLANK('Capacity summary'!$H82:$BG82)&lt;52,IF('Capacity summary'!AA82&lt;&gt;"",IF(LOWER('Capacity summary'!AA82)="x",$BI170*AA170,VALUE('Capacity summary'!AA82)),0),AA170*$BI170),AA170*$BI170),0)</f>
        <v>0</v>
      </c>
      <c r="CE170" s="5">
        <f>IF($BI170&lt;&gt;"",IF('Capacity summary'!$C$14="Yes",IF(COUNTBLANK('Capacity summary'!$H82:$BG82)&lt;52,IF('Capacity summary'!AB82&lt;&gt;"",IF(LOWER('Capacity summary'!AB82)="x",$BI170*AB170,VALUE('Capacity summary'!AB82)),0),AB170*$BI170),AB170*$BI170),0)</f>
        <v>0</v>
      </c>
      <c r="CF170" s="5">
        <f>IF($BI170&lt;&gt;"",IF('Capacity summary'!$C$14="Yes",IF(COUNTBLANK('Capacity summary'!$H82:$BG82)&lt;52,IF('Capacity summary'!AC82&lt;&gt;"",IF(LOWER('Capacity summary'!AC82)="x",$BI170*AC170,VALUE('Capacity summary'!AC82)),0),AC170*$BI170),AC170*$BI170),0)</f>
        <v>0</v>
      </c>
      <c r="CG170" s="5">
        <f>IF($BI170&lt;&gt;"",IF('Capacity summary'!$C$14="Yes",IF(COUNTBLANK('Capacity summary'!$H82:$BG82)&lt;52,IF('Capacity summary'!AD82&lt;&gt;"",IF(LOWER('Capacity summary'!AD82)="x",$BI170*AD170,VALUE('Capacity summary'!AD82)),0),AD170*$BI170),AD170*$BI170),0)</f>
        <v>0</v>
      </c>
      <c r="CH170" s="5">
        <f>IF($BI170&lt;&gt;"",IF('Capacity summary'!$C$14="Yes",IF(COUNTBLANK('Capacity summary'!$H82:$BG82)&lt;52,IF('Capacity summary'!AE82&lt;&gt;"",IF(LOWER('Capacity summary'!AE82)="x",$BI170*AE170,VALUE('Capacity summary'!AE82)),0),AE170*$BI170),AE170*$BI170),0)</f>
        <v>0</v>
      </c>
      <c r="CI170" s="5">
        <f>IF($BI170&lt;&gt;"",IF('Capacity summary'!$C$14="Yes",IF(COUNTBLANK('Capacity summary'!$H82:$BG82)&lt;52,IF('Capacity summary'!AF82&lt;&gt;"",IF(LOWER('Capacity summary'!AF82)="x",$BI170*AF170,VALUE('Capacity summary'!AF82)),0),AF170*$BI170),AF170*$BI170),0)</f>
        <v>0</v>
      </c>
      <c r="CJ170" s="5">
        <f>IF($BI170&lt;&gt;"",IF('Capacity summary'!$C$14="Yes",IF(COUNTBLANK('Capacity summary'!$H82:$BG82)&lt;52,IF('Capacity summary'!AG82&lt;&gt;"",IF(LOWER('Capacity summary'!AG82)="x",$BI170*AG170,VALUE('Capacity summary'!AG82)),0),AG170*$BI170),AG170*$BI170),0)</f>
        <v>0</v>
      </c>
      <c r="CK170" s="5">
        <f>IF($BI170&lt;&gt;"",IF('Capacity summary'!$C$14="Yes",IF(COUNTBLANK('Capacity summary'!$H82:$BG82)&lt;52,IF('Capacity summary'!AH82&lt;&gt;"",IF(LOWER('Capacity summary'!AH82)="x",$BI170*AH170,VALUE('Capacity summary'!AH82)),0),AH170*$BI170),AH170*$BI170),0)</f>
        <v>0</v>
      </c>
      <c r="CL170" s="5">
        <f>IF($BI170&lt;&gt;"",IF('Capacity summary'!$C$14="Yes",IF(COUNTBLANK('Capacity summary'!$H82:$BG82)&lt;52,IF('Capacity summary'!AI82&lt;&gt;"",IF(LOWER('Capacity summary'!AI82)="x",$BI170*AI170,VALUE('Capacity summary'!AI82)),0),AI170*$BI170),AI170*$BI170),0)</f>
        <v>0</v>
      </c>
      <c r="CM170" s="5">
        <f>IF($BI170&lt;&gt;"",IF('Capacity summary'!$C$14="Yes",IF(COUNTBLANK('Capacity summary'!$H82:$BG82)&lt;52,IF('Capacity summary'!AJ82&lt;&gt;"",IF(LOWER('Capacity summary'!AJ82)="x",$BI170*AJ170,VALUE('Capacity summary'!AJ82)),0),AJ170*$BI170),AJ170*$BI170),0)</f>
        <v>0</v>
      </c>
      <c r="CN170" s="5">
        <f>IF($BI170&lt;&gt;"",IF('Capacity summary'!$C$14="Yes",IF(COUNTBLANK('Capacity summary'!$H82:$BG82)&lt;52,IF('Capacity summary'!AK82&lt;&gt;"",IF(LOWER('Capacity summary'!AK82)="x",$BI170*AK170,VALUE('Capacity summary'!AK82)),0),AK170*$BI170),AK170*$BI170),0)</f>
        <v>0</v>
      </c>
      <c r="CO170" s="5">
        <f>IF($BI170&lt;&gt;"",IF('Capacity summary'!$C$14="Yes",IF(COUNTBLANK('Capacity summary'!$H82:$BG82)&lt;52,IF('Capacity summary'!AL82&lt;&gt;"",IF(LOWER('Capacity summary'!AL82)="x",$BI170*AL170,VALUE('Capacity summary'!AL82)),0),AL170*$BI170),AL170*$BI170),0)</f>
        <v>0</v>
      </c>
      <c r="CP170" s="5">
        <f>IF($BI170&lt;&gt;"",IF('Capacity summary'!$C$14="Yes",IF(COUNTBLANK('Capacity summary'!$H82:$BG82)&lt;52,IF('Capacity summary'!AM82&lt;&gt;"",IF(LOWER('Capacity summary'!AM82)="x",$BI170*AM170,VALUE('Capacity summary'!AM82)),0),AM170*$BI170),AM170*$BI170),0)</f>
        <v>0</v>
      </c>
      <c r="CQ170" s="5">
        <f>IF($BI170&lt;&gt;"",IF('Capacity summary'!$C$14="Yes",IF(COUNTBLANK('Capacity summary'!$H82:$BG82)&lt;52,IF('Capacity summary'!AN82&lt;&gt;"",IF(LOWER('Capacity summary'!AN82)="x",$BI170*AN170,VALUE('Capacity summary'!AN82)),0),AN170*$BI170),AN170*$BI170),0)</f>
        <v>0</v>
      </c>
      <c r="CR170" s="5">
        <f>IF($BI170&lt;&gt;"",IF('Capacity summary'!$C$14="Yes",IF(COUNTBLANK('Capacity summary'!$H82:$BG82)&lt;52,IF('Capacity summary'!AO82&lt;&gt;"",IF(LOWER('Capacity summary'!AO82)="x",$BI170*AO170,VALUE('Capacity summary'!AO82)),0),AO170*$BI170),AO170*$BI170),0)</f>
        <v>0</v>
      </c>
      <c r="CS170" s="5">
        <f>IF($BI170&lt;&gt;"",IF('Capacity summary'!$C$14="Yes",IF(COUNTBLANK('Capacity summary'!$H82:$BG82)&lt;52,IF('Capacity summary'!AP82&lt;&gt;"",IF(LOWER('Capacity summary'!AP82)="x",$BI170*AP170,VALUE('Capacity summary'!AP82)),0),AP170*$BI170),AP170*$BI170),0)</f>
        <v>0</v>
      </c>
      <c r="CT170" s="5">
        <f>IF($BI170&lt;&gt;"",IF('Capacity summary'!$C$14="Yes",IF(COUNTBLANK('Capacity summary'!$H82:$BG82)&lt;52,IF('Capacity summary'!AQ82&lt;&gt;"",IF(LOWER('Capacity summary'!AQ82)="x",$BI170*AQ170,VALUE('Capacity summary'!AQ82)),0),AQ170*$BI170),AQ170*$BI170),0)</f>
        <v>0</v>
      </c>
      <c r="CU170" s="5">
        <f>IF($BI170&lt;&gt;"",IF('Capacity summary'!$C$14="Yes",IF(COUNTBLANK('Capacity summary'!$H82:$BG82)&lt;52,IF('Capacity summary'!AR82&lt;&gt;"",IF(LOWER('Capacity summary'!AR82)="x",$BI170*AR170,VALUE('Capacity summary'!AR82)),0),AR170*$BI170),AR170*$BI170),0)</f>
        <v>0</v>
      </c>
      <c r="CV170" s="5">
        <f>IF($BI170&lt;&gt;"",IF('Capacity summary'!$C$14="Yes",IF(COUNTBLANK('Capacity summary'!$H82:$BG82)&lt;52,IF('Capacity summary'!AS82&lt;&gt;"",IF(LOWER('Capacity summary'!AS82)="x",$BI170*AS170,VALUE('Capacity summary'!AS82)),0),AS170*$BI170),AS170*$BI170),0)</f>
        <v>0</v>
      </c>
      <c r="CW170" s="5">
        <f>IF($BI170&lt;&gt;"",IF('Capacity summary'!$C$14="Yes",IF(COUNTBLANK('Capacity summary'!$H82:$BG82)&lt;52,IF('Capacity summary'!AT82&lt;&gt;"",IF(LOWER('Capacity summary'!AT82)="x",$BI170*AT170,VALUE('Capacity summary'!AT82)),0),AT170*$BI170),AT170*$BI170),0)</f>
        <v>0</v>
      </c>
      <c r="CX170" s="5">
        <f>IF($BI170&lt;&gt;"",IF('Capacity summary'!$C$14="Yes",IF(COUNTBLANK('Capacity summary'!$H82:$BG82)&lt;52,IF('Capacity summary'!AU82&lt;&gt;"",IF(LOWER('Capacity summary'!AU82)="x",$BI170*AU170,VALUE('Capacity summary'!AU82)),0),AU170*$BI170),AU170*$BI170),0)</f>
        <v>0</v>
      </c>
      <c r="CY170" s="5">
        <f>IF($BI170&lt;&gt;"",IF('Capacity summary'!$C$14="Yes",IF(COUNTBLANK('Capacity summary'!$H82:$BG82)&lt;52,IF('Capacity summary'!AV82&lt;&gt;"",IF(LOWER('Capacity summary'!AV82)="x",$BI170*AV170,VALUE('Capacity summary'!AV82)),0),AV170*$BI170),AV170*$BI170),0)</f>
        <v>0</v>
      </c>
      <c r="CZ170" s="5">
        <f>IF($BI170&lt;&gt;"",IF('Capacity summary'!$C$14="Yes",IF(COUNTBLANK('Capacity summary'!$H82:$BG82)&lt;52,IF('Capacity summary'!AW82&lt;&gt;"",IF(LOWER('Capacity summary'!AW82)="x",$BI170*AW170,VALUE('Capacity summary'!AW82)),0),AW170*$BI170),AW170*$BI170),0)</f>
        <v>0</v>
      </c>
      <c r="DA170" s="5">
        <f>IF($BI170&lt;&gt;"",IF('Capacity summary'!$C$14="Yes",IF(COUNTBLANK('Capacity summary'!$H82:$BG82)&lt;52,IF('Capacity summary'!AX82&lt;&gt;"",IF(LOWER('Capacity summary'!AX82)="x",$BI170*AX170,VALUE('Capacity summary'!AX82)),0),AX170*$BI170),AX170*$BI170),0)</f>
        <v>0</v>
      </c>
      <c r="DB170" s="5">
        <f>IF($BI170&lt;&gt;"",IF('Capacity summary'!$C$14="Yes",IF(COUNTBLANK('Capacity summary'!$H82:$BG82)&lt;52,IF('Capacity summary'!AY82&lt;&gt;"",IF(LOWER('Capacity summary'!AY82)="x",$BI170*AY170,VALUE('Capacity summary'!AY82)),0),AY170*$BI170),AY170*$BI170),0)</f>
        <v>0</v>
      </c>
      <c r="DC170" s="5">
        <f>IF($BI170&lt;&gt;"",IF('Capacity summary'!$C$14="Yes",IF(COUNTBLANK('Capacity summary'!$H82:$BG82)&lt;52,IF('Capacity summary'!AZ82&lt;&gt;"",IF(LOWER('Capacity summary'!AZ82)="x",$BI170*AZ170,VALUE('Capacity summary'!AZ82)),0),AZ170*$BI170),AZ170*$BI170),0)</f>
        <v>0</v>
      </c>
      <c r="DD170" s="5">
        <f>IF($BI170&lt;&gt;"",IF('Capacity summary'!$C$14="Yes",IF(COUNTBLANK('Capacity summary'!$H82:$BG82)&lt;52,IF('Capacity summary'!BA82&lt;&gt;"",IF(LOWER('Capacity summary'!BA82)="x",$BI170*BA170,VALUE('Capacity summary'!BA82)),0),BA170*$BI170),BA170*$BI170),0)</f>
        <v>0</v>
      </c>
      <c r="DE170" s="5">
        <f>IF($BI170&lt;&gt;"",IF('Capacity summary'!$C$14="Yes",IF(COUNTBLANK('Capacity summary'!$H82:$BG82)&lt;52,IF('Capacity summary'!BB82&lt;&gt;"",IF(LOWER('Capacity summary'!BB82)="x",$BI170*BB170,VALUE('Capacity summary'!BB82)),0),BB170*$BI170),BB170*$BI170),0)</f>
        <v>0</v>
      </c>
      <c r="DF170" s="5">
        <f>IF($BI170&lt;&gt;"",IF('Capacity summary'!$C$14="Yes",IF(COUNTBLANK('Capacity summary'!$H82:$BG82)&lt;52,IF('Capacity summary'!BC82&lt;&gt;"",IF(LOWER('Capacity summary'!BC82)="x",$BI170*BC170,VALUE('Capacity summary'!BC82)),0),BC170*$BI170),BC170*$BI170),0)</f>
        <v>0</v>
      </c>
      <c r="DG170" s="5">
        <f>IF($BI170&lt;&gt;"",IF('Capacity summary'!$C$14="Yes",IF(COUNTBLANK('Capacity summary'!$H82:$BG82)&lt;52,IF('Capacity summary'!BD82&lt;&gt;"",IF(LOWER('Capacity summary'!BD82)="x",$BI170*BD170,VALUE('Capacity summary'!BD82)),0),BD170*$BI170),BD170*$BI170),0)</f>
        <v>0</v>
      </c>
      <c r="DH170" s="5">
        <f>IF($BI170&lt;&gt;"",IF('Capacity summary'!$C$14="Yes",IF(COUNTBLANK('Capacity summary'!$H82:$BG82)&lt;52,IF('Capacity summary'!BE82&lt;&gt;"",IF(LOWER('Capacity summary'!BE82)="x",$BI170*BE170,VALUE('Capacity summary'!BE82)),0),BE170*$BI170),BE170*$BI170),0)</f>
        <v>0</v>
      </c>
      <c r="DI170" s="5">
        <f>IF($BI170&lt;&gt;"",IF('Capacity summary'!$C$14="Yes",IF(COUNTBLANK('Capacity summary'!$H82:$BG82)&lt;52,IF('Capacity summary'!BF82&lt;&gt;"",IF(LOWER('Capacity summary'!BF82)="x",$BI170*BF170,VALUE('Capacity summary'!BF82)),0),BF170*$BI170),BF170*$BI170),0)</f>
        <v>0</v>
      </c>
      <c r="DJ170" s="5">
        <f>IF($BI170&lt;&gt;"",IF('Capacity summary'!$C$14="Yes",IF(COUNTBLANK('Capacity summary'!$H82:$BG82)&lt;52,IF('Capacity summary'!BG82&lt;&gt;"",IF(LOWER('Capacity summary'!BG82)="x",$BI170*BG170,VALUE('Capacity summary'!BG82)),0),BG170*$BI170),BG170*$BI170),0)</f>
        <v>0</v>
      </c>
      <c r="DK170" s="391">
        <f t="shared" si="8"/>
        <v>0</v>
      </c>
      <c r="DL170" s="5">
        <f t="shared" si="9"/>
        <v>0</v>
      </c>
    </row>
    <row r="171" spans="3:116" x14ac:dyDescent="0.2">
      <c r="C171" s="67" t="str">
        <f>ROW(A60)&amp;". "&amp;Capacity!N76</f>
        <v xml:space="preserve">60. </v>
      </c>
      <c r="D171" s="67">
        <f>'Capacity setup'!C177</f>
        <v>0</v>
      </c>
      <c r="E171" s="67">
        <f>'Capacity setup'!D177</f>
        <v>0</v>
      </c>
      <c r="F171" s="67">
        <f>'Capacity setup'!E177</f>
        <v>0</v>
      </c>
      <c r="H171" s="67">
        <f ca="1">IF(LOWER(Capacity!$V76)="x",IF(AND(SUMIF(Capacity_Resource,$D171,'Critical resources (hide)'!U$6:U$105)+SUMIF(Capacity_Resource,$E171,'Critical resources (hide)'!U$6:U$105)+SUMIF(Capacity_Resource,$F171,'Critical resources (hide)'!U$6:U$105)&gt;0,$E$1=2),0,1),0)</f>
        <v>1</v>
      </c>
      <c r="I171" s="67">
        <f ca="1">IF(LOWER(Capacity!$V76)="x",IF(AND(SUMIF(Capacity_Resource,$D171,'Critical resources (hide)'!V$6:V$105)+SUMIF(Capacity_Resource,$E171,'Critical resources (hide)'!V$6:V$105)+SUMIF(Capacity_Resource,$F171,'Critical resources (hide)'!V$6:V$105)&gt;0,$E$1=2),0,1),0)</f>
        <v>1</v>
      </c>
      <c r="J171" s="67">
        <f ca="1">IF(LOWER(Capacity!$V76)="x",IF(AND(SUMIF(Capacity_Resource,$D171,'Critical resources (hide)'!W$6:W$105)+SUMIF(Capacity_Resource,$E171,'Critical resources (hide)'!W$6:W$105)+SUMIF(Capacity_Resource,$F171,'Critical resources (hide)'!W$6:W$105)&gt;0,$E$1=2),0,1),0)</f>
        <v>1</v>
      </c>
      <c r="K171" s="67">
        <f ca="1">IF(LOWER(Capacity!$V76)="x",IF(AND(SUMIF(Capacity_Resource,$D171,'Critical resources (hide)'!X$6:X$105)+SUMIF(Capacity_Resource,$E171,'Critical resources (hide)'!X$6:X$105)+SUMIF(Capacity_Resource,$F171,'Critical resources (hide)'!X$6:X$105)&gt;0,$E$1=2),0,1),0)</f>
        <v>1</v>
      </c>
      <c r="L171" s="67">
        <f ca="1">IF(LOWER(Capacity!$V76)="x",IF(AND(SUMIF(Capacity_Resource,$D171,'Critical resources (hide)'!Y$6:Y$105)+SUMIF(Capacity_Resource,$E171,'Critical resources (hide)'!Y$6:Y$105)+SUMIF(Capacity_Resource,$F171,'Critical resources (hide)'!Y$6:Y$105)&gt;0,$E$1=2),0,1),0)</f>
        <v>1</v>
      </c>
      <c r="M171" s="67">
        <f ca="1">IF(LOWER(Capacity!$V76)="x",IF(AND(SUMIF(Capacity_Resource,$D171,'Critical resources (hide)'!Z$6:Z$105)+SUMIF(Capacity_Resource,$E171,'Critical resources (hide)'!Z$6:Z$105)+SUMIF(Capacity_Resource,$F171,'Critical resources (hide)'!Z$6:Z$105)&gt;0,$E$1=2),0,1),0)</f>
        <v>1</v>
      </c>
      <c r="N171" s="67">
        <f ca="1">IF(LOWER(Capacity!$V76)="x",IF(AND(SUMIF(Capacity_Resource,$D171,'Critical resources (hide)'!AA$6:AA$105)+SUMIF(Capacity_Resource,$E171,'Critical resources (hide)'!AA$6:AA$105)+SUMIF(Capacity_Resource,$F171,'Critical resources (hide)'!AA$6:AA$105)&gt;0,$E$1=2),0,1),0)</f>
        <v>1</v>
      </c>
      <c r="O171" s="67">
        <f ca="1">IF(LOWER(Capacity!$V76)="x",IF(AND(SUMIF(Capacity_Resource,$D171,'Critical resources (hide)'!AB$6:AB$105)+SUMIF(Capacity_Resource,$E171,'Critical resources (hide)'!AB$6:AB$105)+SUMIF(Capacity_Resource,$F171,'Critical resources (hide)'!AB$6:AB$105)&gt;0,$E$1=2),0,1),0)</f>
        <v>1</v>
      </c>
      <c r="P171" s="67">
        <f ca="1">IF(LOWER(Capacity!$V76)="x",IF(AND(SUMIF(Capacity_Resource,$D171,'Critical resources (hide)'!AC$6:AC$105)+SUMIF(Capacity_Resource,$E171,'Critical resources (hide)'!AC$6:AC$105)+SUMIF(Capacity_Resource,$F171,'Critical resources (hide)'!AC$6:AC$105)&gt;0,$E$1=2),0,1),0)</f>
        <v>1</v>
      </c>
      <c r="Q171" s="67">
        <f ca="1">IF(LOWER(Capacity!$V76)="x",IF(AND(SUMIF(Capacity_Resource,$D171,'Critical resources (hide)'!AD$6:AD$105)+SUMIF(Capacity_Resource,$E171,'Critical resources (hide)'!AD$6:AD$105)+SUMIF(Capacity_Resource,$F171,'Critical resources (hide)'!AD$6:AD$105)&gt;0,$E$1=2),0,1),0)</f>
        <v>1</v>
      </c>
      <c r="R171" s="67">
        <f ca="1">IF(LOWER(Capacity!$V76)="x",IF(AND(SUMIF(Capacity_Resource,$D171,'Critical resources (hide)'!AE$6:AE$105)+SUMIF(Capacity_Resource,$E171,'Critical resources (hide)'!AE$6:AE$105)+SUMIF(Capacity_Resource,$F171,'Critical resources (hide)'!AE$6:AE$105)&gt;0,$E$1=2),0,1),0)</f>
        <v>1</v>
      </c>
      <c r="S171" s="67">
        <f ca="1">IF(LOWER(Capacity!$V76)="x",IF(AND(SUMIF(Capacity_Resource,$D171,'Critical resources (hide)'!AF$6:AF$105)+SUMIF(Capacity_Resource,$E171,'Critical resources (hide)'!AF$6:AF$105)+SUMIF(Capacity_Resource,$F171,'Critical resources (hide)'!AF$6:AF$105)&gt;0,$E$1=2),0,1),0)</f>
        <v>1</v>
      </c>
      <c r="T171" s="67">
        <f ca="1">IF(LOWER(Capacity!$V76)="x",IF(AND(SUMIF(Capacity_Resource,$D171,'Critical resources (hide)'!AG$6:AG$105)+SUMIF(Capacity_Resource,$E171,'Critical resources (hide)'!AG$6:AG$105)+SUMIF(Capacity_Resource,$F171,'Critical resources (hide)'!AG$6:AG$105)&gt;0,$E$1=2),0,1),0)</f>
        <v>1</v>
      </c>
      <c r="U171" s="67">
        <f ca="1">IF(LOWER(Capacity!$V76)="x",IF(AND(SUMIF(Capacity_Resource,$D171,'Critical resources (hide)'!AH$6:AH$105)+SUMIF(Capacity_Resource,$E171,'Critical resources (hide)'!AH$6:AH$105)+SUMIF(Capacity_Resource,$F171,'Critical resources (hide)'!AH$6:AH$105)&gt;0,$E$1=2),0,1),0)</f>
        <v>1</v>
      </c>
      <c r="V171" s="67">
        <f ca="1">IF(LOWER(Capacity!$V76)="x",IF(AND(SUMIF(Capacity_Resource,$D171,'Critical resources (hide)'!AI$6:AI$105)+SUMIF(Capacity_Resource,$E171,'Critical resources (hide)'!AI$6:AI$105)+SUMIF(Capacity_Resource,$F171,'Critical resources (hide)'!AI$6:AI$105)&gt;0,$E$1=2),0,1),0)</f>
        <v>1</v>
      </c>
      <c r="W171" s="67">
        <f ca="1">IF(LOWER(Capacity!$V76)="x",IF(AND(SUMIF(Capacity_Resource,$D171,'Critical resources (hide)'!AJ$6:AJ$105)+SUMIF(Capacity_Resource,$E171,'Critical resources (hide)'!AJ$6:AJ$105)+SUMIF(Capacity_Resource,$F171,'Critical resources (hide)'!AJ$6:AJ$105)&gt;0,$E$1=2),0,1),0)</f>
        <v>1</v>
      </c>
      <c r="X171" s="67">
        <f ca="1">IF(LOWER(Capacity!$V76)="x",IF(AND(SUMIF(Capacity_Resource,$D171,'Critical resources (hide)'!AK$6:AK$105)+SUMIF(Capacity_Resource,$E171,'Critical resources (hide)'!AK$6:AK$105)+SUMIF(Capacity_Resource,$F171,'Critical resources (hide)'!AK$6:AK$105)&gt;0,$E$1=2),0,1),0)</f>
        <v>1</v>
      </c>
      <c r="Y171" s="67">
        <f ca="1">IF(LOWER(Capacity!$V76)="x",IF(AND(SUMIF(Capacity_Resource,$D171,'Critical resources (hide)'!AL$6:AL$105)+SUMIF(Capacity_Resource,$E171,'Critical resources (hide)'!AL$6:AL$105)+SUMIF(Capacity_Resource,$F171,'Critical resources (hide)'!AL$6:AL$105)&gt;0,$E$1=2),0,1),0)</f>
        <v>1</v>
      </c>
      <c r="Z171" s="67">
        <f ca="1">IF(LOWER(Capacity!$V76)="x",IF(AND(SUMIF(Capacity_Resource,$D171,'Critical resources (hide)'!AM$6:AM$105)+SUMIF(Capacity_Resource,$E171,'Critical resources (hide)'!AM$6:AM$105)+SUMIF(Capacity_Resource,$F171,'Critical resources (hide)'!AM$6:AM$105)&gt;0,$E$1=2),0,1),0)</f>
        <v>1</v>
      </c>
      <c r="AA171" s="67">
        <f ca="1">IF(LOWER(Capacity!$V76)="x",IF(AND(SUMIF(Capacity_Resource,$D171,'Critical resources (hide)'!AN$6:AN$105)+SUMIF(Capacity_Resource,$E171,'Critical resources (hide)'!AN$6:AN$105)+SUMIF(Capacity_Resource,$F171,'Critical resources (hide)'!AN$6:AN$105)&gt;0,$E$1=2),0,1),0)</f>
        <v>1</v>
      </c>
      <c r="AB171" s="67">
        <f ca="1">IF(LOWER(Capacity!$V76)="x",IF(AND(SUMIF(Capacity_Resource,$D171,'Critical resources (hide)'!AO$6:AO$105)+SUMIF(Capacity_Resource,$E171,'Critical resources (hide)'!AO$6:AO$105)+SUMIF(Capacity_Resource,$F171,'Critical resources (hide)'!AO$6:AO$105)&gt;0,$E$1=2),0,1),0)</f>
        <v>1</v>
      </c>
      <c r="AC171" s="67">
        <f ca="1">IF(LOWER(Capacity!$V76)="x",IF(AND(SUMIF(Capacity_Resource,$D171,'Critical resources (hide)'!AP$6:AP$105)+SUMIF(Capacity_Resource,$E171,'Critical resources (hide)'!AP$6:AP$105)+SUMIF(Capacity_Resource,$F171,'Critical resources (hide)'!AP$6:AP$105)&gt;0,$E$1=2),0,1),0)</f>
        <v>1</v>
      </c>
      <c r="AD171" s="67">
        <f ca="1">IF(LOWER(Capacity!$V76)="x",IF(AND(SUMIF(Capacity_Resource,$D171,'Critical resources (hide)'!AQ$6:AQ$105)+SUMIF(Capacity_Resource,$E171,'Critical resources (hide)'!AQ$6:AQ$105)+SUMIF(Capacity_Resource,$F171,'Critical resources (hide)'!AQ$6:AQ$105)&gt;0,$E$1=2),0,1),0)</f>
        <v>1</v>
      </c>
      <c r="AE171" s="67">
        <f ca="1">IF(LOWER(Capacity!$V76)="x",IF(AND(SUMIF(Capacity_Resource,$D171,'Critical resources (hide)'!AR$6:AR$105)+SUMIF(Capacity_Resource,$E171,'Critical resources (hide)'!AR$6:AR$105)+SUMIF(Capacity_Resource,$F171,'Critical resources (hide)'!AR$6:AR$105)&gt;0,$E$1=2),0,1),0)</f>
        <v>1</v>
      </c>
      <c r="AF171" s="67">
        <f ca="1">IF(LOWER(Capacity!$V76)="x",IF(AND(SUMIF(Capacity_Resource,$D171,'Critical resources (hide)'!AS$6:AS$105)+SUMIF(Capacity_Resource,$E171,'Critical resources (hide)'!AS$6:AS$105)+SUMIF(Capacity_Resource,$F171,'Critical resources (hide)'!AS$6:AS$105)&gt;0,$E$1=2),0,1),0)</f>
        <v>1</v>
      </c>
      <c r="AG171" s="67">
        <f ca="1">IF(LOWER(Capacity!$V76)="x",IF(AND(SUMIF(Capacity_Resource,$D171,'Critical resources (hide)'!AT$6:AT$105)+SUMIF(Capacity_Resource,$E171,'Critical resources (hide)'!AT$6:AT$105)+SUMIF(Capacity_Resource,$F171,'Critical resources (hide)'!AT$6:AT$105)&gt;0,$E$1=2),0,1),0)</f>
        <v>1</v>
      </c>
      <c r="AH171" s="67">
        <f ca="1">IF(LOWER(Capacity!$V76)="x",IF(AND(SUMIF(Capacity_Resource,$D171,'Critical resources (hide)'!AU$6:AU$105)+SUMIF(Capacity_Resource,$E171,'Critical resources (hide)'!AU$6:AU$105)+SUMIF(Capacity_Resource,$F171,'Critical resources (hide)'!AU$6:AU$105)&gt;0,$E$1=2),0,1),0)</f>
        <v>1</v>
      </c>
      <c r="AI171" s="67">
        <f ca="1">IF(LOWER(Capacity!$V76)="x",IF(AND(SUMIF(Capacity_Resource,$D171,'Critical resources (hide)'!AV$6:AV$105)+SUMIF(Capacity_Resource,$E171,'Critical resources (hide)'!AV$6:AV$105)+SUMIF(Capacity_Resource,$F171,'Critical resources (hide)'!AV$6:AV$105)&gt;0,$E$1=2),0,1),0)</f>
        <v>1</v>
      </c>
      <c r="AJ171" s="67">
        <f ca="1">IF(LOWER(Capacity!$V76)="x",IF(AND(SUMIF(Capacity_Resource,$D171,'Critical resources (hide)'!AW$6:AW$105)+SUMIF(Capacity_Resource,$E171,'Critical resources (hide)'!AW$6:AW$105)+SUMIF(Capacity_Resource,$F171,'Critical resources (hide)'!AW$6:AW$105)&gt;0,$E$1=2),0,1),0)</f>
        <v>1</v>
      </c>
      <c r="AK171" s="67">
        <f ca="1">IF(LOWER(Capacity!$V76)="x",IF(AND(SUMIF(Capacity_Resource,$D171,'Critical resources (hide)'!AX$6:AX$105)+SUMIF(Capacity_Resource,$E171,'Critical resources (hide)'!AX$6:AX$105)+SUMIF(Capacity_Resource,$F171,'Critical resources (hide)'!AX$6:AX$105)&gt;0,$E$1=2),0,1),0)</f>
        <v>1</v>
      </c>
      <c r="AL171" s="67">
        <f ca="1">IF(LOWER(Capacity!$V76)="x",IF(AND(SUMIF(Capacity_Resource,$D171,'Critical resources (hide)'!AY$6:AY$105)+SUMIF(Capacity_Resource,$E171,'Critical resources (hide)'!AY$6:AY$105)+SUMIF(Capacity_Resource,$F171,'Critical resources (hide)'!AY$6:AY$105)&gt;0,$E$1=2),0,1),0)</f>
        <v>1</v>
      </c>
      <c r="AM171" s="67">
        <f ca="1">IF(LOWER(Capacity!$V76)="x",IF(AND(SUMIF(Capacity_Resource,$D171,'Critical resources (hide)'!AZ$6:AZ$105)+SUMIF(Capacity_Resource,$E171,'Critical resources (hide)'!AZ$6:AZ$105)+SUMIF(Capacity_Resource,$F171,'Critical resources (hide)'!AZ$6:AZ$105)&gt;0,$E$1=2),0,1),0)</f>
        <v>1</v>
      </c>
      <c r="AN171" s="67">
        <f ca="1">IF(LOWER(Capacity!$V76)="x",IF(AND(SUMIF(Capacity_Resource,$D171,'Critical resources (hide)'!BA$6:BA$105)+SUMIF(Capacity_Resource,$E171,'Critical resources (hide)'!BA$6:BA$105)+SUMIF(Capacity_Resource,$F171,'Critical resources (hide)'!BA$6:BA$105)&gt;0,$E$1=2),0,1),0)</f>
        <v>1</v>
      </c>
      <c r="AO171" s="67">
        <f ca="1">IF(LOWER(Capacity!$V76)="x",IF(AND(SUMIF(Capacity_Resource,$D171,'Critical resources (hide)'!BB$6:BB$105)+SUMIF(Capacity_Resource,$E171,'Critical resources (hide)'!BB$6:BB$105)+SUMIF(Capacity_Resource,$F171,'Critical resources (hide)'!BB$6:BB$105)&gt;0,$E$1=2),0,1),0)</f>
        <v>1</v>
      </c>
      <c r="AP171" s="67">
        <f ca="1">IF(LOWER(Capacity!$V76)="x",IF(AND(SUMIF(Capacity_Resource,$D171,'Critical resources (hide)'!BC$6:BC$105)+SUMIF(Capacity_Resource,$E171,'Critical resources (hide)'!BC$6:BC$105)+SUMIF(Capacity_Resource,$F171,'Critical resources (hide)'!BC$6:BC$105)&gt;0,$E$1=2),0,1),0)</f>
        <v>1</v>
      </c>
      <c r="AQ171" s="67">
        <f ca="1">IF(LOWER(Capacity!$V76)="x",IF(AND(SUMIF(Capacity_Resource,$D171,'Critical resources (hide)'!BD$6:BD$105)+SUMIF(Capacity_Resource,$E171,'Critical resources (hide)'!BD$6:BD$105)+SUMIF(Capacity_Resource,$F171,'Critical resources (hide)'!BD$6:BD$105)&gt;0,$E$1=2),0,1),0)</f>
        <v>1</v>
      </c>
      <c r="AR171" s="67">
        <f ca="1">IF(LOWER(Capacity!$V76)="x",IF(AND(SUMIF(Capacity_Resource,$D171,'Critical resources (hide)'!BE$6:BE$105)+SUMIF(Capacity_Resource,$E171,'Critical resources (hide)'!BE$6:BE$105)+SUMIF(Capacity_Resource,$F171,'Critical resources (hide)'!BE$6:BE$105)&gt;0,$E$1=2),0,1),0)</f>
        <v>1</v>
      </c>
      <c r="AS171" s="67">
        <f ca="1">IF(LOWER(Capacity!$V76)="x",IF(AND(SUMIF(Capacity_Resource,$D171,'Critical resources (hide)'!BF$6:BF$105)+SUMIF(Capacity_Resource,$E171,'Critical resources (hide)'!BF$6:BF$105)+SUMIF(Capacity_Resource,$F171,'Critical resources (hide)'!BF$6:BF$105)&gt;0,$E$1=2),0,1),0)</f>
        <v>1</v>
      </c>
      <c r="AT171" s="67">
        <f ca="1">IF(LOWER(Capacity!$V76)="x",IF(AND(SUMIF(Capacity_Resource,$D171,'Critical resources (hide)'!BG$6:BG$105)+SUMIF(Capacity_Resource,$E171,'Critical resources (hide)'!BG$6:BG$105)+SUMIF(Capacity_Resource,$F171,'Critical resources (hide)'!BG$6:BG$105)&gt;0,$E$1=2),0,1),0)</f>
        <v>1</v>
      </c>
      <c r="AU171" s="67">
        <f ca="1">IF(LOWER(Capacity!$V76)="x",IF(AND(SUMIF(Capacity_Resource,$D171,'Critical resources (hide)'!BH$6:BH$105)+SUMIF(Capacity_Resource,$E171,'Critical resources (hide)'!BH$6:BH$105)+SUMIF(Capacity_Resource,$F171,'Critical resources (hide)'!BH$6:BH$105)&gt;0,$E$1=2),0,1),0)</f>
        <v>1</v>
      </c>
      <c r="AV171" s="67">
        <f ca="1">IF(LOWER(Capacity!$V76)="x",IF(AND(SUMIF(Capacity_Resource,$D171,'Critical resources (hide)'!BI$6:BI$105)+SUMIF(Capacity_Resource,$E171,'Critical resources (hide)'!BI$6:BI$105)+SUMIF(Capacity_Resource,$F171,'Critical resources (hide)'!BI$6:BI$105)&gt;0,$E$1=2),0,1),0)</f>
        <v>1</v>
      </c>
      <c r="AW171" s="67">
        <f ca="1">IF(LOWER(Capacity!$V76)="x",IF(AND(SUMIF(Capacity_Resource,$D171,'Critical resources (hide)'!BJ$6:BJ$105)+SUMIF(Capacity_Resource,$E171,'Critical resources (hide)'!BJ$6:BJ$105)+SUMIF(Capacity_Resource,$F171,'Critical resources (hide)'!BJ$6:BJ$105)&gt;0,$E$1=2),0,1),0)</f>
        <v>1</v>
      </c>
      <c r="AX171" s="67">
        <f ca="1">IF(LOWER(Capacity!$V76)="x",IF(AND(SUMIF(Capacity_Resource,$D171,'Critical resources (hide)'!BK$6:BK$105)+SUMIF(Capacity_Resource,$E171,'Critical resources (hide)'!BK$6:BK$105)+SUMIF(Capacity_Resource,$F171,'Critical resources (hide)'!BK$6:BK$105)&gt;0,$E$1=2),0,1),0)</f>
        <v>1</v>
      </c>
      <c r="AY171" s="67">
        <f ca="1">IF(LOWER(Capacity!$V76)="x",IF(AND(SUMIF(Capacity_Resource,$D171,'Critical resources (hide)'!BL$6:BL$105)+SUMIF(Capacity_Resource,$E171,'Critical resources (hide)'!BL$6:BL$105)+SUMIF(Capacity_Resource,$F171,'Critical resources (hide)'!BL$6:BL$105)&gt;0,$E$1=2),0,1),0)</f>
        <v>1</v>
      </c>
      <c r="AZ171" s="67">
        <f ca="1">IF(LOWER(Capacity!$V76)="x",IF(AND(SUMIF(Capacity_Resource,$D171,'Critical resources (hide)'!BM$6:BM$105)+SUMIF(Capacity_Resource,$E171,'Critical resources (hide)'!BM$6:BM$105)+SUMIF(Capacity_Resource,$F171,'Critical resources (hide)'!BM$6:BM$105)&gt;0,$E$1=2),0,1),0)</f>
        <v>1</v>
      </c>
      <c r="BA171" s="67">
        <f ca="1">IF(LOWER(Capacity!$V76)="x",IF(AND(SUMIF(Capacity_Resource,$D171,'Critical resources (hide)'!BN$6:BN$105)+SUMIF(Capacity_Resource,$E171,'Critical resources (hide)'!BN$6:BN$105)+SUMIF(Capacity_Resource,$F171,'Critical resources (hide)'!BN$6:BN$105)&gt;0,$E$1=2),0,1),0)</f>
        <v>1</v>
      </c>
      <c r="BB171" s="67">
        <f ca="1">IF(LOWER(Capacity!$V76)="x",IF(AND(SUMIF(Capacity_Resource,$D171,'Critical resources (hide)'!BO$6:BO$105)+SUMIF(Capacity_Resource,$E171,'Critical resources (hide)'!BO$6:BO$105)+SUMIF(Capacity_Resource,$F171,'Critical resources (hide)'!BO$6:BO$105)&gt;0,$E$1=2),0,1),0)</f>
        <v>1</v>
      </c>
      <c r="BC171" s="67">
        <f ca="1">IF(LOWER(Capacity!$V76)="x",IF(AND(SUMIF(Capacity_Resource,$D171,'Critical resources (hide)'!BP$6:BP$105)+SUMIF(Capacity_Resource,$E171,'Critical resources (hide)'!BP$6:BP$105)+SUMIF(Capacity_Resource,$F171,'Critical resources (hide)'!BP$6:BP$105)&gt;0,$E$1=2),0,1),0)</f>
        <v>1</v>
      </c>
      <c r="BD171" s="67">
        <f ca="1">IF(LOWER(Capacity!$V76)="x",IF(AND(SUMIF(Capacity_Resource,$D171,'Critical resources (hide)'!BQ$6:BQ$105)+SUMIF(Capacity_Resource,$E171,'Critical resources (hide)'!BQ$6:BQ$105)+SUMIF(Capacity_Resource,$F171,'Critical resources (hide)'!BQ$6:BQ$105)&gt;0,$E$1=2),0,1),0)</f>
        <v>1</v>
      </c>
      <c r="BE171" s="67">
        <f ca="1">IF(LOWER(Capacity!$V76)="x",IF(AND(SUMIF(Capacity_Resource,$D171,'Critical resources (hide)'!BR$6:BR$105)+SUMIF(Capacity_Resource,$E171,'Critical resources (hide)'!BR$6:BR$105)+SUMIF(Capacity_Resource,$F171,'Critical resources (hide)'!BR$6:BR$105)&gt;0,$E$1=2),0,1),0)</f>
        <v>1</v>
      </c>
      <c r="BF171" s="67">
        <f ca="1">IF(LOWER(Capacity!$V76)="x",IF(AND(SUMIF(Capacity_Resource,$D171,'Critical resources (hide)'!BS$6:BS$105)+SUMIF(Capacity_Resource,$E171,'Critical resources (hide)'!BS$6:BS$105)+SUMIF(Capacity_Resource,$F171,'Critical resources (hide)'!BS$6:BS$105)&gt;0,$E$1=2),0,1),0)</f>
        <v>1</v>
      </c>
      <c r="BG171" s="67">
        <f ca="1">IF(LOWER(Capacity!$V76)="x",IF(AND(SUMIF(Capacity_Resource,$D171,'Critical resources (hide)'!BT$6:BT$105)+SUMIF(Capacity_Resource,$E171,'Critical resources (hide)'!BT$6:BT$105)+SUMIF(Capacity_Resource,$F171,'Critical resources (hide)'!BT$6:BT$105)&gt;0,$E$1=2),0,1),0)</f>
        <v>1</v>
      </c>
      <c r="BH171" s="67">
        <f>IF(ROW(A60)&lt;=Capacity!$M$16,IF('Capacity summary'!$C$14="No",SUM(H171:BG171),'Capacity summary'!$E83),0)</f>
        <v>0</v>
      </c>
      <c r="BI171" s="67" t="str">
        <f>IF(BH171&gt;0,IF(BH171&lt;Capacity!Q76,Capacity!R76,Capacity!T76/'Capacity calculation (hide)'!BH171),"")</f>
        <v/>
      </c>
      <c r="BJ171" s="5"/>
      <c r="BK171" s="5">
        <f>IF($BI171&lt;&gt;"",IF('Capacity summary'!$C$14="Yes",IF(COUNTBLANK('Capacity summary'!$H83:$BG83)&lt;52,IF('Capacity summary'!H83&lt;&gt;"",IF(LOWER('Capacity summary'!H83)="x",$BI171*H171,VALUE('Capacity summary'!H83)),0),H171*$BI171),H171*$BI171),0)</f>
        <v>0</v>
      </c>
      <c r="BL171" s="5">
        <f>IF($BI171&lt;&gt;"",IF('Capacity summary'!$C$14="Yes",IF(COUNTBLANK('Capacity summary'!$H83:$BG83)&lt;52,IF('Capacity summary'!I83&lt;&gt;"",IF(LOWER('Capacity summary'!I83)="x",$BI171*I171,VALUE('Capacity summary'!I83)),0),I171*$BI171),I171*$BI171),0)</f>
        <v>0</v>
      </c>
      <c r="BM171" s="5">
        <f>IF($BI171&lt;&gt;"",IF('Capacity summary'!$C$14="Yes",IF(COUNTBLANK('Capacity summary'!$H83:$BG83)&lt;52,IF('Capacity summary'!J83&lt;&gt;"",IF(LOWER('Capacity summary'!J83)="x",$BI171*J171,VALUE('Capacity summary'!J83)),0),J171*$BI171),J171*$BI171),0)</f>
        <v>0</v>
      </c>
      <c r="BN171" s="5">
        <f>IF($BI171&lt;&gt;"",IF('Capacity summary'!$C$14="Yes",IF(COUNTBLANK('Capacity summary'!$H83:$BG83)&lt;52,IF('Capacity summary'!K83&lt;&gt;"",IF(LOWER('Capacity summary'!K83)="x",$BI171*K171,VALUE('Capacity summary'!K83)),0),K171*$BI171),K171*$BI171),0)</f>
        <v>0</v>
      </c>
      <c r="BO171" s="5">
        <f>IF($BI171&lt;&gt;"",IF('Capacity summary'!$C$14="Yes",IF(COUNTBLANK('Capacity summary'!$H83:$BG83)&lt;52,IF('Capacity summary'!L83&lt;&gt;"",IF(LOWER('Capacity summary'!L83)="x",$BI171*L171,VALUE('Capacity summary'!L83)),0),L171*$BI171),L171*$BI171),0)</f>
        <v>0</v>
      </c>
      <c r="BP171" s="5">
        <f>IF($BI171&lt;&gt;"",IF('Capacity summary'!$C$14="Yes",IF(COUNTBLANK('Capacity summary'!$H83:$BG83)&lt;52,IF('Capacity summary'!M83&lt;&gt;"",IF(LOWER('Capacity summary'!M83)="x",$BI171*M171,VALUE('Capacity summary'!M83)),0),M171*$BI171),M171*$BI171),0)</f>
        <v>0</v>
      </c>
      <c r="BQ171" s="5">
        <f>IF($BI171&lt;&gt;"",IF('Capacity summary'!$C$14="Yes",IF(COUNTBLANK('Capacity summary'!$H83:$BG83)&lt;52,IF('Capacity summary'!N83&lt;&gt;"",IF(LOWER('Capacity summary'!N83)="x",$BI171*N171,VALUE('Capacity summary'!N83)),0),N171*$BI171),N171*$BI171),0)</f>
        <v>0</v>
      </c>
      <c r="BR171" s="5">
        <f>IF($BI171&lt;&gt;"",IF('Capacity summary'!$C$14="Yes",IF(COUNTBLANK('Capacity summary'!$H83:$BG83)&lt;52,IF('Capacity summary'!O83&lt;&gt;"",IF(LOWER('Capacity summary'!O83)="x",$BI171*O171,VALUE('Capacity summary'!O83)),0),O171*$BI171),O171*$BI171),0)</f>
        <v>0</v>
      </c>
      <c r="BS171" s="5">
        <f>IF($BI171&lt;&gt;"",IF('Capacity summary'!$C$14="Yes",IF(COUNTBLANK('Capacity summary'!$H83:$BG83)&lt;52,IF('Capacity summary'!P83&lt;&gt;"",IF(LOWER('Capacity summary'!P83)="x",$BI171*P171,VALUE('Capacity summary'!P83)),0),P171*$BI171),P171*$BI171),0)</f>
        <v>0</v>
      </c>
      <c r="BT171" s="5">
        <f>IF($BI171&lt;&gt;"",IF('Capacity summary'!$C$14="Yes",IF(COUNTBLANK('Capacity summary'!$H83:$BG83)&lt;52,IF('Capacity summary'!Q83&lt;&gt;"",IF(LOWER('Capacity summary'!Q83)="x",$BI171*Q171,VALUE('Capacity summary'!Q83)),0),Q171*$BI171),Q171*$BI171),0)</f>
        <v>0</v>
      </c>
      <c r="BU171" s="5">
        <f>IF($BI171&lt;&gt;"",IF('Capacity summary'!$C$14="Yes",IF(COUNTBLANK('Capacity summary'!$H83:$BG83)&lt;52,IF('Capacity summary'!R83&lt;&gt;"",IF(LOWER('Capacity summary'!R83)="x",$BI171*R171,VALUE('Capacity summary'!R83)),0),R171*$BI171),R171*$BI171),0)</f>
        <v>0</v>
      </c>
      <c r="BV171" s="5">
        <f>IF($BI171&lt;&gt;"",IF('Capacity summary'!$C$14="Yes",IF(COUNTBLANK('Capacity summary'!$H83:$BG83)&lt;52,IF('Capacity summary'!S83&lt;&gt;"",IF(LOWER('Capacity summary'!S83)="x",$BI171*S171,VALUE('Capacity summary'!S83)),0),S171*$BI171),S171*$BI171),0)</f>
        <v>0</v>
      </c>
      <c r="BW171" s="5">
        <f>IF($BI171&lt;&gt;"",IF('Capacity summary'!$C$14="Yes",IF(COUNTBLANK('Capacity summary'!$H83:$BG83)&lt;52,IF('Capacity summary'!T83&lt;&gt;"",IF(LOWER('Capacity summary'!T83)="x",$BI171*T171,VALUE('Capacity summary'!T83)),0),T171*$BI171),T171*$BI171),0)</f>
        <v>0</v>
      </c>
      <c r="BX171" s="5">
        <f>IF($BI171&lt;&gt;"",IF('Capacity summary'!$C$14="Yes",IF(COUNTBLANK('Capacity summary'!$H83:$BG83)&lt;52,IF('Capacity summary'!U83&lt;&gt;"",IF(LOWER('Capacity summary'!U83)="x",$BI171*U171,VALUE('Capacity summary'!U83)),0),U171*$BI171),U171*$BI171),0)</f>
        <v>0</v>
      </c>
      <c r="BY171" s="5">
        <f>IF($BI171&lt;&gt;"",IF('Capacity summary'!$C$14="Yes",IF(COUNTBLANK('Capacity summary'!$H83:$BG83)&lt;52,IF('Capacity summary'!V83&lt;&gt;"",IF(LOWER('Capacity summary'!V83)="x",$BI171*V171,VALUE('Capacity summary'!V83)),0),V171*$BI171),V171*$BI171),0)</f>
        <v>0</v>
      </c>
      <c r="BZ171" s="5">
        <f>IF($BI171&lt;&gt;"",IF('Capacity summary'!$C$14="Yes",IF(COUNTBLANK('Capacity summary'!$H83:$BG83)&lt;52,IF('Capacity summary'!W83&lt;&gt;"",IF(LOWER('Capacity summary'!W83)="x",$BI171*W171,VALUE('Capacity summary'!W83)),0),W171*$BI171),W171*$BI171),0)</f>
        <v>0</v>
      </c>
      <c r="CA171" s="5">
        <f>IF($BI171&lt;&gt;"",IF('Capacity summary'!$C$14="Yes",IF(COUNTBLANK('Capacity summary'!$H83:$BG83)&lt;52,IF('Capacity summary'!X83&lt;&gt;"",IF(LOWER('Capacity summary'!X83)="x",$BI171*X171,VALUE('Capacity summary'!X83)),0),X171*$BI171),X171*$BI171),0)</f>
        <v>0</v>
      </c>
      <c r="CB171" s="5">
        <f>IF($BI171&lt;&gt;"",IF('Capacity summary'!$C$14="Yes",IF(COUNTBLANK('Capacity summary'!$H83:$BG83)&lt;52,IF('Capacity summary'!Y83&lt;&gt;"",IF(LOWER('Capacity summary'!Y83)="x",$BI171*Y171,VALUE('Capacity summary'!Y83)),0),Y171*$BI171),Y171*$BI171),0)</f>
        <v>0</v>
      </c>
      <c r="CC171" s="5">
        <f>IF($BI171&lt;&gt;"",IF('Capacity summary'!$C$14="Yes",IF(COUNTBLANK('Capacity summary'!$H83:$BG83)&lt;52,IF('Capacity summary'!Z83&lt;&gt;"",IF(LOWER('Capacity summary'!Z83)="x",$BI171*Z171,VALUE('Capacity summary'!Z83)),0),Z171*$BI171),Z171*$BI171),0)</f>
        <v>0</v>
      </c>
      <c r="CD171" s="5">
        <f>IF($BI171&lt;&gt;"",IF('Capacity summary'!$C$14="Yes",IF(COUNTBLANK('Capacity summary'!$H83:$BG83)&lt;52,IF('Capacity summary'!AA83&lt;&gt;"",IF(LOWER('Capacity summary'!AA83)="x",$BI171*AA171,VALUE('Capacity summary'!AA83)),0),AA171*$BI171),AA171*$BI171),0)</f>
        <v>0</v>
      </c>
      <c r="CE171" s="5">
        <f>IF($BI171&lt;&gt;"",IF('Capacity summary'!$C$14="Yes",IF(COUNTBLANK('Capacity summary'!$H83:$BG83)&lt;52,IF('Capacity summary'!AB83&lt;&gt;"",IF(LOWER('Capacity summary'!AB83)="x",$BI171*AB171,VALUE('Capacity summary'!AB83)),0),AB171*$BI171),AB171*$BI171),0)</f>
        <v>0</v>
      </c>
      <c r="CF171" s="5">
        <f>IF($BI171&lt;&gt;"",IF('Capacity summary'!$C$14="Yes",IF(COUNTBLANK('Capacity summary'!$H83:$BG83)&lt;52,IF('Capacity summary'!AC83&lt;&gt;"",IF(LOWER('Capacity summary'!AC83)="x",$BI171*AC171,VALUE('Capacity summary'!AC83)),0),AC171*$BI171),AC171*$BI171),0)</f>
        <v>0</v>
      </c>
      <c r="CG171" s="5">
        <f>IF($BI171&lt;&gt;"",IF('Capacity summary'!$C$14="Yes",IF(COUNTBLANK('Capacity summary'!$H83:$BG83)&lt;52,IF('Capacity summary'!AD83&lt;&gt;"",IF(LOWER('Capacity summary'!AD83)="x",$BI171*AD171,VALUE('Capacity summary'!AD83)),0),AD171*$BI171),AD171*$BI171),0)</f>
        <v>0</v>
      </c>
      <c r="CH171" s="5">
        <f>IF($BI171&lt;&gt;"",IF('Capacity summary'!$C$14="Yes",IF(COUNTBLANK('Capacity summary'!$H83:$BG83)&lt;52,IF('Capacity summary'!AE83&lt;&gt;"",IF(LOWER('Capacity summary'!AE83)="x",$BI171*AE171,VALUE('Capacity summary'!AE83)),0),AE171*$BI171),AE171*$BI171),0)</f>
        <v>0</v>
      </c>
      <c r="CI171" s="5">
        <f>IF($BI171&lt;&gt;"",IF('Capacity summary'!$C$14="Yes",IF(COUNTBLANK('Capacity summary'!$H83:$BG83)&lt;52,IF('Capacity summary'!AF83&lt;&gt;"",IF(LOWER('Capacity summary'!AF83)="x",$BI171*AF171,VALUE('Capacity summary'!AF83)),0),AF171*$BI171),AF171*$BI171),0)</f>
        <v>0</v>
      </c>
      <c r="CJ171" s="5">
        <f>IF($BI171&lt;&gt;"",IF('Capacity summary'!$C$14="Yes",IF(COUNTBLANK('Capacity summary'!$H83:$BG83)&lt;52,IF('Capacity summary'!AG83&lt;&gt;"",IF(LOWER('Capacity summary'!AG83)="x",$BI171*AG171,VALUE('Capacity summary'!AG83)),0),AG171*$BI171),AG171*$BI171),0)</f>
        <v>0</v>
      </c>
      <c r="CK171" s="5">
        <f>IF($BI171&lt;&gt;"",IF('Capacity summary'!$C$14="Yes",IF(COUNTBLANK('Capacity summary'!$H83:$BG83)&lt;52,IF('Capacity summary'!AH83&lt;&gt;"",IF(LOWER('Capacity summary'!AH83)="x",$BI171*AH171,VALUE('Capacity summary'!AH83)),0),AH171*$BI171),AH171*$BI171),0)</f>
        <v>0</v>
      </c>
      <c r="CL171" s="5">
        <f>IF($BI171&lt;&gt;"",IF('Capacity summary'!$C$14="Yes",IF(COUNTBLANK('Capacity summary'!$H83:$BG83)&lt;52,IF('Capacity summary'!AI83&lt;&gt;"",IF(LOWER('Capacity summary'!AI83)="x",$BI171*AI171,VALUE('Capacity summary'!AI83)),0),AI171*$BI171),AI171*$BI171),0)</f>
        <v>0</v>
      </c>
      <c r="CM171" s="5">
        <f>IF($BI171&lt;&gt;"",IF('Capacity summary'!$C$14="Yes",IF(COUNTBLANK('Capacity summary'!$H83:$BG83)&lt;52,IF('Capacity summary'!AJ83&lt;&gt;"",IF(LOWER('Capacity summary'!AJ83)="x",$BI171*AJ171,VALUE('Capacity summary'!AJ83)),0),AJ171*$BI171),AJ171*$BI171),0)</f>
        <v>0</v>
      </c>
      <c r="CN171" s="5">
        <f>IF($BI171&lt;&gt;"",IF('Capacity summary'!$C$14="Yes",IF(COUNTBLANK('Capacity summary'!$H83:$BG83)&lt;52,IF('Capacity summary'!AK83&lt;&gt;"",IF(LOWER('Capacity summary'!AK83)="x",$BI171*AK171,VALUE('Capacity summary'!AK83)),0),AK171*$BI171),AK171*$BI171),0)</f>
        <v>0</v>
      </c>
      <c r="CO171" s="5">
        <f>IF($BI171&lt;&gt;"",IF('Capacity summary'!$C$14="Yes",IF(COUNTBLANK('Capacity summary'!$H83:$BG83)&lt;52,IF('Capacity summary'!AL83&lt;&gt;"",IF(LOWER('Capacity summary'!AL83)="x",$BI171*AL171,VALUE('Capacity summary'!AL83)),0),AL171*$BI171),AL171*$BI171),0)</f>
        <v>0</v>
      </c>
      <c r="CP171" s="5">
        <f>IF($BI171&lt;&gt;"",IF('Capacity summary'!$C$14="Yes",IF(COUNTBLANK('Capacity summary'!$H83:$BG83)&lt;52,IF('Capacity summary'!AM83&lt;&gt;"",IF(LOWER('Capacity summary'!AM83)="x",$BI171*AM171,VALUE('Capacity summary'!AM83)),0),AM171*$BI171),AM171*$BI171),0)</f>
        <v>0</v>
      </c>
      <c r="CQ171" s="5">
        <f>IF($BI171&lt;&gt;"",IF('Capacity summary'!$C$14="Yes",IF(COUNTBLANK('Capacity summary'!$H83:$BG83)&lt;52,IF('Capacity summary'!AN83&lt;&gt;"",IF(LOWER('Capacity summary'!AN83)="x",$BI171*AN171,VALUE('Capacity summary'!AN83)),0),AN171*$BI171),AN171*$BI171),0)</f>
        <v>0</v>
      </c>
      <c r="CR171" s="5">
        <f>IF($BI171&lt;&gt;"",IF('Capacity summary'!$C$14="Yes",IF(COUNTBLANK('Capacity summary'!$H83:$BG83)&lt;52,IF('Capacity summary'!AO83&lt;&gt;"",IF(LOWER('Capacity summary'!AO83)="x",$BI171*AO171,VALUE('Capacity summary'!AO83)),0),AO171*$BI171),AO171*$BI171),0)</f>
        <v>0</v>
      </c>
      <c r="CS171" s="5">
        <f>IF($BI171&lt;&gt;"",IF('Capacity summary'!$C$14="Yes",IF(COUNTBLANK('Capacity summary'!$H83:$BG83)&lt;52,IF('Capacity summary'!AP83&lt;&gt;"",IF(LOWER('Capacity summary'!AP83)="x",$BI171*AP171,VALUE('Capacity summary'!AP83)),0),AP171*$BI171),AP171*$BI171),0)</f>
        <v>0</v>
      </c>
      <c r="CT171" s="5">
        <f>IF($BI171&lt;&gt;"",IF('Capacity summary'!$C$14="Yes",IF(COUNTBLANK('Capacity summary'!$H83:$BG83)&lt;52,IF('Capacity summary'!AQ83&lt;&gt;"",IF(LOWER('Capacity summary'!AQ83)="x",$BI171*AQ171,VALUE('Capacity summary'!AQ83)),0),AQ171*$BI171),AQ171*$BI171),0)</f>
        <v>0</v>
      </c>
      <c r="CU171" s="5">
        <f>IF($BI171&lt;&gt;"",IF('Capacity summary'!$C$14="Yes",IF(COUNTBLANK('Capacity summary'!$H83:$BG83)&lt;52,IF('Capacity summary'!AR83&lt;&gt;"",IF(LOWER('Capacity summary'!AR83)="x",$BI171*AR171,VALUE('Capacity summary'!AR83)),0),AR171*$BI171),AR171*$BI171),0)</f>
        <v>0</v>
      </c>
      <c r="CV171" s="5">
        <f>IF($BI171&lt;&gt;"",IF('Capacity summary'!$C$14="Yes",IF(COUNTBLANK('Capacity summary'!$H83:$BG83)&lt;52,IF('Capacity summary'!AS83&lt;&gt;"",IF(LOWER('Capacity summary'!AS83)="x",$BI171*AS171,VALUE('Capacity summary'!AS83)),0),AS171*$BI171),AS171*$BI171),0)</f>
        <v>0</v>
      </c>
      <c r="CW171" s="5">
        <f>IF($BI171&lt;&gt;"",IF('Capacity summary'!$C$14="Yes",IF(COUNTBLANK('Capacity summary'!$H83:$BG83)&lt;52,IF('Capacity summary'!AT83&lt;&gt;"",IF(LOWER('Capacity summary'!AT83)="x",$BI171*AT171,VALUE('Capacity summary'!AT83)),0),AT171*$BI171),AT171*$BI171),0)</f>
        <v>0</v>
      </c>
      <c r="CX171" s="5">
        <f>IF($BI171&lt;&gt;"",IF('Capacity summary'!$C$14="Yes",IF(COUNTBLANK('Capacity summary'!$H83:$BG83)&lt;52,IF('Capacity summary'!AU83&lt;&gt;"",IF(LOWER('Capacity summary'!AU83)="x",$BI171*AU171,VALUE('Capacity summary'!AU83)),0),AU171*$BI171),AU171*$BI171),0)</f>
        <v>0</v>
      </c>
      <c r="CY171" s="5">
        <f>IF($BI171&lt;&gt;"",IF('Capacity summary'!$C$14="Yes",IF(COUNTBLANK('Capacity summary'!$H83:$BG83)&lt;52,IF('Capacity summary'!AV83&lt;&gt;"",IF(LOWER('Capacity summary'!AV83)="x",$BI171*AV171,VALUE('Capacity summary'!AV83)),0),AV171*$BI171),AV171*$BI171),0)</f>
        <v>0</v>
      </c>
      <c r="CZ171" s="5">
        <f>IF($BI171&lt;&gt;"",IF('Capacity summary'!$C$14="Yes",IF(COUNTBLANK('Capacity summary'!$H83:$BG83)&lt;52,IF('Capacity summary'!AW83&lt;&gt;"",IF(LOWER('Capacity summary'!AW83)="x",$BI171*AW171,VALUE('Capacity summary'!AW83)),0),AW171*$BI171),AW171*$BI171),0)</f>
        <v>0</v>
      </c>
      <c r="DA171" s="5">
        <f>IF($BI171&lt;&gt;"",IF('Capacity summary'!$C$14="Yes",IF(COUNTBLANK('Capacity summary'!$H83:$BG83)&lt;52,IF('Capacity summary'!AX83&lt;&gt;"",IF(LOWER('Capacity summary'!AX83)="x",$BI171*AX171,VALUE('Capacity summary'!AX83)),0),AX171*$BI171),AX171*$BI171),0)</f>
        <v>0</v>
      </c>
      <c r="DB171" s="5">
        <f>IF($BI171&lt;&gt;"",IF('Capacity summary'!$C$14="Yes",IF(COUNTBLANK('Capacity summary'!$H83:$BG83)&lt;52,IF('Capacity summary'!AY83&lt;&gt;"",IF(LOWER('Capacity summary'!AY83)="x",$BI171*AY171,VALUE('Capacity summary'!AY83)),0),AY171*$BI171),AY171*$BI171),0)</f>
        <v>0</v>
      </c>
      <c r="DC171" s="5">
        <f>IF($BI171&lt;&gt;"",IF('Capacity summary'!$C$14="Yes",IF(COUNTBLANK('Capacity summary'!$H83:$BG83)&lt;52,IF('Capacity summary'!AZ83&lt;&gt;"",IF(LOWER('Capacity summary'!AZ83)="x",$BI171*AZ171,VALUE('Capacity summary'!AZ83)),0),AZ171*$BI171),AZ171*$BI171),0)</f>
        <v>0</v>
      </c>
      <c r="DD171" s="5">
        <f>IF($BI171&lt;&gt;"",IF('Capacity summary'!$C$14="Yes",IF(COUNTBLANK('Capacity summary'!$H83:$BG83)&lt;52,IF('Capacity summary'!BA83&lt;&gt;"",IF(LOWER('Capacity summary'!BA83)="x",$BI171*BA171,VALUE('Capacity summary'!BA83)),0),BA171*$BI171),BA171*$BI171),0)</f>
        <v>0</v>
      </c>
      <c r="DE171" s="5">
        <f>IF($BI171&lt;&gt;"",IF('Capacity summary'!$C$14="Yes",IF(COUNTBLANK('Capacity summary'!$H83:$BG83)&lt;52,IF('Capacity summary'!BB83&lt;&gt;"",IF(LOWER('Capacity summary'!BB83)="x",$BI171*BB171,VALUE('Capacity summary'!BB83)),0),BB171*$BI171),BB171*$BI171),0)</f>
        <v>0</v>
      </c>
      <c r="DF171" s="5">
        <f>IF($BI171&lt;&gt;"",IF('Capacity summary'!$C$14="Yes",IF(COUNTBLANK('Capacity summary'!$H83:$BG83)&lt;52,IF('Capacity summary'!BC83&lt;&gt;"",IF(LOWER('Capacity summary'!BC83)="x",$BI171*BC171,VALUE('Capacity summary'!BC83)),0),BC171*$BI171),BC171*$BI171),0)</f>
        <v>0</v>
      </c>
      <c r="DG171" s="5">
        <f>IF($BI171&lt;&gt;"",IF('Capacity summary'!$C$14="Yes",IF(COUNTBLANK('Capacity summary'!$H83:$BG83)&lt;52,IF('Capacity summary'!BD83&lt;&gt;"",IF(LOWER('Capacity summary'!BD83)="x",$BI171*BD171,VALUE('Capacity summary'!BD83)),0),BD171*$BI171),BD171*$BI171),0)</f>
        <v>0</v>
      </c>
      <c r="DH171" s="5">
        <f>IF($BI171&lt;&gt;"",IF('Capacity summary'!$C$14="Yes",IF(COUNTBLANK('Capacity summary'!$H83:$BG83)&lt;52,IF('Capacity summary'!BE83&lt;&gt;"",IF(LOWER('Capacity summary'!BE83)="x",$BI171*BE171,VALUE('Capacity summary'!BE83)),0),BE171*$BI171),BE171*$BI171),0)</f>
        <v>0</v>
      </c>
      <c r="DI171" s="5">
        <f>IF($BI171&lt;&gt;"",IF('Capacity summary'!$C$14="Yes",IF(COUNTBLANK('Capacity summary'!$H83:$BG83)&lt;52,IF('Capacity summary'!BF83&lt;&gt;"",IF(LOWER('Capacity summary'!BF83)="x",$BI171*BF171,VALUE('Capacity summary'!BF83)),0),BF171*$BI171),BF171*$BI171),0)</f>
        <v>0</v>
      </c>
      <c r="DJ171" s="5">
        <f>IF($BI171&lt;&gt;"",IF('Capacity summary'!$C$14="Yes",IF(COUNTBLANK('Capacity summary'!$H83:$BG83)&lt;52,IF('Capacity summary'!BG83&lt;&gt;"",IF(LOWER('Capacity summary'!BG83)="x",$BI171*BG171,VALUE('Capacity summary'!BG83)),0),BG171*$BI171),BG171*$BI171),0)</f>
        <v>0</v>
      </c>
      <c r="DK171" s="391">
        <f t="shared" si="8"/>
        <v>0</v>
      </c>
      <c r="DL171" s="5">
        <f t="shared" si="9"/>
        <v>0</v>
      </c>
    </row>
    <row r="172" spans="3:116" x14ac:dyDescent="0.2">
      <c r="C172" s="67" t="str">
        <f>ROW(A61)&amp;". "&amp;Capacity!N77</f>
        <v xml:space="preserve">61. </v>
      </c>
      <c r="D172" s="67">
        <f>'Capacity setup'!C178</f>
        <v>0</v>
      </c>
      <c r="E172" s="67">
        <f>'Capacity setup'!D178</f>
        <v>0</v>
      </c>
      <c r="F172" s="67">
        <f>'Capacity setup'!E178</f>
        <v>0</v>
      </c>
      <c r="H172" s="67">
        <f ca="1">IF(LOWER(Capacity!$V77)="x",IF(AND(SUMIF(Capacity_Resource,$D172,'Critical resources (hide)'!U$6:U$105)+SUMIF(Capacity_Resource,$E172,'Critical resources (hide)'!U$6:U$105)+SUMIF(Capacity_Resource,$F172,'Critical resources (hide)'!U$6:U$105)&gt;0,$E$1=2),0,1),0)</f>
        <v>1</v>
      </c>
      <c r="I172" s="67">
        <f ca="1">IF(LOWER(Capacity!$V77)="x",IF(AND(SUMIF(Capacity_Resource,$D172,'Critical resources (hide)'!V$6:V$105)+SUMIF(Capacity_Resource,$E172,'Critical resources (hide)'!V$6:V$105)+SUMIF(Capacity_Resource,$F172,'Critical resources (hide)'!V$6:V$105)&gt;0,$E$1=2),0,1),0)</f>
        <v>1</v>
      </c>
      <c r="J172" s="67">
        <f ca="1">IF(LOWER(Capacity!$V77)="x",IF(AND(SUMIF(Capacity_Resource,$D172,'Critical resources (hide)'!W$6:W$105)+SUMIF(Capacity_Resource,$E172,'Critical resources (hide)'!W$6:W$105)+SUMIF(Capacity_Resource,$F172,'Critical resources (hide)'!W$6:W$105)&gt;0,$E$1=2),0,1),0)</f>
        <v>1</v>
      </c>
      <c r="K172" s="67">
        <f ca="1">IF(LOWER(Capacity!$V77)="x",IF(AND(SUMIF(Capacity_Resource,$D172,'Critical resources (hide)'!X$6:X$105)+SUMIF(Capacity_Resource,$E172,'Critical resources (hide)'!X$6:X$105)+SUMIF(Capacity_Resource,$F172,'Critical resources (hide)'!X$6:X$105)&gt;0,$E$1=2),0,1),0)</f>
        <v>1</v>
      </c>
      <c r="L172" s="67">
        <f ca="1">IF(LOWER(Capacity!$V77)="x",IF(AND(SUMIF(Capacity_Resource,$D172,'Critical resources (hide)'!Y$6:Y$105)+SUMIF(Capacity_Resource,$E172,'Critical resources (hide)'!Y$6:Y$105)+SUMIF(Capacity_Resource,$F172,'Critical resources (hide)'!Y$6:Y$105)&gt;0,$E$1=2),0,1),0)</f>
        <v>1</v>
      </c>
      <c r="M172" s="67">
        <f ca="1">IF(LOWER(Capacity!$V77)="x",IF(AND(SUMIF(Capacity_Resource,$D172,'Critical resources (hide)'!Z$6:Z$105)+SUMIF(Capacity_Resource,$E172,'Critical resources (hide)'!Z$6:Z$105)+SUMIF(Capacity_Resource,$F172,'Critical resources (hide)'!Z$6:Z$105)&gt;0,$E$1=2),0,1),0)</f>
        <v>1</v>
      </c>
      <c r="N172" s="67">
        <f ca="1">IF(LOWER(Capacity!$V77)="x",IF(AND(SUMIF(Capacity_Resource,$D172,'Critical resources (hide)'!AA$6:AA$105)+SUMIF(Capacity_Resource,$E172,'Critical resources (hide)'!AA$6:AA$105)+SUMIF(Capacity_Resource,$F172,'Critical resources (hide)'!AA$6:AA$105)&gt;0,$E$1=2),0,1),0)</f>
        <v>1</v>
      </c>
      <c r="O172" s="67">
        <f ca="1">IF(LOWER(Capacity!$V77)="x",IF(AND(SUMIF(Capacity_Resource,$D172,'Critical resources (hide)'!AB$6:AB$105)+SUMIF(Capacity_Resource,$E172,'Critical resources (hide)'!AB$6:AB$105)+SUMIF(Capacity_Resource,$F172,'Critical resources (hide)'!AB$6:AB$105)&gt;0,$E$1=2),0,1),0)</f>
        <v>1</v>
      </c>
      <c r="P172" s="67">
        <f ca="1">IF(LOWER(Capacity!$V77)="x",IF(AND(SUMIF(Capacity_Resource,$D172,'Critical resources (hide)'!AC$6:AC$105)+SUMIF(Capacity_Resource,$E172,'Critical resources (hide)'!AC$6:AC$105)+SUMIF(Capacity_Resource,$F172,'Critical resources (hide)'!AC$6:AC$105)&gt;0,$E$1=2),0,1),0)</f>
        <v>1</v>
      </c>
      <c r="Q172" s="67">
        <f ca="1">IF(LOWER(Capacity!$V77)="x",IF(AND(SUMIF(Capacity_Resource,$D172,'Critical resources (hide)'!AD$6:AD$105)+SUMIF(Capacity_Resource,$E172,'Critical resources (hide)'!AD$6:AD$105)+SUMIF(Capacity_Resource,$F172,'Critical resources (hide)'!AD$6:AD$105)&gt;0,$E$1=2),0,1),0)</f>
        <v>1</v>
      </c>
      <c r="R172" s="67">
        <f ca="1">IF(LOWER(Capacity!$V77)="x",IF(AND(SUMIF(Capacity_Resource,$D172,'Critical resources (hide)'!AE$6:AE$105)+SUMIF(Capacity_Resource,$E172,'Critical resources (hide)'!AE$6:AE$105)+SUMIF(Capacity_Resource,$F172,'Critical resources (hide)'!AE$6:AE$105)&gt;0,$E$1=2),0,1),0)</f>
        <v>1</v>
      </c>
      <c r="S172" s="67">
        <f ca="1">IF(LOWER(Capacity!$V77)="x",IF(AND(SUMIF(Capacity_Resource,$D172,'Critical resources (hide)'!AF$6:AF$105)+SUMIF(Capacity_Resource,$E172,'Critical resources (hide)'!AF$6:AF$105)+SUMIF(Capacity_Resource,$F172,'Critical resources (hide)'!AF$6:AF$105)&gt;0,$E$1=2),0,1),0)</f>
        <v>1</v>
      </c>
      <c r="T172" s="67">
        <f ca="1">IF(LOWER(Capacity!$V77)="x",IF(AND(SUMIF(Capacity_Resource,$D172,'Critical resources (hide)'!AG$6:AG$105)+SUMIF(Capacity_Resource,$E172,'Critical resources (hide)'!AG$6:AG$105)+SUMIF(Capacity_Resource,$F172,'Critical resources (hide)'!AG$6:AG$105)&gt;0,$E$1=2),0,1),0)</f>
        <v>1</v>
      </c>
      <c r="U172" s="67">
        <f ca="1">IF(LOWER(Capacity!$V77)="x",IF(AND(SUMIF(Capacity_Resource,$D172,'Critical resources (hide)'!AH$6:AH$105)+SUMIF(Capacity_Resource,$E172,'Critical resources (hide)'!AH$6:AH$105)+SUMIF(Capacity_Resource,$F172,'Critical resources (hide)'!AH$6:AH$105)&gt;0,$E$1=2),0,1),0)</f>
        <v>1</v>
      </c>
      <c r="V172" s="67">
        <f ca="1">IF(LOWER(Capacity!$V77)="x",IF(AND(SUMIF(Capacity_Resource,$D172,'Critical resources (hide)'!AI$6:AI$105)+SUMIF(Capacity_Resource,$E172,'Critical resources (hide)'!AI$6:AI$105)+SUMIF(Capacity_Resource,$F172,'Critical resources (hide)'!AI$6:AI$105)&gt;0,$E$1=2),0,1),0)</f>
        <v>1</v>
      </c>
      <c r="W172" s="67">
        <f ca="1">IF(LOWER(Capacity!$V77)="x",IF(AND(SUMIF(Capacity_Resource,$D172,'Critical resources (hide)'!AJ$6:AJ$105)+SUMIF(Capacity_Resource,$E172,'Critical resources (hide)'!AJ$6:AJ$105)+SUMIF(Capacity_Resource,$F172,'Critical resources (hide)'!AJ$6:AJ$105)&gt;0,$E$1=2),0,1),0)</f>
        <v>1</v>
      </c>
      <c r="X172" s="67">
        <f ca="1">IF(LOWER(Capacity!$V77)="x",IF(AND(SUMIF(Capacity_Resource,$D172,'Critical resources (hide)'!AK$6:AK$105)+SUMIF(Capacity_Resource,$E172,'Critical resources (hide)'!AK$6:AK$105)+SUMIF(Capacity_Resource,$F172,'Critical resources (hide)'!AK$6:AK$105)&gt;0,$E$1=2),0,1),0)</f>
        <v>1</v>
      </c>
      <c r="Y172" s="67">
        <f ca="1">IF(LOWER(Capacity!$V77)="x",IF(AND(SUMIF(Capacity_Resource,$D172,'Critical resources (hide)'!AL$6:AL$105)+SUMIF(Capacity_Resource,$E172,'Critical resources (hide)'!AL$6:AL$105)+SUMIF(Capacity_Resource,$F172,'Critical resources (hide)'!AL$6:AL$105)&gt;0,$E$1=2),0,1),0)</f>
        <v>1</v>
      </c>
      <c r="Z172" s="67">
        <f ca="1">IF(LOWER(Capacity!$V77)="x",IF(AND(SUMIF(Capacity_Resource,$D172,'Critical resources (hide)'!AM$6:AM$105)+SUMIF(Capacity_Resource,$E172,'Critical resources (hide)'!AM$6:AM$105)+SUMIF(Capacity_Resource,$F172,'Critical resources (hide)'!AM$6:AM$105)&gt;0,$E$1=2),0,1),0)</f>
        <v>1</v>
      </c>
      <c r="AA172" s="67">
        <f ca="1">IF(LOWER(Capacity!$V77)="x",IF(AND(SUMIF(Capacity_Resource,$D172,'Critical resources (hide)'!AN$6:AN$105)+SUMIF(Capacity_Resource,$E172,'Critical resources (hide)'!AN$6:AN$105)+SUMIF(Capacity_Resource,$F172,'Critical resources (hide)'!AN$6:AN$105)&gt;0,$E$1=2),0,1),0)</f>
        <v>1</v>
      </c>
      <c r="AB172" s="67">
        <f ca="1">IF(LOWER(Capacity!$V77)="x",IF(AND(SUMIF(Capacity_Resource,$D172,'Critical resources (hide)'!AO$6:AO$105)+SUMIF(Capacity_Resource,$E172,'Critical resources (hide)'!AO$6:AO$105)+SUMIF(Capacity_Resource,$F172,'Critical resources (hide)'!AO$6:AO$105)&gt;0,$E$1=2),0,1),0)</f>
        <v>1</v>
      </c>
      <c r="AC172" s="67">
        <f ca="1">IF(LOWER(Capacity!$V77)="x",IF(AND(SUMIF(Capacity_Resource,$D172,'Critical resources (hide)'!AP$6:AP$105)+SUMIF(Capacity_Resource,$E172,'Critical resources (hide)'!AP$6:AP$105)+SUMIF(Capacity_Resource,$F172,'Critical resources (hide)'!AP$6:AP$105)&gt;0,$E$1=2),0,1),0)</f>
        <v>1</v>
      </c>
      <c r="AD172" s="67">
        <f ca="1">IF(LOWER(Capacity!$V77)="x",IF(AND(SUMIF(Capacity_Resource,$D172,'Critical resources (hide)'!AQ$6:AQ$105)+SUMIF(Capacity_Resource,$E172,'Critical resources (hide)'!AQ$6:AQ$105)+SUMIF(Capacity_Resource,$F172,'Critical resources (hide)'!AQ$6:AQ$105)&gt;0,$E$1=2),0,1),0)</f>
        <v>1</v>
      </c>
      <c r="AE172" s="67">
        <f ca="1">IF(LOWER(Capacity!$V77)="x",IF(AND(SUMIF(Capacity_Resource,$D172,'Critical resources (hide)'!AR$6:AR$105)+SUMIF(Capacity_Resource,$E172,'Critical resources (hide)'!AR$6:AR$105)+SUMIF(Capacity_Resource,$F172,'Critical resources (hide)'!AR$6:AR$105)&gt;0,$E$1=2),0,1),0)</f>
        <v>1</v>
      </c>
      <c r="AF172" s="67">
        <f ca="1">IF(LOWER(Capacity!$V77)="x",IF(AND(SUMIF(Capacity_Resource,$D172,'Critical resources (hide)'!AS$6:AS$105)+SUMIF(Capacity_Resource,$E172,'Critical resources (hide)'!AS$6:AS$105)+SUMIF(Capacity_Resource,$F172,'Critical resources (hide)'!AS$6:AS$105)&gt;0,$E$1=2),0,1),0)</f>
        <v>1</v>
      </c>
      <c r="AG172" s="67">
        <f ca="1">IF(LOWER(Capacity!$V77)="x",IF(AND(SUMIF(Capacity_Resource,$D172,'Critical resources (hide)'!AT$6:AT$105)+SUMIF(Capacity_Resource,$E172,'Critical resources (hide)'!AT$6:AT$105)+SUMIF(Capacity_Resource,$F172,'Critical resources (hide)'!AT$6:AT$105)&gt;0,$E$1=2),0,1),0)</f>
        <v>1</v>
      </c>
      <c r="AH172" s="67">
        <f ca="1">IF(LOWER(Capacity!$V77)="x",IF(AND(SUMIF(Capacity_Resource,$D172,'Critical resources (hide)'!AU$6:AU$105)+SUMIF(Capacity_Resource,$E172,'Critical resources (hide)'!AU$6:AU$105)+SUMIF(Capacity_Resource,$F172,'Critical resources (hide)'!AU$6:AU$105)&gt;0,$E$1=2),0,1),0)</f>
        <v>1</v>
      </c>
      <c r="AI172" s="67">
        <f ca="1">IF(LOWER(Capacity!$V77)="x",IF(AND(SUMIF(Capacity_Resource,$D172,'Critical resources (hide)'!AV$6:AV$105)+SUMIF(Capacity_Resource,$E172,'Critical resources (hide)'!AV$6:AV$105)+SUMIF(Capacity_Resource,$F172,'Critical resources (hide)'!AV$6:AV$105)&gt;0,$E$1=2),0,1),0)</f>
        <v>1</v>
      </c>
      <c r="AJ172" s="67">
        <f ca="1">IF(LOWER(Capacity!$V77)="x",IF(AND(SUMIF(Capacity_Resource,$D172,'Critical resources (hide)'!AW$6:AW$105)+SUMIF(Capacity_Resource,$E172,'Critical resources (hide)'!AW$6:AW$105)+SUMIF(Capacity_Resource,$F172,'Critical resources (hide)'!AW$6:AW$105)&gt;0,$E$1=2),0,1),0)</f>
        <v>1</v>
      </c>
      <c r="AK172" s="67">
        <f ca="1">IF(LOWER(Capacity!$V77)="x",IF(AND(SUMIF(Capacity_Resource,$D172,'Critical resources (hide)'!AX$6:AX$105)+SUMIF(Capacity_Resource,$E172,'Critical resources (hide)'!AX$6:AX$105)+SUMIF(Capacity_Resource,$F172,'Critical resources (hide)'!AX$6:AX$105)&gt;0,$E$1=2),0,1),0)</f>
        <v>1</v>
      </c>
      <c r="AL172" s="67">
        <f ca="1">IF(LOWER(Capacity!$V77)="x",IF(AND(SUMIF(Capacity_Resource,$D172,'Critical resources (hide)'!AY$6:AY$105)+SUMIF(Capacity_Resource,$E172,'Critical resources (hide)'!AY$6:AY$105)+SUMIF(Capacity_Resource,$F172,'Critical resources (hide)'!AY$6:AY$105)&gt;0,$E$1=2),0,1),0)</f>
        <v>1</v>
      </c>
      <c r="AM172" s="67">
        <f ca="1">IF(LOWER(Capacity!$V77)="x",IF(AND(SUMIF(Capacity_Resource,$D172,'Critical resources (hide)'!AZ$6:AZ$105)+SUMIF(Capacity_Resource,$E172,'Critical resources (hide)'!AZ$6:AZ$105)+SUMIF(Capacity_Resource,$F172,'Critical resources (hide)'!AZ$6:AZ$105)&gt;0,$E$1=2),0,1),0)</f>
        <v>1</v>
      </c>
      <c r="AN172" s="67">
        <f ca="1">IF(LOWER(Capacity!$V77)="x",IF(AND(SUMIF(Capacity_Resource,$D172,'Critical resources (hide)'!BA$6:BA$105)+SUMIF(Capacity_Resource,$E172,'Critical resources (hide)'!BA$6:BA$105)+SUMIF(Capacity_Resource,$F172,'Critical resources (hide)'!BA$6:BA$105)&gt;0,$E$1=2),0,1),0)</f>
        <v>1</v>
      </c>
      <c r="AO172" s="67">
        <f ca="1">IF(LOWER(Capacity!$V77)="x",IF(AND(SUMIF(Capacity_Resource,$D172,'Critical resources (hide)'!BB$6:BB$105)+SUMIF(Capacity_Resource,$E172,'Critical resources (hide)'!BB$6:BB$105)+SUMIF(Capacity_Resource,$F172,'Critical resources (hide)'!BB$6:BB$105)&gt;0,$E$1=2),0,1),0)</f>
        <v>1</v>
      </c>
      <c r="AP172" s="67">
        <f ca="1">IF(LOWER(Capacity!$V77)="x",IF(AND(SUMIF(Capacity_Resource,$D172,'Critical resources (hide)'!BC$6:BC$105)+SUMIF(Capacity_Resource,$E172,'Critical resources (hide)'!BC$6:BC$105)+SUMIF(Capacity_Resource,$F172,'Critical resources (hide)'!BC$6:BC$105)&gt;0,$E$1=2),0,1),0)</f>
        <v>1</v>
      </c>
      <c r="AQ172" s="67">
        <f ca="1">IF(LOWER(Capacity!$V77)="x",IF(AND(SUMIF(Capacity_Resource,$D172,'Critical resources (hide)'!BD$6:BD$105)+SUMIF(Capacity_Resource,$E172,'Critical resources (hide)'!BD$6:BD$105)+SUMIF(Capacity_Resource,$F172,'Critical resources (hide)'!BD$6:BD$105)&gt;0,$E$1=2),0,1),0)</f>
        <v>1</v>
      </c>
      <c r="AR172" s="67">
        <f ca="1">IF(LOWER(Capacity!$V77)="x",IF(AND(SUMIF(Capacity_Resource,$D172,'Critical resources (hide)'!BE$6:BE$105)+SUMIF(Capacity_Resource,$E172,'Critical resources (hide)'!BE$6:BE$105)+SUMIF(Capacity_Resource,$F172,'Critical resources (hide)'!BE$6:BE$105)&gt;0,$E$1=2),0,1),0)</f>
        <v>1</v>
      </c>
      <c r="AS172" s="67">
        <f ca="1">IF(LOWER(Capacity!$V77)="x",IF(AND(SUMIF(Capacity_Resource,$D172,'Critical resources (hide)'!BF$6:BF$105)+SUMIF(Capacity_Resource,$E172,'Critical resources (hide)'!BF$6:BF$105)+SUMIF(Capacity_Resource,$F172,'Critical resources (hide)'!BF$6:BF$105)&gt;0,$E$1=2),0,1),0)</f>
        <v>1</v>
      </c>
      <c r="AT172" s="67">
        <f ca="1">IF(LOWER(Capacity!$V77)="x",IF(AND(SUMIF(Capacity_Resource,$D172,'Critical resources (hide)'!BG$6:BG$105)+SUMIF(Capacity_Resource,$E172,'Critical resources (hide)'!BG$6:BG$105)+SUMIF(Capacity_Resource,$F172,'Critical resources (hide)'!BG$6:BG$105)&gt;0,$E$1=2),0,1),0)</f>
        <v>1</v>
      </c>
      <c r="AU172" s="67">
        <f ca="1">IF(LOWER(Capacity!$V77)="x",IF(AND(SUMIF(Capacity_Resource,$D172,'Critical resources (hide)'!BH$6:BH$105)+SUMIF(Capacity_Resource,$E172,'Critical resources (hide)'!BH$6:BH$105)+SUMIF(Capacity_Resource,$F172,'Critical resources (hide)'!BH$6:BH$105)&gt;0,$E$1=2),0,1),0)</f>
        <v>1</v>
      </c>
      <c r="AV172" s="67">
        <f ca="1">IF(LOWER(Capacity!$V77)="x",IF(AND(SUMIF(Capacity_Resource,$D172,'Critical resources (hide)'!BI$6:BI$105)+SUMIF(Capacity_Resource,$E172,'Critical resources (hide)'!BI$6:BI$105)+SUMIF(Capacity_Resource,$F172,'Critical resources (hide)'!BI$6:BI$105)&gt;0,$E$1=2),0,1),0)</f>
        <v>1</v>
      </c>
      <c r="AW172" s="67">
        <f ca="1">IF(LOWER(Capacity!$V77)="x",IF(AND(SUMIF(Capacity_Resource,$D172,'Critical resources (hide)'!BJ$6:BJ$105)+SUMIF(Capacity_Resource,$E172,'Critical resources (hide)'!BJ$6:BJ$105)+SUMIF(Capacity_Resource,$F172,'Critical resources (hide)'!BJ$6:BJ$105)&gt;0,$E$1=2),0,1),0)</f>
        <v>1</v>
      </c>
      <c r="AX172" s="67">
        <f ca="1">IF(LOWER(Capacity!$V77)="x",IF(AND(SUMIF(Capacity_Resource,$D172,'Critical resources (hide)'!BK$6:BK$105)+SUMIF(Capacity_Resource,$E172,'Critical resources (hide)'!BK$6:BK$105)+SUMIF(Capacity_Resource,$F172,'Critical resources (hide)'!BK$6:BK$105)&gt;0,$E$1=2),0,1),0)</f>
        <v>1</v>
      </c>
      <c r="AY172" s="67">
        <f ca="1">IF(LOWER(Capacity!$V77)="x",IF(AND(SUMIF(Capacity_Resource,$D172,'Critical resources (hide)'!BL$6:BL$105)+SUMIF(Capacity_Resource,$E172,'Critical resources (hide)'!BL$6:BL$105)+SUMIF(Capacity_Resource,$F172,'Critical resources (hide)'!BL$6:BL$105)&gt;0,$E$1=2),0,1),0)</f>
        <v>1</v>
      </c>
      <c r="AZ172" s="67">
        <f ca="1">IF(LOWER(Capacity!$V77)="x",IF(AND(SUMIF(Capacity_Resource,$D172,'Critical resources (hide)'!BM$6:BM$105)+SUMIF(Capacity_Resource,$E172,'Critical resources (hide)'!BM$6:BM$105)+SUMIF(Capacity_Resource,$F172,'Critical resources (hide)'!BM$6:BM$105)&gt;0,$E$1=2),0,1),0)</f>
        <v>1</v>
      </c>
      <c r="BA172" s="67">
        <f ca="1">IF(LOWER(Capacity!$V77)="x",IF(AND(SUMIF(Capacity_Resource,$D172,'Critical resources (hide)'!BN$6:BN$105)+SUMIF(Capacity_Resource,$E172,'Critical resources (hide)'!BN$6:BN$105)+SUMIF(Capacity_Resource,$F172,'Critical resources (hide)'!BN$6:BN$105)&gt;0,$E$1=2),0,1),0)</f>
        <v>1</v>
      </c>
      <c r="BB172" s="67">
        <f ca="1">IF(LOWER(Capacity!$V77)="x",IF(AND(SUMIF(Capacity_Resource,$D172,'Critical resources (hide)'!BO$6:BO$105)+SUMIF(Capacity_Resource,$E172,'Critical resources (hide)'!BO$6:BO$105)+SUMIF(Capacity_Resource,$F172,'Critical resources (hide)'!BO$6:BO$105)&gt;0,$E$1=2),0,1),0)</f>
        <v>1</v>
      </c>
      <c r="BC172" s="67">
        <f ca="1">IF(LOWER(Capacity!$V77)="x",IF(AND(SUMIF(Capacity_Resource,$D172,'Critical resources (hide)'!BP$6:BP$105)+SUMIF(Capacity_Resource,$E172,'Critical resources (hide)'!BP$6:BP$105)+SUMIF(Capacity_Resource,$F172,'Critical resources (hide)'!BP$6:BP$105)&gt;0,$E$1=2),0,1),0)</f>
        <v>1</v>
      </c>
      <c r="BD172" s="67">
        <f ca="1">IF(LOWER(Capacity!$V77)="x",IF(AND(SUMIF(Capacity_Resource,$D172,'Critical resources (hide)'!BQ$6:BQ$105)+SUMIF(Capacity_Resource,$E172,'Critical resources (hide)'!BQ$6:BQ$105)+SUMIF(Capacity_Resource,$F172,'Critical resources (hide)'!BQ$6:BQ$105)&gt;0,$E$1=2),0,1),0)</f>
        <v>1</v>
      </c>
      <c r="BE172" s="67">
        <f ca="1">IF(LOWER(Capacity!$V77)="x",IF(AND(SUMIF(Capacity_Resource,$D172,'Critical resources (hide)'!BR$6:BR$105)+SUMIF(Capacity_Resource,$E172,'Critical resources (hide)'!BR$6:BR$105)+SUMIF(Capacity_Resource,$F172,'Critical resources (hide)'!BR$6:BR$105)&gt;0,$E$1=2),0,1),0)</f>
        <v>1</v>
      </c>
      <c r="BF172" s="67">
        <f ca="1">IF(LOWER(Capacity!$V77)="x",IF(AND(SUMIF(Capacity_Resource,$D172,'Critical resources (hide)'!BS$6:BS$105)+SUMIF(Capacity_Resource,$E172,'Critical resources (hide)'!BS$6:BS$105)+SUMIF(Capacity_Resource,$F172,'Critical resources (hide)'!BS$6:BS$105)&gt;0,$E$1=2),0,1),0)</f>
        <v>1</v>
      </c>
      <c r="BG172" s="67">
        <f ca="1">IF(LOWER(Capacity!$V77)="x",IF(AND(SUMIF(Capacity_Resource,$D172,'Critical resources (hide)'!BT$6:BT$105)+SUMIF(Capacity_Resource,$E172,'Critical resources (hide)'!BT$6:BT$105)+SUMIF(Capacity_Resource,$F172,'Critical resources (hide)'!BT$6:BT$105)&gt;0,$E$1=2),0,1),0)</f>
        <v>1</v>
      </c>
      <c r="BH172" s="67">
        <f>IF(ROW(A61)&lt;=Capacity!$M$16,IF('Capacity summary'!$C$14="No",SUM(H172:BG172),'Capacity summary'!$E84),0)</f>
        <v>0</v>
      </c>
      <c r="BI172" s="67" t="str">
        <f>IF(BH172&gt;0,IF(BH172&lt;Capacity!Q77,Capacity!R77,Capacity!T77/'Capacity calculation (hide)'!BH172),"")</f>
        <v/>
      </c>
      <c r="BJ172" s="5"/>
      <c r="BK172" s="5">
        <f>IF($BI172&lt;&gt;"",IF('Capacity summary'!$C$14="Yes",IF(COUNTBLANK('Capacity summary'!$H84:$BG84)&lt;52,IF('Capacity summary'!H84&lt;&gt;"",IF(LOWER('Capacity summary'!H84)="x",$BI172*H172,VALUE('Capacity summary'!H84)),0),H172*$BI172),H172*$BI172),0)</f>
        <v>0</v>
      </c>
      <c r="BL172" s="5">
        <f>IF($BI172&lt;&gt;"",IF('Capacity summary'!$C$14="Yes",IF(COUNTBLANK('Capacity summary'!$H84:$BG84)&lt;52,IF('Capacity summary'!I84&lt;&gt;"",IF(LOWER('Capacity summary'!I84)="x",$BI172*I172,VALUE('Capacity summary'!I84)),0),I172*$BI172),I172*$BI172),0)</f>
        <v>0</v>
      </c>
      <c r="BM172" s="5">
        <f>IF($BI172&lt;&gt;"",IF('Capacity summary'!$C$14="Yes",IF(COUNTBLANK('Capacity summary'!$H84:$BG84)&lt;52,IF('Capacity summary'!J84&lt;&gt;"",IF(LOWER('Capacity summary'!J84)="x",$BI172*J172,VALUE('Capacity summary'!J84)),0),J172*$BI172),J172*$BI172),0)</f>
        <v>0</v>
      </c>
      <c r="BN172" s="5">
        <f>IF($BI172&lt;&gt;"",IF('Capacity summary'!$C$14="Yes",IF(COUNTBLANK('Capacity summary'!$H84:$BG84)&lt;52,IF('Capacity summary'!K84&lt;&gt;"",IF(LOWER('Capacity summary'!K84)="x",$BI172*K172,VALUE('Capacity summary'!K84)),0),K172*$BI172),K172*$BI172),0)</f>
        <v>0</v>
      </c>
      <c r="BO172" s="5">
        <f>IF($BI172&lt;&gt;"",IF('Capacity summary'!$C$14="Yes",IF(COUNTBLANK('Capacity summary'!$H84:$BG84)&lt;52,IF('Capacity summary'!L84&lt;&gt;"",IF(LOWER('Capacity summary'!L84)="x",$BI172*L172,VALUE('Capacity summary'!L84)),0),L172*$BI172),L172*$BI172),0)</f>
        <v>0</v>
      </c>
      <c r="BP172" s="5">
        <f>IF($BI172&lt;&gt;"",IF('Capacity summary'!$C$14="Yes",IF(COUNTBLANK('Capacity summary'!$H84:$BG84)&lt;52,IF('Capacity summary'!M84&lt;&gt;"",IF(LOWER('Capacity summary'!M84)="x",$BI172*M172,VALUE('Capacity summary'!M84)),0),M172*$BI172),M172*$BI172),0)</f>
        <v>0</v>
      </c>
      <c r="BQ172" s="5">
        <f>IF($BI172&lt;&gt;"",IF('Capacity summary'!$C$14="Yes",IF(COUNTBLANK('Capacity summary'!$H84:$BG84)&lt;52,IF('Capacity summary'!N84&lt;&gt;"",IF(LOWER('Capacity summary'!N84)="x",$BI172*N172,VALUE('Capacity summary'!N84)),0),N172*$BI172),N172*$BI172),0)</f>
        <v>0</v>
      </c>
      <c r="BR172" s="5">
        <f>IF($BI172&lt;&gt;"",IF('Capacity summary'!$C$14="Yes",IF(COUNTBLANK('Capacity summary'!$H84:$BG84)&lt;52,IF('Capacity summary'!O84&lt;&gt;"",IF(LOWER('Capacity summary'!O84)="x",$BI172*O172,VALUE('Capacity summary'!O84)),0),O172*$BI172),O172*$BI172),0)</f>
        <v>0</v>
      </c>
      <c r="BS172" s="5">
        <f>IF($BI172&lt;&gt;"",IF('Capacity summary'!$C$14="Yes",IF(COUNTBLANK('Capacity summary'!$H84:$BG84)&lt;52,IF('Capacity summary'!P84&lt;&gt;"",IF(LOWER('Capacity summary'!P84)="x",$BI172*P172,VALUE('Capacity summary'!P84)),0),P172*$BI172),P172*$BI172),0)</f>
        <v>0</v>
      </c>
      <c r="BT172" s="5">
        <f>IF($BI172&lt;&gt;"",IF('Capacity summary'!$C$14="Yes",IF(COUNTBLANK('Capacity summary'!$H84:$BG84)&lt;52,IF('Capacity summary'!Q84&lt;&gt;"",IF(LOWER('Capacity summary'!Q84)="x",$BI172*Q172,VALUE('Capacity summary'!Q84)),0),Q172*$BI172),Q172*$BI172),0)</f>
        <v>0</v>
      </c>
      <c r="BU172" s="5">
        <f>IF($BI172&lt;&gt;"",IF('Capacity summary'!$C$14="Yes",IF(COUNTBLANK('Capacity summary'!$H84:$BG84)&lt;52,IF('Capacity summary'!R84&lt;&gt;"",IF(LOWER('Capacity summary'!R84)="x",$BI172*R172,VALUE('Capacity summary'!R84)),0),R172*$BI172),R172*$BI172),0)</f>
        <v>0</v>
      </c>
      <c r="BV172" s="5">
        <f>IF($BI172&lt;&gt;"",IF('Capacity summary'!$C$14="Yes",IF(COUNTBLANK('Capacity summary'!$H84:$BG84)&lt;52,IF('Capacity summary'!S84&lt;&gt;"",IF(LOWER('Capacity summary'!S84)="x",$BI172*S172,VALUE('Capacity summary'!S84)),0),S172*$BI172),S172*$BI172),0)</f>
        <v>0</v>
      </c>
      <c r="BW172" s="5">
        <f>IF($BI172&lt;&gt;"",IF('Capacity summary'!$C$14="Yes",IF(COUNTBLANK('Capacity summary'!$H84:$BG84)&lt;52,IF('Capacity summary'!T84&lt;&gt;"",IF(LOWER('Capacity summary'!T84)="x",$BI172*T172,VALUE('Capacity summary'!T84)),0),T172*$BI172),T172*$BI172),0)</f>
        <v>0</v>
      </c>
      <c r="BX172" s="5">
        <f>IF($BI172&lt;&gt;"",IF('Capacity summary'!$C$14="Yes",IF(COUNTBLANK('Capacity summary'!$H84:$BG84)&lt;52,IF('Capacity summary'!U84&lt;&gt;"",IF(LOWER('Capacity summary'!U84)="x",$BI172*U172,VALUE('Capacity summary'!U84)),0),U172*$BI172),U172*$BI172),0)</f>
        <v>0</v>
      </c>
      <c r="BY172" s="5">
        <f>IF($BI172&lt;&gt;"",IF('Capacity summary'!$C$14="Yes",IF(COUNTBLANK('Capacity summary'!$H84:$BG84)&lt;52,IF('Capacity summary'!V84&lt;&gt;"",IF(LOWER('Capacity summary'!V84)="x",$BI172*V172,VALUE('Capacity summary'!V84)),0),V172*$BI172),V172*$BI172),0)</f>
        <v>0</v>
      </c>
      <c r="BZ172" s="5">
        <f>IF($BI172&lt;&gt;"",IF('Capacity summary'!$C$14="Yes",IF(COUNTBLANK('Capacity summary'!$H84:$BG84)&lt;52,IF('Capacity summary'!W84&lt;&gt;"",IF(LOWER('Capacity summary'!W84)="x",$BI172*W172,VALUE('Capacity summary'!W84)),0),W172*$BI172),W172*$BI172),0)</f>
        <v>0</v>
      </c>
      <c r="CA172" s="5">
        <f>IF($BI172&lt;&gt;"",IF('Capacity summary'!$C$14="Yes",IF(COUNTBLANK('Capacity summary'!$H84:$BG84)&lt;52,IF('Capacity summary'!X84&lt;&gt;"",IF(LOWER('Capacity summary'!X84)="x",$BI172*X172,VALUE('Capacity summary'!X84)),0),X172*$BI172),X172*$BI172),0)</f>
        <v>0</v>
      </c>
      <c r="CB172" s="5">
        <f>IF($BI172&lt;&gt;"",IF('Capacity summary'!$C$14="Yes",IF(COUNTBLANK('Capacity summary'!$H84:$BG84)&lt;52,IF('Capacity summary'!Y84&lt;&gt;"",IF(LOWER('Capacity summary'!Y84)="x",$BI172*Y172,VALUE('Capacity summary'!Y84)),0),Y172*$BI172),Y172*$BI172),0)</f>
        <v>0</v>
      </c>
      <c r="CC172" s="5">
        <f>IF($BI172&lt;&gt;"",IF('Capacity summary'!$C$14="Yes",IF(COUNTBLANK('Capacity summary'!$H84:$BG84)&lt;52,IF('Capacity summary'!Z84&lt;&gt;"",IF(LOWER('Capacity summary'!Z84)="x",$BI172*Z172,VALUE('Capacity summary'!Z84)),0),Z172*$BI172),Z172*$BI172),0)</f>
        <v>0</v>
      </c>
      <c r="CD172" s="5">
        <f>IF($BI172&lt;&gt;"",IF('Capacity summary'!$C$14="Yes",IF(COUNTBLANK('Capacity summary'!$H84:$BG84)&lt;52,IF('Capacity summary'!AA84&lt;&gt;"",IF(LOWER('Capacity summary'!AA84)="x",$BI172*AA172,VALUE('Capacity summary'!AA84)),0),AA172*$BI172),AA172*$BI172),0)</f>
        <v>0</v>
      </c>
      <c r="CE172" s="5">
        <f>IF($BI172&lt;&gt;"",IF('Capacity summary'!$C$14="Yes",IF(COUNTBLANK('Capacity summary'!$H84:$BG84)&lt;52,IF('Capacity summary'!AB84&lt;&gt;"",IF(LOWER('Capacity summary'!AB84)="x",$BI172*AB172,VALUE('Capacity summary'!AB84)),0),AB172*$BI172),AB172*$BI172),0)</f>
        <v>0</v>
      </c>
      <c r="CF172" s="5">
        <f>IF($BI172&lt;&gt;"",IF('Capacity summary'!$C$14="Yes",IF(COUNTBLANK('Capacity summary'!$H84:$BG84)&lt;52,IF('Capacity summary'!AC84&lt;&gt;"",IF(LOWER('Capacity summary'!AC84)="x",$BI172*AC172,VALUE('Capacity summary'!AC84)),0),AC172*$BI172),AC172*$BI172),0)</f>
        <v>0</v>
      </c>
      <c r="CG172" s="5">
        <f>IF($BI172&lt;&gt;"",IF('Capacity summary'!$C$14="Yes",IF(COUNTBLANK('Capacity summary'!$H84:$BG84)&lt;52,IF('Capacity summary'!AD84&lt;&gt;"",IF(LOWER('Capacity summary'!AD84)="x",$BI172*AD172,VALUE('Capacity summary'!AD84)),0),AD172*$BI172),AD172*$BI172),0)</f>
        <v>0</v>
      </c>
      <c r="CH172" s="5">
        <f>IF($BI172&lt;&gt;"",IF('Capacity summary'!$C$14="Yes",IF(COUNTBLANK('Capacity summary'!$H84:$BG84)&lt;52,IF('Capacity summary'!AE84&lt;&gt;"",IF(LOWER('Capacity summary'!AE84)="x",$BI172*AE172,VALUE('Capacity summary'!AE84)),0),AE172*$BI172),AE172*$BI172),0)</f>
        <v>0</v>
      </c>
      <c r="CI172" s="5">
        <f>IF($BI172&lt;&gt;"",IF('Capacity summary'!$C$14="Yes",IF(COUNTBLANK('Capacity summary'!$H84:$BG84)&lt;52,IF('Capacity summary'!AF84&lt;&gt;"",IF(LOWER('Capacity summary'!AF84)="x",$BI172*AF172,VALUE('Capacity summary'!AF84)),0),AF172*$BI172),AF172*$BI172),0)</f>
        <v>0</v>
      </c>
      <c r="CJ172" s="5">
        <f>IF($BI172&lt;&gt;"",IF('Capacity summary'!$C$14="Yes",IF(COUNTBLANK('Capacity summary'!$H84:$BG84)&lt;52,IF('Capacity summary'!AG84&lt;&gt;"",IF(LOWER('Capacity summary'!AG84)="x",$BI172*AG172,VALUE('Capacity summary'!AG84)),0),AG172*$BI172),AG172*$BI172),0)</f>
        <v>0</v>
      </c>
      <c r="CK172" s="5">
        <f>IF($BI172&lt;&gt;"",IF('Capacity summary'!$C$14="Yes",IF(COUNTBLANK('Capacity summary'!$H84:$BG84)&lt;52,IF('Capacity summary'!AH84&lt;&gt;"",IF(LOWER('Capacity summary'!AH84)="x",$BI172*AH172,VALUE('Capacity summary'!AH84)),0),AH172*$BI172),AH172*$BI172),0)</f>
        <v>0</v>
      </c>
      <c r="CL172" s="5">
        <f>IF($BI172&lt;&gt;"",IF('Capacity summary'!$C$14="Yes",IF(COUNTBLANK('Capacity summary'!$H84:$BG84)&lt;52,IF('Capacity summary'!AI84&lt;&gt;"",IF(LOWER('Capacity summary'!AI84)="x",$BI172*AI172,VALUE('Capacity summary'!AI84)),0),AI172*$BI172),AI172*$BI172),0)</f>
        <v>0</v>
      </c>
      <c r="CM172" s="5">
        <f>IF($BI172&lt;&gt;"",IF('Capacity summary'!$C$14="Yes",IF(COUNTBLANK('Capacity summary'!$H84:$BG84)&lt;52,IF('Capacity summary'!AJ84&lt;&gt;"",IF(LOWER('Capacity summary'!AJ84)="x",$BI172*AJ172,VALUE('Capacity summary'!AJ84)),0),AJ172*$BI172),AJ172*$BI172),0)</f>
        <v>0</v>
      </c>
      <c r="CN172" s="5">
        <f>IF($BI172&lt;&gt;"",IF('Capacity summary'!$C$14="Yes",IF(COUNTBLANK('Capacity summary'!$H84:$BG84)&lt;52,IF('Capacity summary'!AK84&lt;&gt;"",IF(LOWER('Capacity summary'!AK84)="x",$BI172*AK172,VALUE('Capacity summary'!AK84)),0),AK172*$BI172),AK172*$BI172),0)</f>
        <v>0</v>
      </c>
      <c r="CO172" s="5">
        <f>IF($BI172&lt;&gt;"",IF('Capacity summary'!$C$14="Yes",IF(COUNTBLANK('Capacity summary'!$H84:$BG84)&lt;52,IF('Capacity summary'!AL84&lt;&gt;"",IF(LOWER('Capacity summary'!AL84)="x",$BI172*AL172,VALUE('Capacity summary'!AL84)),0),AL172*$BI172),AL172*$BI172),0)</f>
        <v>0</v>
      </c>
      <c r="CP172" s="5">
        <f>IF($BI172&lt;&gt;"",IF('Capacity summary'!$C$14="Yes",IF(COUNTBLANK('Capacity summary'!$H84:$BG84)&lt;52,IF('Capacity summary'!AM84&lt;&gt;"",IF(LOWER('Capacity summary'!AM84)="x",$BI172*AM172,VALUE('Capacity summary'!AM84)),0),AM172*$BI172),AM172*$BI172),0)</f>
        <v>0</v>
      </c>
      <c r="CQ172" s="5">
        <f>IF($BI172&lt;&gt;"",IF('Capacity summary'!$C$14="Yes",IF(COUNTBLANK('Capacity summary'!$H84:$BG84)&lt;52,IF('Capacity summary'!AN84&lt;&gt;"",IF(LOWER('Capacity summary'!AN84)="x",$BI172*AN172,VALUE('Capacity summary'!AN84)),0),AN172*$BI172),AN172*$BI172),0)</f>
        <v>0</v>
      </c>
      <c r="CR172" s="5">
        <f>IF($BI172&lt;&gt;"",IF('Capacity summary'!$C$14="Yes",IF(COUNTBLANK('Capacity summary'!$H84:$BG84)&lt;52,IF('Capacity summary'!AO84&lt;&gt;"",IF(LOWER('Capacity summary'!AO84)="x",$BI172*AO172,VALUE('Capacity summary'!AO84)),0),AO172*$BI172),AO172*$BI172),0)</f>
        <v>0</v>
      </c>
      <c r="CS172" s="5">
        <f>IF($BI172&lt;&gt;"",IF('Capacity summary'!$C$14="Yes",IF(COUNTBLANK('Capacity summary'!$H84:$BG84)&lt;52,IF('Capacity summary'!AP84&lt;&gt;"",IF(LOWER('Capacity summary'!AP84)="x",$BI172*AP172,VALUE('Capacity summary'!AP84)),0),AP172*$BI172),AP172*$BI172),0)</f>
        <v>0</v>
      </c>
      <c r="CT172" s="5">
        <f>IF($BI172&lt;&gt;"",IF('Capacity summary'!$C$14="Yes",IF(COUNTBLANK('Capacity summary'!$H84:$BG84)&lt;52,IF('Capacity summary'!AQ84&lt;&gt;"",IF(LOWER('Capacity summary'!AQ84)="x",$BI172*AQ172,VALUE('Capacity summary'!AQ84)),0),AQ172*$BI172),AQ172*$BI172),0)</f>
        <v>0</v>
      </c>
      <c r="CU172" s="5">
        <f>IF($BI172&lt;&gt;"",IF('Capacity summary'!$C$14="Yes",IF(COUNTBLANK('Capacity summary'!$H84:$BG84)&lt;52,IF('Capacity summary'!AR84&lt;&gt;"",IF(LOWER('Capacity summary'!AR84)="x",$BI172*AR172,VALUE('Capacity summary'!AR84)),0),AR172*$BI172),AR172*$BI172),0)</f>
        <v>0</v>
      </c>
      <c r="CV172" s="5">
        <f>IF($BI172&lt;&gt;"",IF('Capacity summary'!$C$14="Yes",IF(COUNTBLANK('Capacity summary'!$H84:$BG84)&lt;52,IF('Capacity summary'!AS84&lt;&gt;"",IF(LOWER('Capacity summary'!AS84)="x",$BI172*AS172,VALUE('Capacity summary'!AS84)),0),AS172*$BI172),AS172*$BI172),0)</f>
        <v>0</v>
      </c>
      <c r="CW172" s="5">
        <f>IF($BI172&lt;&gt;"",IF('Capacity summary'!$C$14="Yes",IF(COUNTBLANK('Capacity summary'!$H84:$BG84)&lt;52,IF('Capacity summary'!AT84&lt;&gt;"",IF(LOWER('Capacity summary'!AT84)="x",$BI172*AT172,VALUE('Capacity summary'!AT84)),0),AT172*$BI172),AT172*$BI172),0)</f>
        <v>0</v>
      </c>
      <c r="CX172" s="5">
        <f>IF($BI172&lt;&gt;"",IF('Capacity summary'!$C$14="Yes",IF(COUNTBLANK('Capacity summary'!$H84:$BG84)&lt;52,IF('Capacity summary'!AU84&lt;&gt;"",IF(LOWER('Capacity summary'!AU84)="x",$BI172*AU172,VALUE('Capacity summary'!AU84)),0),AU172*$BI172),AU172*$BI172),0)</f>
        <v>0</v>
      </c>
      <c r="CY172" s="5">
        <f>IF($BI172&lt;&gt;"",IF('Capacity summary'!$C$14="Yes",IF(COUNTBLANK('Capacity summary'!$H84:$BG84)&lt;52,IF('Capacity summary'!AV84&lt;&gt;"",IF(LOWER('Capacity summary'!AV84)="x",$BI172*AV172,VALUE('Capacity summary'!AV84)),0),AV172*$BI172),AV172*$BI172),0)</f>
        <v>0</v>
      </c>
      <c r="CZ172" s="5">
        <f>IF($BI172&lt;&gt;"",IF('Capacity summary'!$C$14="Yes",IF(COUNTBLANK('Capacity summary'!$H84:$BG84)&lt;52,IF('Capacity summary'!AW84&lt;&gt;"",IF(LOWER('Capacity summary'!AW84)="x",$BI172*AW172,VALUE('Capacity summary'!AW84)),0),AW172*$BI172),AW172*$BI172),0)</f>
        <v>0</v>
      </c>
      <c r="DA172" s="5">
        <f>IF($BI172&lt;&gt;"",IF('Capacity summary'!$C$14="Yes",IF(COUNTBLANK('Capacity summary'!$H84:$BG84)&lt;52,IF('Capacity summary'!AX84&lt;&gt;"",IF(LOWER('Capacity summary'!AX84)="x",$BI172*AX172,VALUE('Capacity summary'!AX84)),0),AX172*$BI172),AX172*$BI172),0)</f>
        <v>0</v>
      </c>
      <c r="DB172" s="5">
        <f>IF($BI172&lt;&gt;"",IF('Capacity summary'!$C$14="Yes",IF(COUNTBLANK('Capacity summary'!$H84:$BG84)&lt;52,IF('Capacity summary'!AY84&lt;&gt;"",IF(LOWER('Capacity summary'!AY84)="x",$BI172*AY172,VALUE('Capacity summary'!AY84)),0),AY172*$BI172),AY172*$BI172),0)</f>
        <v>0</v>
      </c>
      <c r="DC172" s="5">
        <f>IF($BI172&lt;&gt;"",IF('Capacity summary'!$C$14="Yes",IF(COUNTBLANK('Capacity summary'!$H84:$BG84)&lt;52,IF('Capacity summary'!AZ84&lt;&gt;"",IF(LOWER('Capacity summary'!AZ84)="x",$BI172*AZ172,VALUE('Capacity summary'!AZ84)),0),AZ172*$BI172),AZ172*$BI172),0)</f>
        <v>0</v>
      </c>
      <c r="DD172" s="5">
        <f>IF($BI172&lt;&gt;"",IF('Capacity summary'!$C$14="Yes",IF(COUNTBLANK('Capacity summary'!$H84:$BG84)&lt;52,IF('Capacity summary'!BA84&lt;&gt;"",IF(LOWER('Capacity summary'!BA84)="x",$BI172*BA172,VALUE('Capacity summary'!BA84)),0),BA172*$BI172),BA172*$BI172),0)</f>
        <v>0</v>
      </c>
      <c r="DE172" s="5">
        <f>IF($BI172&lt;&gt;"",IF('Capacity summary'!$C$14="Yes",IF(COUNTBLANK('Capacity summary'!$H84:$BG84)&lt;52,IF('Capacity summary'!BB84&lt;&gt;"",IF(LOWER('Capacity summary'!BB84)="x",$BI172*BB172,VALUE('Capacity summary'!BB84)),0),BB172*$BI172),BB172*$BI172),0)</f>
        <v>0</v>
      </c>
      <c r="DF172" s="5">
        <f>IF($BI172&lt;&gt;"",IF('Capacity summary'!$C$14="Yes",IF(COUNTBLANK('Capacity summary'!$H84:$BG84)&lt;52,IF('Capacity summary'!BC84&lt;&gt;"",IF(LOWER('Capacity summary'!BC84)="x",$BI172*BC172,VALUE('Capacity summary'!BC84)),0),BC172*$BI172),BC172*$BI172),0)</f>
        <v>0</v>
      </c>
      <c r="DG172" s="5">
        <f>IF($BI172&lt;&gt;"",IF('Capacity summary'!$C$14="Yes",IF(COUNTBLANK('Capacity summary'!$H84:$BG84)&lt;52,IF('Capacity summary'!BD84&lt;&gt;"",IF(LOWER('Capacity summary'!BD84)="x",$BI172*BD172,VALUE('Capacity summary'!BD84)),0),BD172*$BI172),BD172*$BI172),0)</f>
        <v>0</v>
      </c>
      <c r="DH172" s="5">
        <f>IF($BI172&lt;&gt;"",IF('Capacity summary'!$C$14="Yes",IF(COUNTBLANK('Capacity summary'!$H84:$BG84)&lt;52,IF('Capacity summary'!BE84&lt;&gt;"",IF(LOWER('Capacity summary'!BE84)="x",$BI172*BE172,VALUE('Capacity summary'!BE84)),0),BE172*$BI172),BE172*$BI172),0)</f>
        <v>0</v>
      </c>
      <c r="DI172" s="5">
        <f>IF($BI172&lt;&gt;"",IF('Capacity summary'!$C$14="Yes",IF(COUNTBLANK('Capacity summary'!$H84:$BG84)&lt;52,IF('Capacity summary'!BF84&lt;&gt;"",IF(LOWER('Capacity summary'!BF84)="x",$BI172*BF172,VALUE('Capacity summary'!BF84)),0),BF172*$BI172),BF172*$BI172),0)</f>
        <v>0</v>
      </c>
      <c r="DJ172" s="5">
        <f>IF($BI172&lt;&gt;"",IF('Capacity summary'!$C$14="Yes",IF(COUNTBLANK('Capacity summary'!$H84:$BG84)&lt;52,IF('Capacity summary'!BG84&lt;&gt;"",IF(LOWER('Capacity summary'!BG84)="x",$BI172*BG172,VALUE('Capacity summary'!BG84)),0),BG172*$BI172),BG172*$BI172),0)</f>
        <v>0</v>
      </c>
      <c r="DK172" s="391">
        <f t="shared" si="8"/>
        <v>0</v>
      </c>
      <c r="DL172" s="5">
        <f t="shared" si="9"/>
        <v>0</v>
      </c>
    </row>
    <row r="173" spans="3:116" x14ac:dyDescent="0.2">
      <c r="C173" s="67" t="str">
        <f>ROW(A62)&amp;". "&amp;Capacity!N78</f>
        <v xml:space="preserve">62. </v>
      </c>
      <c r="D173" s="67">
        <f>'Capacity setup'!C179</f>
        <v>0</v>
      </c>
      <c r="E173" s="67">
        <f>'Capacity setup'!D179</f>
        <v>0</v>
      </c>
      <c r="F173" s="67">
        <f>'Capacity setup'!E179</f>
        <v>0</v>
      </c>
      <c r="H173" s="67">
        <f ca="1">IF(LOWER(Capacity!$V78)="x",IF(AND(SUMIF(Capacity_Resource,$D173,'Critical resources (hide)'!U$6:U$105)+SUMIF(Capacity_Resource,$E173,'Critical resources (hide)'!U$6:U$105)+SUMIF(Capacity_Resource,$F173,'Critical resources (hide)'!U$6:U$105)&gt;0,$E$1=2),0,1),0)</f>
        <v>1</v>
      </c>
      <c r="I173" s="67">
        <f ca="1">IF(LOWER(Capacity!$V78)="x",IF(AND(SUMIF(Capacity_Resource,$D173,'Critical resources (hide)'!V$6:V$105)+SUMIF(Capacity_Resource,$E173,'Critical resources (hide)'!V$6:V$105)+SUMIF(Capacity_Resource,$F173,'Critical resources (hide)'!V$6:V$105)&gt;0,$E$1=2),0,1),0)</f>
        <v>1</v>
      </c>
      <c r="J173" s="67">
        <f ca="1">IF(LOWER(Capacity!$V78)="x",IF(AND(SUMIF(Capacity_Resource,$D173,'Critical resources (hide)'!W$6:W$105)+SUMIF(Capacity_Resource,$E173,'Critical resources (hide)'!W$6:W$105)+SUMIF(Capacity_Resource,$F173,'Critical resources (hide)'!W$6:W$105)&gt;0,$E$1=2),0,1),0)</f>
        <v>1</v>
      </c>
      <c r="K173" s="67">
        <f ca="1">IF(LOWER(Capacity!$V78)="x",IF(AND(SUMIF(Capacity_Resource,$D173,'Critical resources (hide)'!X$6:X$105)+SUMIF(Capacity_Resource,$E173,'Critical resources (hide)'!X$6:X$105)+SUMIF(Capacity_Resource,$F173,'Critical resources (hide)'!X$6:X$105)&gt;0,$E$1=2),0,1),0)</f>
        <v>1</v>
      </c>
      <c r="L173" s="67">
        <f ca="1">IF(LOWER(Capacity!$V78)="x",IF(AND(SUMIF(Capacity_Resource,$D173,'Critical resources (hide)'!Y$6:Y$105)+SUMIF(Capacity_Resource,$E173,'Critical resources (hide)'!Y$6:Y$105)+SUMIF(Capacity_Resource,$F173,'Critical resources (hide)'!Y$6:Y$105)&gt;0,$E$1=2),0,1),0)</f>
        <v>1</v>
      </c>
      <c r="M173" s="67">
        <f ca="1">IF(LOWER(Capacity!$V78)="x",IF(AND(SUMIF(Capacity_Resource,$D173,'Critical resources (hide)'!Z$6:Z$105)+SUMIF(Capacity_Resource,$E173,'Critical resources (hide)'!Z$6:Z$105)+SUMIF(Capacity_Resource,$F173,'Critical resources (hide)'!Z$6:Z$105)&gt;0,$E$1=2),0,1),0)</f>
        <v>1</v>
      </c>
      <c r="N173" s="67">
        <f ca="1">IF(LOWER(Capacity!$V78)="x",IF(AND(SUMIF(Capacity_Resource,$D173,'Critical resources (hide)'!AA$6:AA$105)+SUMIF(Capacity_Resource,$E173,'Critical resources (hide)'!AA$6:AA$105)+SUMIF(Capacity_Resource,$F173,'Critical resources (hide)'!AA$6:AA$105)&gt;0,$E$1=2),0,1),0)</f>
        <v>1</v>
      </c>
      <c r="O173" s="67">
        <f ca="1">IF(LOWER(Capacity!$V78)="x",IF(AND(SUMIF(Capacity_Resource,$D173,'Critical resources (hide)'!AB$6:AB$105)+SUMIF(Capacity_Resource,$E173,'Critical resources (hide)'!AB$6:AB$105)+SUMIF(Capacity_Resource,$F173,'Critical resources (hide)'!AB$6:AB$105)&gt;0,$E$1=2),0,1),0)</f>
        <v>1</v>
      </c>
      <c r="P173" s="67">
        <f ca="1">IF(LOWER(Capacity!$V78)="x",IF(AND(SUMIF(Capacity_Resource,$D173,'Critical resources (hide)'!AC$6:AC$105)+SUMIF(Capacity_Resource,$E173,'Critical resources (hide)'!AC$6:AC$105)+SUMIF(Capacity_Resource,$F173,'Critical resources (hide)'!AC$6:AC$105)&gt;0,$E$1=2),0,1),0)</f>
        <v>1</v>
      </c>
      <c r="Q173" s="67">
        <f ca="1">IF(LOWER(Capacity!$V78)="x",IF(AND(SUMIF(Capacity_Resource,$D173,'Critical resources (hide)'!AD$6:AD$105)+SUMIF(Capacity_Resource,$E173,'Critical resources (hide)'!AD$6:AD$105)+SUMIF(Capacity_Resource,$F173,'Critical resources (hide)'!AD$6:AD$105)&gt;0,$E$1=2),0,1),0)</f>
        <v>1</v>
      </c>
      <c r="R173" s="67">
        <f ca="1">IF(LOWER(Capacity!$V78)="x",IF(AND(SUMIF(Capacity_Resource,$D173,'Critical resources (hide)'!AE$6:AE$105)+SUMIF(Capacity_Resource,$E173,'Critical resources (hide)'!AE$6:AE$105)+SUMIF(Capacity_Resource,$F173,'Critical resources (hide)'!AE$6:AE$105)&gt;0,$E$1=2),0,1),0)</f>
        <v>1</v>
      </c>
      <c r="S173" s="67">
        <f ca="1">IF(LOWER(Capacity!$V78)="x",IF(AND(SUMIF(Capacity_Resource,$D173,'Critical resources (hide)'!AF$6:AF$105)+SUMIF(Capacity_Resource,$E173,'Critical resources (hide)'!AF$6:AF$105)+SUMIF(Capacity_Resource,$F173,'Critical resources (hide)'!AF$6:AF$105)&gt;0,$E$1=2),0,1),0)</f>
        <v>1</v>
      </c>
      <c r="T173" s="67">
        <f ca="1">IF(LOWER(Capacity!$V78)="x",IF(AND(SUMIF(Capacity_Resource,$D173,'Critical resources (hide)'!AG$6:AG$105)+SUMIF(Capacity_Resource,$E173,'Critical resources (hide)'!AG$6:AG$105)+SUMIF(Capacity_Resource,$F173,'Critical resources (hide)'!AG$6:AG$105)&gt;0,$E$1=2),0,1),0)</f>
        <v>1</v>
      </c>
      <c r="U173" s="67">
        <f ca="1">IF(LOWER(Capacity!$V78)="x",IF(AND(SUMIF(Capacity_Resource,$D173,'Critical resources (hide)'!AH$6:AH$105)+SUMIF(Capacity_Resource,$E173,'Critical resources (hide)'!AH$6:AH$105)+SUMIF(Capacity_Resource,$F173,'Critical resources (hide)'!AH$6:AH$105)&gt;0,$E$1=2),0,1),0)</f>
        <v>1</v>
      </c>
      <c r="V173" s="67">
        <f ca="1">IF(LOWER(Capacity!$V78)="x",IF(AND(SUMIF(Capacity_Resource,$D173,'Critical resources (hide)'!AI$6:AI$105)+SUMIF(Capacity_Resource,$E173,'Critical resources (hide)'!AI$6:AI$105)+SUMIF(Capacity_Resource,$F173,'Critical resources (hide)'!AI$6:AI$105)&gt;0,$E$1=2),0,1),0)</f>
        <v>1</v>
      </c>
      <c r="W173" s="67">
        <f ca="1">IF(LOWER(Capacity!$V78)="x",IF(AND(SUMIF(Capacity_Resource,$D173,'Critical resources (hide)'!AJ$6:AJ$105)+SUMIF(Capacity_Resource,$E173,'Critical resources (hide)'!AJ$6:AJ$105)+SUMIF(Capacity_Resource,$F173,'Critical resources (hide)'!AJ$6:AJ$105)&gt;0,$E$1=2),0,1),0)</f>
        <v>1</v>
      </c>
      <c r="X173" s="67">
        <f ca="1">IF(LOWER(Capacity!$V78)="x",IF(AND(SUMIF(Capacity_Resource,$D173,'Critical resources (hide)'!AK$6:AK$105)+SUMIF(Capacity_Resource,$E173,'Critical resources (hide)'!AK$6:AK$105)+SUMIF(Capacity_Resource,$F173,'Critical resources (hide)'!AK$6:AK$105)&gt;0,$E$1=2),0,1),0)</f>
        <v>1</v>
      </c>
      <c r="Y173" s="67">
        <f ca="1">IF(LOWER(Capacity!$V78)="x",IF(AND(SUMIF(Capacity_Resource,$D173,'Critical resources (hide)'!AL$6:AL$105)+SUMIF(Capacity_Resource,$E173,'Critical resources (hide)'!AL$6:AL$105)+SUMIF(Capacity_Resource,$F173,'Critical resources (hide)'!AL$6:AL$105)&gt;0,$E$1=2),0,1),0)</f>
        <v>1</v>
      </c>
      <c r="Z173" s="67">
        <f ca="1">IF(LOWER(Capacity!$V78)="x",IF(AND(SUMIF(Capacity_Resource,$D173,'Critical resources (hide)'!AM$6:AM$105)+SUMIF(Capacity_Resource,$E173,'Critical resources (hide)'!AM$6:AM$105)+SUMIF(Capacity_Resource,$F173,'Critical resources (hide)'!AM$6:AM$105)&gt;0,$E$1=2),0,1),0)</f>
        <v>1</v>
      </c>
      <c r="AA173" s="67">
        <f ca="1">IF(LOWER(Capacity!$V78)="x",IF(AND(SUMIF(Capacity_Resource,$D173,'Critical resources (hide)'!AN$6:AN$105)+SUMIF(Capacity_Resource,$E173,'Critical resources (hide)'!AN$6:AN$105)+SUMIF(Capacity_Resource,$F173,'Critical resources (hide)'!AN$6:AN$105)&gt;0,$E$1=2),0,1),0)</f>
        <v>1</v>
      </c>
      <c r="AB173" s="67">
        <f ca="1">IF(LOWER(Capacity!$V78)="x",IF(AND(SUMIF(Capacity_Resource,$D173,'Critical resources (hide)'!AO$6:AO$105)+SUMIF(Capacity_Resource,$E173,'Critical resources (hide)'!AO$6:AO$105)+SUMIF(Capacity_Resource,$F173,'Critical resources (hide)'!AO$6:AO$105)&gt;0,$E$1=2),0,1),0)</f>
        <v>1</v>
      </c>
      <c r="AC173" s="67">
        <f ca="1">IF(LOWER(Capacity!$V78)="x",IF(AND(SUMIF(Capacity_Resource,$D173,'Critical resources (hide)'!AP$6:AP$105)+SUMIF(Capacity_Resource,$E173,'Critical resources (hide)'!AP$6:AP$105)+SUMIF(Capacity_Resource,$F173,'Critical resources (hide)'!AP$6:AP$105)&gt;0,$E$1=2),0,1),0)</f>
        <v>1</v>
      </c>
      <c r="AD173" s="67">
        <f ca="1">IF(LOWER(Capacity!$V78)="x",IF(AND(SUMIF(Capacity_Resource,$D173,'Critical resources (hide)'!AQ$6:AQ$105)+SUMIF(Capacity_Resource,$E173,'Critical resources (hide)'!AQ$6:AQ$105)+SUMIF(Capacity_Resource,$F173,'Critical resources (hide)'!AQ$6:AQ$105)&gt;0,$E$1=2),0,1),0)</f>
        <v>1</v>
      </c>
      <c r="AE173" s="67">
        <f ca="1">IF(LOWER(Capacity!$V78)="x",IF(AND(SUMIF(Capacity_Resource,$D173,'Critical resources (hide)'!AR$6:AR$105)+SUMIF(Capacity_Resource,$E173,'Critical resources (hide)'!AR$6:AR$105)+SUMIF(Capacity_Resource,$F173,'Critical resources (hide)'!AR$6:AR$105)&gt;0,$E$1=2),0,1),0)</f>
        <v>1</v>
      </c>
      <c r="AF173" s="67">
        <f ca="1">IF(LOWER(Capacity!$V78)="x",IF(AND(SUMIF(Capacity_Resource,$D173,'Critical resources (hide)'!AS$6:AS$105)+SUMIF(Capacity_Resource,$E173,'Critical resources (hide)'!AS$6:AS$105)+SUMIF(Capacity_Resource,$F173,'Critical resources (hide)'!AS$6:AS$105)&gt;0,$E$1=2),0,1),0)</f>
        <v>1</v>
      </c>
      <c r="AG173" s="67">
        <f ca="1">IF(LOWER(Capacity!$V78)="x",IF(AND(SUMIF(Capacity_Resource,$D173,'Critical resources (hide)'!AT$6:AT$105)+SUMIF(Capacity_Resource,$E173,'Critical resources (hide)'!AT$6:AT$105)+SUMIF(Capacity_Resource,$F173,'Critical resources (hide)'!AT$6:AT$105)&gt;0,$E$1=2),0,1),0)</f>
        <v>1</v>
      </c>
      <c r="AH173" s="67">
        <f ca="1">IF(LOWER(Capacity!$V78)="x",IF(AND(SUMIF(Capacity_Resource,$D173,'Critical resources (hide)'!AU$6:AU$105)+SUMIF(Capacity_Resource,$E173,'Critical resources (hide)'!AU$6:AU$105)+SUMIF(Capacity_Resource,$F173,'Critical resources (hide)'!AU$6:AU$105)&gt;0,$E$1=2),0,1),0)</f>
        <v>1</v>
      </c>
      <c r="AI173" s="67">
        <f ca="1">IF(LOWER(Capacity!$V78)="x",IF(AND(SUMIF(Capacity_Resource,$D173,'Critical resources (hide)'!AV$6:AV$105)+SUMIF(Capacity_Resource,$E173,'Critical resources (hide)'!AV$6:AV$105)+SUMIF(Capacity_Resource,$F173,'Critical resources (hide)'!AV$6:AV$105)&gt;0,$E$1=2),0,1),0)</f>
        <v>1</v>
      </c>
      <c r="AJ173" s="67">
        <f ca="1">IF(LOWER(Capacity!$V78)="x",IF(AND(SUMIF(Capacity_Resource,$D173,'Critical resources (hide)'!AW$6:AW$105)+SUMIF(Capacity_Resource,$E173,'Critical resources (hide)'!AW$6:AW$105)+SUMIF(Capacity_Resource,$F173,'Critical resources (hide)'!AW$6:AW$105)&gt;0,$E$1=2),0,1),0)</f>
        <v>1</v>
      </c>
      <c r="AK173" s="67">
        <f ca="1">IF(LOWER(Capacity!$V78)="x",IF(AND(SUMIF(Capacity_Resource,$D173,'Critical resources (hide)'!AX$6:AX$105)+SUMIF(Capacity_Resource,$E173,'Critical resources (hide)'!AX$6:AX$105)+SUMIF(Capacity_Resource,$F173,'Critical resources (hide)'!AX$6:AX$105)&gt;0,$E$1=2),0,1),0)</f>
        <v>1</v>
      </c>
      <c r="AL173" s="67">
        <f ca="1">IF(LOWER(Capacity!$V78)="x",IF(AND(SUMIF(Capacity_Resource,$D173,'Critical resources (hide)'!AY$6:AY$105)+SUMIF(Capacity_Resource,$E173,'Critical resources (hide)'!AY$6:AY$105)+SUMIF(Capacity_Resource,$F173,'Critical resources (hide)'!AY$6:AY$105)&gt;0,$E$1=2),0,1),0)</f>
        <v>1</v>
      </c>
      <c r="AM173" s="67">
        <f ca="1">IF(LOWER(Capacity!$V78)="x",IF(AND(SUMIF(Capacity_Resource,$D173,'Critical resources (hide)'!AZ$6:AZ$105)+SUMIF(Capacity_Resource,$E173,'Critical resources (hide)'!AZ$6:AZ$105)+SUMIF(Capacity_Resource,$F173,'Critical resources (hide)'!AZ$6:AZ$105)&gt;0,$E$1=2),0,1),0)</f>
        <v>1</v>
      </c>
      <c r="AN173" s="67">
        <f ca="1">IF(LOWER(Capacity!$V78)="x",IF(AND(SUMIF(Capacity_Resource,$D173,'Critical resources (hide)'!BA$6:BA$105)+SUMIF(Capacity_Resource,$E173,'Critical resources (hide)'!BA$6:BA$105)+SUMIF(Capacity_Resource,$F173,'Critical resources (hide)'!BA$6:BA$105)&gt;0,$E$1=2),0,1),0)</f>
        <v>1</v>
      </c>
      <c r="AO173" s="67">
        <f ca="1">IF(LOWER(Capacity!$V78)="x",IF(AND(SUMIF(Capacity_Resource,$D173,'Critical resources (hide)'!BB$6:BB$105)+SUMIF(Capacity_Resource,$E173,'Critical resources (hide)'!BB$6:BB$105)+SUMIF(Capacity_Resource,$F173,'Critical resources (hide)'!BB$6:BB$105)&gt;0,$E$1=2),0,1),0)</f>
        <v>1</v>
      </c>
      <c r="AP173" s="67">
        <f ca="1">IF(LOWER(Capacity!$V78)="x",IF(AND(SUMIF(Capacity_Resource,$D173,'Critical resources (hide)'!BC$6:BC$105)+SUMIF(Capacity_Resource,$E173,'Critical resources (hide)'!BC$6:BC$105)+SUMIF(Capacity_Resource,$F173,'Critical resources (hide)'!BC$6:BC$105)&gt;0,$E$1=2),0,1),0)</f>
        <v>1</v>
      </c>
      <c r="AQ173" s="67">
        <f ca="1">IF(LOWER(Capacity!$V78)="x",IF(AND(SUMIF(Capacity_Resource,$D173,'Critical resources (hide)'!BD$6:BD$105)+SUMIF(Capacity_Resource,$E173,'Critical resources (hide)'!BD$6:BD$105)+SUMIF(Capacity_Resource,$F173,'Critical resources (hide)'!BD$6:BD$105)&gt;0,$E$1=2),0,1),0)</f>
        <v>1</v>
      </c>
      <c r="AR173" s="67">
        <f ca="1">IF(LOWER(Capacity!$V78)="x",IF(AND(SUMIF(Capacity_Resource,$D173,'Critical resources (hide)'!BE$6:BE$105)+SUMIF(Capacity_Resource,$E173,'Critical resources (hide)'!BE$6:BE$105)+SUMIF(Capacity_Resource,$F173,'Critical resources (hide)'!BE$6:BE$105)&gt;0,$E$1=2),0,1),0)</f>
        <v>1</v>
      </c>
      <c r="AS173" s="67">
        <f ca="1">IF(LOWER(Capacity!$V78)="x",IF(AND(SUMIF(Capacity_Resource,$D173,'Critical resources (hide)'!BF$6:BF$105)+SUMIF(Capacity_Resource,$E173,'Critical resources (hide)'!BF$6:BF$105)+SUMIF(Capacity_Resource,$F173,'Critical resources (hide)'!BF$6:BF$105)&gt;0,$E$1=2),0,1),0)</f>
        <v>1</v>
      </c>
      <c r="AT173" s="67">
        <f ca="1">IF(LOWER(Capacity!$V78)="x",IF(AND(SUMIF(Capacity_Resource,$D173,'Critical resources (hide)'!BG$6:BG$105)+SUMIF(Capacity_Resource,$E173,'Critical resources (hide)'!BG$6:BG$105)+SUMIF(Capacity_Resource,$F173,'Critical resources (hide)'!BG$6:BG$105)&gt;0,$E$1=2),0,1),0)</f>
        <v>1</v>
      </c>
      <c r="AU173" s="67">
        <f ca="1">IF(LOWER(Capacity!$V78)="x",IF(AND(SUMIF(Capacity_Resource,$D173,'Critical resources (hide)'!BH$6:BH$105)+SUMIF(Capacity_Resource,$E173,'Critical resources (hide)'!BH$6:BH$105)+SUMIF(Capacity_Resource,$F173,'Critical resources (hide)'!BH$6:BH$105)&gt;0,$E$1=2),0,1),0)</f>
        <v>1</v>
      </c>
      <c r="AV173" s="67">
        <f ca="1">IF(LOWER(Capacity!$V78)="x",IF(AND(SUMIF(Capacity_Resource,$D173,'Critical resources (hide)'!BI$6:BI$105)+SUMIF(Capacity_Resource,$E173,'Critical resources (hide)'!BI$6:BI$105)+SUMIF(Capacity_Resource,$F173,'Critical resources (hide)'!BI$6:BI$105)&gt;0,$E$1=2),0,1),0)</f>
        <v>1</v>
      </c>
      <c r="AW173" s="67">
        <f ca="1">IF(LOWER(Capacity!$V78)="x",IF(AND(SUMIF(Capacity_Resource,$D173,'Critical resources (hide)'!BJ$6:BJ$105)+SUMIF(Capacity_Resource,$E173,'Critical resources (hide)'!BJ$6:BJ$105)+SUMIF(Capacity_Resource,$F173,'Critical resources (hide)'!BJ$6:BJ$105)&gt;0,$E$1=2),0,1),0)</f>
        <v>1</v>
      </c>
      <c r="AX173" s="67">
        <f ca="1">IF(LOWER(Capacity!$V78)="x",IF(AND(SUMIF(Capacity_Resource,$D173,'Critical resources (hide)'!BK$6:BK$105)+SUMIF(Capacity_Resource,$E173,'Critical resources (hide)'!BK$6:BK$105)+SUMIF(Capacity_Resource,$F173,'Critical resources (hide)'!BK$6:BK$105)&gt;0,$E$1=2),0,1),0)</f>
        <v>1</v>
      </c>
      <c r="AY173" s="67">
        <f ca="1">IF(LOWER(Capacity!$V78)="x",IF(AND(SUMIF(Capacity_Resource,$D173,'Critical resources (hide)'!BL$6:BL$105)+SUMIF(Capacity_Resource,$E173,'Critical resources (hide)'!BL$6:BL$105)+SUMIF(Capacity_Resource,$F173,'Critical resources (hide)'!BL$6:BL$105)&gt;0,$E$1=2),0,1),0)</f>
        <v>1</v>
      </c>
      <c r="AZ173" s="67">
        <f ca="1">IF(LOWER(Capacity!$V78)="x",IF(AND(SUMIF(Capacity_Resource,$D173,'Critical resources (hide)'!BM$6:BM$105)+SUMIF(Capacity_Resource,$E173,'Critical resources (hide)'!BM$6:BM$105)+SUMIF(Capacity_Resource,$F173,'Critical resources (hide)'!BM$6:BM$105)&gt;0,$E$1=2),0,1),0)</f>
        <v>1</v>
      </c>
      <c r="BA173" s="67">
        <f ca="1">IF(LOWER(Capacity!$V78)="x",IF(AND(SUMIF(Capacity_Resource,$D173,'Critical resources (hide)'!BN$6:BN$105)+SUMIF(Capacity_Resource,$E173,'Critical resources (hide)'!BN$6:BN$105)+SUMIF(Capacity_Resource,$F173,'Critical resources (hide)'!BN$6:BN$105)&gt;0,$E$1=2),0,1),0)</f>
        <v>1</v>
      </c>
      <c r="BB173" s="67">
        <f ca="1">IF(LOWER(Capacity!$V78)="x",IF(AND(SUMIF(Capacity_Resource,$D173,'Critical resources (hide)'!BO$6:BO$105)+SUMIF(Capacity_Resource,$E173,'Critical resources (hide)'!BO$6:BO$105)+SUMIF(Capacity_Resource,$F173,'Critical resources (hide)'!BO$6:BO$105)&gt;0,$E$1=2),0,1),0)</f>
        <v>1</v>
      </c>
      <c r="BC173" s="67">
        <f ca="1">IF(LOWER(Capacity!$V78)="x",IF(AND(SUMIF(Capacity_Resource,$D173,'Critical resources (hide)'!BP$6:BP$105)+SUMIF(Capacity_Resource,$E173,'Critical resources (hide)'!BP$6:BP$105)+SUMIF(Capacity_Resource,$F173,'Critical resources (hide)'!BP$6:BP$105)&gt;0,$E$1=2),0,1),0)</f>
        <v>1</v>
      </c>
      <c r="BD173" s="67">
        <f ca="1">IF(LOWER(Capacity!$V78)="x",IF(AND(SUMIF(Capacity_Resource,$D173,'Critical resources (hide)'!BQ$6:BQ$105)+SUMIF(Capacity_Resource,$E173,'Critical resources (hide)'!BQ$6:BQ$105)+SUMIF(Capacity_Resource,$F173,'Critical resources (hide)'!BQ$6:BQ$105)&gt;0,$E$1=2),0,1),0)</f>
        <v>1</v>
      </c>
      <c r="BE173" s="67">
        <f ca="1">IF(LOWER(Capacity!$V78)="x",IF(AND(SUMIF(Capacity_Resource,$D173,'Critical resources (hide)'!BR$6:BR$105)+SUMIF(Capacity_Resource,$E173,'Critical resources (hide)'!BR$6:BR$105)+SUMIF(Capacity_Resource,$F173,'Critical resources (hide)'!BR$6:BR$105)&gt;0,$E$1=2),0,1),0)</f>
        <v>1</v>
      </c>
      <c r="BF173" s="67">
        <f ca="1">IF(LOWER(Capacity!$V78)="x",IF(AND(SUMIF(Capacity_Resource,$D173,'Critical resources (hide)'!BS$6:BS$105)+SUMIF(Capacity_Resource,$E173,'Critical resources (hide)'!BS$6:BS$105)+SUMIF(Capacity_Resource,$F173,'Critical resources (hide)'!BS$6:BS$105)&gt;0,$E$1=2),0,1),0)</f>
        <v>1</v>
      </c>
      <c r="BG173" s="67">
        <f ca="1">IF(LOWER(Capacity!$V78)="x",IF(AND(SUMIF(Capacity_Resource,$D173,'Critical resources (hide)'!BT$6:BT$105)+SUMIF(Capacity_Resource,$E173,'Critical resources (hide)'!BT$6:BT$105)+SUMIF(Capacity_Resource,$F173,'Critical resources (hide)'!BT$6:BT$105)&gt;0,$E$1=2),0,1),0)</f>
        <v>1</v>
      </c>
      <c r="BH173" s="67">
        <f>IF(ROW(A62)&lt;=Capacity!$M$16,IF('Capacity summary'!$C$14="No",SUM(H173:BG173),'Capacity summary'!$E85),0)</f>
        <v>0</v>
      </c>
      <c r="BI173" s="67" t="str">
        <f>IF(BH173&gt;0,IF(BH173&lt;Capacity!Q78,Capacity!R78,Capacity!T78/'Capacity calculation (hide)'!BH173),"")</f>
        <v/>
      </c>
      <c r="BJ173" s="5"/>
      <c r="BK173" s="5">
        <f>IF($BI173&lt;&gt;"",IF('Capacity summary'!$C$14="Yes",IF(COUNTBLANK('Capacity summary'!$H85:$BG85)&lt;52,IF('Capacity summary'!H85&lt;&gt;"",IF(LOWER('Capacity summary'!H85)="x",$BI173*H173,VALUE('Capacity summary'!H85)),0),H173*$BI173),H173*$BI173),0)</f>
        <v>0</v>
      </c>
      <c r="BL173" s="5">
        <f>IF($BI173&lt;&gt;"",IF('Capacity summary'!$C$14="Yes",IF(COUNTBLANK('Capacity summary'!$H85:$BG85)&lt;52,IF('Capacity summary'!I85&lt;&gt;"",IF(LOWER('Capacity summary'!I85)="x",$BI173*I173,VALUE('Capacity summary'!I85)),0),I173*$BI173),I173*$BI173),0)</f>
        <v>0</v>
      </c>
      <c r="BM173" s="5">
        <f>IF($BI173&lt;&gt;"",IF('Capacity summary'!$C$14="Yes",IF(COUNTBLANK('Capacity summary'!$H85:$BG85)&lt;52,IF('Capacity summary'!J85&lt;&gt;"",IF(LOWER('Capacity summary'!J85)="x",$BI173*J173,VALUE('Capacity summary'!J85)),0),J173*$BI173),J173*$BI173),0)</f>
        <v>0</v>
      </c>
      <c r="BN173" s="5">
        <f>IF($BI173&lt;&gt;"",IF('Capacity summary'!$C$14="Yes",IF(COUNTBLANK('Capacity summary'!$H85:$BG85)&lt;52,IF('Capacity summary'!K85&lt;&gt;"",IF(LOWER('Capacity summary'!K85)="x",$BI173*K173,VALUE('Capacity summary'!K85)),0),K173*$BI173),K173*$BI173),0)</f>
        <v>0</v>
      </c>
      <c r="BO173" s="5">
        <f>IF($BI173&lt;&gt;"",IF('Capacity summary'!$C$14="Yes",IF(COUNTBLANK('Capacity summary'!$H85:$BG85)&lt;52,IF('Capacity summary'!L85&lt;&gt;"",IF(LOWER('Capacity summary'!L85)="x",$BI173*L173,VALUE('Capacity summary'!L85)),0),L173*$BI173),L173*$BI173),0)</f>
        <v>0</v>
      </c>
      <c r="BP173" s="5">
        <f>IF($BI173&lt;&gt;"",IF('Capacity summary'!$C$14="Yes",IF(COUNTBLANK('Capacity summary'!$H85:$BG85)&lt;52,IF('Capacity summary'!M85&lt;&gt;"",IF(LOWER('Capacity summary'!M85)="x",$BI173*M173,VALUE('Capacity summary'!M85)),0),M173*$BI173),M173*$BI173),0)</f>
        <v>0</v>
      </c>
      <c r="BQ173" s="5">
        <f>IF($BI173&lt;&gt;"",IF('Capacity summary'!$C$14="Yes",IF(COUNTBLANK('Capacity summary'!$H85:$BG85)&lt;52,IF('Capacity summary'!N85&lt;&gt;"",IF(LOWER('Capacity summary'!N85)="x",$BI173*N173,VALUE('Capacity summary'!N85)),0),N173*$BI173),N173*$BI173),0)</f>
        <v>0</v>
      </c>
      <c r="BR173" s="5">
        <f>IF($BI173&lt;&gt;"",IF('Capacity summary'!$C$14="Yes",IF(COUNTBLANK('Capacity summary'!$H85:$BG85)&lt;52,IF('Capacity summary'!O85&lt;&gt;"",IF(LOWER('Capacity summary'!O85)="x",$BI173*O173,VALUE('Capacity summary'!O85)),0),O173*$BI173),O173*$BI173),0)</f>
        <v>0</v>
      </c>
      <c r="BS173" s="5">
        <f>IF($BI173&lt;&gt;"",IF('Capacity summary'!$C$14="Yes",IF(COUNTBLANK('Capacity summary'!$H85:$BG85)&lt;52,IF('Capacity summary'!P85&lt;&gt;"",IF(LOWER('Capacity summary'!P85)="x",$BI173*P173,VALUE('Capacity summary'!P85)),0),P173*$BI173),P173*$BI173),0)</f>
        <v>0</v>
      </c>
      <c r="BT173" s="5">
        <f>IF($BI173&lt;&gt;"",IF('Capacity summary'!$C$14="Yes",IF(COUNTBLANK('Capacity summary'!$H85:$BG85)&lt;52,IF('Capacity summary'!Q85&lt;&gt;"",IF(LOWER('Capacity summary'!Q85)="x",$BI173*Q173,VALUE('Capacity summary'!Q85)),0),Q173*$BI173),Q173*$BI173),0)</f>
        <v>0</v>
      </c>
      <c r="BU173" s="5">
        <f>IF($BI173&lt;&gt;"",IF('Capacity summary'!$C$14="Yes",IF(COUNTBLANK('Capacity summary'!$H85:$BG85)&lt;52,IF('Capacity summary'!R85&lt;&gt;"",IF(LOWER('Capacity summary'!R85)="x",$BI173*R173,VALUE('Capacity summary'!R85)),0),R173*$BI173),R173*$BI173),0)</f>
        <v>0</v>
      </c>
      <c r="BV173" s="5">
        <f>IF($BI173&lt;&gt;"",IF('Capacity summary'!$C$14="Yes",IF(COUNTBLANK('Capacity summary'!$H85:$BG85)&lt;52,IF('Capacity summary'!S85&lt;&gt;"",IF(LOWER('Capacity summary'!S85)="x",$BI173*S173,VALUE('Capacity summary'!S85)),0),S173*$BI173),S173*$BI173),0)</f>
        <v>0</v>
      </c>
      <c r="BW173" s="5">
        <f>IF($BI173&lt;&gt;"",IF('Capacity summary'!$C$14="Yes",IF(COUNTBLANK('Capacity summary'!$H85:$BG85)&lt;52,IF('Capacity summary'!T85&lt;&gt;"",IF(LOWER('Capacity summary'!T85)="x",$BI173*T173,VALUE('Capacity summary'!T85)),0),T173*$BI173),T173*$BI173),0)</f>
        <v>0</v>
      </c>
      <c r="BX173" s="5">
        <f>IF($BI173&lt;&gt;"",IF('Capacity summary'!$C$14="Yes",IF(COUNTBLANK('Capacity summary'!$H85:$BG85)&lt;52,IF('Capacity summary'!U85&lt;&gt;"",IF(LOWER('Capacity summary'!U85)="x",$BI173*U173,VALUE('Capacity summary'!U85)),0),U173*$BI173),U173*$BI173),0)</f>
        <v>0</v>
      </c>
      <c r="BY173" s="5">
        <f>IF($BI173&lt;&gt;"",IF('Capacity summary'!$C$14="Yes",IF(COUNTBLANK('Capacity summary'!$H85:$BG85)&lt;52,IF('Capacity summary'!V85&lt;&gt;"",IF(LOWER('Capacity summary'!V85)="x",$BI173*V173,VALUE('Capacity summary'!V85)),0),V173*$BI173),V173*$BI173),0)</f>
        <v>0</v>
      </c>
      <c r="BZ173" s="5">
        <f>IF($BI173&lt;&gt;"",IF('Capacity summary'!$C$14="Yes",IF(COUNTBLANK('Capacity summary'!$H85:$BG85)&lt;52,IF('Capacity summary'!W85&lt;&gt;"",IF(LOWER('Capacity summary'!W85)="x",$BI173*W173,VALUE('Capacity summary'!W85)),0),W173*$BI173),W173*$BI173),0)</f>
        <v>0</v>
      </c>
      <c r="CA173" s="5">
        <f>IF($BI173&lt;&gt;"",IF('Capacity summary'!$C$14="Yes",IF(COUNTBLANK('Capacity summary'!$H85:$BG85)&lt;52,IF('Capacity summary'!X85&lt;&gt;"",IF(LOWER('Capacity summary'!X85)="x",$BI173*X173,VALUE('Capacity summary'!X85)),0),X173*$BI173),X173*$BI173),0)</f>
        <v>0</v>
      </c>
      <c r="CB173" s="5">
        <f>IF($BI173&lt;&gt;"",IF('Capacity summary'!$C$14="Yes",IF(COUNTBLANK('Capacity summary'!$H85:$BG85)&lt;52,IF('Capacity summary'!Y85&lt;&gt;"",IF(LOWER('Capacity summary'!Y85)="x",$BI173*Y173,VALUE('Capacity summary'!Y85)),0),Y173*$BI173),Y173*$BI173),0)</f>
        <v>0</v>
      </c>
      <c r="CC173" s="5">
        <f>IF($BI173&lt;&gt;"",IF('Capacity summary'!$C$14="Yes",IF(COUNTBLANK('Capacity summary'!$H85:$BG85)&lt;52,IF('Capacity summary'!Z85&lt;&gt;"",IF(LOWER('Capacity summary'!Z85)="x",$BI173*Z173,VALUE('Capacity summary'!Z85)),0),Z173*$BI173),Z173*$BI173),0)</f>
        <v>0</v>
      </c>
      <c r="CD173" s="5">
        <f>IF($BI173&lt;&gt;"",IF('Capacity summary'!$C$14="Yes",IF(COUNTBLANK('Capacity summary'!$H85:$BG85)&lt;52,IF('Capacity summary'!AA85&lt;&gt;"",IF(LOWER('Capacity summary'!AA85)="x",$BI173*AA173,VALUE('Capacity summary'!AA85)),0),AA173*$BI173),AA173*$BI173),0)</f>
        <v>0</v>
      </c>
      <c r="CE173" s="5">
        <f>IF($BI173&lt;&gt;"",IF('Capacity summary'!$C$14="Yes",IF(COUNTBLANK('Capacity summary'!$H85:$BG85)&lt;52,IF('Capacity summary'!AB85&lt;&gt;"",IF(LOWER('Capacity summary'!AB85)="x",$BI173*AB173,VALUE('Capacity summary'!AB85)),0),AB173*$BI173),AB173*$BI173),0)</f>
        <v>0</v>
      </c>
      <c r="CF173" s="5">
        <f>IF($BI173&lt;&gt;"",IF('Capacity summary'!$C$14="Yes",IF(COUNTBLANK('Capacity summary'!$H85:$BG85)&lt;52,IF('Capacity summary'!AC85&lt;&gt;"",IF(LOWER('Capacity summary'!AC85)="x",$BI173*AC173,VALUE('Capacity summary'!AC85)),0),AC173*$BI173),AC173*$BI173),0)</f>
        <v>0</v>
      </c>
      <c r="CG173" s="5">
        <f>IF($BI173&lt;&gt;"",IF('Capacity summary'!$C$14="Yes",IF(COUNTBLANK('Capacity summary'!$H85:$BG85)&lt;52,IF('Capacity summary'!AD85&lt;&gt;"",IF(LOWER('Capacity summary'!AD85)="x",$BI173*AD173,VALUE('Capacity summary'!AD85)),0),AD173*$BI173),AD173*$BI173),0)</f>
        <v>0</v>
      </c>
      <c r="CH173" s="5">
        <f>IF($BI173&lt;&gt;"",IF('Capacity summary'!$C$14="Yes",IF(COUNTBLANK('Capacity summary'!$H85:$BG85)&lt;52,IF('Capacity summary'!AE85&lt;&gt;"",IF(LOWER('Capacity summary'!AE85)="x",$BI173*AE173,VALUE('Capacity summary'!AE85)),0),AE173*$BI173),AE173*$BI173),0)</f>
        <v>0</v>
      </c>
      <c r="CI173" s="5">
        <f>IF($BI173&lt;&gt;"",IF('Capacity summary'!$C$14="Yes",IF(COUNTBLANK('Capacity summary'!$H85:$BG85)&lt;52,IF('Capacity summary'!AF85&lt;&gt;"",IF(LOWER('Capacity summary'!AF85)="x",$BI173*AF173,VALUE('Capacity summary'!AF85)),0),AF173*$BI173),AF173*$BI173),0)</f>
        <v>0</v>
      </c>
      <c r="CJ173" s="5">
        <f>IF($BI173&lt;&gt;"",IF('Capacity summary'!$C$14="Yes",IF(COUNTBLANK('Capacity summary'!$H85:$BG85)&lt;52,IF('Capacity summary'!AG85&lt;&gt;"",IF(LOWER('Capacity summary'!AG85)="x",$BI173*AG173,VALUE('Capacity summary'!AG85)),0),AG173*$BI173),AG173*$BI173),0)</f>
        <v>0</v>
      </c>
      <c r="CK173" s="5">
        <f>IF($BI173&lt;&gt;"",IF('Capacity summary'!$C$14="Yes",IF(COUNTBLANK('Capacity summary'!$H85:$BG85)&lt;52,IF('Capacity summary'!AH85&lt;&gt;"",IF(LOWER('Capacity summary'!AH85)="x",$BI173*AH173,VALUE('Capacity summary'!AH85)),0),AH173*$BI173),AH173*$BI173),0)</f>
        <v>0</v>
      </c>
      <c r="CL173" s="5">
        <f>IF($BI173&lt;&gt;"",IF('Capacity summary'!$C$14="Yes",IF(COUNTBLANK('Capacity summary'!$H85:$BG85)&lt;52,IF('Capacity summary'!AI85&lt;&gt;"",IF(LOWER('Capacity summary'!AI85)="x",$BI173*AI173,VALUE('Capacity summary'!AI85)),0),AI173*$BI173),AI173*$BI173),0)</f>
        <v>0</v>
      </c>
      <c r="CM173" s="5">
        <f>IF($BI173&lt;&gt;"",IF('Capacity summary'!$C$14="Yes",IF(COUNTBLANK('Capacity summary'!$H85:$BG85)&lt;52,IF('Capacity summary'!AJ85&lt;&gt;"",IF(LOWER('Capacity summary'!AJ85)="x",$BI173*AJ173,VALUE('Capacity summary'!AJ85)),0),AJ173*$BI173),AJ173*$BI173),0)</f>
        <v>0</v>
      </c>
      <c r="CN173" s="5">
        <f>IF($BI173&lt;&gt;"",IF('Capacity summary'!$C$14="Yes",IF(COUNTBLANK('Capacity summary'!$H85:$BG85)&lt;52,IF('Capacity summary'!AK85&lt;&gt;"",IF(LOWER('Capacity summary'!AK85)="x",$BI173*AK173,VALUE('Capacity summary'!AK85)),0),AK173*$BI173),AK173*$BI173),0)</f>
        <v>0</v>
      </c>
      <c r="CO173" s="5">
        <f>IF($BI173&lt;&gt;"",IF('Capacity summary'!$C$14="Yes",IF(COUNTBLANK('Capacity summary'!$H85:$BG85)&lt;52,IF('Capacity summary'!AL85&lt;&gt;"",IF(LOWER('Capacity summary'!AL85)="x",$BI173*AL173,VALUE('Capacity summary'!AL85)),0),AL173*$BI173),AL173*$BI173),0)</f>
        <v>0</v>
      </c>
      <c r="CP173" s="5">
        <f>IF($BI173&lt;&gt;"",IF('Capacity summary'!$C$14="Yes",IF(COUNTBLANK('Capacity summary'!$H85:$BG85)&lt;52,IF('Capacity summary'!AM85&lt;&gt;"",IF(LOWER('Capacity summary'!AM85)="x",$BI173*AM173,VALUE('Capacity summary'!AM85)),0),AM173*$BI173),AM173*$BI173),0)</f>
        <v>0</v>
      </c>
      <c r="CQ173" s="5">
        <f>IF($BI173&lt;&gt;"",IF('Capacity summary'!$C$14="Yes",IF(COUNTBLANK('Capacity summary'!$H85:$BG85)&lt;52,IF('Capacity summary'!AN85&lt;&gt;"",IF(LOWER('Capacity summary'!AN85)="x",$BI173*AN173,VALUE('Capacity summary'!AN85)),0),AN173*$BI173),AN173*$BI173),0)</f>
        <v>0</v>
      </c>
      <c r="CR173" s="5">
        <f>IF($BI173&lt;&gt;"",IF('Capacity summary'!$C$14="Yes",IF(COUNTBLANK('Capacity summary'!$H85:$BG85)&lt;52,IF('Capacity summary'!AO85&lt;&gt;"",IF(LOWER('Capacity summary'!AO85)="x",$BI173*AO173,VALUE('Capacity summary'!AO85)),0),AO173*$BI173),AO173*$BI173),0)</f>
        <v>0</v>
      </c>
      <c r="CS173" s="5">
        <f>IF($BI173&lt;&gt;"",IF('Capacity summary'!$C$14="Yes",IF(COUNTBLANK('Capacity summary'!$H85:$BG85)&lt;52,IF('Capacity summary'!AP85&lt;&gt;"",IF(LOWER('Capacity summary'!AP85)="x",$BI173*AP173,VALUE('Capacity summary'!AP85)),0),AP173*$BI173),AP173*$BI173),0)</f>
        <v>0</v>
      </c>
      <c r="CT173" s="5">
        <f>IF($BI173&lt;&gt;"",IF('Capacity summary'!$C$14="Yes",IF(COUNTBLANK('Capacity summary'!$H85:$BG85)&lt;52,IF('Capacity summary'!AQ85&lt;&gt;"",IF(LOWER('Capacity summary'!AQ85)="x",$BI173*AQ173,VALUE('Capacity summary'!AQ85)),0),AQ173*$BI173),AQ173*$BI173),0)</f>
        <v>0</v>
      </c>
      <c r="CU173" s="5">
        <f>IF($BI173&lt;&gt;"",IF('Capacity summary'!$C$14="Yes",IF(COUNTBLANK('Capacity summary'!$H85:$BG85)&lt;52,IF('Capacity summary'!AR85&lt;&gt;"",IF(LOWER('Capacity summary'!AR85)="x",$BI173*AR173,VALUE('Capacity summary'!AR85)),0),AR173*$BI173),AR173*$BI173),0)</f>
        <v>0</v>
      </c>
      <c r="CV173" s="5">
        <f>IF($BI173&lt;&gt;"",IF('Capacity summary'!$C$14="Yes",IF(COUNTBLANK('Capacity summary'!$H85:$BG85)&lt;52,IF('Capacity summary'!AS85&lt;&gt;"",IF(LOWER('Capacity summary'!AS85)="x",$BI173*AS173,VALUE('Capacity summary'!AS85)),0),AS173*$BI173),AS173*$BI173),0)</f>
        <v>0</v>
      </c>
      <c r="CW173" s="5">
        <f>IF($BI173&lt;&gt;"",IF('Capacity summary'!$C$14="Yes",IF(COUNTBLANK('Capacity summary'!$H85:$BG85)&lt;52,IF('Capacity summary'!AT85&lt;&gt;"",IF(LOWER('Capacity summary'!AT85)="x",$BI173*AT173,VALUE('Capacity summary'!AT85)),0),AT173*$BI173),AT173*$BI173),0)</f>
        <v>0</v>
      </c>
      <c r="CX173" s="5">
        <f>IF($BI173&lt;&gt;"",IF('Capacity summary'!$C$14="Yes",IF(COUNTBLANK('Capacity summary'!$H85:$BG85)&lt;52,IF('Capacity summary'!AU85&lt;&gt;"",IF(LOWER('Capacity summary'!AU85)="x",$BI173*AU173,VALUE('Capacity summary'!AU85)),0),AU173*$BI173),AU173*$BI173),0)</f>
        <v>0</v>
      </c>
      <c r="CY173" s="5">
        <f>IF($BI173&lt;&gt;"",IF('Capacity summary'!$C$14="Yes",IF(COUNTBLANK('Capacity summary'!$H85:$BG85)&lt;52,IF('Capacity summary'!AV85&lt;&gt;"",IF(LOWER('Capacity summary'!AV85)="x",$BI173*AV173,VALUE('Capacity summary'!AV85)),0),AV173*$BI173),AV173*$BI173),0)</f>
        <v>0</v>
      </c>
      <c r="CZ173" s="5">
        <f>IF($BI173&lt;&gt;"",IF('Capacity summary'!$C$14="Yes",IF(COUNTBLANK('Capacity summary'!$H85:$BG85)&lt;52,IF('Capacity summary'!AW85&lt;&gt;"",IF(LOWER('Capacity summary'!AW85)="x",$BI173*AW173,VALUE('Capacity summary'!AW85)),0),AW173*$BI173),AW173*$BI173),0)</f>
        <v>0</v>
      </c>
      <c r="DA173" s="5">
        <f>IF($BI173&lt;&gt;"",IF('Capacity summary'!$C$14="Yes",IF(COUNTBLANK('Capacity summary'!$H85:$BG85)&lt;52,IF('Capacity summary'!AX85&lt;&gt;"",IF(LOWER('Capacity summary'!AX85)="x",$BI173*AX173,VALUE('Capacity summary'!AX85)),0),AX173*$BI173),AX173*$BI173),0)</f>
        <v>0</v>
      </c>
      <c r="DB173" s="5">
        <f>IF($BI173&lt;&gt;"",IF('Capacity summary'!$C$14="Yes",IF(COUNTBLANK('Capacity summary'!$H85:$BG85)&lt;52,IF('Capacity summary'!AY85&lt;&gt;"",IF(LOWER('Capacity summary'!AY85)="x",$BI173*AY173,VALUE('Capacity summary'!AY85)),0),AY173*$BI173),AY173*$BI173),0)</f>
        <v>0</v>
      </c>
      <c r="DC173" s="5">
        <f>IF($BI173&lt;&gt;"",IF('Capacity summary'!$C$14="Yes",IF(COUNTBLANK('Capacity summary'!$H85:$BG85)&lt;52,IF('Capacity summary'!AZ85&lt;&gt;"",IF(LOWER('Capacity summary'!AZ85)="x",$BI173*AZ173,VALUE('Capacity summary'!AZ85)),0),AZ173*$BI173),AZ173*$BI173),0)</f>
        <v>0</v>
      </c>
      <c r="DD173" s="5">
        <f>IF($BI173&lt;&gt;"",IF('Capacity summary'!$C$14="Yes",IF(COUNTBLANK('Capacity summary'!$H85:$BG85)&lt;52,IF('Capacity summary'!BA85&lt;&gt;"",IF(LOWER('Capacity summary'!BA85)="x",$BI173*BA173,VALUE('Capacity summary'!BA85)),0),BA173*$BI173),BA173*$BI173),0)</f>
        <v>0</v>
      </c>
      <c r="DE173" s="5">
        <f>IF($BI173&lt;&gt;"",IF('Capacity summary'!$C$14="Yes",IF(COUNTBLANK('Capacity summary'!$H85:$BG85)&lt;52,IF('Capacity summary'!BB85&lt;&gt;"",IF(LOWER('Capacity summary'!BB85)="x",$BI173*BB173,VALUE('Capacity summary'!BB85)),0),BB173*$BI173),BB173*$BI173),0)</f>
        <v>0</v>
      </c>
      <c r="DF173" s="5">
        <f>IF($BI173&lt;&gt;"",IF('Capacity summary'!$C$14="Yes",IF(COUNTBLANK('Capacity summary'!$H85:$BG85)&lt;52,IF('Capacity summary'!BC85&lt;&gt;"",IF(LOWER('Capacity summary'!BC85)="x",$BI173*BC173,VALUE('Capacity summary'!BC85)),0),BC173*$BI173),BC173*$BI173),0)</f>
        <v>0</v>
      </c>
      <c r="DG173" s="5">
        <f>IF($BI173&lt;&gt;"",IF('Capacity summary'!$C$14="Yes",IF(COUNTBLANK('Capacity summary'!$H85:$BG85)&lt;52,IF('Capacity summary'!BD85&lt;&gt;"",IF(LOWER('Capacity summary'!BD85)="x",$BI173*BD173,VALUE('Capacity summary'!BD85)),0),BD173*$BI173),BD173*$BI173),0)</f>
        <v>0</v>
      </c>
      <c r="DH173" s="5">
        <f>IF($BI173&lt;&gt;"",IF('Capacity summary'!$C$14="Yes",IF(COUNTBLANK('Capacity summary'!$H85:$BG85)&lt;52,IF('Capacity summary'!BE85&lt;&gt;"",IF(LOWER('Capacity summary'!BE85)="x",$BI173*BE173,VALUE('Capacity summary'!BE85)),0),BE173*$BI173),BE173*$BI173),0)</f>
        <v>0</v>
      </c>
      <c r="DI173" s="5">
        <f>IF($BI173&lt;&gt;"",IF('Capacity summary'!$C$14="Yes",IF(COUNTBLANK('Capacity summary'!$H85:$BG85)&lt;52,IF('Capacity summary'!BF85&lt;&gt;"",IF(LOWER('Capacity summary'!BF85)="x",$BI173*BF173,VALUE('Capacity summary'!BF85)),0),BF173*$BI173),BF173*$BI173),0)</f>
        <v>0</v>
      </c>
      <c r="DJ173" s="5">
        <f>IF($BI173&lt;&gt;"",IF('Capacity summary'!$C$14="Yes",IF(COUNTBLANK('Capacity summary'!$H85:$BG85)&lt;52,IF('Capacity summary'!BG85&lt;&gt;"",IF(LOWER('Capacity summary'!BG85)="x",$BI173*BG173,VALUE('Capacity summary'!BG85)),0),BG173*$BI173),BG173*$BI173),0)</f>
        <v>0</v>
      </c>
      <c r="DK173" s="391">
        <f t="shared" si="8"/>
        <v>0</v>
      </c>
      <c r="DL173" s="5">
        <f t="shared" si="9"/>
        <v>0</v>
      </c>
    </row>
    <row r="174" spans="3:116" x14ac:dyDescent="0.2">
      <c r="C174" s="67" t="str">
        <f>ROW(A63)&amp;". "&amp;Capacity!N79</f>
        <v xml:space="preserve">63. </v>
      </c>
      <c r="D174" s="67">
        <f>'Capacity setup'!C180</f>
        <v>0</v>
      </c>
      <c r="E174" s="67">
        <f>'Capacity setup'!D180</f>
        <v>0</v>
      </c>
      <c r="F174" s="67">
        <f>'Capacity setup'!E180</f>
        <v>0</v>
      </c>
      <c r="H174" s="67">
        <f ca="1">IF(LOWER(Capacity!$V79)="x",IF(AND(SUMIF(Capacity_Resource,$D174,'Critical resources (hide)'!U$6:U$105)+SUMIF(Capacity_Resource,$E174,'Critical resources (hide)'!U$6:U$105)+SUMIF(Capacity_Resource,$F174,'Critical resources (hide)'!U$6:U$105)&gt;0,$E$1=2),0,1),0)</f>
        <v>1</v>
      </c>
      <c r="I174" s="67">
        <f ca="1">IF(LOWER(Capacity!$V79)="x",IF(AND(SUMIF(Capacity_Resource,$D174,'Critical resources (hide)'!V$6:V$105)+SUMIF(Capacity_Resource,$E174,'Critical resources (hide)'!V$6:V$105)+SUMIF(Capacity_Resource,$F174,'Critical resources (hide)'!V$6:V$105)&gt;0,$E$1=2),0,1),0)</f>
        <v>1</v>
      </c>
      <c r="J174" s="67">
        <f ca="1">IF(LOWER(Capacity!$V79)="x",IF(AND(SUMIF(Capacity_Resource,$D174,'Critical resources (hide)'!W$6:W$105)+SUMIF(Capacity_Resource,$E174,'Critical resources (hide)'!W$6:W$105)+SUMIF(Capacity_Resource,$F174,'Critical resources (hide)'!W$6:W$105)&gt;0,$E$1=2),0,1),0)</f>
        <v>1</v>
      </c>
      <c r="K174" s="67">
        <f ca="1">IF(LOWER(Capacity!$V79)="x",IF(AND(SUMIF(Capacity_Resource,$D174,'Critical resources (hide)'!X$6:X$105)+SUMIF(Capacity_Resource,$E174,'Critical resources (hide)'!X$6:X$105)+SUMIF(Capacity_Resource,$F174,'Critical resources (hide)'!X$6:X$105)&gt;0,$E$1=2),0,1),0)</f>
        <v>1</v>
      </c>
      <c r="L174" s="67">
        <f ca="1">IF(LOWER(Capacity!$V79)="x",IF(AND(SUMIF(Capacity_Resource,$D174,'Critical resources (hide)'!Y$6:Y$105)+SUMIF(Capacity_Resource,$E174,'Critical resources (hide)'!Y$6:Y$105)+SUMIF(Capacity_Resource,$F174,'Critical resources (hide)'!Y$6:Y$105)&gt;0,$E$1=2),0,1),0)</f>
        <v>1</v>
      </c>
      <c r="M174" s="67">
        <f ca="1">IF(LOWER(Capacity!$V79)="x",IF(AND(SUMIF(Capacity_Resource,$D174,'Critical resources (hide)'!Z$6:Z$105)+SUMIF(Capacity_Resource,$E174,'Critical resources (hide)'!Z$6:Z$105)+SUMIF(Capacity_Resource,$F174,'Critical resources (hide)'!Z$6:Z$105)&gt;0,$E$1=2),0,1),0)</f>
        <v>1</v>
      </c>
      <c r="N174" s="67">
        <f ca="1">IF(LOWER(Capacity!$V79)="x",IF(AND(SUMIF(Capacity_Resource,$D174,'Critical resources (hide)'!AA$6:AA$105)+SUMIF(Capacity_Resource,$E174,'Critical resources (hide)'!AA$6:AA$105)+SUMIF(Capacity_Resource,$F174,'Critical resources (hide)'!AA$6:AA$105)&gt;0,$E$1=2),0,1),0)</f>
        <v>1</v>
      </c>
      <c r="O174" s="67">
        <f ca="1">IF(LOWER(Capacity!$V79)="x",IF(AND(SUMIF(Capacity_Resource,$D174,'Critical resources (hide)'!AB$6:AB$105)+SUMIF(Capacity_Resource,$E174,'Critical resources (hide)'!AB$6:AB$105)+SUMIF(Capacity_Resource,$F174,'Critical resources (hide)'!AB$6:AB$105)&gt;0,$E$1=2),0,1),0)</f>
        <v>1</v>
      </c>
      <c r="P174" s="67">
        <f ca="1">IF(LOWER(Capacity!$V79)="x",IF(AND(SUMIF(Capacity_Resource,$D174,'Critical resources (hide)'!AC$6:AC$105)+SUMIF(Capacity_Resource,$E174,'Critical resources (hide)'!AC$6:AC$105)+SUMIF(Capacity_Resource,$F174,'Critical resources (hide)'!AC$6:AC$105)&gt;0,$E$1=2),0,1),0)</f>
        <v>1</v>
      </c>
      <c r="Q174" s="67">
        <f ca="1">IF(LOWER(Capacity!$V79)="x",IF(AND(SUMIF(Capacity_Resource,$D174,'Critical resources (hide)'!AD$6:AD$105)+SUMIF(Capacity_Resource,$E174,'Critical resources (hide)'!AD$6:AD$105)+SUMIF(Capacity_Resource,$F174,'Critical resources (hide)'!AD$6:AD$105)&gt;0,$E$1=2),0,1),0)</f>
        <v>1</v>
      </c>
      <c r="R174" s="67">
        <f ca="1">IF(LOWER(Capacity!$V79)="x",IF(AND(SUMIF(Capacity_Resource,$D174,'Critical resources (hide)'!AE$6:AE$105)+SUMIF(Capacity_Resource,$E174,'Critical resources (hide)'!AE$6:AE$105)+SUMIF(Capacity_Resource,$F174,'Critical resources (hide)'!AE$6:AE$105)&gt;0,$E$1=2),0,1),0)</f>
        <v>1</v>
      </c>
      <c r="S174" s="67">
        <f ca="1">IF(LOWER(Capacity!$V79)="x",IF(AND(SUMIF(Capacity_Resource,$D174,'Critical resources (hide)'!AF$6:AF$105)+SUMIF(Capacity_Resource,$E174,'Critical resources (hide)'!AF$6:AF$105)+SUMIF(Capacity_Resource,$F174,'Critical resources (hide)'!AF$6:AF$105)&gt;0,$E$1=2),0,1),0)</f>
        <v>1</v>
      </c>
      <c r="T174" s="67">
        <f ca="1">IF(LOWER(Capacity!$V79)="x",IF(AND(SUMIF(Capacity_Resource,$D174,'Critical resources (hide)'!AG$6:AG$105)+SUMIF(Capacity_Resource,$E174,'Critical resources (hide)'!AG$6:AG$105)+SUMIF(Capacity_Resource,$F174,'Critical resources (hide)'!AG$6:AG$105)&gt;0,$E$1=2),0,1),0)</f>
        <v>1</v>
      </c>
      <c r="U174" s="67">
        <f ca="1">IF(LOWER(Capacity!$V79)="x",IF(AND(SUMIF(Capacity_Resource,$D174,'Critical resources (hide)'!AH$6:AH$105)+SUMIF(Capacity_Resource,$E174,'Critical resources (hide)'!AH$6:AH$105)+SUMIF(Capacity_Resource,$F174,'Critical resources (hide)'!AH$6:AH$105)&gt;0,$E$1=2),0,1),0)</f>
        <v>1</v>
      </c>
      <c r="V174" s="67">
        <f ca="1">IF(LOWER(Capacity!$V79)="x",IF(AND(SUMIF(Capacity_Resource,$D174,'Critical resources (hide)'!AI$6:AI$105)+SUMIF(Capacity_Resource,$E174,'Critical resources (hide)'!AI$6:AI$105)+SUMIF(Capacity_Resource,$F174,'Critical resources (hide)'!AI$6:AI$105)&gt;0,$E$1=2),0,1),0)</f>
        <v>1</v>
      </c>
      <c r="W174" s="67">
        <f ca="1">IF(LOWER(Capacity!$V79)="x",IF(AND(SUMIF(Capacity_Resource,$D174,'Critical resources (hide)'!AJ$6:AJ$105)+SUMIF(Capacity_Resource,$E174,'Critical resources (hide)'!AJ$6:AJ$105)+SUMIF(Capacity_Resource,$F174,'Critical resources (hide)'!AJ$6:AJ$105)&gt;0,$E$1=2),0,1),0)</f>
        <v>1</v>
      </c>
      <c r="X174" s="67">
        <f ca="1">IF(LOWER(Capacity!$V79)="x",IF(AND(SUMIF(Capacity_Resource,$D174,'Critical resources (hide)'!AK$6:AK$105)+SUMIF(Capacity_Resource,$E174,'Critical resources (hide)'!AK$6:AK$105)+SUMIF(Capacity_Resource,$F174,'Critical resources (hide)'!AK$6:AK$105)&gt;0,$E$1=2),0,1),0)</f>
        <v>1</v>
      </c>
      <c r="Y174" s="67">
        <f ca="1">IF(LOWER(Capacity!$V79)="x",IF(AND(SUMIF(Capacity_Resource,$D174,'Critical resources (hide)'!AL$6:AL$105)+SUMIF(Capacity_Resource,$E174,'Critical resources (hide)'!AL$6:AL$105)+SUMIF(Capacity_Resource,$F174,'Critical resources (hide)'!AL$6:AL$105)&gt;0,$E$1=2),0,1),0)</f>
        <v>1</v>
      </c>
      <c r="Z174" s="67">
        <f ca="1">IF(LOWER(Capacity!$V79)="x",IF(AND(SUMIF(Capacity_Resource,$D174,'Critical resources (hide)'!AM$6:AM$105)+SUMIF(Capacity_Resource,$E174,'Critical resources (hide)'!AM$6:AM$105)+SUMIF(Capacity_Resource,$F174,'Critical resources (hide)'!AM$6:AM$105)&gt;0,$E$1=2),0,1),0)</f>
        <v>1</v>
      </c>
      <c r="AA174" s="67">
        <f ca="1">IF(LOWER(Capacity!$V79)="x",IF(AND(SUMIF(Capacity_Resource,$D174,'Critical resources (hide)'!AN$6:AN$105)+SUMIF(Capacity_Resource,$E174,'Critical resources (hide)'!AN$6:AN$105)+SUMIF(Capacity_Resource,$F174,'Critical resources (hide)'!AN$6:AN$105)&gt;0,$E$1=2),0,1),0)</f>
        <v>1</v>
      </c>
      <c r="AB174" s="67">
        <f ca="1">IF(LOWER(Capacity!$V79)="x",IF(AND(SUMIF(Capacity_Resource,$D174,'Critical resources (hide)'!AO$6:AO$105)+SUMIF(Capacity_Resource,$E174,'Critical resources (hide)'!AO$6:AO$105)+SUMIF(Capacity_Resource,$F174,'Critical resources (hide)'!AO$6:AO$105)&gt;0,$E$1=2),0,1),0)</f>
        <v>1</v>
      </c>
      <c r="AC174" s="67">
        <f ca="1">IF(LOWER(Capacity!$V79)="x",IF(AND(SUMIF(Capacity_Resource,$D174,'Critical resources (hide)'!AP$6:AP$105)+SUMIF(Capacity_Resource,$E174,'Critical resources (hide)'!AP$6:AP$105)+SUMIF(Capacity_Resource,$F174,'Critical resources (hide)'!AP$6:AP$105)&gt;0,$E$1=2),0,1),0)</f>
        <v>1</v>
      </c>
      <c r="AD174" s="67">
        <f ca="1">IF(LOWER(Capacity!$V79)="x",IF(AND(SUMIF(Capacity_Resource,$D174,'Critical resources (hide)'!AQ$6:AQ$105)+SUMIF(Capacity_Resource,$E174,'Critical resources (hide)'!AQ$6:AQ$105)+SUMIF(Capacity_Resource,$F174,'Critical resources (hide)'!AQ$6:AQ$105)&gt;0,$E$1=2),0,1),0)</f>
        <v>1</v>
      </c>
      <c r="AE174" s="67">
        <f ca="1">IF(LOWER(Capacity!$V79)="x",IF(AND(SUMIF(Capacity_Resource,$D174,'Critical resources (hide)'!AR$6:AR$105)+SUMIF(Capacity_Resource,$E174,'Critical resources (hide)'!AR$6:AR$105)+SUMIF(Capacity_Resource,$F174,'Critical resources (hide)'!AR$6:AR$105)&gt;0,$E$1=2),0,1),0)</f>
        <v>1</v>
      </c>
      <c r="AF174" s="67">
        <f ca="1">IF(LOWER(Capacity!$V79)="x",IF(AND(SUMIF(Capacity_Resource,$D174,'Critical resources (hide)'!AS$6:AS$105)+SUMIF(Capacity_Resource,$E174,'Critical resources (hide)'!AS$6:AS$105)+SUMIF(Capacity_Resource,$F174,'Critical resources (hide)'!AS$6:AS$105)&gt;0,$E$1=2),0,1),0)</f>
        <v>1</v>
      </c>
      <c r="AG174" s="67">
        <f ca="1">IF(LOWER(Capacity!$V79)="x",IF(AND(SUMIF(Capacity_Resource,$D174,'Critical resources (hide)'!AT$6:AT$105)+SUMIF(Capacity_Resource,$E174,'Critical resources (hide)'!AT$6:AT$105)+SUMIF(Capacity_Resource,$F174,'Critical resources (hide)'!AT$6:AT$105)&gt;0,$E$1=2),0,1),0)</f>
        <v>1</v>
      </c>
      <c r="AH174" s="67">
        <f ca="1">IF(LOWER(Capacity!$V79)="x",IF(AND(SUMIF(Capacity_Resource,$D174,'Critical resources (hide)'!AU$6:AU$105)+SUMIF(Capacity_Resource,$E174,'Critical resources (hide)'!AU$6:AU$105)+SUMIF(Capacity_Resource,$F174,'Critical resources (hide)'!AU$6:AU$105)&gt;0,$E$1=2),0,1),0)</f>
        <v>1</v>
      </c>
      <c r="AI174" s="67">
        <f ca="1">IF(LOWER(Capacity!$V79)="x",IF(AND(SUMIF(Capacity_Resource,$D174,'Critical resources (hide)'!AV$6:AV$105)+SUMIF(Capacity_Resource,$E174,'Critical resources (hide)'!AV$6:AV$105)+SUMIF(Capacity_Resource,$F174,'Critical resources (hide)'!AV$6:AV$105)&gt;0,$E$1=2),0,1),0)</f>
        <v>1</v>
      </c>
      <c r="AJ174" s="67">
        <f ca="1">IF(LOWER(Capacity!$V79)="x",IF(AND(SUMIF(Capacity_Resource,$D174,'Critical resources (hide)'!AW$6:AW$105)+SUMIF(Capacity_Resource,$E174,'Critical resources (hide)'!AW$6:AW$105)+SUMIF(Capacity_Resource,$F174,'Critical resources (hide)'!AW$6:AW$105)&gt;0,$E$1=2),0,1),0)</f>
        <v>1</v>
      </c>
      <c r="AK174" s="67">
        <f ca="1">IF(LOWER(Capacity!$V79)="x",IF(AND(SUMIF(Capacity_Resource,$D174,'Critical resources (hide)'!AX$6:AX$105)+SUMIF(Capacity_Resource,$E174,'Critical resources (hide)'!AX$6:AX$105)+SUMIF(Capacity_Resource,$F174,'Critical resources (hide)'!AX$6:AX$105)&gt;0,$E$1=2),0,1),0)</f>
        <v>1</v>
      </c>
      <c r="AL174" s="67">
        <f ca="1">IF(LOWER(Capacity!$V79)="x",IF(AND(SUMIF(Capacity_Resource,$D174,'Critical resources (hide)'!AY$6:AY$105)+SUMIF(Capacity_Resource,$E174,'Critical resources (hide)'!AY$6:AY$105)+SUMIF(Capacity_Resource,$F174,'Critical resources (hide)'!AY$6:AY$105)&gt;0,$E$1=2),0,1),0)</f>
        <v>1</v>
      </c>
      <c r="AM174" s="67">
        <f ca="1">IF(LOWER(Capacity!$V79)="x",IF(AND(SUMIF(Capacity_Resource,$D174,'Critical resources (hide)'!AZ$6:AZ$105)+SUMIF(Capacity_Resource,$E174,'Critical resources (hide)'!AZ$6:AZ$105)+SUMIF(Capacity_Resource,$F174,'Critical resources (hide)'!AZ$6:AZ$105)&gt;0,$E$1=2),0,1),0)</f>
        <v>1</v>
      </c>
      <c r="AN174" s="67">
        <f ca="1">IF(LOWER(Capacity!$V79)="x",IF(AND(SUMIF(Capacity_Resource,$D174,'Critical resources (hide)'!BA$6:BA$105)+SUMIF(Capacity_Resource,$E174,'Critical resources (hide)'!BA$6:BA$105)+SUMIF(Capacity_Resource,$F174,'Critical resources (hide)'!BA$6:BA$105)&gt;0,$E$1=2),0,1),0)</f>
        <v>1</v>
      </c>
      <c r="AO174" s="67">
        <f ca="1">IF(LOWER(Capacity!$V79)="x",IF(AND(SUMIF(Capacity_Resource,$D174,'Critical resources (hide)'!BB$6:BB$105)+SUMIF(Capacity_Resource,$E174,'Critical resources (hide)'!BB$6:BB$105)+SUMIF(Capacity_Resource,$F174,'Critical resources (hide)'!BB$6:BB$105)&gt;0,$E$1=2),0,1),0)</f>
        <v>1</v>
      </c>
      <c r="AP174" s="67">
        <f ca="1">IF(LOWER(Capacity!$V79)="x",IF(AND(SUMIF(Capacity_Resource,$D174,'Critical resources (hide)'!BC$6:BC$105)+SUMIF(Capacity_Resource,$E174,'Critical resources (hide)'!BC$6:BC$105)+SUMIF(Capacity_Resource,$F174,'Critical resources (hide)'!BC$6:BC$105)&gt;0,$E$1=2),0,1),0)</f>
        <v>1</v>
      </c>
      <c r="AQ174" s="67">
        <f ca="1">IF(LOWER(Capacity!$V79)="x",IF(AND(SUMIF(Capacity_Resource,$D174,'Critical resources (hide)'!BD$6:BD$105)+SUMIF(Capacity_Resource,$E174,'Critical resources (hide)'!BD$6:BD$105)+SUMIF(Capacity_Resource,$F174,'Critical resources (hide)'!BD$6:BD$105)&gt;0,$E$1=2),0,1),0)</f>
        <v>1</v>
      </c>
      <c r="AR174" s="67">
        <f ca="1">IF(LOWER(Capacity!$V79)="x",IF(AND(SUMIF(Capacity_Resource,$D174,'Critical resources (hide)'!BE$6:BE$105)+SUMIF(Capacity_Resource,$E174,'Critical resources (hide)'!BE$6:BE$105)+SUMIF(Capacity_Resource,$F174,'Critical resources (hide)'!BE$6:BE$105)&gt;0,$E$1=2),0,1),0)</f>
        <v>1</v>
      </c>
      <c r="AS174" s="67">
        <f ca="1">IF(LOWER(Capacity!$V79)="x",IF(AND(SUMIF(Capacity_Resource,$D174,'Critical resources (hide)'!BF$6:BF$105)+SUMIF(Capacity_Resource,$E174,'Critical resources (hide)'!BF$6:BF$105)+SUMIF(Capacity_Resource,$F174,'Critical resources (hide)'!BF$6:BF$105)&gt;0,$E$1=2),0,1),0)</f>
        <v>1</v>
      </c>
      <c r="AT174" s="67">
        <f ca="1">IF(LOWER(Capacity!$V79)="x",IF(AND(SUMIF(Capacity_Resource,$D174,'Critical resources (hide)'!BG$6:BG$105)+SUMIF(Capacity_Resource,$E174,'Critical resources (hide)'!BG$6:BG$105)+SUMIF(Capacity_Resource,$F174,'Critical resources (hide)'!BG$6:BG$105)&gt;0,$E$1=2),0,1),0)</f>
        <v>1</v>
      </c>
      <c r="AU174" s="67">
        <f ca="1">IF(LOWER(Capacity!$V79)="x",IF(AND(SUMIF(Capacity_Resource,$D174,'Critical resources (hide)'!BH$6:BH$105)+SUMIF(Capacity_Resource,$E174,'Critical resources (hide)'!BH$6:BH$105)+SUMIF(Capacity_Resource,$F174,'Critical resources (hide)'!BH$6:BH$105)&gt;0,$E$1=2),0,1),0)</f>
        <v>1</v>
      </c>
      <c r="AV174" s="67">
        <f ca="1">IF(LOWER(Capacity!$V79)="x",IF(AND(SUMIF(Capacity_Resource,$D174,'Critical resources (hide)'!BI$6:BI$105)+SUMIF(Capacity_Resource,$E174,'Critical resources (hide)'!BI$6:BI$105)+SUMIF(Capacity_Resource,$F174,'Critical resources (hide)'!BI$6:BI$105)&gt;0,$E$1=2),0,1),0)</f>
        <v>1</v>
      </c>
      <c r="AW174" s="67">
        <f ca="1">IF(LOWER(Capacity!$V79)="x",IF(AND(SUMIF(Capacity_Resource,$D174,'Critical resources (hide)'!BJ$6:BJ$105)+SUMIF(Capacity_Resource,$E174,'Critical resources (hide)'!BJ$6:BJ$105)+SUMIF(Capacity_Resource,$F174,'Critical resources (hide)'!BJ$6:BJ$105)&gt;0,$E$1=2),0,1),0)</f>
        <v>1</v>
      </c>
      <c r="AX174" s="67">
        <f ca="1">IF(LOWER(Capacity!$V79)="x",IF(AND(SUMIF(Capacity_Resource,$D174,'Critical resources (hide)'!BK$6:BK$105)+SUMIF(Capacity_Resource,$E174,'Critical resources (hide)'!BK$6:BK$105)+SUMIF(Capacity_Resource,$F174,'Critical resources (hide)'!BK$6:BK$105)&gt;0,$E$1=2),0,1),0)</f>
        <v>1</v>
      </c>
      <c r="AY174" s="67">
        <f ca="1">IF(LOWER(Capacity!$V79)="x",IF(AND(SUMIF(Capacity_Resource,$D174,'Critical resources (hide)'!BL$6:BL$105)+SUMIF(Capacity_Resource,$E174,'Critical resources (hide)'!BL$6:BL$105)+SUMIF(Capacity_Resource,$F174,'Critical resources (hide)'!BL$6:BL$105)&gt;0,$E$1=2),0,1),0)</f>
        <v>1</v>
      </c>
      <c r="AZ174" s="67">
        <f ca="1">IF(LOWER(Capacity!$V79)="x",IF(AND(SUMIF(Capacity_Resource,$D174,'Critical resources (hide)'!BM$6:BM$105)+SUMIF(Capacity_Resource,$E174,'Critical resources (hide)'!BM$6:BM$105)+SUMIF(Capacity_Resource,$F174,'Critical resources (hide)'!BM$6:BM$105)&gt;0,$E$1=2),0,1),0)</f>
        <v>1</v>
      </c>
      <c r="BA174" s="67">
        <f ca="1">IF(LOWER(Capacity!$V79)="x",IF(AND(SUMIF(Capacity_Resource,$D174,'Critical resources (hide)'!BN$6:BN$105)+SUMIF(Capacity_Resource,$E174,'Critical resources (hide)'!BN$6:BN$105)+SUMIF(Capacity_Resource,$F174,'Critical resources (hide)'!BN$6:BN$105)&gt;0,$E$1=2),0,1),0)</f>
        <v>1</v>
      </c>
      <c r="BB174" s="67">
        <f ca="1">IF(LOWER(Capacity!$V79)="x",IF(AND(SUMIF(Capacity_Resource,$D174,'Critical resources (hide)'!BO$6:BO$105)+SUMIF(Capacity_Resource,$E174,'Critical resources (hide)'!BO$6:BO$105)+SUMIF(Capacity_Resource,$F174,'Critical resources (hide)'!BO$6:BO$105)&gt;0,$E$1=2),0,1),0)</f>
        <v>1</v>
      </c>
      <c r="BC174" s="67">
        <f ca="1">IF(LOWER(Capacity!$V79)="x",IF(AND(SUMIF(Capacity_Resource,$D174,'Critical resources (hide)'!BP$6:BP$105)+SUMIF(Capacity_Resource,$E174,'Critical resources (hide)'!BP$6:BP$105)+SUMIF(Capacity_Resource,$F174,'Critical resources (hide)'!BP$6:BP$105)&gt;0,$E$1=2),0,1),0)</f>
        <v>1</v>
      </c>
      <c r="BD174" s="67">
        <f ca="1">IF(LOWER(Capacity!$V79)="x",IF(AND(SUMIF(Capacity_Resource,$D174,'Critical resources (hide)'!BQ$6:BQ$105)+SUMIF(Capacity_Resource,$E174,'Critical resources (hide)'!BQ$6:BQ$105)+SUMIF(Capacity_Resource,$F174,'Critical resources (hide)'!BQ$6:BQ$105)&gt;0,$E$1=2),0,1),0)</f>
        <v>1</v>
      </c>
      <c r="BE174" s="67">
        <f ca="1">IF(LOWER(Capacity!$V79)="x",IF(AND(SUMIF(Capacity_Resource,$D174,'Critical resources (hide)'!BR$6:BR$105)+SUMIF(Capacity_Resource,$E174,'Critical resources (hide)'!BR$6:BR$105)+SUMIF(Capacity_Resource,$F174,'Critical resources (hide)'!BR$6:BR$105)&gt;0,$E$1=2),0,1),0)</f>
        <v>1</v>
      </c>
      <c r="BF174" s="67">
        <f ca="1">IF(LOWER(Capacity!$V79)="x",IF(AND(SUMIF(Capacity_Resource,$D174,'Critical resources (hide)'!BS$6:BS$105)+SUMIF(Capacity_Resource,$E174,'Critical resources (hide)'!BS$6:BS$105)+SUMIF(Capacity_Resource,$F174,'Critical resources (hide)'!BS$6:BS$105)&gt;0,$E$1=2),0,1),0)</f>
        <v>1</v>
      </c>
      <c r="BG174" s="67">
        <f ca="1">IF(LOWER(Capacity!$V79)="x",IF(AND(SUMIF(Capacity_Resource,$D174,'Critical resources (hide)'!BT$6:BT$105)+SUMIF(Capacity_Resource,$E174,'Critical resources (hide)'!BT$6:BT$105)+SUMIF(Capacity_Resource,$F174,'Critical resources (hide)'!BT$6:BT$105)&gt;0,$E$1=2),0,1),0)</f>
        <v>1</v>
      </c>
      <c r="BH174" s="67">
        <f>IF(ROW(A63)&lt;=Capacity!$M$16,IF('Capacity summary'!$C$14="No",SUM(H174:BG174),'Capacity summary'!$E86),0)</f>
        <v>0</v>
      </c>
      <c r="BI174" s="67" t="str">
        <f>IF(BH174&gt;0,IF(BH174&lt;Capacity!Q79,Capacity!R79,Capacity!T79/'Capacity calculation (hide)'!BH174),"")</f>
        <v/>
      </c>
      <c r="BJ174" s="5"/>
      <c r="BK174" s="5">
        <f>IF($BI174&lt;&gt;"",IF('Capacity summary'!$C$14="Yes",IF(COUNTBLANK('Capacity summary'!$H86:$BG86)&lt;52,IF('Capacity summary'!H86&lt;&gt;"",IF(LOWER('Capacity summary'!H86)="x",$BI174*H174,VALUE('Capacity summary'!H86)),0),H174*$BI174),H174*$BI174),0)</f>
        <v>0</v>
      </c>
      <c r="BL174" s="5">
        <f>IF($BI174&lt;&gt;"",IF('Capacity summary'!$C$14="Yes",IF(COUNTBLANK('Capacity summary'!$H86:$BG86)&lt;52,IF('Capacity summary'!I86&lt;&gt;"",IF(LOWER('Capacity summary'!I86)="x",$BI174*I174,VALUE('Capacity summary'!I86)),0),I174*$BI174),I174*$BI174),0)</f>
        <v>0</v>
      </c>
      <c r="BM174" s="5">
        <f>IF($BI174&lt;&gt;"",IF('Capacity summary'!$C$14="Yes",IF(COUNTBLANK('Capacity summary'!$H86:$BG86)&lt;52,IF('Capacity summary'!J86&lt;&gt;"",IF(LOWER('Capacity summary'!J86)="x",$BI174*J174,VALUE('Capacity summary'!J86)),0),J174*$BI174),J174*$BI174),0)</f>
        <v>0</v>
      </c>
      <c r="BN174" s="5">
        <f>IF($BI174&lt;&gt;"",IF('Capacity summary'!$C$14="Yes",IF(COUNTBLANK('Capacity summary'!$H86:$BG86)&lt;52,IF('Capacity summary'!K86&lt;&gt;"",IF(LOWER('Capacity summary'!K86)="x",$BI174*K174,VALUE('Capacity summary'!K86)),0),K174*$BI174),K174*$BI174),0)</f>
        <v>0</v>
      </c>
      <c r="BO174" s="5">
        <f>IF($BI174&lt;&gt;"",IF('Capacity summary'!$C$14="Yes",IF(COUNTBLANK('Capacity summary'!$H86:$BG86)&lt;52,IF('Capacity summary'!L86&lt;&gt;"",IF(LOWER('Capacity summary'!L86)="x",$BI174*L174,VALUE('Capacity summary'!L86)),0),L174*$BI174),L174*$BI174),0)</f>
        <v>0</v>
      </c>
      <c r="BP174" s="5">
        <f>IF($BI174&lt;&gt;"",IF('Capacity summary'!$C$14="Yes",IF(COUNTBLANK('Capacity summary'!$H86:$BG86)&lt;52,IF('Capacity summary'!M86&lt;&gt;"",IF(LOWER('Capacity summary'!M86)="x",$BI174*M174,VALUE('Capacity summary'!M86)),0),M174*$BI174),M174*$BI174),0)</f>
        <v>0</v>
      </c>
      <c r="BQ174" s="5">
        <f>IF($BI174&lt;&gt;"",IF('Capacity summary'!$C$14="Yes",IF(COUNTBLANK('Capacity summary'!$H86:$BG86)&lt;52,IF('Capacity summary'!N86&lt;&gt;"",IF(LOWER('Capacity summary'!N86)="x",$BI174*N174,VALUE('Capacity summary'!N86)),0),N174*$BI174),N174*$BI174),0)</f>
        <v>0</v>
      </c>
      <c r="BR174" s="5">
        <f>IF($BI174&lt;&gt;"",IF('Capacity summary'!$C$14="Yes",IF(COUNTBLANK('Capacity summary'!$H86:$BG86)&lt;52,IF('Capacity summary'!O86&lt;&gt;"",IF(LOWER('Capacity summary'!O86)="x",$BI174*O174,VALUE('Capacity summary'!O86)),0),O174*$BI174),O174*$BI174),0)</f>
        <v>0</v>
      </c>
      <c r="BS174" s="5">
        <f>IF($BI174&lt;&gt;"",IF('Capacity summary'!$C$14="Yes",IF(COUNTBLANK('Capacity summary'!$H86:$BG86)&lt;52,IF('Capacity summary'!P86&lt;&gt;"",IF(LOWER('Capacity summary'!P86)="x",$BI174*P174,VALUE('Capacity summary'!P86)),0),P174*$BI174),P174*$BI174),0)</f>
        <v>0</v>
      </c>
      <c r="BT174" s="5">
        <f>IF($BI174&lt;&gt;"",IF('Capacity summary'!$C$14="Yes",IF(COUNTBLANK('Capacity summary'!$H86:$BG86)&lt;52,IF('Capacity summary'!Q86&lt;&gt;"",IF(LOWER('Capacity summary'!Q86)="x",$BI174*Q174,VALUE('Capacity summary'!Q86)),0),Q174*$BI174),Q174*$BI174),0)</f>
        <v>0</v>
      </c>
      <c r="BU174" s="5">
        <f>IF($BI174&lt;&gt;"",IF('Capacity summary'!$C$14="Yes",IF(COUNTBLANK('Capacity summary'!$H86:$BG86)&lt;52,IF('Capacity summary'!R86&lt;&gt;"",IF(LOWER('Capacity summary'!R86)="x",$BI174*R174,VALUE('Capacity summary'!R86)),0),R174*$BI174),R174*$BI174),0)</f>
        <v>0</v>
      </c>
      <c r="BV174" s="5">
        <f>IF($BI174&lt;&gt;"",IF('Capacity summary'!$C$14="Yes",IF(COUNTBLANK('Capacity summary'!$H86:$BG86)&lt;52,IF('Capacity summary'!S86&lt;&gt;"",IF(LOWER('Capacity summary'!S86)="x",$BI174*S174,VALUE('Capacity summary'!S86)),0),S174*$BI174),S174*$BI174),0)</f>
        <v>0</v>
      </c>
      <c r="BW174" s="5">
        <f>IF($BI174&lt;&gt;"",IF('Capacity summary'!$C$14="Yes",IF(COUNTBLANK('Capacity summary'!$H86:$BG86)&lt;52,IF('Capacity summary'!T86&lt;&gt;"",IF(LOWER('Capacity summary'!T86)="x",$BI174*T174,VALUE('Capacity summary'!T86)),0),T174*$BI174),T174*$BI174),0)</f>
        <v>0</v>
      </c>
      <c r="BX174" s="5">
        <f>IF($BI174&lt;&gt;"",IF('Capacity summary'!$C$14="Yes",IF(COUNTBLANK('Capacity summary'!$H86:$BG86)&lt;52,IF('Capacity summary'!U86&lt;&gt;"",IF(LOWER('Capacity summary'!U86)="x",$BI174*U174,VALUE('Capacity summary'!U86)),0),U174*$BI174),U174*$BI174),0)</f>
        <v>0</v>
      </c>
      <c r="BY174" s="5">
        <f>IF($BI174&lt;&gt;"",IF('Capacity summary'!$C$14="Yes",IF(COUNTBLANK('Capacity summary'!$H86:$BG86)&lt;52,IF('Capacity summary'!V86&lt;&gt;"",IF(LOWER('Capacity summary'!V86)="x",$BI174*V174,VALUE('Capacity summary'!V86)),0),V174*$BI174),V174*$BI174),0)</f>
        <v>0</v>
      </c>
      <c r="BZ174" s="5">
        <f>IF($BI174&lt;&gt;"",IF('Capacity summary'!$C$14="Yes",IF(COUNTBLANK('Capacity summary'!$H86:$BG86)&lt;52,IF('Capacity summary'!W86&lt;&gt;"",IF(LOWER('Capacity summary'!W86)="x",$BI174*W174,VALUE('Capacity summary'!W86)),0),W174*$BI174),W174*$BI174),0)</f>
        <v>0</v>
      </c>
      <c r="CA174" s="5">
        <f>IF($BI174&lt;&gt;"",IF('Capacity summary'!$C$14="Yes",IF(COUNTBLANK('Capacity summary'!$H86:$BG86)&lt;52,IF('Capacity summary'!X86&lt;&gt;"",IF(LOWER('Capacity summary'!X86)="x",$BI174*X174,VALUE('Capacity summary'!X86)),0),X174*$BI174),X174*$BI174),0)</f>
        <v>0</v>
      </c>
      <c r="CB174" s="5">
        <f>IF($BI174&lt;&gt;"",IF('Capacity summary'!$C$14="Yes",IF(COUNTBLANK('Capacity summary'!$H86:$BG86)&lt;52,IF('Capacity summary'!Y86&lt;&gt;"",IF(LOWER('Capacity summary'!Y86)="x",$BI174*Y174,VALUE('Capacity summary'!Y86)),0),Y174*$BI174),Y174*$BI174),0)</f>
        <v>0</v>
      </c>
      <c r="CC174" s="5">
        <f>IF($BI174&lt;&gt;"",IF('Capacity summary'!$C$14="Yes",IF(COUNTBLANK('Capacity summary'!$H86:$BG86)&lt;52,IF('Capacity summary'!Z86&lt;&gt;"",IF(LOWER('Capacity summary'!Z86)="x",$BI174*Z174,VALUE('Capacity summary'!Z86)),0),Z174*$BI174),Z174*$BI174),0)</f>
        <v>0</v>
      </c>
      <c r="CD174" s="5">
        <f>IF($BI174&lt;&gt;"",IF('Capacity summary'!$C$14="Yes",IF(COUNTBLANK('Capacity summary'!$H86:$BG86)&lt;52,IF('Capacity summary'!AA86&lt;&gt;"",IF(LOWER('Capacity summary'!AA86)="x",$BI174*AA174,VALUE('Capacity summary'!AA86)),0),AA174*$BI174),AA174*$BI174),0)</f>
        <v>0</v>
      </c>
      <c r="CE174" s="5">
        <f>IF($BI174&lt;&gt;"",IF('Capacity summary'!$C$14="Yes",IF(COUNTBLANK('Capacity summary'!$H86:$BG86)&lt;52,IF('Capacity summary'!AB86&lt;&gt;"",IF(LOWER('Capacity summary'!AB86)="x",$BI174*AB174,VALUE('Capacity summary'!AB86)),0),AB174*$BI174),AB174*$BI174),0)</f>
        <v>0</v>
      </c>
      <c r="CF174" s="5">
        <f>IF($BI174&lt;&gt;"",IF('Capacity summary'!$C$14="Yes",IF(COUNTBLANK('Capacity summary'!$H86:$BG86)&lt;52,IF('Capacity summary'!AC86&lt;&gt;"",IF(LOWER('Capacity summary'!AC86)="x",$BI174*AC174,VALUE('Capacity summary'!AC86)),0),AC174*$BI174),AC174*$BI174),0)</f>
        <v>0</v>
      </c>
      <c r="CG174" s="5">
        <f>IF($BI174&lt;&gt;"",IF('Capacity summary'!$C$14="Yes",IF(COUNTBLANK('Capacity summary'!$H86:$BG86)&lt;52,IF('Capacity summary'!AD86&lt;&gt;"",IF(LOWER('Capacity summary'!AD86)="x",$BI174*AD174,VALUE('Capacity summary'!AD86)),0),AD174*$BI174),AD174*$BI174),0)</f>
        <v>0</v>
      </c>
      <c r="CH174" s="5">
        <f>IF($BI174&lt;&gt;"",IF('Capacity summary'!$C$14="Yes",IF(COUNTBLANK('Capacity summary'!$H86:$BG86)&lt;52,IF('Capacity summary'!AE86&lt;&gt;"",IF(LOWER('Capacity summary'!AE86)="x",$BI174*AE174,VALUE('Capacity summary'!AE86)),0),AE174*$BI174),AE174*$BI174),0)</f>
        <v>0</v>
      </c>
      <c r="CI174" s="5">
        <f>IF($BI174&lt;&gt;"",IF('Capacity summary'!$C$14="Yes",IF(COUNTBLANK('Capacity summary'!$H86:$BG86)&lt;52,IF('Capacity summary'!AF86&lt;&gt;"",IF(LOWER('Capacity summary'!AF86)="x",$BI174*AF174,VALUE('Capacity summary'!AF86)),0),AF174*$BI174),AF174*$BI174),0)</f>
        <v>0</v>
      </c>
      <c r="CJ174" s="5">
        <f>IF($BI174&lt;&gt;"",IF('Capacity summary'!$C$14="Yes",IF(COUNTBLANK('Capacity summary'!$H86:$BG86)&lt;52,IF('Capacity summary'!AG86&lt;&gt;"",IF(LOWER('Capacity summary'!AG86)="x",$BI174*AG174,VALUE('Capacity summary'!AG86)),0),AG174*$BI174),AG174*$BI174),0)</f>
        <v>0</v>
      </c>
      <c r="CK174" s="5">
        <f>IF($BI174&lt;&gt;"",IF('Capacity summary'!$C$14="Yes",IF(COUNTBLANK('Capacity summary'!$H86:$BG86)&lt;52,IF('Capacity summary'!AH86&lt;&gt;"",IF(LOWER('Capacity summary'!AH86)="x",$BI174*AH174,VALUE('Capacity summary'!AH86)),0),AH174*$BI174),AH174*$BI174),0)</f>
        <v>0</v>
      </c>
      <c r="CL174" s="5">
        <f>IF($BI174&lt;&gt;"",IF('Capacity summary'!$C$14="Yes",IF(COUNTBLANK('Capacity summary'!$H86:$BG86)&lt;52,IF('Capacity summary'!AI86&lt;&gt;"",IF(LOWER('Capacity summary'!AI86)="x",$BI174*AI174,VALUE('Capacity summary'!AI86)),0),AI174*$BI174),AI174*$BI174),0)</f>
        <v>0</v>
      </c>
      <c r="CM174" s="5">
        <f>IF($BI174&lt;&gt;"",IF('Capacity summary'!$C$14="Yes",IF(COUNTBLANK('Capacity summary'!$H86:$BG86)&lt;52,IF('Capacity summary'!AJ86&lt;&gt;"",IF(LOWER('Capacity summary'!AJ86)="x",$BI174*AJ174,VALUE('Capacity summary'!AJ86)),0),AJ174*$BI174),AJ174*$BI174),0)</f>
        <v>0</v>
      </c>
      <c r="CN174" s="5">
        <f>IF($BI174&lt;&gt;"",IF('Capacity summary'!$C$14="Yes",IF(COUNTBLANK('Capacity summary'!$H86:$BG86)&lt;52,IF('Capacity summary'!AK86&lt;&gt;"",IF(LOWER('Capacity summary'!AK86)="x",$BI174*AK174,VALUE('Capacity summary'!AK86)),0),AK174*$BI174),AK174*$BI174),0)</f>
        <v>0</v>
      </c>
      <c r="CO174" s="5">
        <f>IF($BI174&lt;&gt;"",IF('Capacity summary'!$C$14="Yes",IF(COUNTBLANK('Capacity summary'!$H86:$BG86)&lt;52,IF('Capacity summary'!AL86&lt;&gt;"",IF(LOWER('Capacity summary'!AL86)="x",$BI174*AL174,VALUE('Capacity summary'!AL86)),0),AL174*$BI174),AL174*$BI174),0)</f>
        <v>0</v>
      </c>
      <c r="CP174" s="5">
        <f>IF($BI174&lt;&gt;"",IF('Capacity summary'!$C$14="Yes",IF(COUNTBLANK('Capacity summary'!$H86:$BG86)&lt;52,IF('Capacity summary'!AM86&lt;&gt;"",IF(LOWER('Capacity summary'!AM86)="x",$BI174*AM174,VALUE('Capacity summary'!AM86)),0),AM174*$BI174),AM174*$BI174),0)</f>
        <v>0</v>
      </c>
      <c r="CQ174" s="5">
        <f>IF($BI174&lt;&gt;"",IF('Capacity summary'!$C$14="Yes",IF(COUNTBLANK('Capacity summary'!$H86:$BG86)&lt;52,IF('Capacity summary'!AN86&lt;&gt;"",IF(LOWER('Capacity summary'!AN86)="x",$BI174*AN174,VALUE('Capacity summary'!AN86)),0),AN174*$BI174),AN174*$BI174),0)</f>
        <v>0</v>
      </c>
      <c r="CR174" s="5">
        <f>IF($BI174&lt;&gt;"",IF('Capacity summary'!$C$14="Yes",IF(COUNTBLANK('Capacity summary'!$H86:$BG86)&lt;52,IF('Capacity summary'!AO86&lt;&gt;"",IF(LOWER('Capacity summary'!AO86)="x",$BI174*AO174,VALUE('Capacity summary'!AO86)),0),AO174*$BI174),AO174*$BI174),0)</f>
        <v>0</v>
      </c>
      <c r="CS174" s="5">
        <f>IF($BI174&lt;&gt;"",IF('Capacity summary'!$C$14="Yes",IF(COUNTBLANK('Capacity summary'!$H86:$BG86)&lt;52,IF('Capacity summary'!AP86&lt;&gt;"",IF(LOWER('Capacity summary'!AP86)="x",$BI174*AP174,VALUE('Capacity summary'!AP86)),0),AP174*$BI174),AP174*$BI174),0)</f>
        <v>0</v>
      </c>
      <c r="CT174" s="5">
        <f>IF($BI174&lt;&gt;"",IF('Capacity summary'!$C$14="Yes",IF(COUNTBLANK('Capacity summary'!$H86:$BG86)&lt;52,IF('Capacity summary'!AQ86&lt;&gt;"",IF(LOWER('Capacity summary'!AQ86)="x",$BI174*AQ174,VALUE('Capacity summary'!AQ86)),0),AQ174*$BI174),AQ174*$BI174),0)</f>
        <v>0</v>
      </c>
      <c r="CU174" s="5">
        <f>IF($BI174&lt;&gt;"",IF('Capacity summary'!$C$14="Yes",IF(COUNTBLANK('Capacity summary'!$H86:$BG86)&lt;52,IF('Capacity summary'!AR86&lt;&gt;"",IF(LOWER('Capacity summary'!AR86)="x",$BI174*AR174,VALUE('Capacity summary'!AR86)),0),AR174*$BI174),AR174*$BI174),0)</f>
        <v>0</v>
      </c>
      <c r="CV174" s="5">
        <f>IF($BI174&lt;&gt;"",IF('Capacity summary'!$C$14="Yes",IF(COUNTBLANK('Capacity summary'!$H86:$BG86)&lt;52,IF('Capacity summary'!AS86&lt;&gt;"",IF(LOWER('Capacity summary'!AS86)="x",$BI174*AS174,VALUE('Capacity summary'!AS86)),0),AS174*$BI174),AS174*$BI174),0)</f>
        <v>0</v>
      </c>
      <c r="CW174" s="5">
        <f>IF($BI174&lt;&gt;"",IF('Capacity summary'!$C$14="Yes",IF(COUNTBLANK('Capacity summary'!$H86:$BG86)&lt;52,IF('Capacity summary'!AT86&lt;&gt;"",IF(LOWER('Capacity summary'!AT86)="x",$BI174*AT174,VALUE('Capacity summary'!AT86)),0),AT174*$BI174),AT174*$BI174),0)</f>
        <v>0</v>
      </c>
      <c r="CX174" s="5">
        <f>IF($BI174&lt;&gt;"",IF('Capacity summary'!$C$14="Yes",IF(COUNTBLANK('Capacity summary'!$H86:$BG86)&lt;52,IF('Capacity summary'!AU86&lt;&gt;"",IF(LOWER('Capacity summary'!AU86)="x",$BI174*AU174,VALUE('Capacity summary'!AU86)),0),AU174*$BI174),AU174*$BI174),0)</f>
        <v>0</v>
      </c>
      <c r="CY174" s="5">
        <f>IF($BI174&lt;&gt;"",IF('Capacity summary'!$C$14="Yes",IF(COUNTBLANK('Capacity summary'!$H86:$BG86)&lt;52,IF('Capacity summary'!AV86&lt;&gt;"",IF(LOWER('Capacity summary'!AV86)="x",$BI174*AV174,VALUE('Capacity summary'!AV86)),0),AV174*$BI174),AV174*$BI174),0)</f>
        <v>0</v>
      </c>
      <c r="CZ174" s="5">
        <f>IF($BI174&lt;&gt;"",IF('Capacity summary'!$C$14="Yes",IF(COUNTBLANK('Capacity summary'!$H86:$BG86)&lt;52,IF('Capacity summary'!AW86&lt;&gt;"",IF(LOWER('Capacity summary'!AW86)="x",$BI174*AW174,VALUE('Capacity summary'!AW86)),0),AW174*$BI174),AW174*$BI174),0)</f>
        <v>0</v>
      </c>
      <c r="DA174" s="5">
        <f>IF($BI174&lt;&gt;"",IF('Capacity summary'!$C$14="Yes",IF(COUNTBLANK('Capacity summary'!$H86:$BG86)&lt;52,IF('Capacity summary'!AX86&lt;&gt;"",IF(LOWER('Capacity summary'!AX86)="x",$BI174*AX174,VALUE('Capacity summary'!AX86)),0),AX174*$BI174),AX174*$BI174),0)</f>
        <v>0</v>
      </c>
      <c r="DB174" s="5">
        <f>IF($BI174&lt;&gt;"",IF('Capacity summary'!$C$14="Yes",IF(COUNTBLANK('Capacity summary'!$H86:$BG86)&lt;52,IF('Capacity summary'!AY86&lt;&gt;"",IF(LOWER('Capacity summary'!AY86)="x",$BI174*AY174,VALUE('Capacity summary'!AY86)),0),AY174*$BI174),AY174*$BI174),0)</f>
        <v>0</v>
      </c>
      <c r="DC174" s="5">
        <f>IF($BI174&lt;&gt;"",IF('Capacity summary'!$C$14="Yes",IF(COUNTBLANK('Capacity summary'!$H86:$BG86)&lt;52,IF('Capacity summary'!AZ86&lt;&gt;"",IF(LOWER('Capacity summary'!AZ86)="x",$BI174*AZ174,VALUE('Capacity summary'!AZ86)),0),AZ174*$BI174),AZ174*$BI174),0)</f>
        <v>0</v>
      </c>
      <c r="DD174" s="5">
        <f>IF($BI174&lt;&gt;"",IF('Capacity summary'!$C$14="Yes",IF(COUNTBLANK('Capacity summary'!$H86:$BG86)&lt;52,IF('Capacity summary'!BA86&lt;&gt;"",IF(LOWER('Capacity summary'!BA86)="x",$BI174*BA174,VALUE('Capacity summary'!BA86)),0),BA174*$BI174),BA174*$BI174),0)</f>
        <v>0</v>
      </c>
      <c r="DE174" s="5">
        <f>IF($BI174&lt;&gt;"",IF('Capacity summary'!$C$14="Yes",IF(COUNTBLANK('Capacity summary'!$H86:$BG86)&lt;52,IF('Capacity summary'!BB86&lt;&gt;"",IF(LOWER('Capacity summary'!BB86)="x",$BI174*BB174,VALUE('Capacity summary'!BB86)),0),BB174*$BI174),BB174*$BI174),0)</f>
        <v>0</v>
      </c>
      <c r="DF174" s="5">
        <f>IF($BI174&lt;&gt;"",IF('Capacity summary'!$C$14="Yes",IF(COUNTBLANK('Capacity summary'!$H86:$BG86)&lt;52,IF('Capacity summary'!BC86&lt;&gt;"",IF(LOWER('Capacity summary'!BC86)="x",$BI174*BC174,VALUE('Capacity summary'!BC86)),0),BC174*$BI174),BC174*$BI174),0)</f>
        <v>0</v>
      </c>
      <c r="DG174" s="5">
        <f>IF($BI174&lt;&gt;"",IF('Capacity summary'!$C$14="Yes",IF(COUNTBLANK('Capacity summary'!$H86:$BG86)&lt;52,IF('Capacity summary'!BD86&lt;&gt;"",IF(LOWER('Capacity summary'!BD86)="x",$BI174*BD174,VALUE('Capacity summary'!BD86)),0),BD174*$BI174),BD174*$BI174),0)</f>
        <v>0</v>
      </c>
      <c r="DH174" s="5">
        <f>IF($BI174&lt;&gt;"",IF('Capacity summary'!$C$14="Yes",IF(COUNTBLANK('Capacity summary'!$H86:$BG86)&lt;52,IF('Capacity summary'!BE86&lt;&gt;"",IF(LOWER('Capacity summary'!BE86)="x",$BI174*BE174,VALUE('Capacity summary'!BE86)),0),BE174*$BI174),BE174*$BI174),0)</f>
        <v>0</v>
      </c>
      <c r="DI174" s="5">
        <f>IF($BI174&lt;&gt;"",IF('Capacity summary'!$C$14="Yes",IF(COUNTBLANK('Capacity summary'!$H86:$BG86)&lt;52,IF('Capacity summary'!BF86&lt;&gt;"",IF(LOWER('Capacity summary'!BF86)="x",$BI174*BF174,VALUE('Capacity summary'!BF86)),0),BF174*$BI174),BF174*$BI174),0)</f>
        <v>0</v>
      </c>
      <c r="DJ174" s="5">
        <f>IF($BI174&lt;&gt;"",IF('Capacity summary'!$C$14="Yes",IF(COUNTBLANK('Capacity summary'!$H86:$BG86)&lt;52,IF('Capacity summary'!BG86&lt;&gt;"",IF(LOWER('Capacity summary'!BG86)="x",$BI174*BG174,VALUE('Capacity summary'!BG86)),0),BG174*$BI174),BG174*$BI174),0)</f>
        <v>0</v>
      </c>
      <c r="DK174" s="391">
        <f t="shared" si="8"/>
        <v>0</v>
      </c>
      <c r="DL174" s="5">
        <f t="shared" si="9"/>
        <v>0</v>
      </c>
    </row>
    <row r="175" spans="3:116" x14ac:dyDescent="0.2">
      <c r="C175" s="67" t="str">
        <f>ROW(A64)&amp;". "&amp;Capacity!N80</f>
        <v xml:space="preserve">64. </v>
      </c>
      <c r="D175" s="67">
        <f>'Capacity setup'!C181</f>
        <v>0</v>
      </c>
      <c r="E175" s="67">
        <f>'Capacity setup'!D181</f>
        <v>0</v>
      </c>
      <c r="F175" s="67">
        <f>'Capacity setup'!E181</f>
        <v>0</v>
      </c>
      <c r="H175" s="67">
        <f ca="1">IF(LOWER(Capacity!$V80)="x",IF(AND(SUMIF(Capacity_Resource,$D175,'Critical resources (hide)'!U$6:U$105)+SUMIF(Capacity_Resource,$E175,'Critical resources (hide)'!U$6:U$105)+SUMIF(Capacity_Resource,$F175,'Critical resources (hide)'!U$6:U$105)&gt;0,$E$1=2),0,1),0)</f>
        <v>1</v>
      </c>
      <c r="I175" s="67">
        <f ca="1">IF(LOWER(Capacity!$V80)="x",IF(AND(SUMIF(Capacity_Resource,$D175,'Critical resources (hide)'!V$6:V$105)+SUMIF(Capacity_Resource,$E175,'Critical resources (hide)'!V$6:V$105)+SUMIF(Capacity_Resource,$F175,'Critical resources (hide)'!V$6:V$105)&gt;0,$E$1=2),0,1),0)</f>
        <v>1</v>
      </c>
      <c r="J175" s="67">
        <f ca="1">IF(LOWER(Capacity!$V80)="x",IF(AND(SUMIF(Capacity_Resource,$D175,'Critical resources (hide)'!W$6:W$105)+SUMIF(Capacity_Resource,$E175,'Critical resources (hide)'!W$6:W$105)+SUMIF(Capacity_Resource,$F175,'Critical resources (hide)'!W$6:W$105)&gt;0,$E$1=2),0,1),0)</f>
        <v>1</v>
      </c>
      <c r="K175" s="67">
        <f ca="1">IF(LOWER(Capacity!$V80)="x",IF(AND(SUMIF(Capacity_Resource,$D175,'Critical resources (hide)'!X$6:X$105)+SUMIF(Capacity_Resource,$E175,'Critical resources (hide)'!X$6:X$105)+SUMIF(Capacity_Resource,$F175,'Critical resources (hide)'!X$6:X$105)&gt;0,$E$1=2),0,1),0)</f>
        <v>1</v>
      </c>
      <c r="L175" s="67">
        <f ca="1">IF(LOWER(Capacity!$V80)="x",IF(AND(SUMIF(Capacity_Resource,$D175,'Critical resources (hide)'!Y$6:Y$105)+SUMIF(Capacity_Resource,$E175,'Critical resources (hide)'!Y$6:Y$105)+SUMIF(Capacity_Resource,$F175,'Critical resources (hide)'!Y$6:Y$105)&gt;0,$E$1=2),0,1),0)</f>
        <v>1</v>
      </c>
      <c r="M175" s="67">
        <f ca="1">IF(LOWER(Capacity!$V80)="x",IF(AND(SUMIF(Capacity_Resource,$D175,'Critical resources (hide)'!Z$6:Z$105)+SUMIF(Capacity_Resource,$E175,'Critical resources (hide)'!Z$6:Z$105)+SUMIF(Capacity_Resource,$F175,'Critical resources (hide)'!Z$6:Z$105)&gt;0,$E$1=2),0,1),0)</f>
        <v>1</v>
      </c>
      <c r="N175" s="67">
        <f ca="1">IF(LOWER(Capacity!$V80)="x",IF(AND(SUMIF(Capacity_Resource,$D175,'Critical resources (hide)'!AA$6:AA$105)+SUMIF(Capacity_Resource,$E175,'Critical resources (hide)'!AA$6:AA$105)+SUMIF(Capacity_Resource,$F175,'Critical resources (hide)'!AA$6:AA$105)&gt;0,$E$1=2),0,1),0)</f>
        <v>1</v>
      </c>
      <c r="O175" s="67">
        <f ca="1">IF(LOWER(Capacity!$V80)="x",IF(AND(SUMIF(Capacity_Resource,$D175,'Critical resources (hide)'!AB$6:AB$105)+SUMIF(Capacity_Resource,$E175,'Critical resources (hide)'!AB$6:AB$105)+SUMIF(Capacity_Resource,$F175,'Critical resources (hide)'!AB$6:AB$105)&gt;0,$E$1=2),0,1),0)</f>
        <v>1</v>
      </c>
      <c r="P175" s="67">
        <f ca="1">IF(LOWER(Capacity!$V80)="x",IF(AND(SUMIF(Capacity_Resource,$D175,'Critical resources (hide)'!AC$6:AC$105)+SUMIF(Capacity_Resource,$E175,'Critical resources (hide)'!AC$6:AC$105)+SUMIF(Capacity_Resource,$F175,'Critical resources (hide)'!AC$6:AC$105)&gt;0,$E$1=2),0,1),0)</f>
        <v>1</v>
      </c>
      <c r="Q175" s="67">
        <f ca="1">IF(LOWER(Capacity!$V80)="x",IF(AND(SUMIF(Capacity_Resource,$D175,'Critical resources (hide)'!AD$6:AD$105)+SUMIF(Capacity_Resource,$E175,'Critical resources (hide)'!AD$6:AD$105)+SUMIF(Capacity_Resource,$F175,'Critical resources (hide)'!AD$6:AD$105)&gt;0,$E$1=2),0,1),0)</f>
        <v>1</v>
      </c>
      <c r="R175" s="67">
        <f ca="1">IF(LOWER(Capacity!$V80)="x",IF(AND(SUMIF(Capacity_Resource,$D175,'Critical resources (hide)'!AE$6:AE$105)+SUMIF(Capacity_Resource,$E175,'Critical resources (hide)'!AE$6:AE$105)+SUMIF(Capacity_Resource,$F175,'Critical resources (hide)'!AE$6:AE$105)&gt;0,$E$1=2),0,1),0)</f>
        <v>1</v>
      </c>
      <c r="S175" s="67">
        <f ca="1">IF(LOWER(Capacity!$V80)="x",IF(AND(SUMIF(Capacity_Resource,$D175,'Critical resources (hide)'!AF$6:AF$105)+SUMIF(Capacity_Resource,$E175,'Critical resources (hide)'!AF$6:AF$105)+SUMIF(Capacity_Resource,$F175,'Critical resources (hide)'!AF$6:AF$105)&gt;0,$E$1=2),0,1),0)</f>
        <v>1</v>
      </c>
      <c r="T175" s="67">
        <f ca="1">IF(LOWER(Capacity!$V80)="x",IF(AND(SUMIF(Capacity_Resource,$D175,'Critical resources (hide)'!AG$6:AG$105)+SUMIF(Capacity_Resource,$E175,'Critical resources (hide)'!AG$6:AG$105)+SUMIF(Capacity_Resource,$F175,'Critical resources (hide)'!AG$6:AG$105)&gt;0,$E$1=2),0,1),0)</f>
        <v>1</v>
      </c>
      <c r="U175" s="67">
        <f ca="1">IF(LOWER(Capacity!$V80)="x",IF(AND(SUMIF(Capacity_Resource,$D175,'Critical resources (hide)'!AH$6:AH$105)+SUMIF(Capacity_Resource,$E175,'Critical resources (hide)'!AH$6:AH$105)+SUMIF(Capacity_Resource,$F175,'Critical resources (hide)'!AH$6:AH$105)&gt;0,$E$1=2),0,1),0)</f>
        <v>1</v>
      </c>
      <c r="V175" s="67">
        <f ca="1">IF(LOWER(Capacity!$V80)="x",IF(AND(SUMIF(Capacity_Resource,$D175,'Critical resources (hide)'!AI$6:AI$105)+SUMIF(Capacity_Resource,$E175,'Critical resources (hide)'!AI$6:AI$105)+SUMIF(Capacity_Resource,$F175,'Critical resources (hide)'!AI$6:AI$105)&gt;0,$E$1=2),0,1),0)</f>
        <v>1</v>
      </c>
      <c r="W175" s="67">
        <f ca="1">IF(LOWER(Capacity!$V80)="x",IF(AND(SUMIF(Capacity_Resource,$D175,'Critical resources (hide)'!AJ$6:AJ$105)+SUMIF(Capacity_Resource,$E175,'Critical resources (hide)'!AJ$6:AJ$105)+SUMIF(Capacity_Resource,$F175,'Critical resources (hide)'!AJ$6:AJ$105)&gt;0,$E$1=2),0,1),0)</f>
        <v>1</v>
      </c>
      <c r="X175" s="67">
        <f ca="1">IF(LOWER(Capacity!$V80)="x",IF(AND(SUMIF(Capacity_Resource,$D175,'Critical resources (hide)'!AK$6:AK$105)+SUMIF(Capacity_Resource,$E175,'Critical resources (hide)'!AK$6:AK$105)+SUMIF(Capacity_Resource,$F175,'Critical resources (hide)'!AK$6:AK$105)&gt;0,$E$1=2),0,1),0)</f>
        <v>1</v>
      </c>
      <c r="Y175" s="67">
        <f ca="1">IF(LOWER(Capacity!$V80)="x",IF(AND(SUMIF(Capacity_Resource,$D175,'Critical resources (hide)'!AL$6:AL$105)+SUMIF(Capacity_Resource,$E175,'Critical resources (hide)'!AL$6:AL$105)+SUMIF(Capacity_Resource,$F175,'Critical resources (hide)'!AL$6:AL$105)&gt;0,$E$1=2),0,1),0)</f>
        <v>1</v>
      </c>
      <c r="Z175" s="67">
        <f ca="1">IF(LOWER(Capacity!$V80)="x",IF(AND(SUMIF(Capacity_Resource,$D175,'Critical resources (hide)'!AM$6:AM$105)+SUMIF(Capacity_Resource,$E175,'Critical resources (hide)'!AM$6:AM$105)+SUMIF(Capacity_Resource,$F175,'Critical resources (hide)'!AM$6:AM$105)&gt;0,$E$1=2),0,1),0)</f>
        <v>1</v>
      </c>
      <c r="AA175" s="67">
        <f ca="1">IF(LOWER(Capacity!$V80)="x",IF(AND(SUMIF(Capacity_Resource,$D175,'Critical resources (hide)'!AN$6:AN$105)+SUMIF(Capacity_Resource,$E175,'Critical resources (hide)'!AN$6:AN$105)+SUMIF(Capacity_Resource,$F175,'Critical resources (hide)'!AN$6:AN$105)&gt;0,$E$1=2),0,1),0)</f>
        <v>1</v>
      </c>
      <c r="AB175" s="67">
        <f ca="1">IF(LOWER(Capacity!$V80)="x",IF(AND(SUMIF(Capacity_Resource,$D175,'Critical resources (hide)'!AO$6:AO$105)+SUMIF(Capacity_Resource,$E175,'Critical resources (hide)'!AO$6:AO$105)+SUMIF(Capacity_Resource,$F175,'Critical resources (hide)'!AO$6:AO$105)&gt;0,$E$1=2),0,1),0)</f>
        <v>1</v>
      </c>
      <c r="AC175" s="67">
        <f ca="1">IF(LOWER(Capacity!$V80)="x",IF(AND(SUMIF(Capacity_Resource,$D175,'Critical resources (hide)'!AP$6:AP$105)+SUMIF(Capacity_Resource,$E175,'Critical resources (hide)'!AP$6:AP$105)+SUMIF(Capacity_Resource,$F175,'Critical resources (hide)'!AP$6:AP$105)&gt;0,$E$1=2),0,1),0)</f>
        <v>1</v>
      </c>
      <c r="AD175" s="67">
        <f ca="1">IF(LOWER(Capacity!$V80)="x",IF(AND(SUMIF(Capacity_Resource,$D175,'Critical resources (hide)'!AQ$6:AQ$105)+SUMIF(Capacity_Resource,$E175,'Critical resources (hide)'!AQ$6:AQ$105)+SUMIF(Capacity_Resource,$F175,'Critical resources (hide)'!AQ$6:AQ$105)&gt;0,$E$1=2),0,1),0)</f>
        <v>1</v>
      </c>
      <c r="AE175" s="67">
        <f ca="1">IF(LOWER(Capacity!$V80)="x",IF(AND(SUMIF(Capacity_Resource,$D175,'Critical resources (hide)'!AR$6:AR$105)+SUMIF(Capacity_Resource,$E175,'Critical resources (hide)'!AR$6:AR$105)+SUMIF(Capacity_Resource,$F175,'Critical resources (hide)'!AR$6:AR$105)&gt;0,$E$1=2),0,1),0)</f>
        <v>1</v>
      </c>
      <c r="AF175" s="67">
        <f ca="1">IF(LOWER(Capacity!$V80)="x",IF(AND(SUMIF(Capacity_Resource,$D175,'Critical resources (hide)'!AS$6:AS$105)+SUMIF(Capacity_Resource,$E175,'Critical resources (hide)'!AS$6:AS$105)+SUMIF(Capacity_Resource,$F175,'Critical resources (hide)'!AS$6:AS$105)&gt;0,$E$1=2),0,1),0)</f>
        <v>1</v>
      </c>
      <c r="AG175" s="67">
        <f ca="1">IF(LOWER(Capacity!$V80)="x",IF(AND(SUMIF(Capacity_Resource,$D175,'Critical resources (hide)'!AT$6:AT$105)+SUMIF(Capacity_Resource,$E175,'Critical resources (hide)'!AT$6:AT$105)+SUMIF(Capacity_Resource,$F175,'Critical resources (hide)'!AT$6:AT$105)&gt;0,$E$1=2),0,1),0)</f>
        <v>1</v>
      </c>
      <c r="AH175" s="67">
        <f ca="1">IF(LOWER(Capacity!$V80)="x",IF(AND(SUMIF(Capacity_Resource,$D175,'Critical resources (hide)'!AU$6:AU$105)+SUMIF(Capacity_Resource,$E175,'Critical resources (hide)'!AU$6:AU$105)+SUMIF(Capacity_Resource,$F175,'Critical resources (hide)'!AU$6:AU$105)&gt;0,$E$1=2),0,1),0)</f>
        <v>1</v>
      </c>
      <c r="AI175" s="67">
        <f ca="1">IF(LOWER(Capacity!$V80)="x",IF(AND(SUMIF(Capacity_Resource,$D175,'Critical resources (hide)'!AV$6:AV$105)+SUMIF(Capacity_Resource,$E175,'Critical resources (hide)'!AV$6:AV$105)+SUMIF(Capacity_Resource,$F175,'Critical resources (hide)'!AV$6:AV$105)&gt;0,$E$1=2),0,1),0)</f>
        <v>1</v>
      </c>
      <c r="AJ175" s="67">
        <f ca="1">IF(LOWER(Capacity!$V80)="x",IF(AND(SUMIF(Capacity_Resource,$D175,'Critical resources (hide)'!AW$6:AW$105)+SUMIF(Capacity_Resource,$E175,'Critical resources (hide)'!AW$6:AW$105)+SUMIF(Capacity_Resource,$F175,'Critical resources (hide)'!AW$6:AW$105)&gt;0,$E$1=2),0,1),0)</f>
        <v>1</v>
      </c>
      <c r="AK175" s="67">
        <f ca="1">IF(LOWER(Capacity!$V80)="x",IF(AND(SUMIF(Capacity_Resource,$D175,'Critical resources (hide)'!AX$6:AX$105)+SUMIF(Capacity_Resource,$E175,'Critical resources (hide)'!AX$6:AX$105)+SUMIF(Capacity_Resource,$F175,'Critical resources (hide)'!AX$6:AX$105)&gt;0,$E$1=2),0,1),0)</f>
        <v>1</v>
      </c>
      <c r="AL175" s="67">
        <f ca="1">IF(LOWER(Capacity!$V80)="x",IF(AND(SUMIF(Capacity_Resource,$D175,'Critical resources (hide)'!AY$6:AY$105)+SUMIF(Capacity_Resource,$E175,'Critical resources (hide)'!AY$6:AY$105)+SUMIF(Capacity_Resource,$F175,'Critical resources (hide)'!AY$6:AY$105)&gt;0,$E$1=2),0,1),0)</f>
        <v>1</v>
      </c>
      <c r="AM175" s="67">
        <f ca="1">IF(LOWER(Capacity!$V80)="x",IF(AND(SUMIF(Capacity_Resource,$D175,'Critical resources (hide)'!AZ$6:AZ$105)+SUMIF(Capacity_Resource,$E175,'Critical resources (hide)'!AZ$6:AZ$105)+SUMIF(Capacity_Resource,$F175,'Critical resources (hide)'!AZ$6:AZ$105)&gt;0,$E$1=2),0,1),0)</f>
        <v>1</v>
      </c>
      <c r="AN175" s="67">
        <f ca="1">IF(LOWER(Capacity!$V80)="x",IF(AND(SUMIF(Capacity_Resource,$D175,'Critical resources (hide)'!BA$6:BA$105)+SUMIF(Capacity_Resource,$E175,'Critical resources (hide)'!BA$6:BA$105)+SUMIF(Capacity_Resource,$F175,'Critical resources (hide)'!BA$6:BA$105)&gt;0,$E$1=2),0,1),0)</f>
        <v>1</v>
      </c>
      <c r="AO175" s="67">
        <f ca="1">IF(LOWER(Capacity!$V80)="x",IF(AND(SUMIF(Capacity_Resource,$D175,'Critical resources (hide)'!BB$6:BB$105)+SUMIF(Capacity_Resource,$E175,'Critical resources (hide)'!BB$6:BB$105)+SUMIF(Capacity_Resource,$F175,'Critical resources (hide)'!BB$6:BB$105)&gt;0,$E$1=2),0,1),0)</f>
        <v>1</v>
      </c>
      <c r="AP175" s="67">
        <f ca="1">IF(LOWER(Capacity!$V80)="x",IF(AND(SUMIF(Capacity_Resource,$D175,'Critical resources (hide)'!BC$6:BC$105)+SUMIF(Capacity_Resource,$E175,'Critical resources (hide)'!BC$6:BC$105)+SUMIF(Capacity_Resource,$F175,'Critical resources (hide)'!BC$6:BC$105)&gt;0,$E$1=2),0,1),0)</f>
        <v>1</v>
      </c>
      <c r="AQ175" s="67">
        <f ca="1">IF(LOWER(Capacity!$V80)="x",IF(AND(SUMIF(Capacity_Resource,$D175,'Critical resources (hide)'!BD$6:BD$105)+SUMIF(Capacity_Resource,$E175,'Critical resources (hide)'!BD$6:BD$105)+SUMIF(Capacity_Resource,$F175,'Critical resources (hide)'!BD$6:BD$105)&gt;0,$E$1=2),0,1),0)</f>
        <v>1</v>
      </c>
      <c r="AR175" s="67">
        <f ca="1">IF(LOWER(Capacity!$V80)="x",IF(AND(SUMIF(Capacity_Resource,$D175,'Critical resources (hide)'!BE$6:BE$105)+SUMIF(Capacity_Resource,$E175,'Critical resources (hide)'!BE$6:BE$105)+SUMIF(Capacity_Resource,$F175,'Critical resources (hide)'!BE$6:BE$105)&gt;0,$E$1=2),0,1),0)</f>
        <v>1</v>
      </c>
      <c r="AS175" s="67">
        <f ca="1">IF(LOWER(Capacity!$V80)="x",IF(AND(SUMIF(Capacity_Resource,$D175,'Critical resources (hide)'!BF$6:BF$105)+SUMIF(Capacity_Resource,$E175,'Critical resources (hide)'!BF$6:BF$105)+SUMIF(Capacity_Resource,$F175,'Critical resources (hide)'!BF$6:BF$105)&gt;0,$E$1=2),0,1),0)</f>
        <v>1</v>
      </c>
      <c r="AT175" s="67">
        <f ca="1">IF(LOWER(Capacity!$V80)="x",IF(AND(SUMIF(Capacity_Resource,$D175,'Critical resources (hide)'!BG$6:BG$105)+SUMIF(Capacity_Resource,$E175,'Critical resources (hide)'!BG$6:BG$105)+SUMIF(Capacity_Resource,$F175,'Critical resources (hide)'!BG$6:BG$105)&gt;0,$E$1=2),0,1),0)</f>
        <v>1</v>
      </c>
      <c r="AU175" s="67">
        <f ca="1">IF(LOWER(Capacity!$V80)="x",IF(AND(SUMIF(Capacity_Resource,$D175,'Critical resources (hide)'!BH$6:BH$105)+SUMIF(Capacity_Resource,$E175,'Critical resources (hide)'!BH$6:BH$105)+SUMIF(Capacity_Resource,$F175,'Critical resources (hide)'!BH$6:BH$105)&gt;0,$E$1=2),0,1),0)</f>
        <v>1</v>
      </c>
      <c r="AV175" s="67">
        <f ca="1">IF(LOWER(Capacity!$V80)="x",IF(AND(SUMIF(Capacity_Resource,$D175,'Critical resources (hide)'!BI$6:BI$105)+SUMIF(Capacity_Resource,$E175,'Critical resources (hide)'!BI$6:BI$105)+SUMIF(Capacity_Resource,$F175,'Critical resources (hide)'!BI$6:BI$105)&gt;0,$E$1=2),0,1),0)</f>
        <v>1</v>
      </c>
      <c r="AW175" s="67">
        <f ca="1">IF(LOWER(Capacity!$V80)="x",IF(AND(SUMIF(Capacity_Resource,$D175,'Critical resources (hide)'!BJ$6:BJ$105)+SUMIF(Capacity_Resource,$E175,'Critical resources (hide)'!BJ$6:BJ$105)+SUMIF(Capacity_Resource,$F175,'Critical resources (hide)'!BJ$6:BJ$105)&gt;0,$E$1=2),0,1),0)</f>
        <v>1</v>
      </c>
      <c r="AX175" s="67">
        <f ca="1">IF(LOWER(Capacity!$V80)="x",IF(AND(SUMIF(Capacity_Resource,$D175,'Critical resources (hide)'!BK$6:BK$105)+SUMIF(Capacity_Resource,$E175,'Critical resources (hide)'!BK$6:BK$105)+SUMIF(Capacity_Resource,$F175,'Critical resources (hide)'!BK$6:BK$105)&gt;0,$E$1=2),0,1),0)</f>
        <v>1</v>
      </c>
      <c r="AY175" s="67">
        <f ca="1">IF(LOWER(Capacity!$V80)="x",IF(AND(SUMIF(Capacity_Resource,$D175,'Critical resources (hide)'!BL$6:BL$105)+SUMIF(Capacity_Resource,$E175,'Critical resources (hide)'!BL$6:BL$105)+SUMIF(Capacity_Resource,$F175,'Critical resources (hide)'!BL$6:BL$105)&gt;0,$E$1=2),0,1),0)</f>
        <v>1</v>
      </c>
      <c r="AZ175" s="67">
        <f ca="1">IF(LOWER(Capacity!$V80)="x",IF(AND(SUMIF(Capacity_Resource,$D175,'Critical resources (hide)'!BM$6:BM$105)+SUMIF(Capacity_Resource,$E175,'Critical resources (hide)'!BM$6:BM$105)+SUMIF(Capacity_Resource,$F175,'Critical resources (hide)'!BM$6:BM$105)&gt;0,$E$1=2),0,1),0)</f>
        <v>1</v>
      </c>
      <c r="BA175" s="67">
        <f ca="1">IF(LOWER(Capacity!$V80)="x",IF(AND(SUMIF(Capacity_Resource,$D175,'Critical resources (hide)'!BN$6:BN$105)+SUMIF(Capacity_Resource,$E175,'Critical resources (hide)'!BN$6:BN$105)+SUMIF(Capacity_Resource,$F175,'Critical resources (hide)'!BN$6:BN$105)&gt;0,$E$1=2),0,1),0)</f>
        <v>1</v>
      </c>
      <c r="BB175" s="67">
        <f ca="1">IF(LOWER(Capacity!$V80)="x",IF(AND(SUMIF(Capacity_Resource,$D175,'Critical resources (hide)'!BO$6:BO$105)+SUMIF(Capacity_Resource,$E175,'Critical resources (hide)'!BO$6:BO$105)+SUMIF(Capacity_Resource,$F175,'Critical resources (hide)'!BO$6:BO$105)&gt;0,$E$1=2),0,1),0)</f>
        <v>1</v>
      </c>
      <c r="BC175" s="67">
        <f ca="1">IF(LOWER(Capacity!$V80)="x",IF(AND(SUMIF(Capacity_Resource,$D175,'Critical resources (hide)'!BP$6:BP$105)+SUMIF(Capacity_Resource,$E175,'Critical resources (hide)'!BP$6:BP$105)+SUMIF(Capacity_Resource,$F175,'Critical resources (hide)'!BP$6:BP$105)&gt;0,$E$1=2),0,1),0)</f>
        <v>1</v>
      </c>
      <c r="BD175" s="67">
        <f ca="1">IF(LOWER(Capacity!$V80)="x",IF(AND(SUMIF(Capacity_Resource,$D175,'Critical resources (hide)'!BQ$6:BQ$105)+SUMIF(Capacity_Resource,$E175,'Critical resources (hide)'!BQ$6:BQ$105)+SUMIF(Capacity_Resource,$F175,'Critical resources (hide)'!BQ$6:BQ$105)&gt;0,$E$1=2),0,1),0)</f>
        <v>1</v>
      </c>
      <c r="BE175" s="67">
        <f ca="1">IF(LOWER(Capacity!$V80)="x",IF(AND(SUMIF(Capacity_Resource,$D175,'Critical resources (hide)'!BR$6:BR$105)+SUMIF(Capacity_Resource,$E175,'Critical resources (hide)'!BR$6:BR$105)+SUMIF(Capacity_Resource,$F175,'Critical resources (hide)'!BR$6:BR$105)&gt;0,$E$1=2),0,1),0)</f>
        <v>1</v>
      </c>
      <c r="BF175" s="67">
        <f ca="1">IF(LOWER(Capacity!$V80)="x",IF(AND(SUMIF(Capacity_Resource,$D175,'Critical resources (hide)'!BS$6:BS$105)+SUMIF(Capacity_Resource,$E175,'Critical resources (hide)'!BS$6:BS$105)+SUMIF(Capacity_Resource,$F175,'Critical resources (hide)'!BS$6:BS$105)&gt;0,$E$1=2),0,1),0)</f>
        <v>1</v>
      </c>
      <c r="BG175" s="67">
        <f ca="1">IF(LOWER(Capacity!$V80)="x",IF(AND(SUMIF(Capacity_Resource,$D175,'Critical resources (hide)'!BT$6:BT$105)+SUMIF(Capacity_Resource,$E175,'Critical resources (hide)'!BT$6:BT$105)+SUMIF(Capacity_Resource,$F175,'Critical resources (hide)'!BT$6:BT$105)&gt;0,$E$1=2),0,1),0)</f>
        <v>1</v>
      </c>
      <c r="BH175" s="67">
        <f>IF(ROW(A64)&lt;=Capacity!$M$16,IF('Capacity summary'!$C$14="No",SUM(H175:BG175),'Capacity summary'!$E87),0)</f>
        <v>0</v>
      </c>
      <c r="BI175" s="67" t="str">
        <f>IF(BH175&gt;0,IF(BH175&lt;Capacity!Q80,Capacity!R80,Capacity!T80/'Capacity calculation (hide)'!BH175),"")</f>
        <v/>
      </c>
      <c r="BJ175" s="5"/>
      <c r="BK175" s="5">
        <f>IF($BI175&lt;&gt;"",IF('Capacity summary'!$C$14="Yes",IF(COUNTBLANK('Capacity summary'!$H87:$BG87)&lt;52,IF('Capacity summary'!H87&lt;&gt;"",IF(LOWER('Capacity summary'!H87)="x",$BI175*H175,VALUE('Capacity summary'!H87)),0),H175*$BI175),H175*$BI175),0)</f>
        <v>0</v>
      </c>
      <c r="BL175" s="5">
        <f>IF($BI175&lt;&gt;"",IF('Capacity summary'!$C$14="Yes",IF(COUNTBLANK('Capacity summary'!$H87:$BG87)&lt;52,IF('Capacity summary'!I87&lt;&gt;"",IF(LOWER('Capacity summary'!I87)="x",$BI175*I175,VALUE('Capacity summary'!I87)),0),I175*$BI175),I175*$BI175),0)</f>
        <v>0</v>
      </c>
      <c r="BM175" s="5">
        <f>IF($BI175&lt;&gt;"",IF('Capacity summary'!$C$14="Yes",IF(COUNTBLANK('Capacity summary'!$H87:$BG87)&lt;52,IF('Capacity summary'!J87&lt;&gt;"",IF(LOWER('Capacity summary'!J87)="x",$BI175*J175,VALUE('Capacity summary'!J87)),0),J175*$BI175),J175*$BI175),0)</f>
        <v>0</v>
      </c>
      <c r="BN175" s="5">
        <f>IF($BI175&lt;&gt;"",IF('Capacity summary'!$C$14="Yes",IF(COUNTBLANK('Capacity summary'!$H87:$BG87)&lt;52,IF('Capacity summary'!K87&lt;&gt;"",IF(LOWER('Capacity summary'!K87)="x",$BI175*K175,VALUE('Capacity summary'!K87)),0),K175*$BI175),K175*$BI175),0)</f>
        <v>0</v>
      </c>
      <c r="BO175" s="5">
        <f>IF($BI175&lt;&gt;"",IF('Capacity summary'!$C$14="Yes",IF(COUNTBLANK('Capacity summary'!$H87:$BG87)&lt;52,IF('Capacity summary'!L87&lt;&gt;"",IF(LOWER('Capacity summary'!L87)="x",$BI175*L175,VALUE('Capacity summary'!L87)),0),L175*$BI175),L175*$BI175),0)</f>
        <v>0</v>
      </c>
      <c r="BP175" s="5">
        <f>IF($BI175&lt;&gt;"",IF('Capacity summary'!$C$14="Yes",IF(COUNTBLANK('Capacity summary'!$H87:$BG87)&lt;52,IF('Capacity summary'!M87&lt;&gt;"",IF(LOWER('Capacity summary'!M87)="x",$BI175*M175,VALUE('Capacity summary'!M87)),0),M175*$BI175),M175*$BI175),0)</f>
        <v>0</v>
      </c>
      <c r="BQ175" s="5">
        <f>IF($BI175&lt;&gt;"",IF('Capacity summary'!$C$14="Yes",IF(COUNTBLANK('Capacity summary'!$H87:$BG87)&lt;52,IF('Capacity summary'!N87&lt;&gt;"",IF(LOWER('Capacity summary'!N87)="x",$BI175*N175,VALUE('Capacity summary'!N87)),0),N175*$BI175),N175*$BI175),0)</f>
        <v>0</v>
      </c>
      <c r="BR175" s="5">
        <f>IF($BI175&lt;&gt;"",IF('Capacity summary'!$C$14="Yes",IF(COUNTBLANK('Capacity summary'!$H87:$BG87)&lt;52,IF('Capacity summary'!O87&lt;&gt;"",IF(LOWER('Capacity summary'!O87)="x",$BI175*O175,VALUE('Capacity summary'!O87)),0),O175*$BI175),O175*$BI175),0)</f>
        <v>0</v>
      </c>
      <c r="BS175" s="5">
        <f>IF($BI175&lt;&gt;"",IF('Capacity summary'!$C$14="Yes",IF(COUNTBLANK('Capacity summary'!$H87:$BG87)&lt;52,IF('Capacity summary'!P87&lt;&gt;"",IF(LOWER('Capacity summary'!P87)="x",$BI175*P175,VALUE('Capacity summary'!P87)),0),P175*$BI175),P175*$BI175),0)</f>
        <v>0</v>
      </c>
      <c r="BT175" s="5">
        <f>IF($BI175&lt;&gt;"",IF('Capacity summary'!$C$14="Yes",IF(COUNTBLANK('Capacity summary'!$H87:$BG87)&lt;52,IF('Capacity summary'!Q87&lt;&gt;"",IF(LOWER('Capacity summary'!Q87)="x",$BI175*Q175,VALUE('Capacity summary'!Q87)),0),Q175*$BI175),Q175*$BI175),0)</f>
        <v>0</v>
      </c>
      <c r="BU175" s="5">
        <f>IF($BI175&lt;&gt;"",IF('Capacity summary'!$C$14="Yes",IF(COUNTBLANK('Capacity summary'!$H87:$BG87)&lt;52,IF('Capacity summary'!R87&lt;&gt;"",IF(LOWER('Capacity summary'!R87)="x",$BI175*R175,VALUE('Capacity summary'!R87)),0),R175*$BI175),R175*$BI175),0)</f>
        <v>0</v>
      </c>
      <c r="BV175" s="5">
        <f>IF($BI175&lt;&gt;"",IF('Capacity summary'!$C$14="Yes",IF(COUNTBLANK('Capacity summary'!$H87:$BG87)&lt;52,IF('Capacity summary'!S87&lt;&gt;"",IF(LOWER('Capacity summary'!S87)="x",$BI175*S175,VALUE('Capacity summary'!S87)),0),S175*$BI175),S175*$BI175),0)</f>
        <v>0</v>
      </c>
      <c r="BW175" s="5">
        <f>IF($BI175&lt;&gt;"",IF('Capacity summary'!$C$14="Yes",IF(COUNTBLANK('Capacity summary'!$H87:$BG87)&lt;52,IF('Capacity summary'!T87&lt;&gt;"",IF(LOWER('Capacity summary'!T87)="x",$BI175*T175,VALUE('Capacity summary'!T87)),0),T175*$BI175),T175*$BI175),0)</f>
        <v>0</v>
      </c>
      <c r="BX175" s="5">
        <f>IF($BI175&lt;&gt;"",IF('Capacity summary'!$C$14="Yes",IF(COUNTBLANK('Capacity summary'!$H87:$BG87)&lt;52,IF('Capacity summary'!U87&lt;&gt;"",IF(LOWER('Capacity summary'!U87)="x",$BI175*U175,VALUE('Capacity summary'!U87)),0),U175*$BI175),U175*$BI175),0)</f>
        <v>0</v>
      </c>
      <c r="BY175" s="5">
        <f>IF($BI175&lt;&gt;"",IF('Capacity summary'!$C$14="Yes",IF(COUNTBLANK('Capacity summary'!$H87:$BG87)&lt;52,IF('Capacity summary'!V87&lt;&gt;"",IF(LOWER('Capacity summary'!V87)="x",$BI175*V175,VALUE('Capacity summary'!V87)),0),V175*$BI175),V175*$BI175),0)</f>
        <v>0</v>
      </c>
      <c r="BZ175" s="5">
        <f>IF($BI175&lt;&gt;"",IF('Capacity summary'!$C$14="Yes",IF(COUNTBLANK('Capacity summary'!$H87:$BG87)&lt;52,IF('Capacity summary'!W87&lt;&gt;"",IF(LOWER('Capacity summary'!W87)="x",$BI175*W175,VALUE('Capacity summary'!W87)),0),W175*$BI175),W175*$BI175),0)</f>
        <v>0</v>
      </c>
      <c r="CA175" s="5">
        <f>IF($BI175&lt;&gt;"",IF('Capacity summary'!$C$14="Yes",IF(COUNTBLANK('Capacity summary'!$H87:$BG87)&lt;52,IF('Capacity summary'!X87&lt;&gt;"",IF(LOWER('Capacity summary'!X87)="x",$BI175*X175,VALUE('Capacity summary'!X87)),0),X175*$BI175),X175*$BI175),0)</f>
        <v>0</v>
      </c>
      <c r="CB175" s="5">
        <f>IF($BI175&lt;&gt;"",IF('Capacity summary'!$C$14="Yes",IF(COUNTBLANK('Capacity summary'!$H87:$BG87)&lt;52,IF('Capacity summary'!Y87&lt;&gt;"",IF(LOWER('Capacity summary'!Y87)="x",$BI175*Y175,VALUE('Capacity summary'!Y87)),0),Y175*$BI175),Y175*$BI175),0)</f>
        <v>0</v>
      </c>
      <c r="CC175" s="5">
        <f>IF($BI175&lt;&gt;"",IF('Capacity summary'!$C$14="Yes",IF(COUNTBLANK('Capacity summary'!$H87:$BG87)&lt;52,IF('Capacity summary'!Z87&lt;&gt;"",IF(LOWER('Capacity summary'!Z87)="x",$BI175*Z175,VALUE('Capacity summary'!Z87)),0),Z175*$BI175),Z175*$BI175),0)</f>
        <v>0</v>
      </c>
      <c r="CD175" s="5">
        <f>IF($BI175&lt;&gt;"",IF('Capacity summary'!$C$14="Yes",IF(COUNTBLANK('Capacity summary'!$H87:$BG87)&lt;52,IF('Capacity summary'!AA87&lt;&gt;"",IF(LOWER('Capacity summary'!AA87)="x",$BI175*AA175,VALUE('Capacity summary'!AA87)),0),AA175*$BI175),AA175*$BI175),0)</f>
        <v>0</v>
      </c>
      <c r="CE175" s="5">
        <f>IF($BI175&lt;&gt;"",IF('Capacity summary'!$C$14="Yes",IF(COUNTBLANK('Capacity summary'!$H87:$BG87)&lt;52,IF('Capacity summary'!AB87&lt;&gt;"",IF(LOWER('Capacity summary'!AB87)="x",$BI175*AB175,VALUE('Capacity summary'!AB87)),0),AB175*$BI175),AB175*$BI175),0)</f>
        <v>0</v>
      </c>
      <c r="CF175" s="5">
        <f>IF($BI175&lt;&gt;"",IF('Capacity summary'!$C$14="Yes",IF(COUNTBLANK('Capacity summary'!$H87:$BG87)&lt;52,IF('Capacity summary'!AC87&lt;&gt;"",IF(LOWER('Capacity summary'!AC87)="x",$BI175*AC175,VALUE('Capacity summary'!AC87)),0),AC175*$BI175),AC175*$BI175),0)</f>
        <v>0</v>
      </c>
      <c r="CG175" s="5">
        <f>IF($BI175&lt;&gt;"",IF('Capacity summary'!$C$14="Yes",IF(COUNTBLANK('Capacity summary'!$H87:$BG87)&lt;52,IF('Capacity summary'!AD87&lt;&gt;"",IF(LOWER('Capacity summary'!AD87)="x",$BI175*AD175,VALUE('Capacity summary'!AD87)),0),AD175*$BI175),AD175*$BI175),0)</f>
        <v>0</v>
      </c>
      <c r="CH175" s="5">
        <f>IF($BI175&lt;&gt;"",IF('Capacity summary'!$C$14="Yes",IF(COUNTBLANK('Capacity summary'!$H87:$BG87)&lt;52,IF('Capacity summary'!AE87&lt;&gt;"",IF(LOWER('Capacity summary'!AE87)="x",$BI175*AE175,VALUE('Capacity summary'!AE87)),0),AE175*$BI175),AE175*$BI175),0)</f>
        <v>0</v>
      </c>
      <c r="CI175" s="5">
        <f>IF($BI175&lt;&gt;"",IF('Capacity summary'!$C$14="Yes",IF(COUNTBLANK('Capacity summary'!$H87:$BG87)&lt;52,IF('Capacity summary'!AF87&lt;&gt;"",IF(LOWER('Capacity summary'!AF87)="x",$BI175*AF175,VALUE('Capacity summary'!AF87)),0),AF175*$BI175),AF175*$BI175),0)</f>
        <v>0</v>
      </c>
      <c r="CJ175" s="5">
        <f>IF($BI175&lt;&gt;"",IF('Capacity summary'!$C$14="Yes",IF(COUNTBLANK('Capacity summary'!$H87:$BG87)&lt;52,IF('Capacity summary'!AG87&lt;&gt;"",IF(LOWER('Capacity summary'!AG87)="x",$BI175*AG175,VALUE('Capacity summary'!AG87)),0),AG175*$BI175),AG175*$BI175),0)</f>
        <v>0</v>
      </c>
      <c r="CK175" s="5">
        <f>IF($BI175&lt;&gt;"",IF('Capacity summary'!$C$14="Yes",IF(COUNTBLANK('Capacity summary'!$H87:$BG87)&lt;52,IF('Capacity summary'!AH87&lt;&gt;"",IF(LOWER('Capacity summary'!AH87)="x",$BI175*AH175,VALUE('Capacity summary'!AH87)),0),AH175*$BI175),AH175*$BI175),0)</f>
        <v>0</v>
      </c>
      <c r="CL175" s="5">
        <f>IF($BI175&lt;&gt;"",IF('Capacity summary'!$C$14="Yes",IF(COUNTBLANK('Capacity summary'!$H87:$BG87)&lt;52,IF('Capacity summary'!AI87&lt;&gt;"",IF(LOWER('Capacity summary'!AI87)="x",$BI175*AI175,VALUE('Capacity summary'!AI87)),0),AI175*$BI175),AI175*$BI175),0)</f>
        <v>0</v>
      </c>
      <c r="CM175" s="5">
        <f>IF($BI175&lt;&gt;"",IF('Capacity summary'!$C$14="Yes",IF(COUNTBLANK('Capacity summary'!$H87:$BG87)&lt;52,IF('Capacity summary'!AJ87&lt;&gt;"",IF(LOWER('Capacity summary'!AJ87)="x",$BI175*AJ175,VALUE('Capacity summary'!AJ87)),0),AJ175*$BI175),AJ175*$BI175),0)</f>
        <v>0</v>
      </c>
      <c r="CN175" s="5">
        <f>IF($BI175&lt;&gt;"",IF('Capacity summary'!$C$14="Yes",IF(COUNTBLANK('Capacity summary'!$H87:$BG87)&lt;52,IF('Capacity summary'!AK87&lt;&gt;"",IF(LOWER('Capacity summary'!AK87)="x",$BI175*AK175,VALUE('Capacity summary'!AK87)),0),AK175*$BI175),AK175*$BI175),0)</f>
        <v>0</v>
      </c>
      <c r="CO175" s="5">
        <f>IF($BI175&lt;&gt;"",IF('Capacity summary'!$C$14="Yes",IF(COUNTBLANK('Capacity summary'!$H87:$BG87)&lt;52,IF('Capacity summary'!AL87&lt;&gt;"",IF(LOWER('Capacity summary'!AL87)="x",$BI175*AL175,VALUE('Capacity summary'!AL87)),0),AL175*$BI175),AL175*$BI175),0)</f>
        <v>0</v>
      </c>
      <c r="CP175" s="5">
        <f>IF($BI175&lt;&gt;"",IF('Capacity summary'!$C$14="Yes",IF(COUNTBLANK('Capacity summary'!$H87:$BG87)&lt;52,IF('Capacity summary'!AM87&lt;&gt;"",IF(LOWER('Capacity summary'!AM87)="x",$BI175*AM175,VALUE('Capacity summary'!AM87)),0),AM175*$BI175),AM175*$BI175),0)</f>
        <v>0</v>
      </c>
      <c r="CQ175" s="5">
        <f>IF($BI175&lt;&gt;"",IF('Capacity summary'!$C$14="Yes",IF(COUNTBLANK('Capacity summary'!$H87:$BG87)&lt;52,IF('Capacity summary'!AN87&lt;&gt;"",IF(LOWER('Capacity summary'!AN87)="x",$BI175*AN175,VALUE('Capacity summary'!AN87)),0),AN175*$BI175),AN175*$BI175),0)</f>
        <v>0</v>
      </c>
      <c r="CR175" s="5">
        <f>IF($BI175&lt;&gt;"",IF('Capacity summary'!$C$14="Yes",IF(COUNTBLANK('Capacity summary'!$H87:$BG87)&lt;52,IF('Capacity summary'!AO87&lt;&gt;"",IF(LOWER('Capacity summary'!AO87)="x",$BI175*AO175,VALUE('Capacity summary'!AO87)),0),AO175*$BI175),AO175*$BI175),0)</f>
        <v>0</v>
      </c>
      <c r="CS175" s="5">
        <f>IF($BI175&lt;&gt;"",IF('Capacity summary'!$C$14="Yes",IF(COUNTBLANK('Capacity summary'!$H87:$BG87)&lt;52,IF('Capacity summary'!AP87&lt;&gt;"",IF(LOWER('Capacity summary'!AP87)="x",$BI175*AP175,VALUE('Capacity summary'!AP87)),0),AP175*$BI175),AP175*$BI175),0)</f>
        <v>0</v>
      </c>
      <c r="CT175" s="5">
        <f>IF($BI175&lt;&gt;"",IF('Capacity summary'!$C$14="Yes",IF(COUNTBLANK('Capacity summary'!$H87:$BG87)&lt;52,IF('Capacity summary'!AQ87&lt;&gt;"",IF(LOWER('Capacity summary'!AQ87)="x",$BI175*AQ175,VALUE('Capacity summary'!AQ87)),0),AQ175*$BI175),AQ175*$BI175),0)</f>
        <v>0</v>
      </c>
      <c r="CU175" s="5">
        <f>IF($BI175&lt;&gt;"",IF('Capacity summary'!$C$14="Yes",IF(COUNTBLANK('Capacity summary'!$H87:$BG87)&lt;52,IF('Capacity summary'!AR87&lt;&gt;"",IF(LOWER('Capacity summary'!AR87)="x",$BI175*AR175,VALUE('Capacity summary'!AR87)),0),AR175*$BI175),AR175*$BI175),0)</f>
        <v>0</v>
      </c>
      <c r="CV175" s="5">
        <f>IF($BI175&lt;&gt;"",IF('Capacity summary'!$C$14="Yes",IF(COUNTBLANK('Capacity summary'!$H87:$BG87)&lt;52,IF('Capacity summary'!AS87&lt;&gt;"",IF(LOWER('Capacity summary'!AS87)="x",$BI175*AS175,VALUE('Capacity summary'!AS87)),0),AS175*$BI175),AS175*$BI175),0)</f>
        <v>0</v>
      </c>
      <c r="CW175" s="5">
        <f>IF($BI175&lt;&gt;"",IF('Capacity summary'!$C$14="Yes",IF(COUNTBLANK('Capacity summary'!$H87:$BG87)&lt;52,IF('Capacity summary'!AT87&lt;&gt;"",IF(LOWER('Capacity summary'!AT87)="x",$BI175*AT175,VALUE('Capacity summary'!AT87)),0),AT175*$BI175),AT175*$BI175),0)</f>
        <v>0</v>
      </c>
      <c r="CX175" s="5">
        <f>IF($BI175&lt;&gt;"",IF('Capacity summary'!$C$14="Yes",IF(COUNTBLANK('Capacity summary'!$H87:$BG87)&lt;52,IF('Capacity summary'!AU87&lt;&gt;"",IF(LOWER('Capacity summary'!AU87)="x",$BI175*AU175,VALUE('Capacity summary'!AU87)),0),AU175*$BI175),AU175*$BI175),0)</f>
        <v>0</v>
      </c>
      <c r="CY175" s="5">
        <f>IF($BI175&lt;&gt;"",IF('Capacity summary'!$C$14="Yes",IF(COUNTBLANK('Capacity summary'!$H87:$BG87)&lt;52,IF('Capacity summary'!AV87&lt;&gt;"",IF(LOWER('Capacity summary'!AV87)="x",$BI175*AV175,VALUE('Capacity summary'!AV87)),0),AV175*$BI175),AV175*$BI175),0)</f>
        <v>0</v>
      </c>
      <c r="CZ175" s="5">
        <f>IF($BI175&lt;&gt;"",IF('Capacity summary'!$C$14="Yes",IF(COUNTBLANK('Capacity summary'!$H87:$BG87)&lt;52,IF('Capacity summary'!AW87&lt;&gt;"",IF(LOWER('Capacity summary'!AW87)="x",$BI175*AW175,VALUE('Capacity summary'!AW87)),0),AW175*$BI175),AW175*$BI175),0)</f>
        <v>0</v>
      </c>
      <c r="DA175" s="5">
        <f>IF($BI175&lt;&gt;"",IF('Capacity summary'!$C$14="Yes",IF(COUNTBLANK('Capacity summary'!$H87:$BG87)&lt;52,IF('Capacity summary'!AX87&lt;&gt;"",IF(LOWER('Capacity summary'!AX87)="x",$BI175*AX175,VALUE('Capacity summary'!AX87)),0),AX175*$BI175),AX175*$BI175),0)</f>
        <v>0</v>
      </c>
      <c r="DB175" s="5">
        <f>IF($BI175&lt;&gt;"",IF('Capacity summary'!$C$14="Yes",IF(COUNTBLANK('Capacity summary'!$H87:$BG87)&lt;52,IF('Capacity summary'!AY87&lt;&gt;"",IF(LOWER('Capacity summary'!AY87)="x",$BI175*AY175,VALUE('Capacity summary'!AY87)),0),AY175*$BI175),AY175*$BI175),0)</f>
        <v>0</v>
      </c>
      <c r="DC175" s="5">
        <f>IF($BI175&lt;&gt;"",IF('Capacity summary'!$C$14="Yes",IF(COUNTBLANK('Capacity summary'!$H87:$BG87)&lt;52,IF('Capacity summary'!AZ87&lt;&gt;"",IF(LOWER('Capacity summary'!AZ87)="x",$BI175*AZ175,VALUE('Capacity summary'!AZ87)),0),AZ175*$BI175),AZ175*$BI175),0)</f>
        <v>0</v>
      </c>
      <c r="DD175" s="5">
        <f>IF($BI175&lt;&gt;"",IF('Capacity summary'!$C$14="Yes",IF(COUNTBLANK('Capacity summary'!$H87:$BG87)&lt;52,IF('Capacity summary'!BA87&lt;&gt;"",IF(LOWER('Capacity summary'!BA87)="x",$BI175*BA175,VALUE('Capacity summary'!BA87)),0),BA175*$BI175),BA175*$BI175),0)</f>
        <v>0</v>
      </c>
      <c r="DE175" s="5">
        <f>IF($BI175&lt;&gt;"",IF('Capacity summary'!$C$14="Yes",IF(COUNTBLANK('Capacity summary'!$H87:$BG87)&lt;52,IF('Capacity summary'!BB87&lt;&gt;"",IF(LOWER('Capacity summary'!BB87)="x",$BI175*BB175,VALUE('Capacity summary'!BB87)),0),BB175*$BI175),BB175*$BI175),0)</f>
        <v>0</v>
      </c>
      <c r="DF175" s="5">
        <f>IF($BI175&lt;&gt;"",IF('Capacity summary'!$C$14="Yes",IF(COUNTBLANK('Capacity summary'!$H87:$BG87)&lt;52,IF('Capacity summary'!BC87&lt;&gt;"",IF(LOWER('Capacity summary'!BC87)="x",$BI175*BC175,VALUE('Capacity summary'!BC87)),0),BC175*$BI175),BC175*$BI175),0)</f>
        <v>0</v>
      </c>
      <c r="DG175" s="5">
        <f>IF($BI175&lt;&gt;"",IF('Capacity summary'!$C$14="Yes",IF(COUNTBLANK('Capacity summary'!$H87:$BG87)&lt;52,IF('Capacity summary'!BD87&lt;&gt;"",IF(LOWER('Capacity summary'!BD87)="x",$BI175*BD175,VALUE('Capacity summary'!BD87)),0),BD175*$BI175),BD175*$BI175),0)</f>
        <v>0</v>
      </c>
      <c r="DH175" s="5">
        <f>IF($BI175&lt;&gt;"",IF('Capacity summary'!$C$14="Yes",IF(COUNTBLANK('Capacity summary'!$H87:$BG87)&lt;52,IF('Capacity summary'!BE87&lt;&gt;"",IF(LOWER('Capacity summary'!BE87)="x",$BI175*BE175,VALUE('Capacity summary'!BE87)),0),BE175*$BI175),BE175*$BI175),0)</f>
        <v>0</v>
      </c>
      <c r="DI175" s="5">
        <f>IF($BI175&lt;&gt;"",IF('Capacity summary'!$C$14="Yes",IF(COUNTBLANK('Capacity summary'!$H87:$BG87)&lt;52,IF('Capacity summary'!BF87&lt;&gt;"",IF(LOWER('Capacity summary'!BF87)="x",$BI175*BF175,VALUE('Capacity summary'!BF87)),0),BF175*$BI175),BF175*$BI175),0)</f>
        <v>0</v>
      </c>
      <c r="DJ175" s="5">
        <f>IF($BI175&lt;&gt;"",IF('Capacity summary'!$C$14="Yes",IF(COUNTBLANK('Capacity summary'!$H87:$BG87)&lt;52,IF('Capacity summary'!BG87&lt;&gt;"",IF(LOWER('Capacity summary'!BG87)="x",$BI175*BG175,VALUE('Capacity summary'!BG87)),0),BG175*$BI175),BG175*$BI175),0)</f>
        <v>0</v>
      </c>
      <c r="DK175" s="391">
        <f t="shared" si="8"/>
        <v>0</v>
      </c>
      <c r="DL175" s="5">
        <f t="shared" si="9"/>
        <v>0</v>
      </c>
    </row>
    <row r="176" spans="3:116" x14ac:dyDescent="0.2">
      <c r="C176" s="67" t="str">
        <f>ROW(A65)&amp;". "&amp;Capacity!N81</f>
        <v xml:space="preserve">65. </v>
      </c>
      <c r="D176" s="67">
        <f>'Capacity setup'!C182</f>
        <v>0</v>
      </c>
      <c r="E176" s="67">
        <f>'Capacity setup'!D182</f>
        <v>0</v>
      </c>
      <c r="F176" s="67">
        <f>'Capacity setup'!E182</f>
        <v>0</v>
      </c>
      <c r="H176" s="67">
        <f ca="1">IF(LOWER(Capacity!$V81)="x",IF(AND(SUMIF(Capacity_Resource,$D176,'Critical resources (hide)'!U$6:U$105)+SUMIF(Capacity_Resource,$E176,'Critical resources (hide)'!U$6:U$105)+SUMIF(Capacity_Resource,$F176,'Critical resources (hide)'!U$6:U$105)&gt;0,$E$1=2),0,1),0)</f>
        <v>1</v>
      </c>
      <c r="I176" s="67">
        <f ca="1">IF(LOWER(Capacity!$V81)="x",IF(AND(SUMIF(Capacity_Resource,$D176,'Critical resources (hide)'!V$6:V$105)+SUMIF(Capacity_Resource,$E176,'Critical resources (hide)'!V$6:V$105)+SUMIF(Capacity_Resource,$F176,'Critical resources (hide)'!V$6:V$105)&gt;0,$E$1=2),0,1),0)</f>
        <v>1</v>
      </c>
      <c r="J176" s="67">
        <f ca="1">IF(LOWER(Capacity!$V81)="x",IF(AND(SUMIF(Capacity_Resource,$D176,'Critical resources (hide)'!W$6:W$105)+SUMIF(Capacity_Resource,$E176,'Critical resources (hide)'!W$6:W$105)+SUMIF(Capacity_Resource,$F176,'Critical resources (hide)'!W$6:W$105)&gt;0,$E$1=2),0,1),0)</f>
        <v>1</v>
      </c>
      <c r="K176" s="67">
        <f ca="1">IF(LOWER(Capacity!$V81)="x",IF(AND(SUMIF(Capacity_Resource,$D176,'Critical resources (hide)'!X$6:X$105)+SUMIF(Capacity_Resource,$E176,'Critical resources (hide)'!X$6:X$105)+SUMIF(Capacity_Resource,$F176,'Critical resources (hide)'!X$6:X$105)&gt;0,$E$1=2),0,1),0)</f>
        <v>1</v>
      </c>
      <c r="L176" s="67">
        <f ca="1">IF(LOWER(Capacity!$V81)="x",IF(AND(SUMIF(Capacity_Resource,$D176,'Critical resources (hide)'!Y$6:Y$105)+SUMIF(Capacity_Resource,$E176,'Critical resources (hide)'!Y$6:Y$105)+SUMIF(Capacity_Resource,$F176,'Critical resources (hide)'!Y$6:Y$105)&gt;0,$E$1=2),0,1),0)</f>
        <v>1</v>
      </c>
      <c r="M176" s="67">
        <f ca="1">IF(LOWER(Capacity!$V81)="x",IF(AND(SUMIF(Capacity_Resource,$D176,'Critical resources (hide)'!Z$6:Z$105)+SUMIF(Capacity_Resource,$E176,'Critical resources (hide)'!Z$6:Z$105)+SUMIF(Capacity_Resource,$F176,'Critical resources (hide)'!Z$6:Z$105)&gt;0,$E$1=2),0,1),0)</f>
        <v>1</v>
      </c>
      <c r="N176" s="67">
        <f ca="1">IF(LOWER(Capacity!$V81)="x",IF(AND(SUMIF(Capacity_Resource,$D176,'Critical resources (hide)'!AA$6:AA$105)+SUMIF(Capacity_Resource,$E176,'Critical resources (hide)'!AA$6:AA$105)+SUMIF(Capacity_Resource,$F176,'Critical resources (hide)'!AA$6:AA$105)&gt;0,$E$1=2),0,1),0)</f>
        <v>1</v>
      </c>
      <c r="O176" s="67">
        <f ca="1">IF(LOWER(Capacity!$V81)="x",IF(AND(SUMIF(Capacity_Resource,$D176,'Critical resources (hide)'!AB$6:AB$105)+SUMIF(Capacity_Resource,$E176,'Critical resources (hide)'!AB$6:AB$105)+SUMIF(Capacity_Resource,$F176,'Critical resources (hide)'!AB$6:AB$105)&gt;0,$E$1=2),0,1),0)</f>
        <v>1</v>
      </c>
      <c r="P176" s="67">
        <f ca="1">IF(LOWER(Capacity!$V81)="x",IF(AND(SUMIF(Capacity_Resource,$D176,'Critical resources (hide)'!AC$6:AC$105)+SUMIF(Capacity_Resource,$E176,'Critical resources (hide)'!AC$6:AC$105)+SUMIF(Capacity_Resource,$F176,'Critical resources (hide)'!AC$6:AC$105)&gt;0,$E$1=2),0,1),0)</f>
        <v>1</v>
      </c>
      <c r="Q176" s="67">
        <f ca="1">IF(LOWER(Capacity!$V81)="x",IF(AND(SUMIF(Capacity_Resource,$D176,'Critical resources (hide)'!AD$6:AD$105)+SUMIF(Capacity_Resource,$E176,'Critical resources (hide)'!AD$6:AD$105)+SUMIF(Capacity_Resource,$F176,'Critical resources (hide)'!AD$6:AD$105)&gt;0,$E$1=2),0,1),0)</f>
        <v>1</v>
      </c>
      <c r="R176" s="67">
        <f ca="1">IF(LOWER(Capacity!$V81)="x",IF(AND(SUMIF(Capacity_Resource,$D176,'Critical resources (hide)'!AE$6:AE$105)+SUMIF(Capacity_Resource,$E176,'Critical resources (hide)'!AE$6:AE$105)+SUMIF(Capacity_Resource,$F176,'Critical resources (hide)'!AE$6:AE$105)&gt;0,$E$1=2),0,1),0)</f>
        <v>1</v>
      </c>
      <c r="S176" s="67">
        <f ca="1">IF(LOWER(Capacity!$V81)="x",IF(AND(SUMIF(Capacity_Resource,$D176,'Critical resources (hide)'!AF$6:AF$105)+SUMIF(Capacity_Resource,$E176,'Critical resources (hide)'!AF$6:AF$105)+SUMIF(Capacity_Resource,$F176,'Critical resources (hide)'!AF$6:AF$105)&gt;0,$E$1=2),0,1),0)</f>
        <v>1</v>
      </c>
      <c r="T176" s="67">
        <f ca="1">IF(LOWER(Capacity!$V81)="x",IF(AND(SUMIF(Capacity_Resource,$D176,'Critical resources (hide)'!AG$6:AG$105)+SUMIF(Capacity_Resource,$E176,'Critical resources (hide)'!AG$6:AG$105)+SUMIF(Capacity_Resource,$F176,'Critical resources (hide)'!AG$6:AG$105)&gt;0,$E$1=2),0,1),0)</f>
        <v>1</v>
      </c>
      <c r="U176" s="67">
        <f ca="1">IF(LOWER(Capacity!$V81)="x",IF(AND(SUMIF(Capacity_Resource,$D176,'Critical resources (hide)'!AH$6:AH$105)+SUMIF(Capacity_Resource,$E176,'Critical resources (hide)'!AH$6:AH$105)+SUMIF(Capacity_Resource,$F176,'Critical resources (hide)'!AH$6:AH$105)&gt;0,$E$1=2),0,1),0)</f>
        <v>1</v>
      </c>
      <c r="V176" s="67">
        <f ca="1">IF(LOWER(Capacity!$V81)="x",IF(AND(SUMIF(Capacity_Resource,$D176,'Critical resources (hide)'!AI$6:AI$105)+SUMIF(Capacity_Resource,$E176,'Critical resources (hide)'!AI$6:AI$105)+SUMIF(Capacity_Resource,$F176,'Critical resources (hide)'!AI$6:AI$105)&gt;0,$E$1=2),0,1),0)</f>
        <v>1</v>
      </c>
      <c r="W176" s="67">
        <f ca="1">IF(LOWER(Capacity!$V81)="x",IF(AND(SUMIF(Capacity_Resource,$D176,'Critical resources (hide)'!AJ$6:AJ$105)+SUMIF(Capacity_Resource,$E176,'Critical resources (hide)'!AJ$6:AJ$105)+SUMIF(Capacity_Resource,$F176,'Critical resources (hide)'!AJ$6:AJ$105)&gt;0,$E$1=2),0,1),0)</f>
        <v>1</v>
      </c>
      <c r="X176" s="67">
        <f ca="1">IF(LOWER(Capacity!$V81)="x",IF(AND(SUMIF(Capacity_Resource,$D176,'Critical resources (hide)'!AK$6:AK$105)+SUMIF(Capacity_Resource,$E176,'Critical resources (hide)'!AK$6:AK$105)+SUMIF(Capacity_Resource,$F176,'Critical resources (hide)'!AK$6:AK$105)&gt;0,$E$1=2),0,1),0)</f>
        <v>1</v>
      </c>
      <c r="Y176" s="67">
        <f ca="1">IF(LOWER(Capacity!$V81)="x",IF(AND(SUMIF(Capacity_Resource,$D176,'Critical resources (hide)'!AL$6:AL$105)+SUMIF(Capacity_Resource,$E176,'Critical resources (hide)'!AL$6:AL$105)+SUMIF(Capacity_Resource,$F176,'Critical resources (hide)'!AL$6:AL$105)&gt;0,$E$1=2),0,1),0)</f>
        <v>1</v>
      </c>
      <c r="Z176" s="67">
        <f ca="1">IF(LOWER(Capacity!$V81)="x",IF(AND(SUMIF(Capacity_Resource,$D176,'Critical resources (hide)'!AM$6:AM$105)+SUMIF(Capacity_Resource,$E176,'Critical resources (hide)'!AM$6:AM$105)+SUMIF(Capacity_Resource,$F176,'Critical resources (hide)'!AM$6:AM$105)&gt;0,$E$1=2),0,1),0)</f>
        <v>1</v>
      </c>
      <c r="AA176" s="67">
        <f ca="1">IF(LOWER(Capacity!$V81)="x",IF(AND(SUMIF(Capacity_Resource,$D176,'Critical resources (hide)'!AN$6:AN$105)+SUMIF(Capacity_Resource,$E176,'Critical resources (hide)'!AN$6:AN$105)+SUMIF(Capacity_Resource,$F176,'Critical resources (hide)'!AN$6:AN$105)&gt;0,$E$1=2),0,1),0)</f>
        <v>1</v>
      </c>
      <c r="AB176" s="67">
        <f ca="1">IF(LOWER(Capacity!$V81)="x",IF(AND(SUMIF(Capacity_Resource,$D176,'Critical resources (hide)'!AO$6:AO$105)+SUMIF(Capacity_Resource,$E176,'Critical resources (hide)'!AO$6:AO$105)+SUMIF(Capacity_Resource,$F176,'Critical resources (hide)'!AO$6:AO$105)&gt;0,$E$1=2),0,1),0)</f>
        <v>1</v>
      </c>
      <c r="AC176" s="67">
        <f ca="1">IF(LOWER(Capacity!$V81)="x",IF(AND(SUMIF(Capacity_Resource,$D176,'Critical resources (hide)'!AP$6:AP$105)+SUMIF(Capacity_Resource,$E176,'Critical resources (hide)'!AP$6:AP$105)+SUMIF(Capacity_Resource,$F176,'Critical resources (hide)'!AP$6:AP$105)&gt;0,$E$1=2),0,1),0)</f>
        <v>1</v>
      </c>
      <c r="AD176" s="67">
        <f ca="1">IF(LOWER(Capacity!$V81)="x",IF(AND(SUMIF(Capacity_Resource,$D176,'Critical resources (hide)'!AQ$6:AQ$105)+SUMIF(Capacity_Resource,$E176,'Critical resources (hide)'!AQ$6:AQ$105)+SUMIF(Capacity_Resource,$F176,'Critical resources (hide)'!AQ$6:AQ$105)&gt;0,$E$1=2),0,1),0)</f>
        <v>1</v>
      </c>
      <c r="AE176" s="67">
        <f ca="1">IF(LOWER(Capacity!$V81)="x",IF(AND(SUMIF(Capacity_Resource,$D176,'Critical resources (hide)'!AR$6:AR$105)+SUMIF(Capacity_Resource,$E176,'Critical resources (hide)'!AR$6:AR$105)+SUMIF(Capacity_Resource,$F176,'Critical resources (hide)'!AR$6:AR$105)&gt;0,$E$1=2),0,1),0)</f>
        <v>1</v>
      </c>
      <c r="AF176" s="67">
        <f ca="1">IF(LOWER(Capacity!$V81)="x",IF(AND(SUMIF(Capacity_Resource,$D176,'Critical resources (hide)'!AS$6:AS$105)+SUMIF(Capacity_Resource,$E176,'Critical resources (hide)'!AS$6:AS$105)+SUMIF(Capacity_Resource,$F176,'Critical resources (hide)'!AS$6:AS$105)&gt;0,$E$1=2),0,1),0)</f>
        <v>1</v>
      </c>
      <c r="AG176" s="67">
        <f ca="1">IF(LOWER(Capacity!$V81)="x",IF(AND(SUMIF(Capacity_Resource,$D176,'Critical resources (hide)'!AT$6:AT$105)+SUMIF(Capacity_Resource,$E176,'Critical resources (hide)'!AT$6:AT$105)+SUMIF(Capacity_Resource,$F176,'Critical resources (hide)'!AT$6:AT$105)&gt;0,$E$1=2),0,1),0)</f>
        <v>1</v>
      </c>
      <c r="AH176" s="67">
        <f ca="1">IF(LOWER(Capacity!$V81)="x",IF(AND(SUMIF(Capacity_Resource,$D176,'Critical resources (hide)'!AU$6:AU$105)+SUMIF(Capacity_Resource,$E176,'Critical resources (hide)'!AU$6:AU$105)+SUMIF(Capacity_Resource,$F176,'Critical resources (hide)'!AU$6:AU$105)&gt;0,$E$1=2),0,1),0)</f>
        <v>1</v>
      </c>
      <c r="AI176" s="67">
        <f ca="1">IF(LOWER(Capacity!$V81)="x",IF(AND(SUMIF(Capacity_Resource,$D176,'Critical resources (hide)'!AV$6:AV$105)+SUMIF(Capacity_Resource,$E176,'Critical resources (hide)'!AV$6:AV$105)+SUMIF(Capacity_Resource,$F176,'Critical resources (hide)'!AV$6:AV$105)&gt;0,$E$1=2),0,1),0)</f>
        <v>1</v>
      </c>
      <c r="AJ176" s="67">
        <f ca="1">IF(LOWER(Capacity!$V81)="x",IF(AND(SUMIF(Capacity_Resource,$D176,'Critical resources (hide)'!AW$6:AW$105)+SUMIF(Capacity_Resource,$E176,'Critical resources (hide)'!AW$6:AW$105)+SUMIF(Capacity_Resource,$F176,'Critical resources (hide)'!AW$6:AW$105)&gt;0,$E$1=2),0,1),0)</f>
        <v>1</v>
      </c>
      <c r="AK176" s="67">
        <f ca="1">IF(LOWER(Capacity!$V81)="x",IF(AND(SUMIF(Capacity_Resource,$D176,'Critical resources (hide)'!AX$6:AX$105)+SUMIF(Capacity_Resource,$E176,'Critical resources (hide)'!AX$6:AX$105)+SUMIF(Capacity_Resource,$F176,'Critical resources (hide)'!AX$6:AX$105)&gt;0,$E$1=2),0,1),0)</f>
        <v>1</v>
      </c>
      <c r="AL176" s="67">
        <f ca="1">IF(LOWER(Capacity!$V81)="x",IF(AND(SUMIF(Capacity_Resource,$D176,'Critical resources (hide)'!AY$6:AY$105)+SUMIF(Capacity_Resource,$E176,'Critical resources (hide)'!AY$6:AY$105)+SUMIF(Capacity_Resource,$F176,'Critical resources (hide)'!AY$6:AY$105)&gt;0,$E$1=2),0,1),0)</f>
        <v>1</v>
      </c>
      <c r="AM176" s="67">
        <f ca="1">IF(LOWER(Capacity!$V81)="x",IF(AND(SUMIF(Capacity_Resource,$D176,'Critical resources (hide)'!AZ$6:AZ$105)+SUMIF(Capacity_Resource,$E176,'Critical resources (hide)'!AZ$6:AZ$105)+SUMIF(Capacity_Resource,$F176,'Critical resources (hide)'!AZ$6:AZ$105)&gt;0,$E$1=2),0,1),0)</f>
        <v>1</v>
      </c>
      <c r="AN176" s="67">
        <f ca="1">IF(LOWER(Capacity!$V81)="x",IF(AND(SUMIF(Capacity_Resource,$D176,'Critical resources (hide)'!BA$6:BA$105)+SUMIF(Capacity_Resource,$E176,'Critical resources (hide)'!BA$6:BA$105)+SUMIF(Capacity_Resource,$F176,'Critical resources (hide)'!BA$6:BA$105)&gt;0,$E$1=2),0,1),0)</f>
        <v>1</v>
      </c>
      <c r="AO176" s="67">
        <f ca="1">IF(LOWER(Capacity!$V81)="x",IF(AND(SUMIF(Capacity_Resource,$D176,'Critical resources (hide)'!BB$6:BB$105)+SUMIF(Capacity_Resource,$E176,'Critical resources (hide)'!BB$6:BB$105)+SUMIF(Capacity_Resource,$F176,'Critical resources (hide)'!BB$6:BB$105)&gt;0,$E$1=2),0,1),0)</f>
        <v>1</v>
      </c>
      <c r="AP176" s="67">
        <f ca="1">IF(LOWER(Capacity!$V81)="x",IF(AND(SUMIF(Capacity_Resource,$D176,'Critical resources (hide)'!BC$6:BC$105)+SUMIF(Capacity_Resource,$E176,'Critical resources (hide)'!BC$6:BC$105)+SUMIF(Capacity_Resource,$F176,'Critical resources (hide)'!BC$6:BC$105)&gt;0,$E$1=2),0,1),0)</f>
        <v>1</v>
      </c>
      <c r="AQ176" s="67">
        <f ca="1">IF(LOWER(Capacity!$V81)="x",IF(AND(SUMIF(Capacity_Resource,$D176,'Critical resources (hide)'!BD$6:BD$105)+SUMIF(Capacity_Resource,$E176,'Critical resources (hide)'!BD$6:BD$105)+SUMIF(Capacity_Resource,$F176,'Critical resources (hide)'!BD$6:BD$105)&gt;0,$E$1=2),0,1),0)</f>
        <v>1</v>
      </c>
      <c r="AR176" s="67">
        <f ca="1">IF(LOWER(Capacity!$V81)="x",IF(AND(SUMIF(Capacity_Resource,$D176,'Critical resources (hide)'!BE$6:BE$105)+SUMIF(Capacity_Resource,$E176,'Critical resources (hide)'!BE$6:BE$105)+SUMIF(Capacity_Resource,$F176,'Critical resources (hide)'!BE$6:BE$105)&gt;0,$E$1=2),0,1),0)</f>
        <v>1</v>
      </c>
      <c r="AS176" s="67">
        <f ca="1">IF(LOWER(Capacity!$V81)="x",IF(AND(SUMIF(Capacity_Resource,$D176,'Critical resources (hide)'!BF$6:BF$105)+SUMIF(Capacity_Resource,$E176,'Critical resources (hide)'!BF$6:BF$105)+SUMIF(Capacity_Resource,$F176,'Critical resources (hide)'!BF$6:BF$105)&gt;0,$E$1=2),0,1),0)</f>
        <v>1</v>
      </c>
      <c r="AT176" s="67">
        <f ca="1">IF(LOWER(Capacity!$V81)="x",IF(AND(SUMIF(Capacity_Resource,$D176,'Critical resources (hide)'!BG$6:BG$105)+SUMIF(Capacity_Resource,$E176,'Critical resources (hide)'!BG$6:BG$105)+SUMIF(Capacity_Resource,$F176,'Critical resources (hide)'!BG$6:BG$105)&gt;0,$E$1=2),0,1),0)</f>
        <v>1</v>
      </c>
      <c r="AU176" s="67">
        <f ca="1">IF(LOWER(Capacity!$V81)="x",IF(AND(SUMIF(Capacity_Resource,$D176,'Critical resources (hide)'!BH$6:BH$105)+SUMIF(Capacity_Resource,$E176,'Critical resources (hide)'!BH$6:BH$105)+SUMIF(Capacity_Resource,$F176,'Critical resources (hide)'!BH$6:BH$105)&gt;0,$E$1=2),0,1),0)</f>
        <v>1</v>
      </c>
      <c r="AV176" s="67">
        <f ca="1">IF(LOWER(Capacity!$V81)="x",IF(AND(SUMIF(Capacity_Resource,$D176,'Critical resources (hide)'!BI$6:BI$105)+SUMIF(Capacity_Resource,$E176,'Critical resources (hide)'!BI$6:BI$105)+SUMIF(Capacity_Resource,$F176,'Critical resources (hide)'!BI$6:BI$105)&gt;0,$E$1=2),0,1),0)</f>
        <v>1</v>
      </c>
      <c r="AW176" s="67">
        <f ca="1">IF(LOWER(Capacity!$V81)="x",IF(AND(SUMIF(Capacity_Resource,$D176,'Critical resources (hide)'!BJ$6:BJ$105)+SUMIF(Capacity_Resource,$E176,'Critical resources (hide)'!BJ$6:BJ$105)+SUMIF(Capacity_Resource,$F176,'Critical resources (hide)'!BJ$6:BJ$105)&gt;0,$E$1=2),0,1),0)</f>
        <v>1</v>
      </c>
      <c r="AX176" s="67">
        <f ca="1">IF(LOWER(Capacity!$V81)="x",IF(AND(SUMIF(Capacity_Resource,$D176,'Critical resources (hide)'!BK$6:BK$105)+SUMIF(Capacity_Resource,$E176,'Critical resources (hide)'!BK$6:BK$105)+SUMIF(Capacity_Resource,$F176,'Critical resources (hide)'!BK$6:BK$105)&gt;0,$E$1=2),0,1),0)</f>
        <v>1</v>
      </c>
      <c r="AY176" s="67">
        <f ca="1">IF(LOWER(Capacity!$V81)="x",IF(AND(SUMIF(Capacity_Resource,$D176,'Critical resources (hide)'!BL$6:BL$105)+SUMIF(Capacity_Resource,$E176,'Critical resources (hide)'!BL$6:BL$105)+SUMIF(Capacity_Resource,$F176,'Critical resources (hide)'!BL$6:BL$105)&gt;0,$E$1=2),0,1),0)</f>
        <v>1</v>
      </c>
      <c r="AZ176" s="67">
        <f ca="1">IF(LOWER(Capacity!$V81)="x",IF(AND(SUMIF(Capacity_Resource,$D176,'Critical resources (hide)'!BM$6:BM$105)+SUMIF(Capacity_Resource,$E176,'Critical resources (hide)'!BM$6:BM$105)+SUMIF(Capacity_Resource,$F176,'Critical resources (hide)'!BM$6:BM$105)&gt;0,$E$1=2),0,1),0)</f>
        <v>1</v>
      </c>
      <c r="BA176" s="67">
        <f ca="1">IF(LOWER(Capacity!$V81)="x",IF(AND(SUMIF(Capacity_Resource,$D176,'Critical resources (hide)'!BN$6:BN$105)+SUMIF(Capacity_Resource,$E176,'Critical resources (hide)'!BN$6:BN$105)+SUMIF(Capacity_Resource,$F176,'Critical resources (hide)'!BN$6:BN$105)&gt;0,$E$1=2),0,1),0)</f>
        <v>1</v>
      </c>
      <c r="BB176" s="67">
        <f ca="1">IF(LOWER(Capacity!$V81)="x",IF(AND(SUMIF(Capacity_Resource,$D176,'Critical resources (hide)'!BO$6:BO$105)+SUMIF(Capacity_Resource,$E176,'Critical resources (hide)'!BO$6:BO$105)+SUMIF(Capacity_Resource,$F176,'Critical resources (hide)'!BO$6:BO$105)&gt;0,$E$1=2),0,1),0)</f>
        <v>1</v>
      </c>
      <c r="BC176" s="67">
        <f ca="1">IF(LOWER(Capacity!$V81)="x",IF(AND(SUMIF(Capacity_Resource,$D176,'Critical resources (hide)'!BP$6:BP$105)+SUMIF(Capacity_Resource,$E176,'Critical resources (hide)'!BP$6:BP$105)+SUMIF(Capacity_Resource,$F176,'Critical resources (hide)'!BP$6:BP$105)&gt;0,$E$1=2),0,1),0)</f>
        <v>1</v>
      </c>
      <c r="BD176" s="67">
        <f ca="1">IF(LOWER(Capacity!$V81)="x",IF(AND(SUMIF(Capacity_Resource,$D176,'Critical resources (hide)'!BQ$6:BQ$105)+SUMIF(Capacity_Resource,$E176,'Critical resources (hide)'!BQ$6:BQ$105)+SUMIF(Capacity_Resource,$F176,'Critical resources (hide)'!BQ$6:BQ$105)&gt;0,$E$1=2),0,1),0)</f>
        <v>1</v>
      </c>
      <c r="BE176" s="67">
        <f ca="1">IF(LOWER(Capacity!$V81)="x",IF(AND(SUMIF(Capacity_Resource,$D176,'Critical resources (hide)'!BR$6:BR$105)+SUMIF(Capacity_Resource,$E176,'Critical resources (hide)'!BR$6:BR$105)+SUMIF(Capacity_Resource,$F176,'Critical resources (hide)'!BR$6:BR$105)&gt;0,$E$1=2),0,1),0)</f>
        <v>1</v>
      </c>
      <c r="BF176" s="67">
        <f ca="1">IF(LOWER(Capacity!$V81)="x",IF(AND(SUMIF(Capacity_Resource,$D176,'Critical resources (hide)'!BS$6:BS$105)+SUMIF(Capacity_Resource,$E176,'Critical resources (hide)'!BS$6:BS$105)+SUMIF(Capacity_Resource,$F176,'Critical resources (hide)'!BS$6:BS$105)&gt;0,$E$1=2),0,1),0)</f>
        <v>1</v>
      </c>
      <c r="BG176" s="67">
        <f ca="1">IF(LOWER(Capacity!$V81)="x",IF(AND(SUMIF(Capacity_Resource,$D176,'Critical resources (hide)'!BT$6:BT$105)+SUMIF(Capacity_Resource,$E176,'Critical resources (hide)'!BT$6:BT$105)+SUMIF(Capacity_Resource,$F176,'Critical resources (hide)'!BT$6:BT$105)&gt;0,$E$1=2),0,1),0)</f>
        <v>1</v>
      </c>
      <c r="BH176" s="67">
        <f>IF(ROW(A65)&lt;=Capacity!$M$16,IF('Capacity summary'!$C$14="No",SUM(H176:BG176),'Capacity summary'!$E88),0)</f>
        <v>0</v>
      </c>
      <c r="BI176" s="67" t="str">
        <f>IF(BH176&gt;0,IF(BH176&lt;Capacity!Q81,Capacity!R81,Capacity!T81/'Capacity calculation (hide)'!BH176),"")</f>
        <v/>
      </c>
      <c r="BJ176" s="5"/>
      <c r="BK176" s="5">
        <f>IF($BI176&lt;&gt;"",IF('Capacity summary'!$C$14="Yes",IF(COUNTBLANK('Capacity summary'!$H88:$BG88)&lt;52,IF('Capacity summary'!H88&lt;&gt;"",IF(LOWER('Capacity summary'!H88)="x",$BI176*H176,VALUE('Capacity summary'!H88)),0),H176*$BI176),H176*$BI176),0)</f>
        <v>0</v>
      </c>
      <c r="BL176" s="5">
        <f>IF($BI176&lt;&gt;"",IF('Capacity summary'!$C$14="Yes",IF(COUNTBLANK('Capacity summary'!$H88:$BG88)&lt;52,IF('Capacity summary'!I88&lt;&gt;"",IF(LOWER('Capacity summary'!I88)="x",$BI176*I176,VALUE('Capacity summary'!I88)),0),I176*$BI176),I176*$BI176),0)</f>
        <v>0</v>
      </c>
      <c r="BM176" s="5">
        <f>IF($BI176&lt;&gt;"",IF('Capacity summary'!$C$14="Yes",IF(COUNTBLANK('Capacity summary'!$H88:$BG88)&lt;52,IF('Capacity summary'!J88&lt;&gt;"",IF(LOWER('Capacity summary'!J88)="x",$BI176*J176,VALUE('Capacity summary'!J88)),0),J176*$BI176),J176*$BI176),0)</f>
        <v>0</v>
      </c>
      <c r="BN176" s="5">
        <f>IF($BI176&lt;&gt;"",IF('Capacity summary'!$C$14="Yes",IF(COUNTBLANK('Capacity summary'!$H88:$BG88)&lt;52,IF('Capacity summary'!K88&lt;&gt;"",IF(LOWER('Capacity summary'!K88)="x",$BI176*K176,VALUE('Capacity summary'!K88)),0),K176*$BI176),K176*$BI176),0)</f>
        <v>0</v>
      </c>
      <c r="BO176" s="5">
        <f>IF($BI176&lt;&gt;"",IF('Capacity summary'!$C$14="Yes",IF(COUNTBLANK('Capacity summary'!$H88:$BG88)&lt;52,IF('Capacity summary'!L88&lt;&gt;"",IF(LOWER('Capacity summary'!L88)="x",$BI176*L176,VALUE('Capacity summary'!L88)),0),L176*$BI176),L176*$BI176),0)</f>
        <v>0</v>
      </c>
      <c r="BP176" s="5">
        <f>IF($BI176&lt;&gt;"",IF('Capacity summary'!$C$14="Yes",IF(COUNTBLANK('Capacity summary'!$H88:$BG88)&lt;52,IF('Capacity summary'!M88&lt;&gt;"",IF(LOWER('Capacity summary'!M88)="x",$BI176*M176,VALUE('Capacity summary'!M88)),0),M176*$BI176),M176*$BI176),0)</f>
        <v>0</v>
      </c>
      <c r="BQ176" s="5">
        <f>IF($BI176&lt;&gt;"",IF('Capacity summary'!$C$14="Yes",IF(COUNTBLANK('Capacity summary'!$H88:$BG88)&lt;52,IF('Capacity summary'!N88&lt;&gt;"",IF(LOWER('Capacity summary'!N88)="x",$BI176*N176,VALUE('Capacity summary'!N88)),0),N176*$BI176),N176*$BI176),0)</f>
        <v>0</v>
      </c>
      <c r="BR176" s="5">
        <f>IF($BI176&lt;&gt;"",IF('Capacity summary'!$C$14="Yes",IF(COUNTBLANK('Capacity summary'!$H88:$BG88)&lt;52,IF('Capacity summary'!O88&lt;&gt;"",IF(LOWER('Capacity summary'!O88)="x",$BI176*O176,VALUE('Capacity summary'!O88)),0),O176*$BI176),O176*$BI176),0)</f>
        <v>0</v>
      </c>
      <c r="BS176" s="5">
        <f>IF($BI176&lt;&gt;"",IF('Capacity summary'!$C$14="Yes",IF(COUNTBLANK('Capacity summary'!$H88:$BG88)&lt;52,IF('Capacity summary'!P88&lt;&gt;"",IF(LOWER('Capacity summary'!P88)="x",$BI176*P176,VALUE('Capacity summary'!P88)),0),P176*$BI176),P176*$BI176),0)</f>
        <v>0</v>
      </c>
      <c r="BT176" s="5">
        <f>IF($BI176&lt;&gt;"",IF('Capacity summary'!$C$14="Yes",IF(COUNTBLANK('Capacity summary'!$H88:$BG88)&lt;52,IF('Capacity summary'!Q88&lt;&gt;"",IF(LOWER('Capacity summary'!Q88)="x",$BI176*Q176,VALUE('Capacity summary'!Q88)),0),Q176*$BI176),Q176*$BI176),0)</f>
        <v>0</v>
      </c>
      <c r="BU176" s="5">
        <f>IF($BI176&lt;&gt;"",IF('Capacity summary'!$C$14="Yes",IF(COUNTBLANK('Capacity summary'!$H88:$BG88)&lt;52,IF('Capacity summary'!R88&lt;&gt;"",IF(LOWER('Capacity summary'!R88)="x",$BI176*R176,VALUE('Capacity summary'!R88)),0),R176*$BI176),R176*$BI176),0)</f>
        <v>0</v>
      </c>
      <c r="BV176" s="5">
        <f>IF($BI176&lt;&gt;"",IF('Capacity summary'!$C$14="Yes",IF(COUNTBLANK('Capacity summary'!$H88:$BG88)&lt;52,IF('Capacity summary'!S88&lt;&gt;"",IF(LOWER('Capacity summary'!S88)="x",$BI176*S176,VALUE('Capacity summary'!S88)),0),S176*$BI176),S176*$BI176),0)</f>
        <v>0</v>
      </c>
      <c r="BW176" s="5">
        <f>IF($BI176&lt;&gt;"",IF('Capacity summary'!$C$14="Yes",IF(COUNTBLANK('Capacity summary'!$H88:$BG88)&lt;52,IF('Capacity summary'!T88&lt;&gt;"",IF(LOWER('Capacity summary'!T88)="x",$BI176*T176,VALUE('Capacity summary'!T88)),0),T176*$BI176),T176*$BI176),0)</f>
        <v>0</v>
      </c>
      <c r="BX176" s="5">
        <f>IF($BI176&lt;&gt;"",IF('Capacity summary'!$C$14="Yes",IF(COUNTBLANK('Capacity summary'!$H88:$BG88)&lt;52,IF('Capacity summary'!U88&lt;&gt;"",IF(LOWER('Capacity summary'!U88)="x",$BI176*U176,VALUE('Capacity summary'!U88)),0),U176*$BI176),U176*$BI176),0)</f>
        <v>0</v>
      </c>
      <c r="BY176" s="5">
        <f>IF($BI176&lt;&gt;"",IF('Capacity summary'!$C$14="Yes",IF(COUNTBLANK('Capacity summary'!$H88:$BG88)&lt;52,IF('Capacity summary'!V88&lt;&gt;"",IF(LOWER('Capacity summary'!V88)="x",$BI176*V176,VALUE('Capacity summary'!V88)),0),V176*$BI176),V176*$BI176),0)</f>
        <v>0</v>
      </c>
      <c r="BZ176" s="5">
        <f>IF($BI176&lt;&gt;"",IF('Capacity summary'!$C$14="Yes",IF(COUNTBLANK('Capacity summary'!$H88:$BG88)&lt;52,IF('Capacity summary'!W88&lt;&gt;"",IF(LOWER('Capacity summary'!W88)="x",$BI176*W176,VALUE('Capacity summary'!W88)),0),W176*$BI176),W176*$BI176),0)</f>
        <v>0</v>
      </c>
      <c r="CA176" s="5">
        <f>IF($BI176&lt;&gt;"",IF('Capacity summary'!$C$14="Yes",IF(COUNTBLANK('Capacity summary'!$H88:$BG88)&lt;52,IF('Capacity summary'!X88&lt;&gt;"",IF(LOWER('Capacity summary'!X88)="x",$BI176*X176,VALUE('Capacity summary'!X88)),0),X176*$BI176),X176*$BI176),0)</f>
        <v>0</v>
      </c>
      <c r="CB176" s="5">
        <f>IF($BI176&lt;&gt;"",IF('Capacity summary'!$C$14="Yes",IF(COUNTBLANK('Capacity summary'!$H88:$BG88)&lt;52,IF('Capacity summary'!Y88&lt;&gt;"",IF(LOWER('Capacity summary'!Y88)="x",$BI176*Y176,VALUE('Capacity summary'!Y88)),0),Y176*$BI176),Y176*$BI176),0)</f>
        <v>0</v>
      </c>
      <c r="CC176" s="5">
        <f>IF($BI176&lt;&gt;"",IF('Capacity summary'!$C$14="Yes",IF(COUNTBLANK('Capacity summary'!$H88:$BG88)&lt;52,IF('Capacity summary'!Z88&lt;&gt;"",IF(LOWER('Capacity summary'!Z88)="x",$BI176*Z176,VALUE('Capacity summary'!Z88)),0),Z176*$BI176),Z176*$BI176),0)</f>
        <v>0</v>
      </c>
      <c r="CD176" s="5">
        <f>IF($BI176&lt;&gt;"",IF('Capacity summary'!$C$14="Yes",IF(COUNTBLANK('Capacity summary'!$H88:$BG88)&lt;52,IF('Capacity summary'!AA88&lt;&gt;"",IF(LOWER('Capacity summary'!AA88)="x",$BI176*AA176,VALUE('Capacity summary'!AA88)),0),AA176*$BI176),AA176*$BI176),0)</f>
        <v>0</v>
      </c>
      <c r="CE176" s="5">
        <f>IF($BI176&lt;&gt;"",IF('Capacity summary'!$C$14="Yes",IF(COUNTBLANK('Capacity summary'!$H88:$BG88)&lt;52,IF('Capacity summary'!AB88&lt;&gt;"",IF(LOWER('Capacity summary'!AB88)="x",$BI176*AB176,VALUE('Capacity summary'!AB88)),0),AB176*$BI176),AB176*$BI176),0)</f>
        <v>0</v>
      </c>
      <c r="CF176" s="5">
        <f>IF($BI176&lt;&gt;"",IF('Capacity summary'!$C$14="Yes",IF(COUNTBLANK('Capacity summary'!$H88:$BG88)&lt;52,IF('Capacity summary'!AC88&lt;&gt;"",IF(LOWER('Capacity summary'!AC88)="x",$BI176*AC176,VALUE('Capacity summary'!AC88)),0),AC176*$BI176),AC176*$BI176),0)</f>
        <v>0</v>
      </c>
      <c r="CG176" s="5">
        <f>IF($BI176&lt;&gt;"",IF('Capacity summary'!$C$14="Yes",IF(COUNTBLANK('Capacity summary'!$H88:$BG88)&lt;52,IF('Capacity summary'!AD88&lt;&gt;"",IF(LOWER('Capacity summary'!AD88)="x",$BI176*AD176,VALUE('Capacity summary'!AD88)),0),AD176*$BI176),AD176*$BI176),0)</f>
        <v>0</v>
      </c>
      <c r="CH176" s="5">
        <f>IF($BI176&lt;&gt;"",IF('Capacity summary'!$C$14="Yes",IF(COUNTBLANK('Capacity summary'!$H88:$BG88)&lt;52,IF('Capacity summary'!AE88&lt;&gt;"",IF(LOWER('Capacity summary'!AE88)="x",$BI176*AE176,VALUE('Capacity summary'!AE88)),0),AE176*$BI176),AE176*$BI176),0)</f>
        <v>0</v>
      </c>
      <c r="CI176" s="5">
        <f>IF($BI176&lt;&gt;"",IF('Capacity summary'!$C$14="Yes",IF(COUNTBLANK('Capacity summary'!$H88:$BG88)&lt;52,IF('Capacity summary'!AF88&lt;&gt;"",IF(LOWER('Capacity summary'!AF88)="x",$BI176*AF176,VALUE('Capacity summary'!AF88)),0),AF176*$BI176),AF176*$BI176),0)</f>
        <v>0</v>
      </c>
      <c r="CJ176" s="5">
        <f>IF($BI176&lt;&gt;"",IF('Capacity summary'!$C$14="Yes",IF(COUNTBLANK('Capacity summary'!$H88:$BG88)&lt;52,IF('Capacity summary'!AG88&lt;&gt;"",IF(LOWER('Capacity summary'!AG88)="x",$BI176*AG176,VALUE('Capacity summary'!AG88)),0),AG176*$BI176),AG176*$BI176),0)</f>
        <v>0</v>
      </c>
      <c r="CK176" s="5">
        <f>IF($BI176&lt;&gt;"",IF('Capacity summary'!$C$14="Yes",IF(COUNTBLANK('Capacity summary'!$H88:$BG88)&lt;52,IF('Capacity summary'!AH88&lt;&gt;"",IF(LOWER('Capacity summary'!AH88)="x",$BI176*AH176,VALUE('Capacity summary'!AH88)),0),AH176*$BI176),AH176*$BI176),0)</f>
        <v>0</v>
      </c>
      <c r="CL176" s="5">
        <f>IF($BI176&lt;&gt;"",IF('Capacity summary'!$C$14="Yes",IF(COUNTBLANK('Capacity summary'!$H88:$BG88)&lt;52,IF('Capacity summary'!AI88&lt;&gt;"",IF(LOWER('Capacity summary'!AI88)="x",$BI176*AI176,VALUE('Capacity summary'!AI88)),0),AI176*$BI176),AI176*$BI176),0)</f>
        <v>0</v>
      </c>
      <c r="CM176" s="5">
        <f>IF($BI176&lt;&gt;"",IF('Capacity summary'!$C$14="Yes",IF(COUNTBLANK('Capacity summary'!$H88:$BG88)&lt;52,IF('Capacity summary'!AJ88&lt;&gt;"",IF(LOWER('Capacity summary'!AJ88)="x",$BI176*AJ176,VALUE('Capacity summary'!AJ88)),0),AJ176*$BI176),AJ176*$BI176),0)</f>
        <v>0</v>
      </c>
      <c r="CN176" s="5">
        <f>IF($BI176&lt;&gt;"",IF('Capacity summary'!$C$14="Yes",IF(COUNTBLANK('Capacity summary'!$H88:$BG88)&lt;52,IF('Capacity summary'!AK88&lt;&gt;"",IF(LOWER('Capacity summary'!AK88)="x",$BI176*AK176,VALUE('Capacity summary'!AK88)),0),AK176*$BI176),AK176*$BI176),0)</f>
        <v>0</v>
      </c>
      <c r="CO176" s="5">
        <f>IF($BI176&lt;&gt;"",IF('Capacity summary'!$C$14="Yes",IF(COUNTBLANK('Capacity summary'!$H88:$BG88)&lt;52,IF('Capacity summary'!AL88&lt;&gt;"",IF(LOWER('Capacity summary'!AL88)="x",$BI176*AL176,VALUE('Capacity summary'!AL88)),0),AL176*$BI176),AL176*$BI176),0)</f>
        <v>0</v>
      </c>
      <c r="CP176" s="5">
        <f>IF($BI176&lt;&gt;"",IF('Capacity summary'!$C$14="Yes",IF(COUNTBLANK('Capacity summary'!$H88:$BG88)&lt;52,IF('Capacity summary'!AM88&lt;&gt;"",IF(LOWER('Capacity summary'!AM88)="x",$BI176*AM176,VALUE('Capacity summary'!AM88)),0),AM176*$BI176),AM176*$BI176),0)</f>
        <v>0</v>
      </c>
      <c r="CQ176" s="5">
        <f>IF($BI176&lt;&gt;"",IF('Capacity summary'!$C$14="Yes",IF(COUNTBLANK('Capacity summary'!$H88:$BG88)&lt;52,IF('Capacity summary'!AN88&lt;&gt;"",IF(LOWER('Capacity summary'!AN88)="x",$BI176*AN176,VALUE('Capacity summary'!AN88)),0),AN176*$BI176),AN176*$BI176),0)</f>
        <v>0</v>
      </c>
      <c r="CR176" s="5">
        <f>IF($BI176&lt;&gt;"",IF('Capacity summary'!$C$14="Yes",IF(COUNTBLANK('Capacity summary'!$H88:$BG88)&lt;52,IF('Capacity summary'!AO88&lt;&gt;"",IF(LOWER('Capacity summary'!AO88)="x",$BI176*AO176,VALUE('Capacity summary'!AO88)),0),AO176*$BI176),AO176*$BI176),0)</f>
        <v>0</v>
      </c>
      <c r="CS176" s="5">
        <f>IF($BI176&lt;&gt;"",IF('Capacity summary'!$C$14="Yes",IF(COUNTBLANK('Capacity summary'!$H88:$BG88)&lt;52,IF('Capacity summary'!AP88&lt;&gt;"",IF(LOWER('Capacity summary'!AP88)="x",$BI176*AP176,VALUE('Capacity summary'!AP88)),0),AP176*$BI176),AP176*$BI176),0)</f>
        <v>0</v>
      </c>
      <c r="CT176" s="5">
        <f>IF($BI176&lt;&gt;"",IF('Capacity summary'!$C$14="Yes",IF(COUNTBLANK('Capacity summary'!$H88:$BG88)&lt;52,IF('Capacity summary'!AQ88&lt;&gt;"",IF(LOWER('Capacity summary'!AQ88)="x",$BI176*AQ176,VALUE('Capacity summary'!AQ88)),0),AQ176*$BI176),AQ176*$BI176),0)</f>
        <v>0</v>
      </c>
      <c r="CU176" s="5">
        <f>IF($BI176&lt;&gt;"",IF('Capacity summary'!$C$14="Yes",IF(COUNTBLANK('Capacity summary'!$H88:$BG88)&lt;52,IF('Capacity summary'!AR88&lt;&gt;"",IF(LOWER('Capacity summary'!AR88)="x",$BI176*AR176,VALUE('Capacity summary'!AR88)),0),AR176*$BI176),AR176*$BI176),0)</f>
        <v>0</v>
      </c>
      <c r="CV176" s="5">
        <f>IF($BI176&lt;&gt;"",IF('Capacity summary'!$C$14="Yes",IF(COUNTBLANK('Capacity summary'!$H88:$BG88)&lt;52,IF('Capacity summary'!AS88&lt;&gt;"",IF(LOWER('Capacity summary'!AS88)="x",$BI176*AS176,VALUE('Capacity summary'!AS88)),0),AS176*$BI176),AS176*$BI176),0)</f>
        <v>0</v>
      </c>
      <c r="CW176" s="5">
        <f>IF($BI176&lt;&gt;"",IF('Capacity summary'!$C$14="Yes",IF(COUNTBLANK('Capacity summary'!$H88:$BG88)&lt;52,IF('Capacity summary'!AT88&lt;&gt;"",IF(LOWER('Capacity summary'!AT88)="x",$BI176*AT176,VALUE('Capacity summary'!AT88)),0),AT176*$BI176),AT176*$BI176),0)</f>
        <v>0</v>
      </c>
      <c r="CX176" s="5">
        <f>IF($BI176&lt;&gt;"",IF('Capacity summary'!$C$14="Yes",IF(COUNTBLANK('Capacity summary'!$H88:$BG88)&lt;52,IF('Capacity summary'!AU88&lt;&gt;"",IF(LOWER('Capacity summary'!AU88)="x",$BI176*AU176,VALUE('Capacity summary'!AU88)),0),AU176*$BI176),AU176*$BI176),0)</f>
        <v>0</v>
      </c>
      <c r="CY176" s="5">
        <f>IF($BI176&lt;&gt;"",IF('Capacity summary'!$C$14="Yes",IF(COUNTBLANK('Capacity summary'!$H88:$BG88)&lt;52,IF('Capacity summary'!AV88&lt;&gt;"",IF(LOWER('Capacity summary'!AV88)="x",$BI176*AV176,VALUE('Capacity summary'!AV88)),0),AV176*$BI176),AV176*$BI176),0)</f>
        <v>0</v>
      </c>
      <c r="CZ176" s="5">
        <f>IF($BI176&lt;&gt;"",IF('Capacity summary'!$C$14="Yes",IF(COUNTBLANK('Capacity summary'!$H88:$BG88)&lt;52,IF('Capacity summary'!AW88&lt;&gt;"",IF(LOWER('Capacity summary'!AW88)="x",$BI176*AW176,VALUE('Capacity summary'!AW88)),0),AW176*$BI176),AW176*$BI176),0)</f>
        <v>0</v>
      </c>
      <c r="DA176" s="5">
        <f>IF($BI176&lt;&gt;"",IF('Capacity summary'!$C$14="Yes",IF(COUNTBLANK('Capacity summary'!$H88:$BG88)&lt;52,IF('Capacity summary'!AX88&lt;&gt;"",IF(LOWER('Capacity summary'!AX88)="x",$BI176*AX176,VALUE('Capacity summary'!AX88)),0),AX176*$BI176),AX176*$BI176),0)</f>
        <v>0</v>
      </c>
      <c r="DB176" s="5">
        <f>IF($BI176&lt;&gt;"",IF('Capacity summary'!$C$14="Yes",IF(COUNTBLANK('Capacity summary'!$H88:$BG88)&lt;52,IF('Capacity summary'!AY88&lt;&gt;"",IF(LOWER('Capacity summary'!AY88)="x",$BI176*AY176,VALUE('Capacity summary'!AY88)),0),AY176*$BI176),AY176*$BI176),0)</f>
        <v>0</v>
      </c>
      <c r="DC176" s="5">
        <f>IF($BI176&lt;&gt;"",IF('Capacity summary'!$C$14="Yes",IF(COUNTBLANK('Capacity summary'!$H88:$BG88)&lt;52,IF('Capacity summary'!AZ88&lt;&gt;"",IF(LOWER('Capacity summary'!AZ88)="x",$BI176*AZ176,VALUE('Capacity summary'!AZ88)),0),AZ176*$BI176),AZ176*$BI176),0)</f>
        <v>0</v>
      </c>
      <c r="DD176" s="5">
        <f>IF($BI176&lt;&gt;"",IF('Capacity summary'!$C$14="Yes",IF(COUNTBLANK('Capacity summary'!$H88:$BG88)&lt;52,IF('Capacity summary'!BA88&lt;&gt;"",IF(LOWER('Capacity summary'!BA88)="x",$BI176*BA176,VALUE('Capacity summary'!BA88)),0),BA176*$BI176),BA176*$BI176),0)</f>
        <v>0</v>
      </c>
      <c r="DE176" s="5">
        <f>IF($BI176&lt;&gt;"",IF('Capacity summary'!$C$14="Yes",IF(COUNTBLANK('Capacity summary'!$H88:$BG88)&lt;52,IF('Capacity summary'!BB88&lt;&gt;"",IF(LOWER('Capacity summary'!BB88)="x",$BI176*BB176,VALUE('Capacity summary'!BB88)),0),BB176*$BI176),BB176*$BI176),0)</f>
        <v>0</v>
      </c>
      <c r="DF176" s="5">
        <f>IF($BI176&lt;&gt;"",IF('Capacity summary'!$C$14="Yes",IF(COUNTBLANK('Capacity summary'!$H88:$BG88)&lt;52,IF('Capacity summary'!BC88&lt;&gt;"",IF(LOWER('Capacity summary'!BC88)="x",$BI176*BC176,VALUE('Capacity summary'!BC88)),0),BC176*$BI176),BC176*$BI176),0)</f>
        <v>0</v>
      </c>
      <c r="DG176" s="5">
        <f>IF($BI176&lt;&gt;"",IF('Capacity summary'!$C$14="Yes",IF(COUNTBLANK('Capacity summary'!$H88:$BG88)&lt;52,IF('Capacity summary'!BD88&lt;&gt;"",IF(LOWER('Capacity summary'!BD88)="x",$BI176*BD176,VALUE('Capacity summary'!BD88)),0),BD176*$BI176),BD176*$BI176),0)</f>
        <v>0</v>
      </c>
      <c r="DH176" s="5">
        <f>IF($BI176&lt;&gt;"",IF('Capacity summary'!$C$14="Yes",IF(COUNTBLANK('Capacity summary'!$H88:$BG88)&lt;52,IF('Capacity summary'!BE88&lt;&gt;"",IF(LOWER('Capacity summary'!BE88)="x",$BI176*BE176,VALUE('Capacity summary'!BE88)),0),BE176*$BI176),BE176*$BI176),0)</f>
        <v>0</v>
      </c>
      <c r="DI176" s="5">
        <f>IF($BI176&lt;&gt;"",IF('Capacity summary'!$C$14="Yes",IF(COUNTBLANK('Capacity summary'!$H88:$BG88)&lt;52,IF('Capacity summary'!BF88&lt;&gt;"",IF(LOWER('Capacity summary'!BF88)="x",$BI176*BF176,VALUE('Capacity summary'!BF88)),0),BF176*$BI176),BF176*$BI176),0)</f>
        <v>0</v>
      </c>
      <c r="DJ176" s="5">
        <f>IF($BI176&lt;&gt;"",IF('Capacity summary'!$C$14="Yes",IF(COUNTBLANK('Capacity summary'!$H88:$BG88)&lt;52,IF('Capacity summary'!BG88&lt;&gt;"",IF(LOWER('Capacity summary'!BG88)="x",$BI176*BG176,VALUE('Capacity summary'!BG88)),0),BG176*$BI176),BG176*$BI176),0)</f>
        <v>0</v>
      </c>
      <c r="DK176" s="391">
        <f t="shared" ref="DK176:DK211" si="10">DJ176</f>
        <v>0</v>
      </c>
      <c r="DL176" s="5">
        <f t="shared" ref="DL176:DL211" si="11">SUM(BK176:DJ176)</f>
        <v>0</v>
      </c>
    </row>
    <row r="177" spans="3:116" x14ac:dyDescent="0.2">
      <c r="C177" s="67" t="str">
        <f>ROW(A66)&amp;". "&amp;Capacity!N82</f>
        <v xml:space="preserve">66. </v>
      </c>
      <c r="D177" s="67">
        <f>'Capacity setup'!C183</f>
        <v>0</v>
      </c>
      <c r="E177" s="67">
        <f>'Capacity setup'!D183</f>
        <v>0</v>
      </c>
      <c r="F177" s="67">
        <f>'Capacity setup'!E183</f>
        <v>0</v>
      </c>
      <c r="H177" s="67">
        <f ca="1">IF(LOWER(Capacity!$V82)="x",IF(AND(SUMIF(Capacity_Resource,$D177,'Critical resources (hide)'!U$6:U$105)+SUMIF(Capacity_Resource,$E177,'Critical resources (hide)'!U$6:U$105)+SUMIF(Capacity_Resource,$F177,'Critical resources (hide)'!U$6:U$105)&gt;0,$E$1=2),0,1),0)</f>
        <v>1</v>
      </c>
      <c r="I177" s="67">
        <f ca="1">IF(LOWER(Capacity!$V82)="x",IF(AND(SUMIF(Capacity_Resource,$D177,'Critical resources (hide)'!V$6:V$105)+SUMIF(Capacity_Resource,$E177,'Critical resources (hide)'!V$6:V$105)+SUMIF(Capacity_Resource,$F177,'Critical resources (hide)'!V$6:V$105)&gt;0,$E$1=2),0,1),0)</f>
        <v>1</v>
      </c>
      <c r="J177" s="67">
        <f ca="1">IF(LOWER(Capacity!$V82)="x",IF(AND(SUMIF(Capacity_Resource,$D177,'Critical resources (hide)'!W$6:W$105)+SUMIF(Capacity_Resource,$E177,'Critical resources (hide)'!W$6:W$105)+SUMIF(Capacity_Resource,$F177,'Critical resources (hide)'!W$6:W$105)&gt;0,$E$1=2),0,1),0)</f>
        <v>1</v>
      </c>
      <c r="K177" s="67">
        <f ca="1">IF(LOWER(Capacity!$V82)="x",IF(AND(SUMIF(Capacity_Resource,$D177,'Critical resources (hide)'!X$6:X$105)+SUMIF(Capacity_Resource,$E177,'Critical resources (hide)'!X$6:X$105)+SUMIF(Capacity_Resource,$F177,'Critical resources (hide)'!X$6:X$105)&gt;0,$E$1=2),0,1),0)</f>
        <v>1</v>
      </c>
      <c r="L177" s="67">
        <f ca="1">IF(LOWER(Capacity!$V82)="x",IF(AND(SUMIF(Capacity_Resource,$D177,'Critical resources (hide)'!Y$6:Y$105)+SUMIF(Capacity_Resource,$E177,'Critical resources (hide)'!Y$6:Y$105)+SUMIF(Capacity_Resource,$F177,'Critical resources (hide)'!Y$6:Y$105)&gt;0,$E$1=2),0,1),0)</f>
        <v>1</v>
      </c>
      <c r="M177" s="67">
        <f ca="1">IF(LOWER(Capacity!$V82)="x",IF(AND(SUMIF(Capacity_Resource,$D177,'Critical resources (hide)'!Z$6:Z$105)+SUMIF(Capacity_Resource,$E177,'Critical resources (hide)'!Z$6:Z$105)+SUMIF(Capacity_Resource,$F177,'Critical resources (hide)'!Z$6:Z$105)&gt;0,$E$1=2),0,1),0)</f>
        <v>1</v>
      </c>
      <c r="N177" s="67">
        <f ca="1">IF(LOWER(Capacity!$V82)="x",IF(AND(SUMIF(Capacity_Resource,$D177,'Critical resources (hide)'!AA$6:AA$105)+SUMIF(Capacity_Resource,$E177,'Critical resources (hide)'!AA$6:AA$105)+SUMIF(Capacity_Resource,$F177,'Critical resources (hide)'!AA$6:AA$105)&gt;0,$E$1=2),0,1),0)</f>
        <v>1</v>
      </c>
      <c r="O177" s="67">
        <f ca="1">IF(LOWER(Capacity!$V82)="x",IF(AND(SUMIF(Capacity_Resource,$D177,'Critical resources (hide)'!AB$6:AB$105)+SUMIF(Capacity_Resource,$E177,'Critical resources (hide)'!AB$6:AB$105)+SUMIF(Capacity_Resource,$F177,'Critical resources (hide)'!AB$6:AB$105)&gt;0,$E$1=2),0,1),0)</f>
        <v>1</v>
      </c>
      <c r="P177" s="67">
        <f ca="1">IF(LOWER(Capacity!$V82)="x",IF(AND(SUMIF(Capacity_Resource,$D177,'Critical resources (hide)'!AC$6:AC$105)+SUMIF(Capacity_Resource,$E177,'Critical resources (hide)'!AC$6:AC$105)+SUMIF(Capacity_Resource,$F177,'Critical resources (hide)'!AC$6:AC$105)&gt;0,$E$1=2),0,1),0)</f>
        <v>1</v>
      </c>
      <c r="Q177" s="67">
        <f ca="1">IF(LOWER(Capacity!$V82)="x",IF(AND(SUMIF(Capacity_Resource,$D177,'Critical resources (hide)'!AD$6:AD$105)+SUMIF(Capacity_Resource,$E177,'Critical resources (hide)'!AD$6:AD$105)+SUMIF(Capacity_Resource,$F177,'Critical resources (hide)'!AD$6:AD$105)&gt;0,$E$1=2),0,1),0)</f>
        <v>1</v>
      </c>
      <c r="R177" s="67">
        <f ca="1">IF(LOWER(Capacity!$V82)="x",IF(AND(SUMIF(Capacity_Resource,$D177,'Critical resources (hide)'!AE$6:AE$105)+SUMIF(Capacity_Resource,$E177,'Critical resources (hide)'!AE$6:AE$105)+SUMIF(Capacity_Resource,$F177,'Critical resources (hide)'!AE$6:AE$105)&gt;0,$E$1=2),0,1),0)</f>
        <v>1</v>
      </c>
      <c r="S177" s="67">
        <f ca="1">IF(LOWER(Capacity!$V82)="x",IF(AND(SUMIF(Capacity_Resource,$D177,'Critical resources (hide)'!AF$6:AF$105)+SUMIF(Capacity_Resource,$E177,'Critical resources (hide)'!AF$6:AF$105)+SUMIF(Capacity_Resource,$F177,'Critical resources (hide)'!AF$6:AF$105)&gt;0,$E$1=2),0,1),0)</f>
        <v>1</v>
      </c>
      <c r="T177" s="67">
        <f ca="1">IF(LOWER(Capacity!$V82)="x",IF(AND(SUMIF(Capacity_Resource,$D177,'Critical resources (hide)'!AG$6:AG$105)+SUMIF(Capacity_Resource,$E177,'Critical resources (hide)'!AG$6:AG$105)+SUMIF(Capacity_Resource,$F177,'Critical resources (hide)'!AG$6:AG$105)&gt;0,$E$1=2),0,1),0)</f>
        <v>1</v>
      </c>
      <c r="U177" s="67">
        <f ca="1">IF(LOWER(Capacity!$V82)="x",IF(AND(SUMIF(Capacity_Resource,$D177,'Critical resources (hide)'!AH$6:AH$105)+SUMIF(Capacity_Resource,$E177,'Critical resources (hide)'!AH$6:AH$105)+SUMIF(Capacity_Resource,$F177,'Critical resources (hide)'!AH$6:AH$105)&gt;0,$E$1=2),0,1),0)</f>
        <v>1</v>
      </c>
      <c r="V177" s="67">
        <f ca="1">IF(LOWER(Capacity!$V82)="x",IF(AND(SUMIF(Capacity_Resource,$D177,'Critical resources (hide)'!AI$6:AI$105)+SUMIF(Capacity_Resource,$E177,'Critical resources (hide)'!AI$6:AI$105)+SUMIF(Capacity_Resource,$F177,'Critical resources (hide)'!AI$6:AI$105)&gt;0,$E$1=2),0,1),0)</f>
        <v>1</v>
      </c>
      <c r="W177" s="67">
        <f ca="1">IF(LOWER(Capacity!$V82)="x",IF(AND(SUMIF(Capacity_Resource,$D177,'Critical resources (hide)'!AJ$6:AJ$105)+SUMIF(Capacity_Resource,$E177,'Critical resources (hide)'!AJ$6:AJ$105)+SUMIF(Capacity_Resource,$F177,'Critical resources (hide)'!AJ$6:AJ$105)&gt;0,$E$1=2),0,1),0)</f>
        <v>1</v>
      </c>
      <c r="X177" s="67">
        <f ca="1">IF(LOWER(Capacity!$V82)="x",IF(AND(SUMIF(Capacity_Resource,$D177,'Critical resources (hide)'!AK$6:AK$105)+SUMIF(Capacity_Resource,$E177,'Critical resources (hide)'!AK$6:AK$105)+SUMIF(Capacity_Resource,$F177,'Critical resources (hide)'!AK$6:AK$105)&gt;0,$E$1=2),0,1),0)</f>
        <v>1</v>
      </c>
      <c r="Y177" s="67">
        <f ca="1">IF(LOWER(Capacity!$V82)="x",IF(AND(SUMIF(Capacity_Resource,$D177,'Critical resources (hide)'!AL$6:AL$105)+SUMIF(Capacity_Resource,$E177,'Critical resources (hide)'!AL$6:AL$105)+SUMIF(Capacity_Resource,$F177,'Critical resources (hide)'!AL$6:AL$105)&gt;0,$E$1=2),0,1),0)</f>
        <v>1</v>
      </c>
      <c r="Z177" s="67">
        <f ca="1">IF(LOWER(Capacity!$V82)="x",IF(AND(SUMIF(Capacity_Resource,$D177,'Critical resources (hide)'!AM$6:AM$105)+SUMIF(Capacity_Resource,$E177,'Critical resources (hide)'!AM$6:AM$105)+SUMIF(Capacity_Resource,$F177,'Critical resources (hide)'!AM$6:AM$105)&gt;0,$E$1=2),0,1),0)</f>
        <v>1</v>
      </c>
      <c r="AA177" s="67">
        <f ca="1">IF(LOWER(Capacity!$V82)="x",IF(AND(SUMIF(Capacity_Resource,$D177,'Critical resources (hide)'!AN$6:AN$105)+SUMIF(Capacity_Resource,$E177,'Critical resources (hide)'!AN$6:AN$105)+SUMIF(Capacity_Resource,$F177,'Critical resources (hide)'!AN$6:AN$105)&gt;0,$E$1=2),0,1),0)</f>
        <v>1</v>
      </c>
      <c r="AB177" s="67">
        <f ca="1">IF(LOWER(Capacity!$V82)="x",IF(AND(SUMIF(Capacity_Resource,$D177,'Critical resources (hide)'!AO$6:AO$105)+SUMIF(Capacity_Resource,$E177,'Critical resources (hide)'!AO$6:AO$105)+SUMIF(Capacity_Resource,$F177,'Critical resources (hide)'!AO$6:AO$105)&gt;0,$E$1=2),0,1),0)</f>
        <v>1</v>
      </c>
      <c r="AC177" s="67">
        <f ca="1">IF(LOWER(Capacity!$V82)="x",IF(AND(SUMIF(Capacity_Resource,$D177,'Critical resources (hide)'!AP$6:AP$105)+SUMIF(Capacity_Resource,$E177,'Critical resources (hide)'!AP$6:AP$105)+SUMIF(Capacity_Resource,$F177,'Critical resources (hide)'!AP$6:AP$105)&gt;0,$E$1=2),0,1),0)</f>
        <v>1</v>
      </c>
      <c r="AD177" s="67">
        <f ca="1">IF(LOWER(Capacity!$V82)="x",IF(AND(SUMIF(Capacity_Resource,$D177,'Critical resources (hide)'!AQ$6:AQ$105)+SUMIF(Capacity_Resource,$E177,'Critical resources (hide)'!AQ$6:AQ$105)+SUMIF(Capacity_Resource,$F177,'Critical resources (hide)'!AQ$6:AQ$105)&gt;0,$E$1=2),0,1),0)</f>
        <v>1</v>
      </c>
      <c r="AE177" s="67">
        <f ca="1">IF(LOWER(Capacity!$V82)="x",IF(AND(SUMIF(Capacity_Resource,$D177,'Critical resources (hide)'!AR$6:AR$105)+SUMIF(Capacity_Resource,$E177,'Critical resources (hide)'!AR$6:AR$105)+SUMIF(Capacity_Resource,$F177,'Critical resources (hide)'!AR$6:AR$105)&gt;0,$E$1=2),0,1),0)</f>
        <v>1</v>
      </c>
      <c r="AF177" s="67">
        <f ca="1">IF(LOWER(Capacity!$V82)="x",IF(AND(SUMIF(Capacity_Resource,$D177,'Critical resources (hide)'!AS$6:AS$105)+SUMIF(Capacity_Resource,$E177,'Critical resources (hide)'!AS$6:AS$105)+SUMIF(Capacity_Resource,$F177,'Critical resources (hide)'!AS$6:AS$105)&gt;0,$E$1=2),0,1),0)</f>
        <v>1</v>
      </c>
      <c r="AG177" s="67">
        <f ca="1">IF(LOWER(Capacity!$V82)="x",IF(AND(SUMIF(Capacity_Resource,$D177,'Critical resources (hide)'!AT$6:AT$105)+SUMIF(Capacity_Resource,$E177,'Critical resources (hide)'!AT$6:AT$105)+SUMIF(Capacity_Resource,$F177,'Critical resources (hide)'!AT$6:AT$105)&gt;0,$E$1=2),0,1),0)</f>
        <v>1</v>
      </c>
      <c r="AH177" s="67">
        <f ca="1">IF(LOWER(Capacity!$V82)="x",IF(AND(SUMIF(Capacity_Resource,$D177,'Critical resources (hide)'!AU$6:AU$105)+SUMIF(Capacity_Resource,$E177,'Critical resources (hide)'!AU$6:AU$105)+SUMIF(Capacity_Resource,$F177,'Critical resources (hide)'!AU$6:AU$105)&gt;0,$E$1=2),0,1),0)</f>
        <v>1</v>
      </c>
      <c r="AI177" s="67">
        <f ca="1">IF(LOWER(Capacity!$V82)="x",IF(AND(SUMIF(Capacity_Resource,$D177,'Critical resources (hide)'!AV$6:AV$105)+SUMIF(Capacity_Resource,$E177,'Critical resources (hide)'!AV$6:AV$105)+SUMIF(Capacity_Resource,$F177,'Critical resources (hide)'!AV$6:AV$105)&gt;0,$E$1=2),0,1),0)</f>
        <v>1</v>
      </c>
      <c r="AJ177" s="67">
        <f ca="1">IF(LOWER(Capacity!$V82)="x",IF(AND(SUMIF(Capacity_Resource,$D177,'Critical resources (hide)'!AW$6:AW$105)+SUMIF(Capacity_Resource,$E177,'Critical resources (hide)'!AW$6:AW$105)+SUMIF(Capacity_Resource,$F177,'Critical resources (hide)'!AW$6:AW$105)&gt;0,$E$1=2),0,1),0)</f>
        <v>1</v>
      </c>
      <c r="AK177" s="67">
        <f ca="1">IF(LOWER(Capacity!$V82)="x",IF(AND(SUMIF(Capacity_Resource,$D177,'Critical resources (hide)'!AX$6:AX$105)+SUMIF(Capacity_Resource,$E177,'Critical resources (hide)'!AX$6:AX$105)+SUMIF(Capacity_Resource,$F177,'Critical resources (hide)'!AX$6:AX$105)&gt;0,$E$1=2),0,1),0)</f>
        <v>1</v>
      </c>
      <c r="AL177" s="67">
        <f ca="1">IF(LOWER(Capacity!$V82)="x",IF(AND(SUMIF(Capacity_Resource,$D177,'Critical resources (hide)'!AY$6:AY$105)+SUMIF(Capacity_Resource,$E177,'Critical resources (hide)'!AY$6:AY$105)+SUMIF(Capacity_Resource,$F177,'Critical resources (hide)'!AY$6:AY$105)&gt;0,$E$1=2),0,1),0)</f>
        <v>1</v>
      </c>
      <c r="AM177" s="67">
        <f ca="1">IF(LOWER(Capacity!$V82)="x",IF(AND(SUMIF(Capacity_Resource,$D177,'Critical resources (hide)'!AZ$6:AZ$105)+SUMIF(Capacity_Resource,$E177,'Critical resources (hide)'!AZ$6:AZ$105)+SUMIF(Capacity_Resource,$F177,'Critical resources (hide)'!AZ$6:AZ$105)&gt;0,$E$1=2),0,1),0)</f>
        <v>1</v>
      </c>
      <c r="AN177" s="67">
        <f ca="1">IF(LOWER(Capacity!$V82)="x",IF(AND(SUMIF(Capacity_Resource,$D177,'Critical resources (hide)'!BA$6:BA$105)+SUMIF(Capacity_Resource,$E177,'Critical resources (hide)'!BA$6:BA$105)+SUMIF(Capacity_Resource,$F177,'Critical resources (hide)'!BA$6:BA$105)&gt;0,$E$1=2),0,1),0)</f>
        <v>1</v>
      </c>
      <c r="AO177" s="67">
        <f ca="1">IF(LOWER(Capacity!$V82)="x",IF(AND(SUMIF(Capacity_Resource,$D177,'Critical resources (hide)'!BB$6:BB$105)+SUMIF(Capacity_Resource,$E177,'Critical resources (hide)'!BB$6:BB$105)+SUMIF(Capacity_Resource,$F177,'Critical resources (hide)'!BB$6:BB$105)&gt;0,$E$1=2),0,1),0)</f>
        <v>1</v>
      </c>
      <c r="AP177" s="67">
        <f ca="1">IF(LOWER(Capacity!$V82)="x",IF(AND(SUMIF(Capacity_Resource,$D177,'Critical resources (hide)'!BC$6:BC$105)+SUMIF(Capacity_Resource,$E177,'Critical resources (hide)'!BC$6:BC$105)+SUMIF(Capacity_Resource,$F177,'Critical resources (hide)'!BC$6:BC$105)&gt;0,$E$1=2),0,1),0)</f>
        <v>1</v>
      </c>
      <c r="AQ177" s="67">
        <f ca="1">IF(LOWER(Capacity!$V82)="x",IF(AND(SUMIF(Capacity_Resource,$D177,'Critical resources (hide)'!BD$6:BD$105)+SUMIF(Capacity_Resource,$E177,'Critical resources (hide)'!BD$6:BD$105)+SUMIF(Capacity_Resource,$F177,'Critical resources (hide)'!BD$6:BD$105)&gt;0,$E$1=2),0,1),0)</f>
        <v>1</v>
      </c>
      <c r="AR177" s="67">
        <f ca="1">IF(LOWER(Capacity!$V82)="x",IF(AND(SUMIF(Capacity_Resource,$D177,'Critical resources (hide)'!BE$6:BE$105)+SUMIF(Capacity_Resource,$E177,'Critical resources (hide)'!BE$6:BE$105)+SUMIF(Capacity_Resource,$F177,'Critical resources (hide)'!BE$6:BE$105)&gt;0,$E$1=2),0,1),0)</f>
        <v>1</v>
      </c>
      <c r="AS177" s="67">
        <f ca="1">IF(LOWER(Capacity!$V82)="x",IF(AND(SUMIF(Capacity_Resource,$D177,'Critical resources (hide)'!BF$6:BF$105)+SUMIF(Capacity_Resource,$E177,'Critical resources (hide)'!BF$6:BF$105)+SUMIF(Capacity_Resource,$F177,'Critical resources (hide)'!BF$6:BF$105)&gt;0,$E$1=2),0,1),0)</f>
        <v>1</v>
      </c>
      <c r="AT177" s="67">
        <f ca="1">IF(LOWER(Capacity!$V82)="x",IF(AND(SUMIF(Capacity_Resource,$D177,'Critical resources (hide)'!BG$6:BG$105)+SUMIF(Capacity_Resource,$E177,'Critical resources (hide)'!BG$6:BG$105)+SUMIF(Capacity_Resource,$F177,'Critical resources (hide)'!BG$6:BG$105)&gt;0,$E$1=2),0,1),0)</f>
        <v>1</v>
      </c>
      <c r="AU177" s="67">
        <f ca="1">IF(LOWER(Capacity!$V82)="x",IF(AND(SUMIF(Capacity_Resource,$D177,'Critical resources (hide)'!BH$6:BH$105)+SUMIF(Capacity_Resource,$E177,'Critical resources (hide)'!BH$6:BH$105)+SUMIF(Capacity_Resource,$F177,'Critical resources (hide)'!BH$6:BH$105)&gt;0,$E$1=2),0,1),0)</f>
        <v>1</v>
      </c>
      <c r="AV177" s="67">
        <f ca="1">IF(LOWER(Capacity!$V82)="x",IF(AND(SUMIF(Capacity_Resource,$D177,'Critical resources (hide)'!BI$6:BI$105)+SUMIF(Capacity_Resource,$E177,'Critical resources (hide)'!BI$6:BI$105)+SUMIF(Capacity_Resource,$F177,'Critical resources (hide)'!BI$6:BI$105)&gt;0,$E$1=2),0,1),0)</f>
        <v>1</v>
      </c>
      <c r="AW177" s="67">
        <f ca="1">IF(LOWER(Capacity!$V82)="x",IF(AND(SUMIF(Capacity_Resource,$D177,'Critical resources (hide)'!BJ$6:BJ$105)+SUMIF(Capacity_Resource,$E177,'Critical resources (hide)'!BJ$6:BJ$105)+SUMIF(Capacity_Resource,$F177,'Critical resources (hide)'!BJ$6:BJ$105)&gt;0,$E$1=2),0,1),0)</f>
        <v>1</v>
      </c>
      <c r="AX177" s="67">
        <f ca="1">IF(LOWER(Capacity!$V82)="x",IF(AND(SUMIF(Capacity_Resource,$D177,'Critical resources (hide)'!BK$6:BK$105)+SUMIF(Capacity_Resource,$E177,'Critical resources (hide)'!BK$6:BK$105)+SUMIF(Capacity_Resource,$F177,'Critical resources (hide)'!BK$6:BK$105)&gt;0,$E$1=2),0,1),0)</f>
        <v>1</v>
      </c>
      <c r="AY177" s="67">
        <f ca="1">IF(LOWER(Capacity!$V82)="x",IF(AND(SUMIF(Capacity_Resource,$D177,'Critical resources (hide)'!BL$6:BL$105)+SUMIF(Capacity_Resource,$E177,'Critical resources (hide)'!BL$6:BL$105)+SUMIF(Capacity_Resource,$F177,'Critical resources (hide)'!BL$6:BL$105)&gt;0,$E$1=2),0,1),0)</f>
        <v>1</v>
      </c>
      <c r="AZ177" s="67">
        <f ca="1">IF(LOWER(Capacity!$V82)="x",IF(AND(SUMIF(Capacity_Resource,$D177,'Critical resources (hide)'!BM$6:BM$105)+SUMIF(Capacity_Resource,$E177,'Critical resources (hide)'!BM$6:BM$105)+SUMIF(Capacity_Resource,$F177,'Critical resources (hide)'!BM$6:BM$105)&gt;0,$E$1=2),0,1),0)</f>
        <v>1</v>
      </c>
      <c r="BA177" s="67">
        <f ca="1">IF(LOWER(Capacity!$V82)="x",IF(AND(SUMIF(Capacity_Resource,$D177,'Critical resources (hide)'!BN$6:BN$105)+SUMIF(Capacity_Resource,$E177,'Critical resources (hide)'!BN$6:BN$105)+SUMIF(Capacity_Resource,$F177,'Critical resources (hide)'!BN$6:BN$105)&gt;0,$E$1=2),0,1),0)</f>
        <v>1</v>
      </c>
      <c r="BB177" s="67">
        <f ca="1">IF(LOWER(Capacity!$V82)="x",IF(AND(SUMIF(Capacity_Resource,$D177,'Critical resources (hide)'!BO$6:BO$105)+SUMIF(Capacity_Resource,$E177,'Critical resources (hide)'!BO$6:BO$105)+SUMIF(Capacity_Resource,$F177,'Critical resources (hide)'!BO$6:BO$105)&gt;0,$E$1=2),0,1),0)</f>
        <v>1</v>
      </c>
      <c r="BC177" s="67">
        <f ca="1">IF(LOWER(Capacity!$V82)="x",IF(AND(SUMIF(Capacity_Resource,$D177,'Critical resources (hide)'!BP$6:BP$105)+SUMIF(Capacity_Resource,$E177,'Critical resources (hide)'!BP$6:BP$105)+SUMIF(Capacity_Resource,$F177,'Critical resources (hide)'!BP$6:BP$105)&gt;0,$E$1=2),0,1),0)</f>
        <v>1</v>
      </c>
      <c r="BD177" s="67">
        <f ca="1">IF(LOWER(Capacity!$V82)="x",IF(AND(SUMIF(Capacity_Resource,$D177,'Critical resources (hide)'!BQ$6:BQ$105)+SUMIF(Capacity_Resource,$E177,'Critical resources (hide)'!BQ$6:BQ$105)+SUMIF(Capacity_Resource,$F177,'Critical resources (hide)'!BQ$6:BQ$105)&gt;0,$E$1=2),0,1),0)</f>
        <v>1</v>
      </c>
      <c r="BE177" s="67">
        <f ca="1">IF(LOWER(Capacity!$V82)="x",IF(AND(SUMIF(Capacity_Resource,$D177,'Critical resources (hide)'!BR$6:BR$105)+SUMIF(Capacity_Resource,$E177,'Critical resources (hide)'!BR$6:BR$105)+SUMIF(Capacity_Resource,$F177,'Critical resources (hide)'!BR$6:BR$105)&gt;0,$E$1=2),0,1),0)</f>
        <v>1</v>
      </c>
      <c r="BF177" s="67">
        <f ca="1">IF(LOWER(Capacity!$V82)="x",IF(AND(SUMIF(Capacity_Resource,$D177,'Critical resources (hide)'!BS$6:BS$105)+SUMIF(Capacity_Resource,$E177,'Critical resources (hide)'!BS$6:BS$105)+SUMIF(Capacity_Resource,$F177,'Critical resources (hide)'!BS$6:BS$105)&gt;0,$E$1=2),0,1),0)</f>
        <v>1</v>
      </c>
      <c r="BG177" s="67">
        <f ca="1">IF(LOWER(Capacity!$V82)="x",IF(AND(SUMIF(Capacity_Resource,$D177,'Critical resources (hide)'!BT$6:BT$105)+SUMIF(Capacity_Resource,$E177,'Critical resources (hide)'!BT$6:BT$105)+SUMIF(Capacity_Resource,$F177,'Critical resources (hide)'!BT$6:BT$105)&gt;0,$E$1=2),0,1),0)</f>
        <v>1</v>
      </c>
      <c r="BH177" s="67">
        <f>IF(ROW(A66)&lt;=Capacity!$M$16,IF('Capacity summary'!$C$14="No",SUM(H177:BG177),'Capacity summary'!$E89),0)</f>
        <v>0</v>
      </c>
      <c r="BI177" s="67" t="str">
        <f>IF(BH177&gt;0,IF(BH177&lt;Capacity!Q82,Capacity!R82,Capacity!T82/'Capacity calculation (hide)'!BH177),"")</f>
        <v/>
      </c>
      <c r="BJ177" s="5"/>
      <c r="BK177" s="5">
        <f>IF($BI177&lt;&gt;"",IF('Capacity summary'!$C$14="Yes",IF(COUNTBLANK('Capacity summary'!$H89:$BG89)&lt;52,IF('Capacity summary'!H89&lt;&gt;"",IF(LOWER('Capacity summary'!H89)="x",$BI177*H177,VALUE('Capacity summary'!H89)),0),H177*$BI177),H177*$BI177),0)</f>
        <v>0</v>
      </c>
      <c r="BL177" s="5">
        <f>IF($BI177&lt;&gt;"",IF('Capacity summary'!$C$14="Yes",IF(COUNTBLANK('Capacity summary'!$H89:$BG89)&lt;52,IF('Capacity summary'!I89&lt;&gt;"",IF(LOWER('Capacity summary'!I89)="x",$BI177*I177,VALUE('Capacity summary'!I89)),0),I177*$BI177),I177*$BI177),0)</f>
        <v>0</v>
      </c>
      <c r="BM177" s="5">
        <f>IF($BI177&lt;&gt;"",IF('Capacity summary'!$C$14="Yes",IF(COUNTBLANK('Capacity summary'!$H89:$BG89)&lt;52,IF('Capacity summary'!J89&lt;&gt;"",IF(LOWER('Capacity summary'!J89)="x",$BI177*J177,VALUE('Capacity summary'!J89)),0),J177*$BI177),J177*$BI177),0)</f>
        <v>0</v>
      </c>
      <c r="BN177" s="5">
        <f>IF($BI177&lt;&gt;"",IF('Capacity summary'!$C$14="Yes",IF(COUNTBLANK('Capacity summary'!$H89:$BG89)&lt;52,IF('Capacity summary'!K89&lt;&gt;"",IF(LOWER('Capacity summary'!K89)="x",$BI177*K177,VALUE('Capacity summary'!K89)),0),K177*$BI177),K177*$BI177),0)</f>
        <v>0</v>
      </c>
      <c r="BO177" s="5">
        <f>IF($BI177&lt;&gt;"",IF('Capacity summary'!$C$14="Yes",IF(COUNTBLANK('Capacity summary'!$H89:$BG89)&lt;52,IF('Capacity summary'!L89&lt;&gt;"",IF(LOWER('Capacity summary'!L89)="x",$BI177*L177,VALUE('Capacity summary'!L89)),0),L177*$BI177),L177*$BI177),0)</f>
        <v>0</v>
      </c>
      <c r="BP177" s="5">
        <f>IF($BI177&lt;&gt;"",IF('Capacity summary'!$C$14="Yes",IF(COUNTBLANK('Capacity summary'!$H89:$BG89)&lt;52,IF('Capacity summary'!M89&lt;&gt;"",IF(LOWER('Capacity summary'!M89)="x",$BI177*M177,VALUE('Capacity summary'!M89)),0),M177*$BI177),M177*$BI177),0)</f>
        <v>0</v>
      </c>
      <c r="BQ177" s="5">
        <f>IF($BI177&lt;&gt;"",IF('Capacity summary'!$C$14="Yes",IF(COUNTBLANK('Capacity summary'!$H89:$BG89)&lt;52,IF('Capacity summary'!N89&lt;&gt;"",IF(LOWER('Capacity summary'!N89)="x",$BI177*N177,VALUE('Capacity summary'!N89)),0),N177*$BI177),N177*$BI177),0)</f>
        <v>0</v>
      </c>
      <c r="BR177" s="5">
        <f>IF($BI177&lt;&gt;"",IF('Capacity summary'!$C$14="Yes",IF(COUNTBLANK('Capacity summary'!$H89:$BG89)&lt;52,IF('Capacity summary'!O89&lt;&gt;"",IF(LOWER('Capacity summary'!O89)="x",$BI177*O177,VALUE('Capacity summary'!O89)),0),O177*$BI177),O177*$BI177),0)</f>
        <v>0</v>
      </c>
      <c r="BS177" s="5">
        <f>IF($BI177&lt;&gt;"",IF('Capacity summary'!$C$14="Yes",IF(COUNTBLANK('Capacity summary'!$H89:$BG89)&lt;52,IF('Capacity summary'!P89&lt;&gt;"",IF(LOWER('Capacity summary'!P89)="x",$BI177*P177,VALUE('Capacity summary'!P89)),0),P177*$BI177),P177*$BI177),0)</f>
        <v>0</v>
      </c>
      <c r="BT177" s="5">
        <f>IF($BI177&lt;&gt;"",IF('Capacity summary'!$C$14="Yes",IF(COUNTBLANK('Capacity summary'!$H89:$BG89)&lt;52,IF('Capacity summary'!Q89&lt;&gt;"",IF(LOWER('Capacity summary'!Q89)="x",$BI177*Q177,VALUE('Capacity summary'!Q89)),0),Q177*$BI177),Q177*$BI177),0)</f>
        <v>0</v>
      </c>
      <c r="BU177" s="5">
        <f>IF($BI177&lt;&gt;"",IF('Capacity summary'!$C$14="Yes",IF(COUNTBLANK('Capacity summary'!$H89:$BG89)&lt;52,IF('Capacity summary'!R89&lt;&gt;"",IF(LOWER('Capacity summary'!R89)="x",$BI177*R177,VALUE('Capacity summary'!R89)),0),R177*$BI177),R177*$BI177),0)</f>
        <v>0</v>
      </c>
      <c r="BV177" s="5">
        <f>IF($BI177&lt;&gt;"",IF('Capacity summary'!$C$14="Yes",IF(COUNTBLANK('Capacity summary'!$H89:$BG89)&lt;52,IF('Capacity summary'!S89&lt;&gt;"",IF(LOWER('Capacity summary'!S89)="x",$BI177*S177,VALUE('Capacity summary'!S89)),0),S177*$BI177),S177*$BI177),0)</f>
        <v>0</v>
      </c>
      <c r="BW177" s="5">
        <f>IF($BI177&lt;&gt;"",IF('Capacity summary'!$C$14="Yes",IF(COUNTBLANK('Capacity summary'!$H89:$BG89)&lt;52,IF('Capacity summary'!T89&lt;&gt;"",IF(LOWER('Capacity summary'!T89)="x",$BI177*T177,VALUE('Capacity summary'!T89)),0),T177*$BI177),T177*$BI177),0)</f>
        <v>0</v>
      </c>
      <c r="BX177" s="5">
        <f>IF($BI177&lt;&gt;"",IF('Capacity summary'!$C$14="Yes",IF(COUNTBLANK('Capacity summary'!$H89:$BG89)&lt;52,IF('Capacity summary'!U89&lt;&gt;"",IF(LOWER('Capacity summary'!U89)="x",$BI177*U177,VALUE('Capacity summary'!U89)),0),U177*$BI177),U177*$BI177),0)</f>
        <v>0</v>
      </c>
      <c r="BY177" s="5">
        <f>IF($BI177&lt;&gt;"",IF('Capacity summary'!$C$14="Yes",IF(COUNTBLANK('Capacity summary'!$H89:$BG89)&lt;52,IF('Capacity summary'!V89&lt;&gt;"",IF(LOWER('Capacity summary'!V89)="x",$BI177*V177,VALUE('Capacity summary'!V89)),0),V177*$BI177),V177*$BI177),0)</f>
        <v>0</v>
      </c>
      <c r="BZ177" s="5">
        <f>IF($BI177&lt;&gt;"",IF('Capacity summary'!$C$14="Yes",IF(COUNTBLANK('Capacity summary'!$H89:$BG89)&lt;52,IF('Capacity summary'!W89&lt;&gt;"",IF(LOWER('Capacity summary'!W89)="x",$BI177*W177,VALUE('Capacity summary'!W89)),0),W177*$BI177),W177*$BI177),0)</f>
        <v>0</v>
      </c>
      <c r="CA177" s="5">
        <f>IF($BI177&lt;&gt;"",IF('Capacity summary'!$C$14="Yes",IF(COUNTBLANK('Capacity summary'!$H89:$BG89)&lt;52,IF('Capacity summary'!X89&lt;&gt;"",IF(LOWER('Capacity summary'!X89)="x",$BI177*X177,VALUE('Capacity summary'!X89)),0),X177*$BI177),X177*$BI177),0)</f>
        <v>0</v>
      </c>
      <c r="CB177" s="5">
        <f>IF($BI177&lt;&gt;"",IF('Capacity summary'!$C$14="Yes",IF(COUNTBLANK('Capacity summary'!$H89:$BG89)&lt;52,IF('Capacity summary'!Y89&lt;&gt;"",IF(LOWER('Capacity summary'!Y89)="x",$BI177*Y177,VALUE('Capacity summary'!Y89)),0),Y177*$BI177),Y177*$BI177),0)</f>
        <v>0</v>
      </c>
      <c r="CC177" s="5">
        <f>IF($BI177&lt;&gt;"",IF('Capacity summary'!$C$14="Yes",IF(COUNTBLANK('Capacity summary'!$H89:$BG89)&lt;52,IF('Capacity summary'!Z89&lt;&gt;"",IF(LOWER('Capacity summary'!Z89)="x",$BI177*Z177,VALUE('Capacity summary'!Z89)),0),Z177*$BI177),Z177*$BI177),0)</f>
        <v>0</v>
      </c>
      <c r="CD177" s="5">
        <f>IF($BI177&lt;&gt;"",IF('Capacity summary'!$C$14="Yes",IF(COUNTBLANK('Capacity summary'!$H89:$BG89)&lt;52,IF('Capacity summary'!AA89&lt;&gt;"",IF(LOWER('Capacity summary'!AA89)="x",$BI177*AA177,VALUE('Capacity summary'!AA89)),0),AA177*$BI177),AA177*$BI177),0)</f>
        <v>0</v>
      </c>
      <c r="CE177" s="5">
        <f>IF($BI177&lt;&gt;"",IF('Capacity summary'!$C$14="Yes",IF(COUNTBLANK('Capacity summary'!$H89:$BG89)&lt;52,IF('Capacity summary'!AB89&lt;&gt;"",IF(LOWER('Capacity summary'!AB89)="x",$BI177*AB177,VALUE('Capacity summary'!AB89)),0),AB177*$BI177),AB177*$BI177),0)</f>
        <v>0</v>
      </c>
      <c r="CF177" s="5">
        <f>IF($BI177&lt;&gt;"",IF('Capacity summary'!$C$14="Yes",IF(COUNTBLANK('Capacity summary'!$H89:$BG89)&lt;52,IF('Capacity summary'!AC89&lt;&gt;"",IF(LOWER('Capacity summary'!AC89)="x",$BI177*AC177,VALUE('Capacity summary'!AC89)),0),AC177*$BI177),AC177*$BI177),0)</f>
        <v>0</v>
      </c>
      <c r="CG177" s="5">
        <f>IF($BI177&lt;&gt;"",IF('Capacity summary'!$C$14="Yes",IF(COUNTBLANK('Capacity summary'!$H89:$BG89)&lt;52,IF('Capacity summary'!AD89&lt;&gt;"",IF(LOWER('Capacity summary'!AD89)="x",$BI177*AD177,VALUE('Capacity summary'!AD89)),0),AD177*$BI177),AD177*$BI177),0)</f>
        <v>0</v>
      </c>
      <c r="CH177" s="5">
        <f>IF($BI177&lt;&gt;"",IF('Capacity summary'!$C$14="Yes",IF(COUNTBLANK('Capacity summary'!$H89:$BG89)&lt;52,IF('Capacity summary'!AE89&lt;&gt;"",IF(LOWER('Capacity summary'!AE89)="x",$BI177*AE177,VALUE('Capacity summary'!AE89)),0),AE177*$BI177),AE177*$BI177),0)</f>
        <v>0</v>
      </c>
      <c r="CI177" s="5">
        <f>IF($BI177&lt;&gt;"",IF('Capacity summary'!$C$14="Yes",IF(COUNTBLANK('Capacity summary'!$H89:$BG89)&lt;52,IF('Capacity summary'!AF89&lt;&gt;"",IF(LOWER('Capacity summary'!AF89)="x",$BI177*AF177,VALUE('Capacity summary'!AF89)),0),AF177*$BI177),AF177*$BI177),0)</f>
        <v>0</v>
      </c>
      <c r="CJ177" s="5">
        <f>IF($BI177&lt;&gt;"",IF('Capacity summary'!$C$14="Yes",IF(COUNTBLANK('Capacity summary'!$H89:$BG89)&lt;52,IF('Capacity summary'!AG89&lt;&gt;"",IF(LOWER('Capacity summary'!AG89)="x",$BI177*AG177,VALUE('Capacity summary'!AG89)),0),AG177*$BI177),AG177*$BI177),0)</f>
        <v>0</v>
      </c>
      <c r="CK177" s="5">
        <f>IF($BI177&lt;&gt;"",IF('Capacity summary'!$C$14="Yes",IF(COUNTBLANK('Capacity summary'!$H89:$BG89)&lt;52,IF('Capacity summary'!AH89&lt;&gt;"",IF(LOWER('Capacity summary'!AH89)="x",$BI177*AH177,VALUE('Capacity summary'!AH89)),0),AH177*$BI177),AH177*$BI177),0)</f>
        <v>0</v>
      </c>
      <c r="CL177" s="5">
        <f>IF($BI177&lt;&gt;"",IF('Capacity summary'!$C$14="Yes",IF(COUNTBLANK('Capacity summary'!$H89:$BG89)&lt;52,IF('Capacity summary'!AI89&lt;&gt;"",IF(LOWER('Capacity summary'!AI89)="x",$BI177*AI177,VALUE('Capacity summary'!AI89)),0),AI177*$BI177),AI177*$BI177),0)</f>
        <v>0</v>
      </c>
      <c r="CM177" s="5">
        <f>IF($BI177&lt;&gt;"",IF('Capacity summary'!$C$14="Yes",IF(COUNTBLANK('Capacity summary'!$H89:$BG89)&lt;52,IF('Capacity summary'!AJ89&lt;&gt;"",IF(LOWER('Capacity summary'!AJ89)="x",$BI177*AJ177,VALUE('Capacity summary'!AJ89)),0),AJ177*$BI177),AJ177*$BI177),0)</f>
        <v>0</v>
      </c>
      <c r="CN177" s="5">
        <f>IF($BI177&lt;&gt;"",IF('Capacity summary'!$C$14="Yes",IF(COUNTBLANK('Capacity summary'!$H89:$BG89)&lt;52,IF('Capacity summary'!AK89&lt;&gt;"",IF(LOWER('Capacity summary'!AK89)="x",$BI177*AK177,VALUE('Capacity summary'!AK89)),0),AK177*$BI177),AK177*$BI177),0)</f>
        <v>0</v>
      </c>
      <c r="CO177" s="5">
        <f>IF($BI177&lt;&gt;"",IF('Capacity summary'!$C$14="Yes",IF(COUNTBLANK('Capacity summary'!$H89:$BG89)&lt;52,IF('Capacity summary'!AL89&lt;&gt;"",IF(LOWER('Capacity summary'!AL89)="x",$BI177*AL177,VALUE('Capacity summary'!AL89)),0),AL177*$BI177),AL177*$BI177),0)</f>
        <v>0</v>
      </c>
      <c r="CP177" s="5">
        <f>IF($BI177&lt;&gt;"",IF('Capacity summary'!$C$14="Yes",IF(COUNTBLANK('Capacity summary'!$H89:$BG89)&lt;52,IF('Capacity summary'!AM89&lt;&gt;"",IF(LOWER('Capacity summary'!AM89)="x",$BI177*AM177,VALUE('Capacity summary'!AM89)),0),AM177*$BI177),AM177*$BI177),0)</f>
        <v>0</v>
      </c>
      <c r="CQ177" s="5">
        <f>IF($BI177&lt;&gt;"",IF('Capacity summary'!$C$14="Yes",IF(COUNTBLANK('Capacity summary'!$H89:$BG89)&lt;52,IF('Capacity summary'!AN89&lt;&gt;"",IF(LOWER('Capacity summary'!AN89)="x",$BI177*AN177,VALUE('Capacity summary'!AN89)),0),AN177*$BI177),AN177*$BI177),0)</f>
        <v>0</v>
      </c>
      <c r="CR177" s="5">
        <f>IF($BI177&lt;&gt;"",IF('Capacity summary'!$C$14="Yes",IF(COUNTBLANK('Capacity summary'!$H89:$BG89)&lt;52,IF('Capacity summary'!AO89&lt;&gt;"",IF(LOWER('Capacity summary'!AO89)="x",$BI177*AO177,VALUE('Capacity summary'!AO89)),0),AO177*$BI177),AO177*$BI177),0)</f>
        <v>0</v>
      </c>
      <c r="CS177" s="5">
        <f>IF($BI177&lt;&gt;"",IF('Capacity summary'!$C$14="Yes",IF(COUNTBLANK('Capacity summary'!$H89:$BG89)&lt;52,IF('Capacity summary'!AP89&lt;&gt;"",IF(LOWER('Capacity summary'!AP89)="x",$BI177*AP177,VALUE('Capacity summary'!AP89)),0),AP177*$BI177),AP177*$BI177),0)</f>
        <v>0</v>
      </c>
      <c r="CT177" s="5">
        <f>IF($BI177&lt;&gt;"",IF('Capacity summary'!$C$14="Yes",IF(COUNTBLANK('Capacity summary'!$H89:$BG89)&lt;52,IF('Capacity summary'!AQ89&lt;&gt;"",IF(LOWER('Capacity summary'!AQ89)="x",$BI177*AQ177,VALUE('Capacity summary'!AQ89)),0),AQ177*$BI177),AQ177*$BI177),0)</f>
        <v>0</v>
      </c>
      <c r="CU177" s="5">
        <f>IF($BI177&lt;&gt;"",IF('Capacity summary'!$C$14="Yes",IF(COUNTBLANK('Capacity summary'!$H89:$BG89)&lt;52,IF('Capacity summary'!AR89&lt;&gt;"",IF(LOWER('Capacity summary'!AR89)="x",$BI177*AR177,VALUE('Capacity summary'!AR89)),0),AR177*$BI177),AR177*$BI177),0)</f>
        <v>0</v>
      </c>
      <c r="CV177" s="5">
        <f>IF($BI177&lt;&gt;"",IF('Capacity summary'!$C$14="Yes",IF(COUNTBLANK('Capacity summary'!$H89:$BG89)&lt;52,IF('Capacity summary'!AS89&lt;&gt;"",IF(LOWER('Capacity summary'!AS89)="x",$BI177*AS177,VALUE('Capacity summary'!AS89)),0),AS177*$BI177),AS177*$BI177),0)</f>
        <v>0</v>
      </c>
      <c r="CW177" s="5">
        <f>IF($BI177&lt;&gt;"",IF('Capacity summary'!$C$14="Yes",IF(COUNTBLANK('Capacity summary'!$H89:$BG89)&lt;52,IF('Capacity summary'!AT89&lt;&gt;"",IF(LOWER('Capacity summary'!AT89)="x",$BI177*AT177,VALUE('Capacity summary'!AT89)),0),AT177*$BI177),AT177*$BI177),0)</f>
        <v>0</v>
      </c>
      <c r="CX177" s="5">
        <f>IF($BI177&lt;&gt;"",IF('Capacity summary'!$C$14="Yes",IF(COUNTBLANK('Capacity summary'!$H89:$BG89)&lt;52,IF('Capacity summary'!AU89&lt;&gt;"",IF(LOWER('Capacity summary'!AU89)="x",$BI177*AU177,VALUE('Capacity summary'!AU89)),0),AU177*$BI177),AU177*$BI177),0)</f>
        <v>0</v>
      </c>
      <c r="CY177" s="5">
        <f>IF($BI177&lt;&gt;"",IF('Capacity summary'!$C$14="Yes",IF(COUNTBLANK('Capacity summary'!$H89:$BG89)&lt;52,IF('Capacity summary'!AV89&lt;&gt;"",IF(LOWER('Capacity summary'!AV89)="x",$BI177*AV177,VALUE('Capacity summary'!AV89)),0),AV177*$BI177),AV177*$BI177),0)</f>
        <v>0</v>
      </c>
      <c r="CZ177" s="5">
        <f>IF($BI177&lt;&gt;"",IF('Capacity summary'!$C$14="Yes",IF(COUNTBLANK('Capacity summary'!$H89:$BG89)&lt;52,IF('Capacity summary'!AW89&lt;&gt;"",IF(LOWER('Capacity summary'!AW89)="x",$BI177*AW177,VALUE('Capacity summary'!AW89)),0),AW177*$BI177),AW177*$BI177),0)</f>
        <v>0</v>
      </c>
      <c r="DA177" s="5">
        <f>IF($BI177&lt;&gt;"",IF('Capacity summary'!$C$14="Yes",IF(COUNTBLANK('Capacity summary'!$H89:$BG89)&lt;52,IF('Capacity summary'!AX89&lt;&gt;"",IF(LOWER('Capacity summary'!AX89)="x",$BI177*AX177,VALUE('Capacity summary'!AX89)),0),AX177*$BI177),AX177*$BI177),0)</f>
        <v>0</v>
      </c>
      <c r="DB177" s="5">
        <f>IF($BI177&lt;&gt;"",IF('Capacity summary'!$C$14="Yes",IF(COUNTBLANK('Capacity summary'!$H89:$BG89)&lt;52,IF('Capacity summary'!AY89&lt;&gt;"",IF(LOWER('Capacity summary'!AY89)="x",$BI177*AY177,VALUE('Capacity summary'!AY89)),0),AY177*$BI177),AY177*$BI177),0)</f>
        <v>0</v>
      </c>
      <c r="DC177" s="5">
        <f>IF($BI177&lt;&gt;"",IF('Capacity summary'!$C$14="Yes",IF(COUNTBLANK('Capacity summary'!$H89:$BG89)&lt;52,IF('Capacity summary'!AZ89&lt;&gt;"",IF(LOWER('Capacity summary'!AZ89)="x",$BI177*AZ177,VALUE('Capacity summary'!AZ89)),0),AZ177*$BI177),AZ177*$BI177),0)</f>
        <v>0</v>
      </c>
      <c r="DD177" s="5">
        <f>IF($BI177&lt;&gt;"",IF('Capacity summary'!$C$14="Yes",IF(COUNTBLANK('Capacity summary'!$H89:$BG89)&lt;52,IF('Capacity summary'!BA89&lt;&gt;"",IF(LOWER('Capacity summary'!BA89)="x",$BI177*BA177,VALUE('Capacity summary'!BA89)),0),BA177*$BI177),BA177*$BI177),0)</f>
        <v>0</v>
      </c>
      <c r="DE177" s="5">
        <f>IF($BI177&lt;&gt;"",IF('Capacity summary'!$C$14="Yes",IF(COUNTBLANK('Capacity summary'!$H89:$BG89)&lt;52,IF('Capacity summary'!BB89&lt;&gt;"",IF(LOWER('Capacity summary'!BB89)="x",$BI177*BB177,VALUE('Capacity summary'!BB89)),0),BB177*$BI177),BB177*$BI177),0)</f>
        <v>0</v>
      </c>
      <c r="DF177" s="5">
        <f>IF($BI177&lt;&gt;"",IF('Capacity summary'!$C$14="Yes",IF(COUNTBLANK('Capacity summary'!$H89:$BG89)&lt;52,IF('Capacity summary'!BC89&lt;&gt;"",IF(LOWER('Capacity summary'!BC89)="x",$BI177*BC177,VALUE('Capacity summary'!BC89)),0),BC177*$BI177),BC177*$BI177),0)</f>
        <v>0</v>
      </c>
      <c r="DG177" s="5">
        <f>IF($BI177&lt;&gt;"",IF('Capacity summary'!$C$14="Yes",IF(COUNTBLANK('Capacity summary'!$H89:$BG89)&lt;52,IF('Capacity summary'!BD89&lt;&gt;"",IF(LOWER('Capacity summary'!BD89)="x",$BI177*BD177,VALUE('Capacity summary'!BD89)),0),BD177*$BI177),BD177*$BI177),0)</f>
        <v>0</v>
      </c>
      <c r="DH177" s="5">
        <f>IF($BI177&lt;&gt;"",IF('Capacity summary'!$C$14="Yes",IF(COUNTBLANK('Capacity summary'!$H89:$BG89)&lt;52,IF('Capacity summary'!BE89&lt;&gt;"",IF(LOWER('Capacity summary'!BE89)="x",$BI177*BE177,VALUE('Capacity summary'!BE89)),0),BE177*$BI177),BE177*$BI177),0)</f>
        <v>0</v>
      </c>
      <c r="DI177" s="5">
        <f>IF($BI177&lt;&gt;"",IF('Capacity summary'!$C$14="Yes",IF(COUNTBLANK('Capacity summary'!$H89:$BG89)&lt;52,IF('Capacity summary'!BF89&lt;&gt;"",IF(LOWER('Capacity summary'!BF89)="x",$BI177*BF177,VALUE('Capacity summary'!BF89)),0),BF177*$BI177),BF177*$BI177),0)</f>
        <v>0</v>
      </c>
      <c r="DJ177" s="5">
        <f>IF($BI177&lt;&gt;"",IF('Capacity summary'!$C$14="Yes",IF(COUNTBLANK('Capacity summary'!$H89:$BG89)&lt;52,IF('Capacity summary'!BG89&lt;&gt;"",IF(LOWER('Capacity summary'!BG89)="x",$BI177*BG177,VALUE('Capacity summary'!BG89)),0),BG177*$BI177),BG177*$BI177),0)</f>
        <v>0</v>
      </c>
      <c r="DK177" s="391">
        <f t="shared" si="10"/>
        <v>0</v>
      </c>
      <c r="DL177" s="5">
        <f t="shared" si="11"/>
        <v>0</v>
      </c>
    </row>
    <row r="178" spans="3:116" x14ac:dyDescent="0.2">
      <c r="C178" s="67" t="str">
        <f>ROW(A67)&amp;". "&amp;Capacity!N83</f>
        <v xml:space="preserve">67. </v>
      </c>
      <c r="D178" s="67">
        <f>'Capacity setup'!C184</f>
        <v>0</v>
      </c>
      <c r="E178" s="67">
        <f>'Capacity setup'!D184</f>
        <v>0</v>
      </c>
      <c r="F178" s="67">
        <f>'Capacity setup'!E184</f>
        <v>0</v>
      </c>
      <c r="H178" s="67">
        <f ca="1">IF(LOWER(Capacity!$V83)="x",IF(AND(SUMIF(Capacity_Resource,$D178,'Critical resources (hide)'!U$6:U$105)+SUMIF(Capacity_Resource,$E178,'Critical resources (hide)'!U$6:U$105)+SUMIF(Capacity_Resource,$F178,'Critical resources (hide)'!U$6:U$105)&gt;0,$E$1=2),0,1),0)</f>
        <v>1</v>
      </c>
      <c r="I178" s="67">
        <f ca="1">IF(LOWER(Capacity!$V83)="x",IF(AND(SUMIF(Capacity_Resource,$D178,'Critical resources (hide)'!V$6:V$105)+SUMIF(Capacity_Resource,$E178,'Critical resources (hide)'!V$6:V$105)+SUMIF(Capacity_Resource,$F178,'Critical resources (hide)'!V$6:V$105)&gt;0,$E$1=2),0,1),0)</f>
        <v>1</v>
      </c>
      <c r="J178" s="67">
        <f ca="1">IF(LOWER(Capacity!$V83)="x",IF(AND(SUMIF(Capacity_Resource,$D178,'Critical resources (hide)'!W$6:W$105)+SUMIF(Capacity_Resource,$E178,'Critical resources (hide)'!W$6:W$105)+SUMIF(Capacity_Resource,$F178,'Critical resources (hide)'!W$6:W$105)&gt;0,$E$1=2),0,1),0)</f>
        <v>1</v>
      </c>
      <c r="K178" s="67">
        <f ca="1">IF(LOWER(Capacity!$V83)="x",IF(AND(SUMIF(Capacity_Resource,$D178,'Critical resources (hide)'!X$6:X$105)+SUMIF(Capacity_Resource,$E178,'Critical resources (hide)'!X$6:X$105)+SUMIF(Capacity_Resource,$F178,'Critical resources (hide)'!X$6:X$105)&gt;0,$E$1=2),0,1),0)</f>
        <v>1</v>
      </c>
      <c r="L178" s="67">
        <f ca="1">IF(LOWER(Capacity!$V83)="x",IF(AND(SUMIF(Capacity_Resource,$D178,'Critical resources (hide)'!Y$6:Y$105)+SUMIF(Capacity_Resource,$E178,'Critical resources (hide)'!Y$6:Y$105)+SUMIF(Capacity_Resource,$F178,'Critical resources (hide)'!Y$6:Y$105)&gt;0,$E$1=2),0,1),0)</f>
        <v>1</v>
      </c>
      <c r="M178" s="67">
        <f ca="1">IF(LOWER(Capacity!$V83)="x",IF(AND(SUMIF(Capacity_Resource,$D178,'Critical resources (hide)'!Z$6:Z$105)+SUMIF(Capacity_Resource,$E178,'Critical resources (hide)'!Z$6:Z$105)+SUMIF(Capacity_Resource,$F178,'Critical resources (hide)'!Z$6:Z$105)&gt;0,$E$1=2),0,1),0)</f>
        <v>1</v>
      </c>
      <c r="N178" s="67">
        <f ca="1">IF(LOWER(Capacity!$V83)="x",IF(AND(SUMIF(Capacity_Resource,$D178,'Critical resources (hide)'!AA$6:AA$105)+SUMIF(Capacity_Resource,$E178,'Critical resources (hide)'!AA$6:AA$105)+SUMIF(Capacity_Resource,$F178,'Critical resources (hide)'!AA$6:AA$105)&gt;0,$E$1=2),0,1),0)</f>
        <v>1</v>
      </c>
      <c r="O178" s="67">
        <f ca="1">IF(LOWER(Capacity!$V83)="x",IF(AND(SUMIF(Capacity_Resource,$D178,'Critical resources (hide)'!AB$6:AB$105)+SUMIF(Capacity_Resource,$E178,'Critical resources (hide)'!AB$6:AB$105)+SUMIF(Capacity_Resource,$F178,'Critical resources (hide)'!AB$6:AB$105)&gt;0,$E$1=2),0,1),0)</f>
        <v>1</v>
      </c>
      <c r="P178" s="67">
        <f ca="1">IF(LOWER(Capacity!$V83)="x",IF(AND(SUMIF(Capacity_Resource,$D178,'Critical resources (hide)'!AC$6:AC$105)+SUMIF(Capacity_Resource,$E178,'Critical resources (hide)'!AC$6:AC$105)+SUMIF(Capacity_Resource,$F178,'Critical resources (hide)'!AC$6:AC$105)&gt;0,$E$1=2),0,1),0)</f>
        <v>1</v>
      </c>
      <c r="Q178" s="67">
        <f ca="1">IF(LOWER(Capacity!$V83)="x",IF(AND(SUMIF(Capacity_Resource,$D178,'Critical resources (hide)'!AD$6:AD$105)+SUMIF(Capacity_Resource,$E178,'Critical resources (hide)'!AD$6:AD$105)+SUMIF(Capacity_Resource,$F178,'Critical resources (hide)'!AD$6:AD$105)&gt;0,$E$1=2),0,1),0)</f>
        <v>1</v>
      </c>
      <c r="R178" s="67">
        <f ca="1">IF(LOWER(Capacity!$V83)="x",IF(AND(SUMIF(Capacity_Resource,$D178,'Critical resources (hide)'!AE$6:AE$105)+SUMIF(Capacity_Resource,$E178,'Critical resources (hide)'!AE$6:AE$105)+SUMIF(Capacity_Resource,$F178,'Critical resources (hide)'!AE$6:AE$105)&gt;0,$E$1=2),0,1),0)</f>
        <v>1</v>
      </c>
      <c r="S178" s="67">
        <f ca="1">IF(LOWER(Capacity!$V83)="x",IF(AND(SUMIF(Capacity_Resource,$D178,'Critical resources (hide)'!AF$6:AF$105)+SUMIF(Capacity_Resource,$E178,'Critical resources (hide)'!AF$6:AF$105)+SUMIF(Capacity_Resource,$F178,'Critical resources (hide)'!AF$6:AF$105)&gt;0,$E$1=2),0,1),0)</f>
        <v>1</v>
      </c>
      <c r="T178" s="67">
        <f ca="1">IF(LOWER(Capacity!$V83)="x",IF(AND(SUMIF(Capacity_Resource,$D178,'Critical resources (hide)'!AG$6:AG$105)+SUMIF(Capacity_Resource,$E178,'Critical resources (hide)'!AG$6:AG$105)+SUMIF(Capacity_Resource,$F178,'Critical resources (hide)'!AG$6:AG$105)&gt;0,$E$1=2),0,1),0)</f>
        <v>1</v>
      </c>
      <c r="U178" s="67">
        <f ca="1">IF(LOWER(Capacity!$V83)="x",IF(AND(SUMIF(Capacity_Resource,$D178,'Critical resources (hide)'!AH$6:AH$105)+SUMIF(Capacity_Resource,$E178,'Critical resources (hide)'!AH$6:AH$105)+SUMIF(Capacity_Resource,$F178,'Critical resources (hide)'!AH$6:AH$105)&gt;0,$E$1=2),0,1),0)</f>
        <v>1</v>
      </c>
      <c r="V178" s="67">
        <f ca="1">IF(LOWER(Capacity!$V83)="x",IF(AND(SUMIF(Capacity_Resource,$D178,'Critical resources (hide)'!AI$6:AI$105)+SUMIF(Capacity_Resource,$E178,'Critical resources (hide)'!AI$6:AI$105)+SUMIF(Capacity_Resource,$F178,'Critical resources (hide)'!AI$6:AI$105)&gt;0,$E$1=2),0,1),0)</f>
        <v>1</v>
      </c>
      <c r="W178" s="67">
        <f ca="1">IF(LOWER(Capacity!$V83)="x",IF(AND(SUMIF(Capacity_Resource,$D178,'Critical resources (hide)'!AJ$6:AJ$105)+SUMIF(Capacity_Resource,$E178,'Critical resources (hide)'!AJ$6:AJ$105)+SUMIF(Capacity_Resource,$F178,'Critical resources (hide)'!AJ$6:AJ$105)&gt;0,$E$1=2),0,1),0)</f>
        <v>1</v>
      </c>
      <c r="X178" s="67">
        <f ca="1">IF(LOWER(Capacity!$V83)="x",IF(AND(SUMIF(Capacity_Resource,$D178,'Critical resources (hide)'!AK$6:AK$105)+SUMIF(Capacity_Resource,$E178,'Critical resources (hide)'!AK$6:AK$105)+SUMIF(Capacity_Resource,$F178,'Critical resources (hide)'!AK$6:AK$105)&gt;0,$E$1=2),0,1),0)</f>
        <v>1</v>
      </c>
      <c r="Y178" s="67">
        <f ca="1">IF(LOWER(Capacity!$V83)="x",IF(AND(SUMIF(Capacity_Resource,$D178,'Critical resources (hide)'!AL$6:AL$105)+SUMIF(Capacity_Resource,$E178,'Critical resources (hide)'!AL$6:AL$105)+SUMIF(Capacity_Resource,$F178,'Critical resources (hide)'!AL$6:AL$105)&gt;0,$E$1=2),0,1),0)</f>
        <v>1</v>
      </c>
      <c r="Z178" s="67">
        <f ca="1">IF(LOWER(Capacity!$V83)="x",IF(AND(SUMIF(Capacity_Resource,$D178,'Critical resources (hide)'!AM$6:AM$105)+SUMIF(Capacity_Resource,$E178,'Critical resources (hide)'!AM$6:AM$105)+SUMIF(Capacity_Resource,$F178,'Critical resources (hide)'!AM$6:AM$105)&gt;0,$E$1=2),0,1),0)</f>
        <v>1</v>
      </c>
      <c r="AA178" s="67">
        <f ca="1">IF(LOWER(Capacity!$V83)="x",IF(AND(SUMIF(Capacity_Resource,$D178,'Critical resources (hide)'!AN$6:AN$105)+SUMIF(Capacity_Resource,$E178,'Critical resources (hide)'!AN$6:AN$105)+SUMIF(Capacity_Resource,$F178,'Critical resources (hide)'!AN$6:AN$105)&gt;0,$E$1=2),0,1),0)</f>
        <v>1</v>
      </c>
      <c r="AB178" s="67">
        <f ca="1">IF(LOWER(Capacity!$V83)="x",IF(AND(SUMIF(Capacity_Resource,$D178,'Critical resources (hide)'!AO$6:AO$105)+SUMIF(Capacity_Resource,$E178,'Critical resources (hide)'!AO$6:AO$105)+SUMIF(Capacity_Resource,$F178,'Critical resources (hide)'!AO$6:AO$105)&gt;0,$E$1=2),0,1),0)</f>
        <v>1</v>
      </c>
      <c r="AC178" s="67">
        <f ca="1">IF(LOWER(Capacity!$V83)="x",IF(AND(SUMIF(Capacity_Resource,$D178,'Critical resources (hide)'!AP$6:AP$105)+SUMIF(Capacity_Resource,$E178,'Critical resources (hide)'!AP$6:AP$105)+SUMIF(Capacity_Resource,$F178,'Critical resources (hide)'!AP$6:AP$105)&gt;0,$E$1=2),0,1),0)</f>
        <v>1</v>
      </c>
      <c r="AD178" s="67">
        <f ca="1">IF(LOWER(Capacity!$V83)="x",IF(AND(SUMIF(Capacity_Resource,$D178,'Critical resources (hide)'!AQ$6:AQ$105)+SUMIF(Capacity_Resource,$E178,'Critical resources (hide)'!AQ$6:AQ$105)+SUMIF(Capacity_Resource,$F178,'Critical resources (hide)'!AQ$6:AQ$105)&gt;0,$E$1=2),0,1),0)</f>
        <v>1</v>
      </c>
      <c r="AE178" s="67">
        <f ca="1">IF(LOWER(Capacity!$V83)="x",IF(AND(SUMIF(Capacity_Resource,$D178,'Critical resources (hide)'!AR$6:AR$105)+SUMIF(Capacity_Resource,$E178,'Critical resources (hide)'!AR$6:AR$105)+SUMIF(Capacity_Resource,$F178,'Critical resources (hide)'!AR$6:AR$105)&gt;0,$E$1=2),0,1),0)</f>
        <v>1</v>
      </c>
      <c r="AF178" s="67">
        <f ca="1">IF(LOWER(Capacity!$V83)="x",IF(AND(SUMIF(Capacity_Resource,$D178,'Critical resources (hide)'!AS$6:AS$105)+SUMIF(Capacity_Resource,$E178,'Critical resources (hide)'!AS$6:AS$105)+SUMIF(Capacity_Resource,$F178,'Critical resources (hide)'!AS$6:AS$105)&gt;0,$E$1=2),0,1),0)</f>
        <v>1</v>
      </c>
      <c r="AG178" s="67">
        <f ca="1">IF(LOWER(Capacity!$V83)="x",IF(AND(SUMIF(Capacity_Resource,$D178,'Critical resources (hide)'!AT$6:AT$105)+SUMIF(Capacity_Resource,$E178,'Critical resources (hide)'!AT$6:AT$105)+SUMIF(Capacity_Resource,$F178,'Critical resources (hide)'!AT$6:AT$105)&gt;0,$E$1=2),0,1),0)</f>
        <v>1</v>
      </c>
      <c r="AH178" s="67">
        <f ca="1">IF(LOWER(Capacity!$V83)="x",IF(AND(SUMIF(Capacity_Resource,$D178,'Critical resources (hide)'!AU$6:AU$105)+SUMIF(Capacity_Resource,$E178,'Critical resources (hide)'!AU$6:AU$105)+SUMIF(Capacity_Resource,$F178,'Critical resources (hide)'!AU$6:AU$105)&gt;0,$E$1=2),0,1),0)</f>
        <v>1</v>
      </c>
      <c r="AI178" s="67">
        <f ca="1">IF(LOWER(Capacity!$V83)="x",IF(AND(SUMIF(Capacity_Resource,$D178,'Critical resources (hide)'!AV$6:AV$105)+SUMIF(Capacity_Resource,$E178,'Critical resources (hide)'!AV$6:AV$105)+SUMIF(Capacity_Resource,$F178,'Critical resources (hide)'!AV$6:AV$105)&gt;0,$E$1=2),0,1),0)</f>
        <v>1</v>
      </c>
      <c r="AJ178" s="67">
        <f ca="1">IF(LOWER(Capacity!$V83)="x",IF(AND(SUMIF(Capacity_Resource,$D178,'Critical resources (hide)'!AW$6:AW$105)+SUMIF(Capacity_Resource,$E178,'Critical resources (hide)'!AW$6:AW$105)+SUMIF(Capacity_Resource,$F178,'Critical resources (hide)'!AW$6:AW$105)&gt;0,$E$1=2),0,1),0)</f>
        <v>1</v>
      </c>
      <c r="AK178" s="67">
        <f ca="1">IF(LOWER(Capacity!$V83)="x",IF(AND(SUMIF(Capacity_Resource,$D178,'Critical resources (hide)'!AX$6:AX$105)+SUMIF(Capacity_Resource,$E178,'Critical resources (hide)'!AX$6:AX$105)+SUMIF(Capacity_Resource,$F178,'Critical resources (hide)'!AX$6:AX$105)&gt;0,$E$1=2),0,1),0)</f>
        <v>1</v>
      </c>
      <c r="AL178" s="67">
        <f ca="1">IF(LOWER(Capacity!$V83)="x",IF(AND(SUMIF(Capacity_Resource,$D178,'Critical resources (hide)'!AY$6:AY$105)+SUMIF(Capacity_Resource,$E178,'Critical resources (hide)'!AY$6:AY$105)+SUMIF(Capacity_Resource,$F178,'Critical resources (hide)'!AY$6:AY$105)&gt;0,$E$1=2),0,1),0)</f>
        <v>1</v>
      </c>
      <c r="AM178" s="67">
        <f ca="1">IF(LOWER(Capacity!$V83)="x",IF(AND(SUMIF(Capacity_Resource,$D178,'Critical resources (hide)'!AZ$6:AZ$105)+SUMIF(Capacity_Resource,$E178,'Critical resources (hide)'!AZ$6:AZ$105)+SUMIF(Capacity_Resource,$F178,'Critical resources (hide)'!AZ$6:AZ$105)&gt;0,$E$1=2),0,1),0)</f>
        <v>1</v>
      </c>
      <c r="AN178" s="67">
        <f ca="1">IF(LOWER(Capacity!$V83)="x",IF(AND(SUMIF(Capacity_Resource,$D178,'Critical resources (hide)'!BA$6:BA$105)+SUMIF(Capacity_Resource,$E178,'Critical resources (hide)'!BA$6:BA$105)+SUMIF(Capacity_Resource,$F178,'Critical resources (hide)'!BA$6:BA$105)&gt;0,$E$1=2),0,1),0)</f>
        <v>1</v>
      </c>
      <c r="AO178" s="67">
        <f ca="1">IF(LOWER(Capacity!$V83)="x",IF(AND(SUMIF(Capacity_Resource,$D178,'Critical resources (hide)'!BB$6:BB$105)+SUMIF(Capacity_Resource,$E178,'Critical resources (hide)'!BB$6:BB$105)+SUMIF(Capacity_Resource,$F178,'Critical resources (hide)'!BB$6:BB$105)&gt;0,$E$1=2),0,1),0)</f>
        <v>1</v>
      </c>
      <c r="AP178" s="67">
        <f ca="1">IF(LOWER(Capacity!$V83)="x",IF(AND(SUMIF(Capacity_Resource,$D178,'Critical resources (hide)'!BC$6:BC$105)+SUMIF(Capacity_Resource,$E178,'Critical resources (hide)'!BC$6:BC$105)+SUMIF(Capacity_Resource,$F178,'Critical resources (hide)'!BC$6:BC$105)&gt;0,$E$1=2),0,1),0)</f>
        <v>1</v>
      </c>
      <c r="AQ178" s="67">
        <f ca="1">IF(LOWER(Capacity!$V83)="x",IF(AND(SUMIF(Capacity_Resource,$D178,'Critical resources (hide)'!BD$6:BD$105)+SUMIF(Capacity_Resource,$E178,'Critical resources (hide)'!BD$6:BD$105)+SUMIF(Capacity_Resource,$F178,'Critical resources (hide)'!BD$6:BD$105)&gt;0,$E$1=2),0,1),0)</f>
        <v>1</v>
      </c>
      <c r="AR178" s="67">
        <f ca="1">IF(LOWER(Capacity!$V83)="x",IF(AND(SUMIF(Capacity_Resource,$D178,'Critical resources (hide)'!BE$6:BE$105)+SUMIF(Capacity_Resource,$E178,'Critical resources (hide)'!BE$6:BE$105)+SUMIF(Capacity_Resource,$F178,'Critical resources (hide)'!BE$6:BE$105)&gt;0,$E$1=2),0,1),0)</f>
        <v>1</v>
      </c>
      <c r="AS178" s="67">
        <f ca="1">IF(LOWER(Capacity!$V83)="x",IF(AND(SUMIF(Capacity_Resource,$D178,'Critical resources (hide)'!BF$6:BF$105)+SUMIF(Capacity_Resource,$E178,'Critical resources (hide)'!BF$6:BF$105)+SUMIF(Capacity_Resource,$F178,'Critical resources (hide)'!BF$6:BF$105)&gt;0,$E$1=2),0,1),0)</f>
        <v>1</v>
      </c>
      <c r="AT178" s="67">
        <f ca="1">IF(LOWER(Capacity!$V83)="x",IF(AND(SUMIF(Capacity_Resource,$D178,'Critical resources (hide)'!BG$6:BG$105)+SUMIF(Capacity_Resource,$E178,'Critical resources (hide)'!BG$6:BG$105)+SUMIF(Capacity_Resource,$F178,'Critical resources (hide)'!BG$6:BG$105)&gt;0,$E$1=2),0,1),0)</f>
        <v>1</v>
      </c>
      <c r="AU178" s="67">
        <f ca="1">IF(LOWER(Capacity!$V83)="x",IF(AND(SUMIF(Capacity_Resource,$D178,'Critical resources (hide)'!BH$6:BH$105)+SUMIF(Capacity_Resource,$E178,'Critical resources (hide)'!BH$6:BH$105)+SUMIF(Capacity_Resource,$F178,'Critical resources (hide)'!BH$6:BH$105)&gt;0,$E$1=2),0,1),0)</f>
        <v>1</v>
      </c>
      <c r="AV178" s="67">
        <f ca="1">IF(LOWER(Capacity!$V83)="x",IF(AND(SUMIF(Capacity_Resource,$D178,'Critical resources (hide)'!BI$6:BI$105)+SUMIF(Capacity_Resource,$E178,'Critical resources (hide)'!BI$6:BI$105)+SUMIF(Capacity_Resource,$F178,'Critical resources (hide)'!BI$6:BI$105)&gt;0,$E$1=2),0,1),0)</f>
        <v>1</v>
      </c>
      <c r="AW178" s="67">
        <f ca="1">IF(LOWER(Capacity!$V83)="x",IF(AND(SUMIF(Capacity_Resource,$D178,'Critical resources (hide)'!BJ$6:BJ$105)+SUMIF(Capacity_Resource,$E178,'Critical resources (hide)'!BJ$6:BJ$105)+SUMIF(Capacity_Resource,$F178,'Critical resources (hide)'!BJ$6:BJ$105)&gt;0,$E$1=2),0,1),0)</f>
        <v>1</v>
      </c>
      <c r="AX178" s="67">
        <f ca="1">IF(LOWER(Capacity!$V83)="x",IF(AND(SUMIF(Capacity_Resource,$D178,'Critical resources (hide)'!BK$6:BK$105)+SUMIF(Capacity_Resource,$E178,'Critical resources (hide)'!BK$6:BK$105)+SUMIF(Capacity_Resource,$F178,'Critical resources (hide)'!BK$6:BK$105)&gt;0,$E$1=2),0,1),0)</f>
        <v>1</v>
      </c>
      <c r="AY178" s="67">
        <f ca="1">IF(LOWER(Capacity!$V83)="x",IF(AND(SUMIF(Capacity_Resource,$D178,'Critical resources (hide)'!BL$6:BL$105)+SUMIF(Capacity_Resource,$E178,'Critical resources (hide)'!BL$6:BL$105)+SUMIF(Capacity_Resource,$F178,'Critical resources (hide)'!BL$6:BL$105)&gt;0,$E$1=2),0,1),0)</f>
        <v>1</v>
      </c>
      <c r="AZ178" s="67">
        <f ca="1">IF(LOWER(Capacity!$V83)="x",IF(AND(SUMIF(Capacity_Resource,$D178,'Critical resources (hide)'!BM$6:BM$105)+SUMIF(Capacity_Resource,$E178,'Critical resources (hide)'!BM$6:BM$105)+SUMIF(Capacity_Resource,$F178,'Critical resources (hide)'!BM$6:BM$105)&gt;0,$E$1=2),0,1),0)</f>
        <v>1</v>
      </c>
      <c r="BA178" s="67">
        <f ca="1">IF(LOWER(Capacity!$V83)="x",IF(AND(SUMIF(Capacity_Resource,$D178,'Critical resources (hide)'!BN$6:BN$105)+SUMIF(Capacity_Resource,$E178,'Critical resources (hide)'!BN$6:BN$105)+SUMIF(Capacity_Resource,$F178,'Critical resources (hide)'!BN$6:BN$105)&gt;0,$E$1=2),0,1),0)</f>
        <v>1</v>
      </c>
      <c r="BB178" s="67">
        <f ca="1">IF(LOWER(Capacity!$V83)="x",IF(AND(SUMIF(Capacity_Resource,$D178,'Critical resources (hide)'!BO$6:BO$105)+SUMIF(Capacity_Resource,$E178,'Critical resources (hide)'!BO$6:BO$105)+SUMIF(Capacity_Resource,$F178,'Critical resources (hide)'!BO$6:BO$105)&gt;0,$E$1=2),0,1),0)</f>
        <v>1</v>
      </c>
      <c r="BC178" s="67">
        <f ca="1">IF(LOWER(Capacity!$V83)="x",IF(AND(SUMIF(Capacity_Resource,$D178,'Critical resources (hide)'!BP$6:BP$105)+SUMIF(Capacity_Resource,$E178,'Critical resources (hide)'!BP$6:BP$105)+SUMIF(Capacity_Resource,$F178,'Critical resources (hide)'!BP$6:BP$105)&gt;0,$E$1=2),0,1),0)</f>
        <v>1</v>
      </c>
      <c r="BD178" s="67">
        <f ca="1">IF(LOWER(Capacity!$V83)="x",IF(AND(SUMIF(Capacity_Resource,$D178,'Critical resources (hide)'!BQ$6:BQ$105)+SUMIF(Capacity_Resource,$E178,'Critical resources (hide)'!BQ$6:BQ$105)+SUMIF(Capacity_Resource,$F178,'Critical resources (hide)'!BQ$6:BQ$105)&gt;0,$E$1=2),0,1),0)</f>
        <v>1</v>
      </c>
      <c r="BE178" s="67">
        <f ca="1">IF(LOWER(Capacity!$V83)="x",IF(AND(SUMIF(Capacity_Resource,$D178,'Critical resources (hide)'!BR$6:BR$105)+SUMIF(Capacity_Resource,$E178,'Critical resources (hide)'!BR$6:BR$105)+SUMIF(Capacity_Resource,$F178,'Critical resources (hide)'!BR$6:BR$105)&gt;0,$E$1=2),0,1),0)</f>
        <v>1</v>
      </c>
      <c r="BF178" s="67">
        <f ca="1">IF(LOWER(Capacity!$V83)="x",IF(AND(SUMIF(Capacity_Resource,$D178,'Critical resources (hide)'!BS$6:BS$105)+SUMIF(Capacity_Resource,$E178,'Critical resources (hide)'!BS$6:BS$105)+SUMIF(Capacity_Resource,$F178,'Critical resources (hide)'!BS$6:BS$105)&gt;0,$E$1=2),0,1),0)</f>
        <v>1</v>
      </c>
      <c r="BG178" s="67">
        <f ca="1">IF(LOWER(Capacity!$V83)="x",IF(AND(SUMIF(Capacity_Resource,$D178,'Critical resources (hide)'!BT$6:BT$105)+SUMIF(Capacity_Resource,$E178,'Critical resources (hide)'!BT$6:BT$105)+SUMIF(Capacity_Resource,$F178,'Critical resources (hide)'!BT$6:BT$105)&gt;0,$E$1=2),0,1),0)</f>
        <v>1</v>
      </c>
      <c r="BH178" s="67">
        <f>IF(ROW(A67)&lt;=Capacity!$M$16,IF('Capacity summary'!$C$14="No",SUM(H178:BG178),'Capacity summary'!$E90),0)</f>
        <v>0</v>
      </c>
      <c r="BI178" s="67" t="str">
        <f>IF(BH178&gt;0,IF(BH178&lt;Capacity!Q83,Capacity!R83,Capacity!T83/'Capacity calculation (hide)'!BH178),"")</f>
        <v/>
      </c>
      <c r="BJ178" s="5"/>
      <c r="BK178" s="5">
        <f>IF($BI178&lt;&gt;"",IF('Capacity summary'!$C$14="Yes",IF(COUNTBLANK('Capacity summary'!$H90:$BG90)&lt;52,IF('Capacity summary'!H90&lt;&gt;"",IF(LOWER('Capacity summary'!H90)="x",$BI178*H178,VALUE('Capacity summary'!H90)),0),H178*$BI178),H178*$BI178),0)</f>
        <v>0</v>
      </c>
      <c r="BL178" s="5">
        <f>IF($BI178&lt;&gt;"",IF('Capacity summary'!$C$14="Yes",IF(COUNTBLANK('Capacity summary'!$H90:$BG90)&lt;52,IF('Capacity summary'!I90&lt;&gt;"",IF(LOWER('Capacity summary'!I90)="x",$BI178*I178,VALUE('Capacity summary'!I90)),0),I178*$BI178),I178*$BI178),0)</f>
        <v>0</v>
      </c>
      <c r="BM178" s="5">
        <f>IF($BI178&lt;&gt;"",IF('Capacity summary'!$C$14="Yes",IF(COUNTBLANK('Capacity summary'!$H90:$BG90)&lt;52,IF('Capacity summary'!J90&lt;&gt;"",IF(LOWER('Capacity summary'!J90)="x",$BI178*J178,VALUE('Capacity summary'!J90)),0),J178*$BI178),J178*$BI178),0)</f>
        <v>0</v>
      </c>
      <c r="BN178" s="5">
        <f>IF($BI178&lt;&gt;"",IF('Capacity summary'!$C$14="Yes",IF(COUNTBLANK('Capacity summary'!$H90:$BG90)&lt;52,IF('Capacity summary'!K90&lt;&gt;"",IF(LOWER('Capacity summary'!K90)="x",$BI178*K178,VALUE('Capacity summary'!K90)),0),K178*$BI178),K178*$BI178),0)</f>
        <v>0</v>
      </c>
      <c r="BO178" s="5">
        <f>IF($BI178&lt;&gt;"",IF('Capacity summary'!$C$14="Yes",IF(COUNTBLANK('Capacity summary'!$H90:$BG90)&lt;52,IF('Capacity summary'!L90&lt;&gt;"",IF(LOWER('Capacity summary'!L90)="x",$BI178*L178,VALUE('Capacity summary'!L90)),0),L178*$BI178),L178*$BI178),0)</f>
        <v>0</v>
      </c>
      <c r="BP178" s="5">
        <f>IF($BI178&lt;&gt;"",IF('Capacity summary'!$C$14="Yes",IF(COUNTBLANK('Capacity summary'!$H90:$BG90)&lt;52,IF('Capacity summary'!M90&lt;&gt;"",IF(LOWER('Capacity summary'!M90)="x",$BI178*M178,VALUE('Capacity summary'!M90)),0),M178*$BI178),M178*$BI178),0)</f>
        <v>0</v>
      </c>
      <c r="BQ178" s="5">
        <f>IF($BI178&lt;&gt;"",IF('Capacity summary'!$C$14="Yes",IF(COUNTBLANK('Capacity summary'!$H90:$BG90)&lt;52,IF('Capacity summary'!N90&lt;&gt;"",IF(LOWER('Capacity summary'!N90)="x",$BI178*N178,VALUE('Capacity summary'!N90)),0),N178*$BI178),N178*$BI178),0)</f>
        <v>0</v>
      </c>
      <c r="BR178" s="5">
        <f>IF($BI178&lt;&gt;"",IF('Capacity summary'!$C$14="Yes",IF(COUNTBLANK('Capacity summary'!$H90:$BG90)&lt;52,IF('Capacity summary'!O90&lt;&gt;"",IF(LOWER('Capacity summary'!O90)="x",$BI178*O178,VALUE('Capacity summary'!O90)),0),O178*$BI178),O178*$BI178),0)</f>
        <v>0</v>
      </c>
      <c r="BS178" s="5">
        <f>IF($BI178&lt;&gt;"",IF('Capacity summary'!$C$14="Yes",IF(COUNTBLANK('Capacity summary'!$H90:$BG90)&lt;52,IF('Capacity summary'!P90&lt;&gt;"",IF(LOWER('Capacity summary'!P90)="x",$BI178*P178,VALUE('Capacity summary'!P90)),0),P178*$BI178),P178*$BI178),0)</f>
        <v>0</v>
      </c>
      <c r="BT178" s="5">
        <f>IF($BI178&lt;&gt;"",IF('Capacity summary'!$C$14="Yes",IF(COUNTBLANK('Capacity summary'!$H90:$BG90)&lt;52,IF('Capacity summary'!Q90&lt;&gt;"",IF(LOWER('Capacity summary'!Q90)="x",$BI178*Q178,VALUE('Capacity summary'!Q90)),0),Q178*$BI178),Q178*$BI178),0)</f>
        <v>0</v>
      </c>
      <c r="BU178" s="5">
        <f>IF($BI178&lt;&gt;"",IF('Capacity summary'!$C$14="Yes",IF(COUNTBLANK('Capacity summary'!$H90:$BG90)&lt;52,IF('Capacity summary'!R90&lt;&gt;"",IF(LOWER('Capacity summary'!R90)="x",$BI178*R178,VALUE('Capacity summary'!R90)),0),R178*$BI178),R178*$BI178),0)</f>
        <v>0</v>
      </c>
      <c r="BV178" s="5">
        <f>IF($BI178&lt;&gt;"",IF('Capacity summary'!$C$14="Yes",IF(COUNTBLANK('Capacity summary'!$H90:$BG90)&lt;52,IF('Capacity summary'!S90&lt;&gt;"",IF(LOWER('Capacity summary'!S90)="x",$BI178*S178,VALUE('Capacity summary'!S90)),0),S178*$BI178),S178*$BI178),0)</f>
        <v>0</v>
      </c>
      <c r="BW178" s="5">
        <f>IF($BI178&lt;&gt;"",IF('Capacity summary'!$C$14="Yes",IF(COUNTBLANK('Capacity summary'!$H90:$BG90)&lt;52,IF('Capacity summary'!T90&lt;&gt;"",IF(LOWER('Capacity summary'!T90)="x",$BI178*T178,VALUE('Capacity summary'!T90)),0),T178*$BI178),T178*$BI178),0)</f>
        <v>0</v>
      </c>
      <c r="BX178" s="5">
        <f>IF($BI178&lt;&gt;"",IF('Capacity summary'!$C$14="Yes",IF(COUNTBLANK('Capacity summary'!$H90:$BG90)&lt;52,IF('Capacity summary'!U90&lt;&gt;"",IF(LOWER('Capacity summary'!U90)="x",$BI178*U178,VALUE('Capacity summary'!U90)),0),U178*$BI178),U178*$BI178),0)</f>
        <v>0</v>
      </c>
      <c r="BY178" s="5">
        <f>IF($BI178&lt;&gt;"",IF('Capacity summary'!$C$14="Yes",IF(COUNTBLANK('Capacity summary'!$H90:$BG90)&lt;52,IF('Capacity summary'!V90&lt;&gt;"",IF(LOWER('Capacity summary'!V90)="x",$BI178*V178,VALUE('Capacity summary'!V90)),0),V178*$BI178),V178*$BI178),0)</f>
        <v>0</v>
      </c>
      <c r="BZ178" s="5">
        <f>IF($BI178&lt;&gt;"",IF('Capacity summary'!$C$14="Yes",IF(COUNTBLANK('Capacity summary'!$H90:$BG90)&lt;52,IF('Capacity summary'!W90&lt;&gt;"",IF(LOWER('Capacity summary'!W90)="x",$BI178*W178,VALUE('Capacity summary'!W90)),0),W178*$BI178),W178*$BI178),0)</f>
        <v>0</v>
      </c>
      <c r="CA178" s="5">
        <f>IF($BI178&lt;&gt;"",IF('Capacity summary'!$C$14="Yes",IF(COUNTBLANK('Capacity summary'!$H90:$BG90)&lt;52,IF('Capacity summary'!X90&lt;&gt;"",IF(LOWER('Capacity summary'!X90)="x",$BI178*X178,VALUE('Capacity summary'!X90)),0),X178*$BI178),X178*$BI178),0)</f>
        <v>0</v>
      </c>
      <c r="CB178" s="5">
        <f>IF($BI178&lt;&gt;"",IF('Capacity summary'!$C$14="Yes",IF(COUNTBLANK('Capacity summary'!$H90:$BG90)&lt;52,IF('Capacity summary'!Y90&lt;&gt;"",IF(LOWER('Capacity summary'!Y90)="x",$BI178*Y178,VALUE('Capacity summary'!Y90)),0),Y178*$BI178),Y178*$BI178),0)</f>
        <v>0</v>
      </c>
      <c r="CC178" s="5">
        <f>IF($BI178&lt;&gt;"",IF('Capacity summary'!$C$14="Yes",IF(COUNTBLANK('Capacity summary'!$H90:$BG90)&lt;52,IF('Capacity summary'!Z90&lt;&gt;"",IF(LOWER('Capacity summary'!Z90)="x",$BI178*Z178,VALUE('Capacity summary'!Z90)),0),Z178*$BI178),Z178*$BI178),0)</f>
        <v>0</v>
      </c>
      <c r="CD178" s="5">
        <f>IF($BI178&lt;&gt;"",IF('Capacity summary'!$C$14="Yes",IF(COUNTBLANK('Capacity summary'!$H90:$BG90)&lt;52,IF('Capacity summary'!AA90&lt;&gt;"",IF(LOWER('Capacity summary'!AA90)="x",$BI178*AA178,VALUE('Capacity summary'!AA90)),0),AA178*$BI178),AA178*$BI178),0)</f>
        <v>0</v>
      </c>
      <c r="CE178" s="5">
        <f>IF($BI178&lt;&gt;"",IF('Capacity summary'!$C$14="Yes",IF(COUNTBLANK('Capacity summary'!$H90:$BG90)&lt;52,IF('Capacity summary'!AB90&lt;&gt;"",IF(LOWER('Capacity summary'!AB90)="x",$BI178*AB178,VALUE('Capacity summary'!AB90)),0),AB178*$BI178),AB178*$BI178),0)</f>
        <v>0</v>
      </c>
      <c r="CF178" s="5">
        <f>IF($BI178&lt;&gt;"",IF('Capacity summary'!$C$14="Yes",IF(COUNTBLANK('Capacity summary'!$H90:$BG90)&lt;52,IF('Capacity summary'!AC90&lt;&gt;"",IF(LOWER('Capacity summary'!AC90)="x",$BI178*AC178,VALUE('Capacity summary'!AC90)),0),AC178*$BI178),AC178*$BI178),0)</f>
        <v>0</v>
      </c>
      <c r="CG178" s="5">
        <f>IF($BI178&lt;&gt;"",IF('Capacity summary'!$C$14="Yes",IF(COUNTBLANK('Capacity summary'!$H90:$BG90)&lt;52,IF('Capacity summary'!AD90&lt;&gt;"",IF(LOWER('Capacity summary'!AD90)="x",$BI178*AD178,VALUE('Capacity summary'!AD90)),0),AD178*$BI178),AD178*$BI178),0)</f>
        <v>0</v>
      </c>
      <c r="CH178" s="5">
        <f>IF($BI178&lt;&gt;"",IF('Capacity summary'!$C$14="Yes",IF(COUNTBLANK('Capacity summary'!$H90:$BG90)&lt;52,IF('Capacity summary'!AE90&lt;&gt;"",IF(LOWER('Capacity summary'!AE90)="x",$BI178*AE178,VALUE('Capacity summary'!AE90)),0),AE178*$BI178),AE178*$BI178),0)</f>
        <v>0</v>
      </c>
      <c r="CI178" s="5">
        <f>IF($BI178&lt;&gt;"",IF('Capacity summary'!$C$14="Yes",IF(COUNTBLANK('Capacity summary'!$H90:$BG90)&lt;52,IF('Capacity summary'!AF90&lt;&gt;"",IF(LOWER('Capacity summary'!AF90)="x",$BI178*AF178,VALUE('Capacity summary'!AF90)),0),AF178*$BI178),AF178*$BI178),0)</f>
        <v>0</v>
      </c>
      <c r="CJ178" s="5">
        <f>IF($BI178&lt;&gt;"",IF('Capacity summary'!$C$14="Yes",IF(COUNTBLANK('Capacity summary'!$H90:$BG90)&lt;52,IF('Capacity summary'!AG90&lt;&gt;"",IF(LOWER('Capacity summary'!AG90)="x",$BI178*AG178,VALUE('Capacity summary'!AG90)),0),AG178*$BI178),AG178*$BI178),0)</f>
        <v>0</v>
      </c>
      <c r="CK178" s="5">
        <f>IF($BI178&lt;&gt;"",IF('Capacity summary'!$C$14="Yes",IF(COUNTBLANK('Capacity summary'!$H90:$BG90)&lt;52,IF('Capacity summary'!AH90&lt;&gt;"",IF(LOWER('Capacity summary'!AH90)="x",$BI178*AH178,VALUE('Capacity summary'!AH90)),0),AH178*$BI178),AH178*$BI178),0)</f>
        <v>0</v>
      </c>
      <c r="CL178" s="5">
        <f>IF($BI178&lt;&gt;"",IF('Capacity summary'!$C$14="Yes",IF(COUNTBLANK('Capacity summary'!$H90:$BG90)&lt;52,IF('Capacity summary'!AI90&lt;&gt;"",IF(LOWER('Capacity summary'!AI90)="x",$BI178*AI178,VALUE('Capacity summary'!AI90)),0),AI178*$BI178),AI178*$BI178),0)</f>
        <v>0</v>
      </c>
      <c r="CM178" s="5">
        <f>IF($BI178&lt;&gt;"",IF('Capacity summary'!$C$14="Yes",IF(COUNTBLANK('Capacity summary'!$H90:$BG90)&lt;52,IF('Capacity summary'!AJ90&lt;&gt;"",IF(LOWER('Capacity summary'!AJ90)="x",$BI178*AJ178,VALUE('Capacity summary'!AJ90)),0),AJ178*$BI178),AJ178*$BI178),0)</f>
        <v>0</v>
      </c>
      <c r="CN178" s="5">
        <f>IF($BI178&lt;&gt;"",IF('Capacity summary'!$C$14="Yes",IF(COUNTBLANK('Capacity summary'!$H90:$BG90)&lt;52,IF('Capacity summary'!AK90&lt;&gt;"",IF(LOWER('Capacity summary'!AK90)="x",$BI178*AK178,VALUE('Capacity summary'!AK90)),0),AK178*$BI178),AK178*$BI178),0)</f>
        <v>0</v>
      </c>
      <c r="CO178" s="5">
        <f>IF($BI178&lt;&gt;"",IF('Capacity summary'!$C$14="Yes",IF(COUNTBLANK('Capacity summary'!$H90:$BG90)&lt;52,IF('Capacity summary'!AL90&lt;&gt;"",IF(LOWER('Capacity summary'!AL90)="x",$BI178*AL178,VALUE('Capacity summary'!AL90)),0),AL178*$BI178),AL178*$BI178),0)</f>
        <v>0</v>
      </c>
      <c r="CP178" s="5">
        <f>IF($BI178&lt;&gt;"",IF('Capacity summary'!$C$14="Yes",IF(COUNTBLANK('Capacity summary'!$H90:$BG90)&lt;52,IF('Capacity summary'!AM90&lt;&gt;"",IF(LOWER('Capacity summary'!AM90)="x",$BI178*AM178,VALUE('Capacity summary'!AM90)),0),AM178*$BI178),AM178*$BI178),0)</f>
        <v>0</v>
      </c>
      <c r="CQ178" s="5">
        <f>IF($BI178&lt;&gt;"",IF('Capacity summary'!$C$14="Yes",IF(COUNTBLANK('Capacity summary'!$H90:$BG90)&lt;52,IF('Capacity summary'!AN90&lt;&gt;"",IF(LOWER('Capacity summary'!AN90)="x",$BI178*AN178,VALUE('Capacity summary'!AN90)),0),AN178*$BI178),AN178*$BI178),0)</f>
        <v>0</v>
      </c>
      <c r="CR178" s="5">
        <f>IF($BI178&lt;&gt;"",IF('Capacity summary'!$C$14="Yes",IF(COUNTBLANK('Capacity summary'!$H90:$BG90)&lt;52,IF('Capacity summary'!AO90&lt;&gt;"",IF(LOWER('Capacity summary'!AO90)="x",$BI178*AO178,VALUE('Capacity summary'!AO90)),0),AO178*$BI178),AO178*$BI178),0)</f>
        <v>0</v>
      </c>
      <c r="CS178" s="5">
        <f>IF($BI178&lt;&gt;"",IF('Capacity summary'!$C$14="Yes",IF(COUNTBLANK('Capacity summary'!$H90:$BG90)&lt;52,IF('Capacity summary'!AP90&lt;&gt;"",IF(LOWER('Capacity summary'!AP90)="x",$BI178*AP178,VALUE('Capacity summary'!AP90)),0),AP178*$BI178),AP178*$BI178),0)</f>
        <v>0</v>
      </c>
      <c r="CT178" s="5">
        <f>IF($BI178&lt;&gt;"",IF('Capacity summary'!$C$14="Yes",IF(COUNTBLANK('Capacity summary'!$H90:$BG90)&lt;52,IF('Capacity summary'!AQ90&lt;&gt;"",IF(LOWER('Capacity summary'!AQ90)="x",$BI178*AQ178,VALUE('Capacity summary'!AQ90)),0),AQ178*$BI178),AQ178*$BI178),0)</f>
        <v>0</v>
      </c>
      <c r="CU178" s="5">
        <f>IF($BI178&lt;&gt;"",IF('Capacity summary'!$C$14="Yes",IF(COUNTBLANK('Capacity summary'!$H90:$BG90)&lt;52,IF('Capacity summary'!AR90&lt;&gt;"",IF(LOWER('Capacity summary'!AR90)="x",$BI178*AR178,VALUE('Capacity summary'!AR90)),0),AR178*$BI178),AR178*$BI178),0)</f>
        <v>0</v>
      </c>
      <c r="CV178" s="5">
        <f>IF($BI178&lt;&gt;"",IF('Capacity summary'!$C$14="Yes",IF(COUNTBLANK('Capacity summary'!$H90:$BG90)&lt;52,IF('Capacity summary'!AS90&lt;&gt;"",IF(LOWER('Capacity summary'!AS90)="x",$BI178*AS178,VALUE('Capacity summary'!AS90)),0),AS178*$BI178),AS178*$BI178),0)</f>
        <v>0</v>
      </c>
      <c r="CW178" s="5">
        <f>IF($BI178&lt;&gt;"",IF('Capacity summary'!$C$14="Yes",IF(COUNTBLANK('Capacity summary'!$H90:$BG90)&lt;52,IF('Capacity summary'!AT90&lt;&gt;"",IF(LOWER('Capacity summary'!AT90)="x",$BI178*AT178,VALUE('Capacity summary'!AT90)),0),AT178*$BI178),AT178*$BI178),0)</f>
        <v>0</v>
      </c>
      <c r="CX178" s="5">
        <f>IF($BI178&lt;&gt;"",IF('Capacity summary'!$C$14="Yes",IF(COUNTBLANK('Capacity summary'!$H90:$BG90)&lt;52,IF('Capacity summary'!AU90&lt;&gt;"",IF(LOWER('Capacity summary'!AU90)="x",$BI178*AU178,VALUE('Capacity summary'!AU90)),0),AU178*$BI178),AU178*$BI178),0)</f>
        <v>0</v>
      </c>
      <c r="CY178" s="5">
        <f>IF($BI178&lt;&gt;"",IF('Capacity summary'!$C$14="Yes",IF(COUNTBLANK('Capacity summary'!$H90:$BG90)&lt;52,IF('Capacity summary'!AV90&lt;&gt;"",IF(LOWER('Capacity summary'!AV90)="x",$BI178*AV178,VALUE('Capacity summary'!AV90)),0),AV178*$BI178),AV178*$BI178),0)</f>
        <v>0</v>
      </c>
      <c r="CZ178" s="5">
        <f>IF($BI178&lt;&gt;"",IF('Capacity summary'!$C$14="Yes",IF(COUNTBLANK('Capacity summary'!$H90:$BG90)&lt;52,IF('Capacity summary'!AW90&lt;&gt;"",IF(LOWER('Capacity summary'!AW90)="x",$BI178*AW178,VALUE('Capacity summary'!AW90)),0),AW178*$BI178),AW178*$BI178),0)</f>
        <v>0</v>
      </c>
      <c r="DA178" s="5">
        <f>IF($BI178&lt;&gt;"",IF('Capacity summary'!$C$14="Yes",IF(COUNTBLANK('Capacity summary'!$H90:$BG90)&lt;52,IF('Capacity summary'!AX90&lt;&gt;"",IF(LOWER('Capacity summary'!AX90)="x",$BI178*AX178,VALUE('Capacity summary'!AX90)),0),AX178*$BI178),AX178*$BI178),0)</f>
        <v>0</v>
      </c>
      <c r="DB178" s="5">
        <f>IF($BI178&lt;&gt;"",IF('Capacity summary'!$C$14="Yes",IF(COUNTBLANK('Capacity summary'!$H90:$BG90)&lt;52,IF('Capacity summary'!AY90&lt;&gt;"",IF(LOWER('Capacity summary'!AY90)="x",$BI178*AY178,VALUE('Capacity summary'!AY90)),0),AY178*$BI178),AY178*$BI178),0)</f>
        <v>0</v>
      </c>
      <c r="DC178" s="5">
        <f>IF($BI178&lt;&gt;"",IF('Capacity summary'!$C$14="Yes",IF(COUNTBLANK('Capacity summary'!$H90:$BG90)&lt;52,IF('Capacity summary'!AZ90&lt;&gt;"",IF(LOWER('Capacity summary'!AZ90)="x",$BI178*AZ178,VALUE('Capacity summary'!AZ90)),0),AZ178*$BI178),AZ178*$BI178),0)</f>
        <v>0</v>
      </c>
      <c r="DD178" s="5">
        <f>IF($BI178&lt;&gt;"",IF('Capacity summary'!$C$14="Yes",IF(COUNTBLANK('Capacity summary'!$H90:$BG90)&lt;52,IF('Capacity summary'!BA90&lt;&gt;"",IF(LOWER('Capacity summary'!BA90)="x",$BI178*BA178,VALUE('Capacity summary'!BA90)),0),BA178*$BI178),BA178*$BI178),0)</f>
        <v>0</v>
      </c>
      <c r="DE178" s="5">
        <f>IF($BI178&lt;&gt;"",IF('Capacity summary'!$C$14="Yes",IF(COUNTBLANK('Capacity summary'!$H90:$BG90)&lt;52,IF('Capacity summary'!BB90&lt;&gt;"",IF(LOWER('Capacity summary'!BB90)="x",$BI178*BB178,VALUE('Capacity summary'!BB90)),0),BB178*$BI178),BB178*$BI178),0)</f>
        <v>0</v>
      </c>
      <c r="DF178" s="5">
        <f>IF($BI178&lt;&gt;"",IF('Capacity summary'!$C$14="Yes",IF(COUNTBLANK('Capacity summary'!$H90:$BG90)&lt;52,IF('Capacity summary'!BC90&lt;&gt;"",IF(LOWER('Capacity summary'!BC90)="x",$BI178*BC178,VALUE('Capacity summary'!BC90)),0),BC178*$BI178),BC178*$BI178),0)</f>
        <v>0</v>
      </c>
      <c r="DG178" s="5">
        <f>IF($BI178&lt;&gt;"",IF('Capacity summary'!$C$14="Yes",IF(COUNTBLANK('Capacity summary'!$H90:$BG90)&lt;52,IF('Capacity summary'!BD90&lt;&gt;"",IF(LOWER('Capacity summary'!BD90)="x",$BI178*BD178,VALUE('Capacity summary'!BD90)),0),BD178*$BI178),BD178*$BI178),0)</f>
        <v>0</v>
      </c>
      <c r="DH178" s="5">
        <f>IF($BI178&lt;&gt;"",IF('Capacity summary'!$C$14="Yes",IF(COUNTBLANK('Capacity summary'!$H90:$BG90)&lt;52,IF('Capacity summary'!BE90&lt;&gt;"",IF(LOWER('Capacity summary'!BE90)="x",$BI178*BE178,VALUE('Capacity summary'!BE90)),0),BE178*$BI178),BE178*$BI178),0)</f>
        <v>0</v>
      </c>
      <c r="DI178" s="5">
        <f>IF($BI178&lt;&gt;"",IF('Capacity summary'!$C$14="Yes",IF(COUNTBLANK('Capacity summary'!$H90:$BG90)&lt;52,IF('Capacity summary'!BF90&lt;&gt;"",IF(LOWER('Capacity summary'!BF90)="x",$BI178*BF178,VALUE('Capacity summary'!BF90)),0),BF178*$BI178),BF178*$BI178),0)</f>
        <v>0</v>
      </c>
      <c r="DJ178" s="5">
        <f>IF($BI178&lt;&gt;"",IF('Capacity summary'!$C$14="Yes",IF(COUNTBLANK('Capacity summary'!$H90:$BG90)&lt;52,IF('Capacity summary'!BG90&lt;&gt;"",IF(LOWER('Capacity summary'!BG90)="x",$BI178*BG178,VALUE('Capacity summary'!BG90)),0),BG178*$BI178),BG178*$BI178),0)</f>
        <v>0</v>
      </c>
      <c r="DK178" s="391">
        <f t="shared" si="10"/>
        <v>0</v>
      </c>
      <c r="DL178" s="5">
        <f t="shared" si="11"/>
        <v>0</v>
      </c>
    </row>
    <row r="179" spans="3:116" x14ac:dyDescent="0.2">
      <c r="C179" s="67" t="str">
        <f>ROW(A68)&amp;". "&amp;Capacity!N84</f>
        <v xml:space="preserve">68. </v>
      </c>
      <c r="D179" s="67">
        <f>'Capacity setup'!C185</f>
        <v>0</v>
      </c>
      <c r="E179" s="67">
        <f>'Capacity setup'!D185</f>
        <v>0</v>
      </c>
      <c r="F179" s="67">
        <f>'Capacity setup'!E185</f>
        <v>0</v>
      </c>
      <c r="H179" s="67">
        <f ca="1">IF(LOWER(Capacity!$V84)="x",IF(AND(SUMIF(Capacity_Resource,$D179,'Critical resources (hide)'!U$6:U$105)+SUMIF(Capacity_Resource,$E179,'Critical resources (hide)'!U$6:U$105)+SUMIF(Capacity_Resource,$F179,'Critical resources (hide)'!U$6:U$105)&gt;0,$E$1=2),0,1),0)</f>
        <v>1</v>
      </c>
      <c r="I179" s="67">
        <f ca="1">IF(LOWER(Capacity!$V84)="x",IF(AND(SUMIF(Capacity_Resource,$D179,'Critical resources (hide)'!V$6:V$105)+SUMIF(Capacity_Resource,$E179,'Critical resources (hide)'!V$6:V$105)+SUMIF(Capacity_Resource,$F179,'Critical resources (hide)'!V$6:V$105)&gt;0,$E$1=2),0,1),0)</f>
        <v>1</v>
      </c>
      <c r="J179" s="67">
        <f ca="1">IF(LOWER(Capacity!$V84)="x",IF(AND(SUMIF(Capacity_Resource,$D179,'Critical resources (hide)'!W$6:W$105)+SUMIF(Capacity_Resource,$E179,'Critical resources (hide)'!W$6:W$105)+SUMIF(Capacity_Resource,$F179,'Critical resources (hide)'!W$6:W$105)&gt;0,$E$1=2),0,1),0)</f>
        <v>1</v>
      </c>
      <c r="K179" s="67">
        <f ca="1">IF(LOWER(Capacity!$V84)="x",IF(AND(SUMIF(Capacity_Resource,$D179,'Critical resources (hide)'!X$6:X$105)+SUMIF(Capacity_Resource,$E179,'Critical resources (hide)'!X$6:X$105)+SUMIF(Capacity_Resource,$F179,'Critical resources (hide)'!X$6:X$105)&gt;0,$E$1=2),0,1),0)</f>
        <v>1</v>
      </c>
      <c r="L179" s="67">
        <f ca="1">IF(LOWER(Capacity!$V84)="x",IF(AND(SUMIF(Capacity_Resource,$D179,'Critical resources (hide)'!Y$6:Y$105)+SUMIF(Capacity_Resource,$E179,'Critical resources (hide)'!Y$6:Y$105)+SUMIF(Capacity_Resource,$F179,'Critical resources (hide)'!Y$6:Y$105)&gt;0,$E$1=2),0,1),0)</f>
        <v>1</v>
      </c>
      <c r="M179" s="67">
        <f ca="1">IF(LOWER(Capacity!$V84)="x",IF(AND(SUMIF(Capacity_Resource,$D179,'Critical resources (hide)'!Z$6:Z$105)+SUMIF(Capacity_Resource,$E179,'Critical resources (hide)'!Z$6:Z$105)+SUMIF(Capacity_Resource,$F179,'Critical resources (hide)'!Z$6:Z$105)&gt;0,$E$1=2),0,1),0)</f>
        <v>1</v>
      </c>
      <c r="N179" s="67">
        <f ca="1">IF(LOWER(Capacity!$V84)="x",IF(AND(SUMIF(Capacity_Resource,$D179,'Critical resources (hide)'!AA$6:AA$105)+SUMIF(Capacity_Resource,$E179,'Critical resources (hide)'!AA$6:AA$105)+SUMIF(Capacity_Resource,$F179,'Critical resources (hide)'!AA$6:AA$105)&gt;0,$E$1=2),0,1),0)</f>
        <v>1</v>
      </c>
      <c r="O179" s="67">
        <f ca="1">IF(LOWER(Capacity!$V84)="x",IF(AND(SUMIF(Capacity_Resource,$D179,'Critical resources (hide)'!AB$6:AB$105)+SUMIF(Capacity_Resource,$E179,'Critical resources (hide)'!AB$6:AB$105)+SUMIF(Capacity_Resource,$F179,'Critical resources (hide)'!AB$6:AB$105)&gt;0,$E$1=2),0,1),0)</f>
        <v>1</v>
      </c>
      <c r="P179" s="67">
        <f ca="1">IF(LOWER(Capacity!$V84)="x",IF(AND(SUMIF(Capacity_Resource,$D179,'Critical resources (hide)'!AC$6:AC$105)+SUMIF(Capacity_Resource,$E179,'Critical resources (hide)'!AC$6:AC$105)+SUMIF(Capacity_Resource,$F179,'Critical resources (hide)'!AC$6:AC$105)&gt;0,$E$1=2),0,1),0)</f>
        <v>1</v>
      </c>
      <c r="Q179" s="67">
        <f ca="1">IF(LOWER(Capacity!$V84)="x",IF(AND(SUMIF(Capacity_Resource,$D179,'Critical resources (hide)'!AD$6:AD$105)+SUMIF(Capacity_Resource,$E179,'Critical resources (hide)'!AD$6:AD$105)+SUMIF(Capacity_Resource,$F179,'Critical resources (hide)'!AD$6:AD$105)&gt;0,$E$1=2),0,1),0)</f>
        <v>1</v>
      </c>
      <c r="R179" s="67">
        <f ca="1">IF(LOWER(Capacity!$V84)="x",IF(AND(SUMIF(Capacity_Resource,$D179,'Critical resources (hide)'!AE$6:AE$105)+SUMIF(Capacity_Resource,$E179,'Critical resources (hide)'!AE$6:AE$105)+SUMIF(Capacity_Resource,$F179,'Critical resources (hide)'!AE$6:AE$105)&gt;0,$E$1=2),0,1),0)</f>
        <v>1</v>
      </c>
      <c r="S179" s="67">
        <f ca="1">IF(LOWER(Capacity!$V84)="x",IF(AND(SUMIF(Capacity_Resource,$D179,'Critical resources (hide)'!AF$6:AF$105)+SUMIF(Capacity_Resource,$E179,'Critical resources (hide)'!AF$6:AF$105)+SUMIF(Capacity_Resource,$F179,'Critical resources (hide)'!AF$6:AF$105)&gt;0,$E$1=2),0,1),0)</f>
        <v>1</v>
      </c>
      <c r="T179" s="67">
        <f ca="1">IF(LOWER(Capacity!$V84)="x",IF(AND(SUMIF(Capacity_Resource,$D179,'Critical resources (hide)'!AG$6:AG$105)+SUMIF(Capacity_Resource,$E179,'Critical resources (hide)'!AG$6:AG$105)+SUMIF(Capacity_Resource,$F179,'Critical resources (hide)'!AG$6:AG$105)&gt;0,$E$1=2),0,1),0)</f>
        <v>1</v>
      </c>
      <c r="U179" s="67">
        <f ca="1">IF(LOWER(Capacity!$V84)="x",IF(AND(SUMIF(Capacity_Resource,$D179,'Critical resources (hide)'!AH$6:AH$105)+SUMIF(Capacity_Resource,$E179,'Critical resources (hide)'!AH$6:AH$105)+SUMIF(Capacity_Resource,$F179,'Critical resources (hide)'!AH$6:AH$105)&gt;0,$E$1=2),0,1),0)</f>
        <v>1</v>
      </c>
      <c r="V179" s="67">
        <f ca="1">IF(LOWER(Capacity!$V84)="x",IF(AND(SUMIF(Capacity_Resource,$D179,'Critical resources (hide)'!AI$6:AI$105)+SUMIF(Capacity_Resource,$E179,'Critical resources (hide)'!AI$6:AI$105)+SUMIF(Capacity_Resource,$F179,'Critical resources (hide)'!AI$6:AI$105)&gt;0,$E$1=2),0,1),0)</f>
        <v>1</v>
      </c>
      <c r="W179" s="67">
        <f ca="1">IF(LOWER(Capacity!$V84)="x",IF(AND(SUMIF(Capacity_Resource,$D179,'Critical resources (hide)'!AJ$6:AJ$105)+SUMIF(Capacity_Resource,$E179,'Critical resources (hide)'!AJ$6:AJ$105)+SUMIF(Capacity_Resource,$F179,'Critical resources (hide)'!AJ$6:AJ$105)&gt;0,$E$1=2),0,1),0)</f>
        <v>1</v>
      </c>
      <c r="X179" s="67">
        <f ca="1">IF(LOWER(Capacity!$V84)="x",IF(AND(SUMIF(Capacity_Resource,$D179,'Critical resources (hide)'!AK$6:AK$105)+SUMIF(Capacity_Resource,$E179,'Critical resources (hide)'!AK$6:AK$105)+SUMIF(Capacity_Resource,$F179,'Critical resources (hide)'!AK$6:AK$105)&gt;0,$E$1=2),0,1),0)</f>
        <v>1</v>
      </c>
      <c r="Y179" s="67">
        <f ca="1">IF(LOWER(Capacity!$V84)="x",IF(AND(SUMIF(Capacity_Resource,$D179,'Critical resources (hide)'!AL$6:AL$105)+SUMIF(Capacity_Resource,$E179,'Critical resources (hide)'!AL$6:AL$105)+SUMIF(Capacity_Resource,$F179,'Critical resources (hide)'!AL$6:AL$105)&gt;0,$E$1=2),0,1),0)</f>
        <v>1</v>
      </c>
      <c r="Z179" s="67">
        <f ca="1">IF(LOWER(Capacity!$V84)="x",IF(AND(SUMIF(Capacity_Resource,$D179,'Critical resources (hide)'!AM$6:AM$105)+SUMIF(Capacity_Resource,$E179,'Critical resources (hide)'!AM$6:AM$105)+SUMIF(Capacity_Resource,$F179,'Critical resources (hide)'!AM$6:AM$105)&gt;0,$E$1=2),0,1),0)</f>
        <v>1</v>
      </c>
      <c r="AA179" s="67">
        <f ca="1">IF(LOWER(Capacity!$V84)="x",IF(AND(SUMIF(Capacity_Resource,$D179,'Critical resources (hide)'!AN$6:AN$105)+SUMIF(Capacity_Resource,$E179,'Critical resources (hide)'!AN$6:AN$105)+SUMIF(Capacity_Resource,$F179,'Critical resources (hide)'!AN$6:AN$105)&gt;0,$E$1=2),0,1),0)</f>
        <v>1</v>
      </c>
      <c r="AB179" s="67">
        <f ca="1">IF(LOWER(Capacity!$V84)="x",IF(AND(SUMIF(Capacity_Resource,$D179,'Critical resources (hide)'!AO$6:AO$105)+SUMIF(Capacity_Resource,$E179,'Critical resources (hide)'!AO$6:AO$105)+SUMIF(Capacity_Resource,$F179,'Critical resources (hide)'!AO$6:AO$105)&gt;0,$E$1=2),0,1),0)</f>
        <v>1</v>
      </c>
      <c r="AC179" s="67">
        <f ca="1">IF(LOWER(Capacity!$V84)="x",IF(AND(SUMIF(Capacity_Resource,$D179,'Critical resources (hide)'!AP$6:AP$105)+SUMIF(Capacity_Resource,$E179,'Critical resources (hide)'!AP$6:AP$105)+SUMIF(Capacity_Resource,$F179,'Critical resources (hide)'!AP$6:AP$105)&gt;0,$E$1=2),0,1),0)</f>
        <v>1</v>
      </c>
      <c r="AD179" s="67">
        <f ca="1">IF(LOWER(Capacity!$V84)="x",IF(AND(SUMIF(Capacity_Resource,$D179,'Critical resources (hide)'!AQ$6:AQ$105)+SUMIF(Capacity_Resource,$E179,'Critical resources (hide)'!AQ$6:AQ$105)+SUMIF(Capacity_Resource,$F179,'Critical resources (hide)'!AQ$6:AQ$105)&gt;0,$E$1=2),0,1),0)</f>
        <v>1</v>
      </c>
      <c r="AE179" s="67">
        <f ca="1">IF(LOWER(Capacity!$V84)="x",IF(AND(SUMIF(Capacity_Resource,$D179,'Critical resources (hide)'!AR$6:AR$105)+SUMIF(Capacity_Resource,$E179,'Critical resources (hide)'!AR$6:AR$105)+SUMIF(Capacity_Resource,$F179,'Critical resources (hide)'!AR$6:AR$105)&gt;0,$E$1=2),0,1),0)</f>
        <v>1</v>
      </c>
      <c r="AF179" s="67">
        <f ca="1">IF(LOWER(Capacity!$V84)="x",IF(AND(SUMIF(Capacity_Resource,$D179,'Critical resources (hide)'!AS$6:AS$105)+SUMIF(Capacity_Resource,$E179,'Critical resources (hide)'!AS$6:AS$105)+SUMIF(Capacity_Resource,$F179,'Critical resources (hide)'!AS$6:AS$105)&gt;0,$E$1=2),0,1),0)</f>
        <v>1</v>
      </c>
      <c r="AG179" s="67">
        <f ca="1">IF(LOWER(Capacity!$V84)="x",IF(AND(SUMIF(Capacity_Resource,$D179,'Critical resources (hide)'!AT$6:AT$105)+SUMIF(Capacity_Resource,$E179,'Critical resources (hide)'!AT$6:AT$105)+SUMIF(Capacity_Resource,$F179,'Critical resources (hide)'!AT$6:AT$105)&gt;0,$E$1=2),0,1),0)</f>
        <v>1</v>
      </c>
      <c r="AH179" s="67">
        <f ca="1">IF(LOWER(Capacity!$V84)="x",IF(AND(SUMIF(Capacity_Resource,$D179,'Critical resources (hide)'!AU$6:AU$105)+SUMIF(Capacity_Resource,$E179,'Critical resources (hide)'!AU$6:AU$105)+SUMIF(Capacity_Resource,$F179,'Critical resources (hide)'!AU$6:AU$105)&gt;0,$E$1=2),0,1),0)</f>
        <v>1</v>
      </c>
      <c r="AI179" s="67">
        <f ca="1">IF(LOWER(Capacity!$V84)="x",IF(AND(SUMIF(Capacity_Resource,$D179,'Critical resources (hide)'!AV$6:AV$105)+SUMIF(Capacity_Resource,$E179,'Critical resources (hide)'!AV$6:AV$105)+SUMIF(Capacity_Resource,$F179,'Critical resources (hide)'!AV$6:AV$105)&gt;0,$E$1=2),0,1),0)</f>
        <v>1</v>
      </c>
      <c r="AJ179" s="67">
        <f ca="1">IF(LOWER(Capacity!$V84)="x",IF(AND(SUMIF(Capacity_Resource,$D179,'Critical resources (hide)'!AW$6:AW$105)+SUMIF(Capacity_Resource,$E179,'Critical resources (hide)'!AW$6:AW$105)+SUMIF(Capacity_Resource,$F179,'Critical resources (hide)'!AW$6:AW$105)&gt;0,$E$1=2),0,1),0)</f>
        <v>1</v>
      </c>
      <c r="AK179" s="67">
        <f ca="1">IF(LOWER(Capacity!$V84)="x",IF(AND(SUMIF(Capacity_Resource,$D179,'Critical resources (hide)'!AX$6:AX$105)+SUMIF(Capacity_Resource,$E179,'Critical resources (hide)'!AX$6:AX$105)+SUMIF(Capacity_Resource,$F179,'Critical resources (hide)'!AX$6:AX$105)&gt;0,$E$1=2),0,1),0)</f>
        <v>1</v>
      </c>
      <c r="AL179" s="67">
        <f ca="1">IF(LOWER(Capacity!$V84)="x",IF(AND(SUMIF(Capacity_Resource,$D179,'Critical resources (hide)'!AY$6:AY$105)+SUMIF(Capacity_Resource,$E179,'Critical resources (hide)'!AY$6:AY$105)+SUMIF(Capacity_Resource,$F179,'Critical resources (hide)'!AY$6:AY$105)&gt;0,$E$1=2),0,1),0)</f>
        <v>1</v>
      </c>
      <c r="AM179" s="67">
        <f ca="1">IF(LOWER(Capacity!$V84)="x",IF(AND(SUMIF(Capacity_Resource,$D179,'Critical resources (hide)'!AZ$6:AZ$105)+SUMIF(Capacity_Resource,$E179,'Critical resources (hide)'!AZ$6:AZ$105)+SUMIF(Capacity_Resource,$F179,'Critical resources (hide)'!AZ$6:AZ$105)&gt;0,$E$1=2),0,1),0)</f>
        <v>1</v>
      </c>
      <c r="AN179" s="67">
        <f ca="1">IF(LOWER(Capacity!$V84)="x",IF(AND(SUMIF(Capacity_Resource,$D179,'Critical resources (hide)'!BA$6:BA$105)+SUMIF(Capacity_Resource,$E179,'Critical resources (hide)'!BA$6:BA$105)+SUMIF(Capacity_Resource,$F179,'Critical resources (hide)'!BA$6:BA$105)&gt;0,$E$1=2),0,1),0)</f>
        <v>1</v>
      </c>
      <c r="AO179" s="67">
        <f ca="1">IF(LOWER(Capacity!$V84)="x",IF(AND(SUMIF(Capacity_Resource,$D179,'Critical resources (hide)'!BB$6:BB$105)+SUMIF(Capacity_Resource,$E179,'Critical resources (hide)'!BB$6:BB$105)+SUMIF(Capacity_Resource,$F179,'Critical resources (hide)'!BB$6:BB$105)&gt;0,$E$1=2),0,1),0)</f>
        <v>1</v>
      </c>
      <c r="AP179" s="67">
        <f ca="1">IF(LOWER(Capacity!$V84)="x",IF(AND(SUMIF(Capacity_Resource,$D179,'Critical resources (hide)'!BC$6:BC$105)+SUMIF(Capacity_Resource,$E179,'Critical resources (hide)'!BC$6:BC$105)+SUMIF(Capacity_Resource,$F179,'Critical resources (hide)'!BC$6:BC$105)&gt;0,$E$1=2),0,1),0)</f>
        <v>1</v>
      </c>
      <c r="AQ179" s="67">
        <f ca="1">IF(LOWER(Capacity!$V84)="x",IF(AND(SUMIF(Capacity_Resource,$D179,'Critical resources (hide)'!BD$6:BD$105)+SUMIF(Capacity_Resource,$E179,'Critical resources (hide)'!BD$6:BD$105)+SUMIF(Capacity_Resource,$F179,'Critical resources (hide)'!BD$6:BD$105)&gt;0,$E$1=2),0,1),0)</f>
        <v>1</v>
      </c>
      <c r="AR179" s="67">
        <f ca="1">IF(LOWER(Capacity!$V84)="x",IF(AND(SUMIF(Capacity_Resource,$D179,'Critical resources (hide)'!BE$6:BE$105)+SUMIF(Capacity_Resource,$E179,'Critical resources (hide)'!BE$6:BE$105)+SUMIF(Capacity_Resource,$F179,'Critical resources (hide)'!BE$6:BE$105)&gt;0,$E$1=2),0,1),0)</f>
        <v>1</v>
      </c>
      <c r="AS179" s="67">
        <f ca="1">IF(LOWER(Capacity!$V84)="x",IF(AND(SUMIF(Capacity_Resource,$D179,'Critical resources (hide)'!BF$6:BF$105)+SUMIF(Capacity_Resource,$E179,'Critical resources (hide)'!BF$6:BF$105)+SUMIF(Capacity_Resource,$F179,'Critical resources (hide)'!BF$6:BF$105)&gt;0,$E$1=2),0,1),0)</f>
        <v>1</v>
      </c>
      <c r="AT179" s="67">
        <f ca="1">IF(LOWER(Capacity!$V84)="x",IF(AND(SUMIF(Capacity_Resource,$D179,'Critical resources (hide)'!BG$6:BG$105)+SUMIF(Capacity_Resource,$E179,'Critical resources (hide)'!BG$6:BG$105)+SUMIF(Capacity_Resource,$F179,'Critical resources (hide)'!BG$6:BG$105)&gt;0,$E$1=2),0,1),0)</f>
        <v>1</v>
      </c>
      <c r="AU179" s="67">
        <f ca="1">IF(LOWER(Capacity!$V84)="x",IF(AND(SUMIF(Capacity_Resource,$D179,'Critical resources (hide)'!BH$6:BH$105)+SUMIF(Capacity_Resource,$E179,'Critical resources (hide)'!BH$6:BH$105)+SUMIF(Capacity_Resource,$F179,'Critical resources (hide)'!BH$6:BH$105)&gt;0,$E$1=2),0,1),0)</f>
        <v>1</v>
      </c>
      <c r="AV179" s="67">
        <f ca="1">IF(LOWER(Capacity!$V84)="x",IF(AND(SUMIF(Capacity_Resource,$D179,'Critical resources (hide)'!BI$6:BI$105)+SUMIF(Capacity_Resource,$E179,'Critical resources (hide)'!BI$6:BI$105)+SUMIF(Capacity_Resource,$F179,'Critical resources (hide)'!BI$6:BI$105)&gt;0,$E$1=2),0,1),0)</f>
        <v>1</v>
      </c>
      <c r="AW179" s="67">
        <f ca="1">IF(LOWER(Capacity!$V84)="x",IF(AND(SUMIF(Capacity_Resource,$D179,'Critical resources (hide)'!BJ$6:BJ$105)+SUMIF(Capacity_Resource,$E179,'Critical resources (hide)'!BJ$6:BJ$105)+SUMIF(Capacity_Resource,$F179,'Critical resources (hide)'!BJ$6:BJ$105)&gt;0,$E$1=2),0,1),0)</f>
        <v>1</v>
      </c>
      <c r="AX179" s="67">
        <f ca="1">IF(LOWER(Capacity!$V84)="x",IF(AND(SUMIF(Capacity_Resource,$D179,'Critical resources (hide)'!BK$6:BK$105)+SUMIF(Capacity_Resource,$E179,'Critical resources (hide)'!BK$6:BK$105)+SUMIF(Capacity_Resource,$F179,'Critical resources (hide)'!BK$6:BK$105)&gt;0,$E$1=2),0,1),0)</f>
        <v>1</v>
      </c>
      <c r="AY179" s="67">
        <f ca="1">IF(LOWER(Capacity!$V84)="x",IF(AND(SUMIF(Capacity_Resource,$D179,'Critical resources (hide)'!BL$6:BL$105)+SUMIF(Capacity_Resource,$E179,'Critical resources (hide)'!BL$6:BL$105)+SUMIF(Capacity_Resource,$F179,'Critical resources (hide)'!BL$6:BL$105)&gt;0,$E$1=2),0,1),0)</f>
        <v>1</v>
      </c>
      <c r="AZ179" s="67">
        <f ca="1">IF(LOWER(Capacity!$V84)="x",IF(AND(SUMIF(Capacity_Resource,$D179,'Critical resources (hide)'!BM$6:BM$105)+SUMIF(Capacity_Resource,$E179,'Critical resources (hide)'!BM$6:BM$105)+SUMIF(Capacity_Resource,$F179,'Critical resources (hide)'!BM$6:BM$105)&gt;0,$E$1=2),0,1),0)</f>
        <v>1</v>
      </c>
      <c r="BA179" s="67">
        <f ca="1">IF(LOWER(Capacity!$V84)="x",IF(AND(SUMIF(Capacity_Resource,$D179,'Critical resources (hide)'!BN$6:BN$105)+SUMIF(Capacity_Resource,$E179,'Critical resources (hide)'!BN$6:BN$105)+SUMIF(Capacity_Resource,$F179,'Critical resources (hide)'!BN$6:BN$105)&gt;0,$E$1=2),0,1),0)</f>
        <v>1</v>
      </c>
      <c r="BB179" s="67">
        <f ca="1">IF(LOWER(Capacity!$V84)="x",IF(AND(SUMIF(Capacity_Resource,$D179,'Critical resources (hide)'!BO$6:BO$105)+SUMIF(Capacity_Resource,$E179,'Critical resources (hide)'!BO$6:BO$105)+SUMIF(Capacity_Resource,$F179,'Critical resources (hide)'!BO$6:BO$105)&gt;0,$E$1=2),0,1),0)</f>
        <v>1</v>
      </c>
      <c r="BC179" s="67">
        <f ca="1">IF(LOWER(Capacity!$V84)="x",IF(AND(SUMIF(Capacity_Resource,$D179,'Critical resources (hide)'!BP$6:BP$105)+SUMIF(Capacity_Resource,$E179,'Critical resources (hide)'!BP$6:BP$105)+SUMIF(Capacity_Resource,$F179,'Critical resources (hide)'!BP$6:BP$105)&gt;0,$E$1=2),0,1),0)</f>
        <v>1</v>
      </c>
      <c r="BD179" s="67">
        <f ca="1">IF(LOWER(Capacity!$V84)="x",IF(AND(SUMIF(Capacity_Resource,$D179,'Critical resources (hide)'!BQ$6:BQ$105)+SUMIF(Capacity_Resource,$E179,'Critical resources (hide)'!BQ$6:BQ$105)+SUMIF(Capacity_Resource,$F179,'Critical resources (hide)'!BQ$6:BQ$105)&gt;0,$E$1=2),0,1),0)</f>
        <v>1</v>
      </c>
      <c r="BE179" s="67">
        <f ca="1">IF(LOWER(Capacity!$V84)="x",IF(AND(SUMIF(Capacity_Resource,$D179,'Critical resources (hide)'!BR$6:BR$105)+SUMIF(Capacity_Resource,$E179,'Critical resources (hide)'!BR$6:BR$105)+SUMIF(Capacity_Resource,$F179,'Critical resources (hide)'!BR$6:BR$105)&gt;0,$E$1=2),0,1),0)</f>
        <v>1</v>
      </c>
      <c r="BF179" s="67">
        <f ca="1">IF(LOWER(Capacity!$V84)="x",IF(AND(SUMIF(Capacity_Resource,$D179,'Critical resources (hide)'!BS$6:BS$105)+SUMIF(Capacity_Resource,$E179,'Critical resources (hide)'!BS$6:BS$105)+SUMIF(Capacity_Resource,$F179,'Critical resources (hide)'!BS$6:BS$105)&gt;0,$E$1=2),0,1),0)</f>
        <v>1</v>
      </c>
      <c r="BG179" s="67">
        <f ca="1">IF(LOWER(Capacity!$V84)="x",IF(AND(SUMIF(Capacity_Resource,$D179,'Critical resources (hide)'!BT$6:BT$105)+SUMIF(Capacity_Resource,$E179,'Critical resources (hide)'!BT$6:BT$105)+SUMIF(Capacity_Resource,$F179,'Critical resources (hide)'!BT$6:BT$105)&gt;0,$E$1=2),0,1),0)</f>
        <v>1</v>
      </c>
      <c r="BH179" s="67">
        <f>IF(ROW(A68)&lt;=Capacity!$M$16,IF('Capacity summary'!$C$14="No",SUM(H179:BG179),'Capacity summary'!$E91),0)</f>
        <v>0</v>
      </c>
      <c r="BI179" s="67" t="str">
        <f>IF(BH179&gt;0,IF(BH179&lt;Capacity!Q84,Capacity!R84,Capacity!T84/'Capacity calculation (hide)'!BH179),"")</f>
        <v/>
      </c>
      <c r="BJ179" s="5"/>
      <c r="BK179" s="5">
        <f>IF($BI179&lt;&gt;"",IF('Capacity summary'!$C$14="Yes",IF(COUNTBLANK('Capacity summary'!$H91:$BG91)&lt;52,IF('Capacity summary'!H91&lt;&gt;"",IF(LOWER('Capacity summary'!H91)="x",$BI179*H179,VALUE('Capacity summary'!H91)),0),H179*$BI179),H179*$BI179),0)</f>
        <v>0</v>
      </c>
      <c r="BL179" s="5">
        <f>IF($BI179&lt;&gt;"",IF('Capacity summary'!$C$14="Yes",IF(COUNTBLANK('Capacity summary'!$H91:$BG91)&lt;52,IF('Capacity summary'!I91&lt;&gt;"",IF(LOWER('Capacity summary'!I91)="x",$BI179*I179,VALUE('Capacity summary'!I91)),0),I179*$BI179),I179*$BI179),0)</f>
        <v>0</v>
      </c>
      <c r="BM179" s="5">
        <f>IF($BI179&lt;&gt;"",IF('Capacity summary'!$C$14="Yes",IF(COUNTBLANK('Capacity summary'!$H91:$BG91)&lt;52,IF('Capacity summary'!J91&lt;&gt;"",IF(LOWER('Capacity summary'!J91)="x",$BI179*J179,VALUE('Capacity summary'!J91)),0),J179*$BI179),J179*$BI179),0)</f>
        <v>0</v>
      </c>
      <c r="BN179" s="5">
        <f>IF($BI179&lt;&gt;"",IF('Capacity summary'!$C$14="Yes",IF(COUNTBLANK('Capacity summary'!$H91:$BG91)&lt;52,IF('Capacity summary'!K91&lt;&gt;"",IF(LOWER('Capacity summary'!K91)="x",$BI179*K179,VALUE('Capacity summary'!K91)),0),K179*$BI179),K179*$BI179),0)</f>
        <v>0</v>
      </c>
      <c r="BO179" s="5">
        <f>IF($BI179&lt;&gt;"",IF('Capacity summary'!$C$14="Yes",IF(COUNTBLANK('Capacity summary'!$H91:$BG91)&lt;52,IF('Capacity summary'!L91&lt;&gt;"",IF(LOWER('Capacity summary'!L91)="x",$BI179*L179,VALUE('Capacity summary'!L91)),0),L179*$BI179),L179*$BI179),0)</f>
        <v>0</v>
      </c>
      <c r="BP179" s="5">
        <f>IF($BI179&lt;&gt;"",IF('Capacity summary'!$C$14="Yes",IF(COUNTBLANK('Capacity summary'!$H91:$BG91)&lt;52,IF('Capacity summary'!M91&lt;&gt;"",IF(LOWER('Capacity summary'!M91)="x",$BI179*M179,VALUE('Capacity summary'!M91)),0),M179*$BI179),M179*$BI179),0)</f>
        <v>0</v>
      </c>
      <c r="BQ179" s="5">
        <f>IF($BI179&lt;&gt;"",IF('Capacity summary'!$C$14="Yes",IF(COUNTBLANK('Capacity summary'!$H91:$BG91)&lt;52,IF('Capacity summary'!N91&lt;&gt;"",IF(LOWER('Capacity summary'!N91)="x",$BI179*N179,VALUE('Capacity summary'!N91)),0),N179*$BI179),N179*$BI179),0)</f>
        <v>0</v>
      </c>
      <c r="BR179" s="5">
        <f>IF($BI179&lt;&gt;"",IF('Capacity summary'!$C$14="Yes",IF(COUNTBLANK('Capacity summary'!$H91:$BG91)&lt;52,IF('Capacity summary'!O91&lt;&gt;"",IF(LOWER('Capacity summary'!O91)="x",$BI179*O179,VALUE('Capacity summary'!O91)),0),O179*$BI179),O179*$BI179),0)</f>
        <v>0</v>
      </c>
      <c r="BS179" s="5">
        <f>IF($BI179&lt;&gt;"",IF('Capacity summary'!$C$14="Yes",IF(COUNTBLANK('Capacity summary'!$H91:$BG91)&lt;52,IF('Capacity summary'!P91&lt;&gt;"",IF(LOWER('Capacity summary'!P91)="x",$BI179*P179,VALUE('Capacity summary'!P91)),0),P179*$BI179),P179*$BI179),0)</f>
        <v>0</v>
      </c>
      <c r="BT179" s="5">
        <f>IF($BI179&lt;&gt;"",IF('Capacity summary'!$C$14="Yes",IF(COUNTBLANK('Capacity summary'!$H91:$BG91)&lt;52,IF('Capacity summary'!Q91&lt;&gt;"",IF(LOWER('Capacity summary'!Q91)="x",$BI179*Q179,VALUE('Capacity summary'!Q91)),0),Q179*$BI179),Q179*$BI179),0)</f>
        <v>0</v>
      </c>
      <c r="BU179" s="5">
        <f>IF($BI179&lt;&gt;"",IF('Capacity summary'!$C$14="Yes",IF(COUNTBLANK('Capacity summary'!$H91:$BG91)&lt;52,IF('Capacity summary'!R91&lt;&gt;"",IF(LOWER('Capacity summary'!R91)="x",$BI179*R179,VALUE('Capacity summary'!R91)),0),R179*$BI179),R179*$BI179),0)</f>
        <v>0</v>
      </c>
      <c r="BV179" s="5">
        <f>IF($BI179&lt;&gt;"",IF('Capacity summary'!$C$14="Yes",IF(COUNTBLANK('Capacity summary'!$H91:$BG91)&lt;52,IF('Capacity summary'!S91&lt;&gt;"",IF(LOWER('Capacity summary'!S91)="x",$BI179*S179,VALUE('Capacity summary'!S91)),0),S179*$BI179),S179*$BI179),0)</f>
        <v>0</v>
      </c>
      <c r="BW179" s="5">
        <f>IF($BI179&lt;&gt;"",IF('Capacity summary'!$C$14="Yes",IF(COUNTBLANK('Capacity summary'!$H91:$BG91)&lt;52,IF('Capacity summary'!T91&lt;&gt;"",IF(LOWER('Capacity summary'!T91)="x",$BI179*T179,VALUE('Capacity summary'!T91)),0),T179*$BI179),T179*$BI179),0)</f>
        <v>0</v>
      </c>
      <c r="BX179" s="5">
        <f>IF($BI179&lt;&gt;"",IF('Capacity summary'!$C$14="Yes",IF(COUNTBLANK('Capacity summary'!$H91:$BG91)&lt;52,IF('Capacity summary'!U91&lt;&gt;"",IF(LOWER('Capacity summary'!U91)="x",$BI179*U179,VALUE('Capacity summary'!U91)),0),U179*$BI179),U179*$BI179),0)</f>
        <v>0</v>
      </c>
      <c r="BY179" s="5">
        <f>IF($BI179&lt;&gt;"",IF('Capacity summary'!$C$14="Yes",IF(COUNTBLANK('Capacity summary'!$H91:$BG91)&lt;52,IF('Capacity summary'!V91&lt;&gt;"",IF(LOWER('Capacity summary'!V91)="x",$BI179*V179,VALUE('Capacity summary'!V91)),0),V179*$BI179),V179*$BI179),0)</f>
        <v>0</v>
      </c>
      <c r="BZ179" s="5">
        <f>IF($BI179&lt;&gt;"",IF('Capacity summary'!$C$14="Yes",IF(COUNTBLANK('Capacity summary'!$H91:$BG91)&lt;52,IF('Capacity summary'!W91&lt;&gt;"",IF(LOWER('Capacity summary'!W91)="x",$BI179*W179,VALUE('Capacity summary'!W91)),0),W179*$BI179),W179*$BI179),0)</f>
        <v>0</v>
      </c>
      <c r="CA179" s="5">
        <f>IF($BI179&lt;&gt;"",IF('Capacity summary'!$C$14="Yes",IF(COUNTBLANK('Capacity summary'!$H91:$BG91)&lt;52,IF('Capacity summary'!X91&lt;&gt;"",IF(LOWER('Capacity summary'!X91)="x",$BI179*X179,VALUE('Capacity summary'!X91)),0),X179*$BI179),X179*$BI179),0)</f>
        <v>0</v>
      </c>
      <c r="CB179" s="5">
        <f>IF($BI179&lt;&gt;"",IF('Capacity summary'!$C$14="Yes",IF(COUNTBLANK('Capacity summary'!$H91:$BG91)&lt;52,IF('Capacity summary'!Y91&lt;&gt;"",IF(LOWER('Capacity summary'!Y91)="x",$BI179*Y179,VALUE('Capacity summary'!Y91)),0),Y179*$BI179),Y179*$BI179),0)</f>
        <v>0</v>
      </c>
      <c r="CC179" s="5">
        <f>IF($BI179&lt;&gt;"",IF('Capacity summary'!$C$14="Yes",IF(COUNTBLANK('Capacity summary'!$H91:$BG91)&lt;52,IF('Capacity summary'!Z91&lt;&gt;"",IF(LOWER('Capacity summary'!Z91)="x",$BI179*Z179,VALUE('Capacity summary'!Z91)),0),Z179*$BI179),Z179*$BI179),0)</f>
        <v>0</v>
      </c>
      <c r="CD179" s="5">
        <f>IF($BI179&lt;&gt;"",IF('Capacity summary'!$C$14="Yes",IF(COUNTBLANK('Capacity summary'!$H91:$BG91)&lt;52,IF('Capacity summary'!AA91&lt;&gt;"",IF(LOWER('Capacity summary'!AA91)="x",$BI179*AA179,VALUE('Capacity summary'!AA91)),0),AA179*$BI179),AA179*$BI179),0)</f>
        <v>0</v>
      </c>
      <c r="CE179" s="5">
        <f>IF($BI179&lt;&gt;"",IF('Capacity summary'!$C$14="Yes",IF(COUNTBLANK('Capacity summary'!$H91:$BG91)&lt;52,IF('Capacity summary'!AB91&lt;&gt;"",IF(LOWER('Capacity summary'!AB91)="x",$BI179*AB179,VALUE('Capacity summary'!AB91)),0),AB179*$BI179),AB179*$BI179),0)</f>
        <v>0</v>
      </c>
      <c r="CF179" s="5">
        <f>IF($BI179&lt;&gt;"",IF('Capacity summary'!$C$14="Yes",IF(COUNTBLANK('Capacity summary'!$H91:$BG91)&lt;52,IF('Capacity summary'!AC91&lt;&gt;"",IF(LOWER('Capacity summary'!AC91)="x",$BI179*AC179,VALUE('Capacity summary'!AC91)),0),AC179*$BI179),AC179*$BI179),0)</f>
        <v>0</v>
      </c>
      <c r="CG179" s="5">
        <f>IF($BI179&lt;&gt;"",IF('Capacity summary'!$C$14="Yes",IF(COUNTBLANK('Capacity summary'!$H91:$BG91)&lt;52,IF('Capacity summary'!AD91&lt;&gt;"",IF(LOWER('Capacity summary'!AD91)="x",$BI179*AD179,VALUE('Capacity summary'!AD91)),0),AD179*$BI179),AD179*$BI179),0)</f>
        <v>0</v>
      </c>
      <c r="CH179" s="5">
        <f>IF($BI179&lt;&gt;"",IF('Capacity summary'!$C$14="Yes",IF(COUNTBLANK('Capacity summary'!$H91:$BG91)&lt;52,IF('Capacity summary'!AE91&lt;&gt;"",IF(LOWER('Capacity summary'!AE91)="x",$BI179*AE179,VALUE('Capacity summary'!AE91)),0),AE179*$BI179),AE179*$BI179),0)</f>
        <v>0</v>
      </c>
      <c r="CI179" s="5">
        <f>IF($BI179&lt;&gt;"",IF('Capacity summary'!$C$14="Yes",IF(COUNTBLANK('Capacity summary'!$H91:$BG91)&lt;52,IF('Capacity summary'!AF91&lt;&gt;"",IF(LOWER('Capacity summary'!AF91)="x",$BI179*AF179,VALUE('Capacity summary'!AF91)),0),AF179*$BI179),AF179*$BI179),0)</f>
        <v>0</v>
      </c>
      <c r="CJ179" s="5">
        <f>IF($BI179&lt;&gt;"",IF('Capacity summary'!$C$14="Yes",IF(COUNTBLANK('Capacity summary'!$H91:$BG91)&lt;52,IF('Capacity summary'!AG91&lt;&gt;"",IF(LOWER('Capacity summary'!AG91)="x",$BI179*AG179,VALUE('Capacity summary'!AG91)),0),AG179*$BI179),AG179*$BI179),0)</f>
        <v>0</v>
      </c>
      <c r="CK179" s="5">
        <f>IF($BI179&lt;&gt;"",IF('Capacity summary'!$C$14="Yes",IF(COUNTBLANK('Capacity summary'!$H91:$BG91)&lt;52,IF('Capacity summary'!AH91&lt;&gt;"",IF(LOWER('Capacity summary'!AH91)="x",$BI179*AH179,VALUE('Capacity summary'!AH91)),0),AH179*$BI179),AH179*$BI179),0)</f>
        <v>0</v>
      </c>
      <c r="CL179" s="5">
        <f>IF($BI179&lt;&gt;"",IF('Capacity summary'!$C$14="Yes",IF(COUNTBLANK('Capacity summary'!$H91:$BG91)&lt;52,IF('Capacity summary'!AI91&lt;&gt;"",IF(LOWER('Capacity summary'!AI91)="x",$BI179*AI179,VALUE('Capacity summary'!AI91)),0),AI179*$BI179),AI179*$BI179),0)</f>
        <v>0</v>
      </c>
      <c r="CM179" s="5">
        <f>IF($BI179&lt;&gt;"",IF('Capacity summary'!$C$14="Yes",IF(COUNTBLANK('Capacity summary'!$H91:$BG91)&lt;52,IF('Capacity summary'!AJ91&lt;&gt;"",IF(LOWER('Capacity summary'!AJ91)="x",$BI179*AJ179,VALUE('Capacity summary'!AJ91)),0),AJ179*$BI179),AJ179*$BI179),0)</f>
        <v>0</v>
      </c>
      <c r="CN179" s="5">
        <f>IF($BI179&lt;&gt;"",IF('Capacity summary'!$C$14="Yes",IF(COUNTBLANK('Capacity summary'!$H91:$BG91)&lt;52,IF('Capacity summary'!AK91&lt;&gt;"",IF(LOWER('Capacity summary'!AK91)="x",$BI179*AK179,VALUE('Capacity summary'!AK91)),0),AK179*$BI179),AK179*$BI179),0)</f>
        <v>0</v>
      </c>
      <c r="CO179" s="5">
        <f>IF($BI179&lt;&gt;"",IF('Capacity summary'!$C$14="Yes",IF(COUNTBLANK('Capacity summary'!$H91:$BG91)&lt;52,IF('Capacity summary'!AL91&lt;&gt;"",IF(LOWER('Capacity summary'!AL91)="x",$BI179*AL179,VALUE('Capacity summary'!AL91)),0),AL179*$BI179),AL179*$BI179),0)</f>
        <v>0</v>
      </c>
      <c r="CP179" s="5">
        <f>IF($BI179&lt;&gt;"",IF('Capacity summary'!$C$14="Yes",IF(COUNTBLANK('Capacity summary'!$H91:$BG91)&lt;52,IF('Capacity summary'!AM91&lt;&gt;"",IF(LOWER('Capacity summary'!AM91)="x",$BI179*AM179,VALUE('Capacity summary'!AM91)),0),AM179*$BI179),AM179*$BI179),0)</f>
        <v>0</v>
      </c>
      <c r="CQ179" s="5">
        <f>IF($BI179&lt;&gt;"",IF('Capacity summary'!$C$14="Yes",IF(COUNTBLANK('Capacity summary'!$H91:$BG91)&lt;52,IF('Capacity summary'!AN91&lt;&gt;"",IF(LOWER('Capacity summary'!AN91)="x",$BI179*AN179,VALUE('Capacity summary'!AN91)),0),AN179*$BI179),AN179*$BI179),0)</f>
        <v>0</v>
      </c>
      <c r="CR179" s="5">
        <f>IF($BI179&lt;&gt;"",IF('Capacity summary'!$C$14="Yes",IF(COUNTBLANK('Capacity summary'!$H91:$BG91)&lt;52,IF('Capacity summary'!AO91&lt;&gt;"",IF(LOWER('Capacity summary'!AO91)="x",$BI179*AO179,VALUE('Capacity summary'!AO91)),0),AO179*$BI179),AO179*$BI179),0)</f>
        <v>0</v>
      </c>
      <c r="CS179" s="5">
        <f>IF($BI179&lt;&gt;"",IF('Capacity summary'!$C$14="Yes",IF(COUNTBLANK('Capacity summary'!$H91:$BG91)&lt;52,IF('Capacity summary'!AP91&lt;&gt;"",IF(LOWER('Capacity summary'!AP91)="x",$BI179*AP179,VALUE('Capacity summary'!AP91)),0),AP179*$BI179),AP179*$BI179),0)</f>
        <v>0</v>
      </c>
      <c r="CT179" s="5">
        <f>IF($BI179&lt;&gt;"",IF('Capacity summary'!$C$14="Yes",IF(COUNTBLANK('Capacity summary'!$H91:$BG91)&lt;52,IF('Capacity summary'!AQ91&lt;&gt;"",IF(LOWER('Capacity summary'!AQ91)="x",$BI179*AQ179,VALUE('Capacity summary'!AQ91)),0),AQ179*$BI179),AQ179*$BI179),0)</f>
        <v>0</v>
      </c>
      <c r="CU179" s="5">
        <f>IF($BI179&lt;&gt;"",IF('Capacity summary'!$C$14="Yes",IF(COUNTBLANK('Capacity summary'!$H91:$BG91)&lt;52,IF('Capacity summary'!AR91&lt;&gt;"",IF(LOWER('Capacity summary'!AR91)="x",$BI179*AR179,VALUE('Capacity summary'!AR91)),0),AR179*$BI179),AR179*$BI179),0)</f>
        <v>0</v>
      </c>
      <c r="CV179" s="5">
        <f>IF($BI179&lt;&gt;"",IF('Capacity summary'!$C$14="Yes",IF(COUNTBLANK('Capacity summary'!$H91:$BG91)&lt;52,IF('Capacity summary'!AS91&lt;&gt;"",IF(LOWER('Capacity summary'!AS91)="x",$BI179*AS179,VALUE('Capacity summary'!AS91)),0),AS179*$BI179),AS179*$BI179),0)</f>
        <v>0</v>
      </c>
      <c r="CW179" s="5">
        <f>IF($BI179&lt;&gt;"",IF('Capacity summary'!$C$14="Yes",IF(COUNTBLANK('Capacity summary'!$H91:$BG91)&lt;52,IF('Capacity summary'!AT91&lt;&gt;"",IF(LOWER('Capacity summary'!AT91)="x",$BI179*AT179,VALUE('Capacity summary'!AT91)),0),AT179*$BI179),AT179*$BI179),0)</f>
        <v>0</v>
      </c>
      <c r="CX179" s="5">
        <f>IF($BI179&lt;&gt;"",IF('Capacity summary'!$C$14="Yes",IF(COUNTBLANK('Capacity summary'!$H91:$BG91)&lt;52,IF('Capacity summary'!AU91&lt;&gt;"",IF(LOWER('Capacity summary'!AU91)="x",$BI179*AU179,VALUE('Capacity summary'!AU91)),0),AU179*$BI179),AU179*$BI179),0)</f>
        <v>0</v>
      </c>
      <c r="CY179" s="5">
        <f>IF($BI179&lt;&gt;"",IF('Capacity summary'!$C$14="Yes",IF(COUNTBLANK('Capacity summary'!$H91:$BG91)&lt;52,IF('Capacity summary'!AV91&lt;&gt;"",IF(LOWER('Capacity summary'!AV91)="x",$BI179*AV179,VALUE('Capacity summary'!AV91)),0),AV179*$BI179),AV179*$BI179),0)</f>
        <v>0</v>
      </c>
      <c r="CZ179" s="5">
        <f>IF($BI179&lt;&gt;"",IF('Capacity summary'!$C$14="Yes",IF(COUNTBLANK('Capacity summary'!$H91:$BG91)&lt;52,IF('Capacity summary'!AW91&lt;&gt;"",IF(LOWER('Capacity summary'!AW91)="x",$BI179*AW179,VALUE('Capacity summary'!AW91)),0),AW179*$BI179),AW179*$BI179),0)</f>
        <v>0</v>
      </c>
      <c r="DA179" s="5">
        <f>IF($BI179&lt;&gt;"",IF('Capacity summary'!$C$14="Yes",IF(COUNTBLANK('Capacity summary'!$H91:$BG91)&lt;52,IF('Capacity summary'!AX91&lt;&gt;"",IF(LOWER('Capacity summary'!AX91)="x",$BI179*AX179,VALUE('Capacity summary'!AX91)),0),AX179*$BI179),AX179*$BI179),0)</f>
        <v>0</v>
      </c>
      <c r="DB179" s="5">
        <f>IF($BI179&lt;&gt;"",IF('Capacity summary'!$C$14="Yes",IF(COUNTBLANK('Capacity summary'!$H91:$BG91)&lt;52,IF('Capacity summary'!AY91&lt;&gt;"",IF(LOWER('Capacity summary'!AY91)="x",$BI179*AY179,VALUE('Capacity summary'!AY91)),0),AY179*$BI179),AY179*$BI179),0)</f>
        <v>0</v>
      </c>
      <c r="DC179" s="5">
        <f>IF($BI179&lt;&gt;"",IF('Capacity summary'!$C$14="Yes",IF(COUNTBLANK('Capacity summary'!$H91:$BG91)&lt;52,IF('Capacity summary'!AZ91&lt;&gt;"",IF(LOWER('Capacity summary'!AZ91)="x",$BI179*AZ179,VALUE('Capacity summary'!AZ91)),0),AZ179*$BI179),AZ179*$BI179),0)</f>
        <v>0</v>
      </c>
      <c r="DD179" s="5">
        <f>IF($BI179&lt;&gt;"",IF('Capacity summary'!$C$14="Yes",IF(COUNTBLANK('Capacity summary'!$H91:$BG91)&lt;52,IF('Capacity summary'!BA91&lt;&gt;"",IF(LOWER('Capacity summary'!BA91)="x",$BI179*BA179,VALUE('Capacity summary'!BA91)),0),BA179*$BI179),BA179*$BI179),0)</f>
        <v>0</v>
      </c>
      <c r="DE179" s="5">
        <f>IF($BI179&lt;&gt;"",IF('Capacity summary'!$C$14="Yes",IF(COUNTBLANK('Capacity summary'!$H91:$BG91)&lt;52,IF('Capacity summary'!BB91&lt;&gt;"",IF(LOWER('Capacity summary'!BB91)="x",$BI179*BB179,VALUE('Capacity summary'!BB91)),0),BB179*$BI179),BB179*$BI179),0)</f>
        <v>0</v>
      </c>
      <c r="DF179" s="5">
        <f>IF($BI179&lt;&gt;"",IF('Capacity summary'!$C$14="Yes",IF(COUNTBLANK('Capacity summary'!$H91:$BG91)&lt;52,IF('Capacity summary'!BC91&lt;&gt;"",IF(LOWER('Capacity summary'!BC91)="x",$BI179*BC179,VALUE('Capacity summary'!BC91)),0),BC179*$BI179),BC179*$BI179),0)</f>
        <v>0</v>
      </c>
      <c r="DG179" s="5">
        <f>IF($BI179&lt;&gt;"",IF('Capacity summary'!$C$14="Yes",IF(COUNTBLANK('Capacity summary'!$H91:$BG91)&lt;52,IF('Capacity summary'!BD91&lt;&gt;"",IF(LOWER('Capacity summary'!BD91)="x",$BI179*BD179,VALUE('Capacity summary'!BD91)),0),BD179*$BI179),BD179*$BI179),0)</f>
        <v>0</v>
      </c>
      <c r="DH179" s="5">
        <f>IF($BI179&lt;&gt;"",IF('Capacity summary'!$C$14="Yes",IF(COUNTBLANK('Capacity summary'!$H91:$BG91)&lt;52,IF('Capacity summary'!BE91&lt;&gt;"",IF(LOWER('Capacity summary'!BE91)="x",$BI179*BE179,VALUE('Capacity summary'!BE91)),0),BE179*$BI179),BE179*$BI179),0)</f>
        <v>0</v>
      </c>
      <c r="DI179" s="5">
        <f>IF($BI179&lt;&gt;"",IF('Capacity summary'!$C$14="Yes",IF(COUNTBLANK('Capacity summary'!$H91:$BG91)&lt;52,IF('Capacity summary'!BF91&lt;&gt;"",IF(LOWER('Capacity summary'!BF91)="x",$BI179*BF179,VALUE('Capacity summary'!BF91)),0),BF179*$BI179),BF179*$BI179),0)</f>
        <v>0</v>
      </c>
      <c r="DJ179" s="5">
        <f>IF($BI179&lt;&gt;"",IF('Capacity summary'!$C$14="Yes",IF(COUNTBLANK('Capacity summary'!$H91:$BG91)&lt;52,IF('Capacity summary'!BG91&lt;&gt;"",IF(LOWER('Capacity summary'!BG91)="x",$BI179*BG179,VALUE('Capacity summary'!BG91)),0),BG179*$BI179),BG179*$BI179),0)</f>
        <v>0</v>
      </c>
      <c r="DK179" s="391">
        <f t="shared" si="10"/>
        <v>0</v>
      </c>
      <c r="DL179" s="5">
        <f t="shared" si="11"/>
        <v>0</v>
      </c>
    </row>
    <row r="180" spans="3:116" x14ac:dyDescent="0.2">
      <c r="C180" s="67" t="str">
        <f>ROW(A69)&amp;". "&amp;Capacity!N85</f>
        <v xml:space="preserve">69. </v>
      </c>
      <c r="D180" s="67">
        <f>'Capacity setup'!C186</f>
        <v>0</v>
      </c>
      <c r="E180" s="67">
        <f>'Capacity setup'!D186</f>
        <v>0</v>
      </c>
      <c r="F180" s="67">
        <f>'Capacity setup'!E186</f>
        <v>0</v>
      </c>
      <c r="H180" s="67">
        <f ca="1">IF(LOWER(Capacity!$V85)="x",IF(AND(SUMIF(Capacity_Resource,$D180,'Critical resources (hide)'!U$6:U$105)+SUMIF(Capacity_Resource,$E180,'Critical resources (hide)'!U$6:U$105)+SUMIF(Capacity_Resource,$F180,'Critical resources (hide)'!U$6:U$105)&gt;0,$E$1=2),0,1),0)</f>
        <v>1</v>
      </c>
      <c r="I180" s="67">
        <f ca="1">IF(LOWER(Capacity!$V85)="x",IF(AND(SUMIF(Capacity_Resource,$D180,'Critical resources (hide)'!V$6:V$105)+SUMIF(Capacity_Resource,$E180,'Critical resources (hide)'!V$6:V$105)+SUMIF(Capacity_Resource,$F180,'Critical resources (hide)'!V$6:V$105)&gt;0,$E$1=2),0,1),0)</f>
        <v>1</v>
      </c>
      <c r="J180" s="67">
        <f ca="1">IF(LOWER(Capacity!$V85)="x",IF(AND(SUMIF(Capacity_Resource,$D180,'Critical resources (hide)'!W$6:W$105)+SUMIF(Capacity_Resource,$E180,'Critical resources (hide)'!W$6:W$105)+SUMIF(Capacity_Resource,$F180,'Critical resources (hide)'!W$6:W$105)&gt;0,$E$1=2),0,1),0)</f>
        <v>1</v>
      </c>
      <c r="K180" s="67">
        <f ca="1">IF(LOWER(Capacity!$V85)="x",IF(AND(SUMIF(Capacity_Resource,$D180,'Critical resources (hide)'!X$6:X$105)+SUMIF(Capacity_Resource,$E180,'Critical resources (hide)'!X$6:X$105)+SUMIF(Capacity_Resource,$F180,'Critical resources (hide)'!X$6:X$105)&gt;0,$E$1=2),0,1),0)</f>
        <v>1</v>
      </c>
      <c r="L180" s="67">
        <f ca="1">IF(LOWER(Capacity!$V85)="x",IF(AND(SUMIF(Capacity_Resource,$D180,'Critical resources (hide)'!Y$6:Y$105)+SUMIF(Capacity_Resource,$E180,'Critical resources (hide)'!Y$6:Y$105)+SUMIF(Capacity_Resource,$F180,'Critical resources (hide)'!Y$6:Y$105)&gt;0,$E$1=2),0,1),0)</f>
        <v>1</v>
      </c>
      <c r="M180" s="67">
        <f ca="1">IF(LOWER(Capacity!$V85)="x",IF(AND(SUMIF(Capacity_Resource,$D180,'Critical resources (hide)'!Z$6:Z$105)+SUMIF(Capacity_Resource,$E180,'Critical resources (hide)'!Z$6:Z$105)+SUMIF(Capacity_Resource,$F180,'Critical resources (hide)'!Z$6:Z$105)&gt;0,$E$1=2),0,1),0)</f>
        <v>1</v>
      </c>
      <c r="N180" s="67">
        <f ca="1">IF(LOWER(Capacity!$V85)="x",IF(AND(SUMIF(Capacity_Resource,$D180,'Critical resources (hide)'!AA$6:AA$105)+SUMIF(Capacity_Resource,$E180,'Critical resources (hide)'!AA$6:AA$105)+SUMIF(Capacity_Resource,$F180,'Critical resources (hide)'!AA$6:AA$105)&gt;0,$E$1=2),0,1),0)</f>
        <v>1</v>
      </c>
      <c r="O180" s="67">
        <f ca="1">IF(LOWER(Capacity!$V85)="x",IF(AND(SUMIF(Capacity_Resource,$D180,'Critical resources (hide)'!AB$6:AB$105)+SUMIF(Capacity_Resource,$E180,'Critical resources (hide)'!AB$6:AB$105)+SUMIF(Capacity_Resource,$F180,'Critical resources (hide)'!AB$6:AB$105)&gt;0,$E$1=2),0,1),0)</f>
        <v>1</v>
      </c>
      <c r="P180" s="67">
        <f ca="1">IF(LOWER(Capacity!$V85)="x",IF(AND(SUMIF(Capacity_Resource,$D180,'Critical resources (hide)'!AC$6:AC$105)+SUMIF(Capacity_Resource,$E180,'Critical resources (hide)'!AC$6:AC$105)+SUMIF(Capacity_Resource,$F180,'Critical resources (hide)'!AC$6:AC$105)&gt;0,$E$1=2),0,1),0)</f>
        <v>1</v>
      </c>
      <c r="Q180" s="67">
        <f ca="1">IF(LOWER(Capacity!$V85)="x",IF(AND(SUMIF(Capacity_Resource,$D180,'Critical resources (hide)'!AD$6:AD$105)+SUMIF(Capacity_Resource,$E180,'Critical resources (hide)'!AD$6:AD$105)+SUMIF(Capacity_Resource,$F180,'Critical resources (hide)'!AD$6:AD$105)&gt;0,$E$1=2),0,1),0)</f>
        <v>1</v>
      </c>
      <c r="R180" s="67">
        <f ca="1">IF(LOWER(Capacity!$V85)="x",IF(AND(SUMIF(Capacity_Resource,$D180,'Critical resources (hide)'!AE$6:AE$105)+SUMIF(Capacity_Resource,$E180,'Critical resources (hide)'!AE$6:AE$105)+SUMIF(Capacity_Resource,$F180,'Critical resources (hide)'!AE$6:AE$105)&gt;0,$E$1=2),0,1),0)</f>
        <v>1</v>
      </c>
      <c r="S180" s="67">
        <f ca="1">IF(LOWER(Capacity!$V85)="x",IF(AND(SUMIF(Capacity_Resource,$D180,'Critical resources (hide)'!AF$6:AF$105)+SUMIF(Capacity_Resource,$E180,'Critical resources (hide)'!AF$6:AF$105)+SUMIF(Capacity_Resource,$F180,'Critical resources (hide)'!AF$6:AF$105)&gt;0,$E$1=2),0,1),0)</f>
        <v>1</v>
      </c>
      <c r="T180" s="67">
        <f ca="1">IF(LOWER(Capacity!$V85)="x",IF(AND(SUMIF(Capacity_Resource,$D180,'Critical resources (hide)'!AG$6:AG$105)+SUMIF(Capacity_Resource,$E180,'Critical resources (hide)'!AG$6:AG$105)+SUMIF(Capacity_Resource,$F180,'Critical resources (hide)'!AG$6:AG$105)&gt;0,$E$1=2),0,1),0)</f>
        <v>1</v>
      </c>
      <c r="U180" s="67">
        <f ca="1">IF(LOWER(Capacity!$V85)="x",IF(AND(SUMIF(Capacity_Resource,$D180,'Critical resources (hide)'!AH$6:AH$105)+SUMIF(Capacity_Resource,$E180,'Critical resources (hide)'!AH$6:AH$105)+SUMIF(Capacity_Resource,$F180,'Critical resources (hide)'!AH$6:AH$105)&gt;0,$E$1=2),0,1),0)</f>
        <v>1</v>
      </c>
      <c r="V180" s="67">
        <f ca="1">IF(LOWER(Capacity!$V85)="x",IF(AND(SUMIF(Capacity_Resource,$D180,'Critical resources (hide)'!AI$6:AI$105)+SUMIF(Capacity_Resource,$E180,'Critical resources (hide)'!AI$6:AI$105)+SUMIF(Capacity_Resource,$F180,'Critical resources (hide)'!AI$6:AI$105)&gt;0,$E$1=2),0,1),0)</f>
        <v>1</v>
      </c>
      <c r="W180" s="67">
        <f ca="1">IF(LOWER(Capacity!$V85)="x",IF(AND(SUMIF(Capacity_Resource,$D180,'Critical resources (hide)'!AJ$6:AJ$105)+SUMIF(Capacity_Resource,$E180,'Critical resources (hide)'!AJ$6:AJ$105)+SUMIF(Capacity_Resource,$F180,'Critical resources (hide)'!AJ$6:AJ$105)&gt;0,$E$1=2),0,1),0)</f>
        <v>1</v>
      </c>
      <c r="X180" s="67">
        <f ca="1">IF(LOWER(Capacity!$V85)="x",IF(AND(SUMIF(Capacity_Resource,$D180,'Critical resources (hide)'!AK$6:AK$105)+SUMIF(Capacity_Resource,$E180,'Critical resources (hide)'!AK$6:AK$105)+SUMIF(Capacity_Resource,$F180,'Critical resources (hide)'!AK$6:AK$105)&gt;0,$E$1=2),0,1),0)</f>
        <v>1</v>
      </c>
      <c r="Y180" s="67">
        <f ca="1">IF(LOWER(Capacity!$V85)="x",IF(AND(SUMIF(Capacity_Resource,$D180,'Critical resources (hide)'!AL$6:AL$105)+SUMIF(Capacity_Resource,$E180,'Critical resources (hide)'!AL$6:AL$105)+SUMIF(Capacity_Resource,$F180,'Critical resources (hide)'!AL$6:AL$105)&gt;0,$E$1=2),0,1),0)</f>
        <v>1</v>
      </c>
      <c r="Z180" s="67">
        <f ca="1">IF(LOWER(Capacity!$V85)="x",IF(AND(SUMIF(Capacity_Resource,$D180,'Critical resources (hide)'!AM$6:AM$105)+SUMIF(Capacity_Resource,$E180,'Critical resources (hide)'!AM$6:AM$105)+SUMIF(Capacity_Resource,$F180,'Critical resources (hide)'!AM$6:AM$105)&gt;0,$E$1=2),0,1),0)</f>
        <v>1</v>
      </c>
      <c r="AA180" s="67">
        <f ca="1">IF(LOWER(Capacity!$V85)="x",IF(AND(SUMIF(Capacity_Resource,$D180,'Critical resources (hide)'!AN$6:AN$105)+SUMIF(Capacity_Resource,$E180,'Critical resources (hide)'!AN$6:AN$105)+SUMIF(Capacity_Resource,$F180,'Critical resources (hide)'!AN$6:AN$105)&gt;0,$E$1=2),0,1),0)</f>
        <v>1</v>
      </c>
      <c r="AB180" s="67">
        <f ca="1">IF(LOWER(Capacity!$V85)="x",IF(AND(SUMIF(Capacity_Resource,$D180,'Critical resources (hide)'!AO$6:AO$105)+SUMIF(Capacity_Resource,$E180,'Critical resources (hide)'!AO$6:AO$105)+SUMIF(Capacity_Resource,$F180,'Critical resources (hide)'!AO$6:AO$105)&gt;0,$E$1=2),0,1),0)</f>
        <v>1</v>
      </c>
      <c r="AC180" s="67">
        <f ca="1">IF(LOWER(Capacity!$V85)="x",IF(AND(SUMIF(Capacity_Resource,$D180,'Critical resources (hide)'!AP$6:AP$105)+SUMIF(Capacity_Resource,$E180,'Critical resources (hide)'!AP$6:AP$105)+SUMIF(Capacity_Resource,$F180,'Critical resources (hide)'!AP$6:AP$105)&gt;0,$E$1=2),0,1),0)</f>
        <v>1</v>
      </c>
      <c r="AD180" s="67">
        <f ca="1">IF(LOWER(Capacity!$V85)="x",IF(AND(SUMIF(Capacity_Resource,$D180,'Critical resources (hide)'!AQ$6:AQ$105)+SUMIF(Capacity_Resource,$E180,'Critical resources (hide)'!AQ$6:AQ$105)+SUMIF(Capacity_Resource,$F180,'Critical resources (hide)'!AQ$6:AQ$105)&gt;0,$E$1=2),0,1),0)</f>
        <v>1</v>
      </c>
      <c r="AE180" s="67">
        <f ca="1">IF(LOWER(Capacity!$V85)="x",IF(AND(SUMIF(Capacity_Resource,$D180,'Critical resources (hide)'!AR$6:AR$105)+SUMIF(Capacity_Resource,$E180,'Critical resources (hide)'!AR$6:AR$105)+SUMIF(Capacity_Resource,$F180,'Critical resources (hide)'!AR$6:AR$105)&gt;0,$E$1=2),0,1),0)</f>
        <v>1</v>
      </c>
      <c r="AF180" s="67">
        <f ca="1">IF(LOWER(Capacity!$V85)="x",IF(AND(SUMIF(Capacity_Resource,$D180,'Critical resources (hide)'!AS$6:AS$105)+SUMIF(Capacity_Resource,$E180,'Critical resources (hide)'!AS$6:AS$105)+SUMIF(Capacity_Resource,$F180,'Critical resources (hide)'!AS$6:AS$105)&gt;0,$E$1=2),0,1),0)</f>
        <v>1</v>
      </c>
      <c r="AG180" s="67">
        <f ca="1">IF(LOWER(Capacity!$V85)="x",IF(AND(SUMIF(Capacity_Resource,$D180,'Critical resources (hide)'!AT$6:AT$105)+SUMIF(Capacity_Resource,$E180,'Critical resources (hide)'!AT$6:AT$105)+SUMIF(Capacity_Resource,$F180,'Critical resources (hide)'!AT$6:AT$105)&gt;0,$E$1=2),0,1),0)</f>
        <v>1</v>
      </c>
      <c r="AH180" s="67">
        <f ca="1">IF(LOWER(Capacity!$V85)="x",IF(AND(SUMIF(Capacity_Resource,$D180,'Critical resources (hide)'!AU$6:AU$105)+SUMIF(Capacity_Resource,$E180,'Critical resources (hide)'!AU$6:AU$105)+SUMIF(Capacity_Resource,$F180,'Critical resources (hide)'!AU$6:AU$105)&gt;0,$E$1=2),0,1),0)</f>
        <v>1</v>
      </c>
      <c r="AI180" s="67">
        <f ca="1">IF(LOWER(Capacity!$V85)="x",IF(AND(SUMIF(Capacity_Resource,$D180,'Critical resources (hide)'!AV$6:AV$105)+SUMIF(Capacity_Resource,$E180,'Critical resources (hide)'!AV$6:AV$105)+SUMIF(Capacity_Resource,$F180,'Critical resources (hide)'!AV$6:AV$105)&gt;0,$E$1=2),0,1),0)</f>
        <v>1</v>
      </c>
      <c r="AJ180" s="67">
        <f ca="1">IF(LOWER(Capacity!$V85)="x",IF(AND(SUMIF(Capacity_Resource,$D180,'Critical resources (hide)'!AW$6:AW$105)+SUMIF(Capacity_Resource,$E180,'Critical resources (hide)'!AW$6:AW$105)+SUMIF(Capacity_Resource,$F180,'Critical resources (hide)'!AW$6:AW$105)&gt;0,$E$1=2),0,1),0)</f>
        <v>1</v>
      </c>
      <c r="AK180" s="67">
        <f ca="1">IF(LOWER(Capacity!$V85)="x",IF(AND(SUMIF(Capacity_Resource,$D180,'Critical resources (hide)'!AX$6:AX$105)+SUMIF(Capacity_Resource,$E180,'Critical resources (hide)'!AX$6:AX$105)+SUMIF(Capacity_Resource,$F180,'Critical resources (hide)'!AX$6:AX$105)&gt;0,$E$1=2),0,1),0)</f>
        <v>1</v>
      </c>
      <c r="AL180" s="67">
        <f ca="1">IF(LOWER(Capacity!$V85)="x",IF(AND(SUMIF(Capacity_Resource,$D180,'Critical resources (hide)'!AY$6:AY$105)+SUMIF(Capacity_Resource,$E180,'Critical resources (hide)'!AY$6:AY$105)+SUMIF(Capacity_Resource,$F180,'Critical resources (hide)'!AY$6:AY$105)&gt;0,$E$1=2),0,1),0)</f>
        <v>1</v>
      </c>
      <c r="AM180" s="67">
        <f ca="1">IF(LOWER(Capacity!$V85)="x",IF(AND(SUMIF(Capacity_Resource,$D180,'Critical resources (hide)'!AZ$6:AZ$105)+SUMIF(Capacity_Resource,$E180,'Critical resources (hide)'!AZ$6:AZ$105)+SUMIF(Capacity_Resource,$F180,'Critical resources (hide)'!AZ$6:AZ$105)&gt;0,$E$1=2),0,1),0)</f>
        <v>1</v>
      </c>
      <c r="AN180" s="67">
        <f ca="1">IF(LOWER(Capacity!$V85)="x",IF(AND(SUMIF(Capacity_Resource,$D180,'Critical resources (hide)'!BA$6:BA$105)+SUMIF(Capacity_Resource,$E180,'Critical resources (hide)'!BA$6:BA$105)+SUMIF(Capacity_Resource,$F180,'Critical resources (hide)'!BA$6:BA$105)&gt;0,$E$1=2),0,1),0)</f>
        <v>1</v>
      </c>
      <c r="AO180" s="67">
        <f ca="1">IF(LOWER(Capacity!$V85)="x",IF(AND(SUMIF(Capacity_Resource,$D180,'Critical resources (hide)'!BB$6:BB$105)+SUMIF(Capacity_Resource,$E180,'Critical resources (hide)'!BB$6:BB$105)+SUMIF(Capacity_Resource,$F180,'Critical resources (hide)'!BB$6:BB$105)&gt;0,$E$1=2),0,1),0)</f>
        <v>1</v>
      </c>
      <c r="AP180" s="67">
        <f ca="1">IF(LOWER(Capacity!$V85)="x",IF(AND(SUMIF(Capacity_Resource,$D180,'Critical resources (hide)'!BC$6:BC$105)+SUMIF(Capacity_Resource,$E180,'Critical resources (hide)'!BC$6:BC$105)+SUMIF(Capacity_Resource,$F180,'Critical resources (hide)'!BC$6:BC$105)&gt;0,$E$1=2),0,1),0)</f>
        <v>1</v>
      </c>
      <c r="AQ180" s="67">
        <f ca="1">IF(LOWER(Capacity!$V85)="x",IF(AND(SUMIF(Capacity_Resource,$D180,'Critical resources (hide)'!BD$6:BD$105)+SUMIF(Capacity_Resource,$E180,'Critical resources (hide)'!BD$6:BD$105)+SUMIF(Capacity_Resource,$F180,'Critical resources (hide)'!BD$6:BD$105)&gt;0,$E$1=2),0,1),0)</f>
        <v>1</v>
      </c>
      <c r="AR180" s="67">
        <f ca="1">IF(LOWER(Capacity!$V85)="x",IF(AND(SUMIF(Capacity_Resource,$D180,'Critical resources (hide)'!BE$6:BE$105)+SUMIF(Capacity_Resource,$E180,'Critical resources (hide)'!BE$6:BE$105)+SUMIF(Capacity_Resource,$F180,'Critical resources (hide)'!BE$6:BE$105)&gt;0,$E$1=2),0,1),0)</f>
        <v>1</v>
      </c>
      <c r="AS180" s="67">
        <f ca="1">IF(LOWER(Capacity!$V85)="x",IF(AND(SUMIF(Capacity_Resource,$D180,'Critical resources (hide)'!BF$6:BF$105)+SUMIF(Capacity_Resource,$E180,'Critical resources (hide)'!BF$6:BF$105)+SUMIF(Capacity_Resource,$F180,'Critical resources (hide)'!BF$6:BF$105)&gt;0,$E$1=2),0,1),0)</f>
        <v>1</v>
      </c>
      <c r="AT180" s="67">
        <f ca="1">IF(LOWER(Capacity!$V85)="x",IF(AND(SUMIF(Capacity_Resource,$D180,'Critical resources (hide)'!BG$6:BG$105)+SUMIF(Capacity_Resource,$E180,'Critical resources (hide)'!BG$6:BG$105)+SUMIF(Capacity_Resource,$F180,'Critical resources (hide)'!BG$6:BG$105)&gt;0,$E$1=2),0,1),0)</f>
        <v>1</v>
      </c>
      <c r="AU180" s="67">
        <f ca="1">IF(LOWER(Capacity!$V85)="x",IF(AND(SUMIF(Capacity_Resource,$D180,'Critical resources (hide)'!BH$6:BH$105)+SUMIF(Capacity_Resource,$E180,'Critical resources (hide)'!BH$6:BH$105)+SUMIF(Capacity_Resource,$F180,'Critical resources (hide)'!BH$6:BH$105)&gt;0,$E$1=2),0,1),0)</f>
        <v>1</v>
      </c>
      <c r="AV180" s="67">
        <f ca="1">IF(LOWER(Capacity!$V85)="x",IF(AND(SUMIF(Capacity_Resource,$D180,'Critical resources (hide)'!BI$6:BI$105)+SUMIF(Capacity_Resource,$E180,'Critical resources (hide)'!BI$6:BI$105)+SUMIF(Capacity_Resource,$F180,'Critical resources (hide)'!BI$6:BI$105)&gt;0,$E$1=2),0,1),0)</f>
        <v>1</v>
      </c>
      <c r="AW180" s="67">
        <f ca="1">IF(LOWER(Capacity!$V85)="x",IF(AND(SUMIF(Capacity_Resource,$D180,'Critical resources (hide)'!BJ$6:BJ$105)+SUMIF(Capacity_Resource,$E180,'Critical resources (hide)'!BJ$6:BJ$105)+SUMIF(Capacity_Resource,$F180,'Critical resources (hide)'!BJ$6:BJ$105)&gt;0,$E$1=2),0,1),0)</f>
        <v>1</v>
      </c>
      <c r="AX180" s="67">
        <f ca="1">IF(LOWER(Capacity!$V85)="x",IF(AND(SUMIF(Capacity_Resource,$D180,'Critical resources (hide)'!BK$6:BK$105)+SUMIF(Capacity_Resource,$E180,'Critical resources (hide)'!BK$6:BK$105)+SUMIF(Capacity_Resource,$F180,'Critical resources (hide)'!BK$6:BK$105)&gt;0,$E$1=2),0,1),0)</f>
        <v>1</v>
      </c>
      <c r="AY180" s="67">
        <f ca="1">IF(LOWER(Capacity!$V85)="x",IF(AND(SUMIF(Capacity_Resource,$D180,'Critical resources (hide)'!BL$6:BL$105)+SUMIF(Capacity_Resource,$E180,'Critical resources (hide)'!BL$6:BL$105)+SUMIF(Capacity_Resource,$F180,'Critical resources (hide)'!BL$6:BL$105)&gt;0,$E$1=2),0,1),0)</f>
        <v>1</v>
      </c>
      <c r="AZ180" s="67">
        <f ca="1">IF(LOWER(Capacity!$V85)="x",IF(AND(SUMIF(Capacity_Resource,$D180,'Critical resources (hide)'!BM$6:BM$105)+SUMIF(Capacity_Resource,$E180,'Critical resources (hide)'!BM$6:BM$105)+SUMIF(Capacity_Resource,$F180,'Critical resources (hide)'!BM$6:BM$105)&gt;0,$E$1=2),0,1),0)</f>
        <v>1</v>
      </c>
      <c r="BA180" s="67">
        <f ca="1">IF(LOWER(Capacity!$V85)="x",IF(AND(SUMIF(Capacity_Resource,$D180,'Critical resources (hide)'!BN$6:BN$105)+SUMIF(Capacity_Resource,$E180,'Critical resources (hide)'!BN$6:BN$105)+SUMIF(Capacity_Resource,$F180,'Critical resources (hide)'!BN$6:BN$105)&gt;0,$E$1=2),0,1),0)</f>
        <v>1</v>
      </c>
      <c r="BB180" s="67">
        <f ca="1">IF(LOWER(Capacity!$V85)="x",IF(AND(SUMIF(Capacity_Resource,$D180,'Critical resources (hide)'!BO$6:BO$105)+SUMIF(Capacity_Resource,$E180,'Critical resources (hide)'!BO$6:BO$105)+SUMIF(Capacity_Resource,$F180,'Critical resources (hide)'!BO$6:BO$105)&gt;0,$E$1=2),0,1),0)</f>
        <v>1</v>
      </c>
      <c r="BC180" s="67">
        <f ca="1">IF(LOWER(Capacity!$V85)="x",IF(AND(SUMIF(Capacity_Resource,$D180,'Critical resources (hide)'!BP$6:BP$105)+SUMIF(Capacity_Resource,$E180,'Critical resources (hide)'!BP$6:BP$105)+SUMIF(Capacity_Resource,$F180,'Critical resources (hide)'!BP$6:BP$105)&gt;0,$E$1=2),0,1),0)</f>
        <v>1</v>
      </c>
      <c r="BD180" s="67">
        <f ca="1">IF(LOWER(Capacity!$V85)="x",IF(AND(SUMIF(Capacity_Resource,$D180,'Critical resources (hide)'!BQ$6:BQ$105)+SUMIF(Capacity_Resource,$E180,'Critical resources (hide)'!BQ$6:BQ$105)+SUMIF(Capacity_Resource,$F180,'Critical resources (hide)'!BQ$6:BQ$105)&gt;0,$E$1=2),0,1),0)</f>
        <v>1</v>
      </c>
      <c r="BE180" s="67">
        <f ca="1">IF(LOWER(Capacity!$V85)="x",IF(AND(SUMIF(Capacity_Resource,$D180,'Critical resources (hide)'!BR$6:BR$105)+SUMIF(Capacity_Resource,$E180,'Critical resources (hide)'!BR$6:BR$105)+SUMIF(Capacity_Resource,$F180,'Critical resources (hide)'!BR$6:BR$105)&gt;0,$E$1=2),0,1),0)</f>
        <v>1</v>
      </c>
      <c r="BF180" s="67">
        <f ca="1">IF(LOWER(Capacity!$V85)="x",IF(AND(SUMIF(Capacity_Resource,$D180,'Critical resources (hide)'!BS$6:BS$105)+SUMIF(Capacity_Resource,$E180,'Critical resources (hide)'!BS$6:BS$105)+SUMIF(Capacity_Resource,$F180,'Critical resources (hide)'!BS$6:BS$105)&gt;0,$E$1=2),0,1),0)</f>
        <v>1</v>
      </c>
      <c r="BG180" s="67">
        <f ca="1">IF(LOWER(Capacity!$V85)="x",IF(AND(SUMIF(Capacity_Resource,$D180,'Critical resources (hide)'!BT$6:BT$105)+SUMIF(Capacity_Resource,$E180,'Critical resources (hide)'!BT$6:BT$105)+SUMIF(Capacity_Resource,$F180,'Critical resources (hide)'!BT$6:BT$105)&gt;0,$E$1=2),0,1),0)</f>
        <v>1</v>
      </c>
      <c r="BH180" s="67">
        <f>IF(ROW(A69)&lt;=Capacity!$M$16,IF('Capacity summary'!$C$14="No",SUM(H180:BG180),'Capacity summary'!$E92),0)</f>
        <v>0</v>
      </c>
      <c r="BI180" s="67" t="str">
        <f>IF(BH180&gt;0,IF(BH180&lt;Capacity!Q85,Capacity!R85,Capacity!T85/'Capacity calculation (hide)'!BH180),"")</f>
        <v/>
      </c>
      <c r="BJ180" s="5"/>
      <c r="BK180" s="5">
        <f>IF($BI180&lt;&gt;"",IF('Capacity summary'!$C$14="Yes",IF(COUNTBLANK('Capacity summary'!$H92:$BG92)&lt;52,IF('Capacity summary'!H92&lt;&gt;"",IF(LOWER('Capacity summary'!H92)="x",$BI180*H180,VALUE('Capacity summary'!H92)),0),H180*$BI180),H180*$BI180),0)</f>
        <v>0</v>
      </c>
      <c r="BL180" s="5">
        <f>IF($BI180&lt;&gt;"",IF('Capacity summary'!$C$14="Yes",IF(COUNTBLANK('Capacity summary'!$H92:$BG92)&lt;52,IF('Capacity summary'!I92&lt;&gt;"",IF(LOWER('Capacity summary'!I92)="x",$BI180*I180,VALUE('Capacity summary'!I92)),0),I180*$BI180),I180*$BI180),0)</f>
        <v>0</v>
      </c>
      <c r="BM180" s="5">
        <f>IF($BI180&lt;&gt;"",IF('Capacity summary'!$C$14="Yes",IF(COUNTBLANK('Capacity summary'!$H92:$BG92)&lt;52,IF('Capacity summary'!J92&lt;&gt;"",IF(LOWER('Capacity summary'!J92)="x",$BI180*J180,VALUE('Capacity summary'!J92)),0),J180*$BI180),J180*$BI180),0)</f>
        <v>0</v>
      </c>
      <c r="BN180" s="5">
        <f>IF($BI180&lt;&gt;"",IF('Capacity summary'!$C$14="Yes",IF(COUNTBLANK('Capacity summary'!$H92:$BG92)&lt;52,IF('Capacity summary'!K92&lt;&gt;"",IF(LOWER('Capacity summary'!K92)="x",$BI180*K180,VALUE('Capacity summary'!K92)),0),K180*$BI180),K180*$BI180),0)</f>
        <v>0</v>
      </c>
      <c r="BO180" s="5">
        <f>IF($BI180&lt;&gt;"",IF('Capacity summary'!$C$14="Yes",IF(COUNTBLANK('Capacity summary'!$H92:$BG92)&lt;52,IF('Capacity summary'!L92&lt;&gt;"",IF(LOWER('Capacity summary'!L92)="x",$BI180*L180,VALUE('Capacity summary'!L92)),0),L180*$BI180),L180*$BI180),0)</f>
        <v>0</v>
      </c>
      <c r="BP180" s="5">
        <f>IF($BI180&lt;&gt;"",IF('Capacity summary'!$C$14="Yes",IF(COUNTBLANK('Capacity summary'!$H92:$BG92)&lt;52,IF('Capacity summary'!M92&lt;&gt;"",IF(LOWER('Capacity summary'!M92)="x",$BI180*M180,VALUE('Capacity summary'!M92)),0),M180*$BI180),M180*$BI180),0)</f>
        <v>0</v>
      </c>
      <c r="BQ180" s="5">
        <f>IF($BI180&lt;&gt;"",IF('Capacity summary'!$C$14="Yes",IF(COUNTBLANK('Capacity summary'!$H92:$BG92)&lt;52,IF('Capacity summary'!N92&lt;&gt;"",IF(LOWER('Capacity summary'!N92)="x",$BI180*N180,VALUE('Capacity summary'!N92)),0),N180*$BI180),N180*$BI180),0)</f>
        <v>0</v>
      </c>
      <c r="BR180" s="5">
        <f>IF($BI180&lt;&gt;"",IF('Capacity summary'!$C$14="Yes",IF(COUNTBLANK('Capacity summary'!$H92:$BG92)&lt;52,IF('Capacity summary'!O92&lt;&gt;"",IF(LOWER('Capacity summary'!O92)="x",$BI180*O180,VALUE('Capacity summary'!O92)),0),O180*$BI180),O180*$BI180),0)</f>
        <v>0</v>
      </c>
      <c r="BS180" s="5">
        <f>IF($BI180&lt;&gt;"",IF('Capacity summary'!$C$14="Yes",IF(COUNTBLANK('Capacity summary'!$H92:$BG92)&lt;52,IF('Capacity summary'!P92&lt;&gt;"",IF(LOWER('Capacity summary'!P92)="x",$BI180*P180,VALUE('Capacity summary'!P92)),0),P180*$BI180),P180*$BI180),0)</f>
        <v>0</v>
      </c>
      <c r="BT180" s="5">
        <f>IF($BI180&lt;&gt;"",IF('Capacity summary'!$C$14="Yes",IF(COUNTBLANK('Capacity summary'!$H92:$BG92)&lt;52,IF('Capacity summary'!Q92&lt;&gt;"",IF(LOWER('Capacity summary'!Q92)="x",$BI180*Q180,VALUE('Capacity summary'!Q92)),0),Q180*$BI180),Q180*$BI180),0)</f>
        <v>0</v>
      </c>
      <c r="BU180" s="5">
        <f>IF($BI180&lt;&gt;"",IF('Capacity summary'!$C$14="Yes",IF(COUNTBLANK('Capacity summary'!$H92:$BG92)&lt;52,IF('Capacity summary'!R92&lt;&gt;"",IF(LOWER('Capacity summary'!R92)="x",$BI180*R180,VALUE('Capacity summary'!R92)),0),R180*$BI180),R180*$BI180),0)</f>
        <v>0</v>
      </c>
      <c r="BV180" s="5">
        <f>IF($BI180&lt;&gt;"",IF('Capacity summary'!$C$14="Yes",IF(COUNTBLANK('Capacity summary'!$H92:$BG92)&lt;52,IF('Capacity summary'!S92&lt;&gt;"",IF(LOWER('Capacity summary'!S92)="x",$BI180*S180,VALUE('Capacity summary'!S92)),0),S180*$BI180),S180*$BI180),0)</f>
        <v>0</v>
      </c>
      <c r="BW180" s="5">
        <f>IF($BI180&lt;&gt;"",IF('Capacity summary'!$C$14="Yes",IF(COUNTBLANK('Capacity summary'!$H92:$BG92)&lt;52,IF('Capacity summary'!T92&lt;&gt;"",IF(LOWER('Capacity summary'!T92)="x",$BI180*T180,VALUE('Capacity summary'!T92)),0),T180*$BI180),T180*$BI180),0)</f>
        <v>0</v>
      </c>
      <c r="BX180" s="5">
        <f>IF($BI180&lt;&gt;"",IF('Capacity summary'!$C$14="Yes",IF(COUNTBLANK('Capacity summary'!$H92:$BG92)&lt;52,IF('Capacity summary'!U92&lt;&gt;"",IF(LOWER('Capacity summary'!U92)="x",$BI180*U180,VALUE('Capacity summary'!U92)),0),U180*$BI180),U180*$BI180),0)</f>
        <v>0</v>
      </c>
      <c r="BY180" s="5">
        <f>IF($BI180&lt;&gt;"",IF('Capacity summary'!$C$14="Yes",IF(COUNTBLANK('Capacity summary'!$H92:$BG92)&lt;52,IF('Capacity summary'!V92&lt;&gt;"",IF(LOWER('Capacity summary'!V92)="x",$BI180*V180,VALUE('Capacity summary'!V92)),0),V180*$BI180),V180*$BI180),0)</f>
        <v>0</v>
      </c>
      <c r="BZ180" s="5">
        <f>IF($BI180&lt;&gt;"",IF('Capacity summary'!$C$14="Yes",IF(COUNTBLANK('Capacity summary'!$H92:$BG92)&lt;52,IF('Capacity summary'!W92&lt;&gt;"",IF(LOWER('Capacity summary'!W92)="x",$BI180*W180,VALUE('Capacity summary'!W92)),0),W180*$BI180),W180*$BI180),0)</f>
        <v>0</v>
      </c>
      <c r="CA180" s="5">
        <f>IF($BI180&lt;&gt;"",IF('Capacity summary'!$C$14="Yes",IF(COUNTBLANK('Capacity summary'!$H92:$BG92)&lt;52,IF('Capacity summary'!X92&lt;&gt;"",IF(LOWER('Capacity summary'!X92)="x",$BI180*X180,VALUE('Capacity summary'!X92)),0),X180*$BI180),X180*$BI180),0)</f>
        <v>0</v>
      </c>
      <c r="CB180" s="5">
        <f>IF($BI180&lt;&gt;"",IF('Capacity summary'!$C$14="Yes",IF(COUNTBLANK('Capacity summary'!$H92:$BG92)&lt;52,IF('Capacity summary'!Y92&lt;&gt;"",IF(LOWER('Capacity summary'!Y92)="x",$BI180*Y180,VALUE('Capacity summary'!Y92)),0),Y180*$BI180),Y180*$BI180),0)</f>
        <v>0</v>
      </c>
      <c r="CC180" s="5">
        <f>IF($BI180&lt;&gt;"",IF('Capacity summary'!$C$14="Yes",IF(COUNTBLANK('Capacity summary'!$H92:$BG92)&lt;52,IF('Capacity summary'!Z92&lt;&gt;"",IF(LOWER('Capacity summary'!Z92)="x",$BI180*Z180,VALUE('Capacity summary'!Z92)),0),Z180*$BI180),Z180*$BI180),0)</f>
        <v>0</v>
      </c>
      <c r="CD180" s="5">
        <f>IF($BI180&lt;&gt;"",IF('Capacity summary'!$C$14="Yes",IF(COUNTBLANK('Capacity summary'!$H92:$BG92)&lt;52,IF('Capacity summary'!AA92&lt;&gt;"",IF(LOWER('Capacity summary'!AA92)="x",$BI180*AA180,VALUE('Capacity summary'!AA92)),0),AA180*$BI180),AA180*$BI180),0)</f>
        <v>0</v>
      </c>
      <c r="CE180" s="5">
        <f>IF($BI180&lt;&gt;"",IF('Capacity summary'!$C$14="Yes",IF(COUNTBLANK('Capacity summary'!$H92:$BG92)&lt;52,IF('Capacity summary'!AB92&lt;&gt;"",IF(LOWER('Capacity summary'!AB92)="x",$BI180*AB180,VALUE('Capacity summary'!AB92)),0),AB180*$BI180),AB180*$BI180),0)</f>
        <v>0</v>
      </c>
      <c r="CF180" s="5">
        <f>IF($BI180&lt;&gt;"",IF('Capacity summary'!$C$14="Yes",IF(COUNTBLANK('Capacity summary'!$H92:$BG92)&lt;52,IF('Capacity summary'!AC92&lt;&gt;"",IF(LOWER('Capacity summary'!AC92)="x",$BI180*AC180,VALUE('Capacity summary'!AC92)),0),AC180*$BI180),AC180*$BI180),0)</f>
        <v>0</v>
      </c>
      <c r="CG180" s="5">
        <f>IF($BI180&lt;&gt;"",IF('Capacity summary'!$C$14="Yes",IF(COUNTBLANK('Capacity summary'!$H92:$BG92)&lt;52,IF('Capacity summary'!AD92&lt;&gt;"",IF(LOWER('Capacity summary'!AD92)="x",$BI180*AD180,VALUE('Capacity summary'!AD92)),0),AD180*$BI180),AD180*$BI180),0)</f>
        <v>0</v>
      </c>
      <c r="CH180" s="5">
        <f>IF($BI180&lt;&gt;"",IF('Capacity summary'!$C$14="Yes",IF(COUNTBLANK('Capacity summary'!$H92:$BG92)&lt;52,IF('Capacity summary'!AE92&lt;&gt;"",IF(LOWER('Capacity summary'!AE92)="x",$BI180*AE180,VALUE('Capacity summary'!AE92)),0),AE180*$BI180),AE180*$BI180),0)</f>
        <v>0</v>
      </c>
      <c r="CI180" s="5">
        <f>IF($BI180&lt;&gt;"",IF('Capacity summary'!$C$14="Yes",IF(COUNTBLANK('Capacity summary'!$H92:$BG92)&lt;52,IF('Capacity summary'!AF92&lt;&gt;"",IF(LOWER('Capacity summary'!AF92)="x",$BI180*AF180,VALUE('Capacity summary'!AF92)),0),AF180*$BI180),AF180*$BI180),0)</f>
        <v>0</v>
      </c>
      <c r="CJ180" s="5">
        <f>IF($BI180&lt;&gt;"",IF('Capacity summary'!$C$14="Yes",IF(COUNTBLANK('Capacity summary'!$H92:$BG92)&lt;52,IF('Capacity summary'!AG92&lt;&gt;"",IF(LOWER('Capacity summary'!AG92)="x",$BI180*AG180,VALUE('Capacity summary'!AG92)),0),AG180*$BI180),AG180*$BI180),0)</f>
        <v>0</v>
      </c>
      <c r="CK180" s="5">
        <f>IF($BI180&lt;&gt;"",IF('Capacity summary'!$C$14="Yes",IF(COUNTBLANK('Capacity summary'!$H92:$BG92)&lt;52,IF('Capacity summary'!AH92&lt;&gt;"",IF(LOWER('Capacity summary'!AH92)="x",$BI180*AH180,VALUE('Capacity summary'!AH92)),0),AH180*$BI180),AH180*$BI180),0)</f>
        <v>0</v>
      </c>
      <c r="CL180" s="5">
        <f>IF($BI180&lt;&gt;"",IF('Capacity summary'!$C$14="Yes",IF(COUNTBLANK('Capacity summary'!$H92:$BG92)&lt;52,IF('Capacity summary'!AI92&lt;&gt;"",IF(LOWER('Capacity summary'!AI92)="x",$BI180*AI180,VALUE('Capacity summary'!AI92)),0),AI180*$BI180),AI180*$BI180),0)</f>
        <v>0</v>
      </c>
      <c r="CM180" s="5">
        <f>IF($BI180&lt;&gt;"",IF('Capacity summary'!$C$14="Yes",IF(COUNTBLANK('Capacity summary'!$H92:$BG92)&lt;52,IF('Capacity summary'!AJ92&lt;&gt;"",IF(LOWER('Capacity summary'!AJ92)="x",$BI180*AJ180,VALUE('Capacity summary'!AJ92)),0),AJ180*$BI180),AJ180*$BI180),0)</f>
        <v>0</v>
      </c>
      <c r="CN180" s="5">
        <f>IF($BI180&lt;&gt;"",IF('Capacity summary'!$C$14="Yes",IF(COUNTBLANK('Capacity summary'!$H92:$BG92)&lt;52,IF('Capacity summary'!AK92&lt;&gt;"",IF(LOWER('Capacity summary'!AK92)="x",$BI180*AK180,VALUE('Capacity summary'!AK92)),0),AK180*$BI180),AK180*$BI180),0)</f>
        <v>0</v>
      </c>
      <c r="CO180" s="5">
        <f>IF($BI180&lt;&gt;"",IF('Capacity summary'!$C$14="Yes",IF(COUNTBLANK('Capacity summary'!$H92:$BG92)&lt;52,IF('Capacity summary'!AL92&lt;&gt;"",IF(LOWER('Capacity summary'!AL92)="x",$BI180*AL180,VALUE('Capacity summary'!AL92)),0),AL180*$BI180),AL180*$BI180),0)</f>
        <v>0</v>
      </c>
      <c r="CP180" s="5">
        <f>IF($BI180&lt;&gt;"",IF('Capacity summary'!$C$14="Yes",IF(COUNTBLANK('Capacity summary'!$H92:$BG92)&lt;52,IF('Capacity summary'!AM92&lt;&gt;"",IF(LOWER('Capacity summary'!AM92)="x",$BI180*AM180,VALUE('Capacity summary'!AM92)),0),AM180*$BI180),AM180*$BI180),0)</f>
        <v>0</v>
      </c>
      <c r="CQ180" s="5">
        <f>IF($BI180&lt;&gt;"",IF('Capacity summary'!$C$14="Yes",IF(COUNTBLANK('Capacity summary'!$H92:$BG92)&lt;52,IF('Capacity summary'!AN92&lt;&gt;"",IF(LOWER('Capacity summary'!AN92)="x",$BI180*AN180,VALUE('Capacity summary'!AN92)),0),AN180*$BI180),AN180*$BI180),0)</f>
        <v>0</v>
      </c>
      <c r="CR180" s="5">
        <f>IF($BI180&lt;&gt;"",IF('Capacity summary'!$C$14="Yes",IF(COUNTBLANK('Capacity summary'!$H92:$BG92)&lt;52,IF('Capacity summary'!AO92&lt;&gt;"",IF(LOWER('Capacity summary'!AO92)="x",$BI180*AO180,VALUE('Capacity summary'!AO92)),0),AO180*$BI180),AO180*$BI180),0)</f>
        <v>0</v>
      </c>
      <c r="CS180" s="5">
        <f>IF($BI180&lt;&gt;"",IF('Capacity summary'!$C$14="Yes",IF(COUNTBLANK('Capacity summary'!$H92:$BG92)&lt;52,IF('Capacity summary'!AP92&lt;&gt;"",IF(LOWER('Capacity summary'!AP92)="x",$BI180*AP180,VALUE('Capacity summary'!AP92)),0),AP180*$BI180),AP180*$BI180),0)</f>
        <v>0</v>
      </c>
      <c r="CT180" s="5">
        <f>IF($BI180&lt;&gt;"",IF('Capacity summary'!$C$14="Yes",IF(COUNTBLANK('Capacity summary'!$H92:$BG92)&lt;52,IF('Capacity summary'!AQ92&lt;&gt;"",IF(LOWER('Capacity summary'!AQ92)="x",$BI180*AQ180,VALUE('Capacity summary'!AQ92)),0),AQ180*$BI180),AQ180*$BI180),0)</f>
        <v>0</v>
      </c>
      <c r="CU180" s="5">
        <f>IF($BI180&lt;&gt;"",IF('Capacity summary'!$C$14="Yes",IF(COUNTBLANK('Capacity summary'!$H92:$BG92)&lt;52,IF('Capacity summary'!AR92&lt;&gt;"",IF(LOWER('Capacity summary'!AR92)="x",$BI180*AR180,VALUE('Capacity summary'!AR92)),0),AR180*$BI180),AR180*$BI180),0)</f>
        <v>0</v>
      </c>
      <c r="CV180" s="5">
        <f>IF($BI180&lt;&gt;"",IF('Capacity summary'!$C$14="Yes",IF(COUNTBLANK('Capacity summary'!$H92:$BG92)&lt;52,IF('Capacity summary'!AS92&lt;&gt;"",IF(LOWER('Capacity summary'!AS92)="x",$BI180*AS180,VALUE('Capacity summary'!AS92)),0),AS180*$BI180),AS180*$BI180),0)</f>
        <v>0</v>
      </c>
      <c r="CW180" s="5">
        <f>IF($BI180&lt;&gt;"",IF('Capacity summary'!$C$14="Yes",IF(COUNTBLANK('Capacity summary'!$H92:$BG92)&lt;52,IF('Capacity summary'!AT92&lt;&gt;"",IF(LOWER('Capacity summary'!AT92)="x",$BI180*AT180,VALUE('Capacity summary'!AT92)),0),AT180*$BI180),AT180*$BI180),0)</f>
        <v>0</v>
      </c>
      <c r="CX180" s="5">
        <f>IF($BI180&lt;&gt;"",IF('Capacity summary'!$C$14="Yes",IF(COUNTBLANK('Capacity summary'!$H92:$BG92)&lt;52,IF('Capacity summary'!AU92&lt;&gt;"",IF(LOWER('Capacity summary'!AU92)="x",$BI180*AU180,VALUE('Capacity summary'!AU92)),0),AU180*$BI180),AU180*$BI180),0)</f>
        <v>0</v>
      </c>
      <c r="CY180" s="5">
        <f>IF($BI180&lt;&gt;"",IF('Capacity summary'!$C$14="Yes",IF(COUNTBLANK('Capacity summary'!$H92:$BG92)&lt;52,IF('Capacity summary'!AV92&lt;&gt;"",IF(LOWER('Capacity summary'!AV92)="x",$BI180*AV180,VALUE('Capacity summary'!AV92)),0),AV180*$BI180),AV180*$BI180),0)</f>
        <v>0</v>
      </c>
      <c r="CZ180" s="5">
        <f>IF($BI180&lt;&gt;"",IF('Capacity summary'!$C$14="Yes",IF(COUNTBLANK('Capacity summary'!$H92:$BG92)&lt;52,IF('Capacity summary'!AW92&lt;&gt;"",IF(LOWER('Capacity summary'!AW92)="x",$BI180*AW180,VALUE('Capacity summary'!AW92)),0),AW180*$BI180),AW180*$BI180),0)</f>
        <v>0</v>
      </c>
      <c r="DA180" s="5">
        <f>IF($BI180&lt;&gt;"",IF('Capacity summary'!$C$14="Yes",IF(COUNTBLANK('Capacity summary'!$H92:$BG92)&lt;52,IF('Capacity summary'!AX92&lt;&gt;"",IF(LOWER('Capacity summary'!AX92)="x",$BI180*AX180,VALUE('Capacity summary'!AX92)),0),AX180*$BI180),AX180*$BI180),0)</f>
        <v>0</v>
      </c>
      <c r="DB180" s="5">
        <f>IF($BI180&lt;&gt;"",IF('Capacity summary'!$C$14="Yes",IF(COUNTBLANK('Capacity summary'!$H92:$BG92)&lt;52,IF('Capacity summary'!AY92&lt;&gt;"",IF(LOWER('Capacity summary'!AY92)="x",$BI180*AY180,VALUE('Capacity summary'!AY92)),0),AY180*$BI180),AY180*$BI180),0)</f>
        <v>0</v>
      </c>
      <c r="DC180" s="5">
        <f>IF($BI180&lt;&gt;"",IF('Capacity summary'!$C$14="Yes",IF(COUNTBLANK('Capacity summary'!$H92:$BG92)&lt;52,IF('Capacity summary'!AZ92&lt;&gt;"",IF(LOWER('Capacity summary'!AZ92)="x",$BI180*AZ180,VALUE('Capacity summary'!AZ92)),0),AZ180*$BI180),AZ180*$BI180),0)</f>
        <v>0</v>
      </c>
      <c r="DD180" s="5">
        <f>IF($BI180&lt;&gt;"",IF('Capacity summary'!$C$14="Yes",IF(COUNTBLANK('Capacity summary'!$H92:$BG92)&lt;52,IF('Capacity summary'!BA92&lt;&gt;"",IF(LOWER('Capacity summary'!BA92)="x",$BI180*BA180,VALUE('Capacity summary'!BA92)),0),BA180*$BI180),BA180*$BI180),0)</f>
        <v>0</v>
      </c>
      <c r="DE180" s="5">
        <f>IF($BI180&lt;&gt;"",IF('Capacity summary'!$C$14="Yes",IF(COUNTBLANK('Capacity summary'!$H92:$BG92)&lt;52,IF('Capacity summary'!BB92&lt;&gt;"",IF(LOWER('Capacity summary'!BB92)="x",$BI180*BB180,VALUE('Capacity summary'!BB92)),0),BB180*$BI180),BB180*$BI180),0)</f>
        <v>0</v>
      </c>
      <c r="DF180" s="5">
        <f>IF($BI180&lt;&gt;"",IF('Capacity summary'!$C$14="Yes",IF(COUNTBLANK('Capacity summary'!$H92:$BG92)&lt;52,IF('Capacity summary'!BC92&lt;&gt;"",IF(LOWER('Capacity summary'!BC92)="x",$BI180*BC180,VALUE('Capacity summary'!BC92)),0),BC180*$BI180),BC180*$BI180),0)</f>
        <v>0</v>
      </c>
      <c r="DG180" s="5">
        <f>IF($BI180&lt;&gt;"",IF('Capacity summary'!$C$14="Yes",IF(COUNTBLANK('Capacity summary'!$H92:$BG92)&lt;52,IF('Capacity summary'!BD92&lt;&gt;"",IF(LOWER('Capacity summary'!BD92)="x",$BI180*BD180,VALUE('Capacity summary'!BD92)),0),BD180*$BI180),BD180*$BI180),0)</f>
        <v>0</v>
      </c>
      <c r="DH180" s="5">
        <f>IF($BI180&lt;&gt;"",IF('Capacity summary'!$C$14="Yes",IF(COUNTBLANK('Capacity summary'!$H92:$BG92)&lt;52,IF('Capacity summary'!BE92&lt;&gt;"",IF(LOWER('Capacity summary'!BE92)="x",$BI180*BE180,VALUE('Capacity summary'!BE92)),0),BE180*$BI180),BE180*$BI180),0)</f>
        <v>0</v>
      </c>
      <c r="DI180" s="5">
        <f>IF($BI180&lt;&gt;"",IF('Capacity summary'!$C$14="Yes",IF(COUNTBLANK('Capacity summary'!$H92:$BG92)&lt;52,IF('Capacity summary'!BF92&lt;&gt;"",IF(LOWER('Capacity summary'!BF92)="x",$BI180*BF180,VALUE('Capacity summary'!BF92)),0),BF180*$BI180),BF180*$BI180),0)</f>
        <v>0</v>
      </c>
      <c r="DJ180" s="5">
        <f>IF($BI180&lt;&gt;"",IF('Capacity summary'!$C$14="Yes",IF(COUNTBLANK('Capacity summary'!$H92:$BG92)&lt;52,IF('Capacity summary'!BG92&lt;&gt;"",IF(LOWER('Capacity summary'!BG92)="x",$BI180*BG180,VALUE('Capacity summary'!BG92)),0),BG180*$BI180),BG180*$BI180),0)</f>
        <v>0</v>
      </c>
      <c r="DK180" s="391">
        <f t="shared" si="10"/>
        <v>0</v>
      </c>
      <c r="DL180" s="5">
        <f t="shared" si="11"/>
        <v>0</v>
      </c>
    </row>
    <row r="181" spans="3:116" x14ac:dyDescent="0.2">
      <c r="C181" s="67" t="str">
        <f>ROW(A70)&amp;". "&amp;Capacity!N86</f>
        <v xml:space="preserve">70. </v>
      </c>
      <c r="D181" s="67">
        <f>'Capacity setup'!C187</f>
        <v>0</v>
      </c>
      <c r="E181" s="67">
        <f>'Capacity setup'!D187</f>
        <v>0</v>
      </c>
      <c r="F181" s="67">
        <f>'Capacity setup'!E187</f>
        <v>0</v>
      </c>
      <c r="H181" s="67">
        <f ca="1">IF(LOWER(Capacity!$V86)="x",IF(AND(SUMIF(Capacity_Resource,$D181,'Critical resources (hide)'!U$6:U$105)+SUMIF(Capacity_Resource,$E181,'Critical resources (hide)'!U$6:U$105)+SUMIF(Capacity_Resource,$F181,'Critical resources (hide)'!U$6:U$105)&gt;0,$E$1=2),0,1),0)</f>
        <v>1</v>
      </c>
      <c r="I181" s="67">
        <f ca="1">IF(LOWER(Capacity!$V86)="x",IF(AND(SUMIF(Capacity_Resource,$D181,'Critical resources (hide)'!V$6:V$105)+SUMIF(Capacity_Resource,$E181,'Critical resources (hide)'!V$6:V$105)+SUMIF(Capacity_Resource,$F181,'Critical resources (hide)'!V$6:V$105)&gt;0,$E$1=2),0,1),0)</f>
        <v>1</v>
      </c>
      <c r="J181" s="67">
        <f ca="1">IF(LOWER(Capacity!$V86)="x",IF(AND(SUMIF(Capacity_Resource,$D181,'Critical resources (hide)'!W$6:W$105)+SUMIF(Capacity_Resource,$E181,'Critical resources (hide)'!W$6:W$105)+SUMIF(Capacity_Resource,$F181,'Critical resources (hide)'!W$6:W$105)&gt;0,$E$1=2),0,1),0)</f>
        <v>1</v>
      </c>
      <c r="K181" s="67">
        <f ca="1">IF(LOWER(Capacity!$V86)="x",IF(AND(SUMIF(Capacity_Resource,$D181,'Critical resources (hide)'!X$6:X$105)+SUMIF(Capacity_Resource,$E181,'Critical resources (hide)'!X$6:X$105)+SUMIF(Capacity_Resource,$F181,'Critical resources (hide)'!X$6:X$105)&gt;0,$E$1=2),0,1),0)</f>
        <v>1</v>
      </c>
      <c r="L181" s="67">
        <f ca="1">IF(LOWER(Capacity!$V86)="x",IF(AND(SUMIF(Capacity_Resource,$D181,'Critical resources (hide)'!Y$6:Y$105)+SUMIF(Capacity_Resource,$E181,'Critical resources (hide)'!Y$6:Y$105)+SUMIF(Capacity_Resource,$F181,'Critical resources (hide)'!Y$6:Y$105)&gt;0,$E$1=2),0,1),0)</f>
        <v>1</v>
      </c>
      <c r="M181" s="67">
        <f ca="1">IF(LOWER(Capacity!$V86)="x",IF(AND(SUMIF(Capacity_Resource,$D181,'Critical resources (hide)'!Z$6:Z$105)+SUMIF(Capacity_Resource,$E181,'Critical resources (hide)'!Z$6:Z$105)+SUMIF(Capacity_Resource,$F181,'Critical resources (hide)'!Z$6:Z$105)&gt;0,$E$1=2),0,1),0)</f>
        <v>1</v>
      </c>
      <c r="N181" s="67">
        <f ca="1">IF(LOWER(Capacity!$V86)="x",IF(AND(SUMIF(Capacity_Resource,$D181,'Critical resources (hide)'!AA$6:AA$105)+SUMIF(Capacity_Resource,$E181,'Critical resources (hide)'!AA$6:AA$105)+SUMIF(Capacity_Resource,$F181,'Critical resources (hide)'!AA$6:AA$105)&gt;0,$E$1=2),0,1),0)</f>
        <v>1</v>
      </c>
      <c r="O181" s="67">
        <f ca="1">IF(LOWER(Capacity!$V86)="x",IF(AND(SUMIF(Capacity_Resource,$D181,'Critical resources (hide)'!AB$6:AB$105)+SUMIF(Capacity_Resource,$E181,'Critical resources (hide)'!AB$6:AB$105)+SUMIF(Capacity_Resource,$F181,'Critical resources (hide)'!AB$6:AB$105)&gt;0,$E$1=2),0,1),0)</f>
        <v>1</v>
      </c>
      <c r="P181" s="67">
        <f ca="1">IF(LOWER(Capacity!$V86)="x",IF(AND(SUMIF(Capacity_Resource,$D181,'Critical resources (hide)'!AC$6:AC$105)+SUMIF(Capacity_Resource,$E181,'Critical resources (hide)'!AC$6:AC$105)+SUMIF(Capacity_Resource,$F181,'Critical resources (hide)'!AC$6:AC$105)&gt;0,$E$1=2),0,1),0)</f>
        <v>1</v>
      </c>
      <c r="Q181" s="67">
        <f ca="1">IF(LOWER(Capacity!$V86)="x",IF(AND(SUMIF(Capacity_Resource,$D181,'Critical resources (hide)'!AD$6:AD$105)+SUMIF(Capacity_Resource,$E181,'Critical resources (hide)'!AD$6:AD$105)+SUMIF(Capacity_Resource,$F181,'Critical resources (hide)'!AD$6:AD$105)&gt;0,$E$1=2),0,1),0)</f>
        <v>1</v>
      </c>
      <c r="R181" s="67">
        <f ca="1">IF(LOWER(Capacity!$V86)="x",IF(AND(SUMIF(Capacity_Resource,$D181,'Critical resources (hide)'!AE$6:AE$105)+SUMIF(Capacity_Resource,$E181,'Critical resources (hide)'!AE$6:AE$105)+SUMIF(Capacity_Resource,$F181,'Critical resources (hide)'!AE$6:AE$105)&gt;0,$E$1=2),0,1),0)</f>
        <v>1</v>
      </c>
      <c r="S181" s="67">
        <f ca="1">IF(LOWER(Capacity!$V86)="x",IF(AND(SUMIF(Capacity_Resource,$D181,'Critical resources (hide)'!AF$6:AF$105)+SUMIF(Capacity_Resource,$E181,'Critical resources (hide)'!AF$6:AF$105)+SUMIF(Capacity_Resource,$F181,'Critical resources (hide)'!AF$6:AF$105)&gt;0,$E$1=2),0,1),0)</f>
        <v>1</v>
      </c>
      <c r="T181" s="67">
        <f ca="1">IF(LOWER(Capacity!$V86)="x",IF(AND(SUMIF(Capacity_Resource,$D181,'Critical resources (hide)'!AG$6:AG$105)+SUMIF(Capacity_Resource,$E181,'Critical resources (hide)'!AG$6:AG$105)+SUMIF(Capacity_Resource,$F181,'Critical resources (hide)'!AG$6:AG$105)&gt;0,$E$1=2),0,1),0)</f>
        <v>1</v>
      </c>
      <c r="U181" s="67">
        <f ca="1">IF(LOWER(Capacity!$V86)="x",IF(AND(SUMIF(Capacity_Resource,$D181,'Critical resources (hide)'!AH$6:AH$105)+SUMIF(Capacity_Resource,$E181,'Critical resources (hide)'!AH$6:AH$105)+SUMIF(Capacity_Resource,$F181,'Critical resources (hide)'!AH$6:AH$105)&gt;0,$E$1=2),0,1),0)</f>
        <v>1</v>
      </c>
      <c r="V181" s="67">
        <f ca="1">IF(LOWER(Capacity!$V86)="x",IF(AND(SUMIF(Capacity_Resource,$D181,'Critical resources (hide)'!AI$6:AI$105)+SUMIF(Capacity_Resource,$E181,'Critical resources (hide)'!AI$6:AI$105)+SUMIF(Capacity_Resource,$F181,'Critical resources (hide)'!AI$6:AI$105)&gt;0,$E$1=2),0,1),0)</f>
        <v>1</v>
      </c>
      <c r="W181" s="67">
        <f ca="1">IF(LOWER(Capacity!$V86)="x",IF(AND(SUMIF(Capacity_Resource,$D181,'Critical resources (hide)'!AJ$6:AJ$105)+SUMIF(Capacity_Resource,$E181,'Critical resources (hide)'!AJ$6:AJ$105)+SUMIF(Capacity_Resource,$F181,'Critical resources (hide)'!AJ$6:AJ$105)&gt;0,$E$1=2),0,1),0)</f>
        <v>1</v>
      </c>
      <c r="X181" s="67">
        <f ca="1">IF(LOWER(Capacity!$V86)="x",IF(AND(SUMIF(Capacity_Resource,$D181,'Critical resources (hide)'!AK$6:AK$105)+SUMIF(Capacity_Resource,$E181,'Critical resources (hide)'!AK$6:AK$105)+SUMIF(Capacity_Resource,$F181,'Critical resources (hide)'!AK$6:AK$105)&gt;0,$E$1=2),0,1),0)</f>
        <v>1</v>
      </c>
      <c r="Y181" s="67">
        <f ca="1">IF(LOWER(Capacity!$V86)="x",IF(AND(SUMIF(Capacity_Resource,$D181,'Critical resources (hide)'!AL$6:AL$105)+SUMIF(Capacity_Resource,$E181,'Critical resources (hide)'!AL$6:AL$105)+SUMIF(Capacity_Resource,$F181,'Critical resources (hide)'!AL$6:AL$105)&gt;0,$E$1=2),0,1),0)</f>
        <v>1</v>
      </c>
      <c r="Z181" s="67">
        <f ca="1">IF(LOWER(Capacity!$V86)="x",IF(AND(SUMIF(Capacity_Resource,$D181,'Critical resources (hide)'!AM$6:AM$105)+SUMIF(Capacity_Resource,$E181,'Critical resources (hide)'!AM$6:AM$105)+SUMIF(Capacity_Resource,$F181,'Critical resources (hide)'!AM$6:AM$105)&gt;0,$E$1=2),0,1),0)</f>
        <v>1</v>
      </c>
      <c r="AA181" s="67">
        <f ca="1">IF(LOWER(Capacity!$V86)="x",IF(AND(SUMIF(Capacity_Resource,$D181,'Critical resources (hide)'!AN$6:AN$105)+SUMIF(Capacity_Resource,$E181,'Critical resources (hide)'!AN$6:AN$105)+SUMIF(Capacity_Resource,$F181,'Critical resources (hide)'!AN$6:AN$105)&gt;0,$E$1=2),0,1),0)</f>
        <v>1</v>
      </c>
      <c r="AB181" s="67">
        <f ca="1">IF(LOWER(Capacity!$V86)="x",IF(AND(SUMIF(Capacity_Resource,$D181,'Critical resources (hide)'!AO$6:AO$105)+SUMIF(Capacity_Resource,$E181,'Critical resources (hide)'!AO$6:AO$105)+SUMIF(Capacity_Resource,$F181,'Critical resources (hide)'!AO$6:AO$105)&gt;0,$E$1=2),0,1),0)</f>
        <v>1</v>
      </c>
      <c r="AC181" s="67">
        <f ca="1">IF(LOWER(Capacity!$V86)="x",IF(AND(SUMIF(Capacity_Resource,$D181,'Critical resources (hide)'!AP$6:AP$105)+SUMIF(Capacity_Resource,$E181,'Critical resources (hide)'!AP$6:AP$105)+SUMIF(Capacity_Resource,$F181,'Critical resources (hide)'!AP$6:AP$105)&gt;0,$E$1=2),0,1),0)</f>
        <v>1</v>
      </c>
      <c r="AD181" s="67">
        <f ca="1">IF(LOWER(Capacity!$V86)="x",IF(AND(SUMIF(Capacity_Resource,$D181,'Critical resources (hide)'!AQ$6:AQ$105)+SUMIF(Capacity_Resource,$E181,'Critical resources (hide)'!AQ$6:AQ$105)+SUMIF(Capacity_Resource,$F181,'Critical resources (hide)'!AQ$6:AQ$105)&gt;0,$E$1=2),0,1),0)</f>
        <v>1</v>
      </c>
      <c r="AE181" s="67">
        <f ca="1">IF(LOWER(Capacity!$V86)="x",IF(AND(SUMIF(Capacity_Resource,$D181,'Critical resources (hide)'!AR$6:AR$105)+SUMIF(Capacity_Resource,$E181,'Critical resources (hide)'!AR$6:AR$105)+SUMIF(Capacity_Resource,$F181,'Critical resources (hide)'!AR$6:AR$105)&gt;0,$E$1=2),0,1),0)</f>
        <v>1</v>
      </c>
      <c r="AF181" s="67">
        <f ca="1">IF(LOWER(Capacity!$V86)="x",IF(AND(SUMIF(Capacity_Resource,$D181,'Critical resources (hide)'!AS$6:AS$105)+SUMIF(Capacity_Resource,$E181,'Critical resources (hide)'!AS$6:AS$105)+SUMIF(Capacity_Resource,$F181,'Critical resources (hide)'!AS$6:AS$105)&gt;0,$E$1=2),0,1),0)</f>
        <v>1</v>
      </c>
      <c r="AG181" s="67">
        <f ca="1">IF(LOWER(Capacity!$V86)="x",IF(AND(SUMIF(Capacity_Resource,$D181,'Critical resources (hide)'!AT$6:AT$105)+SUMIF(Capacity_Resource,$E181,'Critical resources (hide)'!AT$6:AT$105)+SUMIF(Capacity_Resource,$F181,'Critical resources (hide)'!AT$6:AT$105)&gt;0,$E$1=2),0,1),0)</f>
        <v>1</v>
      </c>
      <c r="AH181" s="67">
        <f ca="1">IF(LOWER(Capacity!$V86)="x",IF(AND(SUMIF(Capacity_Resource,$D181,'Critical resources (hide)'!AU$6:AU$105)+SUMIF(Capacity_Resource,$E181,'Critical resources (hide)'!AU$6:AU$105)+SUMIF(Capacity_Resource,$F181,'Critical resources (hide)'!AU$6:AU$105)&gt;0,$E$1=2),0,1),0)</f>
        <v>1</v>
      </c>
      <c r="AI181" s="67">
        <f ca="1">IF(LOWER(Capacity!$V86)="x",IF(AND(SUMIF(Capacity_Resource,$D181,'Critical resources (hide)'!AV$6:AV$105)+SUMIF(Capacity_Resource,$E181,'Critical resources (hide)'!AV$6:AV$105)+SUMIF(Capacity_Resource,$F181,'Critical resources (hide)'!AV$6:AV$105)&gt;0,$E$1=2),0,1),0)</f>
        <v>1</v>
      </c>
      <c r="AJ181" s="67">
        <f ca="1">IF(LOWER(Capacity!$V86)="x",IF(AND(SUMIF(Capacity_Resource,$D181,'Critical resources (hide)'!AW$6:AW$105)+SUMIF(Capacity_Resource,$E181,'Critical resources (hide)'!AW$6:AW$105)+SUMIF(Capacity_Resource,$F181,'Critical resources (hide)'!AW$6:AW$105)&gt;0,$E$1=2),0,1),0)</f>
        <v>1</v>
      </c>
      <c r="AK181" s="67">
        <f ca="1">IF(LOWER(Capacity!$V86)="x",IF(AND(SUMIF(Capacity_Resource,$D181,'Critical resources (hide)'!AX$6:AX$105)+SUMIF(Capacity_Resource,$E181,'Critical resources (hide)'!AX$6:AX$105)+SUMIF(Capacity_Resource,$F181,'Critical resources (hide)'!AX$6:AX$105)&gt;0,$E$1=2),0,1),0)</f>
        <v>1</v>
      </c>
      <c r="AL181" s="67">
        <f ca="1">IF(LOWER(Capacity!$V86)="x",IF(AND(SUMIF(Capacity_Resource,$D181,'Critical resources (hide)'!AY$6:AY$105)+SUMIF(Capacity_Resource,$E181,'Critical resources (hide)'!AY$6:AY$105)+SUMIF(Capacity_Resource,$F181,'Critical resources (hide)'!AY$6:AY$105)&gt;0,$E$1=2),0,1),0)</f>
        <v>1</v>
      </c>
      <c r="AM181" s="67">
        <f ca="1">IF(LOWER(Capacity!$V86)="x",IF(AND(SUMIF(Capacity_Resource,$D181,'Critical resources (hide)'!AZ$6:AZ$105)+SUMIF(Capacity_Resource,$E181,'Critical resources (hide)'!AZ$6:AZ$105)+SUMIF(Capacity_Resource,$F181,'Critical resources (hide)'!AZ$6:AZ$105)&gt;0,$E$1=2),0,1),0)</f>
        <v>1</v>
      </c>
      <c r="AN181" s="67">
        <f ca="1">IF(LOWER(Capacity!$V86)="x",IF(AND(SUMIF(Capacity_Resource,$D181,'Critical resources (hide)'!BA$6:BA$105)+SUMIF(Capacity_Resource,$E181,'Critical resources (hide)'!BA$6:BA$105)+SUMIF(Capacity_Resource,$F181,'Critical resources (hide)'!BA$6:BA$105)&gt;0,$E$1=2),0,1),0)</f>
        <v>1</v>
      </c>
      <c r="AO181" s="67">
        <f ca="1">IF(LOWER(Capacity!$V86)="x",IF(AND(SUMIF(Capacity_Resource,$D181,'Critical resources (hide)'!BB$6:BB$105)+SUMIF(Capacity_Resource,$E181,'Critical resources (hide)'!BB$6:BB$105)+SUMIF(Capacity_Resource,$F181,'Critical resources (hide)'!BB$6:BB$105)&gt;0,$E$1=2),0,1),0)</f>
        <v>1</v>
      </c>
      <c r="AP181" s="67">
        <f ca="1">IF(LOWER(Capacity!$V86)="x",IF(AND(SUMIF(Capacity_Resource,$D181,'Critical resources (hide)'!BC$6:BC$105)+SUMIF(Capacity_Resource,$E181,'Critical resources (hide)'!BC$6:BC$105)+SUMIF(Capacity_Resource,$F181,'Critical resources (hide)'!BC$6:BC$105)&gt;0,$E$1=2),0,1),0)</f>
        <v>1</v>
      </c>
      <c r="AQ181" s="67">
        <f ca="1">IF(LOWER(Capacity!$V86)="x",IF(AND(SUMIF(Capacity_Resource,$D181,'Critical resources (hide)'!BD$6:BD$105)+SUMIF(Capacity_Resource,$E181,'Critical resources (hide)'!BD$6:BD$105)+SUMIF(Capacity_Resource,$F181,'Critical resources (hide)'!BD$6:BD$105)&gt;0,$E$1=2),0,1),0)</f>
        <v>1</v>
      </c>
      <c r="AR181" s="67">
        <f ca="1">IF(LOWER(Capacity!$V86)="x",IF(AND(SUMIF(Capacity_Resource,$D181,'Critical resources (hide)'!BE$6:BE$105)+SUMIF(Capacity_Resource,$E181,'Critical resources (hide)'!BE$6:BE$105)+SUMIF(Capacity_Resource,$F181,'Critical resources (hide)'!BE$6:BE$105)&gt;0,$E$1=2),0,1),0)</f>
        <v>1</v>
      </c>
      <c r="AS181" s="67">
        <f ca="1">IF(LOWER(Capacity!$V86)="x",IF(AND(SUMIF(Capacity_Resource,$D181,'Critical resources (hide)'!BF$6:BF$105)+SUMIF(Capacity_Resource,$E181,'Critical resources (hide)'!BF$6:BF$105)+SUMIF(Capacity_Resource,$F181,'Critical resources (hide)'!BF$6:BF$105)&gt;0,$E$1=2),0,1),0)</f>
        <v>1</v>
      </c>
      <c r="AT181" s="67">
        <f ca="1">IF(LOWER(Capacity!$V86)="x",IF(AND(SUMIF(Capacity_Resource,$D181,'Critical resources (hide)'!BG$6:BG$105)+SUMIF(Capacity_Resource,$E181,'Critical resources (hide)'!BG$6:BG$105)+SUMIF(Capacity_Resource,$F181,'Critical resources (hide)'!BG$6:BG$105)&gt;0,$E$1=2),0,1),0)</f>
        <v>1</v>
      </c>
      <c r="AU181" s="67">
        <f ca="1">IF(LOWER(Capacity!$V86)="x",IF(AND(SUMIF(Capacity_Resource,$D181,'Critical resources (hide)'!BH$6:BH$105)+SUMIF(Capacity_Resource,$E181,'Critical resources (hide)'!BH$6:BH$105)+SUMIF(Capacity_Resource,$F181,'Critical resources (hide)'!BH$6:BH$105)&gt;0,$E$1=2),0,1),0)</f>
        <v>1</v>
      </c>
      <c r="AV181" s="67">
        <f ca="1">IF(LOWER(Capacity!$V86)="x",IF(AND(SUMIF(Capacity_Resource,$D181,'Critical resources (hide)'!BI$6:BI$105)+SUMIF(Capacity_Resource,$E181,'Critical resources (hide)'!BI$6:BI$105)+SUMIF(Capacity_Resource,$F181,'Critical resources (hide)'!BI$6:BI$105)&gt;0,$E$1=2),0,1),0)</f>
        <v>1</v>
      </c>
      <c r="AW181" s="67">
        <f ca="1">IF(LOWER(Capacity!$V86)="x",IF(AND(SUMIF(Capacity_Resource,$D181,'Critical resources (hide)'!BJ$6:BJ$105)+SUMIF(Capacity_Resource,$E181,'Critical resources (hide)'!BJ$6:BJ$105)+SUMIF(Capacity_Resource,$F181,'Critical resources (hide)'!BJ$6:BJ$105)&gt;0,$E$1=2),0,1),0)</f>
        <v>1</v>
      </c>
      <c r="AX181" s="67">
        <f ca="1">IF(LOWER(Capacity!$V86)="x",IF(AND(SUMIF(Capacity_Resource,$D181,'Critical resources (hide)'!BK$6:BK$105)+SUMIF(Capacity_Resource,$E181,'Critical resources (hide)'!BK$6:BK$105)+SUMIF(Capacity_Resource,$F181,'Critical resources (hide)'!BK$6:BK$105)&gt;0,$E$1=2),0,1),0)</f>
        <v>1</v>
      </c>
      <c r="AY181" s="67">
        <f ca="1">IF(LOWER(Capacity!$V86)="x",IF(AND(SUMIF(Capacity_Resource,$D181,'Critical resources (hide)'!BL$6:BL$105)+SUMIF(Capacity_Resource,$E181,'Critical resources (hide)'!BL$6:BL$105)+SUMIF(Capacity_Resource,$F181,'Critical resources (hide)'!BL$6:BL$105)&gt;0,$E$1=2),0,1),0)</f>
        <v>1</v>
      </c>
      <c r="AZ181" s="67">
        <f ca="1">IF(LOWER(Capacity!$V86)="x",IF(AND(SUMIF(Capacity_Resource,$D181,'Critical resources (hide)'!BM$6:BM$105)+SUMIF(Capacity_Resource,$E181,'Critical resources (hide)'!BM$6:BM$105)+SUMIF(Capacity_Resource,$F181,'Critical resources (hide)'!BM$6:BM$105)&gt;0,$E$1=2),0,1),0)</f>
        <v>1</v>
      </c>
      <c r="BA181" s="67">
        <f ca="1">IF(LOWER(Capacity!$V86)="x",IF(AND(SUMIF(Capacity_Resource,$D181,'Critical resources (hide)'!BN$6:BN$105)+SUMIF(Capacity_Resource,$E181,'Critical resources (hide)'!BN$6:BN$105)+SUMIF(Capacity_Resource,$F181,'Critical resources (hide)'!BN$6:BN$105)&gt;0,$E$1=2),0,1),0)</f>
        <v>1</v>
      </c>
      <c r="BB181" s="67">
        <f ca="1">IF(LOWER(Capacity!$V86)="x",IF(AND(SUMIF(Capacity_Resource,$D181,'Critical resources (hide)'!BO$6:BO$105)+SUMIF(Capacity_Resource,$E181,'Critical resources (hide)'!BO$6:BO$105)+SUMIF(Capacity_Resource,$F181,'Critical resources (hide)'!BO$6:BO$105)&gt;0,$E$1=2),0,1),0)</f>
        <v>1</v>
      </c>
      <c r="BC181" s="67">
        <f ca="1">IF(LOWER(Capacity!$V86)="x",IF(AND(SUMIF(Capacity_Resource,$D181,'Critical resources (hide)'!BP$6:BP$105)+SUMIF(Capacity_Resource,$E181,'Critical resources (hide)'!BP$6:BP$105)+SUMIF(Capacity_Resource,$F181,'Critical resources (hide)'!BP$6:BP$105)&gt;0,$E$1=2),0,1),0)</f>
        <v>1</v>
      </c>
      <c r="BD181" s="67">
        <f ca="1">IF(LOWER(Capacity!$V86)="x",IF(AND(SUMIF(Capacity_Resource,$D181,'Critical resources (hide)'!BQ$6:BQ$105)+SUMIF(Capacity_Resource,$E181,'Critical resources (hide)'!BQ$6:BQ$105)+SUMIF(Capacity_Resource,$F181,'Critical resources (hide)'!BQ$6:BQ$105)&gt;0,$E$1=2),0,1),0)</f>
        <v>1</v>
      </c>
      <c r="BE181" s="67">
        <f ca="1">IF(LOWER(Capacity!$V86)="x",IF(AND(SUMIF(Capacity_Resource,$D181,'Critical resources (hide)'!BR$6:BR$105)+SUMIF(Capacity_Resource,$E181,'Critical resources (hide)'!BR$6:BR$105)+SUMIF(Capacity_Resource,$F181,'Critical resources (hide)'!BR$6:BR$105)&gt;0,$E$1=2),0,1),0)</f>
        <v>1</v>
      </c>
      <c r="BF181" s="67">
        <f ca="1">IF(LOWER(Capacity!$V86)="x",IF(AND(SUMIF(Capacity_Resource,$D181,'Critical resources (hide)'!BS$6:BS$105)+SUMIF(Capacity_Resource,$E181,'Critical resources (hide)'!BS$6:BS$105)+SUMIF(Capacity_Resource,$F181,'Critical resources (hide)'!BS$6:BS$105)&gt;0,$E$1=2),0,1),0)</f>
        <v>1</v>
      </c>
      <c r="BG181" s="67">
        <f ca="1">IF(LOWER(Capacity!$V86)="x",IF(AND(SUMIF(Capacity_Resource,$D181,'Critical resources (hide)'!BT$6:BT$105)+SUMIF(Capacity_Resource,$E181,'Critical resources (hide)'!BT$6:BT$105)+SUMIF(Capacity_Resource,$F181,'Critical resources (hide)'!BT$6:BT$105)&gt;0,$E$1=2),0,1),0)</f>
        <v>1</v>
      </c>
      <c r="BH181" s="67">
        <f>IF(ROW(A70)&lt;=Capacity!$M$16,IF('Capacity summary'!$C$14="No",SUM(H181:BG181),'Capacity summary'!$E93),0)</f>
        <v>0</v>
      </c>
      <c r="BI181" s="67" t="str">
        <f>IF(BH181&gt;0,IF(BH181&lt;Capacity!Q86,Capacity!R86,Capacity!T86/'Capacity calculation (hide)'!BH181),"")</f>
        <v/>
      </c>
      <c r="BJ181" s="5"/>
      <c r="BK181" s="5">
        <f>IF($BI181&lt;&gt;"",IF('Capacity summary'!$C$14="Yes",IF(COUNTBLANK('Capacity summary'!$H93:$BG93)&lt;52,IF('Capacity summary'!H93&lt;&gt;"",IF(LOWER('Capacity summary'!H93)="x",$BI181*H181,VALUE('Capacity summary'!H93)),0),H181*$BI181),H181*$BI181),0)</f>
        <v>0</v>
      </c>
      <c r="BL181" s="5">
        <f>IF($BI181&lt;&gt;"",IF('Capacity summary'!$C$14="Yes",IF(COUNTBLANK('Capacity summary'!$H93:$BG93)&lt;52,IF('Capacity summary'!I93&lt;&gt;"",IF(LOWER('Capacity summary'!I93)="x",$BI181*I181,VALUE('Capacity summary'!I93)),0),I181*$BI181),I181*$BI181),0)</f>
        <v>0</v>
      </c>
      <c r="BM181" s="5">
        <f>IF($BI181&lt;&gt;"",IF('Capacity summary'!$C$14="Yes",IF(COUNTBLANK('Capacity summary'!$H93:$BG93)&lt;52,IF('Capacity summary'!J93&lt;&gt;"",IF(LOWER('Capacity summary'!J93)="x",$BI181*J181,VALUE('Capacity summary'!J93)),0),J181*$BI181),J181*$BI181),0)</f>
        <v>0</v>
      </c>
      <c r="BN181" s="5">
        <f>IF($BI181&lt;&gt;"",IF('Capacity summary'!$C$14="Yes",IF(COUNTBLANK('Capacity summary'!$H93:$BG93)&lt;52,IF('Capacity summary'!K93&lt;&gt;"",IF(LOWER('Capacity summary'!K93)="x",$BI181*K181,VALUE('Capacity summary'!K93)),0),K181*$BI181),K181*$BI181),0)</f>
        <v>0</v>
      </c>
      <c r="BO181" s="5">
        <f>IF($BI181&lt;&gt;"",IF('Capacity summary'!$C$14="Yes",IF(COUNTBLANK('Capacity summary'!$H93:$BG93)&lt;52,IF('Capacity summary'!L93&lt;&gt;"",IF(LOWER('Capacity summary'!L93)="x",$BI181*L181,VALUE('Capacity summary'!L93)),0),L181*$BI181),L181*$BI181),0)</f>
        <v>0</v>
      </c>
      <c r="BP181" s="5">
        <f>IF($BI181&lt;&gt;"",IF('Capacity summary'!$C$14="Yes",IF(COUNTBLANK('Capacity summary'!$H93:$BG93)&lt;52,IF('Capacity summary'!M93&lt;&gt;"",IF(LOWER('Capacity summary'!M93)="x",$BI181*M181,VALUE('Capacity summary'!M93)),0),M181*$BI181),M181*$BI181),0)</f>
        <v>0</v>
      </c>
      <c r="BQ181" s="5">
        <f>IF($BI181&lt;&gt;"",IF('Capacity summary'!$C$14="Yes",IF(COUNTBLANK('Capacity summary'!$H93:$BG93)&lt;52,IF('Capacity summary'!N93&lt;&gt;"",IF(LOWER('Capacity summary'!N93)="x",$BI181*N181,VALUE('Capacity summary'!N93)),0),N181*$BI181),N181*$BI181),0)</f>
        <v>0</v>
      </c>
      <c r="BR181" s="5">
        <f>IF($BI181&lt;&gt;"",IF('Capacity summary'!$C$14="Yes",IF(COUNTBLANK('Capacity summary'!$H93:$BG93)&lt;52,IF('Capacity summary'!O93&lt;&gt;"",IF(LOWER('Capacity summary'!O93)="x",$BI181*O181,VALUE('Capacity summary'!O93)),0),O181*$BI181),O181*$BI181),0)</f>
        <v>0</v>
      </c>
      <c r="BS181" s="5">
        <f>IF($BI181&lt;&gt;"",IF('Capacity summary'!$C$14="Yes",IF(COUNTBLANK('Capacity summary'!$H93:$BG93)&lt;52,IF('Capacity summary'!P93&lt;&gt;"",IF(LOWER('Capacity summary'!P93)="x",$BI181*P181,VALUE('Capacity summary'!P93)),0),P181*$BI181),P181*$BI181),0)</f>
        <v>0</v>
      </c>
      <c r="BT181" s="5">
        <f>IF($BI181&lt;&gt;"",IF('Capacity summary'!$C$14="Yes",IF(COUNTBLANK('Capacity summary'!$H93:$BG93)&lt;52,IF('Capacity summary'!Q93&lt;&gt;"",IF(LOWER('Capacity summary'!Q93)="x",$BI181*Q181,VALUE('Capacity summary'!Q93)),0),Q181*$BI181),Q181*$BI181),0)</f>
        <v>0</v>
      </c>
      <c r="BU181" s="5">
        <f>IF($BI181&lt;&gt;"",IF('Capacity summary'!$C$14="Yes",IF(COUNTBLANK('Capacity summary'!$H93:$BG93)&lt;52,IF('Capacity summary'!R93&lt;&gt;"",IF(LOWER('Capacity summary'!R93)="x",$BI181*R181,VALUE('Capacity summary'!R93)),0),R181*$BI181),R181*$BI181),0)</f>
        <v>0</v>
      </c>
      <c r="BV181" s="5">
        <f>IF($BI181&lt;&gt;"",IF('Capacity summary'!$C$14="Yes",IF(COUNTBLANK('Capacity summary'!$H93:$BG93)&lt;52,IF('Capacity summary'!S93&lt;&gt;"",IF(LOWER('Capacity summary'!S93)="x",$BI181*S181,VALUE('Capacity summary'!S93)),0),S181*$BI181),S181*$BI181),0)</f>
        <v>0</v>
      </c>
      <c r="BW181" s="5">
        <f>IF($BI181&lt;&gt;"",IF('Capacity summary'!$C$14="Yes",IF(COUNTBLANK('Capacity summary'!$H93:$BG93)&lt;52,IF('Capacity summary'!T93&lt;&gt;"",IF(LOWER('Capacity summary'!T93)="x",$BI181*T181,VALUE('Capacity summary'!T93)),0),T181*$BI181),T181*$BI181),0)</f>
        <v>0</v>
      </c>
      <c r="BX181" s="5">
        <f>IF($BI181&lt;&gt;"",IF('Capacity summary'!$C$14="Yes",IF(COUNTBLANK('Capacity summary'!$H93:$BG93)&lt;52,IF('Capacity summary'!U93&lt;&gt;"",IF(LOWER('Capacity summary'!U93)="x",$BI181*U181,VALUE('Capacity summary'!U93)),0),U181*$BI181),U181*$BI181),0)</f>
        <v>0</v>
      </c>
      <c r="BY181" s="5">
        <f>IF($BI181&lt;&gt;"",IF('Capacity summary'!$C$14="Yes",IF(COUNTBLANK('Capacity summary'!$H93:$BG93)&lt;52,IF('Capacity summary'!V93&lt;&gt;"",IF(LOWER('Capacity summary'!V93)="x",$BI181*V181,VALUE('Capacity summary'!V93)),0),V181*$BI181),V181*$BI181),0)</f>
        <v>0</v>
      </c>
      <c r="BZ181" s="5">
        <f>IF($BI181&lt;&gt;"",IF('Capacity summary'!$C$14="Yes",IF(COUNTBLANK('Capacity summary'!$H93:$BG93)&lt;52,IF('Capacity summary'!W93&lt;&gt;"",IF(LOWER('Capacity summary'!W93)="x",$BI181*W181,VALUE('Capacity summary'!W93)),0),W181*$BI181),W181*$BI181),0)</f>
        <v>0</v>
      </c>
      <c r="CA181" s="5">
        <f>IF($BI181&lt;&gt;"",IF('Capacity summary'!$C$14="Yes",IF(COUNTBLANK('Capacity summary'!$H93:$BG93)&lt;52,IF('Capacity summary'!X93&lt;&gt;"",IF(LOWER('Capacity summary'!X93)="x",$BI181*X181,VALUE('Capacity summary'!X93)),0),X181*$BI181),X181*$BI181),0)</f>
        <v>0</v>
      </c>
      <c r="CB181" s="5">
        <f>IF($BI181&lt;&gt;"",IF('Capacity summary'!$C$14="Yes",IF(COUNTBLANK('Capacity summary'!$H93:$BG93)&lt;52,IF('Capacity summary'!Y93&lt;&gt;"",IF(LOWER('Capacity summary'!Y93)="x",$BI181*Y181,VALUE('Capacity summary'!Y93)),0),Y181*$BI181),Y181*$BI181),0)</f>
        <v>0</v>
      </c>
      <c r="CC181" s="5">
        <f>IF($BI181&lt;&gt;"",IF('Capacity summary'!$C$14="Yes",IF(COUNTBLANK('Capacity summary'!$H93:$BG93)&lt;52,IF('Capacity summary'!Z93&lt;&gt;"",IF(LOWER('Capacity summary'!Z93)="x",$BI181*Z181,VALUE('Capacity summary'!Z93)),0),Z181*$BI181),Z181*$BI181),0)</f>
        <v>0</v>
      </c>
      <c r="CD181" s="5">
        <f>IF($BI181&lt;&gt;"",IF('Capacity summary'!$C$14="Yes",IF(COUNTBLANK('Capacity summary'!$H93:$BG93)&lt;52,IF('Capacity summary'!AA93&lt;&gt;"",IF(LOWER('Capacity summary'!AA93)="x",$BI181*AA181,VALUE('Capacity summary'!AA93)),0),AA181*$BI181),AA181*$BI181),0)</f>
        <v>0</v>
      </c>
      <c r="CE181" s="5">
        <f>IF($BI181&lt;&gt;"",IF('Capacity summary'!$C$14="Yes",IF(COUNTBLANK('Capacity summary'!$H93:$BG93)&lt;52,IF('Capacity summary'!AB93&lt;&gt;"",IF(LOWER('Capacity summary'!AB93)="x",$BI181*AB181,VALUE('Capacity summary'!AB93)),0),AB181*$BI181),AB181*$BI181),0)</f>
        <v>0</v>
      </c>
      <c r="CF181" s="5">
        <f>IF($BI181&lt;&gt;"",IF('Capacity summary'!$C$14="Yes",IF(COUNTBLANK('Capacity summary'!$H93:$BG93)&lt;52,IF('Capacity summary'!AC93&lt;&gt;"",IF(LOWER('Capacity summary'!AC93)="x",$BI181*AC181,VALUE('Capacity summary'!AC93)),0),AC181*$BI181),AC181*$BI181),0)</f>
        <v>0</v>
      </c>
      <c r="CG181" s="5">
        <f>IF($BI181&lt;&gt;"",IF('Capacity summary'!$C$14="Yes",IF(COUNTBLANK('Capacity summary'!$H93:$BG93)&lt;52,IF('Capacity summary'!AD93&lt;&gt;"",IF(LOWER('Capacity summary'!AD93)="x",$BI181*AD181,VALUE('Capacity summary'!AD93)),0),AD181*$BI181),AD181*$BI181),0)</f>
        <v>0</v>
      </c>
      <c r="CH181" s="5">
        <f>IF($BI181&lt;&gt;"",IF('Capacity summary'!$C$14="Yes",IF(COUNTBLANK('Capacity summary'!$H93:$BG93)&lt;52,IF('Capacity summary'!AE93&lt;&gt;"",IF(LOWER('Capacity summary'!AE93)="x",$BI181*AE181,VALUE('Capacity summary'!AE93)),0),AE181*$BI181),AE181*$BI181),0)</f>
        <v>0</v>
      </c>
      <c r="CI181" s="5">
        <f>IF($BI181&lt;&gt;"",IF('Capacity summary'!$C$14="Yes",IF(COUNTBLANK('Capacity summary'!$H93:$BG93)&lt;52,IF('Capacity summary'!AF93&lt;&gt;"",IF(LOWER('Capacity summary'!AF93)="x",$BI181*AF181,VALUE('Capacity summary'!AF93)),0),AF181*$BI181),AF181*$BI181),0)</f>
        <v>0</v>
      </c>
      <c r="CJ181" s="5">
        <f>IF($BI181&lt;&gt;"",IF('Capacity summary'!$C$14="Yes",IF(COUNTBLANK('Capacity summary'!$H93:$BG93)&lt;52,IF('Capacity summary'!AG93&lt;&gt;"",IF(LOWER('Capacity summary'!AG93)="x",$BI181*AG181,VALUE('Capacity summary'!AG93)),0),AG181*$BI181),AG181*$BI181),0)</f>
        <v>0</v>
      </c>
      <c r="CK181" s="5">
        <f>IF($BI181&lt;&gt;"",IF('Capacity summary'!$C$14="Yes",IF(COUNTBLANK('Capacity summary'!$H93:$BG93)&lt;52,IF('Capacity summary'!AH93&lt;&gt;"",IF(LOWER('Capacity summary'!AH93)="x",$BI181*AH181,VALUE('Capacity summary'!AH93)),0),AH181*$BI181),AH181*$BI181),0)</f>
        <v>0</v>
      </c>
      <c r="CL181" s="5">
        <f>IF($BI181&lt;&gt;"",IF('Capacity summary'!$C$14="Yes",IF(COUNTBLANK('Capacity summary'!$H93:$BG93)&lt;52,IF('Capacity summary'!AI93&lt;&gt;"",IF(LOWER('Capacity summary'!AI93)="x",$BI181*AI181,VALUE('Capacity summary'!AI93)),0),AI181*$BI181),AI181*$BI181),0)</f>
        <v>0</v>
      </c>
      <c r="CM181" s="5">
        <f>IF($BI181&lt;&gt;"",IF('Capacity summary'!$C$14="Yes",IF(COUNTBLANK('Capacity summary'!$H93:$BG93)&lt;52,IF('Capacity summary'!AJ93&lt;&gt;"",IF(LOWER('Capacity summary'!AJ93)="x",$BI181*AJ181,VALUE('Capacity summary'!AJ93)),0),AJ181*$BI181),AJ181*$BI181),0)</f>
        <v>0</v>
      </c>
      <c r="CN181" s="5">
        <f>IF($BI181&lt;&gt;"",IF('Capacity summary'!$C$14="Yes",IF(COUNTBLANK('Capacity summary'!$H93:$BG93)&lt;52,IF('Capacity summary'!AK93&lt;&gt;"",IF(LOWER('Capacity summary'!AK93)="x",$BI181*AK181,VALUE('Capacity summary'!AK93)),0),AK181*$BI181),AK181*$BI181),0)</f>
        <v>0</v>
      </c>
      <c r="CO181" s="5">
        <f>IF($BI181&lt;&gt;"",IF('Capacity summary'!$C$14="Yes",IF(COUNTBLANK('Capacity summary'!$H93:$BG93)&lt;52,IF('Capacity summary'!AL93&lt;&gt;"",IF(LOWER('Capacity summary'!AL93)="x",$BI181*AL181,VALUE('Capacity summary'!AL93)),0),AL181*$BI181),AL181*$BI181),0)</f>
        <v>0</v>
      </c>
      <c r="CP181" s="5">
        <f>IF($BI181&lt;&gt;"",IF('Capacity summary'!$C$14="Yes",IF(COUNTBLANK('Capacity summary'!$H93:$BG93)&lt;52,IF('Capacity summary'!AM93&lt;&gt;"",IF(LOWER('Capacity summary'!AM93)="x",$BI181*AM181,VALUE('Capacity summary'!AM93)),0),AM181*$BI181),AM181*$BI181),0)</f>
        <v>0</v>
      </c>
      <c r="CQ181" s="5">
        <f>IF($BI181&lt;&gt;"",IF('Capacity summary'!$C$14="Yes",IF(COUNTBLANK('Capacity summary'!$H93:$BG93)&lt;52,IF('Capacity summary'!AN93&lt;&gt;"",IF(LOWER('Capacity summary'!AN93)="x",$BI181*AN181,VALUE('Capacity summary'!AN93)),0),AN181*$BI181),AN181*$BI181),0)</f>
        <v>0</v>
      </c>
      <c r="CR181" s="5">
        <f>IF($BI181&lt;&gt;"",IF('Capacity summary'!$C$14="Yes",IF(COUNTBLANK('Capacity summary'!$H93:$BG93)&lt;52,IF('Capacity summary'!AO93&lt;&gt;"",IF(LOWER('Capacity summary'!AO93)="x",$BI181*AO181,VALUE('Capacity summary'!AO93)),0),AO181*$BI181),AO181*$BI181),0)</f>
        <v>0</v>
      </c>
      <c r="CS181" s="5">
        <f>IF($BI181&lt;&gt;"",IF('Capacity summary'!$C$14="Yes",IF(COUNTBLANK('Capacity summary'!$H93:$BG93)&lt;52,IF('Capacity summary'!AP93&lt;&gt;"",IF(LOWER('Capacity summary'!AP93)="x",$BI181*AP181,VALUE('Capacity summary'!AP93)),0),AP181*$BI181),AP181*$BI181),0)</f>
        <v>0</v>
      </c>
      <c r="CT181" s="5">
        <f>IF($BI181&lt;&gt;"",IF('Capacity summary'!$C$14="Yes",IF(COUNTBLANK('Capacity summary'!$H93:$BG93)&lt;52,IF('Capacity summary'!AQ93&lt;&gt;"",IF(LOWER('Capacity summary'!AQ93)="x",$BI181*AQ181,VALUE('Capacity summary'!AQ93)),0),AQ181*$BI181),AQ181*$BI181),0)</f>
        <v>0</v>
      </c>
      <c r="CU181" s="5">
        <f>IF($BI181&lt;&gt;"",IF('Capacity summary'!$C$14="Yes",IF(COUNTBLANK('Capacity summary'!$H93:$BG93)&lt;52,IF('Capacity summary'!AR93&lt;&gt;"",IF(LOWER('Capacity summary'!AR93)="x",$BI181*AR181,VALUE('Capacity summary'!AR93)),0),AR181*$BI181),AR181*$BI181),0)</f>
        <v>0</v>
      </c>
      <c r="CV181" s="5">
        <f>IF($BI181&lt;&gt;"",IF('Capacity summary'!$C$14="Yes",IF(COUNTBLANK('Capacity summary'!$H93:$BG93)&lt;52,IF('Capacity summary'!AS93&lt;&gt;"",IF(LOWER('Capacity summary'!AS93)="x",$BI181*AS181,VALUE('Capacity summary'!AS93)),0),AS181*$BI181),AS181*$BI181),0)</f>
        <v>0</v>
      </c>
      <c r="CW181" s="5">
        <f>IF($BI181&lt;&gt;"",IF('Capacity summary'!$C$14="Yes",IF(COUNTBLANK('Capacity summary'!$H93:$BG93)&lt;52,IF('Capacity summary'!AT93&lt;&gt;"",IF(LOWER('Capacity summary'!AT93)="x",$BI181*AT181,VALUE('Capacity summary'!AT93)),0),AT181*$BI181),AT181*$BI181),0)</f>
        <v>0</v>
      </c>
      <c r="CX181" s="5">
        <f>IF($BI181&lt;&gt;"",IF('Capacity summary'!$C$14="Yes",IF(COUNTBLANK('Capacity summary'!$H93:$BG93)&lt;52,IF('Capacity summary'!AU93&lt;&gt;"",IF(LOWER('Capacity summary'!AU93)="x",$BI181*AU181,VALUE('Capacity summary'!AU93)),0),AU181*$BI181),AU181*$BI181),0)</f>
        <v>0</v>
      </c>
      <c r="CY181" s="5">
        <f>IF($BI181&lt;&gt;"",IF('Capacity summary'!$C$14="Yes",IF(COUNTBLANK('Capacity summary'!$H93:$BG93)&lt;52,IF('Capacity summary'!AV93&lt;&gt;"",IF(LOWER('Capacity summary'!AV93)="x",$BI181*AV181,VALUE('Capacity summary'!AV93)),0),AV181*$BI181),AV181*$BI181),0)</f>
        <v>0</v>
      </c>
      <c r="CZ181" s="5">
        <f>IF($BI181&lt;&gt;"",IF('Capacity summary'!$C$14="Yes",IF(COUNTBLANK('Capacity summary'!$H93:$BG93)&lt;52,IF('Capacity summary'!AW93&lt;&gt;"",IF(LOWER('Capacity summary'!AW93)="x",$BI181*AW181,VALUE('Capacity summary'!AW93)),0),AW181*$BI181),AW181*$BI181),0)</f>
        <v>0</v>
      </c>
      <c r="DA181" s="5">
        <f>IF($BI181&lt;&gt;"",IF('Capacity summary'!$C$14="Yes",IF(COUNTBLANK('Capacity summary'!$H93:$BG93)&lt;52,IF('Capacity summary'!AX93&lt;&gt;"",IF(LOWER('Capacity summary'!AX93)="x",$BI181*AX181,VALUE('Capacity summary'!AX93)),0),AX181*$BI181),AX181*$BI181),0)</f>
        <v>0</v>
      </c>
      <c r="DB181" s="5">
        <f>IF($BI181&lt;&gt;"",IF('Capacity summary'!$C$14="Yes",IF(COUNTBLANK('Capacity summary'!$H93:$BG93)&lt;52,IF('Capacity summary'!AY93&lt;&gt;"",IF(LOWER('Capacity summary'!AY93)="x",$BI181*AY181,VALUE('Capacity summary'!AY93)),0),AY181*$BI181),AY181*$BI181),0)</f>
        <v>0</v>
      </c>
      <c r="DC181" s="5">
        <f>IF($BI181&lt;&gt;"",IF('Capacity summary'!$C$14="Yes",IF(COUNTBLANK('Capacity summary'!$H93:$BG93)&lt;52,IF('Capacity summary'!AZ93&lt;&gt;"",IF(LOWER('Capacity summary'!AZ93)="x",$BI181*AZ181,VALUE('Capacity summary'!AZ93)),0),AZ181*$BI181),AZ181*$BI181),0)</f>
        <v>0</v>
      </c>
      <c r="DD181" s="5">
        <f>IF($BI181&lt;&gt;"",IF('Capacity summary'!$C$14="Yes",IF(COUNTBLANK('Capacity summary'!$H93:$BG93)&lt;52,IF('Capacity summary'!BA93&lt;&gt;"",IF(LOWER('Capacity summary'!BA93)="x",$BI181*BA181,VALUE('Capacity summary'!BA93)),0),BA181*$BI181),BA181*$BI181),0)</f>
        <v>0</v>
      </c>
      <c r="DE181" s="5">
        <f>IF($BI181&lt;&gt;"",IF('Capacity summary'!$C$14="Yes",IF(COUNTBLANK('Capacity summary'!$H93:$BG93)&lt;52,IF('Capacity summary'!BB93&lt;&gt;"",IF(LOWER('Capacity summary'!BB93)="x",$BI181*BB181,VALUE('Capacity summary'!BB93)),0),BB181*$BI181),BB181*$BI181),0)</f>
        <v>0</v>
      </c>
      <c r="DF181" s="5">
        <f>IF($BI181&lt;&gt;"",IF('Capacity summary'!$C$14="Yes",IF(COUNTBLANK('Capacity summary'!$H93:$BG93)&lt;52,IF('Capacity summary'!BC93&lt;&gt;"",IF(LOWER('Capacity summary'!BC93)="x",$BI181*BC181,VALUE('Capacity summary'!BC93)),0),BC181*$BI181),BC181*$BI181),0)</f>
        <v>0</v>
      </c>
      <c r="DG181" s="5">
        <f>IF($BI181&lt;&gt;"",IF('Capacity summary'!$C$14="Yes",IF(COUNTBLANK('Capacity summary'!$H93:$BG93)&lt;52,IF('Capacity summary'!BD93&lt;&gt;"",IF(LOWER('Capacity summary'!BD93)="x",$BI181*BD181,VALUE('Capacity summary'!BD93)),0),BD181*$BI181),BD181*$BI181),0)</f>
        <v>0</v>
      </c>
      <c r="DH181" s="5">
        <f>IF($BI181&lt;&gt;"",IF('Capacity summary'!$C$14="Yes",IF(COUNTBLANK('Capacity summary'!$H93:$BG93)&lt;52,IF('Capacity summary'!BE93&lt;&gt;"",IF(LOWER('Capacity summary'!BE93)="x",$BI181*BE181,VALUE('Capacity summary'!BE93)),0),BE181*$BI181),BE181*$BI181),0)</f>
        <v>0</v>
      </c>
      <c r="DI181" s="5">
        <f>IF($BI181&lt;&gt;"",IF('Capacity summary'!$C$14="Yes",IF(COUNTBLANK('Capacity summary'!$H93:$BG93)&lt;52,IF('Capacity summary'!BF93&lt;&gt;"",IF(LOWER('Capacity summary'!BF93)="x",$BI181*BF181,VALUE('Capacity summary'!BF93)),0),BF181*$BI181),BF181*$BI181),0)</f>
        <v>0</v>
      </c>
      <c r="DJ181" s="5">
        <f>IF($BI181&lt;&gt;"",IF('Capacity summary'!$C$14="Yes",IF(COUNTBLANK('Capacity summary'!$H93:$BG93)&lt;52,IF('Capacity summary'!BG93&lt;&gt;"",IF(LOWER('Capacity summary'!BG93)="x",$BI181*BG181,VALUE('Capacity summary'!BG93)),0),BG181*$BI181),BG181*$BI181),0)</f>
        <v>0</v>
      </c>
      <c r="DK181" s="391">
        <f t="shared" si="10"/>
        <v>0</v>
      </c>
      <c r="DL181" s="5">
        <f t="shared" si="11"/>
        <v>0</v>
      </c>
    </row>
    <row r="182" spans="3:116" x14ac:dyDescent="0.2">
      <c r="C182" s="67" t="str">
        <f>ROW(A71)&amp;". "&amp;Capacity!N87</f>
        <v xml:space="preserve">71. </v>
      </c>
      <c r="D182" s="67">
        <f>'Capacity setup'!C188</f>
        <v>0</v>
      </c>
      <c r="E182" s="67">
        <f>'Capacity setup'!D188</f>
        <v>0</v>
      </c>
      <c r="F182" s="67">
        <f>'Capacity setup'!E188</f>
        <v>0</v>
      </c>
      <c r="H182" s="67">
        <f ca="1">IF(LOWER(Capacity!$V87)="x",IF(AND(SUMIF(Capacity_Resource,$D182,'Critical resources (hide)'!U$6:U$105)+SUMIF(Capacity_Resource,$E182,'Critical resources (hide)'!U$6:U$105)+SUMIF(Capacity_Resource,$F182,'Critical resources (hide)'!U$6:U$105)&gt;0,$E$1=2),0,1),0)</f>
        <v>1</v>
      </c>
      <c r="I182" s="67">
        <f ca="1">IF(LOWER(Capacity!$V87)="x",IF(AND(SUMIF(Capacity_Resource,$D182,'Critical resources (hide)'!V$6:V$105)+SUMIF(Capacity_Resource,$E182,'Critical resources (hide)'!V$6:V$105)+SUMIF(Capacity_Resource,$F182,'Critical resources (hide)'!V$6:V$105)&gt;0,$E$1=2),0,1),0)</f>
        <v>1</v>
      </c>
      <c r="J182" s="67">
        <f ca="1">IF(LOWER(Capacity!$V87)="x",IF(AND(SUMIF(Capacity_Resource,$D182,'Critical resources (hide)'!W$6:W$105)+SUMIF(Capacity_Resource,$E182,'Critical resources (hide)'!W$6:W$105)+SUMIF(Capacity_Resource,$F182,'Critical resources (hide)'!W$6:W$105)&gt;0,$E$1=2),0,1),0)</f>
        <v>1</v>
      </c>
      <c r="K182" s="67">
        <f ca="1">IF(LOWER(Capacity!$V87)="x",IF(AND(SUMIF(Capacity_Resource,$D182,'Critical resources (hide)'!X$6:X$105)+SUMIF(Capacity_Resource,$E182,'Critical resources (hide)'!X$6:X$105)+SUMIF(Capacity_Resource,$F182,'Critical resources (hide)'!X$6:X$105)&gt;0,$E$1=2),0,1),0)</f>
        <v>1</v>
      </c>
      <c r="L182" s="67">
        <f ca="1">IF(LOWER(Capacity!$V87)="x",IF(AND(SUMIF(Capacity_Resource,$D182,'Critical resources (hide)'!Y$6:Y$105)+SUMIF(Capacity_Resource,$E182,'Critical resources (hide)'!Y$6:Y$105)+SUMIF(Capacity_Resource,$F182,'Critical resources (hide)'!Y$6:Y$105)&gt;0,$E$1=2),0,1),0)</f>
        <v>1</v>
      </c>
      <c r="M182" s="67">
        <f ca="1">IF(LOWER(Capacity!$V87)="x",IF(AND(SUMIF(Capacity_Resource,$D182,'Critical resources (hide)'!Z$6:Z$105)+SUMIF(Capacity_Resource,$E182,'Critical resources (hide)'!Z$6:Z$105)+SUMIF(Capacity_Resource,$F182,'Critical resources (hide)'!Z$6:Z$105)&gt;0,$E$1=2),0,1),0)</f>
        <v>1</v>
      </c>
      <c r="N182" s="67">
        <f ca="1">IF(LOWER(Capacity!$V87)="x",IF(AND(SUMIF(Capacity_Resource,$D182,'Critical resources (hide)'!AA$6:AA$105)+SUMIF(Capacity_Resource,$E182,'Critical resources (hide)'!AA$6:AA$105)+SUMIF(Capacity_Resource,$F182,'Critical resources (hide)'!AA$6:AA$105)&gt;0,$E$1=2),0,1),0)</f>
        <v>1</v>
      </c>
      <c r="O182" s="67">
        <f ca="1">IF(LOWER(Capacity!$V87)="x",IF(AND(SUMIF(Capacity_Resource,$D182,'Critical resources (hide)'!AB$6:AB$105)+SUMIF(Capacity_Resource,$E182,'Critical resources (hide)'!AB$6:AB$105)+SUMIF(Capacity_Resource,$F182,'Critical resources (hide)'!AB$6:AB$105)&gt;0,$E$1=2),0,1),0)</f>
        <v>1</v>
      </c>
      <c r="P182" s="67">
        <f ca="1">IF(LOWER(Capacity!$V87)="x",IF(AND(SUMIF(Capacity_Resource,$D182,'Critical resources (hide)'!AC$6:AC$105)+SUMIF(Capacity_Resource,$E182,'Critical resources (hide)'!AC$6:AC$105)+SUMIF(Capacity_Resource,$F182,'Critical resources (hide)'!AC$6:AC$105)&gt;0,$E$1=2),0,1),0)</f>
        <v>1</v>
      </c>
      <c r="Q182" s="67">
        <f ca="1">IF(LOWER(Capacity!$V87)="x",IF(AND(SUMIF(Capacity_Resource,$D182,'Critical resources (hide)'!AD$6:AD$105)+SUMIF(Capacity_Resource,$E182,'Critical resources (hide)'!AD$6:AD$105)+SUMIF(Capacity_Resource,$F182,'Critical resources (hide)'!AD$6:AD$105)&gt;0,$E$1=2),0,1),0)</f>
        <v>1</v>
      </c>
      <c r="R182" s="67">
        <f ca="1">IF(LOWER(Capacity!$V87)="x",IF(AND(SUMIF(Capacity_Resource,$D182,'Critical resources (hide)'!AE$6:AE$105)+SUMIF(Capacity_Resource,$E182,'Critical resources (hide)'!AE$6:AE$105)+SUMIF(Capacity_Resource,$F182,'Critical resources (hide)'!AE$6:AE$105)&gt;0,$E$1=2),0,1),0)</f>
        <v>1</v>
      </c>
      <c r="S182" s="67">
        <f ca="1">IF(LOWER(Capacity!$V87)="x",IF(AND(SUMIF(Capacity_Resource,$D182,'Critical resources (hide)'!AF$6:AF$105)+SUMIF(Capacity_Resource,$E182,'Critical resources (hide)'!AF$6:AF$105)+SUMIF(Capacity_Resource,$F182,'Critical resources (hide)'!AF$6:AF$105)&gt;0,$E$1=2),0,1),0)</f>
        <v>1</v>
      </c>
      <c r="T182" s="67">
        <f ca="1">IF(LOWER(Capacity!$V87)="x",IF(AND(SUMIF(Capacity_Resource,$D182,'Critical resources (hide)'!AG$6:AG$105)+SUMIF(Capacity_Resource,$E182,'Critical resources (hide)'!AG$6:AG$105)+SUMIF(Capacity_Resource,$F182,'Critical resources (hide)'!AG$6:AG$105)&gt;0,$E$1=2),0,1),0)</f>
        <v>1</v>
      </c>
      <c r="U182" s="67">
        <f ca="1">IF(LOWER(Capacity!$V87)="x",IF(AND(SUMIF(Capacity_Resource,$D182,'Critical resources (hide)'!AH$6:AH$105)+SUMIF(Capacity_Resource,$E182,'Critical resources (hide)'!AH$6:AH$105)+SUMIF(Capacity_Resource,$F182,'Critical resources (hide)'!AH$6:AH$105)&gt;0,$E$1=2),0,1),0)</f>
        <v>1</v>
      </c>
      <c r="V182" s="67">
        <f ca="1">IF(LOWER(Capacity!$V87)="x",IF(AND(SUMIF(Capacity_Resource,$D182,'Critical resources (hide)'!AI$6:AI$105)+SUMIF(Capacity_Resource,$E182,'Critical resources (hide)'!AI$6:AI$105)+SUMIF(Capacity_Resource,$F182,'Critical resources (hide)'!AI$6:AI$105)&gt;0,$E$1=2),0,1),0)</f>
        <v>1</v>
      </c>
      <c r="W182" s="67">
        <f ca="1">IF(LOWER(Capacity!$V87)="x",IF(AND(SUMIF(Capacity_Resource,$D182,'Critical resources (hide)'!AJ$6:AJ$105)+SUMIF(Capacity_Resource,$E182,'Critical resources (hide)'!AJ$6:AJ$105)+SUMIF(Capacity_Resource,$F182,'Critical resources (hide)'!AJ$6:AJ$105)&gt;0,$E$1=2),0,1),0)</f>
        <v>1</v>
      </c>
      <c r="X182" s="67">
        <f ca="1">IF(LOWER(Capacity!$V87)="x",IF(AND(SUMIF(Capacity_Resource,$D182,'Critical resources (hide)'!AK$6:AK$105)+SUMIF(Capacity_Resource,$E182,'Critical resources (hide)'!AK$6:AK$105)+SUMIF(Capacity_Resource,$F182,'Critical resources (hide)'!AK$6:AK$105)&gt;0,$E$1=2),0,1),0)</f>
        <v>1</v>
      </c>
      <c r="Y182" s="67">
        <f ca="1">IF(LOWER(Capacity!$V87)="x",IF(AND(SUMIF(Capacity_Resource,$D182,'Critical resources (hide)'!AL$6:AL$105)+SUMIF(Capacity_Resource,$E182,'Critical resources (hide)'!AL$6:AL$105)+SUMIF(Capacity_Resource,$F182,'Critical resources (hide)'!AL$6:AL$105)&gt;0,$E$1=2),0,1),0)</f>
        <v>1</v>
      </c>
      <c r="Z182" s="67">
        <f ca="1">IF(LOWER(Capacity!$V87)="x",IF(AND(SUMIF(Capacity_Resource,$D182,'Critical resources (hide)'!AM$6:AM$105)+SUMIF(Capacity_Resource,$E182,'Critical resources (hide)'!AM$6:AM$105)+SUMIF(Capacity_Resource,$F182,'Critical resources (hide)'!AM$6:AM$105)&gt;0,$E$1=2),0,1),0)</f>
        <v>1</v>
      </c>
      <c r="AA182" s="67">
        <f ca="1">IF(LOWER(Capacity!$V87)="x",IF(AND(SUMIF(Capacity_Resource,$D182,'Critical resources (hide)'!AN$6:AN$105)+SUMIF(Capacity_Resource,$E182,'Critical resources (hide)'!AN$6:AN$105)+SUMIF(Capacity_Resource,$F182,'Critical resources (hide)'!AN$6:AN$105)&gt;0,$E$1=2),0,1),0)</f>
        <v>1</v>
      </c>
      <c r="AB182" s="67">
        <f ca="1">IF(LOWER(Capacity!$V87)="x",IF(AND(SUMIF(Capacity_Resource,$D182,'Critical resources (hide)'!AO$6:AO$105)+SUMIF(Capacity_Resource,$E182,'Critical resources (hide)'!AO$6:AO$105)+SUMIF(Capacity_Resource,$F182,'Critical resources (hide)'!AO$6:AO$105)&gt;0,$E$1=2),0,1),0)</f>
        <v>1</v>
      </c>
      <c r="AC182" s="67">
        <f ca="1">IF(LOWER(Capacity!$V87)="x",IF(AND(SUMIF(Capacity_Resource,$D182,'Critical resources (hide)'!AP$6:AP$105)+SUMIF(Capacity_Resource,$E182,'Critical resources (hide)'!AP$6:AP$105)+SUMIF(Capacity_Resource,$F182,'Critical resources (hide)'!AP$6:AP$105)&gt;0,$E$1=2),0,1),0)</f>
        <v>1</v>
      </c>
      <c r="AD182" s="67">
        <f ca="1">IF(LOWER(Capacity!$V87)="x",IF(AND(SUMIF(Capacity_Resource,$D182,'Critical resources (hide)'!AQ$6:AQ$105)+SUMIF(Capacity_Resource,$E182,'Critical resources (hide)'!AQ$6:AQ$105)+SUMIF(Capacity_Resource,$F182,'Critical resources (hide)'!AQ$6:AQ$105)&gt;0,$E$1=2),0,1),0)</f>
        <v>1</v>
      </c>
      <c r="AE182" s="67">
        <f ca="1">IF(LOWER(Capacity!$V87)="x",IF(AND(SUMIF(Capacity_Resource,$D182,'Critical resources (hide)'!AR$6:AR$105)+SUMIF(Capacity_Resource,$E182,'Critical resources (hide)'!AR$6:AR$105)+SUMIF(Capacity_Resource,$F182,'Critical resources (hide)'!AR$6:AR$105)&gt;0,$E$1=2),0,1),0)</f>
        <v>1</v>
      </c>
      <c r="AF182" s="67">
        <f ca="1">IF(LOWER(Capacity!$V87)="x",IF(AND(SUMIF(Capacity_Resource,$D182,'Critical resources (hide)'!AS$6:AS$105)+SUMIF(Capacity_Resource,$E182,'Critical resources (hide)'!AS$6:AS$105)+SUMIF(Capacity_Resource,$F182,'Critical resources (hide)'!AS$6:AS$105)&gt;0,$E$1=2),0,1),0)</f>
        <v>1</v>
      </c>
      <c r="AG182" s="67">
        <f ca="1">IF(LOWER(Capacity!$V87)="x",IF(AND(SUMIF(Capacity_Resource,$D182,'Critical resources (hide)'!AT$6:AT$105)+SUMIF(Capacity_Resource,$E182,'Critical resources (hide)'!AT$6:AT$105)+SUMIF(Capacity_Resource,$F182,'Critical resources (hide)'!AT$6:AT$105)&gt;0,$E$1=2),0,1),0)</f>
        <v>1</v>
      </c>
      <c r="AH182" s="67">
        <f ca="1">IF(LOWER(Capacity!$V87)="x",IF(AND(SUMIF(Capacity_Resource,$D182,'Critical resources (hide)'!AU$6:AU$105)+SUMIF(Capacity_Resource,$E182,'Critical resources (hide)'!AU$6:AU$105)+SUMIF(Capacity_Resource,$F182,'Critical resources (hide)'!AU$6:AU$105)&gt;0,$E$1=2),0,1),0)</f>
        <v>1</v>
      </c>
      <c r="AI182" s="67">
        <f ca="1">IF(LOWER(Capacity!$V87)="x",IF(AND(SUMIF(Capacity_Resource,$D182,'Critical resources (hide)'!AV$6:AV$105)+SUMIF(Capacity_Resource,$E182,'Critical resources (hide)'!AV$6:AV$105)+SUMIF(Capacity_Resource,$F182,'Critical resources (hide)'!AV$6:AV$105)&gt;0,$E$1=2),0,1),0)</f>
        <v>1</v>
      </c>
      <c r="AJ182" s="67">
        <f ca="1">IF(LOWER(Capacity!$V87)="x",IF(AND(SUMIF(Capacity_Resource,$D182,'Critical resources (hide)'!AW$6:AW$105)+SUMIF(Capacity_Resource,$E182,'Critical resources (hide)'!AW$6:AW$105)+SUMIF(Capacity_Resource,$F182,'Critical resources (hide)'!AW$6:AW$105)&gt;0,$E$1=2),0,1),0)</f>
        <v>1</v>
      </c>
      <c r="AK182" s="67">
        <f ca="1">IF(LOWER(Capacity!$V87)="x",IF(AND(SUMIF(Capacity_Resource,$D182,'Critical resources (hide)'!AX$6:AX$105)+SUMIF(Capacity_Resource,$E182,'Critical resources (hide)'!AX$6:AX$105)+SUMIF(Capacity_Resource,$F182,'Critical resources (hide)'!AX$6:AX$105)&gt;0,$E$1=2),0,1),0)</f>
        <v>1</v>
      </c>
      <c r="AL182" s="67">
        <f ca="1">IF(LOWER(Capacity!$V87)="x",IF(AND(SUMIF(Capacity_Resource,$D182,'Critical resources (hide)'!AY$6:AY$105)+SUMIF(Capacity_Resource,$E182,'Critical resources (hide)'!AY$6:AY$105)+SUMIF(Capacity_Resource,$F182,'Critical resources (hide)'!AY$6:AY$105)&gt;0,$E$1=2),0,1),0)</f>
        <v>1</v>
      </c>
      <c r="AM182" s="67">
        <f ca="1">IF(LOWER(Capacity!$V87)="x",IF(AND(SUMIF(Capacity_Resource,$D182,'Critical resources (hide)'!AZ$6:AZ$105)+SUMIF(Capacity_Resource,$E182,'Critical resources (hide)'!AZ$6:AZ$105)+SUMIF(Capacity_Resource,$F182,'Critical resources (hide)'!AZ$6:AZ$105)&gt;0,$E$1=2),0,1),0)</f>
        <v>1</v>
      </c>
      <c r="AN182" s="67">
        <f ca="1">IF(LOWER(Capacity!$V87)="x",IF(AND(SUMIF(Capacity_Resource,$D182,'Critical resources (hide)'!BA$6:BA$105)+SUMIF(Capacity_Resource,$E182,'Critical resources (hide)'!BA$6:BA$105)+SUMIF(Capacity_Resource,$F182,'Critical resources (hide)'!BA$6:BA$105)&gt;0,$E$1=2),0,1),0)</f>
        <v>1</v>
      </c>
      <c r="AO182" s="67">
        <f ca="1">IF(LOWER(Capacity!$V87)="x",IF(AND(SUMIF(Capacity_Resource,$D182,'Critical resources (hide)'!BB$6:BB$105)+SUMIF(Capacity_Resource,$E182,'Critical resources (hide)'!BB$6:BB$105)+SUMIF(Capacity_Resource,$F182,'Critical resources (hide)'!BB$6:BB$105)&gt;0,$E$1=2),0,1),0)</f>
        <v>1</v>
      </c>
      <c r="AP182" s="67">
        <f ca="1">IF(LOWER(Capacity!$V87)="x",IF(AND(SUMIF(Capacity_Resource,$D182,'Critical resources (hide)'!BC$6:BC$105)+SUMIF(Capacity_Resource,$E182,'Critical resources (hide)'!BC$6:BC$105)+SUMIF(Capacity_Resource,$F182,'Critical resources (hide)'!BC$6:BC$105)&gt;0,$E$1=2),0,1),0)</f>
        <v>1</v>
      </c>
      <c r="AQ182" s="67">
        <f ca="1">IF(LOWER(Capacity!$V87)="x",IF(AND(SUMIF(Capacity_Resource,$D182,'Critical resources (hide)'!BD$6:BD$105)+SUMIF(Capacity_Resource,$E182,'Critical resources (hide)'!BD$6:BD$105)+SUMIF(Capacity_Resource,$F182,'Critical resources (hide)'!BD$6:BD$105)&gt;0,$E$1=2),0,1),0)</f>
        <v>1</v>
      </c>
      <c r="AR182" s="67">
        <f ca="1">IF(LOWER(Capacity!$V87)="x",IF(AND(SUMIF(Capacity_Resource,$D182,'Critical resources (hide)'!BE$6:BE$105)+SUMIF(Capacity_Resource,$E182,'Critical resources (hide)'!BE$6:BE$105)+SUMIF(Capacity_Resource,$F182,'Critical resources (hide)'!BE$6:BE$105)&gt;0,$E$1=2),0,1),0)</f>
        <v>1</v>
      </c>
      <c r="AS182" s="67">
        <f ca="1">IF(LOWER(Capacity!$V87)="x",IF(AND(SUMIF(Capacity_Resource,$D182,'Critical resources (hide)'!BF$6:BF$105)+SUMIF(Capacity_Resource,$E182,'Critical resources (hide)'!BF$6:BF$105)+SUMIF(Capacity_Resource,$F182,'Critical resources (hide)'!BF$6:BF$105)&gt;0,$E$1=2),0,1),0)</f>
        <v>1</v>
      </c>
      <c r="AT182" s="67">
        <f ca="1">IF(LOWER(Capacity!$V87)="x",IF(AND(SUMIF(Capacity_Resource,$D182,'Critical resources (hide)'!BG$6:BG$105)+SUMIF(Capacity_Resource,$E182,'Critical resources (hide)'!BG$6:BG$105)+SUMIF(Capacity_Resource,$F182,'Critical resources (hide)'!BG$6:BG$105)&gt;0,$E$1=2),0,1),0)</f>
        <v>1</v>
      </c>
      <c r="AU182" s="67">
        <f ca="1">IF(LOWER(Capacity!$V87)="x",IF(AND(SUMIF(Capacity_Resource,$D182,'Critical resources (hide)'!BH$6:BH$105)+SUMIF(Capacity_Resource,$E182,'Critical resources (hide)'!BH$6:BH$105)+SUMIF(Capacity_Resource,$F182,'Critical resources (hide)'!BH$6:BH$105)&gt;0,$E$1=2),0,1),0)</f>
        <v>1</v>
      </c>
      <c r="AV182" s="67">
        <f ca="1">IF(LOWER(Capacity!$V87)="x",IF(AND(SUMIF(Capacity_Resource,$D182,'Critical resources (hide)'!BI$6:BI$105)+SUMIF(Capacity_Resource,$E182,'Critical resources (hide)'!BI$6:BI$105)+SUMIF(Capacity_Resource,$F182,'Critical resources (hide)'!BI$6:BI$105)&gt;0,$E$1=2),0,1),0)</f>
        <v>1</v>
      </c>
      <c r="AW182" s="67">
        <f ca="1">IF(LOWER(Capacity!$V87)="x",IF(AND(SUMIF(Capacity_Resource,$D182,'Critical resources (hide)'!BJ$6:BJ$105)+SUMIF(Capacity_Resource,$E182,'Critical resources (hide)'!BJ$6:BJ$105)+SUMIF(Capacity_Resource,$F182,'Critical resources (hide)'!BJ$6:BJ$105)&gt;0,$E$1=2),0,1),0)</f>
        <v>1</v>
      </c>
      <c r="AX182" s="67">
        <f ca="1">IF(LOWER(Capacity!$V87)="x",IF(AND(SUMIF(Capacity_Resource,$D182,'Critical resources (hide)'!BK$6:BK$105)+SUMIF(Capacity_Resource,$E182,'Critical resources (hide)'!BK$6:BK$105)+SUMIF(Capacity_Resource,$F182,'Critical resources (hide)'!BK$6:BK$105)&gt;0,$E$1=2),0,1),0)</f>
        <v>1</v>
      </c>
      <c r="AY182" s="67">
        <f ca="1">IF(LOWER(Capacity!$V87)="x",IF(AND(SUMIF(Capacity_Resource,$D182,'Critical resources (hide)'!BL$6:BL$105)+SUMIF(Capacity_Resource,$E182,'Critical resources (hide)'!BL$6:BL$105)+SUMIF(Capacity_Resource,$F182,'Critical resources (hide)'!BL$6:BL$105)&gt;0,$E$1=2),0,1),0)</f>
        <v>1</v>
      </c>
      <c r="AZ182" s="67">
        <f ca="1">IF(LOWER(Capacity!$V87)="x",IF(AND(SUMIF(Capacity_Resource,$D182,'Critical resources (hide)'!BM$6:BM$105)+SUMIF(Capacity_Resource,$E182,'Critical resources (hide)'!BM$6:BM$105)+SUMIF(Capacity_Resource,$F182,'Critical resources (hide)'!BM$6:BM$105)&gt;0,$E$1=2),0,1),0)</f>
        <v>1</v>
      </c>
      <c r="BA182" s="67">
        <f ca="1">IF(LOWER(Capacity!$V87)="x",IF(AND(SUMIF(Capacity_Resource,$D182,'Critical resources (hide)'!BN$6:BN$105)+SUMIF(Capacity_Resource,$E182,'Critical resources (hide)'!BN$6:BN$105)+SUMIF(Capacity_Resource,$F182,'Critical resources (hide)'!BN$6:BN$105)&gt;0,$E$1=2),0,1),0)</f>
        <v>1</v>
      </c>
      <c r="BB182" s="67">
        <f ca="1">IF(LOWER(Capacity!$V87)="x",IF(AND(SUMIF(Capacity_Resource,$D182,'Critical resources (hide)'!BO$6:BO$105)+SUMIF(Capacity_Resource,$E182,'Critical resources (hide)'!BO$6:BO$105)+SUMIF(Capacity_Resource,$F182,'Critical resources (hide)'!BO$6:BO$105)&gt;0,$E$1=2),0,1),0)</f>
        <v>1</v>
      </c>
      <c r="BC182" s="67">
        <f ca="1">IF(LOWER(Capacity!$V87)="x",IF(AND(SUMIF(Capacity_Resource,$D182,'Critical resources (hide)'!BP$6:BP$105)+SUMIF(Capacity_Resource,$E182,'Critical resources (hide)'!BP$6:BP$105)+SUMIF(Capacity_Resource,$F182,'Critical resources (hide)'!BP$6:BP$105)&gt;0,$E$1=2),0,1),0)</f>
        <v>1</v>
      </c>
      <c r="BD182" s="67">
        <f ca="1">IF(LOWER(Capacity!$V87)="x",IF(AND(SUMIF(Capacity_Resource,$D182,'Critical resources (hide)'!BQ$6:BQ$105)+SUMIF(Capacity_Resource,$E182,'Critical resources (hide)'!BQ$6:BQ$105)+SUMIF(Capacity_Resource,$F182,'Critical resources (hide)'!BQ$6:BQ$105)&gt;0,$E$1=2),0,1),0)</f>
        <v>1</v>
      </c>
      <c r="BE182" s="67">
        <f ca="1">IF(LOWER(Capacity!$V87)="x",IF(AND(SUMIF(Capacity_Resource,$D182,'Critical resources (hide)'!BR$6:BR$105)+SUMIF(Capacity_Resource,$E182,'Critical resources (hide)'!BR$6:BR$105)+SUMIF(Capacity_Resource,$F182,'Critical resources (hide)'!BR$6:BR$105)&gt;0,$E$1=2),0,1),0)</f>
        <v>1</v>
      </c>
      <c r="BF182" s="67">
        <f ca="1">IF(LOWER(Capacity!$V87)="x",IF(AND(SUMIF(Capacity_Resource,$D182,'Critical resources (hide)'!BS$6:BS$105)+SUMIF(Capacity_Resource,$E182,'Critical resources (hide)'!BS$6:BS$105)+SUMIF(Capacity_Resource,$F182,'Critical resources (hide)'!BS$6:BS$105)&gt;0,$E$1=2),0,1),0)</f>
        <v>1</v>
      </c>
      <c r="BG182" s="67">
        <f ca="1">IF(LOWER(Capacity!$V87)="x",IF(AND(SUMIF(Capacity_Resource,$D182,'Critical resources (hide)'!BT$6:BT$105)+SUMIF(Capacity_Resource,$E182,'Critical resources (hide)'!BT$6:BT$105)+SUMIF(Capacity_Resource,$F182,'Critical resources (hide)'!BT$6:BT$105)&gt;0,$E$1=2),0,1),0)</f>
        <v>1</v>
      </c>
      <c r="BH182" s="67">
        <f>IF(ROW(A71)&lt;=Capacity!$M$16,IF('Capacity summary'!$C$14="No",SUM(H182:BG182),'Capacity summary'!$E94),0)</f>
        <v>0</v>
      </c>
      <c r="BI182" s="67" t="str">
        <f>IF(BH182&gt;0,IF(BH182&lt;Capacity!Q87,Capacity!R87,Capacity!T87/'Capacity calculation (hide)'!BH182),"")</f>
        <v/>
      </c>
      <c r="BJ182" s="5"/>
      <c r="BK182" s="5">
        <f>IF($BI182&lt;&gt;"",IF('Capacity summary'!$C$14="Yes",IF(COUNTBLANK('Capacity summary'!$H94:$BG94)&lt;52,IF('Capacity summary'!H94&lt;&gt;"",IF(LOWER('Capacity summary'!H94)="x",$BI182*H182,VALUE('Capacity summary'!H94)),0),H182*$BI182),H182*$BI182),0)</f>
        <v>0</v>
      </c>
      <c r="BL182" s="5">
        <f>IF($BI182&lt;&gt;"",IF('Capacity summary'!$C$14="Yes",IF(COUNTBLANK('Capacity summary'!$H94:$BG94)&lt;52,IF('Capacity summary'!I94&lt;&gt;"",IF(LOWER('Capacity summary'!I94)="x",$BI182*I182,VALUE('Capacity summary'!I94)),0),I182*$BI182),I182*$BI182),0)</f>
        <v>0</v>
      </c>
      <c r="BM182" s="5">
        <f>IF($BI182&lt;&gt;"",IF('Capacity summary'!$C$14="Yes",IF(COUNTBLANK('Capacity summary'!$H94:$BG94)&lt;52,IF('Capacity summary'!J94&lt;&gt;"",IF(LOWER('Capacity summary'!J94)="x",$BI182*J182,VALUE('Capacity summary'!J94)),0),J182*$BI182),J182*$BI182),0)</f>
        <v>0</v>
      </c>
      <c r="BN182" s="5">
        <f>IF($BI182&lt;&gt;"",IF('Capacity summary'!$C$14="Yes",IF(COUNTBLANK('Capacity summary'!$H94:$BG94)&lt;52,IF('Capacity summary'!K94&lt;&gt;"",IF(LOWER('Capacity summary'!K94)="x",$BI182*K182,VALUE('Capacity summary'!K94)),0),K182*$BI182),K182*$BI182),0)</f>
        <v>0</v>
      </c>
      <c r="BO182" s="5">
        <f>IF($BI182&lt;&gt;"",IF('Capacity summary'!$C$14="Yes",IF(COUNTBLANK('Capacity summary'!$H94:$BG94)&lt;52,IF('Capacity summary'!L94&lt;&gt;"",IF(LOWER('Capacity summary'!L94)="x",$BI182*L182,VALUE('Capacity summary'!L94)),0),L182*$BI182),L182*$BI182),0)</f>
        <v>0</v>
      </c>
      <c r="BP182" s="5">
        <f>IF($BI182&lt;&gt;"",IF('Capacity summary'!$C$14="Yes",IF(COUNTBLANK('Capacity summary'!$H94:$BG94)&lt;52,IF('Capacity summary'!M94&lt;&gt;"",IF(LOWER('Capacity summary'!M94)="x",$BI182*M182,VALUE('Capacity summary'!M94)),0),M182*$BI182),M182*$BI182),0)</f>
        <v>0</v>
      </c>
      <c r="BQ182" s="5">
        <f>IF($BI182&lt;&gt;"",IF('Capacity summary'!$C$14="Yes",IF(COUNTBLANK('Capacity summary'!$H94:$BG94)&lt;52,IF('Capacity summary'!N94&lt;&gt;"",IF(LOWER('Capacity summary'!N94)="x",$BI182*N182,VALUE('Capacity summary'!N94)),0),N182*$BI182),N182*$BI182),0)</f>
        <v>0</v>
      </c>
      <c r="BR182" s="5">
        <f>IF($BI182&lt;&gt;"",IF('Capacity summary'!$C$14="Yes",IF(COUNTBLANK('Capacity summary'!$H94:$BG94)&lt;52,IF('Capacity summary'!O94&lt;&gt;"",IF(LOWER('Capacity summary'!O94)="x",$BI182*O182,VALUE('Capacity summary'!O94)),0),O182*$BI182),O182*$BI182),0)</f>
        <v>0</v>
      </c>
      <c r="BS182" s="5">
        <f>IF($BI182&lt;&gt;"",IF('Capacity summary'!$C$14="Yes",IF(COUNTBLANK('Capacity summary'!$H94:$BG94)&lt;52,IF('Capacity summary'!P94&lt;&gt;"",IF(LOWER('Capacity summary'!P94)="x",$BI182*P182,VALUE('Capacity summary'!P94)),0),P182*$BI182),P182*$BI182),0)</f>
        <v>0</v>
      </c>
      <c r="BT182" s="5">
        <f>IF($BI182&lt;&gt;"",IF('Capacity summary'!$C$14="Yes",IF(COUNTBLANK('Capacity summary'!$H94:$BG94)&lt;52,IF('Capacity summary'!Q94&lt;&gt;"",IF(LOWER('Capacity summary'!Q94)="x",$BI182*Q182,VALUE('Capacity summary'!Q94)),0),Q182*$BI182),Q182*$BI182),0)</f>
        <v>0</v>
      </c>
      <c r="BU182" s="5">
        <f>IF($BI182&lt;&gt;"",IF('Capacity summary'!$C$14="Yes",IF(COUNTBLANK('Capacity summary'!$H94:$BG94)&lt;52,IF('Capacity summary'!R94&lt;&gt;"",IF(LOWER('Capacity summary'!R94)="x",$BI182*R182,VALUE('Capacity summary'!R94)),0),R182*$BI182),R182*$BI182),0)</f>
        <v>0</v>
      </c>
      <c r="BV182" s="5">
        <f>IF($BI182&lt;&gt;"",IF('Capacity summary'!$C$14="Yes",IF(COUNTBLANK('Capacity summary'!$H94:$BG94)&lt;52,IF('Capacity summary'!S94&lt;&gt;"",IF(LOWER('Capacity summary'!S94)="x",$BI182*S182,VALUE('Capacity summary'!S94)),0),S182*$BI182),S182*$BI182),0)</f>
        <v>0</v>
      </c>
      <c r="BW182" s="5">
        <f>IF($BI182&lt;&gt;"",IF('Capacity summary'!$C$14="Yes",IF(COUNTBLANK('Capacity summary'!$H94:$BG94)&lt;52,IF('Capacity summary'!T94&lt;&gt;"",IF(LOWER('Capacity summary'!T94)="x",$BI182*T182,VALUE('Capacity summary'!T94)),0),T182*$BI182),T182*$BI182),0)</f>
        <v>0</v>
      </c>
      <c r="BX182" s="5">
        <f>IF($BI182&lt;&gt;"",IF('Capacity summary'!$C$14="Yes",IF(COUNTBLANK('Capacity summary'!$H94:$BG94)&lt;52,IF('Capacity summary'!U94&lt;&gt;"",IF(LOWER('Capacity summary'!U94)="x",$BI182*U182,VALUE('Capacity summary'!U94)),0),U182*$BI182),U182*$BI182),0)</f>
        <v>0</v>
      </c>
      <c r="BY182" s="5">
        <f>IF($BI182&lt;&gt;"",IF('Capacity summary'!$C$14="Yes",IF(COUNTBLANK('Capacity summary'!$H94:$BG94)&lt;52,IF('Capacity summary'!V94&lt;&gt;"",IF(LOWER('Capacity summary'!V94)="x",$BI182*V182,VALUE('Capacity summary'!V94)),0),V182*$BI182),V182*$BI182),0)</f>
        <v>0</v>
      </c>
      <c r="BZ182" s="5">
        <f>IF($BI182&lt;&gt;"",IF('Capacity summary'!$C$14="Yes",IF(COUNTBLANK('Capacity summary'!$H94:$BG94)&lt;52,IF('Capacity summary'!W94&lt;&gt;"",IF(LOWER('Capacity summary'!W94)="x",$BI182*W182,VALUE('Capacity summary'!W94)),0),W182*$BI182),W182*$BI182),0)</f>
        <v>0</v>
      </c>
      <c r="CA182" s="5">
        <f>IF($BI182&lt;&gt;"",IF('Capacity summary'!$C$14="Yes",IF(COUNTBLANK('Capacity summary'!$H94:$BG94)&lt;52,IF('Capacity summary'!X94&lt;&gt;"",IF(LOWER('Capacity summary'!X94)="x",$BI182*X182,VALUE('Capacity summary'!X94)),0),X182*$BI182),X182*$BI182),0)</f>
        <v>0</v>
      </c>
      <c r="CB182" s="5">
        <f>IF($BI182&lt;&gt;"",IF('Capacity summary'!$C$14="Yes",IF(COUNTBLANK('Capacity summary'!$H94:$BG94)&lt;52,IF('Capacity summary'!Y94&lt;&gt;"",IF(LOWER('Capacity summary'!Y94)="x",$BI182*Y182,VALUE('Capacity summary'!Y94)),0),Y182*$BI182),Y182*$BI182),0)</f>
        <v>0</v>
      </c>
      <c r="CC182" s="5">
        <f>IF($BI182&lt;&gt;"",IF('Capacity summary'!$C$14="Yes",IF(COUNTBLANK('Capacity summary'!$H94:$BG94)&lt;52,IF('Capacity summary'!Z94&lt;&gt;"",IF(LOWER('Capacity summary'!Z94)="x",$BI182*Z182,VALUE('Capacity summary'!Z94)),0),Z182*$BI182),Z182*$BI182),0)</f>
        <v>0</v>
      </c>
      <c r="CD182" s="5">
        <f>IF($BI182&lt;&gt;"",IF('Capacity summary'!$C$14="Yes",IF(COUNTBLANK('Capacity summary'!$H94:$BG94)&lt;52,IF('Capacity summary'!AA94&lt;&gt;"",IF(LOWER('Capacity summary'!AA94)="x",$BI182*AA182,VALUE('Capacity summary'!AA94)),0),AA182*$BI182),AA182*$BI182),0)</f>
        <v>0</v>
      </c>
      <c r="CE182" s="5">
        <f>IF($BI182&lt;&gt;"",IF('Capacity summary'!$C$14="Yes",IF(COUNTBLANK('Capacity summary'!$H94:$BG94)&lt;52,IF('Capacity summary'!AB94&lt;&gt;"",IF(LOWER('Capacity summary'!AB94)="x",$BI182*AB182,VALUE('Capacity summary'!AB94)),0),AB182*$BI182),AB182*$BI182),0)</f>
        <v>0</v>
      </c>
      <c r="CF182" s="5">
        <f>IF($BI182&lt;&gt;"",IF('Capacity summary'!$C$14="Yes",IF(COUNTBLANK('Capacity summary'!$H94:$BG94)&lt;52,IF('Capacity summary'!AC94&lt;&gt;"",IF(LOWER('Capacity summary'!AC94)="x",$BI182*AC182,VALUE('Capacity summary'!AC94)),0),AC182*$BI182),AC182*$BI182),0)</f>
        <v>0</v>
      </c>
      <c r="CG182" s="5">
        <f>IF($BI182&lt;&gt;"",IF('Capacity summary'!$C$14="Yes",IF(COUNTBLANK('Capacity summary'!$H94:$BG94)&lt;52,IF('Capacity summary'!AD94&lt;&gt;"",IF(LOWER('Capacity summary'!AD94)="x",$BI182*AD182,VALUE('Capacity summary'!AD94)),0),AD182*$BI182),AD182*$BI182),0)</f>
        <v>0</v>
      </c>
      <c r="CH182" s="5">
        <f>IF($BI182&lt;&gt;"",IF('Capacity summary'!$C$14="Yes",IF(COUNTBLANK('Capacity summary'!$H94:$BG94)&lt;52,IF('Capacity summary'!AE94&lt;&gt;"",IF(LOWER('Capacity summary'!AE94)="x",$BI182*AE182,VALUE('Capacity summary'!AE94)),0),AE182*$BI182),AE182*$BI182),0)</f>
        <v>0</v>
      </c>
      <c r="CI182" s="5">
        <f>IF($BI182&lt;&gt;"",IF('Capacity summary'!$C$14="Yes",IF(COUNTBLANK('Capacity summary'!$H94:$BG94)&lt;52,IF('Capacity summary'!AF94&lt;&gt;"",IF(LOWER('Capacity summary'!AF94)="x",$BI182*AF182,VALUE('Capacity summary'!AF94)),0),AF182*$BI182),AF182*$BI182),0)</f>
        <v>0</v>
      </c>
      <c r="CJ182" s="5">
        <f>IF($BI182&lt;&gt;"",IF('Capacity summary'!$C$14="Yes",IF(COUNTBLANK('Capacity summary'!$H94:$BG94)&lt;52,IF('Capacity summary'!AG94&lt;&gt;"",IF(LOWER('Capacity summary'!AG94)="x",$BI182*AG182,VALUE('Capacity summary'!AG94)),0),AG182*$BI182),AG182*$BI182),0)</f>
        <v>0</v>
      </c>
      <c r="CK182" s="5">
        <f>IF($BI182&lt;&gt;"",IF('Capacity summary'!$C$14="Yes",IF(COUNTBLANK('Capacity summary'!$H94:$BG94)&lt;52,IF('Capacity summary'!AH94&lt;&gt;"",IF(LOWER('Capacity summary'!AH94)="x",$BI182*AH182,VALUE('Capacity summary'!AH94)),0),AH182*$BI182),AH182*$BI182),0)</f>
        <v>0</v>
      </c>
      <c r="CL182" s="5">
        <f>IF($BI182&lt;&gt;"",IF('Capacity summary'!$C$14="Yes",IF(COUNTBLANK('Capacity summary'!$H94:$BG94)&lt;52,IF('Capacity summary'!AI94&lt;&gt;"",IF(LOWER('Capacity summary'!AI94)="x",$BI182*AI182,VALUE('Capacity summary'!AI94)),0),AI182*$BI182),AI182*$BI182),0)</f>
        <v>0</v>
      </c>
      <c r="CM182" s="5">
        <f>IF($BI182&lt;&gt;"",IF('Capacity summary'!$C$14="Yes",IF(COUNTBLANK('Capacity summary'!$H94:$BG94)&lt;52,IF('Capacity summary'!AJ94&lt;&gt;"",IF(LOWER('Capacity summary'!AJ94)="x",$BI182*AJ182,VALUE('Capacity summary'!AJ94)),0),AJ182*$BI182),AJ182*$BI182),0)</f>
        <v>0</v>
      </c>
      <c r="CN182" s="5">
        <f>IF($BI182&lt;&gt;"",IF('Capacity summary'!$C$14="Yes",IF(COUNTBLANK('Capacity summary'!$H94:$BG94)&lt;52,IF('Capacity summary'!AK94&lt;&gt;"",IF(LOWER('Capacity summary'!AK94)="x",$BI182*AK182,VALUE('Capacity summary'!AK94)),0),AK182*$BI182),AK182*$BI182),0)</f>
        <v>0</v>
      </c>
      <c r="CO182" s="5">
        <f>IF($BI182&lt;&gt;"",IF('Capacity summary'!$C$14="Yes",IF(COUNTBLANK('Capacity summary'!$H94:$BG94)&lt;52,IF('Capacity summary'!AL94&lt;&gt;"",IF(LOWER('Capacity summary'!AL94)="x",$BI182*AL182,VALUE('Capacity summary'!AL94)),0),AL182*$BI182),AL182*$BI182),0)</f>
        <v>0</v>
      </c>
      <c r="CP182" s="5">
        <f>IF($BI182&lt;&gt;"",IF('Capacity summary'!$C$14="Yes",IF(COUNTBLANK('Capacity summary'!$H94:$BG94)&lt;52,IF('Capacity summary'!AM94&lt;&gt;"",IF(LOWER('Capacity summary'!AM94)="x",$BI182*AM182,VALUE('Capacity summary'!AM94)),0),AM182*$BI182),AM182*$BI182),0)</f>
        <v>0</v>
      </c>
      <c r="CQ182" s="5">
        <f>IF($BI182&lt;&gt;"",IF('Capacity summary'!$C$14="Yes",IF(COUNTBLANK('Capacity summary'!$H94:$BG94)&lt;52,IF('Capacity summary'!AN94&lt;&gt;"",IF(LOWER('Capacity summary'!AN94)="x",$BI182*AN182,VALUE('Capacity summary'!AN94)),0),AN182*$BI182),AN182*$BI182),0)</f>
        <v>0</v>
      </c>
      <c r="CR182" s="5">
        <f>IF($BI182&lt;&gt;"",IF('Capacity summary'!$C$14="Yes",IF(COUNTBLANK('Capacity summary'!$H94:$BG94)&lt;52,IF('Capacity summary'!AO94&lt;&gt;"",IF(LOWER('Capacity summary'!AO94)="x",$BI182*AO182,VALUE('Capacity summary'!AO94)),0),AO182*$BI182),AO182*$BI182),0)</f>
        <v>0</v>
      </c>
      <c r="CS182" s="5">
        <f>IF($BI182&lt;&gt;"",IF('Capacity summary'!$C$14="Yes",IF(COUNTBLANK('Capacity summary'!$H94:$BG94)&lt;52,IF('Capacity summary'!AP94&lt;&gt;"",IF(LOWER('Capacity summary'!AP94)="x",$BI182*AP182,VALUE('Capacity summary'!AP94)),0),AP182*$BI182),AP182*$BI182),0)</f>
        <v>0</v>
      </c>
      <c r="CT182" s="5">
        <f>IF($BI182&lt;&gt;"",IF('Capacity summary'!$C$14="Yes",IF(COUNTBLANK('Capacity summary'!$H94:$BG94)&lt;52,IF('Capacity summary'!AQ94&lt;&gt;"",IF(LOWER('Capacity summary'!AQ94)="x",$BI182*AQ182,VALUE('Capacity summary'!AQ94)),0),AQ182*$BI182),AQ182*$BI182),0)</f>
        <v>0</v>
      </c>
      <c r="CU182" s="5">
        <f>IF($BI182&lt;&gt;"",IF('Capacity summary'!$C$14="Yes",IF(COUNTBLANK('Capacity summary'!$H94:$BG94)&lt;52,IF('Capacity summary'!AR94&lt;&gt;"",IF(LOWER('Capacity summary'!AR94)="x",$BI182*AR182,VALUE('Capacity summary'!AR94)),0),AR182*$BI182),AR182*$BI182),0)</f>
        <v>0</v>
      </c>
      <c r="CV182" s="5">
        <f>IF($BI182&lt;&gt;"",IF('Capacity summary'!$C$14="Yes",IF(COUNTBLANK('Capacity summary'!$H94:$BG94)&lt;52,IF('Capacity summary'!AS94&lt;&gt;"",IF(LOWER('Capacity summary'!AS94)="x",$BI182*AS182,VALUE('Capacity summary'!AS94)),0),AS182*$BI182),AS182*$BI182),0)</f>
        <v>0</v>
      </c>
      <c r="CW182" s="5">
        <f>IF($BI182&lt;&gt;"",IF('Capacity summary'!$C$14="Yes",IF(COUNTBLANK('Capacity summary'!$H94:$BG94)&lt;52,IF('Capacity summary'!AT94&lt;&gt;"",IF(LOWER('Capacity summary'!AT94)="x",$BI182*AT182,VALUE('Capacity summary'!AT94)),0),AT182*$BI182),AT182*$BI182),0)</f>
        <v>0</v>
      </c>
      <c r="CX182" s="5">
        <f>IF($BI182&lt;&gt;"",IF('Capacity summary'!$C$14="Yes",IF(COUNTBLANK('Capacity summary'!$H94:$BG94)&lt;52,IF('Capacity summary'!AU94&lt;&gt;"",IF(LOWER('Capacity summary'!AU94)="x",$BI182*AU182,VALUE('Capacity summary'!AU94)),0),AU182*$BI182),AU182*$BI182),0)</f>
        <v>0</v>
      </c>
      <c r="CY182" s="5">
        <f>IF($BI182&lt;&gt;"",IF('Capacity summary'!$C$14="Yes",IF(COUNTBLANK('Capacity summary'!$H94:$BG94)&lt;52,IF('Capacity summary'!AV94&lt;&gt;"",IF(LOWER('Capacity summary'!AV94)="x",$BI182*AV182,VALUE('Capacity summary'!AV94)),0),AV182*$BI182),AV182*$BI182),0)</f>
        <v>0</v>
      </c>
      <c r="CZ182" s="5">
        <f>IF($BI182&lt;&gt;"",IF('Capacity summary'!$C$14="Yes",IF(COUNTBLANK('Capacity summary'!$H94:$BG94)&lt;52,IF('Capacity summary'!AW94&lt;&gt;"",IF(LOWER('Capacity summary'!AW94)="x",$BI182*AW182,VALUE('Capacity summary'!AW94)),0),AW182*$BI182),AW182*$BI182),0)</f>
        <v>0</v>
      </c>
      <c r="DA182" s="5">
        <f>IF($BI182&lt;&gt;"",IF('Capacity summary'!$C$14="Yes",IF(COUNTBLANK('Capacity summary'!$H94:$BG94)&lt;52,IF('Capacity summary'!AX94&lt;&gt;"",IF(LOWER('Capacity summary'!AX94)="x",$BI182*AX182,VALUE('Capacity summary'!AX94)),0),AX182*$BI182),AX182*$BI182),0)</f>
        <v>0</v>
      </c>
      <c r="DB182" s="5">
        <f>IF($BI182&lt;&gt;"",IF('Capacity summary'!$C$14="Yes",IF(COUNTBLANK('Capacity summary'!$H94:$BG94)&lt;52,IF('Capacity summary'!AY94&lt;&gt;"",IF(LOWER('Capacity summary'!AY94)="x",$BI182*AY182,VALUE('Capacity summary'!AY94)),0),AY182*$BI182),AY182*$BI182),0)</f>
        <v>0</v>
      </c>
      <c r="DC182" s="5">
        <f>IF($BI182&lt;&gt;"",IF('Capacity summary'!$C$14="Yes",IF(COUNTBLANK('Capacity summary'!$H94:$BG94)&lt;52,IF('Capacity summary'!AZ94&lt;&gt;"",IF(LOWER('Capacity summary'!AZ94)="x",$BI182*AZ182,VALUE('Capacity summary'!AZ94)),0),AZ182*$BI182),AZ182*$BI182),0)</f>
        <v>0</v>
      </c>
      <c r="DD182" s="5">
        <f>IF($BI182&lt;&gt;"",IF('Capacity summary'!$C$14="Yes",IF(COUNTBLANK('Capacity summary'!$H94:$BG94)&lt;52,IF('Capacity summary'!BA94&lt;&gt;"",IF(LOWER('Capacity summary'!BA94)="x",$BI182*BA182,VALUE('Capacity summary'!BA94)),0),BA182*$BI182),BA182*$BI182),0)</f>
        <v>0</v>
      </c>
      <c r="DE182" s="5">
        <f>IF($BI182&lt;&gt;"",IF('Capacity summary'!$C$14="Yes",IF(COUNTBLANK('Capacity summary'!$H94:$BG94)&lt;52,IF('Capacity summary'!BB94&lt;&gt;"",IF(LOWER('Capacity summary'!BB94)="x",$BI182*BB182,VALUE('Capacity summary'!BB94)),0),BB182*$BI182),BB182*$BI182),0)</f>
        <v>0</v>
      </c>
      <c r="DF182" s="5">
        <f>IF($BI182&lt;&gt;"",IF('Capacity summary'!$C$14="Yes",IF(COUNTBLANK('Capacity summary'!$H94:$BG94)&lt;52,IF('Capacity summary'!BC94&lt;&gt;"",IF(LOWER('Capacity summary'!BC94)="x",$BI182*BC182,VALUE('Capacity summary'!BC94)),0),BC182*$BI182),BC182*$BI182),0)</f>
        <v>0</v>
      </c>
      <c r="DG182" s="5">
        <f>IF($BI182&lt;&gt;"",IF('Capacity summary'!$C$14="Yes",IF(COUNTBLANK('Capacity summary'!$H94:$BG94)&lt;52,IF('Capacity summary'!BD94&lt;&gt;"",IF(LOWER('Capacity summary'!BD94)="x",$BI182*BD182,VALUE('Capacity summary'!BD94)),0),BD182*$BI182),BD182*$BI182),0)</f>
        <v>0</v>
      </c>
      <c r="DH182" s="5">
        <f>IF($BI182&lt;&gt;"",IF('Capacity summary'!$C$14="Yes",IF(COUNTBLANK('Capacity summary'!$H94:$BG94)&lt;52,IF('Capacity summary'!BE94&lt;&gt;"",IF(LOWER('Capacity summary'!BE94)="x",$BI182*BE182,VALUE('Capacity summary'!BE94)),0),BE182*$BI182),BE182*$BI182),0)</f>
        <v>0</v>
      </c>
      <c r="DI182" s="5">
        <f>IF($BI182&lt;&gt;"",IF('Capacity summary'!$C$14="Yes",IF(COUNTBLANK('Capacity summary'!$H94:$BG94)&lt;52,IF('Capacity summary'!BF94&lt;&gt;"",IF(LOWER('Capacity summary'!BF94)="x",$BI182*BF182,VALUE('Capacity summary'!BF94)),0),BF182*$BI182),BF182*$BI182),0)</f>
        <v>0</v>
      </c>
      <c r="DJ182" s="5">
        <f>IF($BI182&lt;&gt;"",IF('Capacity summary'!$C$14="Yes",IF(COUNTBLANK('Capacity summary'!$H94:$BG94)&lt;52,IF('Capacity summary'!BG94&lt;&gt;"",IF(LOWER('Capacity summary'!BG94)="x",$BI182*BG182,VALUE('Capacity summary'!BG94)),0),BG182*$BI182),BG182*$BI182),0)</f>
        <v>0</v>
      </c>
      <c r="DK182" s="391">
        <f t="shared" si="10"/>
        <v>0</v>
      </c>
      <c r="DL182" s="5">
        <f t="shared" si="11"/>
        <v>0</v>
      </c>
    </row>
    <row r="183" spans="3:116" x14ac:dyDescent="0.2">
      <c r="C183" s="67" t="str">
        <f>ROW(A72)&amp;". "&amp;Capacity!N88</f>
        <v xml:space="preserve">72. </v>
      </c>
      <c r="D183" s="67">
        <f>'Capacity setup'!C189</f>
        <v>0</v>
      </c>
      <c r="E183" s="67">
        <f>'Capacity setup'!D189</f>
        <v>0</v>
      </c>
      <c r="F183" s="67">
        <f>'Capacity setup'!E189</f>
        <v>0</v>
      </c>
      <c r="H183" s="67">
        <f ca="1">IF(LOWER(Capacity!$V88)="x",IF(AND(SUMIF(Capacity_Resource,$D183,'Critical resources (hide)'!U$6:U$105)+SUMIF(Capacity_Resource,$E183,'Critical resources (hide)'!U$6:U$105)+SUMIF(Capacity_Resource,$F183,'Critical resources (hide)'!U$6:U$105)&gt;0,$E$1=2),0,1),0)</f>
        <v>1</v>
      </c>
      <c r="I183" s="67">
        <f ca="1">IF(LOWER(Capacity!$V88)="x",IF(AND(SUMIF(Capacity_Resource,$D183,'Critical resources (hide)'!V$6:V$105)+SUMIF(Capacity_Resource,$E183,'Critical resources (hide)'!V$6:V$105)+SUMIF(Capacity_Resource,$F183,'Critical resources (hide)'!V$6:V$105)&gt;0,$E$1=2),0,1),0)</f>
        <v>1</v>
      </c>
      <c r="J183" s="67">
        <f ca="1">IF(LOWER(Capacity!$V88)="x",IF(AND(SUMIF(Capacity_Resource,$D183,'Critical resources (hide)'!W$6:W$105)+SUMIF(Capacity_Resource,$E183,'Critical resources (hide)'!W$6:W$105)+SUMIF(Capacity_Resource,$F183,'Critical resources (hide)'!W$6:W$105)&gt;0,$E$1=2),0,1),0)</f>
        <v>1</v>
      </c>
      <c r="K183" s="67">
        <f ca="1">IF(LOWER(Capacity!$V88)="x",IF(AND(SUMIF(Capacity_Resource,$D183,'Critical resources (hide)'!X$6:X$105)+SUMIF(Capacity_Resource,$E183,'Critical resources (hide)'!X$6:X$105)+SUMIF(Capacity_Resource,$F183,'Critical resources (hide)'!X$6:X$105)&gt;0,$E$1=2),0,1),0)</f>
        <v>1</v>
      </c>
      <c r="L183" s="67">
        <f ca="1">IF(LOWER(Capacity!$V88)="x",IF(AND(SUMIF(Capacity_Resource,$D183,'Critical resources (hide)'!Y$6:Y$105)+SUMIF(Capacity_Resource,$E183,'Critical resources (hide)'!Y$6:Y$105)+SUMIF(Capacity_Resource,$F183,'Critical resources (hide)'!Y$6:Y$105)&gt;0,$E$1=2),0,1),0)</f>
        <v>1</v>
      </c>
      <c r="M183" s="67">
        <f ca="1">IF(LOWER(Capacity!$V88)="x",IF(AND(SUMIF(Capacity_Resource,$D183,'Critical resources (hide)'!Z$6:Z$105)+SUMIF(Capacity_Resource,$E183,'Critical resources (hide)'!Z$6:Z$105)+SUMIF(Capacity_Resource,$F183,'Critical resources (hide)'!Z$6:Z$105)&gt;0,$E$1=2),0,1),0)</f>
        <v>1</v>
      </c>
      <c r="N183" s="67">
        <f ca="1">IF(LOWER(Capacity!$V88)="x",IF(AND(SUMIF(Capacity_Resource,$D183,'Critical resources (hide)'!AA$6:AA$105)+SUMIF(Capacity_Resource,$E183,'Critical resources (hide)'!AA$6:AA$105)+SUMIF(Capacity_Resource,$F183,'Critical resources (hide)'!AA$6:AA$105)&gt;0,$E$1=2),0,1),0)</f>
        <v>1</v>
      </c>
      <c r="O183" s="67">
        <f ca="1">IF(LOWER(Capacity!$V88)="x",IF(AND(SUMIF(Capacity_Resource,$D183,'Critical resources (hide)'!AB$6:AB$105)+SUMIF(Capacity_Resource,$E183,'Critical resources (hide)'!AB$6:AB$105)+SUMIF(Capacity_Resource,$F183,'Critical resources (hide)'!AB$6:AB$105)&gt;0,$E$1=2),0,1),0)</f>
        <v>1</v>
      </c>
      <c r="P183" s="67">
        <f ca="1">IF(LOWER(Capacity!$V88)="x",IF(AND(SUMIF(Capacity_Resource,$D183,'Critical resources (hide)'!AC$6:AC$105)+SUMIF(Capacity_Resource,$E183,'Critical resources (hide)'!AC$6:AC$105)+SUMIF(Capacity_Resource,$F183,'Critical resources (hide)'!AC$6:AC$105)&gt;0,$E$1=2),0,1),0)</f>
        <v>1</v>
      </c>
      <c r="Q183" s="67">
        <f ca="1">IF(LOWER(Capacity!$V88)="x",IF(AND(SUMIF(Capacity_Resource,$D183,'Critical resources (hide)'!AD$6:AD$105)+SUMIF(Capacity_Resource,$E183,'Critical resources (hide)'!AD$6:AD$105)+SUMIF(Capacity_Resource,$F183,'Critical resources (hide)'!AD$6:AD$105)&gt;0,$E$1=2),0,1),0)</f>
        <v>1</v>
      </c>
      <c r="R183" s="67">
        <f ca="1">IF(LOWER(Capacity!$V88)="x",IF(AND(SUMIF(Capacity_Resource,$D183,'Critical resources (hide)'!AE$6:AE$105)+SUMIF(Capacity_Resource,$E183,'Critical resources (hide)'!AE$6:AE$105)+SUMIF(Capacity_Resource,$F183,'Critical resources (hide)'!AE$6:AE$105)&gt;0,$E$1=2),0,1),0)</f>
        <v>1</v>
      </c>
      <c r="S183" s="67">
        <f ca="1">IF(LOWER(Capacity!$V88)="x",IF(AND(SUMIF(Capacity_Resource,$D183,'Critical resources (hide)'!AF$6:AF$105)+SUMIF(Capacity_Resource,$E183,'Critical resources (hide)'!AF$6:AF$105)+SUMIF(Capacity_Resource,$F183,'Critical resources (hide)'!AF$6:AF$105)&gt;0,$E$1=2),0,1),0)</f>
        <v>1</v>
      </c>
      <c r="T183" s="67">
        <f ca="1">IF(LOWER(Capacity!$V88)="x",IF(AND(SUMIF(Capacity_Resource,$D183,'Critical resources (hide)'!AG$6:AG$105)+SUMIF(Capacity_Resource,$E183,'Critical resources (hide)'!AG$6:AG$105)+SUMIF(Capacity_Resource,$F183,'Critical resources (hide)'!AG$6:AG$105)&gt;0,$E$1=2),0,1),0)</f>
        <v>1</v>
      </c>
      <c r="U183" s="67">
        <f ca="1">IF(LOWER(Capacity!$V88)="x",IF(AND(SUMIF(Capacity_Resource,$D183,'Critical resources (hide)'!AH$6:AH$105)+SUMIF(Capacity_Resource,$E183,'Critical resources (hide)'!AH$6:AH$105)+SUMIF(Capacity_Resource,$F183,'Critical resources (hide)'!AH$6:AH$105)&gt;0,$E$1=2),0,1),0)</f>
        <v>1</v>
      </c>
      <c r="V183" s="67">
        <f ca="1">IF(LOWER(Capacity!$V88)="x",IF(AND(SUMIF(Capacity_Resource,$D183,'Critical resources (hide)'!AI$6:AI$105)+SUMIF(Capacity_Resource,$E183,'Critical resources (hide)'!AI$6:AI$105)+SUMIF(Capacity_Resource,$F183,'Critical resources (hide)'!AI$6:AI$105)&gt;0,$E$1=2),0,1),0)</f>
        <v>1</v>
      </c>
      <c r="W183" s="67">
        <f ca="1">IF(LOWER(Capacity!$V88)="x",IF(AND(SUMIF(Capacity_Resource,$D183,'Critical resources (hide)'!AJ$6:AJ$105)+SUMIF(Capacity_Resource,$E183,'Critical resources (hide)'!AJ$6:AJ$105)+SUMIF(Capacity_Resource,$F183,'Critical resources (hide)'!AJ$6:AJ$105)&gt;0,$E$1=2),0,1),0)</f>
        <v>1</v>
      </c>
      <c r="X183" s="67">
        <f ca="1">IF(LOWER(Capacity!$V88)="x",IF(AND(SUMIF(Capacity_Resource,$D183,'Critical resources (hide)'!AK$6:AK$105)+SUMIF(Capacity_Resource,$E183,'Critical resources (hide)'!AK$6:AK$105)+SUMIF(Capacity_Resource,$F183,'Critical resources (hide)'!AK$6:AK$105)&gt;0,$E$1=2),0,1),0)</f>
        <v>1</v>
      </c>
      <c r="Y183" s="67">
        <f ca="1">IF(LOWER(Capacity!$V88)="x",IF(AND(SUMIF(Capacity_Resource,$D183,'Critical resources (hide)'!AL$6:AL$105)+SUMIF(Capacity_Resource,$E183,'Critical resources (hide)'!AL$6:AL$105)+SUMIF(Capacity_Resource,$F183,'Critical resources (hide)'!AL$6:AL$105)&gt;0,$E$1=2),0,1),0)</f>
        <v>1</v>
      </c>
      <c r="Z183" s="67">
        <f ca="1">IF(LOWER(Capacity!$V88)="x",IF(AND(SUMIF(Capacity_Resource,$D183,'Critical resources (hide)'!AM$6:AM$105)+SUMIF(Capacity_Resource,$E183,'Critical resources (hide)'!AM$6:AM$105)+SUMIF(Capacity_Resource,$F183,'Critical resources (hide)'!AM$6:AM$105)&gt;0,$E$1=2),0,1),0)</f>
        <v>1</v>
      </c>
      <c r="AA183" s="67">
        <f ca="1">IF(LOWER(Capacity!$V88)="x",IF(AND(SUMIF(Capacity_Resource,$D183,'Critical resources (hide)'!AN$6:AN$105)+SUMIF(Capacity_Resource,$E183,'Critical resources (hide)'!AN$6:AN$105)+SUMIF(Capacity_Resource,$F183,'Critical resources (hide)'!AN$6:AN$105)&gt;0,$E$1=2),0,1),0)</f>
        <v>1</v>
      </c>
      <c r="AB183" s="67">
        <f ca="1">IF(LOWER(Capacity!$V88)="x",IF(AND(SUMIF(Capacity_Resource,$D183,'Critical resources (hide)'!AO$6:AO$105)+SUMIF(Capacity_Resource,$E183,'Critical resources (hide)'!AO$6:AO$105)+SUMIF(Capacity_Resource,$F183,'Critical resources (hide)'!AO$6:AO$105)&gt;0,$E$1=2),0,1),0)</f>
        <v>1</v>
      </c>
      <c r="AC183" s="67">
        <f ca="1">IF(LOWER(Capacity!$V88)="x",IF(AND(SUMIF(Capacity_Resource,$D183,'Critical resources (hide)'!AP$6:AP$105)+SUMIF(Capacity_Resource,$E183,'Critical resources (hide)'!AP$6:AP$105)+SUMIF(Capacity_Resource,$F183,'Critical resources (hide)'!AP$6:AP$105)&gt;0,$E$1=2),0,1),0)</f>
        <v>1</v>
      </c>
      <c r="AD183" s="67">
        <f ca="1">IF(LOWER(Capacity!$V88)="x",IF(AND(SUMIF(Capacity_Resource,$D183,'Critical resources (hide)'!AQ$6:AQ$105)+SUMIF(Capacity_Resource,$E183,'Critical resources (hide)'!AQ$6:AQ$105)+SUMIF(Capacity_Resource,$F183,'Critical resources (hide)'!AQ$6:AQ$105)&gt;0,$E$1=2),0,1),0)</f>
        <v>1</v>
      </c>
      <c r="AE183" s="67">
        <f ca="1">IF(LOWER(Capacity!$V88)="x",IF(AND(SUMIF(Capacity_Resource,$D183,'Critical resources (hide)'!AR$6:AR$105)+SUMIF(Capacity_Resource,$E183,'Critical resources (hide)'!AR$6:AR$105)+SUMIF(Capacity_Resource,$F183,'Critical resources (hide)'!AR$6:AR$105)&gt;0,$E$1=2),0,1),0)</f>
        <v>1</v>
      </c>
      <c r="AF183" s="67">
        <f ca="1">IF(LOWER(Capacity!$V88)="x",IF(AND(SUMIF(Capacity_Resource,$D183,'Critical resources (hide)'!AS$6:AS$105)+SUMIF(Capacity_Resource,$E183,'Critical resources (hide)'!AS$6:AS$105)+SUMIF(Capacity_Resource,$F183,'Critical resources (hide)'!AS$6:AS$105)&gt;0,$E$1=2),0,1),0)</f>
        <v>1</v>
      </c>
      <c r="AG183" s="67">
        <f ca="1">IF(LOWER(Capacity!$V88)="x",IF(AND(SUMIF(Capacity_Resource,$D183,'Critical resources (hide)'!AT$6:AT$105)+SUMIF(Capacity_Resource,$E183,'Critical resources (hide)'!AT$6:AT$105)+SUMIF(Capacity_Resource,$F183,'Critical resources (hide)'!AT$6:AT$105)&gt;0,$E$1=2),0,1),0)</f>
        <v>1</v>
      </c>
      <c r="AH183" s="67">
        <f ca="1">IF(LOWER(Capacity!$V88)="x",IF(AND(SUMIF(Capacity_Resource,$D183,'Critical resources (hide)'!AU$6:AU$105)+SUMIF(Capacity_Resource,$E183,'Critical resources (hide)'!AU$6:AU$105)+SUMIF(Capacity_Resource,$F183,'Critical resources (hide)'!AU$6:AU$105)&gt;0,$E$1=2),0,1),0)</f>
        <v>1</v>
      </c>
      <c r="AI183" s="67">
        <f ca="1">IF(LOWER(Capacity!$V88)="x",IF(AND(SUMIF(Capacity_Resource,$D183,'Critical resources (hide)'!AV$6:AV$105)+SUMIF(Capacity_Resource,$E183,'Critical resources (hide)'!AV$6:AV$105)+SUMIF(Capacity_Resource,$F183,'Critical resources (hide)'!AV$6:AV$105)&gt;0,$E$1=2),0,1),0)</f>
        <v>1</v>
      </c>
      <c r="AJ183" s="67">
        <f ca="1">IF(LOWER(Capacity!$V88)="x",IF(AND(SUMIF(Capacity_Resource,$D183,'Critical resources (hide)'!AW$6:AW$105)+SUMIF(Capacity_Resource,$E183,'Critical resources (hide)'!AW$6:AW$105)+SUMIF(Capacity_Resource,$F183,'Critical resources (hide)'!AW$6:AW$105)&gt;0,$E$1=2),0,1),0)</f>
        <v>1</v>
      </c>
      <c r="AK183" s="67">
        <f ca="1">IF(LOWER(Capacity!$V88)="x",IF(AND(SUMIF(Capacity_Resource,$D183,'Critical resources (hide)'!AX$6:AX$105)+SUMIF(Capacity_Resource,$E183,'Critical resources (hide)'!AX$6:AX$105)+SUMIF(Capacity_Resource,$F183,'Critical resources (hide)'!AX$6:AX$105)&gt;0,$E$1=2),0,1),0)</f>
        <v>1</v>
      </c>
      <c r="AL183" s="67">
        <f ca="1">IF(LOWER(Capacity!$V88)="x",IF(AND(SUMIF(Capacity_Resource,$D183,'Critical resources (hide)'!AY$6:AY$105)+SUMIF(Capacity_Resource,$E183,'Critical resources (hide)'!AY$6:AY$105)+SUMIF(Capacity_Resource,$F183,'Critical resources (hide)'!AY$6:AY$105)&gt;0,$E$1=2),0,1),0)</f>
        <v>1</v>
      </c>
      <c r="AM183" s="67">
        <f ca="1">IF(LOWER(Capacity!$V88)="x",IF(AND(SUMIF(Capacity_Resource,$D183,'Critical resources (hide)'!AZ$6:AZ$105)+SUMIF(Capacity_Resource,$E183,'Critical resources (hide)'!AZ$6:AZ$105)+SUMIF(Capacity_Resource,$F183,'Critical resources (hide)'!AZ$6:AZ$105)&gt;0,$E$1=2),0,1),0)</f>
        <v>1</v>
      </c>
      <c r="AN183" s="67">
        <f ca="1">IF(LOWER(Capacity!$V88)="x",IF(AND(SUMIF(Capacity_Resource,$D183,'Critical resources (hide)'!BA$6:BA$105)+SUMIF(Capacity_Resource,$E183,'Critical resources (hide)'!BA$6:BA$105)+SUMIF(Capacity_Resource,$F183,'Critical resources (hide)'!BA$6:BA$105)&gt;0,$E$1=2),0,1),0)</f>
        <v>1</v>
      </c>
      <c r="AO183" s="67">
        <f ca="1">IF(LOWER(Capacity!$V88)="x",IF(AND(SUMIF(Capacity_Resource,$D183,'Critical resources (hide)'!BB$6:BB$105)+SUMIF(Capacity_Resource,$E183,'Critical resources (hide)'!BB$6:BB$105)+SUMIF(Capacity_Resource,$F183,'Critical resources (hide)'!BB$6:BB$105)&gt;0,$E$1=2),0,1),0)</f>
        <v>1</v>
      </c>
      <c r="AP183" s="67">
        <f ca="1">IF(LOWER(Capacity!$V88)="x",IF(AND(SUMIF(Capacity_Resource,$D183,'Critical resources (hide)'!BC$6:BC$105)+SUMIF(Capacity_Resource,$E183,'Critical resources (hide)'!BC$6:BC$105)+SUMIF(Capacity_Resource,$F183,'Critical resources (hide)'!BC$6:BC$105)&gt;0,$E$1=2),0,1),0)</f>
        <v>1</v>
      </c>
      <c r="AQ183" s="67">
        <f ca="1">IF(LOWER(Capacity!$V88)="x",IF(AND(SUMIF(Capacity_Resource,$D183,'Critical resources (hide)'!BD$6:BD$105)+SUMIF(Capacity_Resource,$E183,'Critical resources (hide)'!BD$6:BD$105)+SUMIF(Capacity_Resource,$F183,'Critical resources (hide)'!BD$6:BD$105)&gt;0,$E$1=2),0,1),0)</f>
        <v>1</v>
      </c>
      <c r="AR183" s="67">
        <f ca="1">IF(LOWER(Capacity!$V88)="x",IF(AND(SUMIF(Capacity_Resource,$D183,'Critical resources (hide)'!BE$6:BE$105)+SUMIF(Capacity_Resource,$E183,'Critical resources (hide)'!BE$6:BE$105)+SUMIF(Capacity_Resource,$F183,'Critical resources (hide)'!BE$6:BE$105)&gt;0,$E$1=2),0,1),0)</f>
        <v>1</v>
      </c>
      <c r="AS183" s="67">
        <f ca="1">IF(LOWER(Capacity!$V88)="x",IF(AND(SUMIF(Capacity_Resource,$D183,'Critical resources (hide)'!BF$6:BF$105)+SUMIF(Capacity_Resource,$E183,'Critical resources (hide)'!BF$6:BF$105)+SUMIF(Capacity_Resource,$F183,'Critical resources (hide)'!BF$6:BF$105)&gt;0,$E$1=2),0,1),0)</f>
        <v>1</v>
      </c>
      <c r="AT183" s="67">
        <f ca="1">IF(LOWER(Capacity!$V88)="x",IF(AND(SUMIF(Capacity_Resource,$D183,'Critical resources (hide)'!BG$6:BG$105)+SUMIF(Capacity_Resource,$E183,'Critical resources (hide)'!BG$6:BG$105)+SUMIF(Capacity_Resource,$F183,'Critical resources (hide)'!BG$6:BG$105)&gt;0,$E$1=2),0,1),0)</f>
        <v>1</v>
      </c>
      <c r="AU183" s="67">
        <f ca="1">IF(LOWER(Capacity!$V88)="x",IF(AND(SUMIF(Capacity_Resource,$D183,'Critical resources (hide)'!BH$6:BH$105)+SUMIF(Capacity_Resource,$E183,'Critical resources (hide)'!BH$6:BH$105)+SUMIF(Capacity_Resource,$F183,'Critical resources (hide)'!BH$6:BH$105)&gt;0,$E$1=2),0,1),0)</f>
        <v>1</v>
      </c>
      <c r="AV183" s="67">
        <f ca="1">IF(LOWER(Capacity!$V88)="x",IF(AND(SUMIF(Capacity_Resource,$D183,'Critical resources (hide)'!BI$6:BI$105)+SUMIF(Capacity_Resource,$E183,'Critical resources (hide)'!BI$6:BI$105)+SUMIF(Capacity_Resource,$F183,'Critical resources (hide)'!BI$6:BI$105)&gt;0,$E$1=2),0,1),0)</f>
        <v>1</v>
      </c>
      <c r="AW183" s="67">
        <f ca="1">IF(LOWER(Capacity!$V88)="x",IF(AND(SUMIF(Capacity_Resource,$D183,'Critical resources (hide)'!BJ$6:BJ$105)+SUMIF(Capacity_Resource,$E183,'Critical resources (hide)'!BJ$6:BJ$105)+SUMIF(Capacity_Resource,$F183,'Critical resources (hide)'!BJ$6:BJ$105)&gt;0,$E$1=2),0,1),0)</f>
        <v>1</v>
      </c>
      <c r="AX183" s="67">
        <f ca="1">IF(LOWER(Capacity!$V88)="x",IF(AND(SUMIF(Capacity_Resource,$D183,'Critical resources (hide)'!BK$6:BK$105)+SUMIF(Capacity_Resource,$E183,'Critical resources (hide)'!BK$6:BK$105)+SUMIF(Capacity_Resource,$F183,'Critical resources (hide)'!BK$6:BK$105)&gt;0,$E$1=2),0,1),0)</f>
        <v>1</v>
      </c>
      <c r="AY183" s="67">
        <f ca="1">IF(LOWER(Capacity!$V88)="x",IF(AND(SUMIF(Capacity_Resource,$D183,'Critical resources (hide)'!BL$6:BL$105)+SUMIF(Capacity_Resource,$E183,'Critical resources (hide)'!BL$6:BL$105)+SUMIF(Capacity_Resource,$F183,'Critical resources (hide)'!BL$6:BL$105)&gt;0,$E$1=2),0,1),0)</f>
        <v>1</v>
      </c>
      <c r="AZ183" s="67">
        <f ca="1">IF(LOWER(Capacity!$V88)="x",IF(AND(SUMIF(Capacity_Resource,$D183,'Critical resources (hide)'!BM$6:BM$105)+SUMIF(Capacity_Resource,$E183,'Critical resources (hide)'!BM$6:BM$105)+SUMIF(Capacity_Resource,$F183,'Critical resources (hide)'!BM$6:BM$105)&gt;0,$E$1=2),0,1),0)</f>
        <v>1</v>
      </c>
      <c r="BA183" s="67">
        <f ca="1">IF(LOWER(Capacity!$V88)="x",IF(AND(SUMIF(Capacity_Resource,$D183,'Critical resources (hide)'!BN$6:BN$105)+SUMIF(Capacity_Resource,$E183,'Critical resources (hide)'!BN$6:BN$105)+SUMIF(Capacity_Resource,$F183,'Critical resources (hide)'!BN$6:BN$105)&gt;0,$E$1=2),0,1),0)</f>
        <v>1</v>
      </c>
      <c r="BB183" s="67">
        <f ca="1">IF(LOWER(Capacity!$V88)="x",IF(AND(SUMIF(Capacity_Resource,$D183,'Critical resources (hide)'!BO$6:BO$105)+SUMIF(Capacity_Resource,$E183,'Critical resources (hide)'!BO$6:BO$105)+SUMIF(Capacity_Resource,$F183,'Critical resources (hide)'!BO$6:BO$105)&gt;0,$E$1=2),0,1),0)</f>
        <v>1</v>
      </c>
      <c r="BC183" s="67">
        <f ca="1">IF(LOWER(Capacity!$V88)="x",IF(AND(SUMIF(Capacity_Resource,$D183,'Critical resources (hide)'!BP$6:BP$105)+SUMIF(Capacity_Resource,$E183,'Critical resources (hide)'!BP$6:BP$105)+SUMIF(Capacity_Resource,$F183,'Critical resources (hide)'!BP$6:BP$105)&gt;0,$E$1=2),0,1),0)</f>
        <v>1</v>
      </c>
      <c r="BD183" s="67">
        <f ca="1">IF(LOWER(Capacity!$V88)="x",IF(AND(SUMIF(Capacity_Resource,$D183,'Critical resources (hide)'!BQ$6:BQ$105)+SUMIF(Capacity_Resource,$E183,'Critical resources (hide)'!BQ$6:BQ$105)+SUMIF(Capacity_Resource,$F183,'Critical resources (hide)'!BQ$6:BQ$105)&gt;0,$E$1=2),0,1),0)</f>
        <v>1</v>
      </c>
      <c r="BE183" s="67">
        <f ca="1">IF(LOWER(Capacity!$V88)="x",IF(AND(SUMIF(Capacity_Resource,$D183,'Critical resources (hide)'!BR$6:BR$105)+SUMIF(Capacity_Resource,$E183,'Critical resources (hide)'!BR$6:BR$105)+SUMIF(Capacity_Resource,$F183,'Critical resources (hide)'!BR$6:BR$105)&gt;0,$E$1=2),0,1),0)</f>
        <v>1</v>
      </c>
      <c r="BF183" s="67">
        <f ca="1">IF(LOWER(Capacity!$V88)="x",IF(AND(SUMIF(Capacity_Resource,$D183,'Critical resources (hide)'!BS$6:BS$105)+SUMIF(Capacity_Resource,$E183,'Critical resources (hide)'!BS$6:BS$105)+SUMIF(Capacity_Resource,$F183,'Critical resources (hide)'!BS$6:BS$105)&gt;0,$E$1=2),0,1),0)</f>
        <v>1</v>
      </c>
      <c r="BG183" s="67">
        <f ca="1">IF(LOWER(Capacity!$V88)="x",IF(AND(SUMIF(Capacity_Resource,$D183,'Critical resources (hide)'!BT$6:BT$105)+SUMIF(Capacity_Resource,$E183,'Critical resources (hide)'!BT$6:BT$105)+SUMIF(Capacity_Resource,$F183,'Critical resources (hide)'!BT$6:BT$105)&gt;0,$E$1=2),0,1),0)</f>
        <v>1</v>
      </c>
      <c r="BH183" s="67">
        <f>IF(ROW(A72)&lt;=Capacity!$M$16,IF('Capacity summary'!$C$14="No",SUM(H183:BG183),'Capacity summary'!$E95),0)</f>
        <v>0</v>
      </c>
      <c r="BI183" s="67" t="str">
        <f>IF(BH183&gt;0,IF(BH183&lt;Capacity!Q88,Capacity!R88,Capacity!T88/'Capacity calculation (hide)'!BH183),"")</f>
        <v/>
      </c>
      <c r="BJ183" s="5"/>
      <c r="BK183" s="5">
        <f>IF($BI183&lt;&gt;"",IF('Capacity summary'!$C$14="Yes",IF(COUNTBLANK('Capacity summary'!$H95:$BG95)&lt;52,IF('Capacity summary'!H95&lt;&gt;"",IF(LOWER('Capacity summary'!H95)="x",$BI183*H183,VALUE('Capacity summary'!H95)),0),H183*$BI183),H183*$BI183),0)</f>
        <v>0</v>
      </c>
      <c r="BL183" s="5">
        <f>IF($BI183&lt;&gt;"",IF('Capacity summary'!$C$14="Yes",IF(COUNTBLANK('Capacity summary'!$H95:$BG95)&lt;52,IF('Capacity summary'!I95&lt;&gt;"",IF(LOWER('Capacity summary'!I95)="x",$BI183*I183,VALUE('Capacity summary'!I95)),0),I183*$BI183),I183*$BI183),0)</f>
        <v>0</v>
      </c>
      <c r="BM183" s="5">
        <f>IF($BI183&lt;&gt;"",IF('Capacity summary'!$C$14="Yes",IF(COUNTBLANK('Capacity summary'!$H95:$BG95)&lt;52,IF('Capacity summary'!J95&lt;&gt;"",IF(LOWER('Capacity summary'!J95)="x",$BI183*J183,VALUE('Capacity summary'!J95)),0),J183*$BI183),J183*$BI183),0)</f>
        <v>0</v>
      </c>
      <c r="BN183" s="5">
        <f>IF($BI183&lt;&gt;"",IF('Capacity summary'!$C$14="Yes",IF(COUNTBLANK('Capacity summary'!$H95:$BG95)&lt;52,IF('Capacity summary'!K95&lt;&gt;"",IF(LOWER('Capacity summary'!K95)="x",$BI183*K183,VALUE('Capacity summary'!K95)),0),K183*$BI183),K183*$BI183),0)</f>
        <v>0</v>
      </c>
      <c r="BO183" s="5">
        <f>IF($BI183&lt;&gt;"",IF('Capacity summary'!$C$14="Yes",IF(COUNTBLANK('Capacity summary'!$H95:$BG95)&lt;52,IF('Capacity summary'!L95&lt;&gt;"",IF(LOWER('Capacity summary'!L95)="x",$BI183*L183,VALUE('Capacity summary'!L95)),0),L183*$BI183),L183*$BI183),0)</f>
        <v>0</v>
      </c>
      <c r="BP183" s="5">
        <f>IF($BI183&lt;&gt;"",IF('Capacity summary'!$C$14="Yes",IF(COUNTBLANK('Capacity summary'!$H95:$BG95)&lt;52,IF('Capacity summary'!M95&lt;&gt;"",IF(LOWER('Capacity summary'!M95)="x",$BI183*M183,VALUE('Capacity summary'!M95)),0),M183*$BI183),M183*$BI183),0)</f>
        <v>0</v>
      </c>
      <c r="BQ183" s="5">
        <f>IF($BI183&lt;&gt;"",IF('Capacity summary'!$C$14="Yes",IF(COUNTBLANK('Capacity summary'!$H95:$BG95)&lt;52,IF('Capacity summary'!N95&lt;&gt;"",IF(LOWER('Capacity summary'!N95)="x",$BI183*N183,VALUE('Capacity summary'!N95)),0),N183*$BI183),N183*$BI183),0)</f>
        <v>0</v>
      </c>
      <c r="BR183" s="5">
        <f>IF($BI183&lt;&gt;"",IF('Capacity summary'!$C$14="Yes",IF(COUNTBLANK('Capacity summary'!$H95:$BG95)&lt;52,IF('Capacity summary'!O95&lt;&gt;"",IF(LOWER('Capacity summary'!O95)="x",$BI183*O183,VALUE('Capacity summary'!O95)),0),O183*$BI183),O183*$BI183),0)</f>
        <v>0</v>
      </c>
      <c r="BS183" s="5">
        <f>IF($BI183&lt;&gt;"",IF('Capacity summary'!$C$14="Yes",IF(COUNTBLANK('Capacity summary'!$H95:$BG95)&lt;52,IF('Capacity summary'!P95&lt;&gt;"",IF(LOWER('Capacity summary'!P95)="x",$BI183*P183,VALUE('Capacity summary'!P95)),0),P183*$BI183),P183*$BI183),0)</f>
        <v>0</v>
      </c>
      <c r="BT183" s="5">
        <f>IF($BI183&lt;&gt;"",IF('Capacity summary'!$C$14="Yes",IF(COUNTBLANK('Capacity summary'!$H95:$BG95)&lt;52,IF('Capacity summary'!Q95&lt;&gt;"",IF(LOWER('Capacity summary'!Q95)="x",$BI183*Q183,VALUE('Capacity summary'!Q95)),0),Q183*$BI183),Q183*$BI183),0)</f>
        <v>0</v>
      </c>
      <c r="BU183" s="5">
        <f>IF($BI183&lt;&gt;"",IF('Capacity summary'!$C$14="Yes",IF(COUNTBLANK('Capacity summary'!$H95:$BG95)&lt;52,IF('Capacity summary'!R95&lt;&gt;"",IF(LOWER('Capacity summary'!R95)="x",$BI183*R183,VALUE('Capacity summary'!R95)),0),R183*$BI183),R183*$BI183),0)</f>
        <v>0</v>
      </c>
      <c r="BV183" s="5">
        <f>IF($BI183&lt;&gt;"",IF('Capacity summary'!$C$14="Yes",IF(COUNTBLANK('Capacity summary'!$H95:$BG95)&lt;52,IF('Capacity summary'!S95&lt;&gt;"",IF(LOWER('Capacity summary'!S95)="x",$BI183*S183,VALUE('Capacity summary'!S95)),0),S183*$BI183),S183*$BI183),0)</f>
        <v>0</v>
      </c>
      <c r="BW183" s="5">
        <f>IF($BI183&lt;&gt;"",IF('Capacity summary'!$C$14="Yes",IF(COUNTBLANK('Capacity summary'!$H95:$BG95)&lt;52,IF('Capacity summary'!T95&lt;&gt;"",IF(LOWER('Capacity summary'!T95)="x",$BI183*T183,VALUE('Capacity summary'!T95)),0),T183*$BI183),T183*$BI183),0)</f>
        <v>0</v>
      </c>
      <c r="BX183" s="5">
        <f>IF($BI183&lt;&gt;"",IF('Capacity summary'!$C$14="Yes",IF(COUNTBLANK('Capacity summary'!$H95:$BG95)&lt;52,IF('Capacity summary'!U95&lt;&gt;"",IF(LOWER('Capacity summary'!U95)="x",$BI183*U183,VALUE('Capacity summary'!U95)),0),U183*$BI183),U183*$BI183),0)</f>
        <v>0</v>
      </c>
      <c r="BY183" s="5">
        <f>IF($BI183&lt;&gt;"",IF('Capacity summary'!$C$14="Yes",IF(COUNTBLANK('Capacity summary'!$H95:$BG95)&lt;52,IF('Capacity summary'!V95&lt;&gt;"",IF(LOWER('Capacity summary'!V95)="x",$BI183*V183,VALUE('Capacity summary'!V95)),0),V183*$BI183),V183*$BI183),0)</f>
        <v>0</v>
      </c>
      <c r="BZ183" s="5">
        <f>IF($BI183&lt;&gt;"",IF('Capacity summary'!$C$14="Yes",IF(COUNTBLANK('Capacity summary'!$H95:$BG95)&lt;52,IF('Capacity summary'!W95&lt;&gt;"",IF(LOWER('Capacity summary'!W95)="x",$BI183*W183,VALUE('Capacity summary'!W95)),0),W183*$BI183),W183*$BI183),0)</f>
        <v>0</v>
      </c>
      <c r="CA183" s="5">
        <f>IF($BI183&lt;&gt;"",IF('Capacity summary'!$C$14="Yes",IF(COUNTBLANK('Capacity summary'!$H95:$BG95)&lt;52,IF('Capacity summary'!X95&lt;&gt;"",IF(LOWER('Capacity summary'!X95)="x",$BI183*X183,VALUE('Capacity summary'!X95)),0),X183*$BI183),X183*$BI183),0)</f>
        <v>0</v>
      </c>
      <c r="CB183" s="5">
        <f>IF($BI183&lt;&gt;"",IF('Capacity summary'!$C$14="Yes",IF(COUNTBLANK('Capacity summary'!$H95:$BG95)&lt;52,IF('Capacity summary'!Y95&lt;&gt;"",IF(LOWER('Capacity summary'!Y95)="x",$BI183*Y183,VALUE('Capacity summary'!Y95)),0),Y183*$BI183),Y183*$BI183),0)</f>
        <v>0</v>
      </c>
      <c r="CC183" s="5">
        <f>IF($BI183&lt;&gt;"",IF('Capacity summary'!$C$14="Yes",IF(COUNTBLANK('Capacity summary'!$H95:$BG95)&lt;52,IF('Capacity summary'!Z95&lt;&gt;"",IF(LOWER('Capacity summary'!Z95)="x",$BI183*Z183,VALUE('Capacity summary'!Z95)),0),Z183*$BI183),Z183*$BI183),0)</f>
        <v>0</v>
      </c>
      <c r="CD183" s="5">
        <f>IF($BI183&lt;&gt;"",IF('Capacity summary'!$C$14="Yes",IF(COUNTBLANK('Capacity summary'!$H95:$BG95)&lt;52,IF('Capacity summary'!AA95&lt;&gt;"",IF(LOWER('Capacity summary'!AA95)="x",$BI183*AA183,VALUE('Capacity summary'!AA95)),0),AA183*$BI183),AA183*$BI183),0)</f>
        <v>0</v>
      </c>
      <c r="CE183" s="5">
        <f>IF($BI183&lt;&gt;"",IF('Capacity summary'!$C$14="Yes",IF(COUNTBLANK('Capacity summary'!$H95:$BG95)&lt;52,IF('Capacity summary'!AB95&lt;&gt;"",IF(LOWER('Capacity summary'!AB95)="x",$BI183*AB183,VALUE('Capacity summary'!AB95)),0),AB183*$BI183),AB183*$BI183),0)</f>
        <v>0</v>
      </c>
      <c r="CF183" s="5">
        <f>IF($BI183&lt;&gt;"",IF('Capacity summary'!$C$14="Yes",IF(COUNTBLANK('Capacity summary'!$H95:$BG95)&lt;52,IF('Capacity summary'!AC95&lt;&gt;"",IF(LOWER('Capacity summary'!AC95)="x",$BI183*AC183,VALUE('Capacity summary'!AC95)),0),AC183*$BI183),AC183*$BI183),0)</f>
        <v>0</v>
      </c>
      <c r="CG183" s="5">
        <f>IF($BI183&lt;&gt;"",IF('Capacity summary'!$C$14="Yes",IF(COUNTBLANK('Capacity summary'!$H95:$BG95)&lt;52,IF('Capacity summary'!AD95&lt;&gt;"",IF(LOWER('Capacity summary'!AD95)="x",$BI183*AD183,VALUE('Capacity summary'!AD95)),0),AD183*$BI183),AD183*$BI183),0)</f>
        <v>0</v>
      </c>
      <c r="CH183" s="5">
        <f>IF($BI183&lt;&gt;"",IF('Capacity summary'!$C$14="Yes",IF(COUNTBLANK('Capacity summary'!$H95:$BG95)&lt;52,IF('Capacity summary'!AE95&lt;&gt;"",IF(LOWER('Capacity summary'!AE95)="x",$BI183*AE183,VALUE('Capacity summary'!AE95)),0),AE183*$BI183),AE183*$BI183),0)</f>
        <v>0</v>
      </c>
      <c r="CI183" s="5">
        <f>IF($BI183&lt;&gt;"",IF('Capacity summary'!$C$14="Yes",IF(COUNTBLANK('Capacity summary'!$H95:$BG95)&lt;52,IF('Capacity summary'!AF95&lt;&gt;"",IF(LOWER('Capacity summary'!AF95)="x",$BI183*AF183,VALUE('Capacity summary'!AF95)),0),AF183*$BI183),AF183*$BI183),0)</f>
        <v>0</v>
      </c>
      <c r="CJ183" s="5">
        <f>IF($BI183&lt;&gt;"",IF('Capacity summary'!$C$14="Yes",IF(COUNTBLANK('Capacity summary'!$H95:$BG95)&lt;52,IF('Capacity summary'!AG95&lt;&gt;"",IF(LOWER('Capacity summary'!AG95)="x",$BI183*AG183,VALUE('Capacity summary'!AG95)),0),AG183*$BI183),AG183*$BI183),0)</f>
        <v>0</v>
      </c>
      <c r="CK183" s="5">
        <f>IF($BI183&lt;&gt;"",IF('Capacity summary'!$C$14="Yes",IF(COUNTBLANK('Capacity summary'!$H95:$BG95)&lt;52,IF('Capacity summary'!AH95&lt;&gt;"",IF(LOWER('Capacity summary'!AH95)="x",$BI183*AH183,VALUE('Capacity summary'!AH95)),0),AH183*$BI183),AH183*$BI183),0)</f>
        <v>0</v>
      </c>
      <c r="CL183" s="5">
        <f>IF($BI183&lt;&gt;"",IF('Capacity summary'!$C$14="Yes",IF(COUNTBLANK('Capacity summary'!$H95:$BG95)&lt;52,IF('Capacity summary'!AI95&lt;&gt;"",IF(LOWER('Capacity summary'!AI95)="x",$BI183*AI183,VALUE('Capacity summary'!AI95)),0),AI183*$BI183),AI183*$BI183),0)</f>
        <v>0</v>
      </c>
      <c r="CM183" s="5">
        <f>IF($BI183&lt;&gt;"",IF('Capacity summary'!$C$14="Yes",IF(COUNTBLANK('Capacity summary'!$H95:$BG95)&lt;52,IF('Capacity summary'!AJ95&lt;&gt;"",IF(LOWER('Capacity summary'!AJ95)="x",$BI183*AJ183,VALUE('Capacity summary'!AJ95)),0),AJ183*$BI183),AJ183*$BI183),0)</f>
        <v>0</v>
      </c>
      <c r="CN183" s="5">
        <f>IF($BI183&lt;&gt;"",IF('Capacity summary'!$C$14="Yes",IF(COUNTBLANK('Capacity summary'!$H95:$BG95)&lt;52,IF('Capacity summary'!AK95&lt;&gt;"",IF(LOWER('Capacity summary'!AK95)="x",$BI183*AK183,VALUE('Capacity summary'!AK95)),0),AK183*$BI183),AK183*$BI183),0)</f>
        <v>0</v>
      </c>
      <c r="CO183" s="5">
        <f>IF($BI183&lt;&gt;"",IF('Capacity summary'!$C$14="Yes",IF(COUNTBLANK('Capacity summary'!$H95:$BG95)&lt;52,IF('Capacity summary'!AL95&lt;&gt;"",IF(LOWER('Capacity summary'!AL95)="x",$BI183*AL183,VALUE('Capacity summary'!AL95)),0),AL183*$BI183),AL183*$BI183),0)</f>
        <v>0</v>
      </c>
      <c r="CP183" s="5">
        <f>IF($BI183&lt;&gt;"",IF('Capacity summary'!$C$14="Yes",IF(COUNTBLANK('Capacity summary'!$H95:$BG95)&lt;52,IF('Capacity summary'!AM95&lt;&gt;"",IF(LOWER('Capacity summary'!AM95)="x",$BI183*AM183,VALUE('Capacity summary'!AM95)),0),AM183*$BI183),AM183*$BI183),0)</f>
        <v>0</v>
      </c>
      <c r="CQ183" s="5">
        <f>IF($BI183&lt;&gt;"",IF('Capacity summary'!$C$14="Yes",IF(COUNTBLANK('Capacity summary'!$H95:$BG95)&lt;52,IF('Capacity summary'!AN95&lt;&gt;"",IF(LOWER('Capacity summary'!AN95)="x",$BI183*AN183,VALUE('Capacity summary'!AN95)),0),AN183*$BI183),AN183*$BI183),0)</f>
        <v>0</v>
      </c>
      <c r="CR183" s="5">
        <f>IF($BI183&lt;&gt;"",IF('Capacity summary'!$C$14="Yes",IF(COUNTBLANK('Capacity summary'!$H95:$BG95)&lt;52,IF('Capacity summary'!AO95&lt;&gt;"",IF(LOWER('Capacity summary'!AO95)="x",$BI183*AO183,VALUE('Capacity summary'!AO95)),0),AO183*$BI183),AO183*$BI183),0)</f>
        <v>0</v>
      </c>
      <c r="CS183" s="5">
        <f>IF($BI183&lt;&gt;"",IF('Capacity summary'!$C$14="Yes",IF(COUNTBLANK('Capacity summary'!$H95:$BG95)&lt;52,IF('Capacity summary'!AP95&lt;&gt;"",IF(LOWER('Capacity summary'!AP95)="x",$BI183*AP183,VALUE('Capacity summary'!AP95)),0),AP183*$BI183),AP183*$BI183),0)</f>
        <v>0</v>
      </c>
      <c r="CT183" s="5">
        <f>IF($BI183&lt;&gt;"",IF('Capacity summary'!$C$14="Yes",IF(COUNTBLANK('Capacity summary'!$H95:$BG95)&lt;52,IF('Capacity summary'!AQ95&lt;&gt;"",IF(LOWER('Capacity summary'!AQ95)="x",$BI183*AQ183,VALUE('Capacity summary'!AQ95)),0),AQ183*$BI183),AQ183*$BI183),0)</f>
        <v>0</v>
      </c>
      <c r="CU183" s="5">
        <f>IF($BI183&lt;&gt;"",IF('Capacity summary'!$C$14="Yes",IF(COUNTBLANK('Capacity summary'!$H95:$BG95)&lt;52,IF('Capacity summary'!AR95&lt;&gt;"",IF(LOWER('Capacity summary'!AR95)="x",$BI183*AR183,VALUE('Capacity summary'!AR95)),0),AR183*$BI183),AR183*$BI183),0)</f>
        <v>0</v>
      </c>
      <c r="CV183" s="5">
        <f>IF($BI183&lt;&gt;"",IF('Capacity summary'!$C$14="Yes",IF(COUNTBLANK('Capacity summary'!$H95:$BG95)&lt;52,IF('Capacity summary'!AS95&lt;&gt;"",IF(LOWER('Capacity summary'!AS95)="x",$BI183*AS183,VALUE('Capacity summary'!AS95)),0),AS183*$BI183),AS183*$BI183),0)</f>
        <v>0</v>
      </c>
      <c r="CW183" s="5">
        <f>IF($BI183&lt;&gt;"",IF('Capacity summary'!$C$14="Yes",IF(COUNTBLANK('Capacity summary'!$H95:$BG95)&lt;52,IF('Capacity summary'!AT95&lt;&gt;"",IF(LOWER('Capacity summary'!AT95)="x",$BI183*AT183,VALUE('Capacity summary'!AT95)),0),AT183*$BI183),AT183*$BI183),0)</f>
        <v>0</v>
      </c>
      <c r="CX183" s="5">
        <f>IF($BI183&lt;&gt;"",IF('Capacity summary'!$C$14="Yes",IF(COUNTBLANK('Capacity summary'!$H95:$BG95)&lt;52,IF('Capacity summary'!AU95&lt;&gt;"",IF(LOWER('Capacity summary'!AU95)="x",$BI183*AU183,VALUE('Capacity summary'!AU95)),0),AU183*$BI183),AU183*$BI183),0)</f>
        <v>0</v>
      </c>
      <c r="CY183" s="5">
        <f>IF($BI183&lt;&gt;"",IF('Capacity summary'!$C$14="Yes",IF(COUNTBLANK('Capacity summary'!$H95:$BG95)&lt;52,IF('Capacity summary'!AV95&lt;&gt;"",IF(LOWER('Capacity summary'!AV95)="x",$BI183*AV183,VALUE('Capacity summary'!AV95)),0),AV183*$BI183),AV183*$BI183),0)</f>
        <v>0</v>
      </c>
      <c r="CZ183" s="5">
        <f>IF($BI183&lt;&gt;"",IF('Capacity summary'!$C$14="Yes",IF(COUNTBLANK('Capacity summary'!$H95:$BG95)&lt;52,IF('Capacity summary'!AW95&lt;&gt;"",IF(LOWER('Capacity summary'!AW95)="x",$BI183*AW183,VALUE('Capacity summary'!AW95)),0),AW183*$BI183),AW183*$BI183),0)</f>
        <v>0</v>
      </c>
      <c r="DA183" s="5">
        <f>IF($BI183&lt;&gt;"",IF('Capacity summary'!$C$14="Yes",IF(COUNTBLANK('Capacity summary'!$H95:$BG95)&lt;52,IF('Capacity summary'!AX95&lt;&gt;"",IF(LOWER('Capacity summary'!AX95)="x",$BI183*AX183,VALUE('Capacity summary'!AX95)),0),AX183*$BI183),AX183*$BI183),0)</f>
        <v>0</v>
      </c>
      <c r="DB183" s="5">
        <f>IF($BI183&lt;&gt;"",IF('Capacity summary'!$C$14="Yes",IF(COUNTBLANK('Capacity summary'!$H95:$BG95)&lt;52,IF('Capacity summary'!AY95&lt;&gt;"",IF(LOWER('Capacity summary'!AY95)="x",$BI183*AY183,VALUE('Capacity summary'!AY95)),0),AY183*$BI183),AY183*$BI183),0)</f>
        <v>0</v>
      </c>
      <c r="DC183" s="5">
        <f>IF($BI183&lt;&gt;"",IF('Capacity summary'!$C$14="Yes",IF(COUNTBLANK('Capacity summary'!$H95:$BG95)&lt;52,IF('Capacity summary'!AZ95&lt;&gt;"",IF(LOWER('Capacity summary'!AZ95)="x",$BI183*AZ183,VALUE('Capacity summary'!AZ95)),0),AZ183*$BI183),AZ183*$BI183),0)</f>
        <v>0</v>
      </c>
      <c r="DD183" s="5">
        <f>IF($BI183&lt;&gt;"",IF('Capacity summary'!$C$14="Yes",IF(COUNTBLANK('Capacity summary'!$H95:$BG95)&lt;52,IF('Capacity summary'!BA95&lt;&gt;"",IF(LOWER('Capacity summary'!BA95)="x",$BI183*BA183,VALUE('Capacity summary'!BA95)),0),BA183*$BI183),BA183*$BI183),0)</f>
        <v>0</v>
      </c>
      <c r="DE183" s="5">
        <f>IF($BI183&lt;&gt;"",IF('Capacity summary'!$C$14="Yes",IF(COUNTBLANK('Capacity summary'!$H95:$BG95)&lt;52,IF('Capacity summary'!BB95&lt;&gt;"",IF(LOWER('Capacity summary'!BB95)="x",$BI183*BB183,VALUE('Capacity summary'!BB95)),0),BB183*$BI183),BB183*$BI183),0)</f>
        <v>0</v>
      </c>
      <c r="DF183" s="5">
        <f>IF($BI183&lt;&gt;"",IF('Capacity summary'!$C$14="Yes",IF(COUNTBLANK('Capacity summary'!$H95:$BG95)&lt;52,IF('Capacity summary'!BC95&lt;&gt;"",IF(LOWER('Capacity summary'!BC95)="x",$BI183*BC183,VALUE('Capacity summary'!BC95)),0),BC183*$BI183),BC183*$BI183),0)</f>
        <v>0</v>
      </c>
      <c r="DG183" s="5">
        <f>IF($BI183&lt;&gt;"",IF('Capacity summary'!$C$14="Yes",IF(COUNTBLANK('Capacity summary'!$H95:$BG95)&lt;52,IF('Capacity summary'!BD95&lt;&gt;"",IF(LOWER('Capacity summary'!BD95)="x",$BI183*BD183,VALUE('Capacity summary'!BD95)),0),BD183*$BI183),BD183*$BI183),0)</f>
        <v>0</v>
      </c>
      <c r="DH183" s="5">
        <f>IF($BI183&lt;&gt;"",IF('Capacity summary'!$C$14="Yes",IF(COUNTBLANK('Capacity summary'!$H95:$BG95)&lt;52,IF('Capacity summary'!BE95&lt;&gt;"",IF(LOWER('Capacity summary'!BE95)="x",$BI183*BE183,VALUE('Capacity summary'!BE95)),0),BE183*$BI183),BE183*$BI183),0)</f>
        <v>0</v>
      </c>
      <c r="DI183" s="5">
        <f>IF($BI183&lt;&gt;"",IF('Capacity summary'!$C$14="Yes",IF(COUNTBLANK('Capacity summary'!$H95:$BG95)&lt;52,IF('Capacity summary'!BF95&lt;&gt;"",IF(LOWER('Capacity summary'!BF95)="x",$BI183*BF183,VALUE('Capacity summary'!BF95)),0),BF183*$BI183),BF183*$BI183),0)</f>
        <v>0</v>
      </c>
      <c r="DJ183" s="5">
        <f>IF($BI183&lt;&gt;"",IF('Capacity summary'!$C$14="Yes",IF(COUNTBLANK('Capacity summary'!$H95:$BG95)&lt;52,IF('Capacity summary'!BG95&lt;&gt;"",IF(LOWER('Capacity summary'!BG95)="x",$BI183*BG183,VALUE('Capacity summary'!BG95)),0),BG183*$BI183),BG183*$BI183),0)</f>
        <v>0</v>
      </c>
      <c r="DK183" s="391">
        <f t="shared" si="10"/>
        <v>0</v>
      </c>
      <c r="DL183" s="5">
        <f t="shared" si="11"/>
        <v>0</v>
      </c>
    </row>
    <row r="184" spans="3:116" x14ac:dyDescent="0.2">
      <c r="C184" s="67" t="str">
        <f>ROW(A73)&amp;". "&amp;Capacity!N89</f>
        <v xml:space="preserve">73. </v>
      </c>
      <c r="D184" s="67">
        <f>'Capacity setup'!C190</f>
        <v>0</v>
      </c>
      <c r="E184" s="67">
        <f>'Capacity setup'!D190</f>
        <v>0</v>
      </c>
      <c r="F184" s="67">
        <f>'Capacity setup'!E190</f>
        <v>0</v>
      </c>
      <c r="H184" s="67">
        <f ca="1">IF(LOWER(Capacity!$V89)="x",IF(AND(SUMIF(Capacity_Resource,$D184,'Critical resources (hide)'!U$6:U$105)+SUMIF(Capacity_Resource,$E184,'Critical resources (hide)'!U$6:U$105)+SUMIF(Capacity_Resource,$F184,'Critical resources (hide)'!U$6:U$105)&gt;0,$E$1=2),0,1),0)</f>
        <v>1</v>
      </c>
      <c r="I184" s="67">
        <f ca="1">IF(LOWER(Capacity!$V89)="x",IF(AND(SUMIF(Capacity_Resource,$D184,'Critical resources (hide)'!V$6:V$105)+SUMIF(Capacity_Resource,$E184,'Critical resources (hide)'!V$6:V$105)+SUMIF(Capacity_Resource,$F184,'Critical resources (hide)'!V$6:V$105)&gt;0,$E$1=2),0,1),0)</f>
        <v>1</v>
      </c>
      <c r="J184" s="67">
        <f ca="1">IF(LOWER(Capacity!$V89)="x",IF(AND(SUMIF(Capacity_Resource,$D184,'Critical resources (hide)'!W$6:W$105)+SUMIF(Capacity_Resource,$E184,'Critical resources (hide)'!W$6:W$105)+SUMIF(Capacity_Resource,$F184,'Critical resources (hide)'!W$6:W$105)&gt;0,$E$1=2),0,1),0)</f>
        <v>1</v>
      </c>
      <c r="K184" s="67">
        <f ca="1">IF(LOWER(Capacity!$V89)="x",IF(AND(SUMIF(Capacity_Resource,$D184,'Critical resources (hide)'!X$6:X$105)+SUMIF(Capacity_Resource,$E184,'Critical resources (hide)'!X$6:X$105)+SUMIF(Capacity_Resource,$F184,'Critical resources (hide)'!X$6:X$105)&gt;0,$E$1=2),0,1),0)</f>
        <v>1</v>
      </c>
      <c r="L184" s="67">
        <f ca="1">IF(LOWER(Capacity!$V89)="x",IF(AND(SUMIF(Capacity_Resource,$D184,'Critical resources (hide)'!Y$6:Y$105)+SUMIF(Capacity_Resource,$E184,'Critical resources (hide)'!Y$6:Y$105)+SUMIF(Capacity_Resource,$F184,'Critical resources (hide)'!Y$6:Y$105)&gt;0,$E$1=2),0,1),0)</f>
        <v>1</v>
      </c>
      <c r="M184" s="67">
        <f ca="1">IF(LOWER(Capacity!$V89)="x",IF(AND(SUMIF(Capacity_Resource,$D184,'Critical resources (hide)'!Z$6:Z$105)+SUMIF(Capacity_Resource,$E184,'Critical resources (hide)'!Z$6:Z$105)+SUMIF(Capacity_Resource,$F184,'Critical resources (hide)'!Z$6:Z$105)&gt;0,$E$1=2),0,1),0)</f>
        <v>1</v>
      </c>
      <c r="N184" s="67">
        <f ca="1">IF(LOWER(Capacity!$V89)="x",IF(AND(SUMIF(Capacity_Resource,$D184,'Critical resources (hide)'!AA$6:AA$105)+SUMIF(Capacity_Resource,$E184,'Critical resources (hide)'!AA$6:AA$105)+SUMIF(Capacity_Resource,$F184,'Critical resources (hide)'!AA$6:AA$105)&gt;0,$E$1=2),0,1),0)</f>
        <v>1</v>
      </c>
      <c r="O184" s="67">
        <f ca="1">IF(LOWER(Capacity!$V89)="x",IF(AND(SUMIF(Capacity_Resource,$D184,'Critical resources (hide)'!AB$6:AB$105)+SUMIF(Capacity_Resource,$E184,'Critical resources (hide)'!AB$6:AB$105)+SUMIF(Capacity_Resource,$F184,'Critical resources (hide)'!AB$6:AB$105)&gt;0,$E$1=2),0,1),0)</f>
        <v>1</v>
      </c>
      <c r="P184" s="67">
        <f ca="1">IF(LOWER(Capacity!$V89)="x",IF(AND(SUMIF(Capacity_Resource,$D184,'Critical resources (hide)'!AC$6:AC$105)+SUMIF(Capacity_Resource,$E184,'Critical resources (hide)'!AC$6:AC$105)+SUMIF(Capacity_Resource,$F184,'Critical resources (hide)'!AC$6:AC$105)&gt;0,$E$1=2),0,1),0)</f>
        <v>1</v>
      </c>
      <c r="Q184" s="67">
        <f ca="1">IF(LOWER(Capacity!$V89)="x",IF(AND(SUMIF(Capacity_Resource,$D184,'Critical resources (hide)'!AD$6:AD$105)+SUMIF(Capacity_Resource,$E184,'Critical resources (hide)'!AD$6:AD$105)+SUMIF(Capacity_Resource,$F184,'Critical resources (hide)'!AD$6:AD$105)&gt;0,$E$1=2),0,1),0)</f>
        <v>1</v>
      </c>
      <c r="R184" s="67">
        <f ca="1">IF(LOWER(Capacity!$V89)="x",IF(AND(SUMIF(Capacity_Resource,$D184,'Critical resources (hide)'!AE$6:AE$105)+SUMIF(Capacity_Resource,$E184,'Critical resources (hide)'!AE$6:AE$105)+SUMIF(Capacity_Resource,$F184,'Critical resources (hide)'!AE$6:AE$105)&gt;0,$E$1=2),0,1),0)</f>
        <v>1</v>
      </c>
      <c r="S184" s="67">
        <f ca="1">IF(LOWER(Capacity!$V89)="x",IF(AND(SUMIF(Capacity_Resource,$D184,'Critical resources (hide)'!AF$6:AF$105)+SUMIF(Capacity_Resource,$E184,'Critical resources (hide)'!AF$6:AF$105)+SUMIF(Capacity_Resource,$F184,'Critical resources (hide)'!AF$6:AF$105)&gt;0,$E$1=2),0,1),0)</f>
        <v>1</v>
      </c>
      <c r="T184" s="67">
        <f ca="1">IF(LOWER(Capacity!$V89)="x",IF(AND(SUMIF(Capacity_Resource,$D184,'Critical resources (hide)'!AG$6:AG$105)+SUMIF(Capacity_Resource,$E184,'Critical resources (hide)'!AG$6:AG$105)+SUMIF(Capacity_Resource,$F184,'Critical resources (hide)'!AG$6:AG$105)&gt;0,$E$1=2),0,1),0)</f>
        <v>1</v>
      </c>
      <c r="U184" s="67">
        <f ca="1">IF(LOWER(Capacity!$V89)="x",IF(AND(SUMIF(Capacity_Resource,$D184,'Critical resources (hide)'!AH$6:AH$105)+SUMIF(Capacity_Resource,$E184,'Critical resources (hide)'!AH$6:AH$105)+SUMIF(Capacity_Resource,$F184,'Critical resources (hide)'!AH$6:AH$105)&gt;0,$E$1=2),0,1),0)</f>
        <v>1</v>
      </c>
      <c r="V184" s="67">
        <f ca="1">IF(LOWER(Capacity!$V89)="x",IF(AND(SUMIF(Capacity_Resource,$D184,'Critical resources (hide)'!AI$6:AI$105)+SUMIF(Capacity_Resource,$E184,'Critical resources (hide)'!AI$6:AI$105)+SUMIF(Capacity_Resource,$F184,'Critical resources (hide)'!AI$6:AI$105)&gt;0,$E$1=2),0,1),0)</f>
        <v>1</v>
      </c>
      <c r="W184" s="67">
        <f ca="1">IF(LOWER(Capacity!$V89)="x",IF(AND(SUMIF(Capacity_Resource,$D184,'Critical resources (hide)'!AJ$6:AJ$105)+SUMIF(Capacity_Resource,$E184,'Critical resources (hide)'!AJ$6:AJ$105)+SUMIF(Capacity_Resource,$F184,'Critical resources (hide)'!AJ$6:AJ$105)&gt;0,$E$1=2),0,1),0)</f>
        <v>1</v>
      </c>
      <c r="X184" s="67">
        <f ca="1">IF(LOWER(Capacity!$V89)="x",IF(AND(SUMIF(Capacity_Resource,$D184,'Critical resources (hide)'!AK$6:AK$105)+SUMIF(Capacity_Resource,$E184,'Critical resources (hide)'!AK$6:AK$105)+SUMIF(Capacity_Resource,$F184,'Critical resources (hide)'!AK$6:AK$105)&gt;0,$E$1=2),0,1),0)</f>
        <v>1</v>
      </c>
      <c r="Y184" s="67">
        <f ca="1">IF(LOWER(Capacity!$V89)="x",IF(AND(SUMIF(Capacity_Resource,$D184,'Critical resources (hide)'!AL$6:AL$105)+SUMIF(Capacity_Resource,$E184,'Critical resources (hide)'!AL$6:AL$105)+SUMIF(Capacity_Resource,$F184,'Critical resources (hide)'!AL$6:AL$105)&gt;0,$E$1=2),0,1),0)</f>
        <v>1</v>
      </c>
      <c r="Z184" s="67">
        <f ca="1">IF(LOWER(Capacity!$V89)="x",IF(AND(SUMIF(Capacity_Resource,$D184,'Critical resources (hide)'!AM$6:AM$105)+SUMIF(Capacity_Resource,$E184,'Critical resources (hide)'!AM$6:AM$105)+SUMIF(Capacity_Resource,$F184,'Critical resources (hide)'!AM$6:AM$105)&gt;0,$E$1=2),0,1),0)</f>
        <v>1</v>
      </c>
      <c r="AA184" s="67">
        <f ca="1">IF(LOWER(Capacity!$V89)="x",IF(AND(SUMIF(Capacity_Resource,$D184,'Critical resources (hide)'!AN$6:AN$105)+SUMIF(Capacity_Resource,$E184,'Critical resources (hide)'!AN$6:AN$105)+SUMIF(Capacity_Resource,$F184,'Critical resources (hide)'!AN$6:AN$105)&gt;0,$E$1=2),0,1),0)</f>
        <v>1</v>
      </c>
      <c r="AB184" s="67">
        <f ca="1">IF(LOWER(Capacity!$V89)="x",IF(AND(SUMIF(Capacity_Resource,$D184,'Critical resources (hide)'!AO$6:AO$105)+SUMIF(Capacity_Resource,$E184,'Critical resources (hide)'!AO$6:AO$105)+SUMIF(Capacity_Resource,$F184,'Critical resources (hide)'!AO$6:AO$105)&gt;0,$E$1=2),0,1),0)</f>
        <v>1</v>
      </c>
      <c r="AC184" s="67">
        <f ca="1">IF(LOWER(Capacity!$V89)="x",IF(AND(SUMIF(Capacity_Resource,$D184,'Critical resources (hide)'!AP$6:AP$105)+SUMIF(Capacity_Resource,$E184,'Critical resources (hide)'!AP$6:AP$105)+SUMIF(Capacity_Resource,$F184,'Critical resources (hide)'!AP$6:AP$105)&gt;0,$E$1=2),0,1),0)</f>
        <v>1</v>
      </c>
      <c r="AD184" s="67">
        <f ca="1">IF(LOWER(Capacity!$V89)="x",IF(AND(SUMIF(Capacity_Resource,$D184,'Critical resources (hide)'!AQ$6:AQ$105)+SUMIF(Capacity_Resource,$E184,'Critical resources (hide)'!AQ$6:AQ$105)+SUMIF(Capacity_Resource,$F184,'Critical resources (hide)'!AQ$6:AQ$105)&gt;0,$E$1=2),0,1),0)</f>
        <v>1</v>
      </c>
      <c r="AE184" s="67">
        <f ca="1">IF(LOWER(Capacity!$V89)="x",IF(AND(SUMIF(Capacity_Resource,$D184,'Critical resources (hide)'!AR$6:AR$105)+SUMIF(Capacity_Resource,$E184,'Critical resources (hide)'!AR$6:AR$105)+SUMIF(Capacity_Resource,$F184,'Critical resources (hide)'!AR$6:AR$105)&gt;0,$E$1=2),0,1),0)</f>
        <v>1</v>
      </c>
      <c r="AF184" s="67">
        <f ca="1">IF(LOWER(Capacity!$V89)="x",IF(AND(SUMIF(Capacity_Resource,$D184,'Critical resources (hide)'!AS$6:AS$105)+SUMIF(Capacity_Resource,$E184,'Critical resources (hide)'!AS$6:AS$105)+SUMIF(Capacity_Resource,$F184,'Critical resources (hide)'!AS$6:AS$105)&gt;0,$E$1=2),0,1),0)</f>
        <v>1</v>
      </c>
      <c r="AG184" s="67">
        <f ca="1">IF(LOWER(Capacity!$V89)="x",IF(AND(SUMIF(Capacity_Resource,$D184,'Critical resources (hide)'!AT$6:AT$105)+SUMIF(Capacity_Resource,$E184,'Critical resources (hide)'!AT$6:AT$105)+SUMIF(Capacity_Resource,$F184,'Critical resources (hide)'!AT$6:AT$105)&gt;0,$E$1=2),0,1),0)</f>
        <v>1</v>
      </c>
      <c r="AH184" s="67">
        <f ca="1">IF(LOWER(Capacity!$V89)="x",IF(AND(SUMIF(Capacity_Resource,$D184,'Critical resources (hide)'!AU$6:AU$105)+SUMIF(Capacity_Resource,$E184,'Critical resources (hide)'!AU$6:AU$105)+SUMIF(Capacity_Resource,$F184,'Critical resources (hide)'!AU$6:AU$105)&gt;0,$E$1=2),0,1),0)</f>
        <v>1</v>
      </c>
      <c r="AI184" s="67">
        <f ca="1">IF(LOWER(Capacity!$V89)="x",IF(AND(SUMIF(Capacity_Resource,$D184,'Critical resources (hide)'!AV$6:AV$105)+SUMIF(Capacity_Resource,$E184,'Critical resources (hide)'!AV$6:AV$105)+SUMIF(Capacity_Resource,$F184,'Critical resources (hide)'!AV$6:AV$105)&gt;0,$E$1=2),0,1),0)</f>
        <v>1</v>
      </c>
      <c r="AJ184" s="67">
        <f ca="1">IF(LOWER(Capacity!$V89)="x",IF(AND(SUMIF(Capacity_Resource,$D184,'Critical resources (hide)'!AW$6:AW$105)+SUMIF(Capacity_Resource,$E184,'Critical resources (hide)'!AW$6:AW$105)+SUMIF(Capacity_Resource,$F184,'Critical resources (hide)'!AW$6:AW$105)&gt;0,$E$1=2),0,1),0)</f>
        <v>1</v>
      </c>
      <c r="AK184" s="67">
        <f ca="1">IF(LOWER(Capacity!$V89)="x",IF(AND(SUMIF(Capacity_Resource,$D184,'Critical resources (hide)'!AX$6:AX$105)+SUMIF(Capacity_Resource,$E184,'Critical resources (hide)'!AX$6:AX$105)+SUMIF(Capacity_Resource,$F184,'Critical resources (hide)'!AX$6:AX$105)&gt;0,$E$1=2),0,1),0)</f>
        <v>1</v>
      </c>
      <c r="AL184" s="67">
        <f ca="1">IF(LOWER(Capacity!$V89)="x",IF(AND(SUMIF(Capacity_Resource,$D184,'Critical resources (hide)'!AY$6:AY$105)+SUMIF(Capacity_Resource,$E184,'Critical resources (hide)'!AY$6:AY$105)+SUMIF(Capacity_Resource,$F184,'Critical resources (hide)'!AY$6:AY$105)&gt;0,$E$1=2),0,1),0)</f>
        <v>1</v>
      </c>
      <c r="AM184" s="67">
        <f ca="1">IF(LOWER(Capacity!$V89)="x",IF(AND(SUMIF(Capacity_Resource,$D184,'Critical resources (hide)'!AZ$6:AZ$105)+SUMIF(Capacity_Resource,$E184,'Critical resources (hide)'!AZ$6:AZ$105)+SUMIF(Capacity_Resource,$F184,'Critical resources (hide)'!AZ$6:AZ$105)&gt;0,$E$1=2),0,1),0)</f>
        <v>1</v>
      </c>
      <c r="AN184" s="67">
        <f ca="1">IF(LOWER(Capacity!$V89)="x",IF(AND(SUMIF(Capacity_Resource,$D184,'Critical resources (hide)'!BA$6:BA$105)+SUMIF(Capacity_Resource,$E184,'Critical resources (hide)'!BA$6:BA$105)+SUMIF(Capacity_Resource,$F184,'Critical resources (hide)'!BA$6:BA$105)&gt;0,$E$1=2),0,1),0)</f>
        <v>1</v>
      </c>
      <c r="AO184" s="67">
        <f ca="1">IF(LOWER(Capacity!$V89)="x",IF(AND(SUMIF(Capacity_Resource,$D184,'Critical resources (hide)'!BB$6:BB$105)+SUMIF(Capacity_Resource,$E184,'Critical resources (hide)'!BB$6:BB$105)+SUMIF(Capacity_Resource,$F184,'Critical resources (hide)'!BB$6:BB$105)&gt;0,$E$1=2),0,1),0)</f>
        <v>1</v>
      </c>
      <c r="AP184" s="67">
        <f ca="1">IF(LOWER(Capacity!$V89)="x",IF(AND(SUMIF(Capacity_Resource,$D184,'Critical resources (hide)'!BC$6:BC$105)+SUMIF(Capacity_Resource,$E184,'Critical resources (hide)'!BC$6:BC$105)+SUMIF(Capacity_Resource,$F184,'Critical resources (hide)'!BC$6:BC$105)&gt;0,$E$1=2),0,1),0)</f>
        <v>1</v>
      </c>
      <c r="AQ184" s="67">
        <f ca="1">IF(LOWER(Capacity!$V89)="x",IF(AND(SUMIF(Capacity_Resource,$D184,'Critical resources (hide)'!BD$6:BD$105)+SUMIF(Capacity_Resource,$E184,'Critical resources (hide)'!BD$6:BD$105)+SUMIF(Capacity_Resource,$F184,'Critical resources (hide)'!BD$6:BD$105)&gt;0,$E$1=2),0,1),0)</f>
        <v>1</v>
      </c>
      <c r="AR184" s="67">
        <f ca="1">IF(LOWER(Capacity!$V89)="x",IF(AND(SUMIF(Capacity_Resource,$D184,'Critical resources (hide)'!BE$6:BE$105)+SUMIF(Capacity_Resource,$E184,'Critical resources (hide)'!BE$6:BE$105)+SUMIF(Capacity_Resource,$F184,'Critical resources (hide)'!BE$6:BE$105)&gt;0,$E$1=2),0,1),0)</f>
        <v>1</v>
      </c>
      <c r="AS184" s="67">
        <f ca="1">IF(LOWER(Capacity!$V89)="x",IF(AND(SUMIF(Capacity_Resource,$D184,'Critical resources (hide)'!BF$6:BF$105)+SUMIF(Capacity_Resource,$E184,'Critical resources (hide)'!BF$6:BF$105)+SUMIF(Capacity_Resource,$F184,'Critical resources (hide)'!BF$6:BF$105)&gt;0,$E$1=2),0,1),0)</f>
        <v>1</v>
      </c>
      <c r="AT184" s="67">
        <f ca="1">IF(LOWER(Capacity!$V89)="x",IF(AND(SUMIF(Capacity_Resource,$D184,'Critical resources (hide)'!BG$6:BG$105)+SUMIF(Capacity_Resource,$E184,'Critical resources (hide)'!BG$6:BG$105)+SUMIF(Capacity_Resource,$F184,'Critical resources (hide)'!BG$6:BG$105)&gt;0,$E$1=2),0,1),0)</f>
        <v>1</v>
      </c>
      <c r="AU184" s="67">
        <f ca="1">IF(LOWER(Capacity!$V89)="x",IF(AND(SUMIF(Capacity_Resource,$D184,'Critical resources (hide)'!BH$6:BH$105)+SUMIF(Capacity_Resource,$E184,'Critical resources (hide)'!BH$6:BH$105)+SUMIF(Capacity_Resource,$F184,'Critical resources (hide)'!BH$6:BH$105)&gt;0,$E$1=2),0,1),0)</f>
        <v>1</v>
      </c>
      <c r="AV184" s="67">
        <f ca="1">IF(LOWER(Capacity!$V89)="x",IF(AND(SUMIF(Capacity_Resource,$D184,'Critical resources (hide)'!BI$6:BI$105)+SUMIF(Capacity_Resource,$E184,'Critical resources (hide)'!BI$6:BI$105)+SUMIF(Capacity_Resource,$F184,'Critical resources (hide)'!BI$6:BI$105)&gt;0,$E$1=2),0,1),0)</f>
        <v>1</v>
      </c>
      <c r="AW184" s="67">
        <f ca="1">IF(LOWER(Capacity!$V89)="x",IF(AND(SUMIF(Capacity_Resource,$D184,'Critical resources (hide)'!BJ$6:BJ$105)+SUMIF(Capacity_Resource,$E184,'Critical resources (hide)'!BJ$6:BJ$105)+SUMIF(Capacity_Resource,$F184,'Critical resources (hide)'!BJ$6:BJ$105)&gt;0,$E$1=2),0,1),0)</f>
        <v>1</v>
      </c>
      <c r="AX184" s="67">
        <f ca="1">IF(LOWER(Capacity!$V89)="x",IF(AND(SUMIF(Capacity_Resource,$D184,'Critical resources (hide)'!BK$6:BK$105)+SUMIF(Capacity_Resource,$E184,'Critical resources (hide)'!BK$6:BK$105)+SUMIF(Capacity_Resource,$F184,'Critical resources (hide)'!BK$6:BK$105)&gt;0,$E$1=2),0,1),0)</f>
        <v>1</v>
      </c>
      <c r="AY184" s="67">
        <f ca="1">IF(LOWER(Capacity!$V89)="x",IF(AND(SUMIF(Capacity_Resource,$D184,'Critical resources (hide)'!BL$6:BL$105)+SUMIF(Capacity_Resource,$E184,'Critical resources (hide)'!BL$6:BL$105)+SUMIF(Capacity_Resource,$F184,'Critical resources (hide)'!BL$6:BL$105)&gt;0,$E$1=2),0,1),0)</f>
        <v>1</v>
      </c>
      <c r="AZ184" s="67">
        <f ca="1">IF(LOWER(Capacity!$V89)="x",IF(AND(SUMIF(Capacity_Resource,$D184,'Critical resources (hide)'!BM$6:BM$105)+SUMIF(Capacity_Resource,$E184,'Critical resources (hide)'!BM$6:BM$105)+SUMIF(Capacity_Resource,$F184,'Critical resources (hide)'!BM$6:BM$105)&gt;0,$E$1=2),0,1),0)</f>
        <v>1</v>
      </c>
      <c r="BA184" s="67">
        <f ca="1">IF(LOWER(Capacity!$V89)="x",IF(AND(SUMIF(Capacity_Resource,$D184,'Critical resources (hide)'!BN$6:BN$105)+SUMIF(Capacity_Resource,$E184,'Critical resources (hide)'!BN$6:BN$105)+SUMIF(Capacity_Resource,$F184,'Critical resources (hide)'!BN$6:BN$105)&gt;0,$E$1=2),0,1),0)</f>
        <v>1</v>
      </c>
      <c r="BB184" s="67">
        <f ca="1">IF(LOWER(Capacity!$V89)="x",IF(AND(SUMIF(Capacity_Resource,$D184,'Critical resources (hide)'!BO$6:BO$105)+SUMIF(Capacity_Resource,$E184,'Critical resources (hide)'!BO$6:BO$105)+SUMIF(Capacity_Resource,$F184,'Critical resources (hide)'!BO$6:BO$105)&gt;0,$E$1=2),0,1),0)</f>
        <v>1</v>
      </c>
      <c r="BC184" s="67">
        <f ca="1">IF(LOWER(Capacity!$V89)="x",IF(AND(SUMIF(Capacity_Resource,$D184,'Critical resources (hide)'!BP$6:BP$105)+SUMIF(Capacity_Resource,$E184,'Critical resources (hide)'!BP$6:BP$105)+SUMIF(Capacity_Resource,$F184,'Critical resources (hide)'!BP$6:BP$105)&gt;0,$E$1=2),0,1),0)</f>
        <v>1</v>
      </c>
      <c r="BD184" s="67">
        <f ca="1">IF(LOWER(Capacity!$V89)="x",IF(AND(SUMIF(Capacity_Resource,$D184,'Critical resources (hide)'!BQ$6:BQ$105)+SUMIF(Capacity_Resource,$E184,'Critical resources (hide)'!BQ$6:BQ$105)+SUMIF(Capacity_Resource,$F184,'Critical resources (hide)'!BQ$6:BQ$105)&gt;0,$E$1=2),0,1),0)</f>
        <v>1</v>
      </c>
      <c r="BE184" s="67">
        <f ca="1">IF(LOWER(Capacity!$V89)="x",IF(AND(SUMIF(Capacity_Resource,$D184,'Critical resources (hide)'!BR$6:BR$105)+SUMIF(Capacity_Resource,$E184,'Critical resources (hide)'!BR$6:BR$105)+SUMIF(Capacity_Resource,$F184,'Critical resources (hide)'!BR$6:BR$105)&gt;0,$E$1=2),0,1),0)</f>
        <v>1</v>
      </c>
      <c r="BF184" s="67">
        <f ca="1">IF(LOWER(Capacity!$V89)="x",IF(AND(SUMIF(Capacity_Resource,$D184,'Critical resources (hide)'!BS$6:BS$105)+SUMIF(Capacity_Resource,$E184,'Critical resources (hide)'!BS$6:BS$105)+SUMIF(Capacity_Resource,$F184,'Critical resources (hide)'!BS$6:BS$105)&gt;0,$E$1=2),0,1),0)</f>
        <v>1</v>
      </c>
      <c r="BG184" s="67">
        <f ca="1">IF(LOWER(Capacity!$V89)="x",IF(AND(SUMIF(Capacity_Resource,$D184,'Critical resources (hide)'!BT$6:BT$105)+SUMIF(Capacity_Resource,$E184,'Critical resources (hide)'!BT$6:BT$105)+SUMIF(Capacity_Resource,$F184,'Critical resources (hide)'!BT$6:BT$105)&gt;0,$E$1=2),0,1),0)</f>
        <v>1</v>
      </c>
      <c r="BH184" s="67">
        <f>IF(ROW(A73)&lt;=Capacity!$M$16,IF('Capacity summary'!$C$14="No",SUM(H184:BG184),'Capacity summary'!$E96),0)</f>
        <v>0</v>
      </c>
      <c r="BI184" s="67" t="str">
        <f>IF(BH184&gt;0,IF(BH184&lt;Capacity!Q89,Capacity!R89,Capacity!T89/'Capacity calculation (hide)'!BH184),"")</f>
        <v/>
      </c>
      <c r="BJ184" s="5"/>
      <c r="BK184" s="5">
        <f>IF($BI184&lt;&gt;"",IF('Capacity summary'!$C$14="Yes",IF(COUNTBLANK('Capacity summary'!$H96:$BG96)&lt;52,IF('Capacity summary'!H96&lt;&gt;"",IF(LOWER('Capacity summary'!H96)="x",$BI184*H184,VALUE('Capacity summary'!H96)),0),H184*$BI184),H184*$BI184),0)</f>
        <v>0</v>
      </c>
      <c r="BL184" s="5">
        <f>IF($BI184&lt;&gt;"",IF('Capacity summary'!$C$14="Yes",IF(COUNTBLANK('Capacity summary'!$H96:$BG96)&lt;52,IF('Capacity summary'!I96&lt;&gt;"",IF(LOWER('Capacity summary'!I96)="x",$BI184*I184,VALUE('Capacity summary'!I96)),0),I184*$BI184),I184*$BI184),0)</f>
        <v>0</v>
      </c>
      <c r="BM184" s="5">
        <f>IF($BI184&lt;&gt;"",IF('Capacity summary'!$C$14="Yes",IF(COUNTBLANK('Capacity summary'!$H96:$BG96)&lt;52,IF('Capacity summary'!J96&lt;&gt;"",IF(LOWER('Capacity summary'!J96)="x",$BI184*J184,VALUE('Capacity summary'!J96)),0),J184*$BI184),J184*$BI184),0)</f>
        <v>0</v>
      </c>
      <c r="BN184" s="5">
        <f>IF($BI184&lt;&gt;"",IF('Capacity summary'!$C$14="Yes",IF(COUNTBLANK('Capacity summary'!$H96:$BG96)&lt;52,IF('Capacity summary'!K96&lt;&gt;"",IF(LOWER('Capacity summary'!K96)="x",$BI184*K184,VALUE('Capacity summary'!K96)),0),K184*$BI184),K184*$BI184),0)</f>
        <v>0</v>
      </c>
      <c r="BO184" s="5">
        <f>IF($BI184&lt;&gt;"",IF('Capacity summary'!$C$14="Yes",IF(COUNTBLANK('Capacity summary'!$H96:$BG96)&lt;52,IF('Capacity summary'!L96&lt;&gt;"",IF(LOWER('Capacity summary'!L96)="x",$BI184*L184,VALUE('Capacity summary'!L96)),0),L184*$BI184),L184*$BI184),0)</f>
        <v>0</v>
      </c>
      <c r="BP184" s="5">
        <f>IF($BI184&lt;&gt;"",IF('Capacity summary'!$C$14="Yes",IF(COUNTBLANK('Capacity summary'!$H96:$BG96)&lt;52,IF('Capacity summary'!M96&lt;&gt;"",IF(LOWER('Capacity summary'!M96)="x",$BI184*M184,VALUE('Capacity summary'!M96)),0),M184*$BI184),M184*$BI184),0)</f>
        <v>0</v>
      </c>
      <c r="BQ184" s="5">
        <f>IF($BI184&lt;&gt;"",IF('Capacity summary'!$C$14="Yes",IF(COUNTBLANK('Capacity summary'!$H96:$BG96)&lt;52,IF('Capacity summary'!N96&lt;&gt;"",IF(LOWER('Capacity summary'!N96)="x",$BI184*N184,VALUE('Capacity summary'!N96)),0),N184*$BI184),N184*$BI184),0)</f>
        <v>0</v>
      </c>
      <c r="BR184" s="5">
        <f>IF($BI184&lt;&gt;"",IF('Capacity summary'!$C$14="Yes",IF(COUNTBLANK('Capacity summary'!$H96:$BG96)&lt;52,IF('Capacity summary'!O96&lt;&gt;"",IF(LOWER('Capacity summary'!O96)="x",$BI184*O184,VALUE('Capacity summary'!O96)),0),O184*$BI184),O184*$BI184),0)</f>
        <v>0</v>
      </c>
      <c r="BS184" s="5">
        <f>IF($BI184&lt;&gt;"",IF('Capacity summary'!$C$14="Yes",IF(COUNTBLANK('Capacity summary'!$H96:$BG96)&lt;52,IF('Capacity summary'!P96&lt;&gt;"",IF(LOWER('Capacity summary'!P96)="x",$BI184*P184,VALUE('Capacity summary'!P96)),0),P184*$BI184),P184*$BI184),0)</f>
        <v>0</v>
      </c>
      <c r="BT184" s="5">
        <f>IF($BI184&lt;&gt;"",IF('Capacity summary'!$C$14="Yes",IF(COUNTBLANK('Capacity summary'!$H96:$BG96)&lt;52,IF('Capacity summary'!Q96&lt;&gt;"",IF(LOWER('Capacity summary'!Q96)="x",$BI184*Q184,VALUE('Capacity summary'!Q96)),0),Q184*$BI184),Q184*$BI184),0)</f>
        <v>0</v>
      </c>
      <c r="BU184" s="5">
        <f>IF($BI184&lt;&gt;"",IF('Capacity summary'!$C$14="Yes",IF(COUNTBLANK('Capacity summary'!$H96:$BG96)&lt;52,IF('Capacity summary'!R96&lt;&gt;"",IF(LOWER('Capacity summary'!R96)="x",$BI184*R184,VALUE('Capacity summary'!R96)),0),R184*$BI184),R184*$BI184),0)</f>
        <v>0</v>
      </c>
      <c r="BV184" s="5">
        <f>IF($BI184&lt;&gt;"",IF('Capacity summary'!$C$14="Yes",IF(COUNTBLANK('Capacity summary'!$H96:$BG96)&lt;52,IF('Capacity summary'!S96&lt;&gt;"",IF(LOWER('Capacity summary'!S96)="x",$BI184*S184,VALUE('Capacity summary'!S96)),0),S184*$BI184),S184*$BI184),0)</f>
        <v>0</v>
      </c>
      <c r="BW184" s="5">
        <f>IF($BI184&lt;&gt;"",IF('Capacity summary'!$C$14="Yes",IF(COUNTBLANK('Capacity summary'!$H96:$BG96)&lt;52,IF('Capacity summary'!T96&lt;&gt;"",IF(LOWER('Capacity summary'!T96)="x",$BI184*T184,VALUE('Capacity summary'!T96)),0),T184*$BI184),T184*$BI184),0)</f>
        <v>0</v>
      </c>
      <c r="BX184" s="5">
        <f>IF($BI184&lt;&gt;"",IF('Capacity summary'!$C$14="Yes",IF(COUNTBLANK('Capacity summary'!$H96:$BG96)&lt;52,IF('Capacity summary'!U96&lt;&gt;"",IF(LOWER('Capacity summary'!U96)="x",$BI184*U184,VALUE('Capacity summary'!U96)),0),U184*$BI184),U184*$BI184),0)</f>
        <v>0</v>
      </c>
      <c r="BY184" s="5">
        <f>IF($BI184&lt;&gt;"",IF('Capacity summary'!$C$14="Yes",IF(COUNTBLANK('Capacity summary'!$H96:$BG96)&lt;52,IF('Capacity summary'!V96&lt;&gt;"",IF(LOWER('Capacity summary'!V96)="x",$BI184*V184,VALUE('Capacity summary'!V96)),0),V184*$BI184),V184*$BI184),0)</f>
        <v>0</v>
      </c>
      <c r="BZ184" s="5">
        <f>IF($BI184&lt;&gt;"",IF('Capacity summary'!$C$14="Yes",IF(COUNTBLANK('Capacity summary'!$H96:$BG96)&lt;52,IF('Capacity summary'!W96&lt;&gt;"",IF(LOWER('Capacity summary'!W96)="x",$BI184*W184,VALUE('Capacity summary'!W96)),0),W184*$BI184),W184*$BI184),0)</f>
        <v>0</v>
      </c>
      <c r="CA184" s="5">
        <f>IF($BI184&lt;&gt;"",IF('Capacity summary'!$C$14="Yes",IF(COUNTBLANK('Capacity summary'!$H96:$BG96)&lt;52,IF('Capacity summary'!X96&lt;&gt;"",IF(LOWER('Capacity summary'!X96)="x",$BI184*X184,VALUE('Capacity summary'!X96)),0),X184*$BI184),X184*$BI184),0)</f>
        <v>0</v>
      </c>
      <c r="CB184" s="5">
        <f>IF($BI184&lt;&gt;"",IF('Capacity summary'!$C$14="Yes",IF(COUNTBLANK('Capacity summary'!$H96:$BG96)&lt;52,IF('Capacity summary'!Y96&lt;&gt;"",IF(LOWER('Capacity summary'!Y96)="x",$BI184*Y184,VALUE('Capacity summary'!Y96)),0),Y184*$BI184),Y184*$BI184),0)</f>
        <v>0</v>
      </c>
      <c r="CC184" s="5">
        <f>IF($BI184&lt;&gt;"",IF('Capacity summary'!$C$14="Yes",IF(COUNTBLANK('Capacity summary'!$H96:$BG96)&lt;52,IF('Capacity summary'!Z96&lt;&gt;"",IF(LOWER('Capacity summary'!Z96)="x",$BI184*Z184,VALUE('Capacity summary'!Z96)),0),Z184*$BI184),Z184*$BI184),0)</f>
        <v>0</v>
      </c>
      <c r="CD184" s="5">
        <f>IF($BI184&lt;&gt;"",IF('Capacity summary'!$C$14="Yes",IF(COUNTBLANK('Capacity summary'!$H96:$BG96)&lt;52,IF('Capacity summary'!AA96&lt;&gt;"",IF(LOWER('Capacity summary'!AA96)="x",$BI184*AA184,VALUE('Capacity summary'!AA96)),0),AA184*$BI184),AA184*$BI184),0)</f>
        <v>0</v>
      </c>
      <c r="CE184" s="5">
        <f>IF($BI184&lt;&gt;"",IF('Capacity summary'!$C$14="Yes",IF(COUNTBLANK('Capacity summary'!$H96:$BG96)&lt;52,IF('Capacity summary'!AB96&lt;&gt;"",IF(LOWER('Capacity summary'!AB96)="x",$BI184*AB184,VALUE('Capacity summary'!AB96)),0),AB184*$BI184),AB184*$BI184),0)</f>
        <v>0</v>
      </c>
      <c r="CF184" s="5">
        <f>IF($BI184&lt;&gt;"",IF('Capacity summary'!$C$14="Yes",IF(COUNTBLANK('Capacity summary'!$H96:$BG96)&lt;52,IF('Capacity summary'!AC96&lt;&gt;"",IF(LOWER('Capacity summary'!AC96)="x",$BI184*AC184,VALUE('Capacity summary'!AC96)),0),AC184*$BI184),AC184*$BI184),0)</f>
        <v>0</v>
      </c>
      <c r="CG184" s="5">
        <f>IF($BI184&lt;&gt;"",IF('Capacity summary'!$C$14="Yes",IF(COUNTBLANK('Capacity summary'!$H96:$BG96)&lt;52,IF('Capacity summary'!AD96&lt;&gt;"",IF(LOWER('Capacity summary'!AD96)="x",$BI184*AD184,VALUE('Capacity summary'!AD96)),0),AD184*$BI184),AD184*$BI184),0)</f>
        <v>0</v>
      </c>
      <c r="CH184" s="5">
        <f>IF($BI184&lt;&gt;"",IF('Capacity summary'!$C$14="Yes",IF(COUNTBLANK('Capacity summary'!$H96:$BG96)&lt;52,IF('Capacity summary'!AE96&lt;&gt;"",IF(LOWER('Capacity summary'!AE96)="x",$BI184*AE184,VALUE('Capacity summary'!AE96)),0),AE184*$BI184),AE184*$BI184),0)</f>
        <v>0</v>
      </c>
      <c r="CI184" s="5">
        <f>IF($BI184&lt;&gt;"",IF('Capacity summary'!$C$14="Yes",IF(COUNTBLANK('Capacity summary'!$H96:$BG96)&lt;52,IF('Capacity summary'!AF96&lt;&gt;"",IF(LOWER('Capacity summary'!AF96)="x",$BI184*AF184,VALUE('Capacity summary'!AF96)),0),AF184*$BI184),AF184*$BI184),0)</f>
        <v>0</v>
      </c>
      <c r="CJ184" s="5">
        <f>IF($BI184&lt;&gt;"",IF('Capacity summary'!$C$14="Yes",IF(COUNTBLANK('Capacity summary'!$H96:$BG96)&lt;52,IF('Capacity summary'!AG96&lt;&gt;"",IF(LOWER('Capacity summary'!AG96)="x",$BI184*AG184,VALUE('Capacity summary'!AG96)),0),AG184*$BI184),AG184*$BI184),0)</f>
        <v>0</v>
      </c>
      <c r="CK184" s="5">
        <f>IF($BI184&lt;&gt;"",IF('Capacity summary'!$C$14="Yes",IF(COUNTBLANK('Capacity summary'!$H96:$BG96)&lt;52,IF('Capacity summary'!AH96&lt;&gt;"",IF(LOWER('Capacity summary'!AH96)="x",$BI184*AH184,VALUE('Capacity summary'!AH96)),0),AH184*$BI184),AH184*$BI184),0)</f>
        <v>0</v>
      </c>
      <c r="CL184" s="5">
        <f>IF($BI184&lt;&gt;"",IF('Capacity summary'!$C$14="Yes",IF(COUNTBLANK('Capacity summary'!$H96:$BG96)&lt;52,IF('Capacity summary'!AI96&lt;&gt;"",IF(LOWER('Capacity summary'!AI96)="x",$BI184*AI184,VALUE('Capacity summary'!AI96)),0),AI184*$BI184),AI184*$BI184),0)</f>
        <v>0</v>
      </c>
      <c r="CM184" s="5">
        <f>IF($BI184&lt;&gt;"",IF('Capacity summary'!$C$14="Yes",IF(COUNTBLANK('Capacity summary'!$H96:$BG96)&lt;52,IF('Capacity summary'!AJ96&lt;&gt;"",IF(LOWER('Capacity summary'!AJ96)="x",$BI184*AJ184,VALUE('Capacity summary'!AJ96)),0),AJ184*$BI184),AJ184*$BI184),0)</f>
        <v>0</v>
      </c>
      <c r="CN184" s="5">
        <f>IF($BI184&lt;&gt;"",IF('Capacity summary'!$C$14="Yes",IF(COUNTBLANK('Capacity summary'!$H96:$BG96)&lt;52,IF('Capacity summary'!AK96&lt;&gt;"",IF(LOWER('Capacity summary'!AK96)="x",$BI184*AK184,VALUE('Capacity summary'!AK96)),0),AK184*$BI184),AK184*$BI184),0)</f>
        <v>0</v>
      </c>
      <c r="CO184" s="5">
        <f>IF($BI184&lt;&gt;"",IF('Capacity summary'!$C$14="Yes",IF(COUNTBLANK('Capacity summary'!$H96:$BG96)&lt;52,IF('Capacity summary'!AL96&lt;&gt;"",IF(LOWER('Capacity summary'!AL96)="x",$BI184*AL184,VALUE('Capacity summary'!AL96)),0),AL184*$BI184),AL184*$BI184),0)</f>
        <v>0</v>
      </c>
      <c r="CP184" s="5">
        <f>IF($BI184&lt;&gt;"",IF('Capacity summary'!$C$14="Yes",IF(COUNTBLANK('Capacity summary'!$H96:$BG96)&lt;52,IF('Capacity summary'!AM96&lt;&gt;"",IF(LOWER('Capacity summary'!AM96)="x",$BI184*AM184,VALUE('Capacity summary'!AM96)),0),AM184*$BI184),AM184*$BI184),0)</f>
        <v>0</v>
      </c>
      <c r="CQ184" s="5">
        <f>IF($BI184&lt;&gt;"",IF('Capacity summary'!$C$14="Yes",IF(COUNTBLANK('Capacity summary'!$H96:$BG96)&lt;52,IF('Capacity summary'!AN96&lt;&gt;"",IF(LOWER('Capacity summary'!AN96)="x",$BI184*AN184,VALUE('Capacity summary'!AN96)),0),AN184*$BI184),AN184*$BI184),0)</f>
        <v>0</v>
      </c>
      <c r="CR184" s="5">
        <f>IF($BI184&lt;&gt;"",IF('Capacity summary'!$C$14="Yes",IF(COUNTBLANK('Capacity summary'!$H96:$BG96)&lt;52,IF('Capacity summary'!AO96&lt;&gt;"",IF(LOWER('Capacity summary'!AO96)="x",$BI184*AO184,VALUE('Capacity summary'!AO96)),0),AO184*$BI184),AO184*$BI184),0)</f>
        <v>0</v>
      </c>
      <c r="CS184" s="5">
        <f>IF($BI184&lt;&gt;"",IF('Capacity summary'!$C$14="Yes",IF(COUNTBLANK('Capacity summary'!$H96:$BG96)&lt;52,IF('Capacity summary'!AP96&lt;&gt;"",IF(LOWER('Capacity summary'!AP96)="x",$BI184*AP184,VALUE('Capacity summary'!AP96)),0),AP184*$BI184),AP184*$BI184),0)</f>
        <v>0</v>
      </c>
      <c r="CT184" s="5">
        <f>IF($BI184&lt;&gt;"",IF('Capacity summary'!$C$14="Yes",IF(COUNTBLANK('Capacity summary'!$H96:$BG96)&lt;52,IF('Capacity summary'!AQ96&lt;&gt;"",IF(LOWER('Capacity summary'!AQ96)="x",$BI184*AQ184,VALUE('Capacity summary'!AQ96)),0),AQ184*$BI184),AQ184*$BI184),0)</f>
        <v>0</v>
      </c>
      <c r="CU184" s="5">
        <f>IF($BI184&lt;&gt;"",IF('Capacity summary'!$C$14="Yes",IF(COUNTBLANK('Capacity summary'!$H96:$BG96)&lt;52,IF('Capacity summary'!AR96&lt;&gt;"",IF(LOWER('Capacity summary'!AR96)="x",$BI184*AR184,VALUE('Capacity summary'!AR96)),0),AR184*$BI184),AR184*$BI184),0)</f>
        <v>0</v>
      </c>
      <c r="CV184" s="5">
        <f>IF($BI184&lt;&gt;"",IF('Capacity summary'!$C$14="Yes",IF(COUNTBLANK('Capacity summary'!$H96:$BG96)&lt;52,IF('Capacity summary'!AS96&lt;&gt;"",IF(LOWER('Capacity summary'!AS96)="x",$BI184*AS184,VALUE('Capacity summary'!AS96)),0),AS184*$BI184),AS184*$BI184),0)</f>
        <v>0</v>
      </c>
      <c r="CW184" s="5">
        <f>IF($BI184&lt;&gt;"",IF('Capacity summary'!$C$14="Yes",IF(COUNTBLANK('Capacity summary'!$H96:$BG96)&lt;52,IF('Capacity summary'!AT96&lt;&gt;"",IF(LOWER('Capacity summary'!AT96)="x",$BI184*AT184,VALUE('Capacity summary'!AT96)),0),AT184*$BI184),AT184*$BI184),0)</f>
        <v>0</v>
      </c>
      <c r="CX184" s="5">
        <f>IF($BI184&lt;&gt;"",IF('Capacity summary'!$C$14="Yes",IF(COUNTBLANK('Capacity summary'!$H96:$BG96)&lt;52,IF('Capacity summary'!AU96&lt;&gt;"",IF(LOWER('Capacity summary'!AU96)="x",$BI184*AU184,VALUE('Capacity summary'!AU96)),0),AU184*$BI184),AU184*$BI184),0)</f>
        <v>0</v>
      </c>
      <c r="CY184" s="5">
        <f>IF($BI184&lt;&gt;"",IF('Capacity summary'!$C$14="Yes",IF(COUNTBLANK('Capacity summary'!$H96:$BG96)&lt;52,IF('Capacity summary'!AV96&lt;&gt;"",IF(LOWER('Capacity summary'!AV96)="x",$BI184*AV184,VALUE('Capacity summary'!AV96)),0),AV184*$BI184),AV184*$BI184),0)</f>
        <v>0</v>
      </c>
      <c r="CZ184" s="5">
        <f>IF($BI184&lt;&gt;"",IF('Capacity summary'!$C$14="Yes",IF(COUNTBLANK('Capacity summary'!$H96:$BG96)&lt;52,IF('Capacity summary'!AW96&lt;&gt;"",IF(LOWER('Capacity summary'!AW96)="x",$BI184*AW184,VALUE('Capacity summary'!AW96)),0),AW184*$BI184),AW184*$BI184),0)</f>
        <v>0</v>
      </c>
      <c r="DA184" s="5">
        <f>IF($BI184&lt;&gt;"",IF('Capacity summary'!$C$14="Yes",IF(COUNTBLANK('Capacity summary'!$H96:$BG96)&lt;52,IF('Capacity summary'!AX96&lt;&gt;"",IF(LOWER('Capacity summary'!AX96)="x",$BI184*AX184,VALUE('Capacity summary'!AX96)),0),AX184*$BI184),AX184*$BI184),0)</f>
        <v>0</v>
      </c>
      <c r="DB184" s="5">
        <f>IF($BI184&lt;&gt;"",IF('Capacity summary'!$C$14="Yes",IF(COUNTBLANK('Capacity summary'!$H96:$BG96)&lt;52,IF('Capacity summary'!AY96&lt;&gt;"",IF(LOWER('Capacity summary'!AY96)="x",$BI184*AY184,VALUE('Capacity summary'!AY96)),0),AY184*$BI184),AY184*$BI184),0)</f>
        <v>0</v>
      </c>
      <c r="DC184" s="5">
        <f>IF($BI184&lt;&gt;"",IF('Capacity summary'!$C$14="Yes",IF(COUNTBLANK('Capacity summary'!$H96:$BG96)&lt;52,IF('Capacity summary'!AZ96&lt;&gt;"",IF(LOWER('Capacity summary'!AZ96)="x",$BI184*AZ184,VALUE('Capacity summary'!AZ96)),0),AZ184*$BI184),AZ184*$BI184),0)</f>
        <v>0</v>
      </c>
      <c r="DD184" s="5">
        <f>IF($BI184&lt;&gt;"",IF('Capacity summary'!$C$14="Yes",IF(COUNTBLANK('Capacity summary'!$H96:$BG96)&lt;52,IF('Capacity summary'!BA96&lt;&gt;"",IF(LOWER('Capacity summary'!BA96)="x",$BI184*BA184,VALUE('Capacity summary'!BA96)),0),BA184*$BI184),BA184*$BI184),0)</f>
        <v>0</v>
      </c>
      <c r="DE184" s="5">
        <f>IF($BI184&lt;&gt;"",IF('Capacity summary'!$C$14="Yes",IF(COUNTBLANK('Capacity summary'!$H96:$BG96)&lt;52,IF('Capacity summary'!BB96&lt;&gt;"",IF(LOWER('Capacity summary'!BB96)="x",$BI184*BB184,VALUE('Capacity summary'!BB96)),0),BB184*$BI184),BB184*$BI184),0)</f>
        <v>0</v>
      </c>
      <c r="DF184" s="5">
        <f>IF($BI184&lt;&gt;"",IF('Capacity summary'!$C$14="Yes",IF(COUNTBLANK('Capacity summary'!$H96:$BG96)&lt;52,IF('Capacity summary'!BC96&lt;&gt;"",IF(LOWER('Capacity summary'!BC96)="x",$BI184*BC184,VALUE('Capacity summary'!BC96)),0),BC184*$BI184),BC184*$BI184),0)</f>
        <v>0</v>
      </c>
      <c r="DG184" s="5">
        <f>IF($BI184&lt;&gt;"",IF('Capacity summary'!$C$14="Yes",IF(COUNTBLANK('Capacity summary'!$H96:$BG96)&lt;52,IF('Capacity summary'!BD96&lt;&gt;"",IF(LOWER('Capacity summary'!BD96)="x",$BI184*BD184,VALUE('Capacity summary'!BD96)),0),BD184*$BI184),BD184*$BI184),0)</f>
        <v>0</v>
      </c>
      <c r="DH184" s="5">
        <f>IF($BI184&lt;&gt;"",IF('Capacity summary'!$C$14="Yes",IF(COUNTBLANK('Capacity summary'!$H96:$BG96)&lt;52,IF('Capacity summary'!BE96&lt;&gt;"",IF(LOWER('Capacity summary'!BE96)="x",$BI184*BE184,VALUE('Capacity summary'!BE96)),0),BE184*$BI184),BE184*$BI184),0)</f>
        <v>0</v>
      </c>
      <c r="DI184" s="5">
        <f>IF($BI184&lt;&gt;"",IF('Capacity summary'!$C$14="Yes",IF(COUNTBLANK('Capacity summary'!$H96:$BG96)&lt;52,IF('Capacity summary'!BF96&lt;&gt;"",IF(LOWER('Capacity summary'!BF96)="x",$BI184*BF184,VALUE('Capacity summary'!BF96)),0),BF184*$BI184),BF184*$BI184),0)</f>
        <v>0</v>
      </c>
      <c r="DJ184" s="5">
        <f>IF($BI184&lt;&gt;"",IF('Capacity summary'!$C$14="Yes",IF(COUNTBLANK('Capacity summary'!$H96:$BG96)&lt;52,IF('Capacity summary'!BG96&lt;&gt;"",IF(LOWER('Capacity summary'!BG96)="x",$BI184*BG184,VALUE('Capacity summary'!BG96)),0),BG184*$BI184),BG184*$BI184),0)</f>
        <v>0</v>
      </c>
      <c r="DK184" s="391">
        <f t="shared" si="10"/>
        <v>0</v>
      </c>
      <c r="DL184" s="5">
        <f t="shared" si="11"/>
        <v>0</v>
      </c>
    </row>
    <row r="185" spans="3:116" x14ac:dyDescent="0.2">
      <c r="C185" s="67" t="str">
        <f>ROW(A74)&amp;". "&amp;Capacity!N90</f>
        <v xml:space="preserve">74. </v>
      </c>
      <c r="D185" s="67">
        <f>'Capacity setup'!C191</f>
        <v>0</v>
      </c>
      <c r="E185" s="67">
        <f>'Capacity setup'!D191</f>
        <v>0</v>
      </c>
      <c r="F185" s="67">
        <f>'Capacity setup'!E191</f>
        <v>0</v>
      </c>
      <c r="H185" s="67">
        <f ca="1">IF(LOWER(Capacity!$V90)="x",IF(AND(SUMIF(Capacity_Resource,$D185,'Critical resources (hide)'!U$6:U$105)+SUMIF(Capacity_Resource,$E185,'Critical resources (hide)'!U$6:U$105)+SUMIF(Capacity_Resource,$F185,'Critical resources (hide)'!U$6:U$105)&gt;0,$E$1=2),0,1),0)</f>
        <v>1</v>
      </c>
      <c r="I185" s="67">
        <f ca="1">IF(LOWER(Capacity!$V90)="x",IF(AND(SUMIF(Capacity_Resource,$D185,'Critical resources (hide)'!V$6:V$105)+SUMIF(Capacity_Resource,$E185,'Critical resources (hide)'!V$6:V$105)+SUMIF(Capacity_Resource,$F185,'Critical resources (hide)'!V$6:V$105)&gt;0,$E$1=2),0,1),0)</f>
        <v>1</v>
      </c>
      <c r="J185" s="67">
        <f ca="1">IF(LOWER(Capacity!$V90)="x",IF(AND(SUMIF(Capacity_Resource,$D185,'Critical resources (hide)'!W$6:W$105)+SUMIF(Capacity_Resource,$E185,'Critical resources (hide)'!W$6:W$105)+SUMIF(Capacity_Resource,$F185,'Critical resources (hide)'!W$6:W$105)&gt;0,$E$1=2),0,1),0)</f>
        <v>1</v>
      </c>
      <c r="K185" s="67">
        <f ca="1">IF(LOWER(Capacity!$V90)="x",IF(AND(SUMIF(Capacity_Resource,$D185,'Critical resources (hide)'!X$6:X$105)+SUMIF(Capacity_Resource,$E185,'Critical resources (hide)'!X$6:X$105)+SUMIF(Capacity_Resource,$F185,'Critical resources (hide)'!X$6:X$105)&gt;0,$E$1=2),0,1),0)</f>
        <v>1</v>
      </c>
      <c r="L185" s="67">
        <f ca="1">IF(LOWER(Capacity!$V90)="x",IF(AND(SUMIF(Capacity_Resource,$D185,'Critical resources (hide)'!Y$6:Y$105)+SUMIF(Capacity_Resource,$E185,'Critical resources (hide)'!Y$6:Y$105)+SUMIF(Capacity_Resource,$F185,'Critical resources (hide)'!Y$6:Y$105)&gt;0,$E$1=2),0,1),0)</f>
        <v>1</v>
      </c>
      <c r="M185" s="67">
        <f ca="1">IF(LOWER(Capacity!$V90)="x",IF(AND(SUMIF(Capacity_Resource,$D185,'Critical resources (hide)'!Z$6:Z$105)+SUMIF(Capacity_Resource,$E185,'Critical resources (hide)'!Z$6:Z$105)+SUMIF(Capacity_Resource,$F185,'Critical resources (hide)'!Z$6:Z$105)&gt;0,$E$1=2),0,1),0)</f>
        <v>1</v>
      </c>
      <c r="N185" s="67">
        <f ca="1">IF(LOWER(Capacity!$V90)="x",IF(AND(SUMIF(Capacity_Resource,$D185,'Critical resources (hide)'!AA$6:AA$105)+SUMIF(Capacity_Resource,$E185,'Critical resources (hide)'!AA$6:AA$105)+SUMIF(Capacity_Resource,$F185,'Critical resources (hide)'!AA$6:AA$105)&gt;0,$E$1=2),0,1),0)</f>
        <v>1</v>
      </c>
      <c r="O185" s="67">
        <f ca="1">IF(LOWER(Capacity!$V90)="x",IF(AND(SUMIF(Capacity_Resource,$D185,'Critical resources (hide)'!AB$6:AB$105)+SUMIF(Capacity_Resource,$E185,'Critical resources (hide)'!AB$6:AB$105)+SUMIF(Capacity_Resource,$F185,'Critical resources (hide)'!AB$6:AB$105)&gt;0,$E$1=2),0,1),0)</f>
        <v>1</v>
      </c>
      <c r="P185" s="67">
        <f ca="1">IF(LOWER(Capacity!$V90)="x",IF(AND(SUMIF(Capacity_Resource,$D185,'Critical resources (hide)'!AC$6:AC$105)+SUMIF(Capacity_Resource,$E185,'Critical resources (hide)'!AC$6:AC$105)+SUMIF(Capacity_Resource,$F185,'Critical resources (hide)'!AC$6:AC$105)&gt;0,$E$1=2),0,1),0)</f>
        <v>1</v>
      </c>
      <c r="Q185" s="67">
        <f ca="1">IF(LOWER(Capacity!$V90)="x",IF(AND(SUMIF(Capacity_Resource,$D185,'Critical resources (hide)'!AD$6:AD$105)+SUMIF(Capacity_Resource,$E185,'Critical resources (hide)'!AD$6:AD$105)+SUMIF(Capacity_Resource,$F185,'Critical resources (hide)'!AD$6:AD$105)&gt;0,$E$1=2),0,1),0)</f>
        <v>1</v>
      </c>
      <c r="R185" s="67">
        <f ca="1">IF(LOWER(Capacity!$V90)="x",IF(AND(SUMIF(Capacity_Resource,$D185,'Critical resources (hide)'!AE$6:AE$105)+SUMIF(Capacity_Resource,$E185,'Critical resources (hide)'!AE$6:AE$105)+SUMIF(Capacity_Resource,$F185,'Critical resources (hide)'!AE$6:AE$105)&gt;0,$E$1=2),0,1),0)</f>
        <v>1</v>
      </c>
      <c r="S185" s="67">
        <f ca="1">IF(LOWER(Capacity!$V90)="x",IF(AND(SUMIF(Capacity_Resource,$D185,'Critical resources (hide)'!AF$6:AF$105)+SUMIF(Capacity_Resource,$E185,'Critical resources (hide)'!AF$6:AF$105)+SUMIF(Capacity_Resource,$F185,'Critical resources (hide)'!AF$6:AF$105)&gt;0,$E$1=2),0,1),0)</f>
        <v>1</v>
      </c>
      <c r="T185" s="67">
        <f ca="1">IF(LOWER(Capacity!$V90)="x",IF(AND(SUMIF(Capacity_Resource,$D185,'Critical resources (hide)'!AG$6:AG$105)+SUMIF(Capacity_Resource,$E185,'Critical resources (hide)'!AG$6:AG$105)+SUMIF(Capacity_Resource,$F185,'Critical resources (hide)'!AG$6:AG$105)&gt;0,$E$1=2),0,1),0)</f>
        <v>1</v>
      </c>
      <c r="U185" s="67">
        <f ca="1">IF(LOWER(Capacity!$V90)="x",IF(AND(SUMIF(Capacity_Resource,$D185,'Critical resources (hide)'!AH$6:AH$105)+SUMIF(Capacity_Resource,$E185,'Critical resources (hide)'!AH$6:AH$105)+SUMIF(Capacity_Resource,$F185,'Critical resources (hide)'!AH$6:AH$105)&gt;0,$E$1=2),0,1),0)</f>
        <v>1</v>
      </c>
      <c r="V185" s="67">
        <f ca="1">IF(LOWER(Capacity!$V90)="x",IF(AND(SUMIF(Capacity_Resource,$D185,'Critical resources (hide)'!AI$6:AI$105)+SUMIF(Capacity_Resource,$E185,'Critical resources (hide)'!AI$6:AI$105)+SUMIF(Capacity_Resource,$F185,'Critical resources (hide)'!AI$6:AI$105)&gt;0,$E$1=2),0,1),0)</f>
        <v>1</v>
      </c>
      <c r="W185" s="67">
        <f ca="1">IF(LOWER(Capacity!$V90)="x",IF(AND(SUMIF(Capacity_Resource,$D185,'Critical resources (hide)'!AJ$6:AJ$105)+SUMIF(Capacity_Resource,$E185,'Critical resources (hide)'!AJ$6:AJ$105)+SUMIF(Capacity_Resource,$F185,'Critical resources (hide)'!AJ$6:AJ$105)&gt;0,$E$1=2),0,1),0)</f>
        <v>1</v>
      </c>
      <c r="X185" s="67">
        <f ca="1">IF(LOWER(Capacity!$V90)="x",IF(AND(SUMIF(Capacity_Resource,$D185,'Critical resources (hide)'!AK$6:AK$105)+SUMIF(Capacity_Resource,$E185,'Critical resources (hide)'!AK$6:AK$105)+SUMIF(Capacity_Resource,$F185,'Critical resources (hide)'!AK$6:AK$105)&gt;0,$E$1=2),0,1),0)</f>
        <v>1</v>
      </c>
      <c r="Y185" s="67">
        <f ca="1">IF(LOWER(Capacity!$V90)="x",IF(AND(SUMIF(Capacity_Resource,$D185,'Critical resources (hide)'!AL$6:AL$105)+SUMIF(Capacity_Resource,$E185,'Critical resources (hide)'!AL$6:AL$105)+SUMIF(Capacity_Resource,$F185,'Critical resources (hide)'!AL$6:AL$105)&gt;0,$E$1=2),0,1),0)</f>
        <v>1</v>
      </c>
      <c r="Z185" s="67">
        <f ca="1">IF(LOWER(Capacity!$V90)="x",IF(AND(SUMIF(Capacity_Resource,$D185,'Critical resources (hide)'!AM$6:AM$105)+SUMIF(Capacity_Resource,$E185,'Critical resources (hide)'!AM$6:AM$105)+SUMIF(Capacity_Resource,$F185,'Critical resources (hide)'!AM$6:AM$105)&gt;0,$E$1=2),0,1),0)</f>
        <v>1</v>
      </c>
      <c r="AA185" s="67">
        <f ca="1">IF(LOWER(Capacity!$V90)="x",IF(AND(SUMIF(Capacity_Resource,$D185,'Critical resources (hide)'!AN$6:AN$105)+SUMIF(Capacity_Resource,$E185,'Critical resources (hide)'!AN$6:AN$105)+SUMIF(Capacity_Resource,$F185,'Critical resources (hide)'!AN$6:AN$105)&gt;0,$E$1=2),0,1),0)</f>
        <v>1</v>
      </c>
      <c r="AB185" s="67">
        <f ca="1">IF(LOWER(Capacity!$V90)="x",IF(AND(SUMIF(Capacity_Resource,$D185,'Critical resources (hide)'!AO$6:AO$105)+SUMIF(Capacity_Resource,$E185,'Critical resources (hide)'!AO$6:AO$105)+SUMIF(Capacity_Resource,$F185,'Critical resources (hide)'!AO$6:AO$105)&gt;0,$E$1=2),0,1),0)</f>
        <v>1</v>
      </c>
      <c r="AC185" s="67">
        <f ca="1">IF(LOWER(Capacity!$V90)="x",IF(AND(SUMIF(Capacity_Resource,$D185,'Critical resources (hide)'!AP$6:AP$105)+SUMIF(Capacity_Resource,$E185,'Critical resources (hide)'!AP$6:AP$105)+SUMIF(Capacity_Resource,$F185,'Critical resources (hide)'!AP$6:AP$105)&gt;0,$E$1=2),0,1),0)</f>
        <v>1</v>
      </c>
      <c r="AD185" s="67">
        <f ca="1">IF(LOWER(Capacity!$V90)="x",IF(AND(SUMIF(Capacity_Resource,$D185,'Critical resources (hide)'!AQ$6:AQ$105)+SUMIF(Capacity_Resource,$E185,'Critical resources (hide)'!AQ$6:AQ$105)+SUMIF(Capacity_Resource,$F185,'Critical resources (hide)'!AQ$6:AQ$105)&gt;0,$E$1=2),0,1),0)</f>
        <v>1</v>
      </c>
      <c r="AE185" s="67">
        <f ca="1">IF(LOWER(Capacity!$V90)="x",IF(AND(SUMIF(Capacity_Resource,$D185,'Critical resources (hide)'!AR$6:AR$105)+SUMIF(Capacity_Resource,$E185,'Critical resources (hide)'!AR$6:AR$105)+SUMIF(Capacity_Resource,$F185,'Critical resources (hide)'!AR$6:AR$105)&gt;0,$E$1=2),0,1),0)</f>
        <v>1</v>
      </c>
      <c r="AF185" s="67">
        <f ca="1">IF(LOWER(Capacity!$V90)="x",IF(AND(SUMIF(Capacity_Resource,$D185,'Critical resources (hide)'!AS$6:AS$105)+SUMIF(Capacity_Resource,$E185,'Critical resources (hide)'!AS$6:AS$105)+SUMIF(Capacity_Resource,$F185,'Critical resources (hide)'!AS$6:AS$105)&gt;0,$E$1=2),0,1),0)</f>
        <v>1</v>
      </c>
      <c r="AG185" s="67">
        <f ca="1">IF(LOWER(Capacity!$V90)="x",IF(AND(SUMIF(Capacity_Resource,$D185,'Critical resources (hide)'!AT$6:AT$105)+SUMIF(Capacity_Resource,$E185,'Critical resources (hide)'!AT$6:AT$105)+SUMIF(Capacity_Resource,$F185,'Critical resources (hide)'!AT$6:AT$105)&gt;0,$E$1=2),0,1),0)</f>
        <v>1</v>
      </c>
      <c r="AH185" s="67">
        <f ca="1">IF(LOWER(Capacity!$V90)="x",IF(AND(SUMIF(Capacity_Resource,$D185,'Critical resources (hide)'!AU$6:AU$105)+SUMIF(Capacity_Resource,$E185,'Critical resources (hide)'!AU$6:AU$105)+SUMIF(Capacity_Resource,$F185,'Critical resources (hide)'!AU$6:AU$105)&gt;0,$E$1=2),0,1),0)</f>
        <v>1</v>
      </c>
      <c r="AI185" s="67">
        <f ca="1">IF(LOWER(Capacity!$V90)="x",IF(AND(SUMIF(Capacity_Resource,$D185,'Critical resources (hide)'!AV$6:AV$105)+SUMIF(Capacity_Resource,$E185,'Critical resources (hide)'!AV$6:AV$105)+SUMIF(Capacity_Resource,$F185,'Critical resources (hide)'!AV$6:AV$105)&gt;0,$E$1=2),0,1),0)</f>
        <v>1</v>
      </c>
      <c r="AJ185" s="67">
        <f ca="1">IF(LOWER(Capacity!$V90)="x",IF(AND(SUMIF(Capacity_Resource,$D185,'Critical resources (hide)'!AW$6:AW$105)+SUMIF(Capacity_Resource,$E185,'Critical resources (hide)'!AW$6:AW$105)+SUMIF(Capacity_Resource,$F185,'Critical resources (hide)'!AW$6:AW$105)&gt;0,$E$1=2),0,1),0)</f>
        <v>1</v>
      </c>
      <c r="AK185" s="67">
        <f ca="1">IF(LOWER(Capacity!$V90)="x",IF(AND(SUMIF(Capacity_Resource,$D185,'Critical resources (hide)'!AX$6:AX$105)+SUMIF(Capacity_Resource,$E185,'Critical resources (hide)'!AX$6:AX$105)+SUMIF(Capacity_Resource,$F185,'Critical resources (hide)'!AX$6:AX$105)&gt;0,$E$1=2),0,1),0)</f>
        <v>1</v>
      </c>
      <c r="AL185" s="67">
        <f ca="1">IF(LOWER(Capacity!$V90)="x",IF(AND(SUMIF(Capacity_Resource,$D185,'Critical resources (hide)'!AY$6:AY$105)+SUMIF(Capacity_Resource,$E185,'Critical resources (hide)'!AY$6:AY$105)+SUMIF(Capacity_Resource,$F185,'Critical resources (hide)'!AY$6:AY$105)&gt;0,$E$1=2),0,1),0)</f>
        <v>1</v>
      </c>
      <c r="AM185" s="67">
        <f ca="1">IF(LOWER(Capacity!$V90)="x",IF(AND(SUMIF(Capacity_Resource,$D185,'Critical resources (hide)'!AZ$6:AZ$105)+SUMIF(Capacity_Resource,$E185,'Critical resources (hide)'!AZ$6:AZ$105)+SUMIF(Capacity_Resource,$F185,'Critical resources (hide)'!AZ$6:AZ$105)&gt;0,$E$1=2),0,1),0)</f>
        <v>1</v>
      </c>
      <c r="AN185" s="67">
        <f ca="1">IF(LOWER(Capacity!$V90)="x",IF(AND(SUMIF(Capacity_Resource,$D185,'Critical resources (hide)'!BA$6:BA$105)+SUMIF(Capacity_Resource,$E185,'Critical resources (hide)'!BA$6:BA$105)+SUMIF(Capacity_Resource,$F185,'Critical resources (hide)'!BA$6:BA$105)&gt;0,$E$1=2),0,1),0)</f>
        <v>1</v>
      </c>
      <c r="AO185" s="67">
        <f ca="1">IF(LOWER(Capacity!$V90)="x",IF(AND(SUMIF(Capacity_Resource,$D185,'Critical resources (hide)'!BB$6:BB$105)+SUMIF(Capacity_Resource,$E185,'Critical resources (hide)'!BB$6:BB$105)+SUMIF(Capacity_Resource,$F185,'Critical resources (hide)'!BB$6:BB$105)&gt;0,$E$1=2),0,1),0)</f>
        <v>1</v>
      </c>
      <c r="AP185" s="67">
        <f ca="1">IF(LOWER(Capacity!$V90)="x",IF(AND(SUMIF(Capacity_Resource,$D185,'Critical resources (hide)'!BC$6:BC$105)+SUMIF(Capacity_Resource,$E185,'Critical resources (hide)'!BC$6:BC$105)+SUMIF(Capacity_Resource,$F185,'Critical resources (hide)'!BC$6:BC$105)&gt;0,$E$1=2),0,1),0)</f>
        <v>1</v>
      </c>
      <c r="AQ185" s="67">
        <f ca="1">IF(LOWER(Capacity!$V90)="x",IF(AND(SUMIF(Capacity_Resource,$D185,'Critical resources (hide)'!BD$6:BD$105)+SUMIF(Capacity_Resource,$E185,'Critical resources (hide)'!BD$6:BD$105)+SUMIF(Capacity_Resource,$F185,'Critical resources (hide)'!BD$6:BD$105)&gt;0,$E$1=2),0,1),0)</f>
        <v>1</v>
      </c>
      <c r="AR185" s="67">
        <f ca="1">IF(LOWER(Capacity!$V90)="x",IF(AND(SUMIF(Capacity_Resource,$D185,'Critical resources (hide)'!BE$6:BE$105)+SUMIF(Capacity_Resource,$E185,'Critical resources (hide)'!BE$6:BE$105)+SUMIF(Capacity_Resource,$F185,'Critical resources (hide)'!BE$6:BE$105)&gt;0,$E$1=2),0,1),0)</f>
        <v>1</v>
      </c>
      <c r="AS185" s="67">
        <f ca="1">IF(LOWER(Capacity!$V90)="x",IF(AND(SUMIF(Capacity_Resource,$D185,'Critical resources (hide)'!BF$6:BF$105)+SUMIF(Capacity_Resource,$E185,'Critical resources (hide)'!BF$6:BF$105)+SUMIF(Capacity_Resource,$F185,'Critical resources (hide)'!BF$6:BF$105)&gt;0,$E$1=2),0,1),0)</f>
        <v>1</v>
      </c>
      <c r="AT185" s="67">
        <f ca="1">IF(LOWER(Capacity!$V90)="x",IF(AND(SUMIF(Capacity_Resource,$D185,'Critical resources (hide)'!BG$6:BG$105)+SUMIF(Capacity_Resource,$E185,'Critical resources (hide)'!BG$6:BG$105)+SUMIF(Capacity_Resource,$F185,'Critical resources (hide)'!BG$6:BG$105)&gt;0,$E$1=2),0,1),0)</f>
        <v>1</v>
      </c>
      <c r="AU185" s="67">
        <f ca="1">IF(LOWER(Capacity!$V90)="x",IF(AND(SUMIF(Capacity_Resource,$D185,'Critical resources (hide)'!BH$6:BH$105)+SUMIF(Capacity_Resource,$E185,'Critical resources (hide)'!BH$6:BH$105)+SUMIF(Capacity_Resource,$F185,'Critical resources (hide)'!BH$6:BH$105)&gt;0,$E$1=2),0,1),0)</f>
        <v>1</v>
      </c>
      <c r="AV185" s="67">
        <f ca="1">IF(LOWER(Capacity!$V90)="x",IF(AND(SUMIF(Capacity_Resource,$D185,'Critical resources (hide)'!BI$6:BI$105)+SUMIF(Capacity_Resource,$E185,'Critical resources (hide)'!BI$6:BI$105)+SUMIF(Capacity_Resource,$F185,'Critical resources (hide)'!BI$6:BI$105)&gt;0,$E$1=2),0,1),0)</f>
        <v>1</v>
      </c>
      <c r="AW185" s="67">
        <f ca="1">IF(LOWER(Capacity!$V90)="x",IF(AND(SUMIF(Capacity_Resource,$D185,'Critical resources (hide)'!BJ$6:BJ$105)+SUMIF(Capacity_Resource,$E185,'Critical resources (hide)'!BJ$6:BJ$105)+SUMIF(Capacity_Resource,$F185,'Critical resources (hide)'!BJ$6:BJ$105)&gt;0,$E$1=2),0,1),0)</f>
        <v>1</v>
      </c>
      <c r="AX185" s="67">
        <f ca="1">IF(LOWER(Capacity!$V90)="x",IF(AND(SUMIF(Capacity_Resource,$D185,'Critical resources (hide)'!BK$6:BK$105)+SUMIF(Capacity_Resource,$E185,'Critical resources (hide)'!BK$6:BK$105)+SUMIF(Capacity_Resource,$F185,'Critical resources (hide)'!BK$6:BK$105)&gt;0,$E$1=2),0,1),0)</f>
        <v>1</v>
      </c>
      <c r="AY185" s="67">
        <f ca="1">IF(LOWER(Capacity!$V90)="x",IF(AND(SUMIF(Capacity_Resource,$D185,'Critical resources (hide)'!BL$6:BL$105)+SUMIF(Capacity_Resource,$E185,'Critical resources (hide)'!BL$6:BL$105)+SUMIF(Capacity_Resource,$F185,'Critical resources (hide)'!BL$6:BL$105)&gt;0,$E$1=2),0,1),0)</f>
        <v>1</v>
      </c>
      <c r="AZ185" s="67">
        <f ca="1">IF(LOWER(Capacity!$V90)="x",IF(AND(SUMIF(Capacity_Resource,$D185,'Critical resources (hide)'!BM$6:BM$105)+SUMIF(Capacity_Resource,$E185,'Critical resources (hide)'!BM$6:BM$105)+SUMIF(Capacity_Resource,$F185,'Critical resources (hide)'!BM$6:BM$105)&gt;0,$E$1=2),0,1),0)</f>
        <v>1</v>
      </c>
      <c r="BA185" s="67">
        <f ca="1">IF(LOWER(Capacity!$V90)="x",IF(AND(SUMIF(Capacity_Resource,$D185,'Critical resources (hide)'!BN$6:BN$105)+SUMIF(Capacity_Resource,$E185,'Critical resources (hide)'!BN$6:BN$105)+SUMIF(Capacity_Resource,$F185,'Critical resources (hide)'!BN$6:BN$105)&gt;0,$E$1=2),0,1),0)</f>
        <v>1</v>
      </c>
      <c r="BB185" s="67">
        <f ca="1">IF(LOWER(Capacity!$V90)="x",IF(AND(SUMIF(Capacity_Resource,$D185,'Critical resources (hide)'!BO$6:BO$105)+SUMIF(Capacity_Resource,$E185,'Critical resources (hide)'!BO$6:BO$105)+SUMIF(Capacity_Resource,$F185,'Critical resources (hide)'!BO$6:BO$105)&gt;0,$E$1=2),0,1),0)</f>
        <v>1</v>
      </c>
      <c r="BC185" s="67">
        <f ca="1">IF(LOWER(Capacity!$V90)="x",IF(AND(SUMIF(Capacity_Resource,$D185,'Critical resources (hide)'!BP$6:BP$105)+SUMIF(Capacity_Resource,$E185,'Critical resources (hide)'!BP$6:BP$105)+SUMIF(Capacity_Resource,$F185,'Critical resources (hide)'!BP$6:BP$105)&gt;0,$E$1=2),0,1),0)</f>
        <v>1</v>
      </c>
      <c r="BD185" s="67">
        <f ca="1">IF(LOWER(Capacity!$V90)="x",IF(AND(SUMIF(Capacity_Resource,$D185,'Critical resources (hide)'!BQ$6:BQ$105)+SUMIF(Capacity_Resource,$E185,'Critical resources (hide)'!BQ$6:BQ$105)+SUMIF(Capacity_Resource,$F185,'Critical resources (hide)'!BQ$6:BQ$105)&gt;0,$E$1=2),0,1),0)</f>
        <v>1</v>
      </c>
      <c r="BE185" s="67">
        <f ca="1">IF(LOWER(Capacity!$V90)="x",IF(AND(SUMIF(Capacity_Resource,$D185,'Critical resources (hide)'!BR$6:BR$105)+SUMIF(Capacity_Resource,$E185,'Critical resources (hide)'!BR$6:BR$105)+SUMIF(Capacity_Resource,$F185,'Critical resources (hide)'!BR$6:BR$105)&gt;0,$E$1=2),0,1),0)</f>
        <v>1</v>
      </c>
      <c r="BF185" s="67">
        <f ca="1">IF(LOWER(Capacity!$V90)="x",IF(AND(SUMIF(Capacity_Resource,$D185,'Critical resources (hide)'!BS$6:BS$105)+SUMIF(Capacity_Resource,$E185,'Critical resources (hide)'!BS$6:BS$105)+SUMIF(Capacity_Resource,$F185,'Critical resources (hide)'!BS$6:BS$105)&gt;0,$E$1=2),0,1),0)</f>
        <v>1</v>
      </c>
      <c r="BG185" s="67">
        <f ca="1">IF(LOWER(Capacity!$V90)="x",IF(AND(SUMIF(Capacity_Resource,$D185,'Critical resources (hide)'!BT$6:BT$105)+SUMIF(Capacity_Resource,$E185,'Critical resources (hide)'!BT$6:BT$105)+SUMIF(Capacity_Resource,$F185,'Critical resources (hide)'!BT$6:BT$105)&gt;0,$E$1=2),0,1),0)</f>
        <v>1</v>
      </c>
      <c r="BH185" s="67">
        <f>IF(ROW(A74)&lt;=Capacity!$M$16,IF('Capacity summary'!$C$14="No",SUM(H185:BG185),'Capacity summary'!$E97),0)</f>
        <v>0</v>
      </c>
      <c r="BI185" s="67" t="str">
        <f>IF(BH185&gt;0,IF(BH185&lt;Capacity!Q90,Capacity!R90,Capacity!T90/'Capacity calculation (hide)'!BH185),"")</f>
        <v/>
      </c>
      <c r="BJ185" s="5"/>
      <c r="BK185" s="5">
        <f>IF($BI185&lt;&gt;"",IF('Capacity summary'!$C$14="Yes",IF(COUNTBLANK('Capacity summary'!$H97:$BG97)&lt;52,IF('Capacity summary'!H97&lt;&gt;"",IF(LOWER('Capacity summary'!H97)="x",$BI185*H185,VALUE('Capacity summary'!H97)),0),H185*$BI185),H185*$BI185),0)</f>
        <v>0</v>
      </c>
      <c r="BL185" s="5">
        <f>IF($BI185&lt;&gt;"",IF('Capacity summary'!$C$14="Yes",IF(COUNTBLANK('Capacity summary'!$H97:$BG97)&lt;52,IF('Capacity summary'!I97&lt;&gt;"",IF(LOWER('Capacity summary'!I97)="x",$BI185*I185,VALUE('Capacity summary'!I97)),0),I185*$BI185),I185*$BI185),0)</f>
        <v>0</v>
      </c>
      <c r="BM185" s="5">
        <f>IF($BI185&lt;&gt;"",IF('Capacity summary'!$C$14="Yes",IF(COUNTBLANK('Capacity summary'!$H97:$BG97)&lt;52,IF('Capacity summary'!J97&lt;&gt;"",IF(LOWER('Capacity summary'!J97)="x",$BI185*J185,VALUE('Capacity summary'!J97)),0),J185*$BI185),J185*$BI185),0)</f>
        <v>0</v>
      </c>
      <c r="BN185" s="5">
        <f>IF($BI185&lt;&gt;"",IF('Capacity summary'!$C$14="Yes",IF(COUNTBLANK('Capacity summary'!$H97:$BG97)&lt;52,IF('Capacity summary'!K97&lt;&gt;"",IF(LOWER('Capacity summary'!K97)="x",$BI185*K185,VALUE('Capacity summary'!K97)),0),K185*$BI185),K185*$BI185),0)</f>
        <v>0</v>
      </c>
      <c r="BO185" s="5">
        <f>IF($BI185&lt;&gt;"",IF('Capacity summary'!$C$14="Yes",IF(COUNTBLANK('Capacity summary'!$H97:$BG97)&lt;52,IF('Capacity summary'!L97&lt;&gt;"",IF(LOWER('Capacity summary'!L97)="x",$BI185*L185,VALUE('Capacity summary'!L97)),0),L185*$BI185),L185*$BI185),0)</f>
        <v>0</v>
      </c>
      <c r="BP185" s="5">
        <f>IF($BI185&lt;&gt;"",IF('Capacity summary'!$C$14="Yes",IF(COUNTBLANK('Capacity summary'!$H97:$BG97)&lt;52,IF('Capacity summary'!M97&lt;&gt;"",IF(LOWER('Capacity summary'!M97)="x",$BI185*M185,VALUE('Capacity summary'!M97)),0),M185*$BI185),M185*$BI185),0)</f>
        <v>0</v>
      </c>
      <c r="BQ185" s="5">
        <f>IF($BI185&lt;&gt;"",IF('Capacity summary'!$C$14="Yes",IF(COUNTBLANK('Capacity summary'!$H97:$BG97)&lt;52,IF('Capacity summary'!N97&lt;&gt;"",IF(LOWER('Capacity summary'!N97)="x",$BI185*N185,VALUE('Capacity summary'!N97)),0),N185*$BI185),N185*$BI185),0)</f>
        <v>0</v>
      </c>
      <c r="BR185" s="5">
        <f>IF($BI185&lt;&gt;"",IF('Capacity summary'!$C$14="Yes",IF(COUNTBLANK('Capacity summary'!$H97:$BG97)&lt;52,IF('Capacity summary'!O97&lt;&gt;"",IF(LOWER('Capacity summary'!O97)="x",$BI185*O185,VALUE('Capacity summary'!O97)),0),O185*$BI185),O185*$BI185),0)</f>
        <v>0</v>
      </c>
      <c r="BS185" s="5">
        <f>IF($BI185&lt;&gt;"",IF('Capacity summary'!$C$14="Yes",IF(COUNTBLANK('Capacity summary'!$H97:$BG97)&lt;52,IF('Capacity summary'!P97&lt;&gt;"",IF(LOWER('Capacity summary'!P97)="x",$BI185*P185,VALUE('Capacity summary'!P97)),0),P185*$BI185),P185*$BI185),0)</f>
        <v>0</v>
      </c>
      <c r="BT185" s="5">
        <f>IF($BI185&lt;&gt;"",IF('Capacity summary'!$C$14="Yes",IF(COUNTBLANK('Capacity summary'!$H97:$BG97)&lt;52,IF('Capacity summary'!Q97&lt;&gt;"",IF(LOWER('Capacity summary'!Q97)="x",$BI185*Q185,VALUE('Capacity summary'!Q97)),0),Q185*$BI185),Q185*$BI185),0)</f>
        <v>0</v>
      </c>
      <c r="BU185" s="5">
        <f>IF($BI185&lt;&gt;"",IF('Capacity summary'!$C$14="Yes",IF(COUNTBLANK('Capacity summary'!$H97:$BG97)&lt;52,IF('Capacity summary'!R97&lt;&gt;"",IF(LOWER('Capacity summary'!R97)="x",$BI185*R185,VALUE('Capacity summary'!R97)),0),R185*$BI185),R185*$BI185),0)</f>
        <v>0</v>
      </c>
      <c r="BV185" s="5">
        <f>IF($BI185&lt;&gt;"",IF('Capacity summary'!$C$14="Yes",IF(COUNTBLANK('Capacity summary'!$H97:$BG97)&lt;52,IF('Capacity summary'!S97&lt;&gt;"",IF(LOWER('Capacity summary'!S97)="x",$BI185*S185,VALUE('Capacity summary'!S97)),0),S185*$BI185),S185*$BI185),0)</f>
        <v>0</v>
      </c>
      <c r="BW185" s="5">
        <f>IF($BI185&lt;&gt;"",IF('Capacity summary'!$C$14="Yes",IF(COUNTBLANK('Capacity summary'!$H97:$BG97)&lt;52,IF('Capacity summary'!T97&lt;&gt;"",IF(LOWER('Capacity summary'!T97)="x",$BI185*T185,VALUE('Capacity summary'!T97)),0),T185*$BI185),T185*$BI185),0)</f>
        <v>0</v>
      </c>
      <c r="BX185" s="5">
        <f>IF($BI185&lt;&gt;"",IF('Capacity summary'!$C$14="Yes",IF(COUNTBLANK('Capacity summary'!$H97:$BG97)&lt;52,IF('Capacity summary'!U97&lt;&gt;"",IF(LOWER('Capacity summary'!U97)="x",$BI185*U185,VALUE('Capacity summary'!U97)),0),U185*$BI185),U185*$BI185),0)</f>
        <v>0</v>
      </c>
      <c r="BY185" s="5">
        <f>IF($BI185&lt;&gt;"",IF('Capacity summary'!$C$14="Yes",IF(COUNTBLANK('Capacity summary'!$H97:$BG97)&lt;52,IF('Capacity summary'!V97&lt;&gt;"",IF(LOWER('Capacity summary'!V97)="x",$BI185*V185,VALUE('Capacity summary'!V97)),0),V185*$BI185),V185*$BI185),0)</f>
        <v>0</v>
      </c>
      <c r="BZ185" s="5">
        <f>IF($BI185&lt;&gt;"",IF('Capacity summary'!$C$14="Yes",IF(COUNTBLANK('Capacity summary'!$H97:$BG97)&lt;52,IF('Capacity summary'!W97&lt;&gt;"",IF(LOWER('Capacity summary'!W97)="x",$BI185*W185,VALUE('Capacity summary'!W97)),0),W185*$BI185),W185*$BI185),0)</f>
        <v>0</v>
      </c>
      <c r="CA185" s="5">
        <f>IF($BI185&lt;&gt;"",IF('Capacity summary'!$C$14="Yes",IF(COUNTBLANK('Capacity summary'!$H97:$BG97)&lt;52,IF('Capacity summary'!X97&lt;&gt;"",IF(LOWER('Capacity summary'!X97)="x",$BI185*X185,VALUE('Capacity summary'!X97)),0),X185*$BI185),X185*$BI185),0)</f>
        <v>0</v>
      </c>
      <c r="CB185" s="5">
        <f>IF($BI185&lt;&gt;"",IF('Capacity summary'!$C$14="Yes",IF(COUNTBLANK('Capacity summary'!$H97:$BG97)&lt;52,IF('Capacity summary'!Y97&lt;&gt;"",IF(LOWER('Capacity summary'!Y97)="x",$BI185*Y185,VALUE('Capacity summary'!Y97)),0),Y185*$BI185),Y185*$BI185),0)</f>
        <v>0</v>
      </c>
      <c r="CC185" s="5">
        <f>IF($BI185&lt;&gt;"",IF('Capacity summary'!$C$14="Yes",IF(COUNTBLANK('Capacity summary'!$H97:$BG97)&lt;52,IF('Capacity summary'!Z97&lt;&gt;"",IF(LOWER('Capacity summary'!Z97)="x",$BI185*Z185,VALUE('Capacity summary'!Z97)),0),Z185*$BI185),Z185*$BI185),0)</f>
        <v>0</v>
      </c>
      <c r="CD185" s="5">
        <f>IF($BI185&lt;&gt;"",IF('Capacity summary'!$C$14="Yes",IF(COUNTBLANK('Capacity summary'!$H97:$BG97)&lt;52,IF('Capacity summary'!AA97&lt;&gt;"",IF(LOWER('Capacity summary'!AA97)="x",$BI185*AA185,VALUE('Capacity summary'!AA97)),0),AA185*$BI185),AA185*$BI185),0)</f>
        <v>0</v>
      </c>
      <c r="CE185" s="5">
        <f>IF($BI185&lt;&gt;"",IF('Capacity summary'!$C$14="Yes",IF(COUNTBLANK('Capacity summary'!$H97:$BG97)&lt;52,IF('Capacity summary'!AB97&lt;&gt;"",IF(LOWER('Capacity summary'!AB97)="x",$BI185*AB185,VALUE('Capacity summary'!AB97)),0),AB185*$BI185),AB185*$BI185),0)</f>
        <v>0</v>
      </c>
      <c r="CF185" s="5">
        <f>IF($BI185&lt;&gt;"",IF('Capacity summary'!$C$14="Yes",IF(COUNTBLANK('Capacity summary'!$H97:$BG97)&lt;52,IF('Capacity summary'!AC97&lt;&gt;"",IF(LOWER('Capacity summary'!AC97)="x",$BI185*AC185,VALUE('Capacity summary'!AC97)),0),AC185*$BI185),AC185*$BI185),0)</f>
        <v>0</v>
      </c>
      <c r="CG185" s="5">
        <f>IF($BI185&lt;&gt;"",IF('Capacity summary'!$C$14="Yes",IF(COUNTBLANK('Capacity summary'!$H97:$BG97)&lt;52,IF('Capacity summary'!AD97&lt;&gt;"",IF(LOWER('Capacity summary'!AD97)="x",$BI185*AD185,VALUE('Capacity summary'!AD97)),0),AD185*$BI185),AD185*$BI185),0)</f>
        <v>0</v>
      </c>
      <c r="CH185" s="5">
        <f>IF($BI185&lt;&gt;"",IF('Capacity summary'!$C$14="Yes",IF(COUNTBLANK('Capacity summary'!$H97:$BG97)&lt;52,IF('Capacity summary'!AE97&lt;&gt;"",IF(LOWER('Capacity summary'!AE97)="x",$BI185*AE185,VALUE('Capacity summary'!AE97)),0),AE185*$BI185),AE185*$BI185),0)</f>
        <v>0</v>
      </c>
      <c r="CI185" s="5">
        <f>IF($BI185&lt;&gt;"",IF('Capacity summary'!$C$14="Yes",IF(COUNTBLANK('Capacity summary'!$H97:$BG97)&lt;52,IF('Capacity summary'!AF97&lt;&gt;"",IF(LOWER('Capacity summary'!AF97)="x",$BI185*AF185,VALUE('Capacity summary'!AF97)),0),AF185*$BI185),AF185*$BI185),0)</f>
        <v>0</v>
      </c>
      <c r="CJ185" s="5">
        <f>IF($BI185&lt;&gt;"",IF('Capacity summary'!$C$14="Yes",IF(COUNTBLANK('Capacity summary'!$H97:$BG97)&lt;52,IF('Capacity summary'!AG97&lt;&gt;"",IF(LOWER('Capacity summary'!AG97)="x",$BI185*AG185,VALUE('Capacity summary'!AG97)),0),AG185*$BI185),AG185*$BI185),0)</f>
        <v>0</v>
      </c>
      <c r="CK185" s="5">
        <f>IF($BI185&lt;&gt;"",IF('Capacity summary'!$C$14="Yes",IF(COUNTBLANK('Capacity summary'!$H97:$BG97)&lt;52,IF('Capacity summary'!AH97&lt;&gt;"",IF(LOWER('Capacity summary'!AH97)="x",$BI185*AH185,VALUE('Capacity summary'!AH97)),0),AH185*$BI185),AH185*$BI185),0)</f>
        <v>0</v>
      </c>
      <c r="CL185" s="5">
        <f>IF($BI185&lt;&gt;"",IF('Capacity summary'!$C$14="Yes",IF(COUNTBLANK('Capacity summary'!$H97:$BG97)&lt;52,IF('Capacity summary'!AI97&lt;&gt;"",IF(LOWER('Capacity summary'!AI97)="x",$BI185*AI185,VALUE('Capacity summary'!AI97)),0),AI185*$BI185),AI185*$BI185),0)</f>
        <v>0</v>
      </c>
      <c r="CM185" s="5">
        <f>IF($BI185&lt;&gt;"",IF('Capacity summary'!$C$14="Yes",IF(COUNTBLANK('Capacity summary'!$H97:$BG97)&lt;52,IF('Capacity summary'!AJ97&lt;&gt;"",IF(LOWER('Capacity summary'!AJ97)="x",$BI185*AJ185,VALUE('Capacity summary'!AJ97)),0),AJ185*$BI185),AJ185*$BI185),0)</f>
        <v>0</v>
      </c>
      <c r="CN185" s="5">
        <f>IF($BI185&lt;&gt;"",IF('Capacity summary'!$C$14="Yes",IF(COUNTBLANK('Capacity summary'!$H97:$BG97)&lt;52,IF('Capacity summary'!AK97&lt;&gt;"",IF(LOWER('Capacity summary'!AK97)="x",$BI185*AK185,VALUE('Capacity summary'!AK97)),0),AK185*$BI185),AK185*$BI185),0)</f>
        <v>0</v>
      </c>
      <c r="CO185" s="5">
        <f>IF($BI185&lt;&gt;"",IF('Capacity summary'!$C$14="Yes",IF(COUNTBLANK('Capacity summary'!$H97:$BG97)&lt;52,IF('Capacity summary'!AL97&lt;&gt;"",IF(LOWER('Capacity summary'!AL97)="x",$BI185*AL185,VALUE('Capacity summary'!AL97)),0),AL185*$BI185),AL185*$BI185),0)</f>
        <v>0</v>
      </c>
      <c r="CP185" s="5">
        <f>IF($BI185&lt;&gt;"",IF('Capacity summary'!$C$14="Yes",IF(COUNTBLANK('Capacity summary'!$H97:$BG97)&lt;52,IF('Capacity summary'!AM97&lt;&gt;"",IF(LOWER('Capacity summary'!AM97)="x",$BI185*AM185,VALUE('Capacity summary'!AM97)),0),AM185*$BI185),AM185*$BI185),0)</f>
        <v>0</v>
      </c>
      <c r="CQ185" s="5">
        <f>IF($BI185&lt;&gt;"",IF('Capacity summary'!$C$14="Yes",IF(COUNTBLANK('Capacity summary'!$H97:$BG97)&lt;52,IF('Capacity summary'!AN97&lt;&gt;"",IF(LOWER('Capacity summary'!AN97)="x",$BI185*AN185,VALUE('Capacity summary'!AN97)),0),AN185*$BI185),AN185*$BI185),0)</f>
        <v>0</v>
      </c>
      <c r="CR185" s="5">
        <f>IF($BI185&lt;&gt;"",IF('Capacity summary'!$C$14="Yes",IF(COUNTBLANK('Capacity summary'!$H97:$BG97)&lt;52,IF('Capacity summary'!AO97&lt;&gt;"",IF(LOWER('Capacity summary'!AO97)="x",$BI185*AO185,VALUE('Capacity summary'!AO97)),0),AO185*$BI185),AO185*$BI185),0)</f>
        <v>0</v>
      </c>
      <c r="CS185" s="5">
        <f>IF($BI185&lt;&gt;"",IF('Capacity summary'!$C$14="Yes",IF(COUNTBLANK('Capacity summary'!$H97:$BG97)&lt;52,IF('Capacity summary'!AP97&lt;&gt;"",IF(LOWER('Capacity summary'!AP97)="x",$BI185*AP185,VALUE('Capacity summary'!AP97)),0),AP185*$BI185),AP185*$BI185),0)</f>
        <v>0</v>
      </c>
      <c r="CT185" s="5">
        <f>IF($BI185&lt;&gt;"",IF('Capacity summary'!$C$14="Yes",IF(COUNTBLANK('Capacity summary'!$H97:$BG97)&lt;52,IF('Capacity summary'!AQ97&lt;&gt;"",IF(LOWER('Capacity summary'!AQ97)="x",$BI185*AQ185,VALUE('Capacity summary'!AQ97)),0),AQ185*$BI185),AQ185*$BI185),0)</f>
        <v>0</v>
      </c>
      <c r="CU185" s="5">
        <f>IF($BI185&lt;&gt;"",IF('Capacity summary'!$C$14="Yes",IF(COUNTBLANK('Capacity summary'!$H97:$BG97)&lt;52,IF('Capacity summary'!AR97&lt;&gt;"",IF(LOWER('Capacity summary'!AR97)="x",$BI185*AR185,VALUE('Capacity summary'!AR97)),0),AR185*$BI185),AR185*$BI185),0)</f>
        <v>0</v>
      </c>
      <c r="CV185" s="5">
        <f>IF($BI185&lt;&gt;"",IF('Capacity summary'!$C$14="Yes",IF(COUNTBLANK('Capacity summary'!$H97:$BG97)&lt;52,IF('Capacity summary'!AS97&lt;&gt;"",IF(LOWER('Capacity summary'!AS97)="x",$BI185*AS185,VALUE('Capacity summary'!AS97)),0),AS185*$BI185),AS185*$BI185),0)</f>
        <v>0</v>
      </c>
      <c r="CW185" s="5">
        <f>IF($BI185&lt;&gt;"",IF('Capacity summary'!$C$14="Yes",IF(COUNTBLANK('Capacity summary'!$H97:$BG97)&lt;52,IF('Capacity summary'!AT97&lt;&gt;"",IF(LOWER('Capacity summary'!AT97)="x",$BI185*AT185,VALUE('Capacity summary'!AT97)),0),AT185*$BI185),AT185*$BI185),0)</f>
        <v>0</v>
      </c>
      <c r="CX185" s="5">
        <f>IF($BI185&lt;&gt;"",IF('Capacity summary'!$C$14="Yes",IF(COUNTBLANK('Capacity summary'!$H97:$BG97)&lt;52,IF('Capacity summary'!AU97&lt;&gt;"",IF(LOWER('Capacity summary'!AU97)="x",$BI185*AU185,VALUE('Capacity summary'!AU97)),0),AU185*$BI185),AU185*$BI185),0)</f>
        <v>0</v>
      </c>
      <c r="CY185" s="5">
        <f>IF($BI185&lt;&gt;"",IF('Capacity summary'!$C$14="Yes",IF(COUNTBLANK('Capacity summary'!$H97:$BG97)&lt;52,IF('Capacity summary'!AV97&lt;&gt;"",IF(LOWER('Capacity summary'!AV97)="x",$BI185*AV185,VALUE('Capacity summary'!AV97)),0),AV185*$BI185),AV185*$BI185),0)</f>
        <v>0</v>
      </c>
      <c r="CZ185" s="5">
        <f>IF($BI185&lt;&gt;"",IF('Capacity summary'!$C$14="Yes",IF(COUNTBLANK('Capacity summary'!$H97:$BG97)&lt;52,IF('Capacity summary'!AW97&lt;&gt;"",IF(LOWER('Capacity summary'!AW97)="x",$BI185*AW185,VALUE('Capacity summary'!AW97)),0),AW185*$BI185),AW185*$BI185),0)</f>
        <v>0</v>
      </c>
      <c r="DA185" s="5">
        <f>IF($BI185&lt;&gt;"",IF('Capacity summary'!$C$14="Yes",IF(COUNTBLANK('Capacity summary'!$H97:$BG97)&lt;52,IF('Capacity summary'!AX97&lt;&gt;"",IF(LOWER('Capacity summary'!AX97)="x",$BI185*AX185,VALUE('Capacity summary'!AX97)),0),AX185*$BI185),AX185*$BI185),0)</f>
        <v>0</v>
      </c>
      <c r="DB185" s="5">
        <f>IF($BI185&lt;&gt;"",IF('Capacity summary'!$C$14="Yes",IF(COUNTBLANK('Capacity summary'!$H97:$BG97)&lt;52,IF('Capacity summary'!AY97&lt;&gt;"",IF(LOWER('Capacity summary'!AY97)="x",$BI185*AY185,VALUE('Capacity summary'!AY97)),0),AY185*$BI185),AY185*$BI185),0)</f>
        <v>0</v>
      </c>
      <c r="DC185" s="5">
        <f>IF($BI185&lt;&gt;"",IF('Capacity summary'!$C$14="Yes",IF(COUNTBLANK('Capacity summary'!$H97:$BG97)&lt;52,IF('Capacity summary'!AZ97&lt;&gt;"",IF(LOWER('Capacity summary'!AZ97)="x",$BI185*AZ185,VALUE('Capacity summary'!AZ97)),0),AZ185*$BI185),AZ185*$BI185),0)</f>
        <v>0</v>
      </c>
      <c r="DD185" s="5">
        <f>IF($BI185&lt;&gt;"",IF('Capacity summary'!$C$14="Yes",IF(COUNTBLANK('Capacity summary'!$H97:$BG97)&lt;52,IF('Capacity summary'!BA97&lt;&gt;"",IF(LOWER('Capacity summary'!BA97)="x",$BI185*BA185,VALUE('Capacity summary'!BA97)),0),BA185*$BI185),BA185*$BI185),0)</f>
        <v>0</v>
      </c>
      <c r="DE185" s="5">
        <f>IF($BI185&lt;&gt;"",IF('Capacity summary'!$C$14="Yes",IF(COUNTBLANK('Capacity summary'!$H97:$BG97)&lt;52,IF('Capacity summary'!BB97&lt;&gt;"",IF(LOWER('Capacity summary'!BB97)="x",$BI185*BB185,VALUE('Capacity summary'!BB97)),0),BB185*$BI185),BB185*$BI185),0)</f>
        <v>0</v>
      </c>
      <c r="DF185" s="5">
        <f>IF($BI185&lt;&gt;"",IF('Capacity summary'!$C$14="Yes",IF(COUNTBLANK('Capacity summary'!$H97:$BG97)&lt;52,IF('Capacity summary'!BC97&lt;&gt;"",IF(LOWER('Capacity summary'!BC97)="x",$BI185*BC185,VALUE('Capacity summary'!BC97)),0),BC185*$BI185),BC185*$BI185),0)</f>
        <v>0</v>
      </c>
      <c r="DG185" s="5">
        <f>IF($BI185&lt;&gt;"",IF('Capacity summary'!$C$14="Yes",IF(COUNTBLANK('Capacity summary'!$H97:$BG97)&lt;52,IF('Capacity summary'!BD97&lt;&gt;"",IF(LOWER('Capacity summary'!BD97)="x",$BI185*BD185,VALUE('Capacity summary'!BD97)),0),BD185*$BI185),BD185*$BI185),0)</f>
        <v>0</v>
      </c>
      <c r="DH185" s="5">
        <f>IF($BI185&lt;&gt;"",IF('Capacity summary'!$C$14="Yes",IF(COUNTBLANK('Capacity summary'!$H97:$BG97)&lt;52,IF('Capacity summary'!BE97&lt;&gt;"",IF(LOWER('Capacity summary'!BE97)="x",$BI185*BE185,VALUE('Capacity summary'!BE97)),0),BE185*$BI185),BE185*$BI185),0)</f>
        <v>0</v>
      </c>
      <c r="DI185" s="5">
        <f>IF($BI185&lt;&gt;"",IF('Capacity summary'!$C$14="Yes",IF(COUNTBLANK('Capacity summary'!$H97:$BG97)&lt;52,IF('Capacity summary'!BF97&lt;&gt;"",IF(LOWER('Capacity summary'!BF97)="x",$BI185*BF185,VALUE('Capacity summary'!BF97)),0),BF185*$BI185),BF185*$BI185),0)</f>
        <v>0</v>
      </c>
      <c r="DJ185" s="5">
        <f>IF($BI185&lt;&gt;"",IF('Capacity summary'!$C$14="Yes",IF(COUNTBLANK('Capacity summary'!$H97:$BG97)&lt;52,IF('Capacity summary'!BG97&lt;&gt;"",IF(LOWER('Capacity summary'!BG97)="x",$BI185*BG185,VALUE('Capacity summary'!BG97)),0),BG185*$BI185),BG185*$BI185),0)</f>
        <v>0</v>
      </c>
      <c r="DK185" s="391">
        <f t="shared" si="10"/>
        <v>0</v>
      </c>
      <c r="DL185" s="5">
        <f t="shared" si="11"/>
        <v>0</v>
      </c>
    </row>
    <row r="186" spans="3:116" x14ac:dyDescent="0.2">
      <c r="C186" s="67" t="str">
        <f>ROW(A75)&amp;". "&amp;Capacity!N91</f>
        <v xml:space="preserve">75. </v>
      </c>
      <c r="D186" s="67">
        <f>'Capacity setup'!C192</f>
        <v>0</v>
      </c>
      <c r="E186" s="67">
        <f>'Capacity setup'!D192</f>
        <v>0</v>
      </c>
      <c r="F186" s="67">
        <f>'Capacity setup'!E192</f>
        <v>0</v>
      </c>
      <c r="H186" s="67">
        <f ca="1">IF(LOWER(Capacity!$V91)="x",IF(AND(SUMIF(Capacity_Resource,$D186,'Critical resources (hide)'!U$6:U$105)+SUMIF(Capacity_Resource,$E186,'Critical resources (hide)'!U$6:U$105)+SUMIF(Capacity_Resource,$F186,'Critical resources (hide)'!U$6:U$105)&gt;0,$E$1=2),0,1),0)</f>
        <v>1</v>
      </c>
      <c r="I186" s="67">
        <f ca="1">IF(LOWER(Capacity!$V91)="x",IF(AND(SUMIF(Capacity_Resource,$D186,'Critical resources (hide)'!V$6:V$105)+SUMIF(Capacity_Resource,$E186,'Critical resources (hide)'!V$6:V$105)+SUMIF(Capacity_Resource,$F186,'Critical resources (hide)'!V$6:V$105)&gt;0,$E$1=2),0,1),0)</f>
        <v>1</v>
      </c>
      <c r="J186" s="67">
        <f ca="1">IF(LOWER(Capacity!$V91)="x",IF(AND(SUMIF(Capacity_Resource,$D186,'Critical resources (hide)'!W$6:W$105)+SUMIF(Capacity_Resource,$E186,'Critical resources (hide)'!W$6:W$105)+SUMIF(Capacity_Resource,$F186,'Critical resources (hide)'!W$6:W$105)&gt;0,$E$1=2),0,1),0)</f>
        <v>1</v>
      </c>
      <c r="K186" s="67">
        <f ca="1">IF(LOWER(Capacity!$V91)="x",IF(AND(SUMIF(Capacity_Resource,$D186,'Critical resources (hide)'!X$6:X$105)+SUMIF(Capacity_Resource,$E186,'Critical resources (hide)'!X$6:X$105)+SUMIF(Capacity_Resource,$F186,'Critical resources (hide)'!X$6:X$105)&gt;0,$E$1=2),0,1),0)</f>
        <v>1</v>
      </c>
      <c r="L186" s="67">
        <f ca="1">IF(LOWER(Capacity!$V91)="x",IF(AND(SUMIF(Capacity_Resource,$D186,'Critical resources (hide)'!Y$6:Y$105)+SUMIF(Capacity_Resource,$E186,'Critical resources (hide)'!Y$6:Y$105)+SUMIF(Capacity_Resource,$F186,'Critical resources (hide)'!Y$6:Y$105)&gt;0,$E$1=2),0,1),0)</f>
        <v>1</v>
      </c>
      <c r="M186" s="67">
        <f ca="1">IF(LOWER(Capacity!$V91)="x",IF(AND(SUMIF(Capacity_Resource,$D186,'Critical resources (hide)'!Z$6:Z$105)+SUMIF(Capacity_Resource,$E186,'Critical resources (hide)'!Z$6:Z$105)+SUMIF(Capacity_Resource,$F186,'Critical resources (hide)'!Z$6:Z$105)&gt;0,$E$1=2),0,1),0)</f>
        <v>1</v>
      </c>
      <c r="N186" s="67">
        <f ca="1">IF(LOWER(Capacity!$V91)="x",IF(AND(SUMIF(Capacity_Resource,$D186,'Critical resources (hide)'!AA$6:AA$105)+SUMIF(Capacity_Resource,$E186,'Critical resources (hide)'!AA$6:AA$105)+SUMIF(Capacity_Resource,$F186,'Critical resources (hide)'!AA$6:AA$105)&gt;0,$E$1=2),0,1),0)</f>
        <v>1</v>
      </c>
      <c r="O186" s="67">
        <f ca="1">IF(LOWER(Capacity!$V91)="x",IF(AND(SUMIF(Capacity_Resource,$D186,'Critical resources (hide)'!AB$6:AB$105)+SUMIF(Capacity_Resource,$E186,'Critical resources (hide)'!AB$6:AB$105)+SUMIF(Capacity_Resource,$F186,'Critical resources (hide)'!AB$6:AB$105)&gt;0,$E$1=2),0,1),0)</f>
        <v>1</v>
      </c>
      <c r="P186" s="67">
        <f ca="1">IF(LOWER(Capacity!$V91)="x",IF(AND(SUMIF(Capacity_Resource,$D186,'Critical resources (hide)'!AC$6:AC$105)+SUMIF(Capacity_Resource,$E186,'Critical resources (hide)'!AC$6:AC$105)+SUMIF(Capacity_Resource,$F186,'Critical resources (hide)'!AC$6:AC$105)&gt;0,$E$1=2),0,1),0)</f>
        <v>1</v>
      </c>
      <c r="Q186" s="67">
        <f ca="1">IF(LOWER(Capacity!$V91)="x",IF(AND(SUMIF(Capacity_Resource,$D186,'Critical resources (hide)'!AD$6:AD$105)+SUMIF(Capacity_Resource,$E186,'Critical resources (hide)'!AD$6:AD$105)+SUMIF(Capacity_Resource,$F186,'Critical resources (hide)'!AD$6:AD$105)&gt;0,$E$1=2),0,1),0)</f>
        <v>1</v>
      </c>
      <c r="R186" s="67">
        <f ca="1">IF(LOWER(Capacity!$V91)="x",IF(AND(SUMIF(Capacity_Resource,$D186,'Critical resources (hide)'!AE$6:AE$105)+SUMIF(Capacity_Resource,$E186,'Critical resources (hide)'!AE$6:AE$105)+SUMIF(Capacity_Resource,$F186,'Critical resources (hide)'!AE$6:AE$105)&gt;0,$E$1=2),0,1),0)</f>
        <v>1</v>
      </c>
      <c r="S186" s="67">
        <f ca="1">IF(LOWER(Capacity!$V91)="x",IF(AND(SUMIF(Capacity_Resource,$D186,'Critical resources (hide)'!AF$6:AF$105)+SUMIF(Capacity_Resource,$E186,'Critical resources (hide)'!AF$6:AF$105)+SUMIF(Capacity_Resource,$F186,'Critical resources (hide)'!AF$6:AF$105)&gt;0,$E$1=2),0,1),0)</f>
        <v>1</v>
      </c>
      <c r="T186" s="67">
        <f ca="1">IF(LOWER(Capacity!$V91)="x",IF(AND(SUMIF(Capacity_Resource,$D186,'Critical resources (hide)'!AG$6:AG$105)+SUMIF(Capacity_Resource,$E186,'Critical resources (hide)'!AG$6:AG$105)+SUMIF(Capacity_Resource,$F186,'Critical resources (hide)'!AG$6:AG$105)&gt;0,$E$1=2),0,1),0)</f>
        <v>1</v>
      </c>
      <c r="U186" s="67">
        <f ca="1">IF(LOWER(Capacity!$V91)="x",IF(AND(SUMIF(Capacity_Resource,$D186,'Critical resources (hide)'!AH$6:AH$105)+SUMIF(Capacity_Resource,$E186,'Critical resources (hide)'!AH$6:AH$105)+SUMIF(Capacity_Resource,$F186,'Critical resources (hide)'!AH$6:AH$105)&gt;0,$E$1=2),0,1),0)</f>
        <v>1</v>
      </c>
      <c r="V186" s="67">
        <f ca="1">IF(LOWER(Capacity!$V91)="x",IF(AND(SUMIF(Capacity_Resource,$D186,'Critical resources (hide)'!AI$6:AI$105)+SUMIF(Capacity_Resource,$E186,'Critical resources (hide)'!AI$6:AI$105)+SUMIF(Capacity_Resource,$F186,'Critical resources (hide)'!AI$6:AI$105)&gt;0,$E$1=2),0,1),0)</f>
        <v>1</v>
      </c>
      <c r="W186" s="67">
        <f ca="1">IF(LOWER(Capacity!$V91)="x",IF(AND(SUMIF(Capacity_Resource,$D186,'Critical resources (hide)'!AJ$6:AJ$105)+SUMIF(Capacity_Resource,$E186,'Critical resources (hide)'!AJ$6:AJ$105)+SUMIF(Capacity_Resource,$F186,'Critical resources (hide)'!AJ$6:AJ$105)&gt;0,$E$1=2),0,1),0)</f>
        <v>1</v>
      </c>
      <c r="X186" s="67">
        <f ca="1">IF(LOWER(Capacity!$V91)="x",IF(AND(SUMIF(Capacity_Resource,$D186,'Critical resources (hide)'!AK$6:AK$105)+SUMIF(Capacity_Resource,$E186,'Critical resources (hide)'!AK$6:AK$105)+SUMIF(Capacity_Resource,$F186,'Critical resources (hide)'!AK$6:AK$105)&gt;0,$E$1=2),0,1),0)</f>
        <v>1</v>
      </c>
      <c r="Y186" s="67">
        <f ca="1">IF(LOWER(Capacity!$V91)="x",IF(AND(SUMIF(Capacity_Resource,$D186,'Critical resources (hide)'!AL$6:AL$105)+SUMIF(Capacity_Resource,$E186,'Critical resources (hide)'!AL$6:AL$105)+SUMIF(Capacity_Resource,$F186,'Critical resources (hide)'!AL$6:AL$105)&gt;0,$E$1=2),0,1),0)</f>
        <v>1</v>
      </c>
      <c r="Z186" s="67">
        <f ca="1">IF(LOWER(Capacity!$V91)="x",IF(AND(SUMIF(Capacity_Resource,$D186,'Critical resources (hide)'!AM$6:AM$105)+SUMIF(Capacity_Resource,$E186,'Critical resources (hide)'!AM$6:AM$105)+SUMIF(Capacity_Resource,$F186,'Critical resources (hide)'!AM$6:AM$105)&gt;0,$E$1=2),0,1),0)</f>
        <v>1</v>
      </c>
      <c r="AA186" s="67">
        <f ca="1">IF(LOWER(Capacity!$V91)="x",IF(AND(SUMIF(Capacity_Resource,$D186,'Critical resources (hide)'!AN$6:AN$105)+SUMIF(Capacity_Resource,$E186,'Critical resources (hide)'!AN$6:AN$105)+SUMIF(Capacity_Resource,$F186,'Critical resources (hide)'!AN$6:AN$105)&gt;0,$E$1=2),0,1),0)</f>
        <v>1</v>
      </c>
      <c r="AB186" s="67">
        <f ca="1">IF(LOWER(Capacity!$V91)="x",IF(AND(SUMIF(Capacity_Resource,$D186,'Critical resources (hide)'!AO$6:AO$105)+SUMIF(Capacity_Resource,$E186,'Critical resources (hide)'!AO$6:AO$105)+SUMIF(Capacity_Resource,$F186,'Critical resources (hide)'!AO$6:AO$105)&gt;0,$E$1=2),0,1),0)</f>
        <v>1</v>
      </c>
      <c r="AC186" s="67">
        <f ca="1">IF(LOWER(Capacity!$V91)="x",IF(AND(SUMIF(Capacity_Resource,$D186,'Critical resources (hide)'!AP$6:AP$105)+SUMIF(Capacity_Resource,$E186,'Critical resources (hide)'!AP$6:AP$105)+SUMIF(Capacity_Resource,$F186,'Critical resources (hide)'!AP$6:AP$105)&gt;0,$E$1=2),0,1),0)</f>
        <v>1</v>
      </c>
      <c r="AD186" s="67">
        <f ca="1">IF(LOWER(Capacity!$V91)="x",IF(AND(SUMIF(Capacity_Resource,$D186,'Critical resources (hide)'!AQ$6:AQ$105)+SUMIF(Capacity_Resource,$E186,'Critical resources (hide)'!AQ$6:AQ$105)+SUMIF(Capacity_Resource,$F186,'Critical resources (hide)'!AQ$6:AQ$105)&gt;0,$E$1=2),0,1),0)</f>
        <v>1</v>
      </c>
      <c r="AE186" s="67">
        <f ca="1">IF(LOWER(Capacity!$V91)="x",IF(AND(SUMIF(Capacity_Resource,$D186,'Critical resources (hide)'!AR$6:AR$105)+SUMIF(Capacity_Resource,$E186,'Critical resources (hide)'!AR$6:AR$105)+SUMIF(Capacity_Resource,$F186,'Critical resources (hide)'!AR$6:AR$105)&gt;0,$E$1=2),0,1),0)</f>
        <v>1</v>
      </c>
      <c r="AF186" s="67">
        <f ca="1">IF(LOWER(Capacity!$V91)="x",IF(AND(SUMIF(Capacity_Resource,$D186,'Critical resources (hide)'!AS$6:AS$105)+SUMIF(Capacity_Resource,$E186,'Critical resources (hide)'!AS$6:AS$105)+SUMIF(Capacity_Resource,$F186,'Critical resources (hide)'!AS$6:AS$105)&gt;0,$E$1=2),0,1),0)</f>
        <v>1</v>
      </c>
      <c r="AG186" s="67">
        <f ca="1">IF(LOWER(Capacity!$V91)="x",IF(AND(SUMIF(Capacity_Resource,$D186,'Critical resources (hide)'!AT$6:AT$105)+SUMIF(Capacity_Resource,$E186,'Critical resources (hide)'!AT$6:AT$105)+SUMIF(Capacity_Resource,$F186,'Critical resources (hide)'!AT$6:AT$105)&gt;0,$E$1=2),0,1),0)</f>
        <v>1</v>
      </c>
      <c r="AH186" s="67">
        <f ca="1">IF(LOWER(Capacity!$V91)="x",IF(AND(SUMIF(Capacity_Resource,$D186,'Critical resources (hide)'!AU$6:AU$105)+SUMIF(Capacity_Resource,$E186,'Critical resources (hide)'!AU$6:AU$105)+SUMIF(Capacity_Resource,$F186,'Critical resources (hide)'!AU$6:AU$105)&gt;0,$E$1=2),0,1),0)</f>
        <v>1</v>
      </c>
      <c r="AI186" s="67">
        <f ca="1">IF(LOWER(Capacity!$V91)="x",IF(AND(SUMIF(Capacity_Resource,$D186,'Critical resources (hide)'!AV$6:AV$105)+SUMIF(Capacity_Resource,$E186,'Critical resources (hide)'!AV$6:AV$105)+SUMIF(Capacity_Resource,$F186,'Critical resources (hide)'!AV$6:AV$105)&gt;0,$E$1=2),0,1),0)</f>
        <v>1</v>
      </c>
      <c r="AJ186" s="67">
        <f ca="1">IF(LOWER(Capacity!$V91)="x",IF(AND(SUMIF(Capacity_Resource,$D186,'Critical resources (hide)'!AW$6:AW$105)+SUMIF(Capacity_Resource,$E186,'Critical resources (hide)'!AW$6:AW$105)+SUMIF(Capacity_Resource,$F186,'Critical resources (hide)'!AW$6:AW$105)&gt;0,$E$1=2),0,1),0)</f>
        <v>1</v>
      </c>
      <c r="AK186" s="67">
        <f ca="1">IF(LOWER(Capacity!$V91)="x",IF(AND(SUMIF(Capacity_Resource,$D186,'Critical resources (hide)'!AX$6:AX$105)+SUMIF(Capacity_Resource,$E186,'Critical resources (hide)'!AX$6:AX$105)+SUMIF(Capacity_Resource,$F186,'Critical resources (hide)'!AX$6:AX$105)&gt;0,$E$1=2),0,1),0)</f>
        <v>1</v>
      </c>
      <c r="AL186" s="67">
        <f ca="1">IF(LOWER(Capacity!$V91)="x",IF(AND(SUMIF(Capacity_Resource,$D186,'Critical resources (hide)'!AY$6:AY$105)+SUMIF(Capacity_Resource,$E186,'Critical resources (hide)'!AY$6:AY$105)+SUMIF(Capacity_Resource,$F186,'Critical resources (hide)'!AY$6:AY$105)&gt;0,$E$1=2),0,1),0)</f>
        <v>1</v>
      </c>
      <c r="AM186" s="67">
        <f ca="1">IF(LOWER(Capacity!$V91)="x",IF(AND(SUMIF(Capacity_Resource,$D186,'Critical resources (hide)'!AZ$6:AZ$105)+SUMIF(Capacity_Resource,$E186,'Critical resources (hide)'!AZ$6:AZ$105)+SUMIF(Capacity_Resource,$F186,'Critical resources (hide)'!AZ$6:AZ$105)&gt;0,$E$1=2),0,1),0)</f>
        <v>1</v>
      </c>
      <c r="AN186" s="67">
        <f ca="1">IF(LOWER(Capacity!$V91)="x",IF(AND(SUMIF(Capacity_Resource,$D186,'Critical resources (hide)'!BA$6:BA$105)+SUMIF(Capacity_Resource,$E186,'Critical resources (hide)'!BA$6:BA$105)+SUMIF(Capacity_Resource,$F186,'Critical resources (hide)'!BA$6:BA$105)&gt;0,$E$1=2),0,1),0)</f>
        <v>1</v>
      </c>
      <c r="AO186" s="67">
        <f ca="1">IF(LOWER(Capacity!$V91)="x",IF(AND(SUMIF(Capacity_Resource,$D186,'Critical resources (hide)'!BB$6:BB$105)+SUMIF(Capacity_Resource,$E186,'Critical resources (hide)'!BB$6:BB$105)+SUMIF(Capacity_Resource,$F186,'Critical resources (hide)'!BB$6:BB$105)&gt;0,$E$1=2),0,1),0)</f>
        <v>1</v>
      </c>
      <c r="AP186" s="67">
        <f ca="1">IF(LOWER(Capacity!$V91)="x",IF(AND(SUMIF(Capacity_Resource,$D186,'Critical resources (hide)'!BC$6:BC$105)+SUMIF(Capacity_Resource,$E186,'Critical resources (hide)'!BC$6:BC$105)+SUMIF(Capacity_Resource,$F186,'Critical resources (hide)'!BC$6:BC$105)&gt;0,$E$1=2),0,1),0)</f>
        <v>1</v>
      </c>
      <c r="AQ186" s="67">
        <f ca="1">IF(LOWER(Capacity!$V91)="x",IF(AND(SUMIF(Capacity_Resource,$D186,'Critical resources (hide)'!BD$6:BD$105)+SUMIF(Capacity_Resource,$E186,'Critical resources (hide)'!BD$6:BD$105)+SUMIF(Capacity_Resource,$F186,'Critical resources (hide)'!BD$6:BD$105)&gt;0,$E$1=2),0,1),0)</f>
        <v>1</v>
      </c>
      <c r="AR186" s="67">
        <f ca="1">IF(LOWER(Capacity!$V91)="x",IF(AND(SUMIF(Capacity_Resource,$D186,'Critical resources (hide)'!BE$6:BE$105)+SUMIF(Capacity_Resource,$E186,'Critical resources (hide)'!BE$6:BE$105)+SUMIF(Capacity_Resource,$F186,'Critical resources (hide)'!BE$6:BE$105)&gt;0,$E$1=2),0,1),0)</f>
        <v>1</v>
      </c>
      <c r="AS186" s="67">
        <f ca="1">IF(LOWER(Capacity!$V91)="x",IF(AND(SUMIF(Capacity_Resource,$D186,'Critical resources (hide)'!BF$6:BF$105)+SUMIF(Capacity_Resource,$E186,'Critical resources (hide)'!BF$6:BF$105)+SUMIF(Capacity_Resource,$F186,'Critical resources (hide)'!BF$6:BF$105)&gt;0,$E$1=2),0,1),0)</f>
        <v>1</v>
      </c>
      <c r="AT186" s="67">
        <f ca="1">IF(LOWER(Capacity!$V91)="x",IF(AND(SUMIF(Capacity_Resource,$D186,'Critical resources (hide)'!BG$6:BG$105)+SUMIF(Capacity_Resource,$E186,'Critical resources (hide)'!BG$6:BG$105)+SUMIF(Capacity_Resource,$F186,'Critical resources (hide)'!BG$6:BG$105)&gt;0,$E$1=2),0,1),0)</f>
        <v>1</v>
      </c>
      <c r="AU186" s="67">
        <f ca="1">IF(LOWER(Capacity!$V91)="x",IF(AND(SUMIF(Capacity_Resource,$D186,'Critical resources (hide)'!BH$6:BH$105)+SUMIF(Capacity_Resource,$E186,'Critical resources (hide)'!BH$6:BH$105)+SUMIF(Capacity_Resource,$F186,'Critical resources (hide)'!BH$6:BH$105)&gt;0,$E$1=2),0,1),0)</f>
        <v>1</v>
      </c>
      <c r="AV186" s="67">
        <f ca="1">IF(LOWER(Capacity!$V91)="x",IF(AND(SUMIF(Capacity_Resource,$D186,'Critical resources (hide)'!BI$6:BI$105)+SUMIF(Capacity_Resource,$E186,'Critical resources (hide)'!BI$6:BI$105)+SUMIF(Capacity_Resource,$F186,'Critical resources (hide)'!BI$6:BI$105)&gt;0,$E$1=2),0,1),0)</f>
        <v>1</v>
      </c>
      <c r="AW186" s="67">
        <f ca="1">IF(LOWER(Capacity!$V91)="x",IF(AND(SUMIF(Capacity_Resource,$D186,'Critical resources (hide)'!BJ$6:BJ$105)+SUMIF(Capacity_Resource,$E186,'Critical resources (hide)'!BJ$6:BJ$105)+SUMIF(Capacity_Resource,$F186,'Critical resources (hide)'!BJ$6:BJ$105)&gt;0,$E$1=2),0,1),0)</f>
        <v>1</v>
      </c>
      <c r="AX186" s="67">
        <f ca="1">IF(LOWER(Capacity!$V91)="x",IF(AND(SUMIF(Capacity_Resource,$D186,'Critical resources (hide)'!BK$6:BK$105)+SUMIF(Capacity_Resource,$E186,'Critical resources (hide)'!BK$6:BK$105)+SUMIF(Capacity_Resource,$F186,'Critical resources (hide)'!BK$6:BK$105)&gt;0,$E$1=2),0,1),0)</f>
        <v>1</v>
      </c>
      <c r="AY186" s="67">
        <f ca="1">IF(LOWER(Capacity!$V91)="x",IF(AND(SUMIF(Capacity_Resource,$D186,'Critical resources (hide)'!BL$6:BL$105)+SUMIF(Capacity_Resource,$E186,'Critical resources (hide)'!BL$6:BL$105)+SUMIF(Capacity_Resource,$F186,'Critical resources (hide)'!BL$6:BL$105)&gt;0,$E$1=2),0,1),0)</f>
        <v>1</v>
      </c>
      <c r="AZ186" s="67">
        <f ca="1">IF(LOWER(Capacity!$V91)="x",IF(AND(SUMIF(Capacity_Resource,$D186,'Critical resources (hide)'!BM$6:BM$105)+SUMIF(Capacity_Resource,$E186,'Critical resources (hide)'!BM$6:BM$105)+SUMIF(Capacity_Resource,$F186,'Critical resources (hide)'!BM$6:BM$105)&gt;0,$E$1=2),0,1),0)</f>
        <v>1</v>
      </c>
      <c r="BA186" s="67">
        <f ca="1">IF(LOWER(Capacity!$V91)="x",IF(AND(SUMIF(Capacity_Resource,$D186,'Critical resources (hide)'!BN$6:BN$105)+SUMIF(Capacity_Resource,$E186,'Critical resources (hide)'!BN$6:BN$105)+SUMIF(Capacity_Resource,$F186,'Critical resources (hide)'!BN$6:BN$105)&gt;0,$E$1=2),0,1),0)</f>
        <v>1</v>
      </c>
      <c r="BB186" s="67">
        <f ca="1">IF(LOWER(Capacity!$V91)="x",IF(AND(SUMIF(Capacity_Resource,$D186,'Critical resources (hide)'!BO$6:BO$105)+SUMIF(Capacity_Resource,$E186,'Critical resources (hide)'!BO$6:BO$105)+SUMIF(Capacity_Resource,$F186,'Critical resources (hide)'!BO$6:BO$105)&gt;0,$E$1=2),0,1),0)</f>
        <v>1</v>
      </c>
      <c r="BC186" s="67">
        <f ca="1">IF(LOWER(Capacity!$V91)="x",IF(AND(SUMIF(Capacity_Resource,$D186,'Critical resources (hide)'!BP$6:BP$105)+SUMIF(Capacity_Resource,$E186,'Critical resources (hide)'!BP$6:BP$105)+SUMIF(Capacity_Resource,$F186,'Critical resources (hide)'!BP$6:BP$105)&gt;0,$E$1=2),0,1),0)</f>
        <v>1</v>
      </c>
      <c r="BD186" s="67">
        <f ca="1">IF(LOWER(Capacity!$V91)="x",IF(AND(SUMIF(Capacity_Resource,$D186,'Critical resources (hide)'!BQ$6:BQ$105)+SUMIF(Capacity_Resource,$E186,'Critical resources (hide)'!BQ$6:BQ$105)+SUMIF(Capacity_Resource,$F186,'Critical resources (hide)'!BQ$6:BQ$105)&gt;0,$E$1=2),0,1),0)</f>
        <v>1</v>
      </c>
      <c r="BE186" s="67">
        <f ca="1">IF(LOWER(Capacity!$V91)="x",IF(AND(SUMIF(Capacity_Resource,$D186,'Critical resources (hide)'!BR$6:BR$105)+SUMIF(Capacity_Resource,$E186,'Critical resources (hide)'!BR$6:BR$105)+SUMIF(Capacity_Resource,$F186,'Critical resources (hide)'!BR$6:BR$105)&gt;0,$E$1=2),0,1),0)</f>
        <v>1</v>
      </c>
      <c r="BF186" s="67">
        <f ca="1">IF(LOWER(Capacity!$V91)="x",IF(AND(SUMIF(Capacity_Resource,$D186,'Critical resources (hide)'!BS$6:BS$105)+SUMIF(Capacity_Resource,$E186,'Critical resources (hide)'!BS$6:BS$105)+SUMIF(Capacity_Resource,$F186,'Critical resources (hide)'!BS$6:BS$105)&gt;0,$E$1=2),0,1),0)</f>
        <v>1</v>
      </c>
      <c r="BG186" s="67">
        <f ca="1">IF(LOWER(Capacity!$V91)="x",IF(AND(SUMIF(Capacity_Resource,$D186,'Critical resources (hide)'!BT$6:BT$105)+SUMIF(Capacity_Resource,$E186,'Critical resources (hide)'!BT$6:BT$105)+SUMIF(Capacity_Resource,$F186,'Critical resources (hide)'!BT$6:BT$105)&gt;0,$E$1=2),0,1),0)</f>
        <v>1</v>
      </c>
      <c r="BH186" s="67">
        <f>IF(ROW(A75)&lt;=Capacity!$M$16,IF('Capacity summary'!$C$14="No",SUM(H186:BG186),'Capacity summary'!$E98),0)</f>
        <v>0</v>
      </c>
      <c r="BI186" s="67" t="str">
        <f>IF(BH186&gt;0,IF(BH186&lt;Capacity!Q91,Capacity!R91,Capacity!T91/'Capacity calculation (hide)'!BH186),"")</f>
        <v/>
      </c>
      <c r="BJ186" s="5"/>
      <c r="BK186" s="5">
        <f>IF($BI186&lt;&gt;"",IF('Capacity summary'!$C$14="Yes",IF(COUNTBLANK('Capacity summary'!$H98:$BG98)&lt;52,IF('Capacity summary'!H98&lt;&gt;"",IF(LOWER('Capacity summary'!H98)="x",$BI186*H186,VALUE('Capacity summary'!H98)),0),H186*$BI186),H186*$BI186),0)</f>
        <v>0</v>
      </c>
      <c r="BL186" s="5">
        <f>IF($BI186&lt;&gt;"",IF('Capacity summary'!$C$14="Yes",IF(COUNTBLANK('Capacity summary'!$H98:$BG98)&lt;52,IF('Capacity summary'!I98&lt;&gt;"",IF(LOWER('Capacity summary'!I98)="x",$BI186*I186,VALUE('Capacity summary'!I98)),0),I186*$BI186),I186*$BI186),0)</f>
        <v>0</v>
      </c>
      <c r="BM186" s="5">
        <f>IF($BI186&lt;&gt;"",IF('Capacity summary'!$C$14="Yes",IF(COUNTBLANK('Capacity summary'!$H98:$BG98)&lt;52,IF('Capacity summary'!J98&lt;&gt;"",IF(LOWER('Capacity summary'!J98)="x",$BI186*J186,VALUE('Capacity summary'!J98)),0),J186*$BI186),J186*$BI186),0)</f>
        <v>0</v>
      </c>
      <c r="BN186" s="5">
        <f>IF($BI186&lt;&gt;"",IF('Capacity summary'!$C$14="Yes",IF(COUNTBLANK('Capacity summary'!$H98:$BG98)&lt;52,IF('Capacity summary'!K98&lt;&gt;"",IF(LOWER('Capacity summary'!K98)="x",$BI186*K186,VALUE('Capacity summary'!K98)),0),K186*$BI186),K186*$BI186),0)</f>
        <v>0</v>
      </c>
      <c r="BO186" s="5">
        <f>IF($BI186&lt;&gt;"",IF('Capacity summary'!$C$14="Yes",IF(COUNTBLANK('Capacity summary'!$H98:$BG98)&lt;52,IF('Capacity summary'!L98&lt;&gt;"",IF(LOWER('Capacity summary'!L98)="x",$BI186*L186,VALUE('Capacity summary'!L98)),0),L186*$BI186),L186*$BI186),0)</f>
        <v>0</v>
      </c>
      <c r="BP186" s="5">
        <f>IF($BI186&lt;&gt;"",IF('Capacity summary'!$C$14="Yes",IF(COUNTBLANK('Capacity summary'!$H98:$BG98)&lt;52,IF('Capacity summary'!M98&lt;&gt;"",IF(LOWER('Capacity summary'!M98)="x",$BI186*M186,VALUE('Capacity summary'!M98)),0),M186*$BI186),M186*$BI186),0)</f>
        <v>0</v>
      </c>
      <c r="BQ186" s="5">
        <f>IF($BI186&lt;&gt;"",IF('Capacity summary'!$C$14="Yes",IF(COUNTBLANK('Capacity summary'!$H98:$BG98)&lt;52,IF('Capacity summary'!N98&lt;&gt;"",IF(LOWER('Capacity summary'!N98)="x",$BI186*N186,VALUE('Capacity summary'!N98)),0),N186*$BI186),N186*$BI186),0)</f>
        <v>0</v>
      </c>
      <c r="BR186" s="5">
        <f>IF($BI186&lt;&gt;"",IF('Capacity summary'!$C$14="Yes",IF(COUNTBLANK('Capacity summary'!$H98:$BG98)&lt;52,IF('Capacity summary'!O98&lt;&gt;"",IF(LOWER('Capacity summary'!O98)="x",$BI186*O186,VALUE('Capacity summary'!O98)),0),O186*$BI186),O186*$BI186),0)</f>
        <v>0</v>
      </c>
      <c r="BS186" s="5">
        <f>IF($BI186&lt;&gt;"",IF('Capacity summary'!$C$14="Yes",IF(COUNTBLANK('Capacity summary'!$H98:$BG98)&lt;52,IF('Capacity summary'!P98&lt;&gt;"",IF(LOWER('Capacity summary'!P98)="x",$BI186*P186,VALUE('Capacity summary'!P98)),0),P186*$BI186),P186*$BI186),0)</f>
        <v>0</v>
      </c>
      <c r="BT186" s="5">
        <f>IF($BI186&lt;&gt;"",IF('Capacity summary'!$C$14="Yes",IF(COUNTBLANK('Capacity summary'!$H98:$BG98)&lt;52,IF('Capacity summary'!Q98&lt;&gt;"",IF(LOWER('Capacity summary'!Q98)="x",$BI186*Q186,VALUE('Capacity summary'!Q98)),0),Q186*$BI186),Q186*$BI186),0)</f>
        <v>0</v>
      </c>
      <c r="BU186" s="5">
        <f>IF($BI186&lt;&gt;"",IF('Capacity summary'!$C$14="Yes",IF(COUNTBLANK('Capacity summary'!$H98:$BG98)&lt;52,IF('Capacity summary'!R98&lt;&gt;"",IF(LOWER('Capacity summary'!R98)="x",$BI186*R186,VALUE('Capacity summary'!R98)),0),R186*$BI186),R186*$BI186),0)</f>
        <v>0</v>
      </c>
      <c r="BV186" s="5">
        <f>IF($BI186&lt;&gt;"",IF('Capacity summary'!$C$14="Yes",IF(COUNTBLANK('Capacity summary'!$H98:$BG98)&lt;52,IF('Capacity summary'!S98&lt;&gt;"",IF(LOWER('Capacity summary'!S98)="x",$BI186*S186,VALUE('Capacity summary'!S98)),0),S186*$BI186),S186*$BI186),0)</f>
        <v>0</v>
      </c>
      <c r="BW186" s="5">
        <f>IF($BI186&lt;&gt;"",IF('Capacity summary'!$C$14="Yes",IF(COUNTBLANK('Capacity summary'!$H98:$BG98)&lt;52,IF('Capacity summary'!T98&lt;&gt;"",IF(LOWER('Capacity summary'!T98)="x",$BI186*T186,VALUE('Capacity summary'!T98)),0),T186*$BI186),T186*$BI186),0)</f>
        <v>0</v>
      </c>
      <c r="BX186" s="5">
        <f>IF($BI186&lt;&gt;"",IF('Capacity summary'!$C$14="Yes",IF(COUNTBLANK('Capacity summary'!$H98:$BG98)&lt;52,IF('Capacity summary'!U98&lt;&gt;"",IF(LOWER('Capacity summary'!U98)="x",$BI186*U186,VALUE('Capacity summary'!U98)),0),U186*$BI186),U186*$BI186),0)</f>
        <v>0</v>
      </c>
      <c r="BY186" s="5">
        <f>IF($BI186&lt;&gt;"",IF('Capacity summary'!$C$14="Yes",IF(COUNTBLANK('Capacity summary'!$H98:$BG98)&lt;52,IF('Capacity summary'!V98&lt;&gt;"",IF(LOWER('Capacity summary'!V98)="x",$BI186*V186,VALUE('Capacity summary'!V98)),0),V186*$BI186),V186*$BI186),0)</f>
        <v>0</v>
      </c>
      <c r="BZ186" s="5">
        <f>IF($BI186&lt;&gt;"",IF('Capacity summary'!$C$14="Yes",IF(COUNTBLANK('Capacity summary'!$H98:$BG98)&lt;52,IF('Capacity summary'!W98&lt;&gt;"",IF(LOWER('Capacity summary'!W98)="x",$BI186*W186,VALUE('Capacity summary'!W98)),0),W186*$BI186),W186*$BI186),0)</f>
        <v>0</v>
      </c>
      <c r="CA186" s="5">
        <f>IF($BI186&lt;&gt;"",IF('Capacity summary'!$C$14="Yes",IF(COUNTBLANK('Capacity summary'!$H98:$BG98)&lt;52,IF('Capacity summary'!X98&lt;&gt;"",IF(LOWER('Capacity summary'!X98)="x",$BI186*X186,VALUE('Capacity summary'!X98)),0),X186*$BI186),X186*$BI186),0)</f>
        <v>0</v>
      </c>
      <c r="CB186" s="5">
        <f>IF($BI186&lt;&gt;"",IF('Capacity summary'!$C$14="Yes",IF(COUNTBLANK('Capacity summary'!$H98:$BG98)&lt;52,IF('Capacity summary'!Y98&lt;&gt;"",IF(LOWER('Capacity summary'!Y98)="x",$BI186*Y186,VALUE('Capacity summary'!Y98)),0),Y186*$BI186),Y186*$BI186),0)</f>
        <v>0</v>
      </c>
      <c r="CC186" s="5">
        <f>IF($BI186&lt;&gt;"",IF('Capacity summary'!$C$14="Yes",IF(COUNTBLANK('Capacity summary'!$H98:$BG98)&lt;52,IF('Capacity summary'!Z98&lt;&gt;"",IF(LOWER('Capacity summary'!Z98)="x",$BI186*Z186,VALUE('Capacity summary'!Z98)),0),Z186*$BI186),Z186*$BI186),0)</f>
        <v>0</v>
      </c>
      <c r="CD186" s="5">
        <f>IF($BI186&lt;&gt;"",IF('Capacity summary'!$C$14="Yes",IF(COUNTBLANK('Capacity summary'!$H98:$BG98)&lt;52,IF('Capacity summary'!AA98&lt;&gt;"",IF(LOWER('Capacity summary'!AA98)="x",$BI186*AA186,VALUE('Capacity summary'!AA98)),0),AA186*$BI186),AA186*$BI186),0)</f>
        <v>0</v>
      </c>
      <c r="CE186" s="5">
        <f>IF($BI186&lt;&gt;"",IF('Capacity summary'!$C$14="Yes",IF(COUNTBLANK('Capacity summary'!$H98:$BG98)&lt;52,IF('Capacity summary'!AB98&lt;&gt;"",IF(LOWER('Capacity summary'!AB98)="x",$BI186*AB186,VALUE('Capacity summary'!AB98)),0),AB186*$BI186),AB186*$BI186),0)</f>
        <v>0</v>
      </c>
      <c r="CF186" s="5">
        <f>IF($BI186&lt;&gt;"",IF('Capacity summary'!$C$14="Yes",IF(COUNTBLANK('Capacity summary'!$H98:$BG98)&lt;52,IF('Capacity summary'!AC98&lt;&gt;"",IF(LOWER('Capacity summary'!AC98)="x",$BI186*AC186,VALUE('Capacity summary'!AC98)),0),AC186*$BI186),AC186*$BI186),0)</f>
        <v>0</v>
      </c>
      <c r="CG186" s="5">
        <f>IF($BI186&lt;&gt;"",IF('Capacity summary'!$C$14="Yes",IF(COUNTBLANK('Capacity summary'!$H98:$BG98)&lt;52,IF('Capacity summary'!AD98&lt;&gt;"",IF(LOWER('Capacity summary'!AD98)="x",$BI186*AD186,VALUE('Capacity summary'!AD98)),0),AD186*$BI186),AD186*$BI186),0)</f>
        <v>0</v>
      </c>
      <c r="CH186" s="5">
        <f>IF($BI186&lt;&gt;"",IF('Capacity summary'!$C$14="Yes",IF(COUNTBLANK('Capacity summary'!$H98:$BG98)&lt;52,IF('Capacity summary'!AE98&lt;&gt;"",IF(LOWER('Capacity summary'!AE98)="x",$BI186*AE186,VALUE('Capacity summary'!AE98)),0),AE186*$BI186),AE186*$BI186),0)</f>
        <v>0</v>
      </c>
      <c r="CI186" s="5">
        <f>IF($BI186&lt;&gt;"",IF('Capacity summary'!$C$14="Yes",IF(COUNTBLANK('Capacity summary'!$H98:$BG98)&lt;52,IF('Capacity summary'!AF98&lt;&gt;"",IF(LOWER('Capacity summary'!AF98)="x",$BI186*AF186,VALUE('Capacity summary'!AF98)),0),AF186*$BI186),AF186*$BI186),0)</f>
        <v>0</v>
      </c>
      <c r="CJ186" s="5">
        <f>IF($BI186&lt;&gt;"",IF('Capacity summary'!$C$14="Yes",IF(COUNTBLANK('Capacity summary'!$H98:$BG98)&lt;52,IF('Capacity summary'!AG98&lt;&gt;"",IF(LOWER('Capacity summary'!AG98)="x",$BI186*AG186,VALUE('Capacity summary'!AG98)),0),AG186*$BI186),AG186*$BI186),0)</f>
        <v>0</v>
      </c>
      <c r="CK186" s="5">
        <f>IF($BI186&lt;&gt;"",IF('Capacity summary'!$C$14="Yes",IF(COUNTBLANK('Capacity summary'!$H98:$BG98)&lt;52,IF('Capacity summary'!AH98&lt;&gt;"",IF(LOWER('Capacity summary'!AH98)="x",$BI186*AH186,VALUE('Capacity summary'!AH98)),0),AH186*$BI186),AH186*$BI186),0)</f>
        <v>0</v>
      </c>
      <c r="CL186" s="5">
        <f>IF($BI186&lt;&gt;"",IF('Capacity summary'!$C$14="Yes",IF(COUNTBLANK('Capacity summary'!$H98:$BG98)&lt;52,IF('Capacity summary'!AI98&lt;&gt;"",IF(LOWER('Capacity summary'!AI98)="x",$BI186*AI186,VALUE('Capacity summary'!AI98)),0),AI186*$BI186),AI186*$BI186),0)</f>
        <v>0</v>
      </c>
      <c r="CM186" s="5">
        <f>IF($BI186&lt;&gt;"",IF('Capacity summary'!$C$14="Yes",IF(COUNTBLANK('Capacity summary'!$H98:$BG98)&lt;52,IF('Capacity summary'!AJ98&lt;&gt;"",IF(LOWER('Capacity summary'!AJ98)="x",$BI186*AJ186,VALUE('Capacity summary'!AJ98)),0),AJ186*$BI186),AJ186*$BI186),0)</f>
        <v>0</v>
      </c>
      <c r="CN186" s="5">
        <f>IF($BI186&lt;&gt;"",IF('Capacity summary'!$C$14="Yes",IF(COUNTBLANK('Capacity summary'!$H98:$BG98)&lt;52,IF('Capacity summary'!AK98&lt;&gt;"",IF(LOWER('Capacity summary'!AK98)="x",$BI186*AK186,VALUE('Capacity summary'!AK98)),0),AK186*$BI186),AK186*$BI186),0)</f>
        <v>0</v>
      </c>
      <c r="CO186" s="5">
        <f>IF($BI186&lt;&gt;"",IF('Capacity summary'!$C$14="Yes",IF(COUNTBLANK('Capacity summary'!$H98:$BG98)&lt;52,IF('Capacity summary'!AL98&lt;&gt;"",IF(LOWER('Capacity summary'!AL98)="x",$BI186*AL186,VALUE('Capacity summary'!AL98)),0),AL186*$BI186),AL186*$BI186),0)</f>
        <v>0</v>
      </c>
      <c r="CP186" s="5">
        <f>IF($BI186&lt;&gt;"",IF('Capacity summary'!$C$14="Yes",IF(COUNTBLANK('Capacity summary'!$H98:$BG98)&lt;52,IF('Capacity summary'!AM98&lt;&gt;"",IF(LOWER('Capacity summary'!AM98)="x",$BI186*AM186,VALUE('Capacity summary'!AM98)),0),AM186*$BI186),AM186*$BI186),0)</f>
        <v>0</v>
      </c>
      <c r="CQ186" s="5">
        <f>IF($BI186&lt;&gt;"",IF('Capacity summary'!$C$14="Yes",IF(COUNTBLANK('Capacity summary'!$H98:$BG98)&lt;52,IF('Capacity summary'!AN98&lt;&gt;"",IF(LOWER('Capacity summary'!AN98)="x",$BI186*AN186,VALUE('Capacity summary'!AN98)),0),AN186*$BI186),AN186*$BI186),0)</f>
        <v>0</v>
      </c>
      <c r="CR186" s="5">
        <f>IF($BI186&lt;&gt;"",IF('Capacity summary'!$C$14="Yes",IF(COUNTBLANK('Capacity summary'!$H98:$BG98)&lt;52,IF('Capacity summary'!AO98&lt;&gt;"",IF(LOWER('Capacity summary'!AO98)="x",$BI186*AO186,VALUE('Capacity summary'!AO98)),0),AO186*$BI186),AO186*$BI186),0)</f>
        <v>0</v>
      </c>
      <c r="CS186" s="5">
        <f>IF($BI186&lt;&gt;"",IF('Capacity summary'!$C$14="Yes",IF(COUNTBLANK('Capacity summary'!$H98:$BG98)&lt;52,IF('Capacity summary'!AP98&lt;&gt;"",IF(LOWER('Capacity summary'!AP98)="x",$BI186*AP186,VALUE('Capacity summary'!AP98)),0),AP186*$BI186),AP186*$BI186),0)</f>
        <v>0</v>
      </c>
      <c r="CT186" s="5">
        <f>IF($BI186&lt;&gt;"",IF('Capacity summary'!$C$14="Yes",IF(COUNTBLANK('Capacity summary'!$H98:$BG98)&lt;52,IF('Capacity summary'!AQ98&lt;&gt;"",IF(LOWER('Capacity summary'!AQ98)="x",$BI186*AQ186,VALUE('Capacity summary'!AQ98)),0),AQ186*$BI186),AQ186*$BI186),0)</f>
        <v>0</v>
      </c>
      <c r="CU186" s="5">
        <f>IF($BI186&lt;&gt;"",IF('Capacity summary'!$C$14="Yes",IF(COUNTBLANK('Capacity summary'!$H98:$BG98)&lt;52,IF('Capacity summary'!AR98&lt;&gt;"",IF(LOWER('Capacity summary'!AR98)="x",$BI186*AR186,VALUE('Capacity summary'!AR98)),0),AR186*$BI186),AR186*$BI186),0)</f>
        <v>0</v>
      </c>
      <c r="CV186" s="5">
        <f>IF($BI186&lt;&gt;"",IF('Capacity summary'!$C$14="Yes",IF(COUNTBLANK('Capacity summary'!$H98:$BG98)&lt;52,IF('Capacity summary'!AS98&lt;&gt;"",IF(LOWER('Capacity summary'!AS98)="x",$BI186*AS186,VALUE('Capacity summary'!AS98)),0),AS186*$BI186),AS186*$BI186),0)</f>
        <v>0</v>
      </c>
      <c r="CW186" s="5">
        <f>IF($BI186&lt;&gt;"",IF('Capacity summary'!$C$14="Yes",IF(COUNTBLANK('Capacity summary'!$H98:$BG98)&lt;52,IF('Capacity summary'!AT98&lt;&gt;"",IF(LOWER('Capacity summary'!AT98)="x",$BI186*AT186,VALUE('Capacity summary'!AT98)),0),AT186*$BI186),AT186*$BI186),0)</f>
        <v>0</v>
      </c>
      <c r="CX186" s="5">
        <f>IF($BI186&lt;&gt;"",IF('Capacity summary'!$C$14="Yes",IF(COUNTBLANK('Capacity summary'!$H98:$BG98)&lt;52,IF('Capacity summary'!AU98&lt;&gt;"",IF(LOWER('Capacity summary'!AU98)="x",$BI186*AU186,VALUE('Capacity summary'!AU98)),0),AU186*$BI186),AU186*$BI186),0)</f>
        <v>0</v>
      </c>
      <c r="CY186" s="5">
        <f>IF($BI186&lt;&gt;"",IF('Capacity summary'!$C$14="Yes",IF(COUNTBLANK('Capacity summary'!$H98:$BG98)&lt;52,IF('Capacity summary'!AV98&lt;&gt;"",IF(LOWER('Capacity summary'!AV98)="x",$BI186*AV186,VALUE('Capacity summary'!AV98)),0),AV186*$BI186),AV186*$BI186),0)</f>
        <v>0</v>
      </c>
      <c r="CZ186" s="5">
        <f>IF($BI186&lt;&gt;"",IF('Capacity summary'!$C$14="Yes",IF(COUNTBLANK('Capacity summary'!$H98:$BG98)&lt;52,IF('Capacity summary'!AW98&lt;&gt;"",IF(LOWER('Capacity summary'!AW98)="x",$BI186*AW186,VALUE('Capacity summary'!AW98)),0),AW186*$BI186),AW186*$BI186),0)</f>
        <v>0</v>
      </c>
      <c r="DA186" s="5">
        <f>IF($BI186&lt;&gt;"",IF('Capacity summary'!$C$14="Yes",IF(COUNTBLANK('Capacity summary'!$H98:$BG98)&lt;52,IF('Capacity summary'!AX98&lt;&gt;"",IF(LOWER('Capacity summary'!AX98)="x",$BI186*AX186,VALUE('Capacity summary'!AX98)),0),AX186*$BI186),AX186*$BI186),0)</f>
        <v>0</v>
      </c>
      <c r="DB186" s="5">
        <f>IF($BI186&lt;&gt;"",IF('Capacity summary'!$C$14="Yes",IF(COUNTBLANK('Capacity summary'!$H98:$BG98)&lt;52,IF('Capacity summary'!AY98&lt;&gt;"",IF(LOWER('Capacity summary'!AY98)="x",$BI186*AY186,VALUE('Capacity summary'!AY98)),0),AY186*$BI186),AY186*$BI186),0)</f>
        <v>0</v>
      </c>
      <c r="DC186" s="5">
        <f>IF($BI186&lt;&gt;"",IF('Capacity summary'!$C$14="Yes",IF(COUNTBLANK('Capacity summary'!$H98:$BG98)&lt;52,IF('Capacity summary'!AZ98&lt;&gt;"",IF(LOWER('Capacity summary'!AZ98)="x",$BI186*AZ186,VALUE('Capacity summary'!AZ98)),0),AZ186*$BI186),AZ186*$BI186),0)</f>
        <v>0</v>
      </c>
      <c r="DD186" s="5">
        <f>IF($BI186&lt;&gt;"",IF('Capacity summary'!$C$14="Yes",IF(COUNTBLANK('Capacity summary'!$H98:$BG98)&lt;52,IF('Capacity summary'!BA98&lt;&gt;"",IF(LOWER('Capacity summary'!BA98)="x",$BI186*BA186,VALUE('Capacity summary'!BA98)),0),BA186*$BI186),BA186*$BI186),0)</f>
        <v>0</v>
      </c>
      <c r="DE186" s="5">
        <f>IF($BI186&lt;&gt;"",IF('Capacity summary'!$C$14="Yes",IF(COUNTBLANK('Capacity summary'!$H98:$BG98)&lt;52,IF('Capacity summary'!BB98&lt;&gt;"",IF(LOWER('Capacity summary'!BB98)="x",$BI186*BB186,VALUE('Capacity summary'!BB98)),0),BB186*$BI186),BB186*$BI186),0)</f>
        <v>0</v>
      </c>
      <c r="DF186" s="5">
        <f>IF($BI186&lt;&gt;"",IF('Capacity summary'!$C$14="Yes",IF(COUNTBLANK('Capacity summary'!$H98:$BG98)&lt;52,IF('Capacity summary'!BC98&lt;&gt;"",IF(LOWER('Capacity summary'!BC98)="x",$BI186*BC186,VALUE('Capacity summary'!BC98)),0),BC186*$BI186),BC186*$BI186),0)</f>
        <v>0</v>
      </c>
      <c r="DG186" s="5">
        <f>IF($BI186&lt;&gt;"",IF('Capacity summary'!$C$14="Yes",IF(COUNTBLANK('Capacity summary'!$H98:$BG98)&lt;52,IF('Capacity summary'!BD98&lt;&gt;"",IF(LOWER('Capacity summary'!BD98)="x",$BI186*BD186,VALUE('Capacity summary'!BD98)),0),BD186*$BI186),BD186*$BI186),0)</f>
        <v>0</v>
      </c>
      <c r="DH186" s="5">
        <f>IF($BI186&lt;&gt;"",IF('Capacity summary'!$C$14="Yes",IF(COUNTBLANK('Capacity summary'!$H98:$BG98)&lt;52,IF('Capacity summary'!BE98&lt;&gt;"",IF(LOWER('Capacity summary'!BE98)="x",$BI186*BE186,VALUE('Capacity summary'!BE98)),0),BE186*$BI186),BE186*$BI186),0)</f>
        <v>0</v>
      </c>
      <c r="DI186" s="5">
        <f>IF($BI186&lt;&gt;"",IF('Capacity summary'!$C$14="Yes",IF(COUNTBLANK('Capacity summary'!$H98:$BG98)&lt;52,IF('Capacity summary'!BF98&lt;&gt;"",IF(LOWER('Capacity summary'!BF98)="x",$BI186*BF186,VALUE('Capacity summary'!BF98)),0),BF186*$BI186),BF186*$BI186),0)</f>
        <v>0</v>
      </c>
      <c r="DJ186" s="5">
        <f>IF($BI186&lt;&gt;"",IF('Capacity summary'!$C$14="Yes",IF(COUNTBLANK('Capacity summary'!$H98:$BG98)&lt;52,IF('Capacity summary'!BG98&lt;&gt;"",IF(LOWER('Capacity summary'!BG98)="x",$BI186*BG186,VALUE('Capacity summary'!BG98)),0),BG186*$BI186),BG186*$BI186),0)</f>
        <v>0</v>
      </c>
      <c r="DK186" s="391">
        <f t="shared" si="10"/>
        <v>0</v>
      </c>
      <c r="DL186" s="5">
        <f t="shared" si="11"/>
        <v>0</v>
      </c>
    </row>
    <row r="187" spans="3:116" x14ac:dyDescent="0.2">
      <c r="C187" s="67" t="str">
        <f>ROW(A76)&amp;". "&amp;Capacity!N92</f>
        <v xml:space="preserve">76. </v>
      </c>
      <c r="D187" s="67">
        <f>'Capacity setup'!C193</f>
        <v>0</v>
      </c>
      <c r="E187" s="67">
        <f>'Capacity setup'!D193</f>
        <v>0</v>
      </c>
      <c r="F187" s="67">
        <f>'Capacity setup'!E193</f>
        <v>0</v>
      </c>
      <c r="H187" s="67">
        <f ca="1">IF(LOWER(Capacity!$V92)="x",IF(AND(SUMIF(Capacity_Resource,$D187,'Critical resources (hide)'!U$6:U$105)+SUMIF(Capacity_Resource,$E187,'Critical resources (hide)'!U$6:U$105)+SUMIF(Capacity_Resource,$F187,'Critical resources (hide)'!U$6:U$105)&gt;0,$E$1=2),0,1),0)</f>
        <v>1</v>
      </c>
      <c r="I187" s="67">
        <f ca="1">IF(LOWER(Capacity!$V92)="x",IF(AND(SUMIF(Capacity_Resource,$D187,'Critical resources (hide)'!V$6:V$105)+SUMIF(Capacity_Resource,$E187,'Critical resources (hide)'!V$6:V$105)+SUMIF(Capacity_Resource,$F187,'Critical resources (hide)'!V$6:V$105)&gt;0,$E$1=2),0,1),0)</f>
        <v>1</v>
      </c>
      <c r="J187" s="67">
        <f ca="1">IF(LOWER(Capacity!$V92)="x",IF(AND(SUMIF(Capacity_Resource,$D187,'Critical resources (hide)'!W$6:W$105)+SUMIF(Capacity_Resource,$E187,'Critical resources (hide)'!W$6:W$105)+SUMIF(Capacity_Resource,$F187,'Critical resources (hide)'!W$6:W$105)&gt;0,$E$1=2),0,1),0)</f>
        <v>1</v>
      </c>
      <c r="K187" s="67">
        <f ca="1">IF(LOWER(Capacity!$V92)="x",IF(AND(SUMIF(Capacity_Resource,$D187,'Critical resources (hide)'!X$6:X$105)+SUMIF(Capacity_Resource,$E187,'Critical resources (hide)'!X$6:X$105)+SUMIF(Capacity_Resource,$F187,'Critical resources (hide)'!X$6:X$105)&gt;0,$E$1=2),0,1),0)</f>
        <v>1</v>
      </c>
      <c r="L187" s="67">
        <f ca="1">IF(LOWER(Capacity!$V92)="x",IF(AND(SUMIF(Capacity_Resource,$D187,'Critical resources (hide)'!Y$6:Y$105)+SUMIF(Capacity_Resource,$E187,'Critical resources (hide)'!Y$6:Y$105)+SUMIF(Capacity_Resource,$F187,'Critical resources (hide)'!Y$6:Y$105)&gt;0,$E$1=2),0,1),0)</f>
        <v>1</v>
      </c>
      <c r="M187" s="67">
        <f ca="1">IF(LOWER(Capacity!$V92)="x",IF(AND(SUMIF(Capacity_Resource,$D187,'Critical resources (hide)'!Z$6:Z$105)+SUMIF(Capacity_Resource,$E187,'Critical resources (hide)'!Z$6:Z$105)+SUMIF(Capacity_Resource,$F187,'Critical resources (hide)'!Z$6:Z$105)&gt;0,$E$1=2),0,1),0)</f>
        <v>1</v>
      </c>
      <c r="N187" s="67">
        <f ca="1">IF(LOWER(Capacity!$V92)="x",IF(AND(SUMIF(Capacity_Resource,$D187,'Critical resources (hide)'!AA$6:AA$105)+SUMIF(Capacity_Resource,$E187,'Critical resources (hide)'!AA$6:AA$105)+SUMIF(Capacity_Resource,$F187,'Critical resources (hide)'!AA$6:AA$105)&gt;0,$E$1=2),0,1),0)</f>
        <v>1</v>
      </c>
      <c r="O187" s="67">
        <f ca="1">IF(LOWER(Capacity!$V92)="x",IF(AND(SUMIF(Capacity_Resource,$D187,'Critical resources (hide)'!AB$6:AB$105)+SUMIF(Capacity_Resource,$E187,'Critical resources (hide)'!AB$6:AB$105)+SUMIF(Capacity_Resource,$F187,'Critical resources (hide)'!AB$6:AB$105)&gt;0,$E$1=2),0,1),0)</f>
        <v>1</v>
      </c>
      <c r="P187" s="67">
        <f ca="1">IF(LOWER(Capacity!$V92)="x",IF(AND(SUMIF(Capacity_Resource,$D187,'Critical resources (hide)'!AC$6:AC$105)+SUMIF(Capacity_Resource,$E187,'Critical resources (hide)'!AC$6:AC$105)+SUMIF(Capacity_Resource,$F187,'Critical resources (hide)'!AC$6:AC$105)&gt;0,$E$1=2),0,1),0)</f>
        <v>1</v>
      </c>
      <c r="Q187" s="67">
        <f ca="1">IF(LOWER(Capacity!$V92)="x",IF(AND(SUMIF(Capacity_Resource,$D187,'Critical resources (hide)'!AD$6:AD$105)+SUMIF(Capacity_Resource,$E187,'Critical resources (hide)'!AD$6:AD$105)+SUMIF(Capacity_Resource,$F187,'Critical resources (hide)'!AD$6:AD$105)&gt;0,$E$1=2),0,1),0)</f>
        <v>1</v>
      </c>
      <c r="R187" s="67">
        <f ca="1">IF(LOWER(Capacity!$V92)="x",IF(AND(SUMIF(Capacity_Resource,$D187,'Critical resources (hide)'!AE$6:AE$105)+SUMIF(Capacity_Resource,$E187,'Critical resources (hide)'!AE$6:AE$105)+SUMIF(Capacity_Resource,$F187,'Critical resources (hide)'!AE$6:AE$105)&gt;0,$E$1=2),0,1),0)</f>
        <v>1</v>
      </c>
      <c r="S187" s="67">
        <f ca="1">IF(LOWER(Capacity!$V92)="x",IF(AND(SUMIF(Capacity_Resource,$D187,'Critical resources (hide)'!AF$6:AF$105)+SUMIF(Capacity_Resource,$E187,'Critical resources (hide)'!AF$6:AF$105)+SUMIF(Capacity_Resource,$F187,'Critical resources (hide)'!AF$6:AF$105)&gt;0,$E$1=2),0,1),0)</f>
        <v>1</v>
      </c>
      <c r="T187" s="67">
        <f ca="1">IF(LOWER(Capacity!$V92)="x",IF(AND(SUMIF(Capacity_Resource,$D187,'Critical resources (hide)'!AG$6:AG$105)+SUMIF(Capacity_Resource,$E187,'Critical resources (hide)'!AG$6:AG$105)+SUMIF(Capacity_Resource,$F187,'Critical resources (hide)'!AG$6:AG$105)&gt;0,$E$1=2),0,1),0)</f>
        <v>1</v>
      </c>
      <c r="U187" s="67">
        <f ca="1">IF(LOWER(Capacity!$V92)="x",IF(AND(SUMIF(Capacity_Resource,$D187,'Critical resources (hide)'!AH$6:AH$105)+SUMIF(Capacity_Resource,$E187,'Critical resources (hide)'!AH$6:AH$105)+SUMIF(Capacity_Resource,$F187,'Critical resources (hide)'!AH$6:AH$105)&gt;0,$E$1=2),0,1),0)</f>
        <v>1</v>
      </c>
      <c r="V187" s="67">
        <f ca="1">IF(LOWER(Capacity!$V92)="x",IF(AND(SUMIF(Capacity_Resource,$D187,'Critical resources (hide)'!AI$6:AI$105)+SUMIF(Capacity_Resource,$E187,'Critical resources (hide)'!AI$6:AI$105)+SUMIF(Capacity_Resource,$F187,'Critical resources (hide)'!AI$6:AI$105)&gt;0,$E$1=2),0,1),0)</f>
        <v>1</v>
      </c>
      <c r="W187" s="67">
        <f ca="1">IF(LOWER(Capacity!$V92)="x",IF(AND(SUMIF(Capacity_Resource,$D187,'Critical resources (hide)'!AJ$6:AJ$105)+SUMIF(Capacity_Resource,$E187,'Critical resources (hide)'!AJ$6:AJ$105)+SUMIF(Capacity_Resource,$F187,'Critical resources (hide)'!AJ$6:AJ$105)&gt;0,$E$1=2),0,1),0)</f>
        <v>1</v>
      </c>
      <c r="X187" s="67">
        <f ca="1">IF(LOWER(Capacity!$V92)="x",IF(AND(SUMIF(Capacity_Resource,$D187,'Critical resources (hide)'!AK$6:AK$105)+SUMIF(Capacity_Resource,$E187,'Critical resources (hide)'!AK$6:AK$105)+SUMIF(Capacity_Resource,$F187,'Critical resources (hide)'!AK$6:AK$105)&gt;0,$E$1=2),0,1),0)</f>
        <v>1</v>
      </c>
      <c r="Y187" s="67">
        <f ca="1">IF(LOWER(Capacity!$V92)="x",IF(AND(SUMIF(Capacity_Resource,$D187,'Critical resources (hide)'!AL$6:AL$105)+SUMIF(Capacity_Resource,$E187,'Critical resources (hide)'!AL$6:AL$105)+SUMIF(Capacity_Resource,$F187,'Critical resources (hide)'!AL$6:AL$105)&gt;0,$E$1=2),0,1),0)</f>
        <v>1</v>
      </c>
      <c r="Z187" s="67">
        <f ca="1">IF(LOWER(Capacity!$V92)="x",IF(AND(SUMIF(Capacity_Resource,$D187,'Critical resources (hide)'!AM$6:AM$105)+SUMIF(Capacity_Resource,$E187,'Critical resources (hide)'!AM$6:AM$105)+SUMIF(Capacity_Resource,$F187,'Critical resources (hide)'!AM$6:AM$105)&gt;0,$E$1=2),0,1),0)</f>
        <v>1</v>
      </c>
      <c r="AA187" s="67">
        <f ca="1">IF(LOWER(Capacity!$V92)="x",IF(AND(SUMIF(Capacity_Resource,$D187,'Critical resources (hide)'!AN$6:AN$105)+SUMIF(Capacity_Resource,$E187,'Critical resources (hide)'!AN$6:AN$105)+SUMIF(Capacity_Resource,$F187,'Critical resources (hide)'!AN$6:AN$105)&gt;0,$E$1=2),0,1),0)</f>
        <v>1</v>
      </c>
      <c r="AB187" s="67">
        <f ca="1">IF(LOWER(Capacity!$V92)="x",IF(AND(SUMIF(Capacity_Resource,$D187,'Critical resources (hide)'!AO$6:AO$105)+SUMIF(Capacity_Resource,$E187,'Critical resources (hide)'!AO$6:AO$105)+SUMIF(Capacity_Resource,$F187,'Critical resources (hide)'!AO$6:AO$105)&gt;0,$E$1=2),0,1),0)</f>
        <v>1</v>
      </c>
      <c r="AC187" s="67">
        <f ca="1">IF(LOWER(Capacity!$V92)="x",IF(AND(SUMIF(Capacity_Resource,$D187,'Critical resources (hide)'!AP$6:AP$105)+SUMIF(Capacity_Resource,$E187,'Critical resources (hide)'!AP$6:AP$105)+SUMIF(Capacity_Resource,$F187,'Critical resources (hide)'!AP$6:AP$105)&gt;0,$E$1=2),0,1),0)</f>
        <v>1</v>
      </c>
      <c r="AD187" s="67">
        <f ca="1">IF(LOWER(Capacity!$V92)="x",IF(AND(SUMIF(Capacity_Resource,$D187,'Critical resources (hide)'!AQ$6:AQ$105)+SUMIF(Capacity_Resource,$E187,'Critical resources (hide)'!AQ$6:AQ$105)+SUMIF(Capacity_Resource,$F187,'Critical resources (hide)'!AQ$6:AQ$105)&gt;0,$E$1=2),0,1),0)</f>
        <v>1</v>
      </c>
      <c r="AE187" s="67">
        <f ca="1">IF(LOWER(Capacity!$V92)="x",IF(AND(SUMIF(Capacity_Resource,$D187,'Critical resources (hide)'!AR$6:AR$105)+SUMIF(Capacity_Resource,$E187,'Critical resources (hide)'!AR$6:AR$105)+SUMIF(Capacity_Resource,$F187,'Critical resources (hide)'!AR$6:AR$105)&gt;0,$E$1=2),0,1),0)</f>
        <v>1</v>
      </c>
      <c r="AF187" s="67">
        <f ca="1">IF(LOWER(Capacity!$V92)="x",IF(AND(SUMIF(Capacity_Resource,$D187,'Critical resources (hide)'!AS$6:AS$105)+SUMIF(Capacity_Resource,$E187,'Critical resources (hide)'!AS$6:AS$105)+SUMIF(Capacity_Resource,$F187,'Critical resources (hide)'!AS$6:AS$105)&gt;0,$E$1=2),0,1),0)</f>
        <v>1</v>
      </c>
      <c r="AG187" s="67">
        <f ca="1">IF(LOWER(Capacity!$V92)="x",IF(AND(SUMIF(Capacity_Resource,$D187,'Critical resources (hide)'!AT$6:AT$105)+SUMIF(Capacity_Resource,$E187,'Critical resources (hide)'!AT$6:AT$105)+SUMIF(Capacity_Resource,$F187,'Critical resources (hide)'!AT$6:AT$105)&gt;0,$E$1=2),0,1),0)</f>
        <v>1</v>
      </c>
      <c r="AH187" s="67">
        <f ca="1">IF(LOWER(Capacity!$V92)="x",IF(AND(SUMIF(Capacity_Resource,$D187,'Critical resources (hide)'!AU$6:AU$105)+SUMIF(Capacity_Resource,$E187,'Critical resources (hide)'!AU$6:AU$105)+SUMIF(Capacity_Resource,$F187,'Critical resources (hide)'!AU$6:AU$105)&gt;0,$E$1=2),0,1),0)</f>
        <v>1</v>
      </c>
      <c r="AI187" s="67">
        <f ca="1">IF(LOWER(Capacity!$V92)="x",IF(AND(SUMIF(Capacity_Resource,$D187,'Critical resources (hide)'!AV$6:AV$105)+SUMIF(Capacity_Resource,$E187,'Critical resources (hide)'!AV$6:AV$105)+SUMIF(Capacity_Resource,$F187,'Critical resources (hide)'!AV$6:AV$105)&gt;0,$E$1=2),0,1),0)</f>
        <v>1</v>
      </c>
      <c r="AJ187" s="67">
        <f ca="1">IF(LOWER(Capacity!$V92)="x",IF(AND(SUMIF(Capacity_Resource,$D187,'Critical resources (hide)'!AW$6:AW$105)+SUMIF(Capacity_Resource,$E187,'Critical resources (hide)'!AW$6:AW$105)+SUMIF(Capacity_Resource,$F187,'Critical resources (hide)'!AW$6:AW$105)&gt;0,$E$1=2),0,1),0)</f>
        <v>1</v>
      </c>
      <c r="AK187" s="67">
        <f ca="1">IF(LOWER(Capacity!$V92)="x",IF(AND(SUMIF(Capacity_Resource,$D187,'Critical resources (hide)'!AX$6:AX$105)+SUMIF(Capacity_Resource,$E187,'Critical resources (hide)'!AX$6:AX$105)+SUMIF(Capacity_Resource,$F187,'Critical resources (hide)'!AX$6:AX$105)&gt;0,$E$1=2),0,1),0)</f>
        <v>1</v>
      </c>
      <c r="AL187" s="67">
        <f ca="1">IF(LOWER(Capacity!$V92)="x",IF(AND(SUMIF(Capacity_Resource,$D187,'Critical resources (hide)'!AY$6:AY$105)+SUMIF(Capacity_Resource,$E187,'Critical resources (hide)'!AY$6:AY$105)+SUMIF(Capacity_Resource,$F187,'Critical resources (hide)'!AY$6:AY$105)&gt;0,$E$1=2),0,1),0)</f>
        <v>1</v>
      </c>
      <c r="AM187" s="67">
        <f ca="1">IF(LOWER(Capacity!$V92)="x",IF(AND(SUMIF(Capacity_Resource,$D187,'Critical resources (hide)'!AZ$6:AZ$105)+SUMIF(Capacity_Resource,$E187,'Critical resources (hide)'!AZ$6:AZ$105)+SUMIF(Capacity_Resource,$F187,'Critical resources (hide)'!AZ$6:AZ$105)&gt;0,$E$1=2),0,1),0)</f>
        <v>1</v>
      </c>
      <c r="AN187" s="67">
        <f ca="1">IF(LOWER(Capacity!$V92)="x",IF(AND(SUMIF(Capacity_Resource,$D187,'Critical resources (hide)'!BA$6:BA$105)+SUMIF(Capacity_Resource,$E187,'Critical resources (hide)'!BA$6:BA$105)+SUMIF(Capacity_Resource,$F187,'Critical resources (hide)'!BA$6:BA$105)&gt;0,$E$1=2),0,1),0)</f>
        <v>1</v>
      </c>
      <c r="AO187" s="67">
        <f ca="1">IF(LOWER(Capacity!$V92)="x",IF(AND(SUMIF(Capacity_Resource,$D187,'Critical resources (hide)'!BB$6:BB$105)+SUMIF(Capacity_Resource,$E187,'Critical resources (hide)'!BB$6:BB$105)+SUMIF(Capacity_Resource,$F187,'Critical resources (hide)'!BB$6:BB$105)&gt;0,$E$1=2),0,1),0)</f>
        <v>1</v>
      </c>
      <c r="AP187" s="67">
        <f ca="1">IF(LOWER(Capacity!$V92)="x",IF(AND(SUMIF(Capacity_Resource,$D187,'Critical resources (hide)'!BC$6:BC$105)+SUMIF(Capacity_Resource,$E187,'Critical resources (hide)'!BC$6:BC$105)+SUMIF(Capacity_Resource,$F187,'Critical resources (hide)'!BC$6:BC$105)&gt;0,$E$1=2),0,1),0)</f>
        <v>1</v>
      </c>
      <c r="AQ187" s="67">
        <f ca="1">IF(LOWER(Capacity!$V92)="x",IF(AND(SUMIF(Capacity_Resource,$D187,'Critical resources (hide)'!BD$6:BD$105)+SUMIF(Capacity_Resource,$E187,'Critical resources (hide)'!BD$6:BD$105)+SUMIF(Capacity_Resource,$F187,'Critical resources (hide)'!BD$6:BD$105)&gt;0,$E$1=2),0,1),0)</f>
        <v>1</v>
      </c>
      <c r="AR187" s="67">
        <f ca="1">IF(LOWER(Capacity!$V92)="x",IF(AND(SUMIF(Capacity_Resource,$D187,'Critical resources (hide)'!BE$6:BE$105)+SUMIF(Capacity_Resource,$E187,'Critical resources (hide)'!BE$6:BE$105)+SUMIF(Capacity_Resource,$F187,'Critical resources (hide)'!BE$6:BE$105)&gt;0,$E$1=2),0,1),0)</f>
        <v>1</v>
      </c>
      <c r="AS187" s="67">
        <f ca="1">IF(LOWER(Capacity!$V92)="x",IF(AND(SUMIF(Capacity_Resource,$D187,'Critical resources (hide)'!BF$6:BF$105)+SUMIF(Capacity_Resource,$E187,'Critical resources (hide)'!BF$6:BF$105)+SUMIF(Capacity_Resource,$F187,'Critical resources (hide)'!BF$6:BF$105)&gt;0,$E$1=2),0,1),0)</f>
        <v>1</v>
      </c>
      <c r="AT187" s="67">
        <f ca="1">IF(LOWER(Capacity!$V92)="x",IF(AND(SUMIF(Capacity_Resource,$D187,'Critical resources (hide)'!BG$6:BG$105)+SUMIF(Capacity_Resource,$E187,'Critical resources (hide)'!BG$6:BG$105)+SUMIF(Capacity_Resource,$F187,'Critical resources (hide)'!BG$6:BG$105)&gt;0,$E$1=2),0,1),0)</f>
        <v>1</v>
      </c>
      <c r="AU187" s="67">
        <f ca="1">IF(LOWER(Capacity!$V92)="x",IF(AND(SUMIF(Capacity_Resource,$D187,'Critical resources (hide)'!BH$6:BH$105)+SUMIF(Capacity_Resource,$E187,'Critical resources (hide)'!BH$6:BH$105)+SUMIF(Capacity_Resource,$F187,'Critical resources (hide)'!BH$6:BH$105)&gt;0,$E$1=2),0,1),0)</f>
        <v>1</v>
      </c>
      <c r="AV187" s="67">
        <f ca="1">IF(LOWER(Capacity!$V92)="x",IF(AND(SUMIF(Capacity_Resource,$D187,'Critical resources (hide)'!BI$6:BI$105)+SUMIF(Capacity_Resource,$E187,'Critical resources (hide)'!BI$6:BI$105)+SUMIF(Capacity_Resource,$F187,'Critical resources (hide)'!BI$6:BI$105)&gt;0,$E$1=2),0,1),0)</f>
        <v>1</v>
      </c>
      <c r="AW187" s="67">
        <f ca="1">IF(LOWER(Capacity!$V92)="x",IF(AND(SUMIF(Capacity_Resource,$D187,'Critical resources (hide)'!BJ$6:BJ$105)+SUMIF(Capacity_Resource,$E187,'Critical resources (hide)'!BJ$6:BJ$105)+SUMIF(Capacity_Resource,$F187,'Critical resources (hide)'!BJ$6:BJ$105)&gt;0,$E$1=2),0,1),0)</f>
        <v>1</v>
      </c>
      <c r="AX187" s="67">
        <f ca="1">IF(LOWER(Capacity!$V92)="x",IF(AND(SUMIF(Capacity_Resource,$D187,'Critical resources (hide)'!BK$6:BK$105)+SUMIF(Capacity_Resource,$E187,'Critical resources (hide)'!BK$6:BK$105)+SUMIF(Capacity_Resource,$F187,'Critical resources (hide)'!BK$6:BK$105)&gt;0,$E$1=2),0,1),0)</f>
        <v>1</v>
      </c>
      <c r="AY187" s="67">
        <f ca="1">IF(LOWER(Capacity!$V92)="x",IF(AND(SUMIF(Capacity_Resource,$D187,'Critical resources (hide)'!BL$6:BL$105)+SUMIF(Capacity_Resource,$E187,'Critical resources (hide)'!BL$6:BL$105)+SUMIF(Capacity_Resource,$F187,'Critical resources (hide)'!BL$6:BL$105)&gt;0,$E$1=2),0,1),0)</f>
        <v>1</v>
      </c>
      <c r="AZ187" s="67">
        <f ca="1">IF(LOWER(Capacity!$V92)="x",IF(AND(SUMIF(Capacity_Resource,$D187,'Critical resources (hide)'!BM$6:BM$105)+SUMIF(Capacity_Resource,$E187,'Critical resources (hide)'!BM$6:BM$105)+SUMIF(Capacity_Resource,$F187,'Critical resources (hide)'!BM$6:BM$105)&gt;0,$E$1=2),0,1),0)</f>
        <v>1</v>
      </c>
      <c r="BA187" s="67">
        <f ca="1">IF(LOWER(Capacity!$V92)="x",IF(AND(SUMIF(Capacity_Resource,$D187,'Critical resources (hide)'!BN$6:BN$105)+SUMIF(Capacity_Resource,$E187,'Critical resources (hide)'!BN$6:BN$105)+SUMIF(Capacity_Resource,$F187,'Critical resources (hide)'!BN$6:BN$105)&gt;0,$E$1=2),0,1),0)</f>
        <v>1</v>
      </c>
      <c r="BB187" s="67">
        <f ca="1">IF(LOWER(Capacity!$V92)="x",IF(AND(SUMIF(Capacity_Resource,$D187,'Critical resources (hide)'!BO$6:BO$105)+SUMIF(Capacity_Resource,$E187,'Critical resources (hide)'!BO$6:BO$105)+SUMIF(Capacity_Resource,$F187,'Critical resources (hide)'!BO$6:BO$105)&gt;0,$E$1=2),0,1),0)</f>
        <v>1</v>
      </c>
      <c r="BC187" s="67">
        <f ca="1">IF(LOWER(Capacity!$V92)="x",IF(AND(SUMIF(Capacity_Resource,$D187,'Critical resources (hide)'!BP$6:BP$105)+SUMIF(Capacity_Resource,$E187,'Critical resources (hide)'!BP$6:BP$105)+SUMIF(Capacity_Resource,$F187,'Critical resources (hide)'!BP$6:BP$105)&gt;0,$E$1=2),0,1),0)</f>
        <v>1</v>
      </c>
      <c r="BD187" s="67">
        <f ca="1">IF(LOWER(Capacity!$V92)="x",IF(AND(SUMIF(Capacity_Resource,$D187,'Critical resources (hide)'!BQ$6:BQ$105)+SUMIF(Capacity_Resource,$E187,'Critical resources (hide)'!BQ$6:BQ$105)+SUMIF(Capacity_Resource,$F187,'Critical resources (hide)'!BQ$6:BQ$105)&gt;0,$E$1=2),0,1),0)</f>
        <v>1</v>
      </c>
      <c r="BE187" s="67">
        <f ca="1">IF(LOWER(Capacity!$V92)="x",IF(AND(SUMIF(Capacity_Resource,$D187,'Critical resources (hide)'!BR$6:BR$105)+SUMIF(Capacity_Resource,$E187,'Critical resources (hide)'!BR$6:BR$105)+SUMIF(Capacity_Resource,$F187,'Critical resources (hide)'!BR$6:BR$105)&gt;0,$E$1=2),0,1),0)</f>
        <v>1</v>
      </c>
      <c r="BF187" s="67">
        <f ca="1">IF(LOWER(Capacity!$V92)="x",IF(AND(SUMIF(Capacity_Resource,$D187,'Critical resources (hide)'!BS$6:BS$105)+SUMIF(Capacity_Resource,$E187,'Critical resources (hide)'!BS$6:BS$105)+SUMIF(Capacity_Resource,$F187,'Critical resources (hide)'!BS$6:BS$105)&gt;0,$E$1=2),0,1),0)</f>
        <v>1</v>
      </c>
      <c r="BG187" s="67">
        <f ca="1">IF(LOWER(Capacity!$V92)="x",IF(AND(SUMIF(Capacity_Resource,$D187,'Critical resources (hide)'!BT$6:BT$105)+SUMIF(Capacity_Resource,$E187,'Critical resources (hide)'!BT$6:BT$105)+SUMIF(Capacity_Resource,$F187,'Critical resources (hide)'!BT$6:BT$105)&gt;0,$E$1=2),0,1),0)</f>
        <v>1</v>
      </c>
      <c r="BH187" s="67">
        <f>IF(ROW(A76)&lt;=Capacity!$M$16,IF('Capacity summary'!$C$14="No",SUM(H187:BG187),'Capacity summary'!$E99),0)</f>
        <v>0</v>
      </c>
      <c r="BI187" s="67" t="str">
        <f>IF(BH187&gt;0,IF(BH187&lt;Capacity!Q92,Capacity!R92,Capacity!T92/'Capacity calculation (hide)'!BH187),"")</f>
        <v/>
      </c>
      <c r="BJ187" s="5"/>
      <c r="BK187" s="5">
        <f>IF($BI187&lt;&gt;"",IF('Capacity summary'!$C$14="Yes",IF(COUNTBLANK('Capacity summary'!$H99:$BG99)&lt;52,IF('Capacity summary'!H99&lt;&gt;"",IF(LOWER('Capacity summary'!H99)="x",$BI187*H187,VALUE('Capacity summary'!H99)),0),H187*$BI187),H187*$BI187),0)</f>
        <v>0</v>
      </c>
      <c r="BL187" s="5">
        <f>IF($BI187&lt;&gt;"",IF('Capacity summary'!$C$14="Yes",IF(COUNTBLANK('Capacity summary'!$H99:$BG99)&lt;52,IF('Capacity summary'!I99&lt;&gt;"",IF(LOWER('Capacity summary'!I99)="x",$BI187*I187,VALUE('Capacity summary'!I99)),0),I187*$BI187),I187*$BI187),0)</f>
        <v>0</v>
      </c>
      <c r="BM187" s="5">
        <f>IF($BI187&lt;&gt;"",IF('Capacity summary'!$C$14="Yes",IF(COUNTBLANK('Capacity summary'!$H99:$BG99)&lt;52,IF('Capacity summary'!J99&lt;&gt;"",IF(LOWER('Capacity summary'!J99)="x",$BI187*J187,VALUE('Capacity summary'!J99)),0),J187*$BI187),J187*$BI187),0)</f>
        <v>0</v>
      </c>
      <c r="BN187" s="5">
        <f>IF($BI187&lt;&gt;"",IF('Capacity summary'!$C$14="Yes",IF(COUNTBLANK('Capacity summary'!$H99:$BG99)&lt;52,IF('Capacity summary'!K99&lt;&gt;"",IF(LOWER('Capacity summary'!K99)="x",$BI187*K187,VALUE('Capacity summary'!K99)),0),K187*$BI187),K187*$BI187),0)</f>
        <v>0</v>
      </c>
      <c r="BO187" s="5">
        <f>IF($BI187&lt;&gt;"",IF('Capacity summary'!$C$14="Yes",IF(COUNTBLANK('Capacity summary'!$H99:$BG99)&lt;52,IF('Capacity summary'!L99&lt;&gt;"",IF(LOWER('Capacity summary'!L99)="x",$BI187*L187,VALUE('Capacity summary'!L99)),0),L187*$BI187),L187*$BI187),0)</f>
        <v>0</v>
      </c>
      <c r="BP187" s="5">
        <f>IF($BI187&lt;&gt;"",IF('Capacity summary'!$C$14="Yes",IF(COUNTBLANK('Capacity summary'!$H99:$BG99)&lt;52,IF('Capacity summary'!M99&lt;&gt;"",IF(LOWER('Capacity summary'!M99)="x",$BI187*M187,VALUE('Capacity summary'!M99)),0),M187*$BI187),M187*$BI187),0)</f>
        <v>0</v>
      </c>
      <c r="BQ187" s="5">
        <f>IF($BI187&lt;&gt;"",IF('Capacity summary'!$C$14="Yes",IF(COUNTBLANK('Capacity summary'!$H99:$BG99)&lt;52,IF('Capacity summary'!N99&lt;&gt;"",IF(LOWER('Capacity summary'!N99)="x",$BI187*N187,VALUE('Capacity summary'!N99)),0),N187*$BI187),N187*$BI187),0)</f>
        <v>0</v>
      </c>
      <c r="BR187" s="5">
        <f>IF($BI187&lt;&gt;"",IF('Capacity summary'!$C$14="Yes",IF(COUNTBLANK('Capacity summary'!$H99:$BG99)&lt;52,IF('Capacity summary'!O99&lt;&gt;"",IF(LOWER('Capacity summary'!O99)="x",$BI187*O187,VALUE('Capacity summary'!O99)),0),O187*$BI187),O187*$BI187),0)</f>
        <v>0</v>
      </c>
      <c r="BS187" s="5">
        <f>IF($BI187&lt;&gt;"",IF('Capacity summary'!$C$14="Yes",IF(COUNTBLANK('Capacity summary'!$H99:$BG99)&lt;52,IF('Capacity summary'!P99&lt;&gt;"",IF(LOWER('Capacity summary'!P99)="x",$BI187*P187,VALUE('Capacity summary'!P99)),0),P187*$BI187),P187*$BI187),0)</f>
        <v>0</v>
      </c>
      <c r="BT187" s="5">
        <f>IF($BI187&lt;&gt;"",IF('Capacity summary'!$C$14="Yes",IF(COUNTBLANK('Capacity summary'!$H99:$BG99)&lt;52,IF('Capacity summary'!Q99&lt;&gt;"",IF(LOWER('Capacity summary'!Q99)="x",$BI187*Q187,VALUE('Capacity summary'!Q99)),0),Q187*$BI187),Q187*$BI187),0)</f>
        <v>0</v>
      </c>
      <c r="BU187" s="5">
        <f>IF($BI187&lt;&gt;"",IF('Capacity summary'!$C$14="Yes",IF(COUNTBLANK('Capacity summary'!$H99:$BG99)&lt;52,IF('Capacity summary'!R99&lt;&gt;"",IF(LOWER('Capacity summary'!R99)="x",$BI187*R187,VALUE('Capacity summary'!R99)),0),R187*$BI187),R187*$BI187),0)</f>
        <v>0</v>
      </c>
      <c r="BV187" s="5">
        <f>IF($BI187&lt;&gt;"",IF('Capacity summary'!$C$14="Yes",IF(COUNTBLANK('Capacity summary'!$H99:$BG99)&lt;52,IF('Capacity summary'!S99&lt;&gt;"",IF(LOWER('Capacity summary'!S99)="x",$BI187*S187,VALUE('Capacity summary'!S99)),0),S187*$BI187),S187*$BI187),0)</f>
        <v>0</v>
      </c>
      <c r="BW187" s="5">
        <f>IF($BI187&lt;&gt;"",IF('Capacity summary'!$C$14="Yes",IF(COUNTBLANK('Capacity summary'!$H99:$BG99)&lt;52,IF('Capacity summary'!T99&lt;&gt;"",IF(LOWER('Capacity summary'!T99)="x",$BI187*T187,VALUE('Capacity summary'!T99)),0),T187*$BI187),T187*$BI187),0)</f>
        <v>0</v>
      </c>
      <c r="BX187" s="5">
        <f>IF($BI187&lt;&gt;"",IF('Capacity summary'!$C$14="Yes",IF(COUNTBLANK('Capacity summary'!$H99:$BG99)&lt;52,IF('Capacity summary'!U99&lt;&gt;"",IF(LOWER('Capacity summary'!U99)="x",$BI187*U187,VALUE('Capacity summary'!U99)),0),U187*$BI187),U187*$BI187),0)</f>
        <v>0</v>
      </c>
      <c r="BY187" s="5">
        <f>IF($BI187&lt;&gt;"",IF('Capacity summary'!$C$14="Yes",IF(COUNTBLANK('Capacity summary'!$H99:$BG99)&lt;52,IF('Capacity summary'!V99&lt;&gt;"",IF(LOWER('Capacity summary'!V99)="x",$BI187*V187,VALUE('Capacity summary'!V99)),0),V187*$BI187),V187*$BI187),0)</f>
        <v>0</v>
      </c>
      <c r="BZ187" s="5">
        <f>IF($BI187&lt;&gt;"",IF('Capacity summary'!$C$14="Yes",IF(COUNTBLANK('Capacity summary'!$H99:$BG99)&lt;52,IF('Capacity summary'!W99&lt;&gt;"",IF(LOWER('Capacity summary'!W99)="x",$BI187*W187,VALUE('Capacity summary'!W99)),0),W187*$BI187),W187*$BI187),0)</f>
        <v>0</v>
      </c>
      <c r="CA187" s="5">
        <f>IF($BI187&lt;&gt;"",IF('Capacity summary'!$C$14="Yes",IF(COUNTBLANK('Capacity summary'!$H99:$BG99)&lt;52,IF('Capacity summary'!X99&lt;&gt;"",IF(LOWER('Capacity summary'!X99)="x",$BI187*X187,VALUE('Capacity summary'!X99)),0),X187*$BI187),X187*$BI187),0)</f>
        <v>0</v>
      </c>
      <c r="CB187" s="5">
        <f>IF($BI187&lt;&gt;"",IF('Capacity summary'!$C$14="Yes",IF(COUNTBLANK('Capacity summary'!$H99:$BG99)&lt;52,IF('Capacity summary'!Y99&lt;&gt;"",IF(LOWER('Capacity summary'!Y99)="x",$BI187*Y187,VALUE('Capacity summary'!Y99)),0),Y187*$BI187),Y187*$BI187),0)</f>
        <v>0</v>
      </c>
      <c r="CC187" s="5">
        <f>IF($BI187&lt;&gt;"",IF('Capacity summary'!$C$14="Yes",IF(COUNTBLANK('Capacity summary'!$H99:$BG99)&lt;52,IF('Capacity summary'!Z99&lt;&gt;"",IF(LOWER('Capacity summary'!Z99)="x",$BI187*Z187,VALUE('Capacity summary'!Z99)),0),Z187*$BI187),Z187*$BI187),0)</f>
        <v>0</v>
      </c>
      <c r="CD187" s="5">
        <f>IF($BI187&lt;&gt;"",IF('Capacity summary'!$C$14="Yes",IF(COUNTBLANK('Capacity summary'!$H99:$BG99)&lt;52,IF('Capacity summary'!AA99&lt;&gt;"",IF(LOWER('Capacity summary'!AA99)="x",$BI187*AA187,VALUE('Capacity summary'!AA99)),0),AA187*$BI187),AA187*$BI187),0)</f>
        <v>0</v>
      </c>
      <c r="CE187" s="5">
        <f>IF($BI187&lt;&gt;"",IF('Capacity summary'!$C$14="Yes",IF(COUNTBLANK('Capacity summary'!$H99:$BG99)&lt;52,IF('Capacity summary'!AB99&lt;&gt;"",IF(LOWER('Capacity summary'!AB99)="x",$BI187*AB187,VALUE('Capacity summary'!AB99)),0),AB187*$BI187),AB187*$BI187),0)</f>
        <v>0</v>
      </c>
      <c r="CF187" s="5">
        <f>IF($BI187&lt;&gt;"",IF('Capacity summary'!$C$14="Yes",IF(COUNTBLANK('Capacity summary'!$H99:$BG99)&lt;52,IF('Capacity summary'!AC99&lt;&gt;"",IF(LOWER('Capacity summary'!AC99)="x",$BI187*AC187,VALUE('Capacity summary'!AC99)),0),AC187*$BI187),AC187*$BI187),0)</f>
        <v>0</v>
      </c>
      <c r="CG187" s="5">
        <f>IF($BI187&lt;&gt;"",IF('Capacity summary'!$C$14="Yes",IF(COUNTBLANK('Capacity summary'!$H99:$BG99)&lt;52,IF('Capacity summary'!AD99&lt;&gt;"",IF(LOWER('Capacity summary'!AD99)="x",$BI187*AD187,VALUE('Capacity summary'!AD99)),0),AD187*$BI187),AD187*$BI187),0)</f>
        <v>0</v>
      </c>
      <c r="CH187" s="5">
        <f>IF($BI187&lt;&gt;"",IF('Capacity summary'!$C$14="Yes",IF(COUNTBLANK('Capacity summary'!$H99:$BG99)&lt;52,IF('Capacity summary'!AE99&lt;&gt;"",IF(LOWER('Capacity summary'!AE99)="x",$BI187*AE187,VALUE('Capacity summary'!AE99)),0),AE187*$BI187),AE187*$BI187),0)</f>
        <v>0</v>
      </c>
      <c r="CI187" s="5">
        <f>IF($BI187&lt;&gt;"",IF('Capacity summary'!$C$14="Yes",IF(COUNTBLANK('Capacity summary'!$H99:$BG99)&lt;52,IF('Capacity summary'!AF99&lt;&gt;"",IF(LOWER('Capacity summary'!AF99)="x",$BI187*AF187,VALUE('Capacity summary'!AF99)),0),AF187*$BI187),AF187*$BI187),0)</f>
        <v>0</v>
      </c>
      <c r="CJ187" s="5">
        <f>IF($BI187&lt;&gt;"",IF('Capacity summary'!$C$14="Yes",IF(COUNTBLANK('Capacity summary'!$H99:$BG99)&lt;52,IF('Capacity summary'!AG99&lt;&gt;"",IF(LOWER('Capacity summary'!AG99)="x",$BI187*AG187,VALUE('Capacity summary'!AG99)),0),AG187*$BI187),AG187*$BI187),0)</f>
        <v>0</v>
      </c>
      <c r="CK187" s="5">
        <f>IF($BI187&lt;&gt;"",IF('Capacity summary'!$C$14="Yes",IF(COUNTBLANK('Capacity summary'!$H99:$BG99)&lt;52,IF('Capacity summary'!AH99&lt;&gt;"",IF(LOWER('Capacity summary'!AH99)="x",$BI187*AH187,VALUE('Capacity summary'!AH99)),0),AH187*$BI187),AH187*$BI187),0)</f>
        <v>0</v>
      </c>
      <c r="CL187" s="5">
        <f>IF($BI187&lt;&gt;"",IF('Capacity summary'!$C$14="Yes",IF(COUNTBLANK('Capacity summary'!$H99:$BG99)&lt;52,IF('Capacity summary'!AI99&lt;&gt;"",IF(LOWER('Capacity summary'!AI99)="x",$BI187*AI187,VALUE('Capacity summary'!AI99)),0),AI187*$BI187),AI187*$BI187),0)</f>
        <v>0</v>
      </c>
      <c r="CM187" s="5">
        <f>IF($BI187&lt;&gt;"",IF('Capacity summary'!$C$14="Yes",IF(COUNTBLANK('Capacity summary'!$H99:$BG99)&lt;52,IF('Capacity summary'!AJ99&lt;&gt;"",IF(LOWER('Capacity summary'!AJ99)="x",$BI187*AJ187,VALUE('Capacity summary'!AJ99)),0),AJ187*$BI187),AJ187*$BI187),0)</f>
        <v>0</v>
      </c>
      <c r="CN187" s="5">
        <f>IF($BI187&lt;&gt;"",IF('Capacity summary'!$C$14="Yes",IF(COUNTBLANK('Capacity summary'!$H99:$BG99)&lt;52,IF('Capacity summary'!AK99&lt;&gt;"",IF(LOWER('Capacity summary'!AK99)="x",$BI187*AK187,VALUE('Capacity summary'!AK99)),0),AK187*$BI187),AK187*$BI187),0)</f>
        <v>0</v>
      </c>
      <c r="CO187" s="5">
        <f>IF($BI187&lt;&gt;"",IF('Capacity summary'!$C$14="Yes",IF(COUNTBLANK('Capacity summary'!$H99:$BG99)&lt;52,IF('Capacity summary'!AL99&lt;&gt;"",IF(LOWER('Capacity summary'!AL99)="x",$BI187*AL187,VALUE('Capacity summary'!AL99)),0),AL187*$BI187),AL187*$BI187),0)</f>
        <v>0</v>
      </c>
      <c r="CP187" s="5">
        <f>IF($BI187&lt;&gt;"",IF('Capacity summary'!$C$14="Yes",IF(COUNTBLANK('Capacity summary'!$H99:$BG99)&lt;52,IF('Capacity summary'!AM99&lt;&gt;"",IF(LOWER('Capacity summary'!AM99)="x",$BI187*AM187,VALUE('Capacity summary'!AM99)),0),AM187*$BI187),AM187*$BI187),0)</f>
        <v>0</v>
      </c>
      <c r="CQ187" s="5">
        <f>IF($BI187&lt;&gt;"",IF('Capacity summary'!$C$14="Yes",IF(COUNTBLANK('Capacity summary'!$H99:$BG99)&lt;52,IF('Capacity summary'!AN99&lt;&gt;"",IF(LOWER('Capacity summary'!AN99)="x",$BI187*AN187,VALUE('Capacity summary'!AN99)),0),AN187*$BI187),AN187*$BI187),0)</f>
        <v>0</v>
      </c>
      <c r="CR187" s="5">
        <f>IF($BI187&lt;&gt;"",IF('Capacity summary'!$C$14="Yes",IF(COUNTBLANK('Capacity summary'!$H99:$BG99)&lt;52,IF('Capacity summary'!AO99&lt;&gt;"",IF(LOWER('Capacity summary'!AO99)="x",$BI187*AO187,VALUE('Capacity summary'!AO99)),0),AO187*$BI187),AO187*$BI187),0)</f>
        <v>0</v>
      </c>
      <c r="CS187" s="5">
        <f>IF($BI187&lt;&gt;"",IF('Capacity summary'!$C$14="Yes",IF(COUNTBLANK('Capacity summary'!$H99:$BG99)&lt;52,IF('Capacity summary'!AP99&lt;&gt;"",IF(LOWER('Capacity summary'!AP99)="x",$BI187*AP187,VALUE('Capacity summary'!AP99)),0),AP187*$BI187),AP187*$BI187),0)</f>
        <v>0</v>
      </c>
      <c r="CT187" s="5">
        <f>IF($BI187&lt;&gt;"",IF('Capacity summary'!$C$14="Yes",IF(COUNTBLANK('Capacity summary'!$H99:$BG99)&lt;52,IF('Capacity summary'!AQ99&lt;&gt;"",IF(LOWER('Capacity summary'!AQ99)="x",$BI187*AQ187,VALUE('Capacity summary'!AQ99)),0),AQ187*$BI187),AQ187*$BI187),0)</f>
        <v>0</v>
      </c>
      <c r="CU187" s="5">
        <f>IF($BI187&lt;&gt;"",IF('Capacity summary'!$C$14="Yes",IF(COUNTBLANK('Capacity summary'!$H99:$BG99)&lt;52,IF('Capacity summary'!AR99&lt;&gt;"",IF(LOWER('Capacity summary'!AR99)="x",$BI187*AR187,VALUE('Capacity summary'!AR99)),0),AR187*$BI187),AR187*$BI187),0)</f>
        <v>0</v>
      </c>
      <c r="CV187" s="5">
        <f>IF($BI187&lt;&gt;"",IF('Capacity summary'!$C$14="Yes",IF(COUNTBLANK('Capacity summary'!$H99:$BG99)&lt;52,IF('Capacity summary'!AS99&lt;&gt;"",IF(LOWER('Capacity summary'!AS99)="x",$BI187*AS187,VALUE('Capacity summary'!AS99)),0),AS187*$BI187),AS187*$BI187),0)</f>
        <v>0</v>
      </c>
      <c r="CW187" s="5">
        <f>IF($BI187&lt;&gt;"",IF('Capacity summary'!$C$14="Yes",IF(COUNTBLANK('Capacity summary'!$H99:$BG99)&lt;52,IF('Capacity summary'!AT99&lt;&gt;"",IF(LOWER('Capacity summary'!AT99)="x",$BI187*AT187,VALUE('Capacity summary'!AT99)),0),AT187*$BI187),AT187*$BI187),0)</f>
        <v>0</v>
      </c>
      <c r="CX187" s="5">
        <f>IF($BI187&lt;&gt;"",IF('Capacity summary'!$C$14="Yes",IF(COUNTBLANK('Capacity summary'!$H99:$BG99)&lt;52,IF('Capacity summary'!AU99&lt;&gt;"",IF(LOWER('Capacity summary'!AU99)="x",$BI187*AU187,VALUE('Capacity summary'!AU99)),0),AU187*$BI187),AU187*$BI187),0)</f>
        <v>0</v>
      </c>
      <c r="CY187" s="5">
        <f>IF($BI187&lt;&gt;"",IF('Capacity summary'!$C$14="Yes",IF(COUNTBLANK('Capacity summary'!$H99:$BG99)&lt;52,IF('Capacity summary'!AV99&lt;&gt;"",IF(LOWER('Capacity summary'!AV99)="x",$BI187*AV187,VALUE('Capacity summary'!AV99)),0),AV187*$BI187),AV187*$BI187),0)</f>
        <v>0</v>
      </c>
      <c r="CZ187" s="5">
        <f>IF($BI187&lt;&gt;"",IF('Capacity summary'!$C$14="Yes",IF(COUNTBLANK('Capacity summary'!$H99:$BG99)&lt;52,IF('Capacity summary'!AW99&lt;&gt;"",IF(LOWER('Capacity summary'!AW99)="x",$BI187*AW187,VALUE('Capacity summary'!AW99)),0),AW187*$BI187),AW187*$BI187),0)</f>
        <v>0</v>
      </c>
      <c r="DA187" s="5">
        <f>IF($BI187&lt;&gt;"",IF('Capacity summary'!$C$14="Yes",IF(COUNTBLANK('Capacity summary'!$H99:$BG99)&lt;52,IF('Capacity summary'!AX99&lt;&gt;"",IF(LOWER('Capacity summary'!AX99)="x",$BI187*AX187,VALUE('Capacity summary'!AX99)),0),AX187*$BI187),AX187*$BI187),0)</f>
        <v>0</v>
      </c>
      <c r="DB187" s="5">
        <f>IF($BI187&lt;&gt;"",IF('Capacity summary'!$C$14="Yes",IF(COUNTBLANK('Capacity summary'!$H99:$BG99)&lt;52,IF('Capacity summary'!AY99&lt;&gt;"",IF(LOWER('Capacity summary'!AY99)="x",$BI187*AY187,VALUE('Capacity summary'!AY99)),0),AY187*$BI187),AY187*$BI187),0)</f>
        <v>0</v>
      </c>
      <c r="DC187" s="5">
        <f>IF($BI187&lt;&gt;"",IF('Capacity summary'!$C$14="Yes",IF(COUNTBLANK('Capacity summary'!$H99:$BG99)&lt;52,IF('Capacity summary'!AZ99&lt;&gt;"",IF(LOWER('Capacity summary'!AZ99)="x",$BI187*AZ187,VALUE('Capacity summary'!AZ99)),0),AZ187*$BI187),AZ187*$BI187),0)</f>
        <v>0</v>
      </c>
      <c r="DD187" s="5">
        <f>IF($BI187&lt;&gt;"",IF('Capacity summary'!$C$14="Yes",IF(COUNTBLANK('Capacity summary'!$H99:$BG99)&lt;52,IF('Capacity summary'!BA99&lt;&gt;"",IF(LOWER('Capacity summary'!BA99)="x",$BI187*BA187,VALUE('Capacity summary'!BA99)),0),BA187*$BI187),BA187*$BI187),0)</f>
        <v>0</v>
      </c>
      <c r="DE187" s="5">
        <f>IF($BI187&lt;&gt;"",IF('Capacity summary'!$C$14="Yes",IF(COUNTBLANK('Capacity summary'!$H99:$BG99)&lt;52,IF('Capacity summary'!BB99&lt;&gt;"",IF(LOWER('Capacity summary'!BB99)="x",$BI187*BB187,VALUE('Capacity summary'!BB99)),0),BB187*$BI187),BB187*$BI187),0)</f>
        <v>0</v>
      </c>
      <c r="DF187" s="5">
        <f>IF($BI187&lt;&gt;"",IF('Capacity summary'!$C$14="Yes",IF(COUNTBLANK('Capacity summary'!$H99:$BG99)&lt;52,IF('Capacity summary'!BC99&lt;&gt;"",IF(LOWER('Capacity summary'!BC99)="x",$BI187*BC187,VALUE('Capacity summary'!BC99)),0),BC187*$BI187),BC187*$BI187),0)</f>
        <v>0</v>
      </c>
      <c r="DG187" s="5">
        <f>IF($BI187&lt;&gt;"",IF('Capacity summary'!$C$14="Yes",IF(COUNTBLANK('Capacity summary'!$H99:$BG99)&lt;52,IF('Capacity summary'!BD99&lt;&gt;"",IF(LOWER('Capacity summary'!BD99)="x",$BI187*BD187,VALUE('Capacity summary'!BD99)),0),BD187*$BI187),BD187*$BI187),0)</f>
        <v>0</v>
      </c>
      <c r="DH187" s="5">
        <f>IF($BI187&lt;&gt;"",IF('Capacity summary'!$C$14="Yes",IF(COUNTBLANK('Capacity summary'!$H99:$BG99)&lt;52,IF('Capacity summary'!BE99&lt;&gt;"",IF(LOWER('Capacity summary'!BE99)="x",$BI187*BE187,VALUE('Capacity summary'!BE99)),0),BE187*$BI187),BE187*$BI187),0)</f>
        <v>0</v>
      </c>
      <c r="DI187" s="5">
        <f>IF($BI187&lt;&gt;"",IF('Capacity summary'!$C$14="Yes",IF(COUNTBLANK('Capacity summary'!$H99:$BG99)&lt;52,IF('Capacity summary'!BF99&lt;&gt;"",IF(LOWER('Capacity summary'!BF99)="x",$BI187*BF187,VALUE('Capacity summary'!BF99)),0),BF187*$BI187),BF187*$BI187),0)</f>
        <v>0</v>
      </c>
      <c r="DJ187" s="5">
        <f>IF($BI187&lt;&gt;"",IF('Capacity summary'!$C$14="Yes",IF(COUNTBLANK('Capacity summary'!$H99:$BG99)&lt;52,IF('Capacity summary'!BG99&lt;&gt;"",IF(LOWER('Capacity summary'!BG99)="x",$BI187*BG187,VALUE('Capacity summary'!BG99)),0),BG187*$BI187),BG187*$BI187),0)</f>
        <v>0</v>
      </c>
      <c r="DK187" s="391">
        <f t="shared" si="10"/>
        <v>0</v>
      </c>
      <c r="DL187" s="5">
        <f t="shared" si="11"/>
        <v>0</v>
      </c>
    </row>
    <row r="188" spans="3:116" x14ac:dyDescent="0.2">
      <c r="C188" s="67" t="str">
        <f>ROW(A77)&amp;". "&amp;Capacity!N93</f>
        <v xml:space="preserve">77. </v>
      </c>
      <c r="D188" s="67">
        <f>'Capacity setup'!C194</f>
        <v>0</v>
      </c>
      <c r="E188" s="67">
        <f>'Capacity setup'!D194</f>
        <v>0</v>
      </c>
      <c r="F188" s="67">
        <f>'Capacity setup'!E194</f>
        <v>0</v>
      </c>
      <c r="H188" s="67">
        <f ca="1">IF(LOWER(Capacity!$V93)="x",IF(AND(SUMIF(Capacity_Resource,$D188,'Critical resources (hide)'!U$6:U$105)+SUMIF(Capacity_Resource,$E188,'Critical resources (hide)'!U$6:U$105)+SUMIF(Capacity_Resource,$F188,'Critical resources (hide)'!U$6:U$105)&gt;0,$E$1=2),0,1),0)</f>
        <v>1</v>
      </c>
      <c r="I188" s="67">
        <f ca="1">IF(LOWER(Capacity!$V93)="x",IF(AND(SUMIF(Capacity_Resource,$D188,'Critical resources (hide)'!V$6:V$105)+SUMIF(Capacity_Resource,$E188,'Critical resources (hide)'!V$6:V$105)+SUMIF(Capacity_Resource,$F188,'Critical resources (hide)'!V$6:V$105)&gt;0,$E$1=2),0,1),0)</f>
        <v>1</v>
      </c>
      <c r="J188" s="67">
        <f ca="1">IF(LOWER(Capacity!$V93)="x",IF(AND(SUMIF(Capacity_Resource,$D188,'Critical resources (hide)'!W$6:W$105)+SUMIF(Capacity_Resource,$E188,'Critical resources (hide)'!W$6:W$105)+SUMIF(Capacity_Resource,$F188,'Critical resources (hide)'!W$6:W$105)&gt;0,$E$1=2),0,1),0)</f>
        <v>1</v>
      </c>
      <c r="K188" s="67">
        <f ca="1">IF(LOWER(Capacity!$V93)="x",IF(AND(SUMIF(Capacity_Resource,$D188,'Critical resources (hide)'!X$6:X$105)+SUMIF(Capacity_Resource,$E188,'Critical resources (hide)'!X$6:X$105)+SUMIF(Capacity_Resource,$F188,'Critical resources (hide)'!X$6:X$105)&gt;0,$E$1=2),0,1),0)</f>
        <v>1</v>
      </c>
      <c r="L188" s="67">
        <f ca="1">IF(LOWER(Capacity!$V93)="x",IF(AND(SUMIF(Capacity_Resource,$D188,'Critical resources (hide)'!Y$6:Y$105)+SUMIF(Capacity_Resource,$E188,'Critical resources (hide)'!Y$6:Y$105)+SUMIF(Capacity_Resource,$F188,'Critical resources (hide)'!Y$6:Y$105)&gt;0,$E$1=2),0,1),0)</f>
        <v>1</v>
      </c>
      <c r="M188" s="67">
        <f ca="1">IF(LOWER(Capacity!$V93)="x",IF(AND(SUMIF(Capacity_Resource,$D188,'Critical resources (hide)'!Z$6:Z$105)+SUMIF(Capacity_Resource,$E188,'Critical resources (hide)'!Z$6:Z$105)+SUMIF(Capacity_Resource,$F188,'Critical resources (hide)'!Z$6:Z$105)&gt;0,$E$1=2),0,1),0)</f>
        <v>1</v>
      </c>
      <c r="N188" s="67">
        <f ca="1">IF(LOWER(Capacity!$V93)="x",IF(AND(SUMIF(Capacity_Resource,$D188,'Critical resources (hide)'!AA$6:AA$105)+SUMIF(Capacity_Resource,$E188,'Critical resources (hide)'!AA$6:AA$105)+SUMIF(Capacity_Resource,$F188,'Critical resources (hide)'!AA$6:AA$105)&gt;0,$E$1=2),0,1),0)</f>
        <v>1</v>
      </c>
      <c r="O188" s="67">
        <f ca="1">IF(LOWER(Capacity!$V93)="x",IF(AND(SUMIF(Capacity_Resource,$D188,'Critical resources (hide)'!AB$6:AB$105)+SUMIF(Capacity_Resource,$E188,'Critical resources (hide)'!AB$6:AB$105)+SUMIF(Capacity_Resource,$F188,'Critical resources (hide)'!AB$6:AB$105)&gt;0,$E$1=2),0,1),0)</f>
        <v>1</v>
      </c>
      <c r="P188" s="67">
        <f ca="1">IF(LOWER(Capacity!$V93)="x",IF(AND(SUMIF(Capacity_Resource,$D188,'Critical resources (hide)'!AC$6:AC$105)+SUMIF(Capacity_Resource,$E188,'Critical resources (hide)'!AC$6:AC$105)+SUMIF(Capacity_Resource,$F188,'Critical resources (hide)'!AC$6:AC$105)&gt;0,$E$1=2),0,1),0)</f>
        <v>1</v>
      </c>
      <c r="Q188" s="67">
        <f ca="1">IF(LOWER(Capacity!$V93)="x",IF(AND(SUMIF(Capacity_Resource,$D188,'Critical resources (hide)'!AD$6:AD$105)+SUMIF(Capacity_Resource,$E188,'Critical resources (hide)'!AD$6:AD$105)+SUMIF(Capacity_Resource,$F188,'Critical resources (hide)'!AD$6:AD$105)&gt;0,$E$1=2),0,1),0)</f>
        <v>1</v>
      </c>
      <c r="R188" s="67">
        <f ca="1">IF(LOWER(Capacity!$V93)="x",IF(AND(SUMIF(Capacity_Resource,$D188,'Critical resources (hide)'!AE$6:AE$105)+SUMIF(Capacity_Resource,$E188,'Critical resources (hide)'!AE$6:AE$105)+SUMIF(Capacity_Resource,$F188,'Critical resources (hide)'!AE$6:AE$105)&gt;0,$E$1=2),0,1),0)</f>
        <v>1</v>
      </c>
      <c r="S188" s="67">
        <f ca="1">IF(LOWER(Capacity!$V93)="x",IF(AND(SUMIF(Capacity_Resource,$D188,'Critical resources (hide)'!AF$6:AF$105)+SUMIF(Capacity_Resource,$E188,'Critical resources (hide)'!AF$6:AF$105)+SUMIF(Capacity_Resource,$F188,'Critical resources (hide)'!AF$6:AF$105)&gt;0,$E$1=2),0,1),0)</f>
        <v>1</v>
      </c>
      <c r="T188" s="67">
        <f ca="1">IF(LOWER(Capacity!$V93)="x",IF(AND(SUMIF(Capacity_Resource,$D188,'Critical resources (hide)'!AG$6:AG$105)+SUMIF(Capacity_Resource,$E188,'Critical resources (hide)'!AG$6:AG$105)+SUMIF(Capacity_Resource,$F188,'Critical resources (hide)'!AG$6:AG$105)&gt;0,$E$1=2),0,1),0)</f>
        <v>1</v>
      </c>
      <c r="U188" s="67">
        <f ca="1">IF(LOWER(Capacity!$V93)="x",IF(AND(SUMIF(Capacity_Resource,$D188,'Critical resources (hide)'!AH$6:AH$105)+SUMIF(Capacity_Resource,$E188,'Critical resources (hide)'!AH$6:AH$105)+SUMIF(Capacity_Resource,$F188,'Critical resources (hide)'!AH$6:AH$105)&gt;0,$E$1=2),0,1),0)</f>
        <v>1</v>
      </c>
      <c r="V188" s="67">
        <f ca="1">IF(LOWER(Capacity!$V93)="x",IF(AND(SUMIF(Capacity_Resource,$D188,'Critical resources (hide)'!AI$6:AI$105)+SUMIF(Capacity_Resource,$E188,'Critical resources (hide)'!AI$6:AI$105)+SUMIF(Capacity_Resource,$F188,'Critical resources (hide)'!AI$6:AI$105)&gt;0,$E$1=2),0,1),0)</f>
        <v>1</v>
      </c>
      <c r="W188" s="67">
        <f ca="1">IF(LOWER(Capacity!$V93)="x",IF(AND(SUMIF(Capacity_Resource,$D188,'Critical resources (hide)'!AJ$6:AJ$105)+SUMIF(Capacity_Resource,$E188,'Critical resources (hide)'!AJ$6:AJ$105)+SUMIF(Capacity_Resource,$F188,'Critical resources (hide)'!AJ$6:AJ$105)&gt;0,$E$1=2),0,1),0)</f>
        <v>1</v>
      </c>
      <c r="X188" s="67">
        <f ca="1">IF(LOWER(Capacity!$V93)="x",IF(AND(SUMIF(Capacity_Resource,$D188,'Critical resources (hide)'!AK$6:AK$105)+SUMIF(Capacity_Resource,$E188,'Critical resources (hide)'!AK$6:AK$105)+SUMIF(Capacity_Resource,$F188,'Critical resources (hide)'!AK$6:AK$105)&gt;0,$E$1=2),0,1),0)</f>
        <v>1</v>
      </c>
      <c r="Y188" s="67">
        <f ca="1">IF(LOWER(Capacity!$V93)="x",IF(AND(SUMIF(Capacity_Resource,$D188,'Critical resources (hide)'!AL$6:AL$105)+SUMIF(Capacity_Resource,$E188,'Critical resources (hide)'!AL$6:AL$105)+SUMIF(Capacity_Resource,$F188,'Critical resources (hide)'!AL$6:AL$105)&gt;0,$E$1=2),0,1),0)</f>
        <v>1</v>
      </c>
      <c r="Z188" s="67">
        <f ca="1">IF(LOWER(Capacity!$V93)="x",IF(AND(SUMIF(Capacity_Resource,$D188,'Critical resources (hide)'!AM$6:AM$105)+SUMIF(Capacity_Resource,$E188,'Critical resources (hide)'!AM$6:AM$105)+SUMIF(Capacity_Resource,$F188,'Critical resources (hide)'!AM$6:AM$105)&gt;0,$E$1=2),0,1),0)</f>
        <v>1</v>
      </c>
      <c r="AA188" s="67">
        <f ca="1">IF(LOWER(Capacity!$V93)="x",IF(AND(SUMIF(Capacity_Resource,$D188,'Critical resources (hide)'!AN$6:AN$105)+SUMIF(Capacity_Resource,$E188,'Critical resources (hide)'!AN$6:AN$105)+SUMIF(Capacity_Resource,$F188,'Critical resources (hide)'!AN$6:AN$105)&gt;0,$E$1=2),0,1),0)</f>
        <v>1</v>
      </c>
      <c r="AB188" s="67">
        <f ca="1">IF(LOWER(Capacity!$V93)="x",IF(AND(SUMIF(Capacity_Resource,$D188,'Critical resources (hide)'!AO$6:AO$105)+SUMIF(Capacity_Resource,$E188,'Critical resources (hide)'!AO$6:AO$105)+SUMIF(Capacity_Resource,$F188,'Critical resources (hide)'!AO$6:AO$105)&gt;0,$E$1=2),0,1),0)</f>
        <v>1</v>
      </c>
      <c r="AC188" s="67">
        <f ca="1">IF(LOWER(Capacity!$V93)="x",IF(AND(SUMIF(Capacity_Resource,$D188,'Critical resources (hide)'!AP$6:AP$105)+SUMIF(Capacity_Resource,$E188,'Critical resources (hide)'!AP$6:AP$105)+SUMIF(Capacity_Resource,$F188,'Critical resources (hide)'!AP$6:AP$105)&gt;0,$E$1=2),0,1),0)</f>
        <v>1</v>
      </c>
      <c r="AD188" s="67">
        <f ca="1">IF(LOWER(Capacity!$V93)="x",IF(AND(SUMIF(Capacity_Resource,$D188,'Critical resources (hide)'!AQ$6:AQ$105)+SUMIF(Capacity_Resource,$E188,'Critical resources (hide)'!AQ$6:AQ$105)+SUMIF(Capacity_Resource,$F188,'Critical resources (hide)'!AQ$6:AQ$105)&gt;0,$E$1=2),0,1),0)</f>
        <v>1</v>
      </c>
      <c r="AE188" s="67">
        <f ca="1">IF(LOWER(Capacity!$V93)="x",IF(AND(SUMIF(Capacity_Resource,$D188,'Critical resources (hide)'!AR$6:AR$105)+SUMIF(Capacity_Resource,$E188,'Critical resources (hide)'!AR$6:AR$105)+SUMIF(Capacity_Resource,$F188,'Critical resources (hide)'!AR$6:AR$105)&gt;0,$E$1=2),0,1),0)</f>
        <v>1</v>
      </c>
      <c r="AF188" s="67">
        <f ca="1">IF(LOWER(Capacity!$V93)="x",IF(AND(SUMIF(Capacity_Resource,$D188,'Critical resources (hide)'!AS$6:AS$105)+SUMIF(Capacity_Resource,$E188,'Critical resources (hide)'!AS$6:AS$105)+SUMIF(Capacity_Resource,$F188,'Critical resources (hide)'!AS$6:AS$105)&gt;0,$E$1=2),0,1),0)</f>
        <v>1</v>
      </c>
      <c r="AG188" s="67">
        <f ca="1">IF(LOWER(Capacity!$V93)="x",IF(AND(SUMIF(Capacity_Resource,$D188,'Critical resources (hide)'!AT$6:AT$105)+SUMIF(Capacity_Resource,$E188,'Critical resources (hide)'!AT$6:AT$105)+SUMIF(Capacity_Resource,$F188,'Critical resources (hide)'!AT$6:AT$105)&gt;0,$E$1=2),0,1),0)</f>
        <v>1</v>
      </c>
      <c r="AH188" s="67">
        <f ca="1">IF(LOWER(Capacity!$V93)="x",IF(AND(SUMIF(Capacity_Resource,$D188,'Critical resources (hide)'!AU$6:AU$105)+SUMIF(Capacity_Resource,$E188,'Critical resources (hide)'!AU$6:AU$105)+SUMIF(Capacity_Resource,$F188,'Critical resources (hide)'!AU$6:AU$105)&gt;0,$E$1=2),0,1),0)</f>
        <v>1</v>
      </c>
      <c r="AI188" s="67">
        <f ca="1">IF(LOWER(Capacity!$V93)="x",IF(AND(SUMIF(Capacity_Resource,$D188,'Critical resources (hide)'!AV$6:AV$105)+SUMIF(Capacity_Resource,$E188,'Critical resources (hide)'!AV$6:AV$105)+SUMIF(Capacity_Resource,$F188,'Critical resources (hide)'!AV$6:AV$105)&gt;0,$E$1=2),0,1),0)</f>
        <v>1</v>
      </c>
      <c r="AJ188" s="67">
        <f ca="1">IF(LOWER(Capacity!$V93)="x",IF(AND(SUMIF(Capacity_Resource,$D188,'Critical resources (hide)'!AW$6:AW$105)+SUMIF(Capacity_Resource,$E188,'Critical resources (hide)'!AW$6:AW$105)+SUMIF(Capacity_Resource,$F188,'Critical resources (hide)'!AW$6:AW$105)&gt;0,$E$1=2),0,1),0)</f>
        <v>1</v>
      </c>
      <c r="AK188" s="67">
        <f ca="1">IF(LOWER(Capacity!$V93)="x",IF(AND(SUMIF(Capacity_Resource,$D188,'Critical resources (hide)'!AX$6:AX$105)+SUMIF(Capacity_Resource,$E188,'Critical resources (hide)'!AX$6:AX$105)+SUMIF(Capacity_Resource,$F188,'Critical resources (hide)'!AX$6:AX$105)&gt;0,$E$1=2),0,1),0)</f>
        <v>1</v>
      </c>
      <c r="AL188" s="67">
        <f ca="1">IF(LOWER(Capacity!$V93)="x",IF(AND(SUMIF(Capacity_Resource,$D188,'Critical resources (hide)'!AY$6:AY$105)+SUMIF(Capacity_Resource,$E188,'Critical resources (hide)'!AY$6:AY$105)+SUMIF(Capacity_Resource,$F188,'Critical resources (hide)'!AY$6:AY$105)&gt;0,$E$1=2),0,1),0)</f>
        <v>1</v>
      </c>
      <c r="AM188" s="67">
        <f ca="1">IF(LOWER(Capacity!$V93)="x",IF(AND(SUMIF(Capacity_Resource,$D188,'Critical resources (hide)'!AZ$6:AZ$105)+SUMIF(Capacity_Resource,$E188,'Critical resources (hide)'!AZ$6:AZ$105)+SUMIF(Capacity_Resource,$F188,'Critical resources (hide)'!AZ$6:AZ$105)&gt;0,$E$1=2),0,1),0)</f>
        <v>1</v>
      </c>
      <c r="AN188" s="67">
        <f ca="1">IF(LOWER(Capacity!$V93)="x",IF(AND(SUMIF(Capacity_Resource,$D188,'Critical resources (hide)'!BA$6:BA$105)+SUMIF(Capacity_Resource,$E188,'Critical resources (hide)'!BA$6:BA$105)+SUMIF(Capacity_Resource,$F188,'Critical resources (hide)'!BA$6:BA$105)&gt;0,$E$1=2),0,1),0)</f>
        <v>1</v>
      </c>
      <c r="AO188" s="67">
        <f ca="1">IF(LOWER(Capacity!$V93)="x",IF(AND(SUMIF(Capacity_Resource,$D188,'Critical resources (hide)'!BB$6:BB$105)+SUMIF(Capacity_Resource,$E188,'Critical resources (hide)'!BB$6:BB$105)+SUMIF(Capacity_Resource,$F188,'Critical resources (hide)'!BB$6:BB$105)&gt;0,$E$1=2),0,1),0)</f>
        <v>1</v>
      </c>
      <c r="AP188" s="67">
        <f ca="1">IF(LOWER(Capacity!$V93)="x",IF(AND(SUMIF(Capacity_Resource,$D188,'Critical resources (hide)'!BC$6:BC$105)+SUMIF(Capacity_Resource,$E188,'Critical resources (hide)'!BC$6:BC$105)+SUMIF(Capacity_Resource,$F188,'Critical resources (hide)'!BC$6:BC$105)&gt;0,$E$1=2),0,1),0)</f>
        <v>1</v>
      </c>
      <c r="AQ188" s="67">
        <f ca="1">IF(LOWER(Capacity!$V93)="x",IF(AND(SUMIF(Capacity_Resource,$D188,'Critical resources (hide)'!BD$6:BD$105)+SUMIF(Capacity_Resource,$E188,'Critical resources (hide)'!BD$6:BD$105)+SUMIF(Capacity_Resource,$F188,'Critical resources (hide)'!BD$6:BD$105)&gt;0,$E$1=2),0,1),0)</f>
        <v>1</v>
      </c>
      <c r="AR188" s="67">
        <f ca="1">IF(LOWER(Capacity!$V93)="x",IF(AND(SUMIF(Capacity_Resource,$D188,'Critical resources (hide)'!BE$6:BE$105)+SUMIF(Capacity_Resource,$E188,'Critical resources (hide)'!BE$6:BE$105)+SUMIF(Capacity_Resource,$F188,'Critical resources (hide)'!BE$6:BE$105)&gt;0,$E$1=2),0,1),0)</f>
        <v>1</v>
      </c>
      <c r="AS188" s="67">
        <f ca="1">IF(LOWER(Capacity!$V93)="x",IF(AND(SUMIF(Capacity_Resource,$D188,'Critical resources (hide)'!BF$6:BF$105)+SUMIF(Capacity_Resource,$E188,'Critical resources (hide)'!BF$6:BF$105)+SUMIF(Capacity_Resource,$F188,'Critical resources (hide)'!BF$6:BF$105)&gt;0,$E$1=2),0,1),0)</f>
        <v>1</v>
      </c>
      <c r="AT188" s="67">
        <f ca="1">IF(LOWER(Capacity!$V93)="x",IF(AND(SUMIF(Capacity_Resource,$D188,'Critical resources (hide)'!BG$6:BG$105)+SUMIF(Capacity_Resource,$E188,'Critical resources (hide)'!BG$6:BG$105)+SUMIF(Capacity_Resource,$F188,'Critical resources (hide)'!BG$6:BG$105)&gt;0,$E$1=2),0,1),0)</f>
        <v>1</v>
      </c>
      <c r="AU188" s="67">
        <f ca="1">IF(LOWER(Capacity!$V93)="x",IF(AND(SUMIF(Capacity_Resource,$D188,'Critical resources (hide)'!BH$6:BH$105)+SUMIF(Capacity_Resource,$E188,'Critical resources (hide)'!BH$6:BH$105)+SUMIF(Capacity_Resource,$F188,'Critical resources (hide)'!BH$6:BH$105)&gt;0,$E$1=2),0,1),0)</f>
        <v>1</v>
      </c>
      <c r="AV188" s="67">
        <f ca="1">IF(LOWER(Capacity!$V93)="x",IF(AND(SUMIF(Capacity_Resource,$D188,'Critical resources (hide)'!BI$6:BI$105)+SUMIF(Capacity_Resource,$E188,'Critical resources (hide)'!BI$6:BI$105)+SUMIF(Capacity_Resource,$F188,'Critical resources (hide)'!BI$6:BI$105)&gt;0,$E$1=2),0,1),0)</f>
        <v>1</v>
      </c>
      <c r="AW188" s="67">
        <f ca="1">IF(LOWER(Capacity!$V93)="x",IF(AND(SUMIF(Capacity_Resource,$D188,'Critical resources (hide)'!BJ$6:BJ$105)+SUMIF(Capacity_Resource,$E188,'Critical resources (hide)'!BJ$6:BJ$105)+SUMIF(Capacity_Resource,$F188,'Critical resources (hide)'!BJ$6:BJ$105)&gt;0,$E$1=2),0,1),0)</f>
        <v>1</v>
      </c>
      <c r="AX188" s="67">
        <f ca="1">IF(LOWER(Capacity!$V93)="x",IF(AND(SUMIF(Capacity_Resource,$D188,'Critical resources (hide)'!BK$6:BK$105)+SUMIF(Capacity_Resource,$E188,'Critical resources (hide)'!BK$6:BK$105)+SUMIF(Capacity_Resource,$F188,'Critical resources (hide)'!BK$6:BK$105)&gt;0,$E$1=2),0,1),0)</f>
        <v>1</v>
      </c>
      <c r="AY188" s="67">
        <f ca="1">IF(LOWER(Capacity!$V93)="x",IF(AND(SUMIF(Capacity_Resource,$D188,'Critical resources (hide)'!BL$6:BL$105)+SUMIF(Capacity_Resource,$E188,'Critical resources (hide)'!BL$6:BL$105)+SUMIF(Capacity_Resource,$F188,'Critical resources (hide)'!BL$6:BL$105)&gt;0,$E$1=2),0,1),0)</f>
        <v>1</v>
      </c>
      <c r="AZ188" s="67">
        <f ca="1">IF(LOWER(Capacity!$V93)="x",IF(AND(SUMIF(Capacity_Resource,$D188,'Critical resources (hide)'!BM$6:BM$105)+SUMIF(Capacity_Resource,$E188,'Critical resources (hide)'!BM$6:BM$105)+SUMIF(Capacity_Resource,$F188,'Critical resources (hide)'!BM$6:BM$105)&gt;0,$E$1=2),0,1),0)</f>
        <v>1</v>
      </c>
      <c r="BA188" s="67">
        <f ca="1">IF(LOWER(Capacity!$V93)="x",IF(AND(SUMIF(Capacity_Resource,$D188,'Critical resources (hide)'!BN$6:BN$105)+SUMIF(Capacity_Resource,$E188,'Critical resources (hide)'!BN$6:BN$105)+SUMIF(Capacity_Resource,$F188,'Critical resources (hide)'!BN$6:BN$105)&gt;0,$E$1=2),0,1),0)</f>
        <v>1</v>
      </c>
      <c r="BB188" s="67">
        <f ca="1">IF(LOWER(Capacity!$V93)="x",IF(AND(SUMIF(Capacity_Resource,$D188,'Critical resources (hide)'!BO$6:BO$105)+SUMIF(Capacity_Resource,$E188,'Critical resources (hide)'!BO$6:BO$105)+SUMIF(Capacity_Resource,$F188,'Critical resources (hide)'!BO$6:BO$105)&gt;0,$E$1=2),0,1),0)</f>
        <v>1</v>
      </c>
      <c r="BC188" s="67">
        <f ca="1">IF(LOWER(Capacity!$V93)="x",IF(AND(SUMIF(Capacity_Resource,$D188,'Critical resources (hide)'!BP$6:BP$105)+SUMIF(Capacity_Resource,$E188,'Critical resources (hide)'!BP$6:BP$105)+SUMIF(Capacity_Resource,$F188,'Critical resources (hide)'!BP$6:BP$105)&gt;0,$E$1=2),0,1),0)</f>
        <v>1</v>
      </c>
      <c r="BD188" s="67">
        <f ca="1">IF(LOWER(Capacity!$V93)="x",IF(AND(SUMIF(Capacity_Resource,$D188,'Critical resources (hide)'!BQ$6:BQ$105)+SUMIF(Capacity_Resource,$E188,'Critical resources (hide)'!BQ$6:BQ$105)+SUMIF(Capacity_Resource,$F188,'Critical resources (hide)'!BQ$6:BQ$105)&gt;0,$E$1=2),0,1),0)</f>
        <v>1</v>
      </c>
      <c r="BE188" s="67">
        <f ca="1">IF(LOWER(Capacity!$V93)="x",IF(AND(SUMIF(Capacity_Resource,$D188,'Critical resources (hide)'!BR$6:BR$105)+SUMIF(Capacity_Resource,$E188,'Critical resources (hide)'!BR$6:BR$105)+SUMIF(Capacity_Resource,$F188,'Critical resources (hide)'!BR$6:BR$105)&gt;0,$E$1=2),0,1),0)</f>
        <v>1</v>
      </c>
      <c r="BF188" s="67">
        <f ca="1">IF(LOWER(Capacity!$V93)="x",IF(AND(SUMIF(Capacity_Resource,$D188,'Critical resources (hide)'!BS$6:BS$105)+SUMIF(Capacity_Resource,$E188,'Critical resources (hide)'!BS$6:BS$105)+SUMIF(Capacity_Resource,$F188,'Critical resources (hide)'!BS$6:BS$105)&gt;0,$E$1=2),0,1),0)</f>
        <v>1</v>
      </c>
      <c r="BG188" s="67">
        <f ca="1">IF(LOWER(Capacity!$V93)="x",IF(AND(SUMIF(Capacity_Resource,$D188,'Critical resources (hide)'!BT$6:BT$105)+SUMIF(Capacity_Resource,$E188,'Critical resources (hide)'!BT$6:BT$105)+SUMIF(Capacity_Resource,$F188,'Critical resources (hide)'!BT$6:BT$105)&gt;0,$E$1=2),0,1),0)</f>
        <v>1</v>
      </c>
      <c r="BH188" s="67">
        <f>IF(ROW(A77)&lt;=Capacity!$M$16,IF('Capacity summary'!$C$14="No",SUM(H188:BG188),'Capacity summary'!$E100),0)</f>
        <v>0</v>
      </c>
      <c r="BI188" s="67" t="str">
        <f>IF(BH188&gt;0,IF(BH188&lt;Capacity!Q93,Capacity!R93,Capacity!T93/'Capacity calculation (hide)'!BH188),"")</f>
        <v/>
      </c>
      <c r="BJ188" s="5"/>
      <c r="BK188" s="5">
        <f>IF($BI188&lt;&gt;"",IF('Capacity summary'!$C$14="Yes",IF(COUNTBLANK('Capacity summary'!$H100:$BG100)&lt;52,IF('Capacity summary'!H100&lt;&gt;"",IF(LOWER('Capacity summary'!H100)="x",$BI188*H188,VALUE('Capacity summary'!H100)),0),H188*$BI188),H188*$BI188),0)</f>
        <v>0</v>
      </c>
      <c r="BL188" s="5">
        <f>IF($BI188&lt;&gt;"",IF('Capacity summary'!$C$14="Yes",IF(COUNTBLANK('Capacity summary'!$H100:$BG100)&lt;52,IF('Capacity summary'!I100&lt;&gt;"",IF(LOWER('Capacity summary'!I100)="x",$BI188*I188,VALUE('Capacity summary'!I100)),0),I188*$BI188),I188*$BI188),0)</f>
        <v>0</v>
      </c>
      <c r="BM188" s="5">
        <f>IF($BI188&lt;&gt;"",IF('Capacity summary'!$C$14="Yes",IF(COUNTBLANK('Capacity summary'!$H100:$BG100)&lt;52,IF('Capacity summary'!J100&lt;&gt;"",IF(LOWER('Capacity summary'!J100)="x",$BI188*J188,VALUE('Capacity summary'!J100)),0),J188*$BI188),J188*$BI188),0)</f>
        <v>0</v>
      </c>
      <c r="BN188" s="5">
        <f>IF($BI188&lt;&gt;"",IF('Capacity summary'!$C$14="Yes",IF(COUNTBLANK('Capacity summary'!$H100:$BG100)&lt;52,IF('Capacity summary'!K100&lt;&gt;"",IF(LOWER('Capacity summary'!K100)="x",$BI188*K188,VALUE('Capacity summary'!K100)),0),K188*$BI188),K188*$BI188),0)</f>
        <v>0</v>
      </c>
      <c r="BO188" s="5">
        <f>IF($BI188&lt;&gt;"",IF('Capacity summary'!$C$14="Yes",IF(COUNTBLANK('Capacity summary'!$H100:$BG100)&lt;52,IF('Capacity summary'!L100&lt;&gt;"",IF(LOWER('Capacity summary'!L100)="x",$BI188*L188,VALUE('Capacity summary'!L100)),0),L188*$BI188),L188*$BI188),0)</f>
        <v>0</v>
      </c>
      <c r="BP188" s="5">
        <f>IF($BI188&lt;&gt;"",IF('Capacity summary'!$C$14="Yes",IF(COUNTBLANK('Capacity summary'!$H100:$BG100)&lt;52,IF('Capacity summary'!M100&lt;&gt;"",IF(LOWER('Capacity summary'!M100)="x",$BI188*M188,VALUE('Capacity summary'!M100)),0),M188*$BI188),M188*$BI188),0)</f>
        <v>0</v>
      </c>
      <c r="BQ188" s="5">
        <f>IF($BI188&lt;&gt;"",IF('Capacity summary'!$C$14="Yes",IF(COUNTBLANK('Capacity summary'!$H100:$BG100)&lt;52,IF('Capacity summary'!N100&lt;&gt;"",IF(LOWER('Capacity summary'!N100)="x",$BI188*N188,VALUE('Capacity summary'!N100)),0),N188*$BI188),N188*$BI188),0)</f>
        <v>0</v>
      </c>
      <c r="BR188" s="5">
        <f>IF($BI188&lt;&gt;"",IF('Capacity summary'!$C$14="Yes",IF(COUNTBLANK('Capacity summary'!$H100:$BG100)&lt;52,IF('Capacity summary'!O100&lt;&gt;"",IF(LOWER('Capacity summary'!O100)="x",$BI188*O188,VALUE('Capacity summary'!O100)),0),O188*$BI188),O188*$BI188),0)</f>
        <v>0</v>
      </c>
      <c r="BS188" s="5">
        <f>IF($BI188&lt;&gt;"",IF('Capacity summary'!$C$14="Yes",IF(COUNTBLANK('Capacity summary'!$H100:$BG100)&lt;52,IF('Capacity summary'!P100&lt;&gt;"",IF(LOWER('Capacity summary'!P100)="x",$BI188*P188,VALUE('Capacity summary'!P100)),0),P188*$BI188),P188*$BI188),0)</f>
        <v>0</v>
      </c>
      <c r="BT188" s="5">
        <f>IF($BI188&lt;&gt;"",IF('Capacity summary'!$C$14="Yes",IF(COUNTBLANK('Capacity summary'!$H100:$BG100)&lt;52,IF('Capacity summary'!Q100&lt;&gt;"",IF(LOWER('Capacity summary'!Q100)="x",$BI188*Q188,VALUE('Capacity summary'!Q100)),0),Q188*$BI188),Q188*$BI188),0)</f>
        <v>0</v>
      </c>
      <c r="BU188" s="5">
        <f>IF($BI188&lt;&gt;"",IF('Capacity summary'!$C$14="Yes",IF(COUNTBLANK('Capacity summary'!$H100:$BG100)&lt;52,IF('Capacity summary'!R100&lt;&gt;"",IF(LOWER('Capacity summary'!R100)="x",$BI188*R188,VALUE('Capacity summary'!R100)),0),R188*$BI188),R188*$BI188),0)</f>
        <v>0</v>
      </c>
      <c r="BV188" s="5">
        <f>IF($BI188&lt;&gt;"",IF('Capacity summary'!$C$14="Yes",IF(COUNTBLANK('Capacity summary'!$H100:$BG100)&lt;52,IF('Capacity summary'!S100&lt;&gt;"",IF(LOWER('Capacity summary'!S100)="x",$BI188*S188,VALUE('Capacity summary'!S100)),0),S188*$BI188),S188*$BI188),0)</f>
        <v>0</v>
      </c>
      <c r="BW188" s="5">
        <f>IF($BI188&lt;&gt;"",IF('Capacity summary'!$C$14="Yes",IF(COUNTBLANK('Capacity summary'!$H100:$BG100)&lt;52,IF('Capacity summary'!T100&lt;&gt;"",IF(LOWER('Capacity summary'!T100)="x",$BI188*T188,VALUE('Capacity summary'!T100)),0),T188*$BI188),T188*$BI188),0)</f>
        <v>0</v>
      </c>
      <c r="BX188" s="5">
        <f>IF($BI188&lt;&gt;"",IF('Capacity summary'!$C$14="Yes",IF(COUNTBLANK('Capacity summary'!$H100:$BG100)&lt;52,IF('Capacity summary'!U100&lt;&gt;"",IF(LOWER('Capacity summary'!U100)="x",$BI188*U188,VALUE('Capacity summary'!U100)),0),U188*$BI188),U188*$BI188),0)</f>
        <v>0</v>
      </c>
      <c r="BY188" s="5">
        <f>IF($BI188&lt;&gt;"",IF('Capacity summary'!$C$14="Yes",IF(COUNTBLANK('Capacity summary'!$H100:$BG100)&lt;52,IF('Capacity summary'!V100&lt;&gt;"",IF(LOWER('Capacity summary'!V100)="x",$BI188*V188,VALUE('Capacity summary'!V100)),0),V188*$BI188),V188*$BI188),0)</f>
        <v>0</v>
      </c>
      <c r="BZ188" s="5">
        <f>IF($BI188&lt;&gt;"",IF('Capacity summary'!$C$14="Yes",IF(COUNTBLANK('Capacity summary'!$H100:$BG100)&lt;52,IF('Capacity summary'!W100&lt;&gt;"",IF(LOWER('Capacity summary'!W100)="x",$BI188*W188,VALUE('Capacity summary'!W100)),0),W188*$BI188),W188*$BI188),0)</f>
        <v>0</v>
      </c>
      <c r="CA188" s="5">
        <f>IF($BI188&lt;&gt;"",IF('Capacity summary'!$C$14="Yes",IF(COUNTBLANK('Capacity summary'!$H100:$BG100)&lt;52,IF('Capacity summary'!X100&lt;&gt;"",IF(LOWER('Capacity summary'!X100)="x",$BI188*X188,VALUE('Capacity summary'!X100)),0),X188*$BI188),X188*$BI188),0)</f>
        <v>0</v>
      </c>
      <c r="CB188" s="5">
        <f>IF($BI188&lt;&gt;"",IF('Capacity summary'!$C$14="Yes",IF(COUNTBLANK('Capacity summary'!$H100:$BG100)&lt;52,IF('Capacity summary'!Y100&lt;&gt;"",IF(LOWER('Capacity summary'!Y100)="x",$BI188*Y188,VALUE('Capacity summary'!Y100)),0),Y188*$BI188),Y188*$BI188),0)</f>
        <v>0</v>
      </c>
      <c r="CC188" s="5">
        <f>IF($BI188&lt;&gt;"",IF('Capacity summary'!$C$14="Yes",IF(COUNTBLANK('Capacity summary'!$H100:$BG100)&lt;52,IF('Capacity summary'!Z100&lt;&gt;"",IF(LOWER('Capacity summary'!Z100)="x",$BI188*Z188,VALUE('Capacity summary'!Z100)),0),Z188*$BI188),Z188*$BI188),0)</f>
        <v>0</v>
      </c>
      <c r="CD188" s="5">
        <f>IF($BI188&lt;&gt;"",IF('Capacity summary'!$C$14="Yes",IF(COUNTBLANK('Capacity summary'!$H100:$BG100)&lt;52,IF('Capacity summary'!AA100&lt;&gt;"",IF(LOWER('Capacity summary'!AA100)="x",$BI188*AA188,VALUE('Capacity summary'!AA100)),0),AA188*$BI188),AA188*$BI188),0)</f>
        <v>0</v>
      </c>
      <c r="CE188" s="5">
        <f>IF($BI188&lt;&gt;"",IF('Capacity summary'!$C$14="Yes",IF(COUNTBLANK('Capacity summary'!$H100:$BG100)&lt;52,IF('Capacity summary'!AB100&lt;&gt;"",IF(LOWER('Capacity summary'!AB100)="x",$BI188*AB188,VALUE('Capacity summary'!AB100)),0),AB188*$BI188),AB188*$BI188),0)</f>
        <v>0</v>
      </c>
      <c r="CF188" s="5">
        <f>IF($BI188&lt;&gt;"",IF('Capacity summary'!$C$14="Yes",IF(COUNTBLANK('Capacity summary'!$H100:$BG100)&lt;52,IF('Capacity summary'!AC100&lt;&gt;"",IF(LOWER('Capacity summary'!AC100)="x",$BI188*AC188,VALUE('Capacity summary'!AC100)),0),AC188*$BI188),AC188*$BI188),0)</f>
        <v>0</v>
      </c>
      <c r="CG188" s="5">
        <f>IF($BI188&lt;&gt;"",IF('Capacity summary'!$C$14="Yes",IF(COUNTBLANK('Capacity summary'!$H100:$BG100)&lt;52,IF('Capacity summary'!AD100&lt;&gt;"",IF(LOWER('Capacity summary'!AD100)="x",$BI188*AD188,VALUE('Capacity summary'!AD100)),0),AD188*$BI188),AD188*$BI188),0)</f>
        <v>0</v>
      </c>
      <c r="CH188" s="5">
        <f>IF($BI188&lt;&gt;"",IF('Capacity summary'!$C$14="Yes",IF(COUNTBLANK('Capacity summary'!$H100:$BG100)&lt;52,IF('Capacity summary'!AE100&lt;&gt;"",IF(LOWER('Capacity summary'!AE100)="x",$BI188*AE188,VALUE('Capacity summary'!AE100)),0),AE188*$BI188),AE188*$BI188),0)</f>
        <v>0</v>
      </c>
      <c r="CI188" s="5">
        <f>IF($BI188&lt;&gt;"",IF('Capacity summary'!$C$14="Yes",IF(COUNTBLANK('Capacity summary'!$H100:$BG100)&lt;52,IF('Capacity summary'!AF100&lt;&gt;"",IF(LOWER('Capacity summary'!AF100)="x",$BI188*AF188,VALUE('Capacity summary'!AF100)),0),AF188*$BI188),AF188*$BI188),0)</f>
        <v>0</v>
      </c>
      <c r="CJ188" s="5">
        <f>IF($BI188&lt;&gt;"",IF('Capacity summary'!$C$14="Yes",IF(COUNTBLANK('Capacity summary'!$H100:$BG100)&lt;52,IF('Capacity summary'!AG100&lt;&gt;"",IF(LOWER('Capacity summary'!AG100)="x",$BI188*AG188,VALUE('Capacity summary'!AG100)),0),AG188*$BI188),AG188*$BI188),0)</f>
        <v>0</v>
      </c>
      <c r="CK188" s="5">
        <f>IF($BI188&lt;&gt;"",IF('Capacity summary'!$C$14="Yes",IF(COUNTBLANK('Capacity summary'!$H100:$BG100)&lt;52,IF('Capacity summary'!AH100&lt;&gt;"",IF(LOWER('Capacity summary'!AH100)="x",$BI188*AH188,VALUE('Capacity summary'!AH100)),0),AH188*$BI188),AH188*$BI188),0)</f>
        <v>0</v>
      </c>
      <c r="CL188" s="5">
        <f>IF($BI188&lt;&gt;"",IF('Capacity summary'!$C$14="Yes",IF(COUNTBLANK('Capacity summary'!$H100:$BG100)&lt;52,IF('Capacity summary'!AI100&lt;&gt;"",IF(LOWER('Capacity summary'!AI100)="x",$BI188*AI188,VALUE('Capacity summary'!AI100)),0),AI188*$BI188),AI188*$BI188),0)</f>
        <v>0</v>
      </c>
      <c r="CM188" s="5">
        <f>IF($BI188&lt;&gt;"",IF('Capacity summary'!$C$14="Yes",IF(COUNTBLANK('Capacity summary'!$H100:$BG100)&lt;52,IF('Capacity summary'!AJ100&lt;&gt;"",IF(LOWER('Capacity summary'!AJ100)="x",$BI188*AJ188,VALUE('Capacity summary'!AJ100)),0),AJ188*$BI188),AJ188*$BI188),0)</f>
        <v>0</v>
      </c>
      <c r="CN188" s="5">
        <f>IF($BI188&lt;&gt;"",IF('Capacity summary'!$C$14="Yes",IF(COUNTBLANK('Capacity summary'!$H100:$BG100)&lt;52,IF('Capacity summary'!AK100&lt;&gt;"",IF(LOWER('Capacity summary'!AK100)="x",$BI188*AK188,VALUE('Capacity summary'!AK100)),0),AK188*$BI188),AK188*$BI188),0)</f>
        <v>0</v>
      </c>
      <c r="CO188" s="5">
        <f>IF($BI188&lt;&gt;"",IF('Capacity summary'!$C$14="Yes",IF(COUNTBLANK('Capacity summary'!$H100:$BG100)&lt;52,IF('Capacity summary'!AL100&lt;&gt;"",IF(LOWER('Capacity summary'!AL100)="x",$BI188*AL188,VALUE('Capacity summary'!AL100)),0),AL188*$BI188),AL188*$BI188),0)</f>
        <v>0</v>
      </c>
      <c r="CP188" s="5">
        <f>IF($BI188&lt;&gt;"",IF('Capacity summary'!$C$14="Yes",IF(COUNTBLANK('Capacity summary'!$H100:$BG100)&lt;52,IF('Capacity summary'!AM100&lt;&gt;"",IF(LOWER('Capacity summary'!AM100)="x",$BI188*AM188,VALUE('Capacity summary'!AM100)),0),AM188*$BI188),AM188*$BI188),0)</f>
        <v>0</v>
      </c>
      <c r="CQ188" s="5">
        <f>IF($BI188&lt;&gt;"",IF('Capacity summary'!$C$14="Yes",IF(COUNTBLANK('Capacity summary'!$H100:$BG100)&lt;52,IF('Capacity summary'!AN100&lt;&gt;"",IF(LOWER('Capacity summary'!AN100)="x",$BI188*AN188,VALUE('Capacity summary'!AN100)),0),AN188*$BI188),AN188*$BI188),0)</f>
        <v>0</v>
      </c>
      <c r="CR188" s="5">
        <f>IF($BI188&lt;&gt;"",IF('Capacity summary'!$C$14="Yes",IF(COUNTBLANK('Capacity summary'!$H100:$BG100)&lt;52,IF('Capacity summary'!AO100&lt;&gt;"",IF(LOWER('Capacity summary'!AO100)="x",$BI188*AO188,VALUE('Capacity summary'!AO100)),0),AO188*$BI188),AO188*$BI188),0)</f>
        <v>0</v>
      </c>
      <c r="CS188" s="5">
        <f>IF($BI188&lt;&gt;"",IF('Capacity summary'!$C$14="Yes",IF(COUNTBLANK('Capacity summary'!$H100:$BG100)&lt;52,IF('Capacity summary'!AP100&lt;&gt;"",IF(LOWER('Capacity summary'!AP100)="x",$BI188*AP188,VALUE('Capacity summary'!AP100)),0),AP188*$BI188),AP188*$BI188),0)</f>
        <v>0</v>
      </c>
      <c r="CT188" s="5">
        <f>IF($BI188&lt;&gt;"",IF('Capacity summary'!$C$14="Yes",IF(COUNTBLANK('Capacity summary'!$H100:$BG100)&lt;52,IF('Capacity summary'!AQ100&lt;&gt;"",IF(LOWER('Capacity summary'!AQ100)="x",$BI188*AQ188,VALUE('Capacity summary'!AQ100)),0),AQ188*$BI188),AQ188*$BI188),0)</f>
        <v>0</v>
      </c>
      <c r="CU188" s="5">
        <f>IF($BI188&lt;&gt;"",IF('Capacity summary'!$C$14="Yes",IF(COUNTBLANK('Capacity summary'!$H100:$BG100)&lt;52,IF('Capacity summary'!AR100&lt;&gt;"",IF(LOWER('Capacity summary'!AR100)="x",$BI188*AR188,VALUE('Capacity summary'!AR100)),0),AR188*$BI188),AR188*$BI188),0)</f>
        <v>0</v>
      </c>
      <c r="CV188" s="5">
        <f>IF($BI188&lt;&gt;"",IF('Capacity summary'!$C$14="Yes",IF(COUNTBLANK('Capacity summary'!$H100:$BG100)&lt;52,IF('Capacity summary'!AS100&lt;&gt;"",IF(LOWER('Capacity summary'!AS100)="x",$BI188*AS188,VALUE('Capacity summary'!AS100)),0),AS188*$BI188),AS188*$BI188),0)</f>
        <v>0</v>
      </c>
      <c r="CW188" s="5">
        <f>IF($BI188&lt;&gt;"",IF('Capacity summary'!$C$14="Yes",IF(COUNTBLANK('Capacity summary'!$H100:$BG100)&lt;52,IF('Capacity summary'!AT100&lt;&gt;"",IF(LOWER('Capacity summary'!AT100)="x",$BI188*AT188,VALUE('Capacity summary'!AT100)),0),AT188*$BI188),AT188*$BI188),0)</f>
        <v>0</v>
      </c>
      <c r="CX188" s="5">
        <f>IF($BI188&lt;&gt;"",IF('Capacity summary'!$C$14="Yes",IF(COUNTBLANK('Capacity summary'!$H100:$BG100)&lt;52,IF('Capacity summary'!AU100&lt;&gt;"",IF(LOWER('Capacity summary'!AU100)="x",$BI188*AU188,VALUE('Capacity summary'!AU100)),0),AU188*$BI188),AU188*$BI188),0)</f>
        <v>0</v>
      </c>
      <c r="CY188" s="5">
        <f>IF($BI188&lt;&gt;"",IF('Capacity summary'!$C$14="Yes",IF(COUNTBLANK('Capacity summary'!$H100:$BG100)&lt;52,IF('Capacity summary'!AV100&lt;&gt;"",IF(LOWER('Capacity summary'!AV100)="x",$BI188*AV188,VALUE('Capacity summary'!AV100)),0),AV188*$BI188),AV188*$BI188),0)</f>
        <v>0</v>
      </c>
      <c r="CZ188" s="5">
        <f>IF($BI188&lt;&gt;"",IF('Capacity summary'!$C$14="Yes",IF(COUNTBLANK('Capacity summary'!$H100:$BG100)&lt;52,IF('Capacity summary'!AW100&lt;&gt;"",IF(LOWER('Capacity summary'!AW100)="x",$BI188*AW188,VALUE('Capacity summary'!AW100)),0),AW188*$BI188),AW188*$BI188),0)</f>
        <v>0</v>
      </c>
      <c r="DA188" s="5">
        <f>IF($BI188&lt;&gt;"",IF('Capacity summary'!$C$14="Yes",IF(COUNTBLANK('Capacity summary'!$H100:$BG100)&lt;52,IF('Capacity summary'!AX100&lt;&gt;"",IF(LOWER('Capacity summary'!AX100)="x",$BI188*AX188,VALUE('Capacity summary'!AX100)),0),AX188*$BI188),AX188*$BI188),0)</f>
        <v>0</v>
      </c>
      <c r="DB188" s="5">
        <f>IF($BI188&lt;&gt;"",IF('Capacity summary'!$C$14="Yes",IF(COUNTBLANK('Capacity summary'!$H100:$BG100)&lt;52,IF('Capacity summary'!AY100&lt;&gt;"",IF(LOWER('Capacity summary'!AY100)="x",$BI188*AY188,VALUE('Capacity summary'!AY100)),0),AY188*$BI188),AY188*$BI188),0)</f>
        <v>0</v>
      </c>
      <c r="DC188" s="5">
        <f>IF($BI188&lt;&gt;"",IF('Capacity summary'!$C$14="Yes",IF(COUNTBLANK('Capacity summary'!$H100:$BG100)&lt;52,IF('Capacity summary'!AZ100&lt;&gt;"",IF(LOWER('Capacity summary'!AZ100)="x",$BI188*AZ188,VALUE('Capacity summary'!AZ100)),0),AZ188*$BI188),AZ188*$BI188),0)</f>
        <v>0</v>
      </c>
      <c r="DD188" s="5">
        <f>IF($BI188&lt;&gt;"",IF('Capacity summary'!$C$14="Yes",IF(COUNTBLANK('Capacity summary'!$H100:$BG100)&lt;52,IF('Capacity summary'!BA100&lt;&gt;"",IF(LOWER('Capacity summary'!BA100)="x",$BI188*BA188,VALUE('Capacity summary'!BA100)),0),BA188*$BI188),BA188*$BI188),0)</f>
        <v>0</v>
      </c>
      <c r="DE188" s="5">
        <f>IF($BI188&lt;&gt;"",IF('Capacity summary'!$C$14="Yes",IF(COUNTBLANK('Capacity summary'!$H100:$BG100)&lt;52,IF('Capacity summary'!BB100&lt;&gt;"",IF(LOWER('Capacity summary'!BB100)="x",$BI188*BB188,VALUE('Capacity summary'!BB100)),0),BB188*$BI188),BB188*$BI188),0)</f>
        <v>0</v>
      </c>
      <c r="DF188" s="5">
        <f>IF($BI188&lt;&gt;"",IF('Capacity summary'!$C$14="Yes",IF(COUNTBLANK('Capacity summary'!$H100:$BG100)&lt;52,IF('Capacity summary'!BC100&lt;&gt;"",IF(LOWER('Capacity summary'!BC100)="x",$BI188*BC188,VALUE('Capacity summary'!BC100)),0),BC188*$BI188),BC188*$BI188),0)</f>
        <v>0</v>
      </c>
      <c r="DG188" s="5">
        <f>IF($BI188&lt;&gt;"",IF('Capacity summary'!$C$14="Yes",IF(COUNTBLANK('Capacity summary'!$H100:$BG100)&lt;52,IF('Capacity summary'!BD100&lt;&gt;"",IF(LOWER('Capacity summary'!BD100)="x",$BI188*BD188,VALUE('Capacity summary'!BD100)),0),BD188*$BI188),BD188*$BI188),0)</f>
        <v>0</v>
      </c>
      <c r="DH188" s="5">
        <f>IF($BI188&lt;&gt;"",IF('Capacity summary'!$C$14="Yes",IF(COUNTBLANK('Capacity summary'!$H100:$BG100)&lt;52,IF('Capacity summary'!BE100&lt;&gt;"",IF(LOWER('Capacity summary'!BE100)="x",$BI188*BE188,VALUE('Capacity summary'!BE100)),0),BE188*$BI188),BE188*$BI188),0)</f>
        <v>0</v>
      </c>
      <c r="DI188" s="5">
        <f>IF($BI188&lt;&gt;"",IF('Capacity summary'!$C$14="Yes",IF(COUNTBLANK('Capacity summary'!$H100:$BG100)&lt;52,IF('Capacity summary'!BF100&lt;&gt;"",IF(LOWER('Capacity summary'!BF100)="x",$BI188*BF188,VALUE('Capacity summary'!BF100)),0),BF188*$BI188),BF188*$BI188),0)</f>
        <v>0</v>
      </c>
      <c r="DJ188" s="5">
        <f>IF($BI188&lt;&gt;"",IF('Capacity summary'!$C$14="Yes",IF(COUNTBLANK('Capacity summary'!$H100:$BG100)&lt;52,IF('Capacity summary'!BG100&lt;&gt;"",IF(LOWER('Capacity summary'!BG100)="x",$BI188*BG188,VALUE('Capacity summary'!BG100)),0),BG188*$BI188),BG188*$BI188),0)</f>
        <v>0</v>
      </c>
      <c r="DK188" s="391">
        <f t="shared" si="10"/>
        <v>0</v>
      </c>
      <c r="DL188" s="5">
        <f t="shared" si="11"/>
        <v>0</v>
      </c>
    </row>
    <row r="189" spans="3:116" x14ac:dyDescent="0.2">
      <c r="C189" s="67" t="str">
        <f>ROW(A78)&amp;". "&amp;Capacity!N94</f>
        <v xml:space="preserve">78. </v>
      </c>
      <c r="D189" s="67">
        <f>'Capacity setup'!C195</f>
        <v>0</v>
      </c>
      <c r="E189" s="67">
        <f>'Capacity setup'!D195</f>
        <v>0</v>
      </c>
      <c r="F189" s="67">
        <f>'Capacity setup'!E195</f>
        <v>0</v>
      </c>
      <c r="H189" s="67">
        <f ca="1">IF(LOWER(Capacity!$V94)="x",IF(AND(SUMIF(Capacity_Resource,$D189,'Critical resources (hide)'!U$6:U$105)+SUMIF(Capacity_Resource,$E189,'Critical resources (hide)'!U$6:U$105)+SUMIF(Capacity_Resource,$F189,'Critical resources (hide)'!U$6:U$105)&gt;0,$E$1=2),0,1),0)</f>
        <v>1</v>
      </c>
      <c r="I189" s="67">
        <f ca="1">IF(LOWER(Capacity!$V94)="x",IF(AND(SUMIF(Capacity_Resource,$D189,'Critical resources (hide)'!V$6:V$105)+SUMIF(Capacity_Resource,$E189,'Critical resources (hide)'!V$6:V$105)+SUMIF(Capacity_Resource,$F189,'Critical resources (hide)'!V$6:V$105)&gt;0,$E$1=2),0,1),0)</f>
        <v>1</v>
      </c>
      <c r="J189" s="67">
        <f ca="1">IF(LOWER(Capacity!$V94)="x",IF(AND(SUMIF(Capacity_Resource,$D189,'Critical resources (hide)'!W$6:W$105)+SUMIF(Capacity_Resource,$E189,'Critical resources (hide)'!W$6:W$105)+SUMIF(Capacity_Resource,$F189,'Critical resources (hide)'!W$6:W$105)&gt;0,$E$1=2),0,1),0)</f>
        <v>1</v>
      </c>
      <c r="K189" s="67">
        <f ca="1">IF(LOWER(Capacity!$V94)="x",IF(AND(SUMIF(Capacity_Resource,$D189,'Critical resources (hide)'!X$6:X$105)+SUMIF(Capacity_Resource,$E189,'Critical resources (hide)'!X$6:X$105)+SUMIF(Capacity_Resource,$F189,'Critical resources (hide)'!X$6:X$105)&gt;0,$E$1=2),0,1),0)</f>
        <v>1</v>
      </c>
      <c r="L189" s="67">
        <f ca="1">IF(LOWER(Capacity!$V94)="x",IF(AND(SUMIF(Capacity_Resource,$D189,'Critical resources (hide)'!Y$6:Y$105)+SUMIF(Capacity_Resource,$E189,'Critical resources (hide)'!Y$6:Y$105)+SUMIF(Capacity_Resource,$F189,'Critical resources (hide)'!Y$6:Y$105)&gt;0,$E$1=2),0,1),0)</f>
        <v>1</v>
      </c>
      <c r="M189" s="67">
        <f ca="1">IF(LOWER(Capacity!$V94)="x",IF(AND(SUMIF(Capacity_Resource,$D189,'Critical resources (hide)'!Z$6:Z$105)+SUMIF(Capacity_Resource,$E189,'Critical resources (hide)'!Z$6:Z$105)+SUMIF(Capacity_Resource,$F189,'Critical resources (hide)'!Z$6:Z$105)&gt;0,$E$1=2),0,1),0)</f>
        <v>1</v>
      </c>
      <c r="N189" s="67">
        <f ca="1">IF(LOWER(Capacity!$V94)="x",IF(AND(SUMIF(Capacity_Resource,$D189,'Critical resources (hide)'!AA$6:AA$105)+SUMIF(Capacity_Resource,$E189,'Critical resources (hide)'!AA$6:AA$105)+SUMIF(Capacity_Resource,$F189,'Critical resources (hide)'!AA$6:AA$105)&gt;0,$E$1=2),0,1),0)</f>
        <v>1</v>
      </c>
      <c r="O189" s="67">
        <f ca="1">IF(LOWER(Capacity!$V94)="x",IF(AND(SUMIF(Capacity_Resource,$D189,'Critical resources (hide)'!AB$6:AB$105)+SUMIF(Capacity_Resource,$E189,'Critical resources (hide)'!AB$6:AB$105)+SUMIF(Capacity_Resource,$F189,'Critical resources (hide)'!AB$6:AB$105)&gt;0,$E$1=2),0,1),0)</f>
        <v>1</v>
      </c>
      <c r="P189" s="67">
        <f ca="1">IF(LOWER(Capacity!$V94)="x",IF(AND(SUMIF(Capacity_Resource,$D189,'Critical resources (hide)'!AC$6:AC$105)+SUMIF(Capacity_Resource,$E189,'Critical resources (hide)'!AC$6:AC$105)+SUMIF(Capacity_Resource,$F189,'Critical resources (hide)'!AC$6:AC$105)&gt;0,$E$1=2),0,1),0)</f>
        <v>1</v>
      </c>
      <c r="Q189" s="67">
        <f ca="1">IF(LOWER(Capacity!$V94)="x",IF(AND(SUMIF(Capacity_Resource,$D189,'Critical resources (hide)'!AD$6:AD$105)+SUMIF(Capacity_Resource,$E189,'Critical resources (hide)'!AD$6:AD$105)+SUMIF(Capacity_Resource,$F189,'Critical resources (hide)'!AD$6:AD$105)&gt;0,$E$1=2),0,1),0)</f>
        <v>1</v>
      </c>
      <c r="R189" s="67">
        <f ca="1">IF(LOWER(Capacity!$V94)="x",IF(AND(SUMIF(Capacity_Resource,$D189,'Critical resources (hide)'!AE$6:AE$105)+SUMIF(Capacity_Resource,$E189,'Critical resources (hide)'!AE$6:AE$105)+SUMIF(Capacity_Resource,$F189,'Critical resources (hide)'!AE$6:AE$105)&gt;0,$E$1=2),0,1),0)</f>
        <v>1</v>
      </c>
      <c r="S189" s="67">
        <f ca="1">IF(LOWER(Capacity!$V94)="x",IF(AND(SUMIF(Capacity_Resource,$D189,'Critical resources (hide)'!AF$6:AF$105)+SUMIF(Capacity_Resource,$E189,'Critical resources (hide)'!AF$6:AF$105)+SUMIF(Capacity_Resource,$F189,'Critical resources (hide)'!AF$6:AF$105)&gt;0,$E$1=2),0,1),0)</f>
        <v>1</v>
      </c>
      <c r="T189" s="67">
        <f ca="1">IF(LOWER(Capacity!$V94)="x",IF(AND(SUMIF(Capacity_Resource,$D189,'Critical resources (hide)'!AG$6:AG$105)+SUMIF(Capacity_Resource,$E189,'Critical resources (hide)'!AG$6:AG$105)+SUMIF(Capacity_Resource,$F189,'Critical resources (hide)'!AG$6:AG$105)&gt;0,$E$1=2),0,1),0)</f>
        <v>1</v>
      </c>
      <c r="U189" s="67">
        <f ca="1">IF(LOWER(Capacity!$V94)="x",IF(AND(SUMIF(Capacity_Resource,$D189,'Critical resources (hide)'!AH$6:AH$105)+SUMIF(Capacity_Resource,$E189,'Critical resources (hide)'!AH$6:AH$105)+SUMIF(Capacity_Resource,$F189,'Critical resources (hide)'!AH$6:AH$105)&gt;0,$E$1=2),0,1),0)</f>
        <v>1</v>
      </c>
      <c r="V189" s="67">
        <f ca="1">IF(LOWER(Capacity!$V94)="x",IF(AND(SUMIF(Capacity_Resource,$D189,'Critical resources (hide)'!AI$6:AI$105)+SUMIF(Capacity_Resource,$E189,'Critical resources (hide)'!AI$6:AI$105)+SUMIF(Capacity_Resource,$F189,'Critical resources (hide)'!AI$6:AI$105)&gt;0,$E$1=2),0,1),0)</f>
        <v>1</v>
      </c>
      <c r="W189" s="67">
        <f ca="1">IF(LOWER(Capacity!$V94)="x",IF(AND(SUMIF(Capacity_Resource,$D189,'Critical resources (hide)'!AJ$6:AJ$105)+SUMIF(Capacity_Resource,$E189,'Critical resources (hide)'!AJ$6:AJ$105)+SUMIF(Capacity_Resource,$F189,'Critical resources (hide)'!AJ$6:AJ$105)&gt;0,$E$1=2),0,1),0)</f>
        <v>1</v>
      </c>
      <c r="X189" s="67">
        <f ca="1">IF(LOWER(Capacity!$V94)="x",IF(AND(SUMIF(Capacity_Resource,$D189,'Critical resources (hide)'!AK$6:AK$105)+SUMIF(Capacity_Resource,$E189,'Critical resources (hide)'!AK$6:AK$105)+SUMIF(Capacity_Resource,$F189,'Critical resources (hide)'!AK$6:AK$105)&gt;0,$E$1=2),0,1),0)</f>
        <v>1</v>
      </c>
      <c r="Y189" s="67">
        <f ca="1">IF(LOWER(Capacity!$V94)="x",IF(AND(SUMIF(Capacity_Resource,$D189,'Critical resources (hide)'!AL$6:AL$105)+SUMIF(Capacity_Resource,$E189,'Critical resources (hide)'!AL$6:AL$105)+SUMIF(Capacity_Resource,$F189,'Critical resources (hide)'!AL$6:AL$105)&gt;0,$E$1=2),0,1),0)</f>
        <v>1</v>
      </c>
      <c r="Z189" s="67">
        <f ca="1">IF(LOWER(Capacity!$V94)="x",IF(AND(SUMIF(Capacity_Resource,$D189,'Critical resources (hide)'!AM$6:AM$105)+SUMIF(Capacity_Resource,$E189,'Critical resources (hide)'!AM$6:AM$105)+SUMIF(Capacity_Resource,$F189,'Critical resources (hide)'!AM$6:AM$105)&gt;0,$E$1=2),0,1),0)</f>
        <v>1</v>
      </c>
      <c r="AA189" s="67">
        <f ca="1">IF(LOWER(Capacity!$V94)="x",IF(AND(SUMIF(Capacity_Resource,$D189,'Critical resources (hide)'!AN$6:AN$105)+SUMIF(Capacity_Resource,$E189,'Critical resources (hide)'!AN$6:AN$105)+SUMIF(Capacity_Resource,$F189,'Critical resources (hide)'!AN$6:AN$105)&gt;0,$E$1=2),0,1),0)</f>
        <v>1</v>
      </c>
      <c r="AB189" s="67">
        <f ca="1">IF(LOWER(Capacity!$V94)="x",IF(AND(SUMIF(Capacity_Resource,$D189,'Critical resources (hide)'!AO$6:AO$105)+SUMIF(Capacity_Resource,$E189,'Critical resources (hide)'!AO$6:AO$105)+SUMIF(Capacity_Resource,$F189,'Critical resources (hide)'!AO$6:AO$105)&gt;0,$E$1=2),0,1),0)</f>
        <v>1</v>
      </c>
      <c r="AC189" s="67">
        <f ca="1">IF(LOWER(Capacity!$V94)="x",IF(AND(SUMIF(Capacity_Resource,$D189,'Critical resources (hide)'!AP$6:AP$105)+SUMIF(Capacity_Resource,$E189,'Critical resources (hide)'!AP$6:AP$105)+SUMIF(Capacity_Resource,$F189,'Critical resources (hide)'!AP$6:AP$105)&gt;0,$E$1=2),0,1),0)</f>
        <v>1</v>
      </c>
      <c r="AD189" s="67">
        <f ca="1">IF(LOWER(Capacity!$V94)="x",IF(AND(SUMIF(Capacity_Resource,$D189,'Critical resources (hide)'!AQ$6:AQ$105)+SUMIF(Capacity_Resource,$E189,'Critical resources (hide)'!AQ$6:AQ$105)+SUMIF(Capacity_Resource,$F189,'Critical resources (hide)'!AQ$6:AQ$105)&gt;0,$E$1=2),0,1),0)</f>
        <v>1</v>
      </c>
      <c r="AE189" s="67">
        <f ca="1">IF(LOWER(Capacity!$V94)="x",IF(AND(SUMIF(Capacity_Resource,$D189,'Critical resources (hide)'!AR$6:AR$105)+SUMIF(Capacity_Resource,$E189,'Critical resources (hide)'!AR$6:AR$105)+SUMIF(Capacity_Resource,$F189,'Critical resources (hide)'!AR$6:AR$105)&gt;0,$E$1=2),0,1),0)</f>
        <v>1</v>
      </c>
      <c r="AF189" s="67">
        <f ca="1">IF(LOWER(Capacity!$V94)="x",IF(AND(SUMIF(Capacity_Resource,$D189,'Critical resources (hide)'!AS$6:AS$105)+SUMIF(Capacity_Resource,$E189,'Critical resources (hide)'!AS$6:AS$105)+SUMIF(Capacity_Resource,$F189,'Critical resources (hide)'!AS$6:AS$105)&gt;0,$E$1=2),0,1),0)</f>
        <v>1</v>
      </c>
      <c r="AG189" s="67">
        <f ca="1">IF(LOWER(Capacity!$V94)="x",IF(AND(SUMIF(Capacity_Resource,$D189,'Critical resources (hide)'!AT$6:AT$105)+SUMIF(Capacity_Resource,$E189,'Critical resources (hide)'!AT$6:AT$105)+SUMIF(Capacity_Resource,$F189,'Critical resources (hide)'!AT$6:AT$105)&gt;0,$E$1=2),0,1),0)</f>
        <v>1</v>
      </c>
      <c r="AH189" s="67">
        <f ca="1">IF(LOWER(Capacity!$V94)="x",IF(AND(SUMIF(Capacity_Resource,$D189,'Critical resources (hide)'!AU$6:AU$105)+SUMIF(Capacity_Resource,$E189,'Critical resources (hide)'!AU$6:AU$105)+SUMIF(Capacity_Resource,$F189,'Critical resources (hide)'!AU$6:AU$105)&gt;0,$E$1=2),0,1),0)</f>
        <v>1</v>
      </c>
      <c r="AI189" s="67">
        <f ca="1">IF(LOWER(Capacity!$V94)="x",IF(AND(SUMIF(Capacity_Resource,$D189,'Critical resources (hide)'!AV$6:AV$105)+SUMIF(Capacity_Resource,$E189,'Critical resources (hide)'!AV$6:AV$105)+SUMIF(Capacity_Resource,$F189,'Critical resources (hide)'!AV$6:AV$105)&gt;0,$E$1=2),0,1),0)</f>
        <v>1</v>
      </c>
      <c r="AJ189" s="67">
        <f ca="1">IF(LOWER(Capacity!$V94)="x",IF(AND(SUMIF(Capacity_Resource,$D189,'Critical resources (hide)'!AW$6:AW$105)+SUMIF(Capacity_Resource,$E189,'Critical resources (hide)'!AW$6:AW$105)+SUMIF(Capacity_Resource,$F189,'Critical resources (hide)'!AW$6:AW$105)&gt;0,$E$1=2),0,1),0)</f>
        <v>1</v>
      </c>
      <c r="AK189" s="67">
        <f ca="1">IF(LOWER(Capacity!$V94)="x",IF(AND(SUMIF(Capacity_Resource,$D189,'Critical resources (hide)'!AX$6:AX$105)+SUMIF(Capacity_Resource,$E189,'Critical resources (hide)'!AX$6:AX$105)+SUMIF(Capacity_Resource,$F189,'Critical resources (hide)'!AX$6:AX$105)&gt;0,$E$1=2),0,1),0)</f>
        <v>1</v>
      </c>
      <c r="AL189" s="67">
        <f ca="1">IF(LOWER(Capacity!$V94)="x",IF(AND(SUMIF(Capacity_Resource,$D189,'Critical resources (hide)'!AY$6:AY$105)+SUMIF(Capacity_Resource,$E189,'Critical resources (hide)'!AY$6:AY$105)+SUMIF(Capacity_Resource,$F189,'Critical resources (hide)'!AY$6:AY$105)&gt;0,$E$1=2),0,1),0)</f>
        <v>1</v>
      </c>
      <c r="AM189" s="67">
        <f ca="1">IF(LOWER(Capacity!$V94)="x",IF(AND(SUMIF(Capacity_Resource,$D189,'Critical resources (hide)'!AZ$6:AZ$105)+SUMIF(Capacity_Resource,$E189,'Critical resources (hide)'!AZ$6:AZ$105)+SUMIF(Capacity_Resource,$F189,'Critical resources (hide)'!AZ$6:AZ$105)&gt;0,$E$1=2),0,1),0)</f>
        <v>1</v>
      </c>
      <c r="AN189" s="67">
        <f ca="1">IF(LOWER(Capacity!$V94)="x",IF(AND(SUMIF(Capacity_Resource,$D189,'Critical resources (hide)'!BA$6:BA$105)+SUMIF(Capacity_Resource,$E189,'Critical resources (hide)'!BA$6:BA$105)+SUMIF(Capacity_Resource,$F189,'Critical resources (hide)'!BA$6:BA$105)&gt;0,$E$1=2),0,1),0)</f>
        <v>1</v>
      </c>
      <c r="AO189" s="67">
        <f ca="1">IF(LOWER(Capacity!$V94)="x",IF(AND(SUMIF(Capacity_Resource,$D189,'Critical resources (hide)'!BB$6:BB$105)+SUMIF(Capacity_Resource,$E189,'Critical resources (hide)'!BB$6:BB$105)+SUMIF(Capacity_Resource,$F189,'Critical resources (hide)'!BB$6:BB$105)&gt;0,$E$1=2),0,1),0)</f>
        <v>1</v>
      </c>
      <c r="AP189" s="67">
        <f ca="1">IF(LOWER(Capacity!$V94)="x",IF(AND(SUMIF(Capacity_Resource,$D189,'Critical resources (hide)'!BC$6:BC$105)+SUMIF(Capacity_Resource,$E189,'Critical resources (hide)'!BC$6:BC$105)+SUMIF(Capacity_Resource,$F189,'Critical resources (hide)'!BC$6:BC$105)&gt;0,$E$1=2),0,1),0)</f>
        <v>1</v>
      </c>
      <c r="AQ189" s="67">
        <f ca="1">IF(LOWER(Capacity!$V94)="x",IF(AND(SUMIF(Capacity_Resource,$D189,'Critical resources (hide)'!BD$6:BD$105)+SUMIF(Capacity_Resource,$E189,'Critical resources (hide)'!BD$6:BD$105)+SUMIF(Capacity_Resource,$F189,'Critical resources (hide)'!BD$6:BD$105)&gt;0,$E$1=2),0,1),0)</f>
        <v>1</v>
      </c>
      <c r="AR189" s="67">
        <f ca="1">IF(LOWER(Capacity!$V94)="x",IF(AND(SUMIF(Capacity_Resource,$D189,'Critical resources (hide)'!BE$6:BE$105)+SUMIF(Capacity_Resource,$E189,'Critical resources (hide)'!BE$6:BE$105)+SUMIF(Capacity_Resource,$F189,'Critical resources (hide)'!BE$6:BE$105)&gt;0,$E$1=2),0,1),0)</f>
        <v>1</v>
      </c>
      <c r="AS189" s="67">
        <f ca="1">IF(LOWER(Capacity!$V94)="x",IF(AND(SUMIF(Capacity_Resource,$D189,'Critical resources (hide)'!BF$6:BF$105)+SUMIF(Capacity_Resource,$E189,'Critical resources (hide)'!BF$6:BF$105)+SUMIF(Capacity_Resource,$F189,'Critical resources (hide)'!BF$6:BF$105)&gt;0,$E$1=2),0,1),0)</f>
        <v>1</v>
      </c>
      <c r="AT189" s="67">
        <f ca="1">IF(LOWER(Capacity!$V94)="x",IF(AND(SUMIF(Capacity_Resource,$D189,'Critical resources (hide)'!BG$6:BG$105)+SUMIF(Capacity_Resource,$E189,'Critical resources (hide)'!BG$6:BG$105)+SUMIF(Capacity_Resource,$F189,'Critical resources (hide)'!BG$6:BG$105)&gt;0,$E$1=2),0,1),0)</f>
        <v>1</v>
      </c>
      <c r="AU189" s="67">
        <f ca="1">IF(LOWER(Capacity!$V94)="x",IF(AND(SUMIF(Capacity_Resource,$D189,'Critical resources (hide)'!BH$6:BH$105)+SUMIF(Capacity_Resource,$E189,'Critical resources (hide)'!BH$6:BH$105)+SUMIF(Capacity_Resource,$F189,'Critical resources (hide)'!BH$6:BH$105)&gt;0,$E$1=2),0,1),0)</f>
        <v>1</v>
      </c>
      <c r="AV189" s="67">
        <f ca="1">IF(LOWER(Capacity!$V94)="x",IF(AND(SUMIF(Capacity_Resource,$D189,'Critical resources (hide)'!BI$6:BI$105)+SUMIF(Capacity_Resource,$E189,'Critical resources (hide)'!BI$6:BI$105)+SUMIF(Capacity_Resource,$F189,'Critical resources (hide)'!BI$6:BI$105)&gt;0,$E$1=2),0,1),0)</f>
        <v>1</v>
      </c>
      <c r="AW189" s="67">
        <f ca="1">IF(LOWER(Capacity!$V94)="x",IF(AND(SUMIF(Capacity_Resource,$D189,'Critical resources (hide)'!BJ$6:BJ$105)+SUMIF(Capacity_Resource,$E189,'Critical resources (hide)'!BJ$6:BJ$105)+SUMIF(Capacity_Resource,$F189,'Critical resources (hide)'!BJ$6:BJ$105)&gt;0,$E$1=2),0,1),0)</f>
        <v>1</v>
      </c>
      <c r="AX189" s="67">
        <f ca="1">IF(LOWER(Capacity!$V94)="x",IF(AND(SUMIF(Capacity_Resource,$D189,'Critical resources (hide)'!BK$6:BK$105)+SUMIF(Capacity_Resource,$E189,'Critical resources (hide)'!BK$6:BK$105)+SUMIF(Capacity_Resource,$F189,'Critical resources (hide)'!BK$6:BK$105)&gt;0,$E$1=2),0,1),0)</f>
        <v>1</v>
      </c>
      <c r="AY189" s="67">
        <f ca="1">IF(LOWER(Capacity!$V94)="x",IF(AND(SUMIF(Capacity_Resource,$D189,'Critical resources (hide)'!BL$6:BL$105)+SUMIF(Capacity_Resource,$E189,'Critical resources (hide)'!BL$6:BL$105)+SUMIF(Capacity_Resource,$F189,'Critical resources (hide)'!BL$6:BL$105)&gt;0,$E$1=2),0,1),0)</f>
        <v>1</v>
      </c>
      <c r="AZ189" s="67">
        <f ca="1">IF(LOWER(Capacity!$V94)="x",IF(AND(SUMIF(Capacity_Resource,$D189,'Critical resources (hide)'!BM$6:BM$105)+SUMIF(Capacity_Resource,$E189,'Critical resources (hide)'!BM$6:BM$105)+SUMIF(Capacity_Resource,$F189,'Critical resources (hide)'!BM$6:BM$105)&gt;0,$E$1=2),0,1),0)</f>
        <v>1</v>
      </c>
      <c r="BA189" s="67">
        <f ca="1">IF(LOWER(Capacity!$V94)="x",IF(AND(SUMIF(Capacity_Resource,$D189,'Critical resources (hide)'!BN$6:BN$105)+SUMIF(Capacity_Resource,$E189,'Critical resources (hide)'!BN$6:BN$105)+SUMIF(Capacity_Resource,$F189,'Critical resources (hide)'!BN$6:BN$105)&gt;0,$E$1=2),0,1),0)</f>
        <v>1</v>
      </c>
      <c r="BB189" s="67">
        <f ca="1">IF(LOWER(Capacity!$V94)="x",IF(AND(SUMIF(Capacity_Resource,$D189,'Critical resources (hide)'!BO$6:BO$105)+SUMIF(Capacity_Resource,$E189,'Critical resources (hide)'!BO$6:BO$105)+SUMIF(Capacity_Resource,$F189,'Critical resources (hide)'!BO$6:BO$105)&gt;0,$E$1=2),0,1),0)</f>
        <v>1</v>
      </c>
      <c r="BC189" s="67">
        <f ca="1">IF(LOWER(Capacity!$V94)="x",IF(AND(SUMIF(Capacity_Resource,$D189,'Critical resources (hide)'!BP$6:BP$105)+SUMIF(Capacity_Resource,$E189,'Critical resources (hide)'!BP$6:BP$105)+SUMIF(Capacity_Resource,$F189,'Critical resources (hide)'!BP$6:BP$105)&gt;0,$E$1=2),0,1),0)</f>
        <v>1</v>
      </c>
      <c r="BD189" s="67">
        <f ca="1">IF(LOWER(Capacity!$V94)="x",IF(AND(SUMIF(Capacity_Resource,$D189,'Critical resources (hide)'!BQ$6:BQ$105)+SUMIF(Capacity_Resource,$E189,'Critical resources (hide)'!BQ$6:BQ$105)+SUMIF(Capacity_Resource,$F189,'Critical resources (hide)'!BQ$6:BQ$105)&gt;0,$E$1=2),0,1),0)</f>
        <v>1</v>
      </c>
      <c r="BE189" s="67">
        <f ca="1">IF(LOWER(Capacity!$V94)="x",IF(AND(SUMIF(Capacity_Resource,$D189,'Critical resources (hide)'!BR$6:BR$105)+SUMIF(Capacity_Resource,$E189,'Critical resources (hide)'!BR$6:BR$105)+SUMIF(Capacity_Resource,$F189,'Critical resources (hide)'!BR$6:BR$105)&gt;0,$E$1=2),0,1),0)</f>
        <v>1</v>
      </c>
      <c r="BF189" s="67">
        <f ca="1">IF(LOWER(Capacity!$V94)="x",IF(AND(SUMIF(Capacity_Resource,$D189,'Critical resources (hide)'!BS$6:BS$105)+SUMIF(Capacity_Resource,$E189,'Critical resources (hide)'!BS$6:BS$105)+SUMIF(Capacity_Resource,$F189,'Critical resources (hide)'!BS$6:BS$105)&gt;0,$E$1=2),0,1),0)</f>
        <v>1</v>
      </c>
      <c r="BG189" s="67">
        <f ca="1">IF(LOWER(Capacity!$V94)="x",IF(AND(SUMIF(Capacity_Resource,$D189,'Critical resources (hide)'!BT$6:BT$105)+SUMIF(Capacity_Resource,$E189,'Critical resources (hide)'!BT$6:BT$105)+SUMIF(Capacity_Resource,$F189,'Critical resources (hide)'!BT$6:BT$105)&gt;0,$E$1=2),0,1),0)</f>
        <v>1</v>
      </c>
      <c r="BH189" s="67">
        <f>IF(ROW(A78)&lt;=Capacity!$M$16,IF('Capacity summary'!$C$14="No",SUM(H189:BG189),'Capacity summary'!$E101),0)</f>
        <v>0</v>
      </c>
      <c r="BI189" s="67" t="str">
        <f>IF(BH189&gt;0,IF(BH189&lt;Capacity!Q94,Capacity!R94,Capacity!T94/'Capacity calculation (hide)'!BH189),"")</f>
        <v/>
      </c>
      <c r="BJ189" s="5"/>
      <c r="BK189" s="5">
        <f>IF($BI189&lt;&gt;"",IF('Capacity summary'!$C$14="Yes",IF(COUNTBLANK('Capacity summary'!$H101:$BG101)&lt;52,IF('Capacity summary'!H101&lt;&gt;"",IF(LOWER('Capacity summary'!H101)="x",$BI189*H189,VALUE('Capacity summary'!H101)),0),H189*$BI189),H189*$BI189),0)</f>
        <v>0</v>
      </c>
      <c r="BL189" s="5">
        <f>IF($BI189&lt;&gt;"",IF('Capacity summary'!$C$14="Yes",IF(COUNTBLANK('Capacity summary'!$H101:$BG101)&lt;52,IF('Capacity summary'!I101&lt;&gt;"",IF(LOWER('Capacity summary'!I101)="x",$BI189*I189,VALUE('Capacity summary'!I101)),0),I189*$BI189),I189*$BI189),0)</f>
        <v>0</v>
      </c>
      <c r="BM189" s="5">
        <f>IF($BI189&lt;&gt;"",IF('Capacity summary'!$C$14="Yes",IF(COUNTBLANK('Capacity summary'!$H101:$BG101)&lt;52,IF('Capacity summary'!J101&lt;&gt;"",IF(LOWER('Capacity summary'!J101)="x",$BI189*J189,VALUE('Capacity summary'!J101)),0),J189*$BI189),J189*$BI189),0)</f>
        <v>0</v>
      </c>
      <c r="BN189" s="5">
        <f>IF($BI189&lt;&gt;"",IF('Capacity summary'!$C$14="Yes",IF(COUNTBLANK('Capacity summary'!$H101:$BG101)&lt;52,IF('Capacity summary'!K101&lt;&gt;"",IF(LOWER('Capacity summary'!K101)="x",$BI189*K189,VALUE('Capacity summary'!K101)),0),K189*$BI189),K189*$BI189),0)</f>
        <v>0</v>
      </c>
      <c r="BO189" s="5">
        <f>IF($BI189&lt;&gt;"",IF('Capacity summary'!$C$14="Yes",IF(COUNTBLANK('Capacity summary'!$H101:$BG101)&lt;52,IF('Capacity summary'!L101&lt;&gt;"",IF(LOWER('Capacity summary'!L101)="x",$BI189*L189,VALUE('Capacity summary'!L101)),0),L189*$BI189),L189*$BI189),0)</f>
        <v>0</v>
      </c>
      <c r="BP189" s="5">
        <f>IF($BI189&lt;&gt;"",IF('Capacity summary'!$C$14="Yes",IF(COUNTBLANK('Capacity summary'!$H101:$BG101)&lt;52,IF('Capacity summary'!M101&lt;&gt;"",IF(LOWER('Capacity summary'!M101)="x",$BI189*M189,VALUE('Capacity summary'!M101)),0),M189*$BI189),M189*$BI189),0)</f>
        <v>0</v>
      </c>
      <c r="BQ189" s="5">
        <f>IF($BI189&lt;&gt;"",IF('Capacity summary'!$C$14="Yes",IF(COUNTBLANK('Capacity summary'!$H101:$BG101)&lt;52,IF('Capacity summary'!N101&lt;&gt;"",IF(LOWER('Capacity summary'!N101)="x",$BI189*N189,VALUE('Capacity summary'!N101)),0),N189*$BI189),N189*$BI189),0)</f>
        <v>0</v>
      </c>
      <c r="BR189" s="5">
        <f>IF($BI189&lt;&gt;"",IF('Capacity summary'!$C$14="Yes",IF(COUNTBLANK('Capacity summary'!$H101:$BG101)&lt;52,IF('Capacity summary'!O101&lt;&gt;"",IF(LOWER('Capacity summary'!O101)="x",$BI189*O189,VALUE('Capacity summary'!O101)),0),O189*$BI189),O189*$BI189),0)</f>
        <v>0</v>
      </c>
      <c r="BS189" s="5">
        <f>IF($BI189&lt;&gt;"",IF('Capacity summary'!$C$14="Yes",IF(COUNTBLANK('Capacity summary'!$H101:$BG101)&lt;52,IF('Capacity summary'!P101&lt;&gt;"",IF(LOWER('Capacity summary'!P101)="x",$BI189*P189,VALUE('Capacity summary'!P101)),0),P189*$BI189),P189*$BI189),0)</f>
        <v>0</v>
      </c>
      <c r="BT189" s="5">
        <f>IF($BI189&lt;&gt;"",IF('Capacity summary'!$C$14="Yes",IF(COUNTBLANK('Capacity summary'!$H101:$BG101)&lt;52,IF('Capacity summary'!Q101&lt;&gt;"",IF(LOWER('Capacity summary'!Q101)="x",$BI189*Q189,VALUE('Capacity summary'!Q101)),0),Q189*$BI189),Q189*$BI189),0)</f>
        <v>0</v>
      </c>
      <c r="BU189" s="5">
        <f>IF($BI189&lt;&gt;"",IF('Capacity summary'!$C$14="Yes",IF(COUNTBLANK('Capacity summary'!$H101:$BG101)&lt;52,IF('Capacity summary'!R101&lt;&gt;"",IF(LOWER('Capacity summary'!R101)="x",$BI189*R189,VALUE('Capacity summary'!R101)),0),R189*$BI189),R189*$BI189),0)</f>
        <v>0</v>
      </c>
      <c r="BV189" s="5">
        <f>IF($BI189&lt;&gt;"",IF('Capacity summary'!$C$14="Yes",IF(COUNTBLANK('Capacity summary'!$H101:$BG101)&lt;52,IF('Capacity summary'!S101&lt;&gt;"",IF(LOWER('Capacity summary'!S101)="x",$BI189*S189,VALUE('Capacity summary'!S101)),0),S189*$BI189),S189*$BI189),0)</f>
        <v>0</v>
      </c>
      <c r="BW189" s="5">
        <f>IF($BI189&lt;&gt;"",IF('Capacity summary'!$C$14="Yes",IF(COUNTBLANK('Capacity summary'!$H101:$BG101)&lt;52,IF('Capacity summary'!T101&lt;&gt;"",IF(LOWER('Capacity summary'!T101)="x",$BI189*T189,VALUE('Capacity summary'!T101)),0),T189*$BI189),T189*$BI189),0)</f>
        <v>0</v>
      </c>
      <c r="BX189" s="5">
        <f>IF($BI189&lt;&gt;"",IF('Capacity summary'!$C$14="Yes",IF(COUNTBLANK('Capacity summary'!$H101:$BG101)&lt;52,IF('Capacity summary'!U101&lt;&gt;"",IF(LOWER('Capacity summary'!U101)="x",$BI189*U189,VALUE('Capacity summary'!U101)),0),U189*$BI189),U189*$BI189),0)</f>
        <v>0</v>
      </c>
      <c r="BY189" s="5">
        <f>IF($BI189&lt;&gt;"",IF('Capacity summary'!$C$14="Yes",IF(COUNTBLANK('Capacity summary'!$H101:$BG101)&lt;52,IF('Capacity summary'!V101&lt;&gt;"",IF(LOWER('Capacity summary'!V101)="x",$BI189*V189,VALUE('Capacity summary'!V101)),0),V189*$BI189),V189*$BI189),0)</f>
        <v>0</v>
      </c>
      <c r="BZ189" s="5">
        <f>IF($BI189&lt;&gt;"",IF('Capacity summary'!$C$14="Yes",IF(COUNTBLANK('Capacity summary'!$H101:$BG101)&lt;52,IF('Capacity summary'!W101&lt;&gt;"",IF(LOWER('Capacity summary'!W101)="x",$BI189*W189,VALUE('Capacity summary'!W101)),0),W189*$BI189),W189*$BI189),0)</f>
        <v>0</v>
      </c>
      <c r="CA189" s="5">
        <f>IF($BI189&lt;&gt;"",IF('Capacity summary'!$C$14="Yes",IF(COUNTBLANK('Capacity summary'!$H101:$BG101)&lt;52,IF('Capacity summary'!X101&lt;&gt;"",IF(LOWER('Capacity summary'!X101)="x",$BI189*X189,VALUE('Capacity summary'!X101)),0),X189*$BI189),X189*$BI189),0)</f>
        <v>0</v>
      </c>
      <c r="CB189" s="5">
        <f>IF($BI189&lt;&gt;"",IF('Capacity summary'!$C$14="Yes",IF(COUNTBLANK('Capacity summary'!$H101:$BG101)&lt;52,IF('Capacity summary'!Y101&lt;&gt;"",IF(LOWER('Capacity summary'!Y101)="x",$BI189*Y189,VALUE('Capacity summary'!Y101)),0),Y189*$BI189),Y189*$BI189),0)</f>
        <v>0</v>
      </c>
      <c r="CC189" s="5">
        <f>IF($BI189&lt;&gt;"",IF('Capacity summary'!$C$14="Yes",IF(COUNTBLANK('Capacity summary'!$H101:$BG101)&lt;52,IF('Capacity summary'!Z101&lt;&gt;"",IF(LOWER('Capacity summary'!Z101)="x",$BI189*Z189,VALUE('Capacity summary'!Z101)),0),Z189*$BI189),Z189*$BI189),0)</f>
        <v>0</v>
      </c>
      <c r="CD189" s="5">
        <f>IF($BI189&lt;&gt;"",IF('Capacity summary'!$C$14="Yes",IF(COUNTBLANK('Capacity summary'!$H101:$BG101)&lt;52,IF('Capacity summary'!AA101&lt;&gt;"",IF(LOWER('Capacity summary'!AA101)="x",$BI189*AA189,VALUE('Capacity summary'!AA101)),0),AA189*$BI189),AA189*$BI189),0)</f>
        <v>0</v>
      </c>
      <c r="CE189" s="5">
        <f>IF($BI189&lt;&gt;"",IF('Capacity summary'!$C$14="Yes",IF(COUNTBLANK('Capacity summary'!$H101:$BG101)&lt;52,IF('Capacity summary'!AB101&lt;&gt;"",IF(LOWER('Capacity summary'!AB101)="x",$BI189*AB189,VALUE('Capacity summary'!AB101)),0),AB189*$BI189),AB189*$BI189),0)</f>
        <v>0</v>
      </c>
      <c r="CF189" s="5">
        <f>IF($BI189&lt;&gt;"",IF('Capacity summary'!$C$14="Yes",IF(COUNTBLANK('Capacity summary'!$H101:$BG101)&lt;52,IF('Capacity summary'!AC101&lt;&gt;"",IF(LOWER('Capacity summary'!AC101)="x",$BI189*AC189,VALUE('Capacity summary'!AC101)),0),AC189*$BI189),AC189*$BI189),0)</f>
        <v>0</v>
      </c>
      <c r="CG189" s="5">
        <f>IF($BI189&lt;&gt;"",IF('Capacity summary'!$C$14="Yes",IF(COUNTBLANK('Capacity summary'!$H101:$BG101)&lt;52,IF('Capacity summary'!AD101&lt;&gt;"",IF(LOWER('Capacity summary'!AD101)="x",$BI189*AD189,VALUE('Capacity summary'!AD101)),0),AD189*$BI189),AD189*$BI189),0)</f>
        <v>0</v>
      </c>
      <c r="CH189" s="5">
        <f>IF($BI189&lt;&gt;"",IF('Capacity summary'!$C$14="Yes",IF(COUNTBLANK('Capacity summary'!$H101:$BG101)&lt;52,IF('Capacity summary'!AE101&lt;&gt;"",IF(LOWER('Capacity summary'!AE101)="x",$BI189*AE189,VALUE('Capacity summary'!AE101)),0),AE189*$BI189),AE189*$BI189),0)</f>
        <v>0</v>
      </c>
      <c r="CI189" s="5">
        <f>IF($BI189&lt;&gt;"",IF('Capacity summary'!$C$14="Yes",IF(COUNTBLANK('Capacity summary'!$H101:$BG101)&lt;52,IF('Capacity summary'!AF101&lt;&gt;"",IF(LOWER('Capacity summary'!AF101)="x",$BI189*AF189,VALUE('Capacity summary'!AF101)),0),AF189*$BI189),AF189*$BI189),0)</f>
        <v>0</v>
      </c>
      <c r="CJ189" s="5">
        <f>IF($BI189&lt;&gt;"",IF('Capacity summary'!$C$14="Yes",IF(COUNTBLANK('Capacity summary'!$H101:$BG101)&lt;52,IF('Capacity summary'!AG101&lt;&gt;"",IF(LOWER('Capacity summary'!AG101)="x",$BI189*AG189,VALUE('Capacity summary'!AG101)),0),AG189*$BI189),AG189*$BI189),0)</f>
        <v>0</v>
      </c>
      <c r="CK189" s="5">
        <f>IF($BI189&lt;&gt;"",IF('Capacity summary'!$C$14="Yes",IF(COUNTBLANK('Capacity summary'!$H101:$BG101)&lt;52,IF('Capacity summary'!AH101&lt;&gt;"",IF(LOWER('Capacity summary'!AH101)="x",$BI189*AH189,VALUE('Capacity summary'!AH101)),0),AH189*$BI189),AH189*$BI189),0)</f>
        <v>0</v>
      </c>
      <c r="CL189" s="5">
        <f>IF($BI189&lt;&gt;"",IF('Capacity summary'!$C$14="Yes",IF(COUNTBLANK('Capacity summary'!$H101:$BG101)&lt;52,IF('Capacity summary'!AI101&lt;&gt;"",IF(LOWER('Capacity summary'!AI101)="x",$BI189*AI189,VALUE('Capacity summary'!AI101)),0),AI189*$BI189),AI189*$BI189),0)</f>
        <v>0</v>
      </c>
      <c r="CM189" s="5">
        <f>IF($BI189&lt;&gt;"",IF('Capacity summary'!$C$14="Yes",IF(COUNTBLANK('Capacity summary'!$H101:$BG101)&lt;52,IF('Capacity summary'!AJ101&lt;&gt;"",IF(LOWER('Capacity summary'!AJ101)="x",$BI189*AJ189,VALUE('Capacity summary'!AJ101)),0),AJ189*$BI189),AJ189*$BI189),0)</f>
        <v>0</v>
      </c>
      <c r="CN189" s="5">
        <f>IF($BI189&lt;&gt;"",IF('Capacity summary'!$C$14="Yes",IF(COUNTBLANK('Capacity summary'!$H101:$BG101)&lt;52,IF('Capacity summary'!AK101&lt;&gt;"",IF(LOWER('Capacity summary'!AK101)="x",$BI189*AK189,VALUE('Capacity summary'!AK101)),0),AK189*$BI189),AK189*$BI189),0)</f>
        <v>0</v>
      </c>
      <c r="CO189" s="5">
        <f>IF($BI189&lt;&gt;"",IF('Capacity summary'!$C$14="Yes",IF(COUNTBLANK('Capacity summary'!$H101:$BG101)&lt;52,IF('Capacity summary'!AL101&lt;&gt;"",IF(LOWER('Capacity summary'!AL101)="x",$BI189*AL189,VALUE('Capacity summary'!AL101)),0),AL189*$BI189),AL189*$BI189),0)</f>
        <v>0</v>
      </c>
      <c r="CP189" s="5">
        <f>IF($BI189&lt;&gt;"",IF('Capacity summary'!$C$14="Yes",IF(COUNTBLANK('Capacity summary'!$H101:$BG101)&lt;52,IF('Capacity summary'!AM101&lt;&gt;"",IF(LOWER('Capacity summary'!AM101)="x",$BI189*AM189,VALUE('Capacity summary'!AM101)),0),AM189*$BI189),AM189*$BI189),0)</f>
        <v>0</v>
      </c>
      <c r="CQ189" s="5">
        <f>IF($BI189&lt;&gt;"",IF('Capacity summary'!$C$14="Yes",IF(COUNTBLANK('Capacity summary'!$H101:$BG101)&lt;52,IF('Capacity summary'!AN101&lt;&gt;"",IF(LOWER('Capacity summary'!AN101)="x",$BI189*AN189,VALUE('Capacity summary'!AN101)),0),AN189*$BI189),AN189*$BI189),0)</f>
        <v>0</v>
      </c>
      <c r="CR189" s="5">
        <f>IF($BI189&lt;&gt;"",IF('Capacity summary'!$C$14="Yes",IF(COUNTBLANK('Capacity summary'!$H101:$BG101)&lt;52,IF('Capacity summary'!AO101&lt;&gt;"",IF(LOWER('Capacity summary'!AO101)="x",$BI189*AO189,VALUE('Capacity summary'!AO101)),0),AO189*$BI189),AO189*$BI189),0)</f>
        <v>0</v>
      </c>
      <c r="CS189" s="5">
        <f>IF($BI189&lt;&gt;"",IF('Capacity summary'!$C$14="Yes",IF(COUNTBLANK('Capacity summary'!$H101:$BG101)&lt;52,IF('Capacity summary'!AP101&lt;&gt;"",IF(LOWER('Capacity summary'!AP101)="x",$BI189*AP189,VALUE('Capacity summary'!AP101)),0),AP189*$BI189),AP189*$BI189),0)</f>
        <v>0</v>
      </c>
      <c r="CT189" s="5">
        <f>IF($BI189&lt;&gt;"",IF('Capacity summary'!$C$14="Yes",IF(COUNTBLANK('Capacity summary'!$H101:$BG101)&lt;52,IF('Capacity summary'!AQ101&lt;&gt;"",IF(LOWER('Capacity summary'!AQ101)="x",$BI189*AQ189,VALUE('Capacity summary'!AQ101)),0),AQ189*$BI189),AQ189*$BI189),0)</f>
        <v>0</v>
      </c>
      <c r="CU189" s="5">
        <f>IF($BI189&lt;&gt;"",IF('Capacity summary'!$C$14="Yes",IF(COUNTBLANK('Capacity summary'!$H101:$BG101)&lt;52,IF('Capacity summary'!AR101&lt;&gt;"",IF(LOWER('Capacity summary'!AR101)="x",$BI189*AR189,VALUE('Capacity summary'!AR101)),0),AR189*$BI189),AR189*$BI189),0)</f>
        <v>0</v>
      </c>
      <c r="CV189" s="5">
        <f>IF($BI189&lt;&gt;"",IF('Capacity summary'!$C$14="Yes",IF(COUNTBLANK('Capacity summary'!$H101:$BG101)&lt;52,IF('Capacity summary'!AS101&lt;&gt;"",IF(LOWER('Capacity summary'!AS101)="x",$BI189*AS189,VALUE('Capacity summary'!AS101)),0),AS189*$BI189),AS189*$BI189),0)</f>
        <v>0</v>
      </c>
      <c r="CW189" s="5">
        <f>IF($BI189&lt;&gt;"",IF('Capacity summary'!$C$14="Yes",IF(COUNTBLANK('Capacity summary'!$H101:$BG101)&lt;52,IF('Capacity summary'!AT101&lt;&gt;"",IF(LOWER('Capacity summary'!AT101)="x",$BI189*AT189,VALUE('Capacity summary'!AT101)),0),AT189*$BI189),AT189*$BI189),0)</f>
        <v>0</v>
      </c>
      <c r="CX189" s="5">
        <f>IF($BI189&lt;&gt;"",IF('Capacity summary'!$C$14="Yes",IF(COUNTBLANK('Capacity summary'!$H101:$BG101)&lt;52,IF('Capacity summary'!AU101&lt;&gt;"",IF(LOWER('Capacity summary'!AU101)="x",$BI189*AU189,VALUE('Capacity summary'!AU101)),0),AU189*$BI189),AU189*$BI189),0)</f>
        <v>0</v>
      </c>
      <c r="CY189" s="5">
        <f>IF($BI189&lt;&gt;"",IF('Capacity summary'!$C$14="Yes",IF(COUNTBLANK('Capacity summary'!$H101:$BG101)&lt;52,IF('Capacity summary'!AV101&lt;&gt;"",IF(LOWER('Capacity summary'!AV101)="x",$BI189*AV189,VALUE('Capacity summary'!AV101)),0),AV189*$BI189),AV189*$BI189),0)</f>
        <v>0</v>
      </c>
      <c r="CZ189" s="5">
        <f>IF($BI189&lt;&gt;"",IF('Capacity summary'!$C$14="Yes",IF(COUNTBLANK('Capacity summary'!$H101:$BG101)&lt;52,IF('Capacity summary'!AW101&lt;&gt;"",IF(LOWER('Capacity summary'!AW101)="x",$BI189*AW189,VALUE('Capacity summary'!AW101)),0),AW189*$BI189),AW189*$BI189),0)</f>
        <v>0</v>
      </c>
      <c r="DA189" s="5">
        <f>IF($BI189&lt;&gt;"",IF('Capacity summary'!$C$14="Yes",IF(COUNTBLANK('Capacity summary'!$H101:$BG101)&lt;52,IF('Capacity summary'!AX101&lt;&gt;"",IF(LOWER('Capacity summary'!AX101)="x",$BI189*AX189,VALUE('Capacity summary'!AX101)),0),AX189*$BI189),AX189*$BI189),0)</f>
        <v>0</v>
      </c>
      <c r="DB189" s="5">
        <f>IF($BI189&lt;&gt;"",IF('Capacity summary'!$C$14="Yes",IF(COUNTBLANK('Capacity summary'!$H101:$BG101)&lt;52,IF('Capacity summary'!AY101&lt;&gt;"",IF(LOWER('Capacity summary'!AY101)="x",$BI189*AY189,VALUE('Capacity summary'!AY101)),0),AY189*$BI189),AY189*$BI189),0)</f>
        <v>0</v>
      </c>
      <c r="DC189" s="5">
        <f>IF($BI189&lt;&gt;"",IF('Capacity summary'!$C$14="Yes",IF(COUNTBLANK('Capacity summary'!$H101:$BG101)&lt;52,IF('Capacity summary'!AZ101&lt;&gt;"",IF(LOWER('Capacity summary'!AZ101)="x",$BI189*AZ189,VALUE('Capacity summary'!AZ101)),0),AZ189*$BI189),AZ189*$BI189),0)</f>
        <v>0</v>
      </c>
      <c r="DD189" s="5">
        <f>IF($BI189&lt;&gt;"",IF('Capacity summary'!$C$14="Yes",IF(COUNTBLANK('Capacity summary'!$H101:$BG101)&lt;52,IF('Capacity summary'!BA101&lt;&gt;"",IF(LOWER('Capacity summary'!BA101)="x",$BI189*BA189,VALUE('Capacity summary'!BA101)),0),BA189*$BI189),BA189*$BI189),0)</f>
        <v>0</v>
      </c>
      <c r="DE189" s="5">
        <f>IF($BI189&lt;&gt;"",IF('Capacity summary'!$C$14="Yes",IF(COUNTBLANK('Capacity summary'!$H101:$BG101)&lt;52,IF('Capacity summary'!BB101&lt;&gt;"",IF(LOWER('Capacity summary'!BB101)="x",$BI189*BB189,VALUE('Capacity summary'!BB101)),0),BB189*$BI189),BB189*$BI189),0)</f>
        <v>0</v>
      </c>
      <c r="DF189" s="5">
        <f>IF($BI189&lt;&gt;"",IF('Capacity summary'!$C$14="Yes",IF(COUNTBLANK('Capacity summary'!$H101:$BG101)&lt;52,IF('Capacity summary'!BC101&lt;&gt;"",IF(LOWER('Capacity summary'!BC101)="x",$BI189*BC189,VALUE('Capacity summary'!BC101)),0),BC189*$BI189),BC189*$BI189),0)</f>
        <v>0</v>
      </c>
      <c r="DG189" s="5">
        <f>IF($BI189&lt;&gt;"",IF('Capacity summary'!$C$14="Yes",IF(COUNTBLANK('Capacity summary'!$H101:$BG101)&lt;52,IF('Capacity summary'!BD101&lt;&gt;"",IF(LOWER('Capacity summary'!BD101)="x",$BI189*BD189,VALUE('Capacity summary'!BD101)),0),BD189*$BI189),BD189*$BI189),0)</f>
        <v>0</v>
      </c>
      <c r="DH189" s="5">
        <f>IF($BI189&lt;&gt;"",IF('Capacity summary'!$C$14="Yes",IF(COUNTBLANK('Capacity summary'!$H101:$BG101)&lt;52,IF('Capacity summary'!BE101&lt;&gt;"",IF(LOWER('Capacity summary'!BE101)="x",$BI189*BE189,VALUE('Capacity summary'!BE101)),0),BE189*$BI189),BE189*$BI189),0)</f>
        <v>0</v>
      </c>
      <c r="DI189" s="5">
        <f>IF($BI189&lt;&gt;"",IF('Capacity summary'!$C$14="Yes",IF(COUNTBLANK('Capacity summary'!$H101:$BG101)&lt;52,IF('Capacity summary'!BF101&lt;&gt;"",IF(LOWER('Capacity summary'!BF101)="x",$BI189*BF189,VALUE('Capacity summary'!BF101)),0),BF189*$BI189),BF189*$BI189),0)</f>
        <v>0</v>
      </c>
      <c r="DJ189" s="5">
        <f>IF($BI189&lt;&gt;"",IF('Capacity summary'!$C$14="Yes",IF(COUNTBLANK('Capacity summary'!$H101:$BG101)&lt;52,IF('Capacity summary'!BG101&lt;&gt;"",IF(LOWER('Capacity summary'!BG101)="x",$BI189*BG189,VALUE('Capacity summary'!BG101)),0),BG189*$BI189),BG189*$BI189),0)</f>
        <v>0</v>
      </c>
      <c r="DK189" s="391">
        <f t="shared" si="10"/>
        <v>0</v>
      </c>
      <c r="DL189" s="5">
        <f t="shared" si="11"/>
        <v>0</v>
      </c>
    </row>
    <row r="190" spans="3:116" x14ac:dyDescent="0.2">
      <c r="C190" s="67" t="str">
        <f>ROW(A79)&amp;". "&amp;Capacity!N95</f>
        <v xml:space="preserve">79. </v>
      </c>
      <c r="D190" s="67">
        <f>'Capacity setup'!C196</f>
        <v>0</v>
      </c>
      <c r="E190" s="67">
        <f>'Capacity setup'!D196</f>
        <v>0</v>
      </c>
      <c r="F190" s="67">
        <f>'Capacity setup'!E196</f>
        <v>0</v>
      </c>
      <c r="H190" s="67">
        <f ca="1">IF(LOWER(Capacity!$V95)="x",IF(AND(SUMIF(Capacity_Resource,$D190,'Critical resources (hide)'!U$6:U$105)+SUMIF(Capacity_Resource,$E190,'Critical resources (hide)'!U$6:U$105)+SUMIF(Capacity_Resource,$F190,'Critical resources (hide)'!U$6:U$105)&gt;0,$E$1=2),0,1),0)</f>
        <v>1</v>
      </c>
      <c r="I190" s="67">
        <f ca="1">IF(LOWER(Capacity!$V95)="x",IF(AND(SUMIF(Capacity_Resource,$D190,'Critical resources (hide)'!V$6:V$105)+SUMIF(Capacity_Resource,$E190,'Critical resources (hide)'!V$6:V$105)+SUMIF(Capacity_Resource,$F190,'Critical resources (hide)'!V$6:V$105)&gt;0,$E$1=2),0,1),0)</f>
        <v>1</v>
      </c>
      <c r="J190" s="67">
        <f ca="1">IF(LOWER(Capacity!$V95)="x",IF(AND(SUMIF(Capacity_Resource,$D190,'Critical resources (hide)'!W$6:W$105)+SUMIF(Capacity_Resource,$E190,'Critical resources (hide)'!W$6:W$105)+SUMIF(Capacity_Resource,$F190,'Critical resources (hide)'!W$6:W$105)&gt;0,$E$1=2),0,1),0)</f>
        <v>1</v>
      </c>
      <c r="K190" s="67">
        <f ca="1">IF(LOWER(Capacity!$V95)="x",IF(AND(SUMIF(Capacity_Resource,$D190,'Critical resources (hide)'!X$6:X$105)+SUMIF(Capacity_Resource,$E190,'Critical resources (hide)'!X$6:X$105)+SUMIF(Capacity_Resource,$F190,'Critical resources (hide)'!X$6:X$105)&gt;0,$E$1=2),0,1),0)</f>
        <v>1</v>
      </c>
      <c r="L190" s="67">
        <f ca="1">IF(LOWER(Capacity!$V95)="x",IF(AND(SUMIF(Capacity_Resource,$D190,'Critical resources (hide)'!Y$6:Y$105)+SUMIF(Capacity_Resource,$E190,'Critical resources (hide)'!Y$6:Y$105)+SUMIF(Capacity_Resource,$F190,'Critical resources (hide)'!Y$6:Y$105)&gt;0,$E$1=2),0,1),0)</f>
        <v>1</v>
      </c>
      <c r="M190" s="67">
        <f ca="1">IF(LOWER(Capacity!$V95)="x",IF(AND(SUMIF(Capacity_Resource,$D190,'Critical resources (hide)'!Z$6:Z$105)+SUMIF(Capacity_Resource,$E190,'Critical resources (hide)'!Z$6:Z$105)+SUMIF(Capacity_Resource,$F190,'Critical resources (hide)'!Z$6:Z$105)&gt;0,$E$1=2),0,1),0)</f>
        <v>1</v>
      </c>
      <c r="N190" s="67">
        <f ca="1">IF(LOWER(Capacity!$V95)="x",IF(AND(SUMIF(Capacity_Resource,$D190,'Critical resources (hide)'!AA$6:AA$105)+SUMIF(Capacity_Resource,$E190,'Critical resources (hide)'!AA$6:AA$105)+SUMIF(Capacity_Resource,$F190,'Critical resources (hide)'!AA$6:AA$105)&gt;0,$E$1=2),0,1),0)</f>
        <v>1</v>
      </c>
      <c r="O190" s="67">
        <f ca="1">IF(LOWER(Capacity!$V95)="x",IF(AND(SUMIF(Capacity_Resource,$D190,'Critical resources (hide)'!AB$6:AB$105)+SUMIF(Capacity_Resource,$E190,'Critical resources (hide)'!AB$6:AB$105)+SUMIF(Capacity_Resource,$F190,'Critical resources (hide)'!AB$6:AB$105)&gt;0,$E$1=2),0,1),0)</f>
        <v>1</v>
      </c>
      <c r="P190" s="67">
        <f ca="1">IF(LOWER(Capacity!$V95)="x",IF(AND(SUMIF(Capacity_Resource,$D190,'Critical resources (hide)'!AC$6:AC$105)+SUMIF(Capacity_Resource,$E190,'Critical resources (hide)'!AC$6:AC$105)+SUMIF(Capacity_Resource,$F190,'Critical resources (hide)'!AC$6:AC$105)&gt;0,$E$1=2),0,1),0)</f>
        <v>1</v>
      </c>
      <c r="Q190" s="67">
        <f ca="1">IF(LOWER(Capacity!$V95)="x",IF(AND(SUMIF(Capacity_Resource,$D190,'Critical resources (hide)'!AD$6:AD$105)+SUMIF(Capacity_Resource,$E190,'Critical resources (hide)'!AD$6:AD$105)+SUMIF(Capacity_Resource,$F190,'Critical resources (hide)'!AD$6:AD$105)&gt;0,$E$1=2),0,1),0)</f>
        <v>1</v>
      </c>
      <c r="R190" s="67">
        <f ca="1">IF(LOWER(Capacity!$V95)="x",IF(AND(SUMIF(Capacity_Resource,$D190,'Critical resources (hide)'!AE$6:AE$105)+SUMIF(Capacity_Resource,$E190,'Critical resources (hide)'!AE$6:AE$105)+SUMIF(Capacity_Resource,$F190,'Critical resources (hide)'!AE$6:AE$105)&gt;0,$E$1=2),0,1),0)</f>
        <v>1</v>
      </c>
      <c r="S190" s="67">
        <f ca="1">IF(LOWER(Capacity!$V95)="x",IF(AND(SUMIF(Capacity_Resource,$D190,'Critical resources (hide)'!AF$6:AF$105)+SUMIF(Capacity_Resource,$E190,'Critical resources (hide)'!AF$6:AF$105)+SUMIF(Capacity_Resource,$F190,'Critical resources (hide)'!AF$6:AF$105)&gt;0,$E$1=2),0,1),0)</f>
        <v>1</v>
      </c>
      <c r="T190" s="67">
        <f ca="1">IF(LOWER(Capacity!$V95)="x",IF(AND(SUMIF(Capacity_Resource,$D190,'Critical resources (hide)'!AG$6:AG$105)+SUMIF(Capacity_Resource,$E190,'Critical resources (hide)'!AG$6:AG$105)+SUMIF(Capacity_Resource,$F190,'Critical resources (hide)'!AG$6:AG$105)&gt;0,$E$1=2),0,1),0)</f>
        <v>1</v>
      </c>
      <c r="U190" s="67">
        <f ca="1">IF(LOWER(Capacity!$V95)="x",IF(AND(SUMIF(Capacity_Resource,$D190,'Critical resources (hide)'!AH$6:AH$105)+SUMIF(Capacity_Resource,$E190,'Critical resources (hide)'!AH$6:AH$105)+SUMIF(Capacity_Resource,$F190,'Critical resources (hide)'!AH$6:AH$105)&gt;0,$E$1=2),0,1),0)</f>
        <v>1</v>
      </c>
      <c r="V190" s="67">
        <f ca="1">IF(LOWER(Capacity!$V95)="x",IF(AND(SUMIF(Capacity_Resource,$D190,'Critical resources (hide)'!AI$6:AI$105)+SUMIF(Capacity_Resource,$E190,'Critical resources (hide)'!AI$6:AI$105)+SUMIF(Capacity_Resource,$F190,'Critical resources (hide)'!AI$6:AI$105)&gt;0,$E$1=2),0,1),0)</f>
        <v>1</v>
      </c>
      <c r="W190" s="67">
        <f ca="1">IF(LOWER(Capacity!$V95)="x",IF(AND(SUMIF(Capacity_Resource,$D190,'Critical resources (hide)'!AJ$6:AJ$105)+SUMIF(Capacity_Resource,$E190,'Critical resources (hide)'!AJ$6:AJ$105)+SUMIF(Capacity_Resource,$F190,'Critical resources (hide)'!AJ$6:AJ$105)&gt;0,$E$1=2),0,1),0)</f>
        <v>1</v>
      </c>
      <c r="X190" s="67">
        <f ca="1">IF(LOWER(Capacity!$V95)="x",IF(AND(SUMIF(Capacity_Resource,$D190,'Critical resources (hide)'!AK$6:AK$105)+SUMIF(Capacity_Resource,$E190,'Critical resources (hide)'!AK$6:AK$105)+SUMIF(Capacity_Resource,$F190,'Critical resources (hide)'!AK$6:AK$105)&gt;0,$E$1=2),0,1),0)</f>
        <v>1</v>
      </c>
      <c r="Y190" s="67">
        <f ca="1">IF(LOWER(Capacity!$V95)="x",IF(AND(SUMIF(Capacity_Resource,$D190,'Critical resources (hide)'!AL$6:AL$105)+SUMIF(Capacity_Resource,$E190,'Critical resources (hide)'!AL$6:AL$105)+SUMIF(Capacity_Resource,$F190,'Critical resources (hide)'!AL$6:AL$105)&gt;0,$E$1=2),0,1),0)</f>
        <v>1</v>
      </c>
      <c r="Z190" s="67">
        <f ca="1">IF(LOWER(Capacity!$V95)="x",IF(AND(SUMIF(Capacity_Resource,$D190,'Critical resources (hide)'!AM$6:AM$105)+SUMIF(Capacity_Resource,$E190,'Critical resources (hide)'!AM$6:AM$105)+SUMIF(Capacity_Resource,$F190,'Critical resources (hide)'!AM$6:AM$105)&gt;0,$E$1=2),0,1),0)</f>
        <v>1</v>
      </c>
      <c r="AA190" s="67">
        <f ca="1">IF(LOWER(Capacity!$V95)="x",IF(AND(SUMIF(Capacity_Resource,$D190,'Critical resources (hide)'!AN$6:AN$105)+SUMIF(Capacity_Resource,$E190,'Critical resources (hide)'!AN$6:AN$105)+SUMIF(Capacity_Resource,$F190,'Critical resources (hide)'!AN$6:AN$105)&gt;0,$E$1=2),0,1),0)</f>
        <v>1</v>
      </c>
      <c r="AB190" s="67">
        <f ca="1">IF(LOWER(Capacity!$V95)="x",IF(AND(SUMIF(Capacity_Resource,$D190,'Critical resources (hide)'!AO$6:AO$105)+SUMIF(Capacity_Resource,$E190,'Critical resources (hide)'!AO$6:AO$105)+SUMIF(Capacity_Resource,$F190,'Critical resources (hide)'!AO$6:AO$105)&gt;0,$E$1=2),0,1),0)</f>
        <v>1</v>
      </c>
      <c r="AC190" s="67">
        <f ca="1">IF(LOWER(Capacity!$V95)="x",IF(AND(SUMIF(Capacity_Resource,$D190,'Critical resources (hide)'!AP$6:AP$105)+SUMIF(Capacity_Resource,$E190,'Critical resources (hide)'!AP$6:AP$105)+SUMIF(Capacity_Resource,$F190,'Critical resources (hide)'!AP$6:AP$105)&gt;0,$E$1=2),0,1),0)</f>
        <v>1</v>
      </c>
      <c r="AD190" s="67">
        <f ca="1">IF(LOWER(Capacity!$V95)="x",IF(AND(SUMIF(Capacity_Resource,$D190,'Critical resources (hide)'!AQ$6:AQ$105)+SUMIF(Capacity_Resource,$E190,'Critical resources (hide)'!AQ$6:AQ$105)+SUMIF(Capacity_Resource,$F190,'Critical resources (hide)'!AQ$6:AQ$105)&gt;0,$E$1=2),0,1),0)</f>
        <v>1</v>
      </c>
      <c r="AE190" s="67">
        <f ca="1">IF(LOWER(Capacity!$V95)="x",IF(AND(SUMIF(Capacity_Resource,$D190,'Critical resources (hide)'!AR$6:AR$105)+SUMIF(Capacity_Resource,$E190,'Critical resources (hide)'!AR$6:AR$105)+SUMIF(Capacity_Resource,$F190,'Critical resources (hide)'!AR$6:AR$105)&gt;0,$E$1=2),0,1),0)</f>
        <v>1</v>
      </c>
      <c r="AF190" s="67">
        <f ca="1">IF(LOWER(Capacity!$V95)="x",IF(AND(SUMIF(Capacity_Resource,$D190,'Critical resources (hide)'!AS$6:AS$105)+SUMIF(Capacity_Resource,$E190,'Critical resources (hide)'!AS$6:AS$105)+SUMIF(Capacity_Resource,$F190,'Critical resources (hide)'!AS$6:AS$105)&gt;0,$E$1=2),0,1),0)</f>
        <v>1</v>
      </c>
      <c r="AG190" s="67">
        <f ca="1">IF(LOWER(Capacity!$V95)="x",IF(AND(SUMIF(Capacity_Resource,$D190,'Critical resources (hide)'!AT$6:AT$105)+SUMIF(Capacity_Resource,$E190,'Critical resources (hide)'!AT$6:AT$105)+SUMIF(Capacity_Resource,$F190,'Critical resources (hide)'!AT$6:AT$105)&gt;0,$E$1=2),0,1),0)</f>
        <v>1</v>
      </c>
      <c r="AH190" s="67">
        <f ca="1">IF(LOWER(Capacity!$V95)="x",IF(AND(SUMIF(Capacity_Resource,$D190,'Critical resources (hide)'!AU$6:AU$105)+SUMIF(Capacity_Resource,$E190,'Critical resources (hide)'!AU$6:AU$105)+SUMIF(Capacity_Resource,$F190,'Critical resources (hide)'!AU$6:AU$105)&gt;0,$E$1=2),0,1),0)</f>
        <v>1</v>
      </c>
      <c r="AI190" s="67">
        <f ca="1">IF(LOWER(Capacity!$V95)="x",IF(AND(SUMIF(Capacity_Resource,$D190,'Critical resources (hide)'!AV$6:AV$105)+SUMIF(Capacity_Resource,$E190,'Critical resources (hide)'!AV$6:AV$105)+SUMIF(Capacity_Resource,$F190,'Critical resources (hide)'!AV$6:AV$105)&gt;0,$E$1=2),0,1),0)</f>
        <v>1</v>
      </c>
      <c r="AJ190" s="67">
        <f ca="1">IF(LOWER(Capacity!$V95)="x",IF(AND(SUMIF(Capacity_Resource,$D190,'Critical resources (hide)'!AW$6:AW$105)+SUMIF(Capacity_Resource,$E190,'Critical resources (hide)'!AW$6:AW$105)+SUMIF(Capacity_Resource,$F190,'Critical resources (hide)'!AW$6:AW$105)&gt;0,$E$1=2),0,1),0)</f>
        <v>1</v>
      </c>
      <c r="AK190" s="67">
        <f ca="1">IF(LOWER(Capacity!$V95)="x",IF(AND(SUMIF(Capacity_Resource,$D190,'Critical resources (hide)'!AX$6:AX$105)+SUMIF(Capacity_Resource,$E190,'Critical resources (hide)'!AX$6:AX$105)+SUMIF(Capacity_Resource,$F190,'Critical resources (hide)'!AX$6:AX$105)&gt;0,$E$1=2),0,1),0)</f>
        <v>1</v>
      </c>
      <c r="AL190" s="67">
        <f ca="1">IF(LOWER(Capacity!$V95)="x",IF(AND(SUMIF(Capacity_Resource,$D190,'Critical resources (hide)'!AY$6:AY$105)+SUMIF(Capacity_Resource,$E190,'Critical resources (hide)'!AY$6:AY$105)+SUMIF(Capacity_Resource,$F190,'Critical resources (hide)'!AY$6:AY$105)&gt;0,$E$1=2),0,1),0)</f>
        <v>1</v>
      </c>
      <c r="AM190" s="67">
        <f ca="1">IF(LOWER(Capacity!$V95)="x",IF(AND(SUMIF(Capacity_Resource,$D190,'Critical resources (hide)'!AZ$6:AZ$105)+SUMIF(Capacity_Resource,$E190,'Critical resources (hide)'!AZ$6:AZ$105)+SUMIF(Capacity_Resource,$F190,'Critical resources (hide)'!AZ$6:AZ$105)&gt;0,$E$1=2),0,1),0)</f>
        <v>1</v>
      </c>
      <c r="AN190" s="67">
        <f ca="1">IF(LOWER(Capacity!$V95)="x",IF(AND(SUMIF(Capacity_Resource,$D190,'Critical resources (hide)'!BA$6:BA$105)+SUMIF(Capacity_Resource,$E190,'Critical resources (hide)'!BA$6:BA$105)+SUMIF(Capacity_Resource,$F190,'Critical resources (hide)'!BA$6:BA$105)&gt;0,$E$1=2),0,1),0)</f>
        <v>1</v>
      </c>
      <c r="AO190" s="67">
        <f ca="1">IF(LOWER(Capacity!$V95)="x",IF(AND(SUMIF(Capacity_Resource,$D190,'Critical resources (hide)'!BB$6:BB$105)+SUMIF(Capacity_Resource,$E190,'Critical resources (hide)'!BB$6:BB$105)+SUMIF(Capacity_Resource,$F190,'Critical resources (hide)'!BB$6:BB$105)&gt;0,$E$1=2),0,1),0)</f>
        <v>1</v>
      </c>
      <c r="AP190" s="67">
        <f ca="1">IF(LOWER(Capacity!$V95)="x",IF(AND(SUMIF(Capacity_Resource,$D190,'Critical resources (hide)'!BC$6:BC$105)+SUMIF(Capacity_Resource,$E190,'Critical resources (hide)'!BC$6:BC$105)+SUMIF(Capacity_Resource,$F190,'Critical resources (hide)'!BC$6:BC$105)&gt;0,$E$1=2),0,1),0)</f>
        <v>1</v>
      </c>
      <c r="AQ190" s="67">
        <f ca="1">IF(LOWER(Capacity!$V95)="x",IF(AND(SUMIF(Capacity_Resource,$D190,'Critical resources (hide)'!BD$6:BD$105)+SUMIF(Capacity_Resource,$E190,'Critical resources (hide)'!BD$6:BD$105)+SUMIF(Capacity_Resource,$F190,'Critical resources (hide)'!BD$6:BD$105)&gt;0,$E$1=2),0,1),0)</f>
        <v>1</v>
      </c>
      <c r="AR190" s="67">
        <f ca="1">IF(LOWER(Capacity!$V95)="x",IF(AND(SUMIF(Capacity_Resource,$D190,'Critical resources (hide)'!BE$6:BE$105)+SUMIF(Capacity_Resource,$E190,'Critical resources (hide)'!BE$6:BE$105)+SUMIF(Capacity_Resource,$F190,'Critical resources (hide)'!BE$6:BE$105)&gt;0,$E$1=2),0,1),0)</f>
        <v>1</v>
      </c>
      <c r="AS190" s="67">
        <f ca="1">IF(LOWER(Capacity!$V95)="x",IF(AND(SUMIF(Capacity_Resource,$D190,'Critical resources (hide)'!BF$6:BF$105)+SUMIF(Capacity_Resource,$E190,'Critical resources (hide)'!BF$6:BF$105)+SUMIF(Capacity_Resource,$F190,'Critical resources (hide)'!BF$6:BF$105)&gt;0,$E$1=2),0,1),0)</f>
        <v>1</v>
      </c>
      <c r="AT190" s="67">
        <f ca="1">IF(LOWER(Capacity!$V95)="x",IF(AND(SUMIF(Capacity_Resource,$D190,'Critical resources (hide)'!BG$6:BG$105)+SUMIF(Capacity_Resource,$E190,'Critical resources (hide)'!BG$6:BG$105)+SUMIF(Capacity_Resource,$F190,'Critical resources (hide)'!BG$6:BG$105)&gt;0,$E$1=2),0,1),0)</f>
        <v>1</v>
      </c>
      <c r="AU190" s="67">
        <f ca="1">IF(LOWER(Capacity!$V95)="x",IF(AND(SUMIF(Capacity_Resource,$D190,'Critical resources (hide)'!BH$6:BH$105)+SUMIF(Capacity_Resource,$E190,'Critical resources (hide)'!BH$6:BH$105)+SUMIF(Capacity_Resource,$F190,'Critical resources (hide)'!BH$6:BH$105)&gt;0,$E$1=2),0,1),0)</f>
        <v>1</v>
      </c>
      <c r="AV190" s="67">
        <f ca="1">IF(LOWER(Capacity!$V95)="x",IF(AND(SUMIF(Capacity_Resource,$D190,'Critical resources (hide)'!BI$6:BI$105)+SUMIF(Capacity_Resource,$E190,'Critical resources (hide)'!BI$6:BI$105)+SUMIF(Capacity_Resource,$F190,'Critical resources (hide)'!BI$6:BI$105)&gt;0,$E$1=2),0,1),0)</f>
        <v>1</v>
      </c>
      <c r="AW190" s="67">
        <f ca="1">IF(LOWER(Capacity!$V95)="x",IF(AND(SUMIF(Capacity_Resource,$D190,'Critical resources (hide)'!BJ$6:BJ$105)+SUMIF(Capacity_Resource,$E190,'Critical resources (hide)'!BJ$6:BJ$105)+SUMIF(Capacity_Resource,$F190,'Critical resources (hide)'!BJ$6:BJ$105)&gt;0,$E$1=2),0,1),0)</f>
        <v>1</v>
      </c>
      <c r="AX190" s="67">
        <f ca="1">IF(LOWER(Capacity!$V95)="x",IF(AND(SUMIF(Capacity_Resource,$D190,'Critical resources (hide)'!BK$6:BK$105)+SUMIF(Capacity_Resource,$E190,'Critical resources (hide)'!BK$6:BK$105)+SUMIF(Capacity_Resource,$F190,'Critical resources (hide)'!BK$6:BK$105)&gt;0,$E$1=2),0,1),0)</f>
        <v>1</v>
      </c>
      <c r="AY190" s="67">
        <f ca="1">IF(LOWER(Capacity!$V95)="x",IF(AND(SUMIF(Capacity_Resource,$D190,'Critical resources (hide)'!BL$6:BL$105)+SUMIF(Capacity_Resource,$E190,'Critical resources (hide)'!BL$6:BL$105)+SUMIF(Capacity_Resource,$F190,'Critical resources (hide)'!BL$6:BL$105)&gt;0,$E$1=2),0,1),0)</f>
        <v>1</v>
      </c>
      <c r="AZ190" s="67">
        <f ca="1">IF(LOWER(Capacity!$V95)="x",IF(AND(SUMIF(Capacity_Resource,$D190,'Critical resources (hide)'!BM$6:BM$105)+SUMIF(Capacity_Resource,$E190,'Critical resources (hide)'!BM$6:BM$105)+SUMIF(Capacity_Resource,$F190,'Critical resources (hide)'!BM$6:BM$105)&gt;0,$E$1=2),0,1),0)</f>
        <v>1</v>
      </c>
      <c r="BA190" s="67">
        <f ca="1">IF(LOWER(Capacity!$V95)="x",IF(AND(SUMIF(Capacity_Resource,$D190,'Critical resources (hide)'!BN$6:BN$105)+SUMIF(Capacity_Resource,$E190,'Critical resources (hide)'!BN$6:BN$105)+SUMIF(Capacity_Resource,$F190,'Critical resources (hide)'!BN$6:BN$105)&gt;0,$E$1=2),0,1),0)</f>
        <v>1</v>
      </c>
      <c r="BB190" s="67">
        <f ca="1">IF(LOWER(Capacity!$V95)="x",IF(AND(SUMIF(Capacity_Resource,$D190,'Critical resources (hide)'!BO$6:BO$105)+SUMIF(Capacity_Resource,$E190,'Critical resources (hide)'!BO$6:BO$105)+SUMIF(Capacity_Resource,$F190,'Critical resources (hide)'!BO$6:BO$105)&gt;0,$E$1=2),0,1),0)</f>
        <v>1</v>
      </c>
      <c r="BC190" s="67">
        <f ca="1">IF(LOWER(Capacity!$V95)="x",IF(AND(SUMIF(Capacity_Resource,$D190,'Critical resources (hide)'!BP$6:BP$105)+SUMIF(Capacity_Resource,$E190,'Critical resources (hide)'!BP$6:BP$105)+SUMIF(Capacity_Resource,$F190,'Critical resources (hide)'!BP$6:BP$105)&gt;0,$E$1=2),0,1),0)</f>
        <v>1</v>
      </c>
      <c r="BD190" s="67">
        <f ca="1">IF(LOWER(Capacity!$V95)="x",IF(AND(SUMIF(Capacity_Resource,$D190,'Critical resources (hide)'!BQ$6:BQ$105)+SUMIF(Capacity_Resource,$E190,'Critical resources (hide)'!BQ$6:BQ$105)+SUMIF(Capacity_Resource,$F190,'Critical resources (hide)'!BQ$6:BQ$105)&gt;0,$E$1=2),0,1),0)</f>
        <v>1</v>
      </c>
      <c r="BE190" s="67">
        <f ca="1">IF(LOWER(Capacity!$V95)="x",IF(AND(SUMIF(Capacity_Resource,$D190,'Critical resources (hide)'!BR$6:BR$105)+SUMIF(Capacity_Resource,$E190,'Critical resources (hide)'!BR$6:BR$105)+SUMIF(Capacity_Resource,$F190,'Critical resources (hide)'!BR$6:BR$105)&gt;0,$E$1=2),0,1),0)</f>
        <v>1</v>
      </c>
      <c r="BF190" s="67">
        <f ca="1">IF(LOWER(Capacity!$V95)="x",IF(AND(SUMIF(Capacity_Resource,$D190,'Critical resources (hide)'!BS$6:BS$105)+SUMIF(Capacity_Resource,$E190,'Critical resources (hide)'!BS$6:BS$105)+SUMIF(Capacity_Resource,$F190,'Critical resources (hide)'!BS$6:BS$105)&gt;0,$E$1=2),0,1),0)</f>
        <v>1</v>
      </c>
      <c r="BG190" s="67">
        <f ca="1">IF(LOWER(Capacity!$V95)="x",IF(AND(SUMIF(Capacity_Resource,$D190,'Critical resources (hide)'!BT$6:BT$105)+SUMIF(Capacity_Resource,$E190,'Critical resources (hide)'!BT$6:BT$105)+SUMIF(Capacity_Resource,$F190,'Critical resources (hide)'!BT$6:BT$105)&gt;0,$E$1=2),0,1),0)</f>
        <v>1</v>
      </c>
      <c r="BH190" s="67">
        <f>IF(ROW(A79)&lt;=Capacity!$M$16,IF('Capacity summary'!$C$14="No",SUM(H190:BG190),'Capacity summary'!$E102),0)</f>
        <v>0</v>
      </c>
      <c r="BI190" s="67" t="str">
        <f>IF(BH190&gt;0,IF(BH190&lt;Capacity!Q95,Capacity!R95,Capacity!T95/'Capacity calculation (hide)'!BH190),"")</f>
        <v/>
      </c>
      <c r="BJ190" s="5"/>
      <c r="BK190" s="5">
        <f>IF($BI190&lt;&gt;"",IF('Capacity summary'!$C$14="Yes",IF(COUNTBLANK('Capacity summary'!$H102:$BG102)&lt;52,IF('Capacity summary'!H102&lt;&gt;"",IF(LOWER('Capacity summary'!H102)="x",$BI190*H190,VALUE('Capacity summary'!H102)),0),H190*$BI190),H190*$BI190),0)</f>
        <v>0</v>
      </c>
      <c r="BL190" s="5">
        <f>IF($BI190&lt;&gt;"",IF('Capacity summary'!$C$14="Yes",IF(COUNTBLANK('Capacity summary'!$H102:$BG102)&lt;52,IF('Capacity summary'!I102&lt;&gt;"",IF(LOWER('Capacity summary'!I102)="x",$BI190*I190,VALUE('Capacity summary'!I102)),0),I190*$BI190),I190*$BI190),0)</f>
        <v>0</v>
      </c>
      <c r="BM190" s="5">
        <f>IF($BI190&lt;&gt;"",IF('Capacity summary'!$C$14="Yes",IF(COUNTBLANK('Capacity summary'!$H102:$BG102)&lt;52,IF('Capacity summary'!J102&lt;&gt;"",IF(LOWER('Capacity summary'!J102)="x",$BI190*J190,VALUE('Capacity summary'!J102)),0),J190*$BI190),J190*$BI190),0)</f>
        <v>0</v>
      </c>
      <c r="BN190" s="5">
        <f>IF($BI190&lt;&gt;"",IF('Capacity summary'!$C$14="Yes",IF(COUNTBLANK('Capacity summary'!$H102:$BG102)&lt;52,IF('Capacity summary'!K102&lt;&gt;"",IF(LOWER('Capacity summary'!K102)="x",$BI190*K190,VALUE('Capacity summary'!K102)),0),K190*$BI190),K190*$BI190),0)</f>
        <v>0</v>
      </c>
      <c r="BO190" s="5">
        <f>IF($BI190&lt;&gt;"",IF('Capacity summary'!$C$14="Yes",IF(COUNTBLANK('Capacity summary'!$H102:$BG102)&lt;52,IF('Capacity summary'!L102&lt;&gt;"",IF(LOWER('Capacity summary'!L102)="x",$BI190*L190,VALUE('Capacity summary'!L102)),0),L190*$BI190),L190*$BI190),0)</f>
        <v>0</v>
      </c>
      <c r="BP190" s="5">
        <f>IF($BI190&lt;&gt;"",IF('Capacity summary'!$C$14="Yes",IF(COUNTBLANK('Capacity summary'!$H102:$BG102)&lt;52,IF('Capacity summary'!M102&lt;&gt;"",IF(LOWER('Capacity summary'!M102)="x",$BI190*M190,VALUE('Capacity summary'!M102)),0),M190*$BI190),M190*$BI190),0)</f>
        <v>0</v>
      </c>
      <c r="BQ190" s="5">
        <f>IF($BI190&lt;&gt;"",IF('Capacity summary'!$C$14="Yes",IF(COUNTBLANK('Capacity summary'!$H102:$BG102)&lt;52,IF('Capacity summary'!N102&lt;&gt;"",IF(LOWER('Capacity summary'!N102)="x",$BI190*N190,VALUE('Capacity summary'!N102)),0),N190*$BI190),N190*$BI190),0)</f>
        <v>0</v>
      </c>
      <c r="BR190" s="5">
        <f>IF($BI190&lt;&gt;"",IF('Capacity summary'!$C$14="Yes",IF(COUNTBLANK('Capacity summary'!$H102:$BG102)&lt;52,IF('Capacity summary'!O102&lt;&gt;"",IF(LOWER('Capacity summary'!O102)="x",$BI190*O190,VALUE('Capacity summary'!O102)),0),O190*$BI190),O190*$BI190),0)</f>
        <v>0</v>
      </c>
      <c r="BS190" s="5">
        <f>IF($BI190&lt;&gt;"",IF('Capacity summary'!$C$14="Yes",IF(COUNTBLANK('Capacity summary'!$H102:$BG102)&lt;52,IF('Capacity summary'!P102&lt;&gt;"",IF(LOWER('Capacity summary'!P102)="x",$BI190*P190,VALUE('Capacity summary'!P102)),0),P190*$BI190),P190*$BI190),0)</f>
        <v>0</v>
      </c>
      <c r="BT190" s="5">
        <f>IF($BI190&lt;&gt;"",IF('Capacity summary'!$C$14="Yes",IF(COUNTBLANK('Capacity summary'!$H102:$BG102)&lt;52,IF('Capacity summary'!Q102&lt;&gt;"",IF(LOWER('Capacity summary'!Q102)="x",$BI190*Q190,VALUE('Capacity summary'!Q102)),0),Q190*$BI190),Q190*$BI190),0)</f>
        <v>0</v>
      </c>
      <c r="BU190" s="5">
        <f>IF($BI190&lt;&gt;"",IF('Capacity summary'!$C$14="Yes",IF(COUNTBLANK('Capacity summary'!$H102:$BG102)&lt;52,IF('Capacity summary'!R102&lt;&gt;"",IF(LOWER('Capacity summary'!R102)="x",$BI190*R190,VALUE('Capacity summary'!R102)),0),R190*$BI190),R190*$BI190),0)</f>
        <v>0</v>
      </c>
      <c r="BV190" s="5">
        <f>IF($BI190&lt;&gt;"",IF('Capacity summary'!$C$14="Yes",IF(COUNTBLANK('Capacity summary'!$H102:$BG102)&lt;52,IF('Capacity summary'!S102&lt;&gt;"",IF(LOWER('Capacity summary'!S102)="x",$BI190*S190,VALUE('Capacity summary'!S102)),0),S190*$BI190),S190*$BI190),0)</f>
        <v>0</v>
      </c>
      <c r="BW190" s="5">
        <f>IF($BI190&lt;&gt;"",IF('Capacity summary'!$C$14="Yes",IF(COUNTBLANK('Capacity summary'!$H102:$BG102)&lt;52,IF('Capacity summary'!T102&lt;&gt;"",IF(LOWER('Capacity summary'!T102)="x",$BI190*T190,VALUE('Capacity summary'!T102)),0),T190*$BI190),T190*$BI190),0)</f>
        <v>0</v>
      </c>
      <c r="BX190" s="5">
        <f>IF($BI190&lt;&gt;"",IF('Capacity summary'!$C$14="Yes",IF(COUNTBLANK('Capacity summary'!$H102:$BG102)&lt;52,IF('Capacity summary'!U102&lt;&gt;"",IF(LOWER('Capacity summary'!U102)="x",$BI190*U190,VALUE('Capacity summary'!U102)),0),U190*$BI190),U190*$BI190),0)</f>
        <v>0</v>
      </c>
      <c r="BY190" s="5">
        <f>IF($BI190&lt;&gt;"",IF('Capacity summary'!$C$14="Yes",IF(COUNTBLANK('Capacity summary'!$H102:$BG102)&lt;52,IF('Capacity summary'!V102&lt;&gt;"",IF(LOWER('Capacity summary'!V102)="x",$BI190*V190,VALUE('Capacity summary'!V102)),0),V190*$BI190),V190*$BI190),0)</f>
        <v>0</v>
      </c>
      <c r="BZ190" s="5">
        <f>IF($BI190&lt;&gt;"",IF('Capacity summary'!$C$14="Yes",IF(COUNTBLANK('Capacity summary'!$H102:$BG102)&lt;52,IF('Capacity summary'!W102&lt;&gt;"",IF(LOWER('Capacity summary'!W102)="x",$BI190*W190,VALUE('Capacity summary'!W102)),0),W190*$BI190),W190*$BI190),0)</f>
        <v>0</v>
      </c>
      <c r="CA190" s="5">
        <f>IF($BI190&lt;&gt;"",IF('Capacity summary'!$C$14="Yes",IF(COUNTBLANK('Capacity summary'!$H102:$BG102)&lt;52,IF('Capacity summary'!X102&lt;&gt;"",IF(LOWER('Capacity summary'!X102)="x",$BI190*X190,VALUE('Capacity summary'!X102)),0),X190*$BI190),X190*$BI190),0)</f>
        <v>0</v>
      </c>
      <c r="CB190" s="5">
        <f>IF($BI190&lt;&gt;"",IF('Capacity summary'!$C$14="Yes",IF(COUNTBLANK('Capacity summary'!$H102:$BG102)&lt;52,IF('Capacity summary'!Y102&lt;&gt;"",IF(LOWER('Capacity summary'!Y102)="x",$BI190*Y190,VALUE('Capacity summary'!Y102)),0),Y190*$BI190),Y190*$BI190),0)</f>
        <v>0</v>
      </c>
      <c r="CC190" s="5">
        <f>IF($BI190&lt;&gt;"",IF('Capacity summary'!$C$14="Yes",IF(COUNTBLANK('Capacity summary'!$H102:$BG102)&lt;52,IF('Capacity summary'!Z102&lt;&gt;"",IF(LOWER('Capacity summary'!Z102)="x",$BI190*Z190,VALUE('Capacity summary'!Z102)),0),Z190*$BI190),Z190*$BI190),0)</f>
        <v>0</v>
      </c>
      <c r="CD190" s="5">
        <f>IF($BI190&lt;&gt;"",IF('Capacity summary'!$C$14="Yes",IF(COUNTBLANK('Capacity summary'!$H102:$BG102)&lt;52,IF('Capacity summary'!AA102&lt;&gt;"",IF(LOWER('Capacity summary'!AA102)="x",$BI190*AA190,VALUE('Capacity summary'!AA102)),0),AA190*$BI190),AA190*$BI190),0)</f>
        <v>0</v>
      </c>
      <c r="CE190" s="5">
        <f>IF($BI190&lt;&gt;"",IF('Capacity summary'!$C$14="Yes",IF(COUNTBLANK('Capacity summary'!$H102:$BG102)&lt;52,IF('Capacity summary'!AB102&lt;&gt;"",IF(LOWER('Capacity summary'!AB102)="x",$BI190*AB190,VALUE('Capacity summary'!AB102)),0),AB190*$BI190),AB190*$BI190),0)</f>
        <v>0</v>
      </c>
      <c r="CF190" s="5">
        <f>IF($BI190&lt;&gt;"",IF('Capacity summary'!$C$14="Yes",IF(COUNTBLANK('Capacity summary'!$H102:$BG102)&lt;52,IF('Capacity summary'!AC102&lt;&gt;"",IF(LOWER('Capacity summary'!AC102)="x",$BI190*AC190,VALUE('Capacity summary'!AC102)),0),AC190*$BI190),AC190*$BI190),0)</f>
        <v>0</v>
      </c>
      <c r="CG190" s="5">
        <f>IF($BI190&lt;&gt;"",IF('Capacity summary'!$C$14="Yes",IF(COUNTBLANK('Capacity summary'!$H102:$BG102)&lt;52,IF('Capacity summary'!AD102&lt;&gt;"",IF(LOWER('Capacity summary'!AD102)="x",$BI190*AD190,VALUE('Capacity summary'!AD102)),0),AD190*$BI190),AD190*$BI190),0)</f>
        <v>0</v>
      </c>
      <c r="CH190" s="5">
        <f>IF($BI190&lt;&gt;"",IF('Capacity summary'!$C$14="Yes",IF(COUNTBLANK('Capacity summary'!$H102:$BG102)&lt;52,IF('Capacity summary'!AE102&lt;&gt;"",IF(LOWER('Capacity summary'!AE102)="x",$BI190*AE190,VALUE('Capacity summary'!AE102)),0),AE190*$BI190),AE190*$BI190),0)</f>
        <v>0</v>
      </c>
      <c r="CI190" s="5">
        <f>IF($BI190&lt;&gt;"",IF('Capacity summary'!$C$14="Yes",IF(COUNTBLANK('Capacity summary'!$H102:$BG102)&lt;52,IF('Capacity summary'!AF102&lt;&gt;"",IF(LOWER('Capacity summary'!AF102)="x",$BI190*AF190,VALUE('Capacity summary'!AF102)),0),AF190*$BI190),AF190*$BI190),0)</f>
        <v>0</v>
      </c>
      <c r="CJ190" s="5">
        <f>IF($BI190&lt;&gt;"",IF('Capacity summary'!$C$14="Yes",IF(COUNTBLANK('Capacity summary'!$H102:$BG102)&lt;52,IF('Capacity summary'!AG102&lt;&gt;"",IF(LOWER('Capacity summary'!AG102)="x",$BI190*AG190,VALUE('Capacity summary'!AG102)),0),AG190*$BI190),AG190*$BI190),0)</f>
        <v>0</v>
      </c>
      <c r="CK190" s="5">
        <f>IF($BI190&lt;&gt;"",IF('Capacity summary'!$C$14="Yes",IF(COUNTBLANK('Capacity summary'!$H102:$BG102)&lt;52,IF('Capacity summary'!AH102&lt;&gt;"",IF(LOWER('Capacity summary'!AH102)="x",$BI190*AH190,VALUE('Capacity summary'!AH102)),0),AH190*$BI190),AH190*$BI190),0)</f>
        <v>0</v>
      </c>
      <c r="CL190" s="5">
        <f>IF($BI190&lt;&gt;"",IF('Capacity summary'!$C$14="Yes",IF(COUNTBLANK('Capacity summary'!$H102:$BG102)&lt;52,IF('Capacity summary'!AI102&lt;&gt;"",IF(LOWER('Capacity summary'!AI102)="x",$BI190*AI190,VALUE('Capacity summary'!AI102)),0),AI190*$BI190),AI190*$BI190),0)</f>
        <v>0</v>
      </c>
      <c r="CM190" s="5">
        <f>IF($BI190&lt;&gt;"",IF('Capacity summary'!$C$14="Yes",IF(COUNTBLANK('Capacity summary'!$H102:$BG102)&lt;52,IF('Capacity summary'!AJ102&lt;&gt;"",IF(LOWER('Capacity summary'!AJ102)="x",$BI190*AJ190,VALUE('Capacity summary'!AJ102)),0),AJ190*$BI190),AJ190*$BI190),0)</f>
        <v>0</v>
      </c>
      <c r="CN190" s="5">
        <f>IF($BI190&lt;&gt;"",IF('Capacity summary'!$C$14="Yes",IF(COUNTBLANK('Capacity summary'!$H102:$BG102)&lt;52,IF('Capacity summary'!AK102&lt;&gt;"",IF(LOWER('Capacity summary'!AK102)="x",$BI190*AK190,VALUE('Capacity summary'!AK102)),0),AK190*$BI190),AK190*$BI190),0)</f>
        <v>0</v>
      </c>
      <c r="CO190" s="5">
        <f>IF($BI190&lt;&gt;"",IF('Capacity summary'!$C$14="Yes",IF(COUNTBLANK('Capacity summary'!$H102:$BG102)&lt;52,IF('Capacity summary'!AL102&lt;&gt;"",IF(LOWER('Capacity summary'!AL102)="x",$BI190*AL190,VALUE('Capacity summary'!AL102)),0),AL190*$BI190),AL190*$BI190),0)</f>
        <v>0</v>
      </c>
      <c r="CP190" s="5">
        <f>IF($BI190&lt;&gt;"",IF('Capacity summary'!$C$14="Yes",IF(COUNTBLANK('Capacity summary'!$H102:$BG102)&lt;52,IF('Capacity summary'!AM102&lt;&gt;"",IF(LOWER('Capacity summary'!AM102)="x",$BI190*AM190,VALUE('Capacity summary'!AM102)),0),AM190*$BI190),AM190*$BI190),0)</f>
        <v>0</v>
      </c>
      <c r="CQ190" s="5">
        <f>IF($BI190&lt;&gt;"",IF('Capacity summary'!$C$14="Yes",IF(COUNTBLANK('Capacity summary'!$H102:$BG102)&lt;52,IF('Capacity summary'!AN102&lt;&gt;"",IF(LOWER('Capacity summary'!AN102)="x",$BI190*AN190,VALUE('Capacity summary'!AN102)),0),AN190*$BI190),AN190*$BI190),0)</f>
        <v>0</v>
      </c>
      <c r="CR190" s="5">
        <f>IF($BI190&lt;&gt;"",IF('Capacity summary'!$C$14="Yes",IF(COUNTBLANK('Capacity summary'!$H102:$BG102)&lt;52,IF('Capacity summary'!AO102&lt;&gt;"",IF(LOWER('Capacity summary'!AO102)="x",$BI190*AO190,VALUE('Capacity summary'!AO102)),0),AO190*$BI190),AO190*$BI190),0)</f>
        <v>0</v>
      </c>
      <c r="CS190" s="5">
        <f>IF($BI190&lt;&gt;"",IF('Capacity summary'!$C$14="Yes",IF(COUNTBLANK('Capacity summary'!$H102:$BG102)&lt;52,IF('Capacity summary'!AP102&lt;&gt;"",IF(LOWER('Capacity summary'!AP102)="x",$BI190*AP190,VALUE('Capacity summary'!AP102)),0),AP190*$BI190),AP190*$BI190),0)</f>
        <v>0</v>
      </c>
      <c r="CT190" s="5">
        <f>IF($BI190&lt;&gt;"",IF('Capacity summary'!$C$14="Yes",IF(COUNTBLANK('Capacity summary'!$H102:$BG102)&lt;52,IF('Capacity summary'!AQ102&lt;&gt;"",IF(LOWER('Capacity summary'!AQ102)="x",$BI190*AQ190,VALUE('Capacity summary'!AQ102)),0),AQ190*$BI190),AQ190*$BI190),0)</f>
        <v>0</v>
      </c>
      <c r="CU190" s="5">
        <f>IF($BI190&lt;&gt;"",IF('Capacity summary'!$C$14="Yes",IF(COUNTBLANK('Capacity summary'!$H102:$BG102)&lt;52,IF('Capacity summary'!AR102&lt;&gt;"",IF(LOWER('Capacity summary'!AR102)="x",$BI190*AR190,VALUE('Capacity summary'!AR102)),0),AR190*$BI190),AR190*$BI190),0)</f>
        <v>0</v>
      </c>
      <c r="CV190" s="5">
        <f>IF($BI190&lt;&gt;"",IF('Capacity summary'!$C$14="Yes",IF(COUNTBLANK('Capacity summary'!$H102:$BG102)&lt;52,IF('Capacity summary'!AS102&lt;&gt;"",IF(LOWER('Capacity summary'!AS102)="x",$BI190*AS190,VALUE('Capacity summary'!AS102)),0),AS190*$BI190),AS190*$BI190),0)</f>
        <v>0</v>
      </c>
      <c r="CW190" s="5">
        <f>IF($BI190&lt;&gt;"",IF('Capacity summary'!$C$14="Yes",IF(COUNTBLANK('Capacity summary'!$H102:$BG102)&lt;52,IF('Capacity summary'!AT102&lt;&gt;"",IF(LOWER('Capacity summary'!AT102)="x",$BI190*AT190,VALUE('Capacity summary'!AT102)),0),AT190*$BI190),AT190*$BI190),0)</f>
        <v>0</v>
      </c>
      <c r="CX190" s="5">
        <f>IF($BI190&lt;&gt;"",IF('Capacity summary'!$C$14="Yes",IF(COUNTBLANK('Capacity summary'!$H102:$BG102)&lt;52,IF('Capacity summary'!AU102&lt;&gt;"",IF(LOWER('Capacity summary'!AU102)="x",$BI190*AU190,VALUE('Capacity summary'!AU102)),0),AU190*$BI190),AU190*$BI190),0)</f>
        <v>0</v>
      </c>
      <c r="CY190" s="5">
        <f>IF($BI190&lt;&gt;"",IF('Capacity summary'!$C$14="Yes",IF(COUNTBLANK('Capacity summary'!$H102:$BG102)&lt;52,IF('Capacity summary'!AV102&lt;&gt;"",IF(LOWER('Capacity summary'!AV102)="x",$BI190*AV190,VALUE('Capacity summary'!AV102)),0),AV190*$BI190),AV190*$BI190),0)</f>
        <v>0</v>
      </c>
      <c r="CZ190" s="5">
        <f>IF($BI190&lt;&gt;"",IF('Capacity summary'!$C$14="Yes",IF(COUNTBLANK('Capacity summary'!$H102:$BG102)&lt;52,IF('Capacity summary'!AW102&lt;&gt;"",IF(LOWER('Capacity summary'!AW102)="x",$BI190*AW190,VALUE('Capacity summary'!AW102)),0),AW190*$BI190),AW190*$BI190),0)</f>
        <v>0</v>
      </c>
      <c r="DA190" s="5">
        <f>IF($BI190&lt;&gt;"",IF('Capacity summary'!$C$14="Yes",IF(COUNTBLANK('Capacity summary'!$H102:$BG102)&lt;52,IF('Capacity summary'!AX102&lt;&gt;"",IF(LOWER('Capacity summary'!AX102)="x",$BI190*AX190,VALUE('Capacity summary'!AX102)),0),AX190*$BI190),AX190*$BI190),0)</f>
        <v>0</v>
      </c>
      <c r="DB190" s="5">
        <f>IF($BI190&lt;&gt;"",IF('Capacity summary'!$C$14="Yes",IF(COUNTBLANK('Capacity summary'!$H102:$BG102)&lt;52,IF('Capacity summary'!AY102&lt;&gt;"",IF(LOWER('Capacity summary'!AY102)="x",$BI190*AY190,VALUE('Capacity summary'!AY102)),0),AY190*$BI190),AY190*$BI190),0)</f>
        <v>0</v>
      </c>
      <c r="DC190" s="5">
        <f>IF($BI190&lt;&gt;"",IF('Capacity summary'!$C$14="Yes",IF(COUNTBLANK('Capacity summary'!$H102:$BG102)&lt;52,IF('Capacity summary'!AZ102&lt;&gt;"",IF(LOWER('Capacity summary'!AZ102)="x",$BI190*AZ190,VALUE('Capacity summary'!AZ102)),0),AZ190*$BI190),AZ190*$BI190),0)</f>
        <v>0</v>
      </c>
      <c r="DD190" s="5">
        <f>IF($BI190&lt;&gt;"",IF('Capacity summary'!$C$14="Yes",IF(COUNTBLANK('Capacity summary'!$H102:$BG102)&lt;52,IF('Capacity summary'!BA102&lt;&gt;"",IF(LOWER('Capacity summary'!BA102)="x",$BI190*BA190,VALUE('Capacity summary'!BA102)),0),BA190*$BI190),BA190*$BI190),0)</f>
        <v>0</v>
      </c>
      <c r="DE190" s="5">
        <f>IF($BI190&lt;&gt;"",IF('Capacity summary'!$C$14="Yes",IF(COUNTBLANK('Capacity summary'!$H102:$BG102)&lt;52,IF('Capacity summary'!BB102&lt;&gt;"",IF(LOWER('Capacity summary'!BB102)="x",$BI190*BB190,VALUE('Capacity summary'!BB102)),0),BB190*$BI190),BB190*$BI190),0)</f>
        <v>0</v>
      </c>
      <c r="DF190" s="5">
        <f>IF($BI190&lt;&gt;"",IF('Capacity summary'!$C$14="Yes",IF(COUNTBLANK('Capacity summary'!$H102:$BG102)&lt;52,IF('Capacity summary'!BC102&lt;&gt;"",IF(LOWER('Capacity summary'!BC102)="x",$BI190*BC190,VALUE('Capacity summary'!BC102)),0),BC190*$BI190),BC190*$BI190),0)</f>
        <v>0</v>
      </c>
      <c r="DG190" s="5">
        <f>IF($BI190&lt;&gt;"",IF('Capacity summary'!$C$14="Yes",IF(COUNTBLANK('Capacity summary'!$H102:$BG102)&lt;52,IF('Capacity summary'!BD102&lt;&gt;"",IF(LOWER('Capacity summary'!BD102)="x",$BI190*BD190,VALUE('Capacity summary'!BD102)),0),BD190*$BI190),BD190*$BI190),0)</f>
        <v>0</v>
      </c>
      <c r="DH190" s="5">
        <f>IF($BI190&lt;&gt;"",IF('Capacity summary'!$C$14="Yes",IF(COUNTBLANK('Capacity summary'!$H102:$BG102)&lt;52,IF('Capacity summary'!BE102&lt;&gt;"",IF(LOWER('Capacity summary'!BE102)="x",$BI190*BE190,VALUE('Capacity summary'!BE102)),0),BE190*$BI190),BE190*$BI190),0)</f>
        <v>0</v>
      </c>
      <c r="DI190" s="5">
        <f>IF($BI190&lt;&gt;"",IF('Capacity summary'!$C$14="Yes",IF(COUNTBLANK('Capacity summary'!$H102:$BG102)&lt;52,IF('Capacity summary'!BF102&lt;&gt;"",IF(LOWER('Capacity summary'!BF102)="x",$BI190*BF190,VALUE('Capacity summary'!BF102)),0),BF190*$BI190),BF190*$BI190),0)</f>
        <v>0</v>
      </c>
      <c r="DJ190" s="5">
        <f>IF($BI190&lt;&gt;"",IF('Capacity summary'!$C$14="Yes",IF(COUNTBLANK('Capacity summary'!$H102:$BG102)&lt;52,IF('Capacity summary'!BG102&lt;&gt;"",IF(LOWER('Capacity summary'!BG102)="x",$BI190*BG190,VALUE('Capacity summary'!BG102)),0),BG190*$BI190),BG190*$BI190),0)</f>
        <v>0</v>
      </c>
      <c r="DK190" s="391">
        <f t="shared" si="10"/>
        <v>0</v>
      </c>
      <c r="DL190" s="5">
        <f t="shared" si="11"/>
        <v>0</v>
      </c>
    </row>
    <row r="191" spans="3:116" x14ac:dyDescent="0.2">
      <c r="C191" s="67" t="str">
        <f>ROW(A80)&amp;". "&amp;Capacity!N96</f>
        <v xml:space="preserve">80. </v>
      </c>
      <c r="D191" s="67">
        <f>'Capacity setup'!C197</f>
        <v>0</v>
      </c>
      <c r="E191" s="67">
        <f>'Capacity setup'!D197</f>
        <v>0</v>
      </c>
      <c r="F191" s="67">
        <f>'Capacity setup'!E197</f>
        <v>0</v>
      </c>
      <c r="H191" s="67">
        <f ca="1">IF(LOWER(Capacity!$V96)="x",IF(AND(SUMIF(Capacity_Resource,$D191,'Critical resources (hide)'!U$6:U$105)+SUMIF(Capacity_Resource,$E191,'Critical resources (hide)'!U$6:U$105)+SUMIF(Capacity_Resource,$F191,'Critical resources (hide)'!U$6:U$105)&gt;0,$E$1=2),0,1),0)</f>
        <v>1</v>
      </c>
      <c r="I191" s="67">
        <f ca="1">IF(LOWER(Capacity!$V96)="x",IF(AND(SUMIF(Capacity_Resource,$D191,'Critical resources (hide)'!V$6:V$105)+SUMIF(Capacity_Resource,$E191,'Critical resources (hide)'!V$6:V$105)+SUMIF(Capacity_Resource,$F191,'Critical resources (hide)'!V$6:V$105)&gt;0,$E$1=2),0,1),0)</f>
        <v>1</v>
      </c>
      <c r="J191" s="67">
        <f ca="1">IF(LOWER(Capacity!$V96)="x",IF(AND(SUMIF(Capacity_Resource,$D191,'Critical resources (hide)'!W$6:W$105)+SUMIF(Capacity_Resource,$E191,'Critical resources (hide)'!W$6:W$105)+SUMIF(Capacity_Resource,$F191,'Critical resources (hide)'!W$6:W$105)&gt;0,$E$1=2),0,1),0)</f>
        <v>1</v>
      </c>
      <c r="K191" s="67">
        <f ca="1">IF(LOWER(Capacity!$V96)="x",IF(AND(SUMIF(Capacity_Resource,$D191,'Critical resources (hide)'!X$6:X$105)+SUMIF(Capacity_Resource,$E191,'Critical resources (hide)'!X$6:X$105)+SUMIF(Capacity_Resource,$F191,'Critical resources (hide)'!X$6:X$105)&gt;0,$E$1=2),0,1),0)</f>
        <v>1</v>
      </c>
      <c r="L191" s="67">
        <f ca="1">IF(LOWER(Capacity!$V96)="x",IF(AND(SUMIF(Capacity_Resource,$D191,'Critical resources (hide)'!Y$6:Y$105)+SUMIF(Capacity_Resource,$E191,'Critical resources (hide)'!Y$6:Y$105)+SUMIF(Capacity_Resource,$F191,'Critical resources (hide)'!Y$6:Y$105)&gt;0,$E$1=2),0,1),0)</f>
        <v>1</v>
      </c>
      <c r="M191" s="67">
        <f ca="1">IF(LOWER(Capacity!$V96)="x",IF(AND(SUMIF(Capacity_Resource,$D191,'Critical resources (hide)'!Z$6:Z$105)+SUMIF(Capacity_Resource,$E191,'Critical resources (hide)'!Z$6:Z$105)+SUMIF(Capacity_Resource,$F191,'Critical resources (hide)'!Z$6:Z$105)&gt;0,$E$1=2),0,1),0)</f>
        <v>1</v>
      </c>
      <c r="N191" s="67">
        <f ca="1">IF(LOWER(Capacity!$V96)="x",IF(AND(SUMIF(Capacity_Resource,$D191,'Critical resources (hide)'!AA$6:AA$105)+SUMIF(Capacity_Resource,$E191,'Critical resources (hide)'!AA$6:AA$105)+SUMIF(Capacity_Resource,$F191,'Critical resources (hide)'!AA$6:AA$105)&gt;0,$E$1=2),0,1),0)</f>
        <v>1</v>
      </c>
      <c r="O191" s="67">
        <f ca="1">IF(LOWER(Capacity!$V96)="x",IF(AND(SUMIF(Capacity_Resource,$D191,'Critical resources (hide)'!AB$6:AB$105)+SUMIF(Capacity_Resource,$E191,'Critical resources (hide)'!AB$6:AB$105)+SUMIF(Capacity_Resource,$F191,'Critical resources (hide)'!AB$6:AB$105)&gt;0,$E$1=2),0,1),0)</f>
        <v>1</v>
      </c>
      <c r="P191" s="67">
        <f ca="1">IF(LOWER(Capacity!$V96)="x",IF(AND(SUMIF(Capacity_Resource,$D191,'Critical resources (hide)'!AC$6:AC$105)+SUMIF(Capacity_Resource,$E191,'Critical resources (hide)'!AC$6:AC$105)+SUMIF(Capacity_Resource,$F191,'Critical resources (hide)'!AC$6:AC$105)&gt;0,$E$1=2),0,1),0)</f>
        <v>1</v>
      </c>
      <c r="Q191" s="67">
        <f ca="1">IF(LOWER(Capacity!$V96)="x",IF(AND(SUMIF(Capacity_Resource,$D191,'Critical resources (hide)'!AD$6:AD$105)+SUMIF(Capacity_Resource,$E191,'Critical resources (hide)'!AD$6:AD$105)+SUMIF(Capacity_Resource,$F191,'Critical resources (hide)'!AD$6:AD$105)&gt;0,$E$1=2),0,1),0)</f>
        <v>1</v>
      </c>
      <c r="R191" s="67">
        <f ca="1">IF(LOWER(Capacity!$V96)="x",IF(AND(SUMIF(Capacity_Resource,$D191,'Critical resources (hide)'!AE$6:AE$105)+SUMIF(Capacity_Resource,$E191,'Critical resources (hide)'!AE$6:AE$105)+SUMIF(Capacity_Resource,$F191,'Critical resources (hide)'!AE$6:AE$105)&gt;0,$E$1=2),0,1),0)</f>
        <v>1</v>
      </c>
      <c r="S191" s="67">
        <f ca="1">IF(LOWER(Capacity!$V96)="x",IF(AND(SUMIF(Capacity_Resource,$D191,'Critical resources (hide)'!AF$6:AF$105)+SUMIF(Capacity_Resource,$E191,'Critical resources (hide)'!AF$6:AF$105)+SUMIF(Capacity_Resource,$F191,'Critical resources (hide)'!AF$6:AF$105)&gt;0,$E$1=2),0,1),0)</f>
        <v>1</v>
      </c>
      <c r="T191" s="67">
        <f ca="1">IF(LOWER(Capacity!$V96)="x",IF(AND(SUMIF(Capacity_Resource,$D191,'Critical resources (hide)'!AG$6:AG$105)+SUMIF(Capacity_Resource,$E191,'Critical resources (hide)'!AG$6:AG$105)+SUMIF(Capacity_Resource,$F191,'Critical resources (hide)'!AG$6:AG$105)&gt;0,$E$1=2),0,1),0)</f>
        <v>1</v>
      </c>
      <c r="U191" s="67">
        <f ca="1">IF(LOWER(Capacity!$V96)="x",IF(AND(SUMIF(Capacity_Resource,$D191,'Critical resources (hide)'!AH$6:AH$105)+SUMIF(Capacity_Resource,$E191,'Critical resources (hide)'!AH$6:AH$105)+SUMIF(Capacity_Resource,$F191,'Critical resources (hide)'!AH$6:AH$105)&gt;0,$E$1=2),0,1),0)</f>
        <v>1</v>
      </c>
      <c r="V191" s="67">
        <f ca="1">IF(LOWER(Capacity!$V96)="x",IF(AND(SUMIF(Capacity_Resource,$D191,'Critical resources (hide)'!AI$6:AI$105)+SUMIF(Capacity_Resource,$E191,'Critical resources (hide)'!AI$6:AI$105)+SUMIF(Capacity_Resource,$F191,'Critical resources (hide)'!AI$6:AI$105)&gt;0,$E$1=2),0,1),0)</f>
        <v>1</v>
      </c>
      <c r="W191" s="67">
        <f ca="1">IF(LOWER(Capacity!$V96)="x",IF(AND(SUMIF(Capacity_Resource,$D191,'Critical resources (hide)'!AJ$6:AJ$105)+SUMIF(Capacity_Resource,$E191,'Critical resources (hide)'!AJ$6:AJ$105)+SUMIF(Capacity_Resource,$F191,'Critical resources (hide)'!AJ$6:AJ$105)&gt;0,$E$1=2),0,1),0)</f>
        <v>1</v>
      </c>
      <c r="X191" s="67">
        <f ca="1">IF(LOWER(Capacity!$V96)="x",IF(AND(SUMIF(Capacity_Resource,$D191,'Critical resources (hide)'!AK$6:AK$105)+SUMIF(Capacity_Resource,$E191,'Critical resources (hide)'!AK$6:AK$105)+SUMIF(Capacity_Resource,$F191,'Critical resources (hide)'!AK$6:AK$105)&gt;0,$E$1=2),0,1),0)</f>
        <v>1</v>
      </c>
      <c r="Y191" s="67">
        <f ca="1">IF(LOWER(Capacity!$V96)="x",IF(AND(SUMIF(Capacity_Resource,$D191,'Critical resources (hide)'!AL$6:AL$105)+SUMIF(Capacity_Resource,$E191,'Critical resources (hide)'!AL$6:AL$105)+SUMIF(Capacity_Resource,$F191,'Critical resources (hide)'!AL$6:AL$105)&gt;0,$E$1=2),0,1),0)</f>
        <v>1</v>
      </c>
      <c r="Z191" s="67">
        <f ca="1">IF(LOWER(Capacity!$V96)="x",IF(AND(SUMIF(Capacity_Resource,$D191,'Critical resources (hide)'!AM$6:AM$105)+SUMIF(Capacity_Resource,$E191,'Critical resources (hide)'!AM$6:AM$105)+SUMIF(Capacity_Resource,$F191,'Critical resources (hide)'!AM$6:AM$105)&gt;0,$E$1=2),0,1),0)</f>
        <v>1</v>
      </c>
      <c r="AA191" s="67">
        <f ca="1">IF(LOWER(Capacity!$V96)="x",IF(AND(SUMIF(Capacity_Resource,$D191,'Critical resources (hide)'!AN$6:AN$105)+SUMIF(Capacity_Resource,$E191,'Critical resources (hide)'!AN$6:AN$105)+SUMIF(Capacity_Resource,$F191,'Critical resources (hide)'!AN$6:AN$105)&gt;0,$E$1=2),0,1),0)</f>
        <v>1</v>
      </c>
      <c r="AB191" s="67">
        <f ca="1">IF(LOWER(Capacity!$V96)="x",IF(AND(SUMIF(Capacity_Resource,$D191,'Critical resources (hide)'!AO$6:AO$105)+SUMIF(Capacity_Resource,$E191,'Critical resources (hide)'!AO$6:AO$105)+SUMIF(Capacity_Resource,$F191,'Critical resources (hide)'!AO$6:AO$105)&gt;0,$E$1=2),0,1),0)</f>
        <v>1</v>
      </c>
      <c r="AC191" s="67">
        <f ca="1">IF(LOWER(Capacity!$V96)="x",IF(AND(SUMIF(Capacity_Resource,$D191,'Critical resources (hide)'!AP$6:AP$105)+SUMIF(Capacity_Resource,$E191,'Critical resources (hide)'!AP$6:AP$105)+SUMIF(Capacity_Resource,$F191,'Critical resources (hide)'!AP$6:AP$105)&gt;0,$E$1=2),0,1),0)</f>
        <v>1</v>
      </c>
      <c r="AD191" s="67">
        <f ca="1">IF(LOWER(Capacity!$V96)="x",IF(AND(SUMIF(Capacity_Resource,$D191,'Critical resources (hide)'!AQ$6:AQ$105)+SUMIF(Capacity_Resource,$E191,'Critical resources (hide)'!AQ$6:AQ$105)+SUMIF(Capacity_Resource,$F191,'Critical resources (hide)'!AQ$6:AQ$105)&gt;0,$E$1=2),0,1),0)</f>
        <v>1</v>
      </c>
      <c r="AE191" s="67">
        <f ca="1">IF(LOWER(Capacity!$V96)="x",IF(AND(SUMIF(Capacity_Resource,$D191,'Critical resources (hide)'!AR$6:AR$105)+SUMIF(Capacity_Resource,$E191,'Critical resources (hide)'!AR$6:AR$105)+SUMIF(Capacity_Resource,$F191,'Critical resources (hide)'!AR$6:AR$105)&gt;0,$E$1=2),0,1),0)</f>
        <v>1</v>
      </c>
      <c r="AF191" s="67">
        <f ca="1">IF(LOWER(Capacity!$V96)="x",IF(AND(SUMIF(Capacity_Resource,$D191,'Critical resources (hide)'!AS$6:AS$105)+SUMIF(Capacity_Resource,$E191,'Critical resources (hide)'!AS$6:AS$105)+SUMIF(Capacity_Resource,$F191,'Critical resources (hide)'!AS$6:AS$105)&gt;0,$E$1=2),0,1),0)</f>
        <v>1</v>
      </c>
      <c r="AG191" s="67">
        <f ca="1">IF(LOWER(Capacity!$V96)="x",IF(AND(SUMIF(Capacity_Resource,$D191,'Critical resources (hide)'!AT$6:AT$105)+SUMIF(Capacity_Resource,$E191,'Critical resources (hide)'!AT$6:AT$105)+SUMIF(Capacity_Resource,$F191,'Critical resources (hide)'!AT$6:AT$105)&gt;0,$E$1=2),0,1),0)</f>
        <v>1</v>
      </c>
      <c r="AH191" s="67">
        <f ca="1">IF(LOWER(Capacity!$V96)="x",IF(AND(SUMIF(Capacity_Resource,$D191,'Critical resources (hide)'!AU$6:AU$105)+SUMIF(Capacity_Resource,$E191,'Critical resources (hide)'!AU$6:AU$105)+SUMIF(Capacity_Resource,$F191,'Critical resources (hide)'!AU$6:AU$105)&gt;0,$E$1=2),0,1),0)</f>
        <v>1</v>
      </c>
      <c r="AI191" s="67">
        <f ca="1">IF(LOWER(Capacity!$V96)="x",IF(AND(SUMIF(Capacity_Resource,$D191,'Critical resources (hide)'!AV$6:AV$105)+SUMIF(Capacity_Resource,$E191,'Critical resources (hide)'!AV$6:AV$105)+SUMIF(Capacity_Resource,$F191,'Critical resources (hide)'!AV$6:AV$105)&gt;0,$E$1=2),0,1),0)</f>
        <v>1</v>
      </c>
      <c r="AJ191" s="67">
        <f ca="1">IF(LOWER(Capacity!$V96)="x",IF(AND(SUMIF(Capacity_Resource,$D191,'Critical resources (hide)'!AW$6:AW$105)+SUMIF(Capacity_Resource,$E191,'Critical resources (hide)'!AW$6:AW$105)+SUMIF(Capacity_Resource,$F191,'Critical resources (hide)'!AW$6:AW$105)&gt;0,$E$1=2),0,1),0)</f>
        <v>1</v>
      </c>
      <c r="AK191" s="67">
        <f ca="1">IF(LOWER(Capacity!$V96)="x",IF(AND(SUMIF(Capacity_Resource,$D191,'Critical resources (hide)'!AX$6:AX$105)+SUMIF(Capacity_Resource,$E191,'Critical resources (hide)'!AX$6:AX$105)+SUMIF(Capacity_Resource,$F191,'Critical resources (hide)'!AX$6:AX$105)&gt;0,$E$1=2),0,1),0)</f>
        <v>1</v>
      </c>
      <c r="AL191" s="67">
        <f ca="1">IF(LOWER(Capacity!$V96)="x",IF(AND(SUMIF(Capacity_Resource,$D191,'Critical resources (hide)'!AY$6:AY$105)+SUMIF(Capacity_Resource,$E191,'Critical resources (hide)'!AY$6:AY$105)+SUMIF(Capacity_Resource,$F191,'Critical resources (hide)'!AY$6:AY$105)&gt;0,$E$1=2),0,1),0)</f>
        <v>1</v>
      </c>
      <c r="AM191" s="67">
        <f ca="1">IF(LOWER(Capacity!$V96)="x",IF(AND(SUMIF(Capacity_Resource,$D191,'Critical resources (hide)'!AZ$6:AZ$105)+SUMIF(Capacity_Resource,$E191,'Critical resources (hide)'!AZ$6:AZ$105)+SUMIF(Capacity_Resource,$F191,'Critical resources (hide)'!AZ$6:AZ$105)&gt;0,$E$1=2),0,1),0)</f>
        <v>1</v>
      </c>
      <c r="AN191" s="67">
        <f ca="1">IF(LOWER(Capacity!$V96)="x",IF(AND(SUMIF(Capacity_Resource,$D191,'Critical resources (hide)'!BA$6:BA$105)+SUMIF(Capacity_Resource,$E191,'Critical resources (hide)'!BA$6:BA$105)+SUMIF(Capacity_Resource,$F191,'Critical resources (hide)'!BA$6:BA$105)&gt;0,$E$1=2),0,1),0)</f>
        <v>1</v>
      </c>
      <c r="AO191" s="67">
        <f ca="1">IF(LOWER(Capacity!$V96)="x",IF(AND(SUMIF(Capacity_Resource,$D191,'Critical resources (hide)'!BB$6:BB$105)+SUMIF(Capacity_Resource,$E191,'Critical resources (hide)'!BB$6:BB$105)+SUMIF(Capacity_Resource,$F191,'Critical resources (hide)'!BB$6:BB$105)&gt;0,$E$1=2),0,1),0)</f>
        <v>1</v>
      </c>
      <c r="AP191" s="67">
        <f ca="1">IF(LOWER(Capacity!$V96)="x",IF(AND(SUMIF(Capacity_Resource,$D191,'Critical resources (hide)'!BC$6:BC$105)+SUMIF(Capacity_Resource,$E191,'Critical resources (hide)'!BC$6:BC$105)+SUMIF(Capacity_Resource,$F191,'Critical resources (hide)'!BC$6:BC$105)&gt;0,$E$1=2),0,1),0)</f>
        <v>1</v>
      </c>
      <c r="AQ191" s="67">
        <f ca="1">IF(LOWER(Capacity!$V96)="x",IF(AND(SUMIF(Capacity_Resource,$D191,'Critical resources (hide)'!BD$6:BD$105)+SUMIF(Capacity_Resource,$E191,'Critical resources (hide)'!BD$6:BD$105)+SUMIF(Capacity_Resource,$F191,'Critical resources (hide)'!BD$6:BD$105)&gt;0,$E$1=2),0,1),0)</f>
        <v>1</v>
      </c>
      <c r="AR191" s="67">
        <f ca="1">IF(LOWER(Capacity!$V96)="x",IF(AND(SUMIF(Capacity_Resource,$D191,'Critical resources (hide)'!BE$6:BE$105)+SUMIF(Capacity_Resource,$E191,'Critical resources (hide)'!BE$6:BE$105)+SUMIF(Capacity_Resource,$F191,'Critical resources (hide)'!BE$6:BE$105)&gt;0,$E$1=2),0,1),0)</f>
        <v>1</v>
      </c>
      <c r="AS191" s="67">
        <f ca="1">IF(LOWER(Capacity!$V96)="x",IF(AND(SUMIF(Capacity_Resource,$D191,'Critical resources (hide)'!BF$6:BF$105)+SUMIF(Capacity_Resource,$E191,'Critical resources (hide)'!BF$6:BF$105)+SUMIF(Capacity_Resource,$F191,'Critical resources (hide)'!BF$6:BF$105)&gt;0,$E$1=2),0,1),0)</f>
        <v>1</v>
      </c>
      <c r="AT191" s="67">
        <f ca="1">IF(LOWER(Capacity!$V96)="x",IF(AND(SUMIF(Capacity_Resource,$D191,'Critical resources (hide)'!BG$6:BG$105)+SUMIF(Capacity_Resource,$E191,'Critical resources (hide)'!BG$6:BG$105)+SUMIF(Capacity_Resource,$F191,'Critical resources (hide)'!BG$6:BG$105)&gt;0,$E$1=2),0,1),0)</f>
        <v>1</v>
      </c>
      <c r="AU191" s="67">
        <f ca="1">IF(LOWER(Capacity!$V96)="x",IF(AND(SUMIF(Capacity_Resource,$D191,'Critical resources (hide)'!BH$6:BH$105)+SUMIF(Capacity_Resource,$E191,'Critical resources (hide)'!BH$6:BH$105)+SUMIF(Capacity_Resource,$F191,'Critical resources (hide)'!BH$6:BH$105)&gt;0,$E$1=2),0,1),0)</f>
        <v>1</v>
      </c>
      <c r="AV191" s="67">
        <f ca="1">IF(LOWER(Capacity!$V96)="x",IF(AND(SUMIF(Capacity_Resource,$D191,'Critical resources (hide)'!BI$6:BI$105)+SUMIF(Capacity_Resource,$E191,'Critical resources (hide)'!BI$6:BI$105)+SUMIF(Capacity_Resource,$F191,'Critical resources (hide)'!BI$6:BI$105)&gt;0,$E$1=2),0,1),0)</f>
        <v>1</v>
      </c>
      <c r="AW191" s="67">
        <f ca="1">IF(LOWER(Capacity!$V96)="x",IF(AND(SUMIF(Capacity_Resource,$D191,'Critical resources (hide)'!BJ$6:BJ$105)+SUMIF(Capacity_Resource,$E191,'Critical resources (hide)'!BJ$6:BJ$105)+SUMIF(Capacity_Resource,$F191,'Critical resources (hide)'!BJ$6:BJ$105)&gt;0,$E$1=2),0,1),0)</f>
        <v>1</v>
      </c>
      <c r="AX191" s="67">
        <f ca="1">IF(LOWER(Capacity!$V96)="x",IF(AND(SUMIF(Capacity_Resource,$D191,'Critical resources (hide)'!BK$6:BK$105)+SUMIF(Capacity_Resource,$E191,'Critical resources (hide)'!BK$6:BK$105)+SUMIF(Capacity_Resource,$F191,'Critical resources (hide)'!BK$6:BK$105)&gt;0,$E$1=2),0,1),0)</f>
        <v>1</v>
      </c>
      <c r="AY191" s="67">
        <f ca="1">IF(LOWER(Capacity!$V96)="x",IF(AND(SUMIF(Capacity_Resource,$D191,'Critical resources (hide)'!BL$6:BL$105)+SUMIF(Capacity_Resource,$E191,'Critical resources (hide)'!BL$6:BL$105)+SUMIF(Capacity_Resource,$F191,'Critical resources (hide)'!BL$6:BL$105)&gt;0,$E$1=2),0,1),0)</f>
        <v>1</v>
      </c>
      <c r="AZ191" s="67">
        <f ca="1">IF(LOWER(Capacity!$V96)="x",IF(AND(SUMIF(Capacity_Resource,$D191,'Critical resources (hide)'!BM$6:BM$105)+SUMIF(Capacity_Resource,$E191,'Critical resources (hide)'!BM$6:BM$105)+SUMIF(Capacity_Resource,$F191,'Critical resources (hide)'!BM$6:BM$105)&gt;0,$E$1=2),0,1),0)</f>
        <v>1</v>
      </c>
      <c r="BA191" s="67">
        <f ca="1">IF(LOWER(Capacity!$V96)="x",IF(AND(SUMIF(Capacity_Resource,$D191,'Critical resources (hide)'!BN$6:BN$105)+SUMIF(Capacity_Resource,$E191,'Critical resources (hide)'!BN$6:BN$105)+SUMIF(Capacity_Resource,$F191,'Critical resources (hide)'!BN$6:BN$105)&gt;0,$E$1=2),0,1),0)</f>
        <v>1</v>
      </c>
      <c r="BB191" s="67">
        <f ca="1">IF(LOWER(Capacity!$V96)="x",IF(AND(SUMIF(Capacity_Resource,$D191,'Critical resources (hide)'!BO$6:BO$105)+SUMIF(Capacity_Resource,$E191,'Critical resources (hide)'!BO$6:BO$105)+SUMIF(Capacity_Resource,$F191,'Critical resources (hide)'!BO$6:BO$105)&gt;0,$E$1=2),0,1),0)</f>
        <v>1</v>
      </c>
      <c r="BC191" s="67">
        <f ca="1">IF(LOWER(Capacity!$V96)="x",IF(AND(SUMIF(Capacity_Resource,$D191,'Critical resources (hide)'!BP$6:BP$105)+SUMIF(Capacity_Resource,$E191,'Critical resources (hide)'!BP$6:BP$105)+SUMIF(Capacity_Resource,$F191,'Critical resources (hide)'!BP$6:BP$105)&gt;0,$E$1=2),0,1),0)</f>
        <v>1</v>
      </c>
      <c r="BD191" s="67">
        <f ca="1">IF(LOWER(Capacity!$V96)="x",IF(AND(SUMIF(Capacity_Resource,$D191,'Critical resources (hide)'!BQ$6:BQ$105)+SUMIF(Capacity_Resource,$E191,'Critical resources (hide)'!BQ$6:BQ$105)+SUMIF(Capacity_Resource,$F191,'Critical resources (hide)'!BQ$6:BQ$105)&gt;0,$E$1=2),0,1),0)</f>
        <v>1</v>
      </c>
      <c r="BE191" s="67">
        <f ca="1">IF(LOWER(Capacity!$V96)="x",IF(AND(SUMIF(Capacity_Resource,$D191,'Critical resources (hide)'!BR$6:BR$105)+SUMIF(Capacity_Resource,$E191,'Critical resources (hide)'!BR$6:BR$105)+SUMIF(Capacity_Resource,$F191,'Critical resources (hide)'!BR$6:BR$105)&gt;0,$E$1=2),0,1),0)</f>
        <v>1</v>
      </c>
      <c r="BF191" s="67">
        <f ca="1">IF(LOWER(Capacity!$V96)="x",IF(AND(SUMIF(Capacity_Resource,$D191,'Critical resources (hide)'!BS$6:BS$105)+SUMIF(Capacity_Resource,$E191,'Critical resources (hide)'!BS$6:BS$105)+SUMIF(Capacity_Resource,$F191,'Critical resources (hide)'!BS$6:BS$105)&gt;0,$E$1=2),0,1),0)</f>
        <v>1</v>
      </c>
      <c r="BG191" s="67">
        <f ca="1">IF(LOWER(Capacity!$V96)="x",IF(AND(SUMIF(Capacity_Resource,$D191,'Critical resources (hide)'!BT$6:BT$105)+SUMIF(Capacity_Resource,$E191,'Critical resources (hide)'!BT$6:BT$105)+SUMIF(Capacity_Resource,$F191,'Critical resources (hide)'!BT$6:BT$105)&gt;0,$E$1=2),0,1),0)</f>
        <v>1</v>
      </c>
      <c r="BH191" s="67">
        <f>IF(ROW(A80)&lt;=Capacity!$M$16,IF('Capacity summary'!$C$14="No",SUM(H191:BG191),'Capacity summary'!$E103),0)</f>
        <v>0</v>
      </c>
      <c r="BI191" s="67" t="str">
        <f>IF(BH191&gt;0,IF(BH191&lt;Capacity!Q96,Capacity!R96,Capacity!T96/'Capacity calculation (hide)'!BH191),"")</f>
        <v/>
      </c>
      <c r="BJ191" s="5"/>
      <c r="BK191" s="5">
        <f>IF($BI191&lt;&gt;"",IF('Capacity summary'!$C$14="Yes",IF(COUNTBLANK('Capacity summary'!$H103:$BG103)&lt;52,IF('Capacity summary'!H103&lt;&gt;"",IF(LOWER('Capacity summary'!H103)="x",$BI191*H191,VALUE('Capacity summary'!H103)),0),H191*$BI191),H191*$BI191),0)</f>
        <v>0</v>
      </c>
      <c r="BL191" s="5">
        <f>IF($BI191&lt;&gt;"",IF('Capacity summary'!$C$14="Yes",IF(COUNTBLANK('Capacity summary'!$H103:$BG103)&lt;52,IF('Capacity summary'!I103&lt;&gt;"",IF(LOWER('Capacity summary'!I103)="x",$BI191*I191,VALUE('Capacity summary'!I103)),0),I191*$BI191),I191*$BI191),0)</f>
        <v>0</v>
      </c>
      <c r="BM191" s="5">
        <f>IF($BI191&lt;&gt;"",IF('Capacity summary'!$C$14="Yes",IF(COUNTBLANK('Capacity summary'!$H103:$BG103)&lt;52,IF('Capacity summary'!J103&lt;&gt;"",IF(LOWER('Capacity summary'!J103)="x",$BI191*J191,VALUE('Capacity summary'!J103)),0),J191*$BI191),J191*$BI191),0)</f>
        <v>0</v>
      </c>
      <c r="BN191" s="5">
        <f>IF($BI191&lt;&gt;"",IF('Capacity summary'!$C$14="Yes",IF(COUNTBLANK('Capacity summary'!$H103:$BG103)&lt;52,IF('Capacity summary'!K103&lt;&gt;"",IF(LOWER('Capacity summary'!K103)="x",$BI191*K191,VALUE('Capacity summary'!K103)),0),K191*$BI191),K191*$BI191),0)</f>
        <v>0</v>
      </c>
      <c r="BO191" s="5">
        <f>IF($BI191&lt;&gt;"",IF('Capacity summary'!$C$14="Yes",IF(COUNTBLANK('Capacity summary'!$H103:$BG103)&lt;52,IF('Capacity summary'!L103&lt;&gt;"",IF(LOWER('Capacity summary'!L103)="x",$BI191*L191,VALUE('Capacity summary'!L103)),0),L191*$BI191),L191*$BI191),0)</f>
        <v>0</v>
      </c>
      <c r="BP191" s="5">
        <f>IF($BI191&lt;&gt;"",IF('Capacity summary'!$C$14="Yes",IF(COUNTBLANK('Capacity summary'!$H103:$BG103)&lt;52,IF('Capacity summary'!M103&lt;&gt;"",IF(LOWER('Capacity summary'!M103)="x",$BI191*M191,VALUE('Capacity summary'!M103)),0),M191*$BI191),M191*$BI191),0)</f>
        <v>0</v>
      </c>
      <c r="BQ191" s="5">
        <f>IF($BI191&lt;&gt;"",IF('Capacity summary'!$C$14="Yes",IF(COUNTBLANK('Capacity summary'!$H103:$BG103)&lt;52,IF('Capacity summary'!N103&lt;&gt;"",IF(LOWER('Capacity summary'!N103)="x",$BI191*N191,VALUE('Capacity summary'!N103)),0),N191*$BI191),N191*$BI191),0)</f>
        <v>0</v>
      </c>
      <c r="BR191" s="5">
        <f>IF($BI191&lt;&gt;"",IF('Capacity summary'!$C$14="Yes",IF(COUNTBLANK('Capacity summary'!$H103:$BG103)&lt;52,IF('Capacity summary'!O103&lt;&gt;"",IF(LOWER('Capacity summary'!O103)="x",$BI191*O191,VALUE('Capacity summary'!O103)),0),O191*$BI191),O191*$BI191),0)</f>
        <v>0</v>
      </c>
      <c r="BS191" s="5">
        <f>IF($BI191&lt;&gt;"",IF('Capacity summary'!$C$14="Yes",IF(COUNTBLANK('Capacity summary'!$H103:$BG103)&lt;52,IF('Capacity summary'!P103&lt;&gt;"",IF(LOWER('Capacity summary'!P103)="x",$BI191*P191,VALUE('Capacity summary'!P103)),0),P191*$BI191),P191*$BI191),0)</f>
        <v>0</v>
      </c>
      <c r="BT191" s="5">
        <f>IF($BI191&lt;&gt;"",IF('Capacity summary'!$C$14="Yes",IF(COUNTBLANK('Capacity summary'!$H103:$BG103)&lt;52,IF('Capacity summary'!Q103&lt;&gt;"",IF(LOWER('Capacity summary'!Q103)="x",$BI191*Q191,VALUE('Capacity summary'!Q103)),0),Q191*$BI191),Q191*$BI191),0)</f>
        <v>0</v>
      </c>
      <c r="BU191" s="5">
        <f>IF($BI191&lt;&gt;"",IF('Capacity summary'!$C$14="Yes",IF(COUNTBLANK('Capacity summary'!$H103:$BG103)&lt;52,IF('Capacity summary'!R103&lt;&gt;"",IF(LOWER('Capacity summary'!R103)="x",$BI191*R191,VALUE('Capacity summary'!R103)),0),R191*$BI191),R191*$BI191),0)</f>
        <v>0</v>
      </c>
      <c r="BV191" s="5">
        <f>IF($BI191&lt;&gt;"",IF('Capacity summary'!$C$14="Yes",IF(COUNTBLANK('Capacity summary'!$H103:$BG103)&lt;52,IF('Capacity summary'!S103&lt;&gt;"",IF(LOWER('Capacity summary'!S103)="x",$BI191*S191,VALUE('Capacity summary'!S103)),0),S191*$BI191),S191*$BI191),0)</f>
        <v>0</v>
      </c>
      <c r="BW191" s="5">
        <f>IF($BI191&lt;&gt;"",IF('Capacity summary'!$C$14="Yes",IF(COUNTBLANK('Capacity summary'!$H103:$BG103)&lt;52,IF('Capacity summary'!T103&lt;&gt;"",IF(LOWER('Capacity summary'!T103)="x",$BI191*T191,VALUE('Capacity summary'!T103)),0),T191*$BI191),T191*$BI191),0)</f>
        <v>0</v>
      </c>
      <c r="BX191" s="5">
        <f>IF($BI191&lt;&gt;"",IF('Capacity summary'!$C$14="Yes",IF(COUNTBLANK('Capacity summary'!$H103:$BG103)&lt;52,IF('Capacity summary'!U103&lt;&gt;"",IF(LOWER('Capacity summary'!U103)="x",$BI191*U191,VALUE('Capacity summary'!U103)),0),U191*$BI191),U191*$BI191),0)</f>
        <v>0</v>
      </c>
      <c r="BY191" s="5">
        <f>IF($BI191&lt;&gt;"",IF('Capacity summary'!$C$14="Yes",IF(COUNTBLANK('Capacity summary'!$H103:$BG103)&lt;52,IF('Capacity summary'!V103&lt;&gt;"",IF(LOWER('Capacity summary'!V103)="x",$BI191*V191,VALUE('Capacity summary'!V103)),0),V191*$BI191),V191*$BI191),0)</f>
        <v>0</v>
      </c>
      <c r="BZ191" s="5">
        <f>IF($BI191&lt;&gt;"",IF('Capacity summary'!$C$14="Yes",IF(COUNTBLANK('Capacity summary'!$H103:$BG103)&lt;52,IF('Capacity summary'!W103&lt;&gt;"",IF(LOWER('Capacity summary'!W103)="x",$BI191*W191,VALUE('Capacity summary'!W103)),0),W191*$BI191),W191*$BI191),0)</f>
        <v>0</v>
      </c>
      <c r="CA191" s="5">
        <f>IF($BI191&lt;&gt;"",IF('Capacity summary'!$C$14="Yes",IF(COUNTBLANK('Capacity summary'!$H103:$BG103)&lt;52,IF('Capacity summary'!X103&lt;&gt;"",IF(LOWER('Capacity summary'!X103)="x",$BI191*X191,VALUE('Capacity summary'!X103)),0),X191*$BI191),X191*$BI191),0)</f>
        <v>0</v>
      </c>
      <c r="CB191" s="5">
        <f>IF($BI191&lt;&gt;"",IF('Capacity summary'!$C$14="Yes",IF(COUNTBLANK('Capacity summary'!$H103:$BG103)&lt;52,IF('Capacity summary'!Y103&lt;&gt;"",IF(LOWER('Capacity summary'!Y103)="x",$BI191*Y191,VALUE('Capacity summary'!Y103)),0),Y191*$BI191),Y191*$BI191),0)</f>
        <v>0</v>
      </c>
      <c r="CC191" s="5">
        <f>IF($BI191&lt;&gt;"",IF('Capacity summary'!$C$14="Yes",IF(COUNTBLANK('Capacity summary'!$H103:$BG103)&lt;52,IF('Capacity summary'!Z103&lt;&gt;"",IF(LOWER('Capacity summary'!Z103)="x",$BI191*Z191,VALUE('Capacity summary'!Z103)),0),Z191*$BI191),Z191*$BI191),0)</f>
        <v>0</v>
      </c>
      <c r="CD191" s="5">
        <f>IF($BI191&lt;&gt;"",IF('Capacity summary'!$C$14="Yes",IF(COUNTBLANK('Capacity summary'!$H103:$BG103)&lt;52,IF('Capacity summary'!AA103&lt;&gt;"",IF(LOWER('Capacity summary'!AA103)="x",$BI191*AA191,VALUE('Capacity summary'!AA103)),0),AA191*$BI191),AA191*$BI191),0)</f>
        <v>0</v>
      </c>
      <c r="CE191" s="5">
        <f>IF($BI191&lt;&gt;"",IF('Capacity summary'!$C$14="Yes",IF(COUNTBLANK('Capacity summary'!$H103:$BG103)&lt;52,IF('Capacity summary'!AB103&lt;&gt;"",IF(LOWER('Capacity summary'!AB103)="x",$BI191*AB191,VALUE('Capacity summary'!AB103)),0),AB191*$BI191),AB191*$BI191),0)</f>
        <v>0</v>
      </c>
      <c r="CF191" s="5">
        <f>IF($BI191&lt;&gt;"",IF('Capacity summary'!$C$14="Yes",IF(COUNTBLANK('Capacity summary'!$H103:$BG103)&lt;52,IF('Capacity summary'!AC103&lt;&gt;"",IF(LOWER('Capacity summary'!AC103)="x",$BI191*AC191,VALUE('Capacity summary'!AC103)),0),AC191*$BI191),AC191*$BI191),0)</f>
        <v>0</v>
      </c>
      <c r="CG191" s="5">
        <f>IF($BI191&lt;&gt;"",IF('Capacity summary'!$C$14="Yes",IF(COUNTBLANK('Capacity summary'!$H103:$BG103)&lt;52,IF('Capacity summary'!AD103&lt;&gt;"",IF(LOWER('Capacity summary'!AD103)="x",$BI191*AD191,VALUE('Capacity summary'!AD103)),0),AD191*$BI191),AD191*$BI191),0)</f>
        <v>0</v>
      </c>
      <c r="CH191" s="5">
        <f>IF($BI191&lt;&gt;"",IF('Capacity summary'!$C$14="Yes",IF(COUNTBLANK('Capacity summary'!$H103:$BG103)&lt;52,IF('Capacity summary'!AE103&lt;&gt;"",IF(LOWER('Capacity summary'!AE103)="x",$BI191*AE191,VALUE('Capacity summary'!AE103)),0),AE191*$BI191),AE191*$BI191),0)</f>
        <v>0</v>
      </c>
      <c r="CI191" s="5">
        <f>IF($BI191&lt;&gt;"",IF('Capacity summary'!$C$14="Yes",IF(COUNTBLANK('Capacity summary'!$H103:$BG103)&lt;52,IF('Capacity summary'!AF103&lt;&gt;"",IF(LOWER('Capacity summary'!AF103)="x",$BI191*AF191,VALUE('Capacity summary'!AF103)),0),AF191*$BI191),AF191*$BI191),0)</f>
        <v>0</v>
      </c>
      <c r="CJ191" s="5">
        <f>IF($BI191&lt;&gt;"",IF('Capacity summary'!$C$14="Yes",IF(COUNTBLANK('Capacity summary'!$H103:$BG103)&lt;52,IF('Capacity summary'!AG103&lt;&gt;"",IF(LOWER('Capacity summary'!AG103)="x",$BI191*AG191,VALUE('Capacity summary'!AG103)),0),AG191*$BI191),AG191*$BI191),0)</f>
        <v>0</v>
      </c>
      <c r="CK191" s="5">
        <f>IF($BI191&lt;&gt;"",IF('Capacity summary'!$C$14="Yes",IF(COUNTBLANK('Capacity summary'!$H103:$BG103)&lt;52,IF('Capacity summary'!AH103&lt;&gt;"",IF(LOWER('Capacity summary'!AH103)="x",$BI191*AH191,VALUE('Capacity summary'!AH103)),0),AH191*$BI191),AH191*$BI191),0)</f>
        <v>0</v>
      </c>
      <c r="CL191" s="5">
        <f>IF($BI191&lt;&gt;"",IF('Capacity summary'!$C$14="Yes",IF(COUNTBLANK('Capacity summary'!$H103:$BG103)&lt;52,IF('Capacity summary'!AI103&lt;&gt;"",IF(LOWER('Capacity summary'!AI103)="x",$BI191*AI191,VALUE('Capacity summary'!AI103)),0),AI191*$BI191),AI191*$BI191),0)</f>
        <v>0</v>
      </c>
      <c r="CM191" s="5">
        <f>IF($BI191&lt;&gt;"",IF('Capacity summary'!$C$14="Yes",IF(COUNTBLANK('Capacity summary'!$H103:$BG103)&lt;52,IF('Capacity summary'!AJ103&lt;&gt;"",IF(LOWER('Capacity summary'!AJ103)="x",$BI191*AJ191,VALUE('Capacity summary'!AJ103)),0),AJ191*$BI191),AJ191*$BI191),0)</f>
        <v>0</v>
      </c>
      <c r="CN191" s="5">
        <f>IF($BI191&lt;&gt;"",IF('Capacity summary'!$C$14="Yes",IF(COUNTBLANK('Capacity summary'!$H103:$BG103)&lt;52,IF('Capacity summary'!AK103&lt;&gt;"",IF(LOWER('Capacity summary'!AK103)="x",$BI191*AK191,VALUE('Capacity summary'!AK103)),0),AK191*$BI191),AK191*$BI191),0)</f>
        <v>0</v>
      </c>
      <c r="CO191" s="5">
        <f>IF($BI191&lt;&gt;"",IF('Capacity summary'!$C$14="Yes",IF(COUNTBLANK('Capacity summary'!$H103:$BG103)&lt;52,IF('Capacity summary'!AL103&lt;&gt;"",IF(LOWER('Capacity summary'!AL103)="x",$BI191*AL191,VALUE('Capacity summary'!AL103)),0),AL191*$BI191),AL191*$BI191),0)</f>
        <v>0</v>
      </c>
      <c r="CP191" s="5">
        <f>IF($BI191&lt;&gt;"",IF('Capacity summary'!$C$14="Yes",IF(COUNTBLANK('Capacity summary'!$H103:$BG103)&lt;52,IF('Capacity summary'!AM103&lt;&gt;"",IF(LOWER('Capacity summary'!AM103)="x",$BI191*AM191,VALUE('Capacity summary'!AM103)),0),AM191*$BI191),AM191*$BI191),0)</f>
        <v>0</v>
      </c>
      <c r="CQ191" s="5">
        <f>IF($BI191&lt;&gt;"",IF('Capacity summary'!$C$14="Yes",IF(COUNTBLANK('Capacity summary'!$H103:$BG103)&lt;52,IF('Capacity summary'!AN103&lt;&gt;"",IF(LOWER('Capacity summary'!AN103)="x",$BI191*AN191,VALUE('Capacity summary'!AN103)),0),AN191*$BI191),AN191*$BI191),0)</f>
        <v>0</v>
      </c>
      <c r="CR191" s="5">
        <f>IF($BI191&lt;&gt;"",IF('Capacity summary'!$C$14="Yes",IF(COUNTBLANK('Capacity summary'!$H103:$BG103)&lt;52,IF('Capacity summary'!AO103&lt;&gt;"",IF(LOWER('Capacity summary'!AO103)="x",$BI191*AO191,VALUE('Capacity summary'!AO103)),0),AO191*$BI191),AO191*$BI191),0)</f>
        <v>0</v>
      </c>
      <c r="CS191" s="5">
        <f>IF($BI191&lt;&gt;"",IF('Capacity summary'!$C$14="Yes",IF(COUNTBLANK('Capacity summary'!$H103:$BG103)&lt;52,IF('Capacity summary'!AP103&lt;&gt;"",IF(LOWER('Capacity summary'!AP103)="x",$BI191*AP191,VALUE('Capacity summary'!AP103)),0),AP191*$BI191),AP191*$BI191),0)</f>
        <v>0</v>
      </c>
      <c r="CT191" s="5">
        <f>IF($BI191&lt;&gt;"",IF('Capacity summary'!$C$14="Yes",IF(COUNTBLANK('Capacity summary'!$H103:$BG103)&lt;52,IF('Capacity summary'!AQ103&lt;&gt;"",IF(LOWER('Capacity summary'!AQ103)="x",$BI191*AQ191,VALUE('Capacity summary'!AQ103)),0),AQ191*$BI191),AQ191*$BI191),0)</f>
        <v>0</v>
      </c>
      <c r="CU191" s="5">
        <f>IF($BI191&lt;&gt;"",IF('Capacity summary'!$C$14="Yes",IF(COUNTBLANK('Capacity summary'!$H103:$BG103)&lt;52,IF('Capacity summary'!AR103&lt;&gt;"",IF(LOWER('Capacity summary'!AR103)="x",$BI191*AR191,VALUE('Capacity summary'!AR103)),0),AR191*$BI191),AR191*$BI191),0)</f>
        <v>0</v>
      </c>
      <c r="CV191" s="5">
        <f>IF($BI191&lt;&gt;"",IF('Capacity summary'!$C$14="Yes",IF(COUNTBLANK('Capacity summary'!$H103:$BG103)&lt;52,IF('Capacity summary'!AS103&lt;&gt;"",IF(LOWER('Capacity summary'!AS103)="x",$BI191*AS191,VALUE('Capacity summary'!AS103)),0),AS191*$BI191),AS191*$BI191),0)</f>
        <v>0</v>
      </c>
      <c r="CW191" s="5">
        <f>IF($BI191&lt;&gt;"",IF('Capacity summary'!$C$14="Yes",IF(COUNTBLANK('Capacity summary'!$H103:$BG103)&lt;52,IF('Capacity summary'!AT103&lt;&gt;"",IF(LOWER('Capacity summary'!AT103)="x",$BI191*AT191,VALUE('Capacity summary'!AT103)),0),AT191*$BI191),AT191*$BI191),0)</f>
        <v>0</v>
      </c>
      <c r="CX191" s="5">
        <f>IF($BI191&lt;&gt;"",IF('Capacity summary'!$C$14="Yes",IF(COUNTBLANK('Capacity summary'!$H103:$BG103)&lt;52,IF('Capacity summary'!AU103&lt;&gt;"",IF(LOWER('Capacity summary'!AU103)="x",$BI191*AU191,VALUE('Capacity summary'!AU103)),0),AU191*$BI191),AU191*$BI191),0)</f>
        <v>0</v>
      </c>
      <c r="CY191" s="5">
        <f>IF($BI191&lt;&gt;"",IF('Capacity summary'!$C$14="Yes",IF(COUNTBLANK('Capacity summary'!$H103:$BG103)&lt;52,IF('Capacity summary'!AV103&lt;&gt;"",IF(LOWER('Capacity summary'!AV103)="x",$BI191*AV191,VALUE('Capacity summary'!AV103)),0),AV191*$BI191),AV191*$BI191),0)</f>
        <v>0</v>
      </c>
      <c r="CZ191" s="5">
        <f>IF($BI191&lt;&gt;"",IF('Capacity summary'!$C$14="Yes",IF(COUNTBLANK('Capacity summary'!$H103:$BG103)&lt;52,IF('Capacity summary'!AW103&lt;&gt;"",IF(LOWER('Capacity summary'!AW103)="x",$BI191*AW191,VALUE('Capacity summary'!AW103)),0),AW191*$BI191),AW191*$BI191),0)</f>
        <v>0</v>
      </c>
      <c r="DA191" s="5">
        <f>IF($BI191&lt;&gt;"",IF('Capacity summary'!$C$14="Yes",IF(COUNTBLANK('Capacity summary'!$H103:$BG103)&lt;52,IF('Capacity summary'!AX103&lt;&gt;"",IF(LOWER('Capacity summary'!AX103)="x",$BI191*AX191,VALUE('Capacity summary'!AX103)),0),AX191*$BI191),AX191*$BI191),0)</f>
        <v>0</v>
      </c>
      <c r="DB191" s="5">
        <f>IF($BI191&lt;&gt;"",IF('Capacity summary'!$C$14="Yes",IF(COUNTBLANK('Capacity summary'!$H103:$BG103)&lt;52,IF('Capacity summary'!AY103&lt;&gt;"",IF(LOWER('Capacity summary'!AY103)="x",$BI191*AY191,VALUE('Capacity summary'!AY103)),0),AY191*$BI191),AY191*$BI191),0)</f>
        <v>0</v>
      </c>
      <c r="DC191" s="5">
        <f>IF($BI191&lt;&gt;"",IF('Capacity summary'!$C$14="Yes",IF(COUNTBLANK('Capacity summary'!$H103:$BG103)&lt;52,IF('Capacity summary'!AZ103&lt;&gt;"",IF(LOWER('Capacity summary'!AZ103)="x",$BI191*AZ191,VALUE('Capacity summary'!AZ103)),0),AZ191*$BI191),AZ191*$BI191),0)</f>
        <v>0</v>
      </c>
      <c r="DD191" s="5">
        <f>IF($BI191&lt;&gt;"",IF('Capacity summary'!$C$14="Yes",IF(COUNTBLANK('Capacity summary'!$H103:$BG103)&lt;52,IF('Capacity summary'!BA103&lt;&gt;"",IF(LOWER('Capacity summary'!BA103)="x",$BI191*BA191,VALUE('Capacity summary'!BA103)),0),BA191*$BI191),BA191*$BI191),0)</f>
        <v>0</v>
      </c>
      <c r="DE191" s="5">
        <f>IF($BI191&lt;&gt;"",IF('Capacity summary'!$C$14="Yes",IF(COUNTBLANK('Capacity summary'!$H103:$BG103)&lt;52,IF('Capacity summary'!BB103&lt;&gt;"",IF(LOWER('Capacity summary'!BB103)="x",$BI191*BB191,VALUE('Capacity summary'!BB103)),0),BB191*$BI191),BB191*$BI191),0)</f>
        <v>0</v>
      </c>
      <c r="DF191" s="5">
        <f>IF($BI191&lt;&gt;"",IF('Capacity summary'!$C$14="Yes",IF(COUNTBLANK('Capacity summary'!$H103:$BG103)&lt;52,IF('Capacity summary'!BC103&lt;&gt;"",IF(LOWER('Capacity summary'!BC103)="x",$BI191*BC191,VALUE('Capacity summary'!BC103)),0),BC191*$BI191),BC191*$BI191),0)</f>
        <v>0</v>
      </c>
      <c r="DG191" s="5">
        <f>IF($BI191&lt;&gt;"",IF('Capacity summary'!$C$14="Yes",IF(COUNTBLANK('Capacity summary'!$H103:$BG103)&lt;52,IF('Capacity summary'!BD103&lt;&gt;"",IF(LOWER('Capacity summary'!BD103)="x",$BI191*BD191,VALUE('Capacity summary'!BD103)),0),BD191*$BI191),BD191*$BI191),0)</f>
        <v>0</v>
      </c>
      <c r="DH191" s="5">
        <f>IF($BI191&lt;&gt;"",IF('Capacity summary'!$C$14="Yes",IF(COUNTBLANK('Capacity summary'!$H103:$BG103)&lt;52,IF('Capacity summary'!BE103&lt;&gt;"",IF(LOWER('Capacity summary'!BE103)="x",$BI191*BE191,VALUE('Capacity summary'!BE103)),0),BE191*$BI191),BE191*$BI191),0)</f>
        <v>0</v>
      </c>
      <c r="DI191" s="5">
        <f>IF($BI191&lt;&gt;"",IF('Capacity summary'!$C$14="Yes",IF(COUNTBLANK('Capacity summary'!$H103:$BG103)&lt;52,IF('Capacity summary'!BF103&lt;&gt;"",IF(LOWER('Capacity summary'!BF103)="x",$BI191*BF191,VALUE('Capacity summary'!BF103)),0),BF191*$BI191),BF191*$BI191),0)</f>
        <v>0</v>
      </c>
      <c r="DJ191" s="5">
        <f>IF($BI191&lt;&gt;"",IF('Capacity summary'!$C$14="Yes",IF(COUNTBLANK('Capacity summary'!$H103:$BG103)&lt;52,IF('Capacity summary'!BG103&lt;&gt;"",IF(LOWER('Capacity summary'!BG103)="x",$BI191*BG191,VALUE('Capacity summary'!BG103)),0),BG191*$BI191),BG191*$BI191),0)</f>
        <v>0</v>
      </c>
      <c r="DK191" s="391">
        <f t="shared" si="10"/>
        <v>0</v>
      </c>
      <c r="DL191" s="5">
        <f t="shared" si="11"/>
        <v>0</v>
      </c>
    </row>
    <row r="192" spans="3:116" x14ac:dyDescent="0.2">
      <c r="C192" s="67" t="str">
        <f>ROW(A81)&amp;". "&amp;Capacity!N97</f>
        <v xml:space="preserve">81. </v>
      </c>
      <c r="D192" s="67">
        <f>'Capacity setup'!C198</f>
        <v>0</v>
      </c>
      <c r="E192" s="67">
        <f>'Capacity setup'!D198</f>
        <v>0</v>
      </c>
      <c r="F192" s="67">
        <f>'Capacity setup'!E198</f>
        <v>0</v>
      </c>
      <c r="H192" s="67">
        <f ca="1">IF(LOWER(Capacity!$V97)="x",IF(AND(SUMIF(Capacity_Resource,$D192,'Critical resources (hide)'!U$6:U$105)+SUMIF(Capacity_Resource,$E192,'Critical resources (hide)'!U$6:U$105)+SUMIF(Capacity_Resource,$F192,'Critical resources (hide)'!U$6:U$105)&gt;0,$E$1=2),0,1),0)</f>
        <v>1</v>
      </c>
      <c r="I192" s="67">
        <f ca="1">IF(LOWER(Capacity!$V97)="x",IF(AND(SUMIF(Capacity_Resource,$D192,'Critical resources (hide)'!V$6:V$105)+SUMIF(Capacity_Resource,$E192,'Critical resources (hide)'!V$6:V$105)+SUMIF(Capacity_Resource,$F192,'Critical resources (hide)'!V$6:V$105)&gt;0,$E$1=2),0,1),0)</f>
        <v>1</v>
      </c>
      <c r="J192" s="67">
        <f ca="1">IF(LOWER(Capacity!$V97)="x",IF(AND(SUMIF(Capacity_Resource,$D192,'Critical resources (hide)'!W$6:W$105)+SUMIF(Capacity_Resource,$E192,'Critical resources (hide)'!W$6:W$105)+SUMIF(Capacity_Resource,$F192,'Critical resources (hide)'!W$6:W$105)&gt;0,$E$1=2),0,1),0)</f>
        <v>1</v>
      </c>
      <c r="K192" s="67">
        <f ca="1">IF(LOWER(Capacity!$V97)="x",IF(AND(SUMIF(Capacity_Resource,$D192,'Critical resources (hide)'!X$6:X$105)+SUMIF(Capacity_Resource,$E192,'Critical resources (hide)'!X$6:X$105)+SUMIF(Capacity_Resource,$F192,'Critical resources (hide)'!X$6:X$105)&gt;0,$E$1=2),0,1),0)</f>
        <v>1</v>
      </c>
      <c r="L192" s="67">
        <f ca="1">IF(LOWER(Capacity!$V97)="x",IF(AND(SUMIF(Capacity_Resource,$D192,'Critical resources (hide)'!Y$6:Y$105)+SUMIF(Capacity_Resource,$E192,'Critical resources (hide)'!Y$6:Y$105)+SUMIF(Capacity_Resource,$F192,'Critical resources (hide)'!Y$6:Y$105)&gt;0,$E$1=2),0,1),0)</f>
        <v>1</v>
      </c>
      <c r="M192" s="67">
        <f ca="1">IF(LOWER(Capacity!$V97)="x",IF(AND(SUMIF(Capacity_Resource,$D192,'Critical resources (hide)'!Z$6:Z$105)+SUMIF(Capacity_Resource,$E192,'Critical resources (hide)'!Z$6:Z$105)+SUMIF(Capacity_Resource,$F192,'Critical resources (hide)'!Z$6:Z$105)&gt;0,$E$1=2),0,1),0)</f>
        <v>1</v>
      </c>
      <c r="N192" s="67">
        <f ca="1">IF(LOWER(Capacity!$V97)="x",IF(AND(SUMIF(Capacity_Resource,$D192,'Critical resources (hide)'!AA$6:AA$105)+SUMIF(Capacity_Resource,$E192,'Critical resources (hide)'!AA$6:AA$105)+SUMIF(Capacity_Resource,$F192,'Critical resources (hide)'!AA$6:AA$105)&gt;0,$E$1=2),0,1),0)</f>
        <v>1</v>
      </c>
      <c r="O192" s="67">
        <f ca="1">IF(LOWER(Capacity!$V97)="x",IF(AND(SUMIF(Capacity_Resource,$D192,'Critical resources (hide)'!AB$6:AB$105)+SUMIF(Capacity_Resource,$E192,'Critical resources (hide)'!AB$6:AB$105)+SUMIF(Capacity_Resource,$F192,'Critical resources (hide)'!AB$6:AB$105)&gt;0,$E$1=2),0,1),0)</f>
        <v>1</v>
      </c>
      <c r="P192" s="67">
        <f ca="1">IF(LOWER(Capacity!$V97)="x",IF(AND(SUMIF(Capacity_Resource,$D192,'Critical resources (hide)'!AC$6:AC$105)+SUMIF(Capacity_Resource,$E192,'Critical resources (hide)'!AC$6:AC$105)+SUMIF(Capacity_Resource,$F192,'Critical resources (hide)'!AC$6:AC$105)&gt;0,$E$1=2),0,1),0)</f>
        <v>1</v>
      </c>
      <c r="Q192" s="67">
        <f ca="1">IF(LOWER(Capacity!$V97)="x",IF(AND(SUMIF(Capacity_Resource,$D192,'Critical resources (hide)'!AD$6:AD$105)+SUMIF(Capacity_Resource,$E192,'Critical resources (hide)'!AD$6:AD$105)+SUMIF(Capacity_Resource,$F192,'Critical resources (hide)'!AD$6:AD$105)&gt;0,$E$1=2),0,1),0)</f>
        <v>1</v>
      </c>
      <c r="R192" s="67">
        <f ca="1">IF(LOWER(Capacity!$V97)="x",IF(AND(SUMIF(Capacity_Resource,$D192,'Critical resources (hide)'!AE$6:AE$105)+SUMIF(Capacity_Resource,$E192,'Critical resources (hide)'!AE$6:AE$105)+SUMIF(Capacity_Resource,$F192,'Critical resources (hide)'!AE$6:AE$105)&gt;0,$E$1=2),0,1),0)</f>
        <v>1</v>
      </c>
      <c r="S192" s="67">
        <f ca="1">IF(LOWER(Capacity!$V97)="x",IF(AND(SUMIF(Capacity_Resource,$D192,'Critical resources (hide)'!AF$6:AF$105)+SUMIF(Capacity_Resource,$E192,'Critical resources (hide)'!AF$6:AF$105)+SUMIF(Capacity_Resource,$F192,'Critical resources (hide)'!AF$6:AF$105)&gt;0,$E$1=2),0,1),0)</f>
        <v>1</v>
      </c>
      <c r="T192" s="67">
        <f ca="1">IF(LOWER(Capacity!$V97)="x",IF(AND(SUMIF(Capacity_Resource,$D192,'Critical resources (hide)'!AG$6:AG$105)+SUMIF(Capacity_Resource,$E192,'Critical resources (hide)'!AG$6:AG$105)+SUMIF(Capacity_Resource,$F192,'Critical resources (hide)'!AG$6:AG$105)&gt;0,$E$1=2),0,1),0)</f>
        <v>1</v>
      </c>
      <c r="U192" s="67">
        <f ca="1">IF(LOWER(Capacity!$V97)="x",IF(AND(SUMIF(Capacity_Resource,$D192,'Critical resources (hide)'!AH$6:AH$105)+SUMIF(Capacity_Resource,$E192,'Critical resources (hide)'!AH$6:AH$105)+SUMIF(Capacity_Resource,$F192,'Critical resources (hide)'!AH$6:AH$105)&gt;0,$E$1=2),0,1),0)</f>
        <v>1</v>
      </c>
      <c r="V192" s="67">
        <f ca="1">IF(LOWER(Capacity!$V97)="x",IF(AND(SUMIF(Capacity_Resource,$D192,'Critical resources (hide)'!AI$6:AI$105)+SUMIF(Capacity_Resource,$E192,'Critical resources (hide)'!AI$6:AI$105)+SUMIF(Capacity_Resource,$F192,'Critical resources (hide)'!AI$6:AI$105)&gt;0,$E$1=2),0,1),0)</f>
        <v>1</v>
      </c>
      <c r="W192" s="67">
        <f ca="1">IF(LOWER(Capacity!$V97)="x",IF(AND(SUMIF(Capacity_Resource,$D192,'Critical resources (hide)'!AJ$6:AJ$105)+SUMIF(Capacity_Resource,$E192,'Critical resources (hide)'!AJ$6:AJ$105)+SUMIF(Capacity_Resource,$F192,'Critical resources (hide)'!AJ$6:AJ$105)&gt;0,$E$1=2),0,1),0)</f>
        <v>1</v>
      </c>
      <c r="X192" s="67">
        <f ca="1">IF(LOWER(Capacity!$V97)="x",IF(AND(SUMIF(Capacity_Resource,$D192,'Critical resources (hide)'!AK$6:AK$105)+SUMIF(Capacity_Resource,$E192,'Critical resources (hide)'!AK$6:AK$105)+SUMIF(Capacity_Resource,$F192,'Critical resources (hide)'!AK$6:AK$105)&gt;0,$E$1=2),0,1),0)</f>
        <v>1</v>
      </c>
      <c r="Y192" s="67">
        <f ca="1">IF(LOWER(Capacity!$V97)="x",IF(AND(SUMIF(Capacity_Resource,$D192,'Critical resources (hide)'!AL$6:AL$105)+SUMIF(Capacity_Resource,$E192,'Critical resources (hide)'!AL$6:AL$105)+SUMIF(Capacity_Resource,$F192,'Critical resources (hide)'!AL$6:AL$105)&gt;0,$E$1=2),0,1),0)</f>
        <v>1</v>
      </c>
      <c r="Z192" s="67">
        <f ca="1">IF(LOWER(Capacity!$V97)="x",IF(AND(SUMIF(Capacity_Resource,$D192,'Critical resources (hide)'!AM$6:AM$105)+SUMIF(Capacity_Resource,$E192,'Critical resources (hide)'!AM$6:AM$105)+SUMIF(Capacity_Resource,$F192,'Critical resources (hide)'!AM$6:AM$105)&gt;0,$E$1=2),0,1),0)</f>
        <v>1</v>
      </c>
      <c r="AA192" s="67">
        <f ca="1">IF(LOWER(Capacity!$V97)="x",IF(AND(SUMIF(Capacity_Resource,$D192,'Critical resources (hide)'!AN$6:AN$105)+SUMIF(Capacity_Resource,$E192,'Critical resources (hide)'!AN$6:AN$105)+SUMIF(Capacity_Resource,$F192,'Critical resources (hide)'!AN$6:AN$105)&gt;0,$E$1=2),0,1),0)</f>
        <v>1</v>
      </c>
      <c r="AB192" s="67">
        <f ca="1">IF(LOWER(Capacity!$V97)="x",IF(AND(SUMIF(Capacity_Resource,$D192,'Critical resources (hide)'!AO$6:AO$105)+SUMIF(Capacity_Resource,$E192,'Critical resources (hide)'!AO$6:AO$105)+SUMIF(Capacity_Resource,$F192,'Critical resources (hide)'!AO$6:AO$105)&gt;0,$E$1=2),0,1),0)</f>
        <v>1</v>
      </c>
      <c r="AC192" s="67">
        <f ca="1">IF(LOWER(Capacity!$V97)="x",IF(AND(SUMIF(Capacity_Resource,$D192,'Critical resources (hide)'!AP$6:AP$105)+SUMIF(Capacity_Resource,$E192,'Critical resources (hide)'!AP$6:AP$105)+SUMIF(Capacity_Resource,$F192,'Critical resources (hide)'!AP$6:AP$105)&gt;0,$E$1=2),0,1),0)</f>
        <v>1</v>
      </c>
      <c r="AD192" s="67">
        <f ca="1">IF(LOWER(Capacity!$V97)="x",IF(AND(SUMIF(Capacity_Resource,$D192,'Critical resources (hide)'!AQ$6:AQ$105)+SUMIF(Capacity_Resource,$E192,'Critical resources (hide)'!AQ$6:AQ$105)+SUMIF(Capacity_Resource,$F192,'Critical resources (hide)'!AQ$6:AQ$105)&gt;0,$E$1=2),0,1),0)</f>
        <v>1</v>
      </c>
      <c r="AE192" s="67">
        <f ca="1">IF(LOWER(Capacity!$V97)="x",IF(AND(SUMIF(Capacity_Resource,$D192,'Critical resources (hide)'!AR$6:AR$105)+SUMIF(Capacity_Resource,$E192,'Critical resources (hide)'!AR$6:AR$105)+SUMIF(Capacity_Resource,$F192,'Critical resources (hide)'!AR$6:AR$105)&gt;0,$E$1=2),0,1),0)</f>
        <v>1</v>
      </c>
      <c r="AF192" s="67">
        <f ca="1">IF(LOWER(Capacity!$V97)="x",IF(AND(SUMIF(Capacity_Resource,$D192,'Critical resources (hide)'!AS$6:AS$105)+SUMIF(Capacity_Resource,$E192,'Critical resources (hide)'!AS$6:AS$105)+SUMIF(Capacity_Resource,$F192,'Critical resources (hide)'!AS$6:AS$105)&gt;0,$E$1=2),0,1),0)</f>
        <v>1</v>
      </c>
      <c r="AG192" s="67">
        <f ca="1">IF(LOWER(Capacity!$V97)="x",IF(AND(SUMIF(Capacity_Resource,$D192,'Critical resources (hide)'!AT$6:AT$105)+SUMIF(Capacity_Resource,$E192,'Critical resources (hide)'!AT$6:AT$105)+SUMIF(Capacity_Resource,$F192,'Critical resources (hide)'!AT$6:AT$105)&gt;0,$E$1=2),0,1),0)</f>
        <v>1</v>
      </c>
      <c r="AH192" s="67">
        <f ca="1">IF(LOWER(Capacity!$V97)="x",IF(AND(SUMIF(Capacity_Resource,$D192,'Critical resources (hide)'!AU$6:AU$105)+SUMIF(Capacity_Resource,$E192,'Critical resources (hide)'!AU$6:AU$105)+SUMIF(Capacity_Resource,$F192,'Critical resources (hide)'!AU$6:AU$105)&gt;0,$E$1=2),0,1),0)</f>
        <v>1</v>
      </c>
      <c r="AI192" s="67">
        <f ca="1">IF(LOWER(Capacity!$V97)="x",IF(AND(SUMIF(Capacity_Resource,$D192,'Critical resources (hide)'!AV$6:AV$105)+SUMIF(Capacity_Resource,$E192,'Critical resources (hide)'!AV$6:AV$105)+SUMIF(Capacity_Resource,$F192,'Critical resources (hide)'!AV$6:AV$105)&gt;0,$E$1=2),0,1),0)</f>
        <v>1</v>
      </c>
      <c r="AJ192" s="67">
        <f ca="1">IF(LOWER(Capacity!$V97)="x",IF(AND(SUMIF(Capacity_Resource,$D192,'Critical resources (hide)'!AW$6:AW$105)+SUMIF(Capacity_Resource,$E192,'Critical resources (hide)'!AW$6:AW$105)+SUMIF(Capacity_Resource,$F192,'Critical resources (hide)'!AW$6:AW$105)&gt;0,$E$1=2),0,1),0)</f>
        <v>1</v>
      </c>
      <c r="AK192" s="67">
        <f ca="1">IF(LOWER(Capacity!$V97)="x",IF(AND(SUMIF(Capacity_Resource,$D192,'Critical resources (hide)'!AX$6:AX$105)+SUMIF(Capacity_Resource,$E192,'Critical resources (hide)'!AX$6:AX$105)+SUMIF(Capacity_Resource,$F192,'Critical resources (hide)'!AX$6:AX$105)&gt;0,$E$1=2),0,1),0)</f>
        <v>1</v>
      </c>
      <c r="AL192" s="67">
        <f ca="1">IF(LOWER(Capacity!$V97)="x",IF(AND(SUMIF(Capacity_Resource,$D192,'Critical resources (hide)'!AY$6:AY$105)+SUMIF(Capacity_Resource,$E192,'Critical resources (hide)'!AY$6:AY$105)+SUMIF(Capacity_Resource,$F192,'Critical resources (hide)'!AY$6:AY$105)&gt;0,$E$1=2),0,1),0)</f>
        <v>1</v>
      </c>
      <c r="AM192" s="67">
        <f ca="1">IF(LOWER(Capacity!$V97)="x",IF(AND(SUMIF(Capacity_Resource,$D192,'Critical resources (hide)'!AZ$6:AZ$105)+SUMIF(Capacity_Resource,$E192,'Critical resources (hide)'!AZ$6:AZ$105)+SUMIF(Capacity_Resource,$F192,'Critical resources (hide)'!AZ$6:AZ$105)&gt;0,$E$1=2),0,1),0)</f>
        <v>1</v>
      </c>
      <c r="AN192" s="67">
        <f ca="1">IF(LOWER(Capacity!$V97)="x",IF(AND(SUMIF(Capacity_Resource,$D192,'Critical resources (hide)'!BA$6:BA$105)+SUMIF(Capacity_Resource,$E192,'Critical resources (hide)'!BA$6:BA$105)+SUMIF(Capacity_Resource,$F192,'Critical resources (hide)'!BA$6:BA$105)&gt;0,$E$1=2),0,1),0)</f>
        <v>1</v>
      </c>
      <c r="AO192" s="67">
        <f ca="1">IF(LOWER(Capacity!$V97)="x",IF(AND(SUMIF(Capacity_Resource,$D192,'Critical resources (hide)'!BB$6:BB$105)+SUMIF(Capacity_Resource,$E192,'Critical resources (hide)'!BB$6:BB$105)+SUMIF(Capacity_Resource,$F192,'Critical resources (hide)'!BB$6:BB$105)&gt;0,$E$1=2),0,1),0)</f>
        <v>1</v>
      </c>
      <c r="AP192" s="67">
        <f ca="1">IF(LOWER(Capacity!$V97)="x",IF(AND(SUMIF(Capacity_Resource,$D192,'Critical resources (hide)'!BC$6:BC$105)+SUMIF(Capacity_Resource,$E192,'Critical resources (hide)'!BC$6:BC$105)+SUMIF(Capacity_Resource,$F192,'Critical resources (hide)'!BC$6:BC$105)&gt;0,$E$1=2),0,1),0)</f>
        <v>1</v>
      </c>
      <c r="AQ192" s="67">
        <f ca="1">IF(LOWER(Capacity!$V97)="x",IF(AND(SUMIF(Capacity_Resource,$D192,'Critical resources (hide)'!BD$6:BD$105)+SUMIF(Capacity_Resource,$E192,'Critical resources (hide)'!BD$6:BD$105)+SUMIF(Capacity_Resource,$F192,'Critical resources (hide)'!BD$6:BD$105)&gt;0,$E$1=2),0,1),0)</f>
        <v>1</v>
      </c>
      <c r="AR192" s="67">
        <f ca="1">IF(LOWER(Capacity!$V97)="x",IF(AND(SUMIF(Capacity_Resource,$D192,'Critical resources (hide)'!BE$6:BE$105)+SUMIF(Capacity_Resource,$E192,'Critical resources (hide)'!BE$6:BE$105)+SUMIF(Capacity_Resource,$F192,'Critical resources (hide)'!BE$6:BE$105)&gt;0,$E$1=2),0,1),0)</f>
        <v>1</v>
      </c>
      <c r="AS192" s="67">
        <f ca="1">IF(LOWER(Capacity!$V97)="x",IF(AND(SUMIF(Capacity_Resource,$D192,'Critical resources (hide)'!BF$6:BF$105)+SUMIF(Capacity_Resource,$E192,'Critical resources (hide)'!BF$6:BF$105)+SUMIF(Capacity_Resource,$F192,'Critical resources (hide)'!BF$6:BF$105)&gt;0,$E$1=2),0,1),0)</f>
        <v>1</v>
      </c>
      <c r="AT192" s="67">
        <f ca="1">IF(LOWER(Capacity!$V97)="x",IF(AND(SUMIF(Capacity_Resource,$D192,'Critical resources (hide)'!BG$6:BG$105)+SUMIF(Capacity_Resource,$E192,'Critical resources (hide)'!BG$6:BG$105)+SUMIF(Capacity_Resource,$F192,'Critical resources (hide)'!BG$6:BG$105)&gt;0,$E$1=2),0,1),0)</f>
        <v>1</v>
      </c>
      <c r="AU192" s="67">
        <f ca="1">IF(LOWER(Capacity!$V97)="x",IF(AND(SUMIF(Capacity_Resource,$D192,'Critical resources (hide)'!BH$6:BH$105)+SUMIF(Capacity_Resource,$E192,'Critical resources (hide)'!BH$6:BH$105)+SUMIF(Capacity_Resource,$F192,'Critical resources (hide)'!BH$6:BH$105)&gt;0,$E$1=2),0,1),0)</f>
        <v>1</v>
      </c>
      <c r="AV192" s="67">
        <f ca="1">IF(LOWER(Capacity!$V97)="x",IF(AND(SUMIF(Capacity_Resource,$D192,'Critical resources (hide)'!BI$6:BI$105)+SUMIF(Capacity_Resource,$E192,'Critical resources (hide)'!BI$6:BI$105)+SUMIF(Capacity_Resource,$F192,'Critical resources (hide)'!BI$6:BI$105)&gt;0,$E$1=2),0,1),0)</f>
        <v>1</v>
      </c>
      <c r="AW192" s="67">
        <f ca="1">IF(LOWER(Capacity!$V97)="x",IF(AND(SUMIF(Capacity_Resource,$D192,'Critical resources (hide)'!BJ$6:BJ$105)+SUMIF(Capacity_Resource,$E192,'Critical resources (hide)'!BJ$6:BJ$105)+SUMIF(Capacity_Resource,$F192,'Critical resources (hide)'!BJ$6:BJ$105)&gt;0,$E$1=2),0,1),0)</f>
        <v>1</v>
      </c>
      <c r="AX192" s="67">
        <f ca="1">IF(LOWER(Capacity!$V97)="x",IF(AND(SUMIF(Capacity_Resource,$D192,'Critical resources (hide)'!BK$6:BK$105)+SUMIF(Capacity_Resource,$E192,'Critical resources (hide)'!BK$6:BK$105)+SUMIF(Capacity_Resource,$F192,'Critical resources (hide)'!BK$6:BK$105)&gt;0,$E$1=2),0,1),0)</f>
        <v>1</v>
      </c>
      <c r="AY192" s="67">
        <f ca="1">IF(LOWER(Capacity!$V97)="x",IF(AND(SUMIF(Capacity_Resource,$D192,'Critical resources (hide)'!BL$6:BL$105)+SUMIF(Capacity_Resource,$E192,'Critical resources (hide)'!BL$6:BL$105)+SUMIF(Capacity_Resource,$F192,'Critical resources (hide)'!BL$6:BL$105)&gt;0,$E$1=2),0,1),0)</f>
        <v>1</v>
      </c>
      <c r="AZ192" s="67">
        <f ca="1">IF(LOWER(Capacity!$V97)="x",IF(AND(SUMIF(Capacity_Resource,$D192,'Critical resources (hide)'!BM$6:BM$105)+SUMIF(Capacity_Resource,$E192,'Critical resources (hide)'!BM$6:BM$105)+SUMIF(Capacity_Resource,$F192,'Critical resources (hide)'!BM$6:BM$105)&gt;0,$E$1=2),0,1),0)</f>
        <v>1</v>
      </c>
      <c r="BA192" s="67">
        <f ca="1">IF(LOWER(Capacity!$V97)="x",IF(AND(SUMIF(Capacity_Resource,$D192,'Critical resources (hide)'!BN$6:BN$105)+SUMIF(Capacity_Resource,$E192,'Critical resources (hide)'!BN$6:BN$105)+SUMIF(Capacity_Resource,$F192,'Critical resources (hide)'!BN$6:BN$105)&gt;0,$E$1=2),0,1),0)</f>
        <v>1</v>
      </c>
      <c r="BB192" s="67">
        <f ca="1">IF(LOWER(Capacity!$V97)="x",IF(AND(SUMIF(Capacity_Resource,$D192,'Critical resources (hide)'!BO$6:BO$105)+SUMIF(Capacity_Resource,$E192,'Critical resources (hide)'!BO$6:BO$105)+SUMIF(Capacity_Resource,$F192,'Critical resources (hide)'!BO$6:BO$105)&gt;0,$E$1=2),0,1),0)</f>
        <v>1</v>
      </c>
      <c r="BC192" s="67">
        <f ca="1">IF(LOWER(Capacity!$V97)="x",IF(AND(SUMIF(Capacity_Resource,$D192,'Critical resources (hide)'!BP$6:BP$105)+SUMIF(Capacity_Resource,$E192,'Critical resources (hide)'!BP$6:BP$105)+SUMIF(Capacity_Resource,$F192,'Critical resources (hide)'!BP$6:BP$105)&gt;0,$E$1=2),0,1),0)</f>
        <v>1</v>
      </c>
      <c r="BD192" s="67">
        <f ca="1">IF(LOWER(Capacity!$V97)="x",IF(AND(SUMIF(Capacity_Resource,$D192,'Critical resources (hide)'!BQ$6:BQ$105)+SUMIF(Capacity_Resource,$E192,'Critical resources (hide)'!BQ$6:BQ$105)+SUMIF(Capacity_Resource,$F192,'Critical resources (hide)'!BQ$6:BQ$105)&gt;0,$E$1=2),0,1),0)</f>
        <v>1</v>
      </c>
      <c r="BE192" s="67">
        <f ca="1">IF(LOWER(Capacity!$V97)="x",IF(AND(SUMIF(Capacity_Resource,$D192,'Critical resources (hide)'!BR$6:BR$105)+SUMIF(Capacity_Resource,$E192,'Critical resources (hide)'!BR$6:BR$105)+SUMIF(Capacity_Resource,$F192,'Critical resources (hide)'!BR$6:BR$105)&gt;0,$E$1=2),0,1),0)</f>
        <v>1</v>
      </c>
      <c r="BF192" s="67">
        <f ca="1">IF(LOWER(Capacity!$V97)="x",IF(AND(SUMIF(Capacity_Resource,$D192,'Critical resources (hide)'!BS$6:BS$105)+SUMIF(Capacity_Resource,$E192,'Critical resources (hide)'!BS$6:BS$105)+SUMIF(Capacity_Resource,$F192,'Critical resources (hide)'!BS$6:BS$105)&gt;0,$E$1=2),0,1),0)</f>
        <v>1</v>
      </c>
      <c r="BG192" s="67">
        <f ca="1">IF(LOWER(Capacity!$V97)="x",IF(AND(SUMIF(Capacity_Resource,$D192,'Critical resources (hide)'!BT$6:BT$105)+SUMIF(Capacity_Resource,$E192,'Critical resources (hide)'!BT$6:BT$105)+SUMIF(Capacity_Resource,$F192,'Critical resources (hide)'!BT$6:BT$105)&gt;0,$E$1=2),0,1),0)</f>
        <v>1</v>
      </c>
      <c r="BH192" s="67">
        <f>IF(ROW(A81)&lt;=Capacity!$M$16,IF('Capacity summary'!$C$14="No",SUM(H192:BG192),'Capacity summary'!$E104),0)</f>
        <v>0</v>
      </c>
      <c r="BI192" s="67" t="str">
        <f>IF(BH192&gt;0,IF(BH192&lt;Capacity!Q97,Capacity!R97,Capacity!T97/'Capacity calculation (hide)'!BH192),"")</f>
        <v/>
      </c>
      <c r="BJ192" s="5"/>
      <c r="BK192" s="5">
        <f>IF($BI192&lt;&gt;"",IF('Capacity summary'!$C$14="Yes",IF(COUNTBLANK('Capacity summary'!$H104:$BG104)&lt;52,IF('Capacity summary'!H104&lt;&gt;"",IF(LOWER('Capacity summary'!H104)="x",$BI192*H192,VALUE('Capacity summary'!H104)),0),H192*$BI192),H192*$BI192),0)</f>
        <v>0</v>
      </c>
      <c r="BL192" s="5">
        <f>IF($BI192&lt;&gt;"",IF('Capacity summary'!$C$14="Yes",IF(COUNTBLANK('Capacity summary'!$H104:$BG104)&lt;52,IF('Capacity summary'!I104&lt;&gt;"",IF(LOWER('Capacity summary'!I104)="x",$BI192*I192,VALUE('Capacity summary'!I104)),0),I192*$BI192),I192*$BI192),0)</f>
        <v>0</v>
      </c>
      <c r="BM192" s="5">
        <f>IF($BI192&lt;&gt;"",IF('Capacity summary'!$C$14="Yes",IF(COUNTBLANK('Capacity summary'!$H104:$BG104)&lt;52,IF('Capacity summary'!J104&lt;&gt;"",IF(LOWER('Capacity summary'!J104)="x",$BI192*J192,VALUE('Capacity summary'!J104)),0),J192*$BI192),J192*$BI192),0)</f>
        <v>0</v>
      </c>
      <c r="BN192" s="5">
        <f>IF($BI192&lt;&gt;"",IF('Capacity summary'!$C$14="Yes",IF(COUNTBLANK('Capacity summary'!$H104:$BG104)&lt;52,IF('Capacity summary'!K104&lt;&gt;"",IF(LOWER('Capacity summary'!K104)="x",$BI192*K192,VALUE('Capacity summary'!K104)),0),K192*$BI192),K192*$BI192),0)</f>
        <v>0</v>
      </c>
      <c r="BO192" s="5">
        <f>IF($BI192&lt;&gt;"",IF('Capacity summary'!$C$14="Yes",IF(COUNTBLANK('Capacity summary'!$H104:$BG104)&lt;52,IF('Capacity summary'!L104&lt;&gt;"",IF(LOWER('Capacity summary'!L104)="x",$BI192*L192,VALUE('Capacity summary'!L104)),0),L192*$BI192),L192*$BI192),0)</f>
        <v>0</v>
      </c>
      <c r="BP192" s="5">
        <f>IF($BI192&lt;&gt;"",IF('Capacity summary'!$C$14="Yes",IF(COUNTBLANK('Capacity summary'!$H104:$BG104)&lt;52,IF('Capacity summary'!M104&lt;&gt;"",IF(LOWER('Capacity summary'!M104)="x",$BI192*M192,VALUE('Capacity summary'!M104)),0),M192*$BI192),M192*$BI192),0)</f>
        <v>0</v>
      </c>
      <c r="BQ192" s="5">
        <f>IF($BI192&lt;&gt;"",IF('Capacity summary'!$C$14="Yes",IF(COUNTBLANK('Capacity summary'!$H104:$BG104)&lt;52,IF('Capacity summary'!N104&lt;&gt;"",IF(LOWER('Capacity summary'!N104)="x",$BI192*N192,VALUE('Capacity summary'!N104)),0),N192*$BI192),N192*$BI192),0)</f>
        <v>0</v>
      </c>
      <c r="BR192" s="5">
        <f>IF($BI192&lt;&gt;"",IF('Capacity summary'!$C$14="Yes",IF(COUNTBLANK('Capacity summary'!$H104:$BG104)&lt;52,IF('Capacity summary'!O104&lt;&gt;"",IF(LOWER('Capacity summary'!O104)="x",$BI192*O192,VALUE('Capacity summary'!O104)),0),O192*$BI192),O192*$BI192),0)</f>
        <v>0</v>
      </c>
      <c r="BS192" s="5">
        <f>IF($BI192&lt;&gt;"",IF('Capacity summary'!$C$14="Yes",IF(COUNTBLANK('Capacity summary'!$H104:$BG104)&lt;52,IF('Capacity summary'!P104&lt;&gt;"",IF(LOWER('Capacity summary'!P104)="x",$BI192*P192,VALUE('Capacity summary'!P104)),0),P192*$BI192),P192*$BI192),0)</f>
        <v>0</v>
      </c>
      <c r="BT192" s="5">
        <f>IF($BI192&lt;&gt;"",IF('Capacity summary'!$C$14="Yes",IF(COUNTBLANK('Capacity summary'!$H104:$BG104)&lt;52,IF('Capacity summary'!Q104&lt;&gt;"",IF(LOWER('Capacity summary'!Q104)="x",$BI192*Q192,VALUE('Capacity summary'!Q104)),0),Q192*$BI192),Q192*$BI192),0)</f>
        <v>0</v>
      </c>
      <c r="BU192" s="5">
        <f>IF($BI192&lt;&gt;"",IF('Capacity summary'!$C$14="Yes",IF(COUNTBLANK('Capacity summary'!$H104:$BG104)&lt;52,IF('Capacity summary'!R104&lt;&gt;"",IF(LOWER('Capacity summary'!R104)="x",$BI192*R192,VALUE('Capacity summary'!R104)),0),R192*$BI192),R192*$BI192),0)</f>
        <v>0</v>
      </c>
      <c r="BV192" s="5">
        <f>IF($BI192&lt;&gt;"",IF('Capacity summary'!$C$14="Yes",IF(COUNTBLANK('Capacity summary'!$H104:$BG104)&lt;52,IF('Capacity summary'!S104&lt;&gt;"",IF(LOWER('Capacity summary'!S104)="x",$BI192*S192,VALUE('Capacity summary'!S104)),0),S192*$BI192),S192*$BI192),0)</f>
        <v>0</v>
      </c>
      <c r="BW192" s="5">
        <f>IF($BI192&lt;&gt;"",IF('Capacity summary'!$C$14="Yes",IF(COUNTBLANK('Capacity summary'!$H104:$BG104)&lt;52,IF('Capacity summary'!T104&lt;&gt;"",IF(LOWER('Capacity summary'!T104)="x",$BI192*T192,VALUE('Capacity summary'!T104)),0),T192*$BI192),T192*$BI192),0)</f>
        <v>0</v>
      </c>
      <c r="BX192" s="5">
        <f>IF($BI192&lt;&gt;"",IF('Capacity summary'!$C$14="Yes",IF(COUNTBLANK('Capacity summary'!$H104:$BG104)&lt;52,IF('Capacity summary'!U104&lt;&gt;"",IF(LOWER('Capacity summary'!U104)="x",$BI192*U192,VALUE('Capacity summary'!U104)),0),U192*$BI192),U192*$BI192),0)</f>
        <v>0</v>
      </c>
      <c r="BY192" s="5">
        <f>IF($BI192&lt;&gt;"",IF('Capacity summary'!$C$14="Yes",IF(COUNTBLANK('Capacity summary'!$H104:$BG104)&lt;52,IF('Capacity summary'!V104&lt;&gt;"",IF(LOWER('Capacity summary'!V104)="x",$BI192*V192,VALUE('Capacity summary'!V104)),0),V192*$BI192),V192*$BI192),0)</f>
        <v>0</v>
      </c>
      <c r="BZ192" s="5">
        <f>IF($BI192&lt;&gt;"",IF('Capacity summary'!$C$14="Yes",IF(COUNTBLANK('Capacity summary'!$H104:$BG104)&lt;52,IF('Capacity summary'!W104&lt;&gt;"",IF(LOWER('Capacity summary'!W104)="x",$BI192*W192,VALUE('Capacity summary'!W104)),0),W192*$BI192),W192*$BI192),0)</f>
        <v>0</v>
      </c>
      <c r="CA192" s="5">
        <f>IF($BI192&lt;&gt;"",IF('Capacity summary'!$C$14="Yes",IF(COUNTBLANK('Capacity summary'!$H104:$BG104)&lt;52,IF('Capacity summary'!X104&lt;&gt;"",IF(LOWER('Capacity summary'!X104)="x",$BI192*X192,VALUE('Capacity summary'!X104)),0),X192*$BI192),X192*$BI192),0)</f>
        <v>0</v>
      </c>
      <c r="CB192" s="5">
        <f>IF($BI192&lt;&gt;"",IF('Capacity summary'!$C$14="Yes",IF(COUNTBLANK('Capacity summary'!$H104:$BG104)&lt;52,IF('Capacity summary'!Y104&lt;&gt;"",IF(LOWER('Capacity summary'!Y104)="x",$BI192*Y192,VALUE('Capacity summary'!Y104)),0),Y192*$BI192),Y192*$BI192),0)</f>
        <v>0</v>
      </c>
      <c r="CC192" s="5">
        <f>IF($BI192&lt;&gt;"",IF('Capacity summary'!$C$14="Yes",IF(COUNTBLANK('Capacity summary'!$H104:$BG104)&lt;52,IF('Capacity summary'!Z104&lt;&gt;"",IF(LOWER('Capacity summary'!Z104)="x",$BI192*Z192,VALUE('Capacity summary'!Z104)),0),Z192*$BI192),Z192*$BI192),0)</f>
        <v>0</v>
      </c>
      <c r="CD192" s="5">
        <f>IF($BI192&lt;&gt;"",IF('Capacity summary'!$C$14="Yes",IF(COUNTBLANK('Capacity summary'!$H104:$BG104)&lt;52,IF('Capacity summary'!AA104&lt;&gt;"",IF(LOWER('Capacity summary'!AA104)="x",$BI192*AA192,VALUE('Capacity summary'!AA104)),0),AA192*$BI192),AA192*$BI192),0)</f>
        <v>0</v>
      </c>
      <c r="CE192" s="5">
        <f>IF($BI192&lt;&gt;"",IF('Capacity summary'!$C$14="Yes",IF(COUNTBLANK('Capacity summary'!$H104:$BG104)&lt;52,IF('Capacity summary'!AB104&lt;&gt;"",IF(LOWER('Capacity summary'!AB104)="x",$BI192*AB192,VALUE('Capacity summary'!AB104)),0),AB192*$BI192),AB192*$BI192),0)</f>
        <v>0</v>
      </c>
      <c r="CF192" s="5">
        <f>IF($BI192&lt;&gt;"",IF('Capacity summary'!$C$14="Yes",IF(COUNTBLANK('Capacity summary'!$H104:$BG104)&lt;52,IF('Capacity summary'!AC104&lt;&gt;"",IF(LOWER('Capacity summary'!AC104)="x",$BI192*AC192,VALUE('Capacity summary'!AC104)),0),AC192*$BI192),AC192*$BI192),0)</f>
        <v>0</v>
      </c>
      <c r="CG192" s="5">
        <f>IF($BI192&lt;&gt;"",IF('Capacity summary'!$C$14="Yes",IF(COUNTBLANK('Capacity summary'!$H104:$BG104)&lt;52,IF('Capacity summary'!AD104&lt;&gt;"",IF(LOWER('Capacity summary'!AD104)="x",$BI192*AD192,VALUE('Capacity summary'!AD104)),0),AD192*$BI192),AD192*$BI192),0)</f>
        <v>0</v>
      </c>
      <c r="CH192" s="5">
        <f>IF($BI192&lt;&gt;"",IF('Capacity summary'!$C$14="Yes",IF(COUNTBLANK('Capacity summary'!$H104:$BG104)&lt;52,IF('Capacity summary'!AE104&lt;&gt;"",IF(LOWER('Capacity summary'!AE104)="x",$BI192*AE192,VALUE('Capacity summary'!AE104)),0),AE192*$BI192),AE192*$BI192),0)</f>
        <v>0</v>
      </c>
      <c r="CI192" s="5">
        <f>IF($BI192&lt;&gt;"",IF('Capacity summary'!$C$14="Yes",IF(COUNTBLANK('Capacity summary'!$H104:$BG104)&lt;52,IF('Capacity summary'!AF104&lt;&gt;"",IF(LOWER('Capacity summary'!AF104)="x",$BI192*AF192,VALUE('Capacity summary'!AF104)),0),AF192*$BI192),AF192*$BI192),0)</f>
        <v>0</v>
      </c>
      <c r="CJ192" s="5">
        <f>IF($BI192&lt;&gt;"",IF('Capacity summary'!$C$14="Yes",IF(COUNTBLANK('Capacity summary'!$H104:$BG104)&lt;52,IF('Capacity summary'!AG104&lt;&gt;"",IF(LOWER('Capacity summary'!AG104)="x",$BI192*AG192,VALUE('Capacity summary'!AG104)),0),AG192*$BI192),AG192*$BI192),0)</f>
        <v>0</v>
      </c>
      <c r="CK192" s="5">
        <f>IF($BI192&lt;&gt;"",IF('Capacity summary'!$C$14="Yes",IF(COUNTBLANK('Capacity summary'!$H104:$BG104)&lt;52,IF('Capacity summary'!AH104&lt;&gt;"",IF(LOWER('Capacity summary'!AH104)="x",$BI192*AH192,VALUE('Capacity summary'!AH104)),0),AH192*$BI192),AH192*$BI192),0)</f>
        <v>0</v>
      </c>
      <c r="CL192" s="5">
        <f>IF($BI192&lt;&gt;"",IF('Capacity summary'!$C$14="Yes",IF(COUNTBLANK('Capacity summary'!$H104:$BG104)&lt;52,IF('Capacity summary'!AI104&lt;&gt;"",IF(LOWER('Capacity summary'!AI104)="x",$BI192*AI192,VALUE('Capacity summary'!AI104)),0),AI192*$BI192),AI192*$BI192),0)</f>
        <v>0</v>
      </c>
      <c r="CM192" s="5">
        <f>IF($BI192&lt;&gt;"",IF('Capacity summary'!$C$14="Yes",IF(COUNTBLANK('Capacity summary'!$H104:$BG104)&lt;52,IF('Capacity summary'!AJ104&lt;&gt;"",IF(LOWER('Capacity summary'!AJ104)="x",$BI192*AJ192,VALUE('Capacity summary'!AJ104)),0),AJ192*$BI192),AJ192*$BI192),0)</f>
        <v>0</v>
      </c>
      <c r="CN192" s="5">
        <f>IF($BI192&lt;&gt;"",IF('Capacity summary'!$C$14="Yes",IF(COUNTBLANK('Capacity summary'!$H104:$BG104)&lt;52,IF('Capacity summary'!AK104&lt;&gt;"",IF(LOWER('Capacity summary'!AK104)="x",$BI192*AK192,VALUE('Capacity summary'!AK104)),0),AK192*$BI192),AK192*$BI192),0)</f>
        <v>0</v>
      </c>
      <c r="CO192" s="5">
        <f>IF($BI192&lt;&gt;"",IF('Capacity summary'!$C$14="Yes",IF(COUNTBLANK('Capacity summary'!$H104:$BG104)&lt;52,IF('Capacity summary'!AL104&lt;&gt;"",IF(LOWER('Capacity summary'!AL104)="x",$BI192*AL192,VALUE('Capacity summary'!AL104)),0),AL192*$BI192),AL192*$BI192),0)</f>
        <v>0</v>
      </c>
      <c r="CP192" s="5">
        <f>IF($BI192&lt;&gt;"",IF('Capacity summary'!$C$14="Yes",IF(COUNTBLANK('Capacity summary'!$H104:$BG104)&lt;52,IF('Capacity summary'!AM104&lt;&gt;"",IF(LOWER('Capacity summary'!AM104)="x",$BI192*AM192,VALUE('Capacity summary'!AM104)),0),AM192*$BI192),AM192*$BI192),0)</f>
        <v>0</v>
      </c>
      <c r="CQ192" s="5">
        <f>IF($BI192&lt;&gt;"",IF('Capacity summary'!$C$14="Yes",IF(COUNTBLANK('Capacity summary'!$H104:$BG104)&lt;52,IF('Capacity summary'!AN104&lt;&gt;"",IF(LOWER('Capacity summary'!AN104)="x",$BI192*AN192,VALUE('Capacity summary'!AN104)),0),AN192*$BI192),AN192*$BI192),0)</f>
        <v>0</v>
      </c>
      <c r="CR192" s="5">
        <f>IF($BI192&lt;&gt;"",IF('Capacity summary'!$C$14="Yes",IF(COUNTBLANK('Capacity summary'!$H104:$BG104)&lt;52,IF('Capacity summary'!AO104&lt;&gt;"",IF(LOWER('Capacity summary'!AO104)="x",$BI192*AO192,VALUE('Capacity summary'!AO104)),0),AO192*$BI192),AO192*$BI192),0)</f>
        <v>0</v>
      </c>
      <c r="CS192" s="5">
        <f>IF($BI192&lt;&gt;"",IF('Capacity summary'!$C$14="Yes",IF(COUNTBLANK('Capacity summary'!$H104:$BG104)&lt;52,IF('Capacity summary'!AP104&lt;&gt;"",IF(LOWER('Capacity summary'!AP104)="x",$BI192*AP192,VALUE('Capacity summary'!AP104)),0),AP192*$BI192),AP192*$BI192),0)</f>
        <v>0</v>
      </c>
      <c r="CT192" s="5">
        <f>IF($BI192&lt;&gt;"",IF('Capacity summary'!$C$14="Yes",IF(COUNTBLANK('Capacity summary'!$H104:$BG104)&lt;52,IF('Capacity summary'!AQ104&lt;&gt;"",IF(LOWER('Capacity summary'!AQ104)="x",$BI192*AQ192,VALUE('Capacity summary'!AQ104)),0),AQ192*$BI192),AQ192*$BI192),0)</f>
        <v>0</v>
      </c>
      <c r="CU192" s="5">
        <f>IF($BI192&lt;&gt;"",IF('Capacity summary'!$C$14="Yes",IF(COUNTBLANK('Capacity summary'!$H104:$BG104)&lt;52,IF('Capacity summary'!AR104&lt;&gt;"",IF(LOWER('Capacity summary'!AR104)="x",$BI192*AR192,VALUE('Capacity summary'!AR104)),0),AR192*$BI192),AR192*$BI192),0)</f>
        <v>0</v>
      </c>
      <c r="CV192" s="5">
        <f>IF($BI192&lt;&gt;"",IF('Capacity summary'!$C$14="Yes",IF(COUNTBLANK('Capacity summary'!$H104:$BG104)&lt;52,IF('Capacity summary'!AS104&lt;&gt;"",IF(LOWER('Capacity summary'!AS104)="x",$BI192*AS192,VALUE('Capacity summary'!AS104)),0),AS192*$BI192),AS192*$BI192),0)</f>
        <v>0</v>
      </c>
      <c r="CW192" s="5">
        <f>IF($BI192&lt;&gt;"",IF('Capacity summary'!$C$14="Yes",IF(COUNTBLANK('Capacity summary'!$H104:$BG104)&lt;52,IF('Capacity summary'!AT104&lt;&gt;"",IF(LOWER('Capacity summary'!AT104)="x",$BI192*AT192,VALUE('Capacity summary'!AT104)),0),AT192*$BI192),AT192*$BI192),0)</f>
        <v>0</v>
      </c>
      <c r="CX192" s="5">
        <f>IF($BI192&lt;&gt;"",IF('Capacity summary'!$C$14="Yes",IF(COUNTBLANK('Capacity summary'!$H104:$BG104)&lt;52,IF('Capacity summary'!AU104&lt;&gt;"",IF(LOWER('Capacity summary'!AU104)="x",$BI192*AU192,VALUE('Capacity summary'!AU104)),0),AU192*$BI192),AU192*$BI192),0)</f>
        <v>0</v>
      </c>
      <c r="CY192" s="5">
        <f>IF($BI192&lt;&gt;"",IF('Capacity summary'!$C$14="Yes",IF(COUNTBLANK('Capacity summary'!$H104:$BG104)&lt;52,IF('Capacity summary'!AV104&lt;&gt;"",IF(LOWER('Capacity summary'!AV104)="x",$BI192*AV192,VALUE('Capacity summary'!AV104)),0),AV192*$BI192),AV192*$BI192),0)</f>
        <v>0</v>
      </c>
      <c r="CZ192" s="5">
        <f>IF($BI192&lt;&gt;"",IF('Capacity summary'!$C$14="Yes",IF(COUNTBLANK('Capacity summary'!$H104:$BG104)&lt;52,IF('Capacity summary'!AW104&lt;&gt;"",IF(LOWER('Capacity summary'!AW104)="x",$BI192*AW192,VALUE('Capacity summary'!AW104)),0),AW192*$BI192),AW192*$BI192),0)</f>
        <v>0</v>
      </c>
      <c r="DA192" s="5">
        <f>IF($BI192&lt;&gt;"",IF('Capacity summary'!$C$14="Yes",IF(COUNTBLANK('Capacity summary'!$H104:$BG104)&lt;52,IF('Capacity summary'!AX104&lt;&gt;"",IF(LOWER('Capacity summary'!AX104)="x",$BI192*AX192,VALUE('Capacity summary'!AX104)),0),AX192*$BI192),AX192*$BI192),0)</f>
        <v>0</v>
      </c>
      <c r="DB192" s="5">
        <f>IF($BI192&lt;&gt;"",IF('Capacity summary'!$C$14="Yes",IF(COUNTBLANK('Capacity summary'!$H104:$BG104)&lt;52,IF('Capacity summary'!AY104&lt;&gt;"",IF(LOWER('Capacity summary'!AY104)="x",$BI192*AY192,VALUE('Capacity summary'!AY104)),0),AY192*$BI192),AY192*$BI192),0)</f>
        <v>0</v>
      </c>
      <c r="DC192" s="5">
        <f>IF($BI192&lt;&gt;"",IF('Capacity summary'!$C$14="Yes",IF(COUNTBLANK('Capacity summary'!$H104:$BG104)&lt;52,IF('Capacity summary'!AZ104&lt;&gt;"",IF(LOWER('Capacity summary'!AZ104)="x",$BI192*AZ192,VALUE('Capacity summary'!AZ104)),0),AZ192*$BI192),AZ192*$BI192),0)</f>
        <v>0</v>
      </c>
      <c r="DD192" s="5">
        <f>IF($BI192&lt;&gt;"",IF('Capacity summary'!$C$14="Yes",IF(COUNTBLANK('Capacity summary'!$H104:$BG104)&lt;52,IF('Capacity summary'!BA104&lt;&gt;"",IF(LOWER('Capacity summary'!BA104)="x",$BI192*BA192,VALUE('Capacity summary'!BA104)),0),BA192*$BI192),BA192*$BI192),0)</f>
        <v>0</v>
      </c>
      <c r="DE192" s="5">
        <f>IF($BI192&lt;&gt;"",IF('Capacity summary'!$C$14="Yes",IF(COUNTBLANK('Capacity summary'!$H104:$BG104)&lt;52,IF('Capacity summary'!BB104&lt;&gt;"",IF(LOWER('Capacity summary'!BB104)="x",$BI192*BB192,VALUE('Capacity summary'!BB104)),0),BB192*$BI192),BB192*$BI192),0)</f>
        <v>0</v>
      </c>
      <c r="DF192" s="5">
        <f>IF($BI192&lt;&gt;"",IF('Capacity summary'!$C$14="Yes",IF(COUNTBLANK('Capacity summary'!$H104:$BG104)&lt;52,IF('Capacity summary'!BC104&lt;&gt;"",IF(LOWER('Capacity summary'!BC104)="x",$BI192*BC192,VALUE('Capacity summary'!BC104)),0),BC192*$BI192),BC192*$BI192),0)</f>
        <v>0</v>
      </c>
      <c r="DG192" s="5">
        <f>IF($BI192&lt;&gt;"",IF('Capacity summary'!$C$14="Yes",IF(COUNTBLANK('Capacity summary'!$H104:$BG104)&lt;52,IF('Capacity summary'!BD104&lt;&gt;"",IF(LOWER('Capacity summary'!BD104)="x",$BI192*BD192,VALUE('Capacity summary'!BD104)),0),BD192*$BI192),BD192*$BI192),0)</f>
        <v>0</v>
      </c>
      <c r="DH192" s="5">
        <f>IF($BI192&lt;&gt;"",IF('Capacity summary'!$C$14="Yes",IF(COUNTBLANK('Capacity summary'!$H104:$BG104)&lt;52,IF('Capacity summary'!BE104&lt;&gt;"",IF(LOWER('Capacity summary'!BE104)="x",$BI192*BE192,VALUE('Capacity summary'!BE104)),0),BE192*$BI192),BE192*$BI192),0)</f>
        <v>0</v>
      </c>
      <c r="DI192" s="5">
        <f>IF($BI192&lt;&gt;"",IF('Capacity summary'!$C$14="Yes",IF(COUNTBLANK('Capacity summary'!$H104:$BG104)&lt;52,IF('Capacity summary'!BF104&lt;&gt;"",IF(LOWER('Capacity summary'!BF104)="x",$BI192*BF192,VALUE('Capacity summary'!BF104)),0),BF192*$BI192),BF192*$BI192),0)</f>
        <v>0</v>
      </c>
      <c r="DJ192" s="5">
        <f>IF($BI192&lt;&gt;"",IF('Capacity summary'!$C$14="Yes",IF(COUNTBLANK('Capacity summary'!$H104:$BG104)&lt;52,IF('Capacity summary'!BG104&lt;&gt;"",IF(LOWER('Capacity summary'!BG104)="x",$BI192*BG192,VALUE('Capacity summary'!BG104)),0),BG192*$BI192),BG192*$BI192),0)</f>
        <v>0</v>
      </c>
      <c r="DK192" s="391">
        <f t="shared" si="10"/>
        <v>0</v>
      </c>
      <c r="DL192" s="5">
        <f t="shared" si="11"/>
        <v>0</v>
      </c>
    </row>
    <row r="193" spans="3:116" x14ac:dyDescent="0.2">
      <c r="C193" s="67" t="str">
        <f>ROW(A82)&amp;". "&amp;Capacity!N98</f>
        <v xml:space="preserve">82. </v>
      </c>
      <c r="D193" s="67">
        <f>'Capacity setup'!C199</f>
        <v>0</v>
      </c>
      <c r="E193" s="67">
        <f>'Capacity setup'!D199</f>
        <v>0</v>
      </c>
      <c r="F193" s="67">
        <f>'Capacity setup'!E199</f>
        <v>0</v>
      </c>
      <c r="H193" s="67">
        <f ca="1">IF(LOWER(Capacity!$V98)="x",IF(AND(SUMIF(Capacity_Resource,$D193,'Critical resources (hide)'!U$6:U$105)+SUMIF(Capacity_Resource,$E193,'Critical resources (hide)'!U$6:U$105)+SUMIF(Capacity_Resource,$F193,'Critical resources (hide)'!U$6:U$105)&gt;0,$E$1=2),0,1),0)</f>
        <v>1</v>
      </c>
      <c r="I193" s="67">
        <f ca="1">IF(LOWER(Capacity!$V98)="x",IF(AND(SUMIF(Capacity_Resource,$D193,'Critical resources (hide)'!V$6:V$105)+SUMIF(Capacity_Resource,$E193,'Critical resources (hide)'!V$6:V$105)+SUMIF(Capacity_Resource,$F193,'Critical resources (hide)'!V$6:V$105)&gt;0,$E$1=2),0,1),0)</f>
        <v>1</v>
      </c>
      <c r="J193" s="67">
        <f ca="1">IF(LOWER(Capacity!$V98)="x",IF(AND(SUMIF(Capacity_Resource,$D193,'Critical resources (hide)'!W$6:W$105)+SUMIF(Capacity_Resource,$E193,'Critical resources (hide)'!W$6:W$105)+SUMIF(Capacity_Resource,$F193,'Critical resources (hide)'!W$6:W$105)&gt;0,$E$1=2),0,1),0)</f>
        <v>1</v>
      </c>
      <c r="K193" s="67">
        <f ca="1">IF(LOWER(Capacity!$V98)="x",IF(AND(SUMIF(Capacity_Resource,$D193,'Critical resources (hide)'!X$6:X$105)+SUMIF(Capacity_Resource,$E193,'Critical resources (hide)'!X$6:X$105)+SUMIF(Capacity_Resource,$F193,'Critical resources (hide)'!X$6:X$105)&gt;0,$E$1=2),0,1),0)</f>
        <v>1</v>
      </c>
      <c r="L193" s="67">
        <f ca="1">IF(LOWER(Capacity!$V98)="x",IF(AND(SUMIF(Capacity_Resource,$D193,'Critical resources (hide)'!Y$6:Y$105)+SUMIF(Capacity_Resource,$E193,'Critical resources (hide)'!Y$6:Y$105)+SUMIF(Capacity_Resource,$F193,'Critical resources (hide)'!Y$6:Y$105)&gt;0,$E$1=2),0,1),0)</f>
        <v>1</v>
      </c>
      <c r="M193" s="67">
        <f ca="1">IF(LOWER(Capacity!$V98)="x",IF(AND(SUMIF(Capacity_Resource,$D193,'Critical resources (hide)'!Z$6:Z$105)+SUMIF(Capacity_Resource,$E193,'Critical resources (hide)'!Z$6:Z$105)+SUMIF(Capacity_Resource,$F193,'Critical resources (hide)'!Z$6:Z$105)&gt;0,$E$1=2),0,1),0)</f>
        <v>1</v>
      </c>
      <c r="N193" s="67">
        <f ca="1">IF(LOWER(Capacity!$V98)="x",IF(AND(SUMIF(Capacity_Resource,$D193,'Critical resources (hide)'!AA$6:AA$105)+SUMIF(Capacity_Resource,$E193,'Critical resources (hide)'!AA$6:AA$105)+SUMIF(Capacity_Resource,$F193,'Critical resources (hide)'!AA$6:AA$105)&gt;0,$E$1=2),0,1),0)</f>
        <v>1</v>
      </c>
      <c r="O193" s="67">
        <f ca="1">IF(LOWER(Capacity!$V98)="x",IF(AND(SUMIF(Capacity_Resource,$D193,'Critical resources (hide)'!AB$6:AB$105)+SUMIF(Capacity_Resource,$E193,'Critical resources (hide)'!AB$6:AB$105)+SUMIF(Capacity_Resource,$F193,'Critical resources (hide)'!AB$6:AB$105)&gt;0,$E$1=2),0,1),0)</f>
        <v>1</v>
      </c>
      <c r="P193" s="67">
        <f ca="1">IF(LOWER(Capacity!$V98)="x",IF(AND(SUMIF(Capacity_Resource,$D193,'Critical resources (hide)'!AC$6:AC$105)+SUMIF(Capacity_Resource,$E193,'Critical resources (hide)'!AC$6:AC$105)+SUMIF(Capacity_Resource,$F193,'Critical resources (hide)'!AC$6:AC$105)&gt;0,$E$1=2),0,1),0)</f>
        <v>1</v>
      </c>
      <c r="Q193" s="67">
        <f ca="1">IF(LOWER(Capacity!$V98)="x",IF(AND(SUMIF(Capacity_Resource,$D193,'Critical resources (hide)'!AD$6:AD$105)+SUMIF(Capacity_Resource,$E193,'Critical resources (hide)'!AD$6:AD$105)+SUMIF(Capacity_Resource,$F193,'Critical resources (hide)'!AD$6:AD$105)&gt;0,$E$1=2),0,1),0)</f>
        <v>1</v>
      </c>
      <c r="R193" s="67">
        <f ca="1">IF(LOWER(Capacity!$V98)="x",IF(AND(SUMIF(Capacity_Resource,$D193,'Critical resources (hide)'!AE$6:AE$105)+SUMIF(Capacity_Resource,$E193,'Critical resources (hide)'!AE$6:AE$105)+SUMIF(Capacity_Resource,$F193,'Critical resources (hide)'!AE$6:AE$105)&gt;0,$E$1=2),0,1),0)</f>
        <v>1</v>
      </c>
      <c r="S193" s="67">
        <f ca="1">IF(LOWER(Capacity!$V98)="x",IF(AND(SUMIF(Capacity_Resource,$D193,'Critical resources (hide)'!AF$6:AF$105)+SUMIF(Capacity_Resource,$E193,'Critical resources (hide)'!AF$6:AF$105)+SUMIF(Capacity_Resource,$F193,'Critical resources (hide)'!AF$6:AF$105)&gt;0,$E$1=2),0,1),0)</f>
        <v>1</v>
      </c>
      <c r="T193" s="67">
        <f ca="1">IF(LOWER(Capacity!$V98)="x",IF(AND(SUMIF(Capacity_Resource,$D193,'Critical resources (hide)'!AG$6:AG$105)+SUMIF(Capacity_Resource,$E193,'Critical resources (hide)'!AG$6:AG$105)+SUMIF(Capacity_Resource,$F193,'Critical resources (hide)'!AG$6:AG$105)&gt;0,$E$1=2),0,1),0)</f>
        <v>1</v>
      </c>
      <c r="U193" s="67">
        <f ca="1">IF(LOWER(Capacity!$V98)="x",IF(AND(SUMIF(Capacity_Resource,$D193,'Critical resources (hide)'!AH$6:AH$105)+SUMIF(Capacity_Resource,$E193,'Critical resources (hide)'!AH$6:AH$105)+SUMIF(Capacity_Resource,$F193,'Critical resources (hide)'!AH$6:AH$105)&gt;0,$E$1=2),0,1),0)</f>
        <v>1</v>
      </c>
      <c r="V193" s="67">
        <f ca="1">IF(LOWER(Capacity!$V98)="x",IF(AND(SUMIF(Capacity_Resource,$D193,'Critical resources (hide)'!AI$6:AI$105)+SUMIF(Capacity_Resource,$E193,'Critical resources (hide)'!AI$6:AI$105)+SUMIF(Capacity_Resource,$F193,'Critical resources (hide)'!AI$6:AI$105)&gt;0,$E$1=2),0,1),0)</f>
        <v>1</v>
      </c>
      <c r="W193" s="67">
        <f ca="1">IF(LOWER(Capacity!$V98)="x",IF(AND(SUMIF(Capacity_Resource,$D193,'Critical resources (hide)'!AJ$6:AJ$105)+SUMIF(Capacity_Resource,$E193,'Critical resources (hide)'!AJ$6:AJ$105)+SUMIF(Capacity_Resource,$F193,'Critical resources (hide)'!AJ$6:AJ$105)&gt;0,$E$1=2),0,1),0)</f>
        <v>1</v>
      </c>
      <c r="X193" s="67">
        <f ca="1">IF(LOWER(Capacity!$V98)="x",IF(AND(SUMIF(Capacity_Resource,$D193,'Critical resources (hide)'!AK$6:AK$105)+SUMIF(Capacity_Resource,$E193,'Critical resources (hide)'!AK$6:AK$105)+SUMIF(Capacity_Resource,$F193,'Critical resources (hide)'!AK$6:AK$105)&gt;0,$E$1=2),0,1),0)</f>
        <v>1</v>
      </c>
      <c r="Y193" s="67">
        <f ca="1">IF(LOWER(Capacity!$V98)="x",IF(AND(SUMIF(Capacity_Resource,$D193,'Critical resources (hide)'!AL$6:AL$105)+SUMIF(Capacity_Resource,$E193,'Critical resources (hide)'!AL$6:AL$105)+SUMIF(Capacity_Resource,$F193,'Critical resources (hide)'!AL$6:AL$105)&gt;0,$E$1=2),0,1),0)</f>
        <v>1</v>
      </c>
      <c r="Z193" s="67">
        <f ca="1">IF(LOWER(Capacity!$V98)="x",IF(AND(SUMIF(Capacity_Resource,$D193,'Critical resources (hide)'!AM$6:AM$105)+SUMIF(Capacity_Resource,$E193,'Critical resources (hide)'!AM$6:AM$105)+SUMIF(Capacity_Resource,$F193,'Critical resources (hide)'!AM$6:AM$105)&gt;0,$E$1=2),0,1),0)</f>
        <v>1</v>
      </c>
      <c r="AA193" s="67">
        <f ca="1">IF(LOWER(Capacity!$V98)="x",IF(AND(SUMIF(Capacity_Resource,$D193,'Critical resources (hide)'!AN$6:AN$105)+SUMIF(Capacity_Resource,$E193,'Critical resources (hide)'!AN$6:AN$105)+SUMIF(Capacity_Resource,$F193,'Critical resources (hide)'!AN$6:AN$105)&gt;0,$E$1=2),0,1),0)</f>
        <v>1</v>
      </c>
      <c r="AB193" s="67">
        <f ca="1">IF(LOWER(Capacity!$V98)="x",IF(AND(SUMIF(Capacity_Resource,$D193,'Critical resources (hide)'!AO$6:AO$105)+SUMIF(Capacity_Resource,$E193,'Critical resources (hide)'!AO$6:AO$105)+SUMIF(Capacity_Resource,$F193,'Critical resources (hide)'!AO$6:AO$105)&gt;0,$E$1=2),0,1),0)</f>
        <v>1</v>
      </c>
      <c r="AC193" s="67">
        <f ca="1">IF(LOWER(Capacity!$V98)="x",IF(AND(SUMIF(Capacity_Resource,$D193,'Critical resources (hide)'!AP$6:AP$105)+SUMIF(Capacity_Resource,$E193,'Critical resources (hide)'!AP$6:AP$105)+SUMIF(Capacity_Resource,$F193,'Critical resources (hide)'!AP$6:AP$105)&gt;0,$E$1=2),0,1),0)</f>
        <v>1</v>
      </c>
      <c r="AD193" s="67">
        <f ca="1">IF(LOWER(Capacity!$V98)="x",IF(AND(SUMIF(Capacity_Resource,$D193,'Critical resources (hide)'!AQ$6:AQ$105)+SUMIF(Capacity_Resource,$E193,'Critical resources (hide)'!AQ$6:AQ$105)+SUMIF(Capacity_Resource,$F193,'Critical resources (hide)'!AQ$6:AQ$105)&gt;0,$E$1=2),0,1),0)</f>
        <v>1</v>
      </c>
      <c r="AE193" s="67">
        <f ca="1">IF(LOWER(Capacity!$V98)="x",IF(AND(SUMIF(Capacity_Resource,$D193,'Critical resources (hide)'!AR$6:AR$105)+SUMIF(Capacity_Resource,$E193,'Critical resources (hide)'!AR$6:AR$105)+SUMIF(Capacity_Resource,$F193,'Critical resources (hide)'!AR$6:AR$105)&gt;0,$E$1=2),0,1),0)</f>
        <v>1</v>
      </c>
      <c r="AF193" s="67">
        <f ca="1">IF(LOWER(Capacity!$V98)="x",IF(AND(SUMIF(Capacity_Resource,$D193,'Critical resources (hide)'!AS$6:AS$105)+SUMIF(Capacity_Resource,$E193,'Critical resources (hide)'!AS$6:AS$105)+SUMIF(Capacity_Resource,$F193,'Critical resources (hide)'!AS$6:AS$105)&gt;0,$E$1=2),0,1),0)</f>
        <v>1</v>
      </c>
      <c r="AG193" s="67">
        <f ca="1">IF(LOWER(Capacity!$V98)="x",IF(AND(SUMIF(Capacity_Resource,$D193,'Critical resources (hide)'!AT$6:AT$105)+SUMIF(Capacity_Resource,$E193,'Critical resources (hide)'!AT$6:AT$105)+SUMIF(Capacity_Resource,$F193,'Critical resources (hide)'!AT$6:AT$105)&gt;0,$E$1=2),0,1),0)</f>
        <v>1</v>
      </c>
      <c r="AH193" s="67">
        <f ca="1">IF(LOWER(Capacity!$V98)="x",IF(AND(SUMIF(Capacity_Resource,$D193,'Critical resources (hide)'!AU$6:AU$105)+SUMIF(Capacity_Resource,$E193,'Critical resources (hide)'!AU$6:AU$105)+SUMIF(Capacity_Resource,$F193,'Critical resources (hide)'!AU$6:AU$105)&gt;0,$E$1=2),0,1),0)</f>
        <v>1</v>
      </c>
      <c r="AI193" s="67">
        <f ca="1">IF(LOWER(Capacity!$V98)="x",IF(AND(SUMIF(Capacity_Resource,$D193,'Critical resources (hide)'!AV$6:AV$105)+SUMIF(Capacity_Resource,$E193,'Critical resources (hide)'!AV$6:AV$105)+SUMIF(Capacity_Resource,$F193,'Critical resources (hide)'!AV$6:AV$105)&gt;0,$E$1=2),0,1),0)</f>
        <v>1</v>
      </c>
      <c r="AJ193" s="67">
        <f ca="1">IF(LOWER(Capacity!$V98)="x",IF(AND(SUMIF(Capacity_Resource,$D193,'Critical resources (hide)'!AW$6:AW$105)+SUMIF(Capacity_Resource,$E193,'Critical resources (hide)'!AW$6:AW$105)+SUMIF(Capacity_Resource,$F193,'Critical resources (hide)'!AW$6:AW$105)&gt;0,$E$1=2),0,1),0)</f>
        <v>1</v>
      </c>
      <c r="AK193" s="67">
        <f ca="1">IF(LOWER(Capacity!$V98)="x",IF(AND(SUMIF(Capacity_Resource,$D193,'Critical resources (hide)'!AX$6:AX$105)+SUMIF(Capacity_Resource,$E193,'Critical resources (hide)'!AX$6:AX$105)+SUMIF(Capacity_Resource,$F193,'Critical resources (hide)'!AX$6:AX$105)&gt;0,$E$1=2),0,1),0)</f>
        <v>1</v>
      </c>
      <c r="AL193" s="67">
        <f ca="1">IF(LOWER(Capacity!$V98)="x",IF(AND(SUMIF(Capacity_Resource,$D193,'Critical resources (hide)'!AY$6:AY$105)+SUMIF(Capacity_Resource,$E193,'Critical resources (hide)'!AY$6:AY$105)+SUMIF(Capacity_Resource,$F193,'Critical resources (hide)'!AY$6:AY$105)&gt;0,$E$1=2),0,1),0)</f>
        <v>1</v>
      </c>
      <c r="AM193" s="67">
        <f ca="1">IF(LOWER(Capacity!$V98)="x",IF(AND(SUMIF(Capacity_Resource,$D193,'Critical resources (hide)'!AZ$6:AZ$105)+SUMIF(Capacity_Resource,$E193,'Critical resources (hide)'!AZ$6:AZ$105)+SUMIF(Capacity_Resource,$F193,'Critical resources (hide)'!AZ$6:AZ$105)&gt;0,$E$1=2),0,1),0)</f>
        <v>1</v>
      </c>
      <c r="AN193" s="67">
        <f ca="1">IF(LOWER(Capacity!$V98)="x",IF(AND(SUMIF(Capacity_Resource,$D193,'Critical resources (hide)'!BA$6:BA$105)+SUMIF(Capacity_Resource,$E193,'Critical resources (hide)'!BA$6:BA$105)+SUMIF(Capacity_Resource,$F193,'Critical resources (hide)'!BA$6:BA$105)&gt;0,$E$1=2),0,1),0)</f>
        <v>1</v>
      </c>
      <c r="AO193" s="67">
        <f ca="1">IF(LOWER(Capacity!$V98)="x",IF(AND(SUMIF(Capacity_Resource,$D193,'Critical resources (hide)'!BB$6:BB$105)+SUMIF(Capacity_Resource,$E193,'Critical resources (hide)'!BB$6:BB$105)+SUMIF(Capacity_Resource,$F193,'Critical resources (hide)'!BB$6:BB$105)&gt;0,$E$1=2),0,1),0)</f>
        <v>1</v>
      </c>
      <c r="AP193" s="67">
        <f ca="1">IF(LOWER(Capacity!$V98)="x",IF(AND(SUMIF(Capacity_Resource,$D193,'Critical resources (hide)'!BC$6:BC$105)+SUMIF(Capacity_Resource,$E193,'Critical resources (hide)'!BC$6:BC$105)+SUMIF(Capacity_Resource,$F193,'Critical resources (hide)'!BC$6:BC$105)&gt;0,$E$1=2),0,1),0)</f>
        <v>1</v>
      </c>
      <c r="AQ193" s="67">
        <f ca="1">IF(LOWER(Capacity!$V98)="x",IF(AND(SUMIF(Capacity_Resource,$D193,'Critical resources (hide)'!BD$6:BD$105)+SUMIF(Capacity_Resource,$E193,'Critical resources (hide)'!BD$6:BD$105)+SUMIF(Capacity_Resource,$F193,'Critical resources (hide)'!BD$6:BD$105)&gt;0,$E$1=2),0,1),0)</f>
        <v>1</v>
      </c>
      <c r="AR193" s="67">
        <f ca="1">IF(LOWER(Capacity!$V98)="x",IF(AND(SUMIF(Capacity_Resource,$D193,'Critical resources (hide)'!BE$6:BE$105)+SUMIF(Capacity_Resource,$E193,'Critical resources (hide)'!BE$6:BE$105)+SUMIF(Capacity_Resource,$F193,'Critical resources (hide)'!BE$6:BE$105)&gt;0,$E$1=2),0,1),0)</f>
        <v>1</v>
      </c>
      <c r="AS193" s="67">
        <f ca="1">IF(LOWER(Capacity!$V98)="x",IF(AND(SUMIF(Capacity_Resource,$D193,'Critical resources (hide)'!BF$6:BF$105)+SUMIF(Capacity_Resource,$E193,'Critical resources (hide)'!BF$6:BF$105)+SUMIF(Capacity_Resource,$F193,'Critical resources (hide)'!BF$6:BF$105)&gt;0,$E$1=2),0,1),0)</f>
        <v>1</v>
      </c>
      <c r="AT193" s="67">
        <f ca="1">IF(LOWER(Capacity!$V98)="x",IF(AND(SUMIF(Capacity_Resource,$D193,'Critical resources (hide)'!BG$6:BG$105)+SUMIF(Capacity_Resource,$E193,'Critical resources (hide)'!BG$6:BG$105)+SUMIF(Capacity_Resource,$F193,'Critical resources (hide)'!BG$6:BG$105)&gt;0,$E$1=2),0,1),0)</f>
        <v>1</v>
      </c>
      <c r="AU193" s="67">
        <f ca="1">IF(LOWER(Capacity!$V98)="x",IF(AND(SUMIF(Capacity_Resource,$D193,'Critical resources (hide)'!BH$6:BH$105)+SUMIF(Capacity_Resource,$E193,'Critical resources (hide)'!BH$6:BH$105)+SUMIF(Capacity_Resource,$F193,'Critical resources (hide)'!BH$6:BH$105)&gt;0,$E$1=2),0,1),0)</f>
        <v>1</v>
      </c>
      <c r="AV193" s="67">
        <f ca="1">IF(LOWER(Capacity!$V98)="x",IF(AND(SUMIF(Capacity_Resource,$D193,'Critical resources (hide)'!BI$6:BI$105)+SUMIF(Capacity_Resource,$E193,'Critical resources (hide)'!BI$6:BI$105)+SUMIF(Capacity_Resource,$F193,'Critical resources (hide)'!BI$6:BI$105)&gt;0,$E$1=2),0,1),0)</f>
        <v>1</v>
      </c>
      <c r="AW193" s="67">
        <f ca="1">IF(LOWER(Capacity!$V98)="x",IF(AND(SUMIF(Capacity_Resource,$D193,'Critical resources (hide)'!BJ$6:BJ$105)+SUMIF(Capacity_Resource,$E193,'Critical resources (hide)'!BJ$6:BJ$105)+SUMIF(Capacity_Resource,$F193,'Critical resources (hide)'!BJ$6:BJ$105)&gt;0,$E$1=2),0,1),0)</f>
        <v>1</v>
      </c>
      <c r="AX193" s="67">
        <f ca="1">IF(LOWER(Capacity!$V98)="x",IF(AND(SUMIF(Capacity_Resource,$D193,'Critical resources (hide)'!BK$6:BK$105)+SUMIF(Capacity_Resource,$E193,'Critical resources (hide)'!BK$6:BK$105)+SUMIF(Capacity_Resource,$F193,'Critical resources (hide)'!BK$6:BK$105)&gt;0,$E$1=2),0,1),0)</f>
        <v>1</v>
      </c>
      <c r="AY193" s="67">
        <f ca="1">IF(LOWER(Capacity!$V98)="x",IF(AND(SUMIF(Capacity_Resource,$D193,'Critical resources (hide)'!BL$6:BL$105)+SUMIF(Capacity_Resource,$E193,'Critical resources (hide)'!BL$6:BL$105)+SUMIF(Capacity_Resource,$F193,'Critical resources (hide)'!BL$6:BL$105)&gt;0,$E$1=2),0,1),0)</f>
        <v>1</v>
      </c>
      <c r="AZ193" s="67">
        <f ca="1">IF(LOWER(Capacity!$V98)="x",IF(AND(SUMIF(Capacity_Resource,$D193,'Critical resources (hide)'!BM$6:BM$105)+SUMIF(Capacity_Resource,$E193,'Critical resources (hide)'!BM$6:BM$105)+SUMIF(Capacity_Resource,$F193,'Critical resources (hide)'!BM$6:BM$105)&gt;0,$E$1=2),0,1),0)</f>
        <v>1</v>
      </c>
      <c r="BA193" s="67">
        <f ca="1">IF(LOWER(Capacity!$V98)="x",IF(AND(SUMIF(Capacity_Resource,$D193,'Critical resources (hide)'!BN$6:BN$105)+SUMIF(Capacity_Resource,$E193,'Critical resources (hide)'!BN$6:BN$105)+SUMIF(Capacity_Resource,$F193,'Critical resources (hide)'!BN$6:BN$105)&gt;0,$E$1=2),0,1),0)</f>
        <v>1</v>
      </c>
      <c r="BB193" s="67">
        <f ca="1">IF(LOWER(Capacity!$V98)="x",IF(AND(SUMIF(Capacity_Resource,$D193,'Critical resources (hide)'!BO$6:BO$105)+SUMIF(Capacity_Resource,$E193,'Critical resources (hide)'!BO$6:BO$105)+SUMIF(Capacity_Resource,$F193,'Critical resources (hide)'!BO$6:BO$105)&gt;0,$E$1=2),0,1),0)</f>
        <v>1</v>
      </c>
      <c r="BC193" s="67">
        <f ca="1">IF(LOWER(Capacity!$V98)="x",IF(AND(SUMIF(Capacity_Resource,$D193,'Critical resources (hide)'!BP$6:BP$105)+SUMIF(Capacity_Resource,$E193,'Critical resources (hide)'!BP$6:BP$105)+SUMIF(Capacity_Resource,$F193,'Critical resources (hide)'!BP$6:BP$105)&gt;0,$E$1=2),0,1),0)</f>
        <v>1</v>
      </c>
      <c r="BD193" s="67">
        <f ca="1">IF(LOWER(Capacity!$V98)="x",IF(AND(SUMIF(Capacity_Resource,$D193,'Critical resources (hide)'!BQ$6:BQ$105)+SUMIF(Capacity_Resource,$E193,'Critical resources (hide)'!BQ$6:BQ$105)+SUMIF(Capacity_Resource,$F193,'Critical resources (hide)'!BQ$6:BQ$105)&gt;0,$E$1=2),0,1),0)</f>
        <v>1</v>
      </c>
      <c r="BE193" s="67">
        <f ca="1">IF(LOWER(Capacity!$V98)="x",IF(AND(SUMIF(Capacity_Resource,$D193,'Critical resources (hide)'!BR$6:BR$105)+SUMIF(Capacity_Resource,$E193,'Critical resources (hide)'!BR$6:BR$105)+SUMIF(Capacity_Resource,$F193,'Critical resources (hide)'!BR$6:BR$105)&gt;0,$E$1=2),0,1),0)</f>
        <v>1</v>
      </c>
      <c r="BF193" s="67">
        <f ca="1">IF(LOWER(Capacity!$V98)="x",IF(AND(SUMIF(Capacity_Resource,$D193,'Critical resources (hide)'!BS$6:BS$105)+SUMIF(Capacity_Resource,$E193,'Critical resources (hide)'!BS$6:BS$105)+SUMIF(Capacity_Resource,$F193,'Critical resources (hide)'!BS$6:BS$105)&gt;0,$E$1=2),0,1),0)</f>
        <v>1</v>
      </c>
      <c r="BG193" s="67">
        <f ca="1">IF(LOWER(Capacity!$V98)="x",IF(AND(SUMIF(Capacity_Resource,$D193,'Critical resources (hide)'!BT$6:BT$105)+SUMIF(Capacity_Resource,$E193,'Critical resources (hide)'!BT$6:BT$105)+SUMIF(Capacity_Resource,$F193,'Critical resources (hide)'!BT$6:BT$105)&gt;0,$E$1=2),0,1),0)</f>
        <v>1</v>
      </c>
      <c r="BH193" s="67">
        <f>IF(ROW(A82)&lt;=Capacity!$M$16,IF('Capacity summary'!$C$14="No",SUM(H193:BG193),'Capacity summary'!$E105),0)</f>
        <v>0</v>
      </c>
      <c r="BI193" s="67" t="str">
        <f>IF(BH193&gt;0,IF(BH193&lt;Capacity!Q98,Capacity!R98,Capacity!T98/'Capacity calculation (hide)'!BH193),"")</f>
        <v/>
      </c>
      <c r="BJ193" s="5"/>
      <c r="BK193" s="5">
        <f>IF($BI193&lt;&gt;"",IF('Capacity summary'!$C$14="Yes",IF(COUNTBLANK('Capacity summary'!$H105:$BG105)&lt;52,IF('Capacity summary'!H105&lt;&gt;"",IF(LOWER('Capacity summary'!H105)="x",$BI193*H193,VALUE('Capacity summary'!H105)),0),H193*$BI193),H193*$BI193),0)</f>
        <v>0</v>
      </c>
      <c r="BL193" s="5">
        <f>IF($BI193&lt;&gt;"",IF('Capacity summary'!$C$14="Yes",IF(COUNTBLANK('Capacity summary'!$H105:$BG105)&lt;52,IF('Capacity summary'!I105&lt;&gt;"",IF(LOWER('Capacity summary'!I105)="x",$BI193*I193,VALUE('Capacity summary'!I105)),0),I193*$BI193),I193*$BI193),0)</f>
        <v>0</v>
      </c>
      <c r="BM193" s="5">
        <f>IF($BI193&lt;&gt;"",IF('Capacity summary'!$C$14="Yes",IF(COUNTBLANK('Capacity summary'!$H105:$BG105)&lt;52,IF('Capacity summary'!J105&lt;&gt;"",IF(LOWER('Capacity summary'!J105)="x",$BI193*J193,VALUE('Capacity summary'!J105)),0),J193*$BI193),J193*$BI193),0)</f>
        <v>0</v>
      </c>
      <c r="BN193" s="5">
        <f>IF($BI193&lt;&gt;"",IF('Capacity summary'!$C$14="Yes",IF(COUNTBLANK('Capacity summary'!$H105:$BG105)&lt;52,IF('Capacity summary'!K105&lt;&gt;"",IF(LOWER('Capacity summary'!K105)="x",$BI193*K193,VALUE('Capacity summary'!K105)),0),K193*$BI193),K193*$BI193),0)</f>
        <v>0</v>
      </c>
      <c r="BO193" s="5">
        <f>IF($BI193&lt;&gt;"",IF('Capacity summary'!$C$14="Yes",IF(COUNTBLANK('Capacity summary'!$H105:$BG105)&lt;52,IF('Capacity summary'!L105&lt;&gt;"",IF(LOWER('Capacity summary'!L105)="x",$BI193*L193,VALUE('Capacity summary'!L105)),0),L193*$BI193),L193*$BI193),0)</f>
        <v>0</v>
      </c>
      <c r="BP193" s="5">
        <f>IF($BI193&lt;&gt;"",IF('Capacity summary'!$C$14="Yes",IF(COUNTBLANK('Capacity summary'!$H105:$BG105)&lt;52,IF('Capacity summary'!M105&lt;&gt;"",IF(LOWER('Capacity summary'!M105)="x",$BI193*M193,VALUE('Capacity summary'!M105)),0),M193*$BI193),M193*$BI193),0)</f>
        <v>0</v>
      </c>
      <c r="BQ193" s="5">
        <f>IF($BI193&lt;&gt;"",IF('Capacity summary'!$C$14="Yes",IF(COUNTBLANK('Capacity summary'!$H105:$BG105)&lt;52,IF('Capacity summary'!N105&lt;&gt;"",IF(LOWER('Capacity summary'!N105)="x",$BI193*N193,VALUE('Capacity summary'!N105)),0),N193*$BI193),N193*$BI193),0)</f>
        <v>0</v>
      </c>
      <c r="BR193" s="5">
        <f>IF($BI193&lt;&gt;"",IF('Capacity summary'!$C$14="Yes",IF(COUNTBLANK('Capacity summary'!$H105:$BG105)&lt;52,IF('Capacity summary'!O105&lt;&gt;"",IF(LOWER('Capacity summary'!O105)="x",$BI193*O193,VALUE('Capacity summary'!O105)),0),O193*$BI193),O193*$BI193),0)</f>
        <v>0</v>
      </c>
      <c r="BS193" s="5">
        <f>IF($BI193&lt;&gt;"",IF('Capacity summary'!$C$14="Yes",IF(COUNTBLANK('Capacity summary'!$H105:$BG105)&lt;52,IF('Capacity summary'!P105&lt;&gt;"",IF(LOWER('Capacity summary'!P105)="x",$BI193*P193,VALUE('Capacity summary'!P105)),0),P193*$BI193),P193*$BI193),0)</f>
        <v>0</v>
      </c>
      <c r="BT193" s="5">
        <f>IF($BI193&lt;&gt;"",IF('Capacity summary'!$C$14="Yes",IF(COUNTBLANK('Capacity summary'!$H105:$BG105)&lt;52,IF('Capacity summary'!Q105&lt;&gt;"",IF(LOWER('Capacity summary'!Q105)="x",$BI193*Q193,VALUE('Capacity summary'!Q105)),0),Q193*$BI193),Q193*$BI193),0)</f>
        <v>0</v>
      </c>
      <c r="BU193" s="5">
        <f>IF($BI193&lt;&gt;"",IF('Capacity summary'!$C$14="Yes",IF(COUNTBLANK('Capacity summary'!$H105:$BG105)&lt;52,IF('Capacity summary'!R105&lt;&gt;"",IF(LOWER('Capacity summary'!R105)="x",$BI193*R193,VALUE('Capacity summary'!R105)),0),R193*$BI193),R193*$BI193),0)</f>
        <v>0</v>
      </c>
      <c r="BV193" s="5">
        <f>IF($BI193&lt;&gt;"",IF('Capacity summary'!$C$14="Yes",IF(COUNTBLANK('Capacity summary'!$H105:$BG105)&lt;52,IF('Capacity summary'!S105&lt;&gt;"",IF(LOWER('Capacity summary'!S105)="x",$BI193*S193,VALUE('Capacity summary'!S105)),0),S193*$BI193),S193*$BI193),0)</f>
        <v>0</v>
      </c>
      <c r="BW193" s="5">
        <f>IF($BI193&lt;&gt;"",IF('Capacity summary'!$C$14="Yes",IF(COUNTBLANK('Capacity summary'!$H105:$BG105)&lt;52,IF('Capacity summary'!T105&lt;&gt;"",IF(LOWER('Capacity summary'!T105)="x",$BI193*T193,VALUE('Capacity summary'!T105)),0),T193*$BI193),T193*$BI193),0)</f>
        <v>0</v>
      </c>
      <c r="BX193" s="5">
        <f>IF($BI193&lt;&gt;"",IF('Capacity summary'!$C$14="Yes",IF(COUNTBLANK('Capacity summary'!$H105:$BG105)&lt;52,IF('Capacity summary'!U105&lt;&gt;"",IF(LOWER('Capacity summary'!U105)="x",$BI193*U193,VALUE('Capacity summary'!U105)),0),U193*$BI193),U193*$BI193),0)</f>
        <v>0</v>
      </c>
      <c r="BY193" s="5">
        <f>IF($BI193&lt;&gt;"",IF('Capacity summary'!$C$14="Yes",IF(COUNTBLANK('Capacity summary'!$H105:$BG105)&lt;52,IF('Capacity summary'!V105&lt;&gt;"",IF(LOWER('Capacity summary'!V105)="x",$BI193*V193,VALUE('Capacity summary'!V105)),0),V193*$BI193),V193*$BI193),0)</f>
        <v>0</v>
      </c>
      <c r="BZ193" s="5">
        <f>IF($BI193&lt;&gt;"",IF('Capacity summary'!$C$14="Yes",IF(COUNTBLANK('Capacity summary'!$H105:$BG105)&lt;52,IF('Capacity summary'!W105&lt;&gt;"",IF(LOWER('Capacity summary'!W105)="x",$BI193*W193,VALUE('Capacity summary'!W105)),0),W193*$BI193),W193*$BI193),0)</f>
        <v>0</v>
      </c>
      <c r="CA193" s="5">
        <f>IF($BI193&lt;&gt;"",IF('Capacity summary'!$C$14="Yes",IF(COUNTBLANK('Capacity summary'!$H105:$BG105)&lt;52,IF('Capacity summary'!X105&lt;&gt;"",IF(LOWER('Capacity summary'!X105)="x",$BI193*X193,VALUE('Capacity summary'!X105)),0),X193*$BI193),X193*$BI193),0)</f>
        <v>0</v>
      </c>
      <c r="CB193" s="5">
        <f>IF($BI193&lt;&gt;"",IF('Capacity summary'!$C$14="Yes",IF(COUNTBLANK('Capacity summary'!$H105:$BG105)&lt;52,IF('Capacity summary'!Y105&lt;&gt;"",IF(LOWER('Capacity summary'!Y105)="x",$BI193*Y193,VALUE('Capacity summary'!Y105)),0),Y193*$BI193),Y193*$BI193),0)</f>
        <v>0</v>
      </c>
      <c r="CC193" s="5">
        <f>IF($BI193&lt;&gt;"",IF('Capacity summary'!$C$14="Yes",IF(COUNTBLANK('Capacity summary'!$H105:$BG105)&lt;52,IF('Capacity summary'!Z105&lt;&gt;"",IF(LOWER('Capacity summary'!Z105)="x",$BI193*Z193,VALUE('Capacity summary'!Z105)),0),Z193*$BI193),Z193*$BI193),0)</f>
        <v>0</v>
      </c>
      <c r="CD193" s="5">
        <f>IF($BI193&lt;&gt;"",IF('Capacity summary'!$C$14="Yes",IF(COUNTBLANK('Capacity summary'!$H105:$BG105)&lt;52,IF('Capacity summary'!AA105&lt;&gt;"",IF(LOWER('Capacity summary'!AA105)="x",$BI193*AA193,VALUE('Capacity summary'!AA105)),0),AA193*$BI193),AA193*$BI193),0)</f>
        <v>0</v>
      </c>
      <c r="CE193" s="5">
        <f>IF($BI193&lt;&gt;"",IF('Capacity summary'!$C$14="Yes",IF(COUNTBLANK('Capacity summary'!$H105:$BG105)&lt;52,IF('Capacity summary'!AB105&lt;&gt;"",IF(LOWER('Capacity summary'!AB105)="x",$BI193*AB193,VALUE('Capacity summary'!AB105)),0),AB193*$BI193),AB193*$BI193),0)</f>
        <v>0</v>
      </c>
      <c r="CF193" s="5">
        <f>IF($BI193&lt;&gt;"",IF('Capacity summary'!$C$14="Yes",IF(COUNTBLANK('Capacity summary'!$H105:$BG105)&lt;52,IF('Capacity summary'!AC105&lt;&gt;"",IF(LOWER('Capacity summary'!AC105)="x",$BI193*AC193,VALUE('Capacity summary'!AC105)),0),AC193*$BI193),AC193*$BI193),0)</f>
        <v>0</v>
      </c>
      <c r="CG193" s="5">
        <f>IF($BI193&lt;&gt;"",IF('Capacity summary'!$C$14="Yes",IF(COUNTBLANK('Capacity summary'!$H105:$BG105)&lt;52,IF('Capacity summary'!AD105&lt;&gt;"",IF(LOWER('Capacity summary'!AD105)="x",$BI193*AD193,VALUE('Capacity summary'!AD105)),0),AD193*$BI193),AD193*$BI193),0)</f>
        <v>0</v>
      </c>
      <c r="CH193" s="5">
        <f>IF($BI193&lt;&gt;"",IF('Capacity summary'!$C$14="Yes",IF(COUNTBLANK('Capacity summary'!$H105:$BG105)&lt;52,IF('Capacity summary'!AE105&lt;&gt;"",IF(LOWER('Capacity summary'!AE105)="x",$BI193*AE193,VALUE('Capacity summary'!AE105)),0),AE193*$BI193),AE193*$BI193),0)</f>
        <v>0</v>
      </c>
      <c r="CI193" s="5">
        <f>IF($BI193&lt;&gt;"",IF('Capacity summary'!$C$14="Yes",IF(COUNTBLANK('Capacity summary'!$H105:$BG105)&lt;52,IF('Capacity summary'!AF105&lt;&gt;"",IF(LOWER('Capacity summary'!AF105)="x",$BI193*AF193,VALUE('Capacity summary'!AF105)),0),AF193*$BI193),AF193*$BI193),0)</f>
        <v>0</v>
      </c>
      <c r="CJ193" s="5">
        <f>IF($BI193&lt;&gt;"",IF('Capacity summary'!$C$14="Yes",IF(COUNTBLANK('Capacity summary'!$H105:$BG105)&lt;52,IF('Capacity summary'!AG105&lt;&gt;"",IF(LOWER('Capacity summary'!AG105)="x",$BI193*AG193,VALUE('Capacity summary'!AG105)),0),AG193*$BI193),AG193*$BI193),0)</f>
        <v>0</v>
      </c>
      <c r="CK193" s="5">
        <f>IF($BI193&lt;&gt;"",IF('Capacity summary'!$C$14="Yes",IF(COUNTBLANK('Capacity summary'!$H105:$BG105)&lt;52,IF('Capacity summary'!AH105&lt;&gt;"",IF(LOWER('Capacity summary'!AH105)="x",$BI193*AH193,VALUE('Capacity summary'!AH105)),0),AH193*$BI193),AH193*$BI193),0)</f>
        <v>0</v>
      </c>
      <c r="CL193" s="5">
        <f>IF($BI193&lt;&gt;"",IF('Capacity summary'!$C$14="Yes",IF(COUNTBLANK('Capacity summary'!$H105:$BG105)&lt;52,IF('Capacity summary'!AI105&lt;&gt;"",IF(LOWER('Capacity summary'!AI105)="x",$BI193*AI193,VALUE('Capacity summary'!AI105)),0),AI193*$BI193),AI193*$BI193),0)</f>
        <v>0</v>
      </c>
      <c r="CM193" s="5">
        <f>IF($BI193&lt;&gt;"",IF('Capacity summary'!$C$14="Yes",IF(COUNTBLANK('Capacity summary'!$H105:$BG105)&lt;52,IF('Capacity summary'!AJ105&lt;&gt;"",IF(LOWER('Capacity summary'!AJ105)="x",$BI193*AJ193,VALUE('Capacity summary'!AJ105)),0),AJ193*$BI193),AJ193*$BI193),0)</f>
        <v>0</v>
      </c>
      <c r="CN193" s="5">
        <f>IF($BI193&lt;&gt;"",IF('Capacity summary'!$C$14="Yes",IF(COUNTBLANK('Capacity summary'!$H105:$BG105)&lt;52,IF('Capacity summary'!AK105&lt;&gt;"",IF(LOWER('Capacity summary'!AK105)="x",$BI193*AK193,VALUE('Capacity summary'!AK105)),0),AK193*$BI193),AK193*$BI193),0)</f>
        <v>0</v>
      </c>
      <c r="CO193" s="5">
        <f>IF($BI193&lt;&gt;"",IF('Capacity summary'!$C$14="Yes",IF(COUNTBLANK('Capacity summary'!$H105:$BG105)&lt;52,IF('Capacity summary'!AL105&lt;&gt;"",IF(LOWER('Capacity summary'!AL105)="x",$BI193*AL193,VALUE('Capacity summary'!AL105)),0),AL193*$BI193),AL193*$BI193),0)</f>
        <v>0</v>
      </c>
      <c r="CP193" s="5">
        <f>IF($BI193&lt;&gt;"",IF('Capacity summary'!$C$14="Yes",IF(COUNTBLANK('Capacity summary'!$H105:$BG105)&lt;52,IF('Capacity summary'!AM105&lt;&gt;"",IF(LOWER('Capacity summary'!AM105)="x",$BI193*AM193,VALUE('Capacity summary'!AM105)),0),AM193*$BI193),AM193*$BI193),0)</f>
        <v>0</v>
      </c>
      <c r="CQ193" s="5">
        <f>IF($BI193&lt;&gt;"",IF('Capacity summary'!$C$14="Yes",IF(COUNTBLANK('Capacity summary'!$H105:$BG105)&lt;52,IF('Capacity summary'!AN105&lt;&gt;"",IF(LOWER('Capacity summary'!AN105)="x",$BI193*AN193,VALUE('Capacity summary'!AN105)),0),AN193*$BI193),AN193*$BI193),0)</f>
        <v>0</v>
      </c>
      <c r="CR193" s="5">
        <f>IF($BI193&lt;&gt;"",IF('Capacity summary'!$C$14="Yes",IF(COUNTBLANK('Capacity summary'!$H105:$BG105)&lt;52,IF('Capacity summary'!AO105&lt;&gt;"",IF(LOWER('Capacity summary'!AO105)="x",$BI193*AO193,VALUE('Capacity summary'!AO105)),0),AO193*$BI193),AO193*$BI193),0)</f>
        <v>0</v>
      </c>
      <c r="CS193" s="5">
        <f>IF($BI193&lt;&gt;"",IF('Capacity summary'!$C$14="Yes",IF(COUNTBLANK('Capacity summary'!$H105:$BG105)&lt;52,IF('Capacity summary'!AP105&lt;&gt;"",IF(LOWER('Capacity summary'!AP105)="x",$BI193*AP193,VALUE('Capacity summary'!AP105)),0),AP193*$BI193),AP193*$BI193),0)</f>
        <v>0</v>
      </c>
      <c r="CT193" s="5">
        <f>IF($BI193&lt;&gt;"",IF('Capacity summary'!$C$14="Yes",IF(COUNTBLANK('Capacity summary'!$H105:$BG105)&lt;52,IF('Capacity summary'!AQ105&lt;&gt;"",IF(LOWER('Capacity summary'!AQ105)="x",$BI193*AQ193,VALUE('Capacity summary'!AQ105)),0),AQ193*$BI193),AQ193*$BI193),0)</f>
        <v>0</v>
      </c>
      <c r="CU193" s="5">
        <f>IF($BI193&lt;&gt;"",IF('Capacity summary'!$C$14="Yes",IF(COUNTBLANK('Capacity summary'!$H105:$BG105)&lt;52,IF('Capacity summary'!AR105&lt;&gt;"",IF(LOWER('Capacity summary'!AR105)="x",$BI193*AR193,VALUE('Capacity summary'!AR105)),0),AR193*$BI193),AR193*$BI193),0)</f>
        <v>0</v>
      </c>
      <c r="CV193" s="5">
        <f>IF($BI193&lt;&gt;"",IF('Capacity summary'!$C$14="Yes",IF(COUNTBLANK('Capacity summary'!$H105:$BG105)&lt;52,IF('Capacity summary'!AS105&lt;&gt;"",IF(LOWER('Capacity summary'!AS105)="x",$BI193*AS193,VALUE('Capacity summary'!AS105)),0),AS193*$BI193),AS193*$BI193),0)</f>
        <v>0</v>
      </c>
      <c r="CW193" s="5">
        <f>IF($BI193&lt;&gt;"",IF('Capacity summary'!$C$14="Yes",IF(COUNTBLANK('Capacity summary'!$H105:$BG105)&lt;52,IF('Capacity summary'!AT105&lt;&gt;"",IF(LOWER('Capacity summary'!AT105)="x",$BI193*AT193,VALUE('Capacity summary'!AT105)),0),AT193*$BI193),AT193*$BI193),0)</f>
        <v>0</v>
      </c>
      <c r="CX193" s="5">
        <f>IF($BI193&lt;&gt;"",IF('Capacity summary'!$C$14="Yes",IF(COUNTBLANK('Capacity summary'!$H105:$BG105)&lt;52,IF('Capacity summary'!AU105&lt;&gt;"",IF(LOWER('Capacity summary'!AU105)="x",$BI193*AU193,VALUE('Capacity summary'!AU105)),0),AU193*$BI193),AU193*$BI193),0)</f>
        <v>0</v>
      </c>
      <c r="CY193" s="5">
        <f>IF($BI193&lt;&gt;"",IF('Capacity summary'!$C$14="Yes",IF(COUNTBLANK('Capacity summary'!$H105:$BG105)&lt;52,IF('Capacity summary'!AV105&lt;&gt;"",IF(LOWER('Capacity summary'!AV105)="x",$BI193*AV193,VALUE('Capacity summary'!AV105)),0),AV193*$BI193),AV193*$BI193),0)</f>
        <v>0</v>
      </c>
      <c r="CZ193" s="5">
        <f>IF($BI193&lt;&gt;"",IF('Capacity summary'!$C$14="Yes",IF(COUNTBLANK('Capacity summary'!$H105:$BG105)&lt;52,IF('Capacity summary'!AW105&lt;&gt;"",IF(LOWER('Capacity summary'!AW105)="x",$BI193*AW193,VALUE('Capacity summary'!AW105)),0),AW193*$BI193),AW193*$BI193),0)</f>
        <v>0</v>
      </c>
      <c r="DA193" s="5">
        <f>IF($BI193&lt;&gt;"",IF('Capacity summary'!$C$14="Yes",IF(COUNTBLANK('Capacity summary'!$H105:$BG105)&lt;52,IF('Capacity summary'!AX105&lt;&gt;"",IF(LOWER('Capacity summary'!AX105)="x",$BI193*AX193,VALUE('Capacity summary'!AX105)),0),AX193*$BI193),AX193*$BI193),0)</f>
        <v>0</v>
      </c>
      <c r="DB193" s="5">
        <f>IF($BI193&lt;&gt;"",IF('Capacity summary'!$C$14="Yes",IF(COUNTBLANK('Capacity summary'!$H105:$BG105)&lt;52,IF('Capacity summary'!AY105&lt;&gt;"",IF(LOWER('Capacity summary'!AY105)="x",$BI193*AY193,VALUE('Capacity summary'!AY105)),0),AY193*$BI193),AY193*$BI193),0)</f>
        <v>0</v>
      </c>
      <c r="DC193" s="5">
        <f>IF($BI193&lt;&gt;"",IF('Capacity summary'!$C$14="Yes",IF(COUNTBLANK('Capacity summary'!$H105:$BG105)&lt;52,IF('Capacity summary'!AZ105&lt;&gt;"",IF(LOWER('Capacity summary'!AZ105)="x",$BI193*AZ193,VALUE('Capacity summary'!AZ105)),0),AZ193*$BI193),AZ193*$BI193),0)</f>
        <v>0</v>
      </c>
      <c r="DD193" s="5">
        <f>IF($BI193&lt;&gt;"",IF('Capacity summary'!$C$14="Yes",IF(COUNTBLANK('Capacity summary'!$H105:$BG105)&lt;52,IF('Capacity summary'!BA105&lt;&gt;"",IF(LOWER('Capacity summary'!BA105)="x",$BI193*BA193,VALUE('Capacity summary'!BA105)),0),BA193*$BI193),BA193*$BI193),0)</f>
        <v>0</v>
      </c>
      <c r="DE193" s="5">
        <f>IF($BI193&lt;&gt;"",IF('Capacity summary'!$C$14="Yes",IF(COUNTBLANK('Capacity summary'!$H105:$BG105)&lt;52,IF('Capacity summary'!BB105&lt;&gt;"",IF(LOWER('Capacity summary'!BB105)="x",$BI193*BB193,VALUE('Capacity summary'!BB105)),0),BB193*$BI193),BB193*$BI193),0)</f>
        <v>0</v>
      </c>
      <c r="DF193" s="5">
        <f>IF($BI193&lt;&gt;"",IF('Capacity summary'!$C$14="Yes",IF(COUNTBLANK('Capacity summary'!$H105:$BG105)&lt;52,IF('Capacity summary'!BC105&lt;&gt;"",IF(LOWER('Capacity summary'!BC105)="x",$BI193*BC193,VALUE('Capacity summary'!BC105)),0),BC193*$BI193),BC193*$BI193),0)</f>
        <v>0</v>
      </c>
      <c r="DG193" s="5">
        <f>IF($BI193&lt;&gt;"",IF('Capacity summary'!$C$14="Yes",IF(COUNTBLANK('Capacity summary'!$H105:$BG105)&lt;52,IF('Capacity summary'!BD105&lt;&gt;"",IF(LOWER('Capacity summary'!BD105)="x",$BI193*BD193,VALUE('Capacity summary'!BD105)),0),BD193*$BI193),BD193*$BI193),0)</f>
        <v>0</v>
      </c>
      <c r="DH193" s="5">
        <f>IF($BI193&lt;&gt;"",IF('Capacity summary'!$C$14="Yes",IF(COUNTBLANK('Capacity summary'!$H105:$BG105)&lt;52,IF('Capacity summary'!BE105&lt;&gt;"",IF(LOWER('Capacity summary'!BE105)="x",$BI193*BE193,VALUE('Capacity summary'!BE105)),0),BE193*$BI193),BE193*$BI193),0)</f>
        <v>0</v>
      </c>
      <c r="DI193" s="5">
        <f>IF($BI193&lt;&gt;"",IF('Capacity summary'!$C$14="Yes",IF(COUNTBLANK('Capacity summary'!$H105:$BG105)&lt;52,IF('Capacity summary'!BF105&lt;&gt;"",IF(LOWER('Capacity summary'!BF105)="x",$BI193*BF193,VALUE('Capacity summary'!BF105)),0),BF193*$BI193),BF193*$BI193),0)</f>
        <v>0</v>
      </c>
      <c r="DJ193" s="5">
        <f>IF($BI193&lt;&gt;"",IF('Capacity summary'!$C$14="Yes",IF(COUNTBLANK('Capacity summary'!$H105:$BG105)&lt;52,IF('Capacity summary'!BG105&lt;&gt;"",IF(LOWER('Capacity summary'!BG105)="x",$BI193*BG193,VALUE('Capacity summary'!BG105)),0),BG193*$BI193),BG193*$BI193),0)</f>
        <v>0</v>
      </c>
      <c r="DK193" s="391">
        <f t="shared" si="10"/>
        <v>0</v>
      </c>
      <c r="DL193" s="5">
        <f t="shared" si="11"/>
        <v>0</v>
      </c>
    </row>
    <row r="194" spans="3:116" x14ac:dyDescent="0.2">
      <c r="C194" s="67" t="str">
        <f>ROW(A83)&amp;". "&amp;Capacity!N99</f>
        <v xml:space="preserve">83. </v>
      </c>
      <c r="D194" s="67">
        <f>'Capacity setup'!C200</f>
        <v>0</v>
      </c>
      <c r="E194" s="67">
        <f>'Capacity setup'!D200</f>
        <v>0</v>
      </c>
      <c r="F194" s="67">
        <f>'Capacity setup'!E200</f>
        <v>0</v>
      </c>
      <c r="H194" s="67">
        <f ca="1">IF(LOWER(Capacity!$V99)="x",IF(AND(SUMIF(Capacity_Resource,$D194,'Critical resources (hide)'!U$6:U$105)+SUMIF(Capacity_Resource,$E194,'Critical resources (hide)'!U$6:U$105)+SUMIF(Capacity_Resource,$F194,'Critical resources (hide)'!U$6:U$105)&gt;0,$E$1=2),0,1),0)</f>
        <v>1</v>
      </c>
      <c r="I194" s="67">
        <f ca="1">IF(LOWER(Capacity!$V99)="x",IF(AND(SUMIF(Capacity_Resource,$D194,'Critical resources (hide)'!V$6:V$105)+SUMIF(Capacity_Resource,$E194,'Critical resources (hide)'!V$6:V$105)+SUMIF(Capacity_Resource,$F194,'Critical resources (hide)'!V$6:V$105)&gt;0,$E$1=2),0,1),0)</f>
        <v>1</v>
      </c>
      <c r="J194" s="67">
        <f ca="1">IF(LOWER(Capacity!$V99)="x",IF(AND(SUMIF(Capacity_Resource,$D194,'Critical resources (hide)'!W$6:W$105)+SUMIF(Capacity_Resource,$E194,'Critical resources (hide)'!W$6:W$105)+SUMIF(Capacity_Resource,$F194,'Critical resources (hide)'!W$6:W$105)&gt;0,$E$1=2),0,1),0)</f>
        <v>1</v>
      </c>
      <c r="K194" s="67">
        <f ca="1">IF(LOWER(Capacity!$V99)="x",IF(AND(SUMIF(Capacity_Resource,$D194,'Critical resources (hide)'!X$6:X$105)+SUMIF(Capacity_Resource,$E194,'Critical resources (hide)'!X$6:X$105)+SUMIF(Capacity_Resource,$F194,'Critical resources (hide)'!X$6:X$105)&gt;0,$E$1=2),0,1),0)</f>
        <v>1</v>
      </c>
      <c r="L194" s="67">
        <f ca="1">IF(LOWER(Capacity!$V99)="x",IF(AND(SUMIF(Capacity_Resource,$D194,'Critical resources (hide)'!Y$6:Y$105)+SUMIF(Capacity_Resource,$E194,'Critical resources (hide)'!Y$6:Y$105)+SUMIF(Capacity_Resource,$F194,'Critical resources (hide)'!Y$6:Y$105)&gt;0,$E$1=2),0,1),0)</f>
        <v>1</v>
      </c>
      <c r="M194" s="67">
        <f ca="1">IF(LOWER(Capacity!$V99)="x",IF(AND(SUMIF(Capacity_Resource,$D194,'Critical resources (hide)'!Z$6:Z$105)+SUMIF(Capacity_Resource,$E194,'Critical resources (hide)'!Z$6:Z$105)+SUMIF(Capacity_Resource,$F194,'Critical resources (hide)'!Z$6:Z$105)&gt;0,$E$1=2),0,1),0)</f>
        <v>1</v>
      </c>
      <c r="N194" s="67">
        <f ca="1">IF(LOWER(Capacity!$V99)="x",IF(AND(SUMIF(Capacity_Resource,$D194,'Critical resources (hide)'!AA$6:AA$105)+SUMIF(Capacity_Resource,$E194,'Critical resources (hide)'!AA$6:AA$105)+SUMIF(Capacity_Resource,$F194,'Critical resources (hide)'!AA$6:AA$105)&gt;0,$E$1=2),0,1),0)</f>
        <v>1</v>
      </c>
      <c r="O194" s="67">
        <f ca="1">IF(LOWER(Capacity!$V99)="x",IF(AND(SUMIF(Capacity_Resource,$D194,'Critical resources (hide)'!AB$6:AB$105)+SUMIF(Capacity_Resource,$E194,'Critical resources (hide)'!AB$6:AB$105)+SUMIF(Capacity_Resource,$F194,'Critical resources (hide)'!AB$6:AB$105)&gt;0,$E$1=2),0,1),0)</f>
        <v>1</v>
      </c>
      <c r="P194" s="67">
        <f ca="1">IF(LOWER(Capacity!$V99)="x",IF(AND(SUMIF(Capacity_Resource,$D194,'Critical resources (hide)'!AC$6:AC$105)+SUMIF(Capacity_Resource,$E194,'Critical resources (hide)'!AC$6:AC$105)+SUMIF(Capacity_Resource,$F194,'Critical resources (hide)'!AC$6:AC$105)&gt;0,$E$1=2),0,1),0)</f>
        <v>1</v>
      </c>
      <c r="Q194" s="67">
        <f ca="1">IF(LOWER(Capacity!$V99)="x",IF(AND(SUMIF(Capacity_Resource,$D194,'Critical resources (hide)'!AD$6:AD$105)+SUMIF(Capacity_Resource,$E194,'Critical resources (hide)'!AD$6:AD$105)+SUMIF(Capacity_Resource,$F194,'Critical resources (hide)'!AD$6:AD$105)&gt;0,$E$1=2),0,1),0)</f>
        <v>1</v>
      </c>
      <c r="R194" s="67">
        <f ca="1">IF(LOWER(Capacity!$V99)="x",IF(AND(SUMIF(Capacity_Resource,$D194,'Critical resources (hide)'!AE$6:AE$105)+SUMIF(Capacity_Resource,$E194,'Critical resources (hide)'!AE$6:AE$105)+SUMIF(Capacity_Resource,$F194,'Critical resources (hide)'!AE$6:AE$105)&gt;0,$E$1=2),0,1),0)</f>
        <v>1</v>
      </c>
      <c r="S194" s="67">
        <f ca="1">IF(LOWER(Capacity!$V99)="x",IF(AND(SUMIF(Capacity_Resource,$D194,'Critical resources (hide)'!AF$6:AF$105)+SUMIF(Capacity_Resource,$E194,'Critical resources (hide)'!AF$6:AF$105)+SUMIF(Capacity_Resource,$F194,'Critical resources (hide)'!AF$6:AF$105)&gt;0,$E$1=2),0,1),0)</f>
        <v>1</v>
      </c>
      <c r="T194" s="67">
        <f ca="1">IF(LOWER(Capacity!$V99)="x",IF(AND(SUMIF(Capacity_Resource,$D194,'Critical resources (hide)'!AG$6:AG$105)+SUMIF(Capacity_Resource,$E194,'Critical resources (hide)'!AG$6:AG$105)+SUMIF(Capacity_Resource,$F194,'Critical resources (hide)'!AG$6:AG$105)&gt;0,$E$1=2),0,1),0)</f>
        <v>1</v>
      </c>
      <c r="U194" s="67">
        <f ca="1">IF(LOWER(Capacity!$V99)="x",IF(AND(SUMIF(Capacity_Resource,$D194,'Critical resources (hide)'!AH$6:AH$105)+SUMIF(Capacity_Resource,$E194,'Critical resources (hide)'!AH$6:AH$105)+SUMIF(Capacity_Resource,$F194,'Critical resources (hide)'!AH$6:AH$105)&gt;0,$E$1=2),0,1),0)</f>
        <v>1</v>
      </c>
      <c r="V194" s="67">
        <f ca="1">IF(LOWER(Capacity!$V99)="x",IF(AND(SUMIF(Capacity_Resource,$D194,'Critical resources (hide)'!AI$6:AI$105)+SUMIF(Capacity_Resource,$E194,'Critical resources (hide)'!AI$6:AI$105)+SUMIF(Capacity_Resource,$F194,'Critical resources (hide)'!AI$6:AI$105)&gt;0,$E$1=2),0,1),0)</f>
        <v>1</v>
      </c>
      <c r="W194" s="67">
        <f ca="1">IF(LOWER(Capacity!$V99)="x",IF(AND(SUMIF(Capacity_Resource,$D194,'Critical resources (hide)'!AJ$6:AJ$105)+SUMIF(Capacity_Resource,$E194,'Critical resources (hide)'!AJ$6:AJ$105)+SUMIF(Capacity_Resource,$F194,'Critical resources (hide)'!AJ$6:AJ$105)&gt;0,$E$1=2),0,1),0)</f>
        <v>1</v>
      </c>
      <c r="X194" s="67">
        <f ca="1">IF(LOWER(Capacity!$V99)="x",IF(AND(SUMIF(Capacity_Resource,$D194,'Critical resources (hide)'!AK$6:AK$105)+SUMIF(Capacity_Resource,$E194,'Critical resources (hide)'!AK$6:AK$105)+SUMIF(Capacity_Resource,$F194,'Critical resources (hide)'!AK$6:AK$105)&gt;0,$E$1=2),0,1),0)</f>
        <v>1</v>
      </c>
      <c r="Y194" s="67">
        <f ca="1">IF(LOWER(Capacity!$V99)="x",IF(AND(SUMIF(Capacity_Resource,$D194,'Critical resources (hide)'!AL$6:AL$105)+SUMIF(Capacity_Resource,$E194,'Critical resources (hide)'!AL$6:AL$105)+SUMIF(Capacity_Resource,$F194,'Critical resources (hide)'!AL$6:AL$105)&gt;0,$E$1=2),0,1),0)</f>
        <v>1</v>
      </c>
      <c r="Z194" s="67">
        <f ca="1">IF(LOWER(Capacity!$V99)="x",IF(AND(SUMIF(Capacity_Resource,$D194,'Critical resources (hide)'!AM$6:AM$105)+SUMIF(Capacity_Resource,$E194,'Critical resources (hide)'!AM$6:AM$105)+SUMIF(Capacity_Resource,$F194,'Critical resources (hide)'!AM$6:AM$105)&gt;0,$E$1=2),0,1),0)</f>
        <v>1</v>
      </c>
      <c r="AA194" s="67">
        <f ca="1">IF(LOWER(Capacity!$V99)="x",IF(AND(SUMIF(Capacity_Resource,$D194,'Critical resources (hide)'!AN$6:AN$105)+SUMIF(Capacity_Resource,$E194,'Critical resources (hide)'!AN$6:AN$105)+SUMIF(Capacity_Resource,$F194,'Critical resources (hide)'!AN$6:AN$105)&gt;0,$E$1=2),0,1),0)</f>
        <v>1</v>
      </c>
      <c r="AB194" s="67">
        <f ca="1">IF(LOWER(Capacity!$V99)="x",IF(AND(SUMIF(Capacity_Resource,$D194,'Critical resources (hide)'!AO$6:AO$105)+SUMIF(Capacity_Resource,$E194,'Critical resources (hide)'!AO$6:AO$105)+SUMIF(Capacity_Resource,$F194,'Critical resources (hide)'!AO$6:AO$105)&gt;0,$E$1=2),0,1),0)</f>
        <v>1</v>
      </c>
      <c r="AC194" s="67">
        <f ca="1">IF(LOWER(Capacity!$V99)="x",IF(AND(SUMIF(Capacity_Resource,$D194,'Critical resources (hide)'!AP$6:AP$105)+SUMIF(Capacity_Resource,$E194,'Critical resources (hide)'!AP$6:AP$105)+SUMIF(Capacity_Resource,$F194,'Critical resources (hide)'!AP$6:AP$105)&gt;0,$E$1=2),0,1),0)</f>
        <v>1</v>
      </c>
      <c r="AD194" s="67">
        <f ca="1">IF(LOWER(Capacity!$V99)="x",IF(AND(SUMIF(Capacity_Resource,$D194,'Critical resources (hide)'!AQ$6:AQ$105)+SUMIF(Capacity_Resource,$E194,'Critical resources (hide)'!AQ$6:AQ$105)+SUMIF(Capacity_Resource,$F194,'Critical resources (hide)'!AQ$6:AQ$105)&gt;0,$E$1=2),0,1),0)</f>
        <v>1</v>
      </c>
      <c r="AE194" s="67">
        <f ca="1">IF(LOWER(Capacity!$V99)="x",IF(AND(SUMIF(Capacity_Resource,$D194,'Critical resources (hide)'!AR$6:AR$105)+SUMIF(Capacity_Resource,$E194,'Critical resources (hide)'!AR$6:AR$105)+SUMIF(Capacity_Resource,$F194,'Critical resources (hide)'!AR$6:AR$105)&gt;0,$E$1=2),0,1),0)</f>
        <v>1</v>
      </c>
      <c r="AF194" s="67">
        <f ca="1">IF(LOWER(Capacity!$V99)="x",IF(AND(SUMIF(Capacity_Resource,$D194,'Critical resources (hide)'!AS$6:AS$105)+SUMIF(Capacity_Resource,$E194,'Critical resources (hide)'!AS$6:AS$105)+SUMIF(Capacity_Resource,$F194,'Critical resources (hide)'!AS$6:AS$105)&gt;0,$E$1=2),0,1),0)</f>
        <v>1</v>
      </c>
      <c r="AG194" s="67">
        <f ca="1">IF(LOWER(Capacity!$V99)="x",IF(AND(SUMIF(Capacity_Resource,$D194,'Critical resources (hide)'!AT$6:AT$105)+SUMIF(Capacity_Resource,$E194,'Critical resources (hide)'!AT$6:AT$105)+SUMIF(Capacity_Resource,$F194,'Critical resources (hide)'!AT$6:AT$105)&gt;0,$E$1=2),0,1),0)</f>
        <v>1</v>
      </c>
      <c r="AH194" s="67">
        <f ca="1">IF(LOWER(Capacity!$V99)="x",IF(AND(SUMIF(Capacity_Resource,$D194,'Critical resources (hide)'!AU$6:AU$105)+SUMIF(Capacity_Resource,$E194,'Critical resources (hide)'!AU$6:AU$105)+SUMIF(Capacity_Resource,$F194,'Critical resources (hide)'!AU$6:AU$105)&gt;0,$E$1=2),0,1),0)</f>
        <v>1</v>
      </c>
      <c r="AI194" s="67">
        <f ca="1">IF(LOWER(Capacity!$V99)="x",IF(AND(SUMIF(Capacity_Resource,$D194,'Critical resources (hide)'!AV$6:AV$105)+SUMIF(Capacity_Resource,$E194,'Critical resources (hide)'!AV$6:AV$105)+SUMIF(Capacity_Resource,$F194,'Critical resources (hide)'!AV$6:AV$105)&gt;0,$E$1=2),0,1),0)</f>
        <v>1</v>
      </c>
      <c r="AJ194" s="67">
        <f ca="1">IF(LOWER(Capacity!$V99)="x",IF(AND(SUMIF(Capacity_Resource,$D194,'Critical resources (hide)'!AW$6:AW$105)+SUMIF(Capacity_Resource,$E194,'Critical resources (hide)'!AW$6:AW$105)+SUMIF(Capacity_Resource,$F194,'Critical resources (hide)'!AW$6:AW$105)&gt;0,$E$1=2),0,1),0)</f>
        <v>1</v>
      </c>
      <c r="AK194" s="67">
        <f ca="1">IF(LOWER(Capacity!$V99)="x",IF(AND(SUMIF(Capacity_Resource,$D194,'Critical resources (hide)'!AX$6:AX$105)+SUMIF(Capacity_Resource,$E194,'Critical resources (hide)'!AX$6:AX$105)+SUMIF(Capacity_Resource,$F194,'Critical resources (hide)'!AX$6:AX$105)&gt;0,$E$1=2),0,1),0)</f>
        <v>1</v>
      </c>
      <c r="AL194" s="67">
        <f ca="1">IF(LOWER(Capacity!$V99)="x",IF(AND(SUMIF(Capacity_Resource,$D194,'Critical resources (hide)'!AY$6:AY$105)+SUMIF(Capacity_Resource,$E194,'Critical resources (hide)'!AY$6:AY$105)+SUMIF(Capacity_Resource,$F194,'Critical resources (hide)'!AY$6:AY$105)&gt;0,$E$1=2),0,1),0)</f>
        <v>1</v>
      </c>
      <c r="AM194" s="67">
        <f ca="1">IF(LOWER(Capacity!$V99)="x",IF(AND(SUMIF(Capacity_Resource,$D194,'Critical resources (hide)'!AZ$6:AZ$105)+SUMIF(Capacity_Resource,$E194,'Critical resources (hide)'!AZ$6:AZ$105)+SUMIF(Capacity_Resource,$F194,'Critical resources (hide)'!AZ$6:AZ$105)&gt;0,$E$1=2),0,1),0)</f>
        <v>1</v>
      </c>
      <c r="AN194" s="67">
        <f ca="1">IF(LOWER(Capacity!$V99)="x",IF(AND(SUMIF(Capacity_Resource,$D194,'Critical resources (hide)'!BA$6:BA$105)+SUMIF(Capacity_Resource,$E194,'Critical resources (hide)'!BA$6:BA$105)+SUMIF(Capacity_Resource,$F194,'Critical resources (hide)'!BA$6:BA$105)&gt;0,$E$1=2),0,1),0)</f>
        <v>1</v>
      </c>
      <c r="AO194" s="67">
        <f ca="1">IF(LOWER(Capacity!$V99)="x",IF(AND(SUMIF(Capacity_Resource,$D194,'Critical resources (hide)'!BB$6:BB$105)+SUMIF(Capacity_Resource,$E194,'Critical resources (hide)'!BB$6:BB$105)+SUMIF(Capacity_Resource,$F194,'Critical resources (hide)'!BB$6:BB$105)&gt;0,$E$1=2),0,1),0)</f>
        <v>1</v>
      </c>
      <c r="AP194" s="67">
        <f ca="1">IF(LOWER(Capacity!$V99)="x",IF(AND(SUMIF(Capacity_Resource,$D194,'Critical resources (hide)'!BC$6:BC$105)+SUMIF(Capacity_Resource,$E194,'Critical resources (hide)'!BC$6:BC$105)+SUMIF(Capacity_Resource,$F194,'Critical resources (hide)'!BC$6:BC$105)&gt;0,$E$1=2),0,1),0)</f>
        <v>1</v>
      </c>
      <c r="AQ194" s="67">
        <f ca="1">IF(LOWER(Capacity!$V99)="x",IF(AND(SUMIF(Capacity_Resource,$D194,'Critical resources (hide)'!BD$6:BD$105)+SUMIF(Capacity_Resource,$E194,'Critical resources (hide)'!BD$6:BD$105)+SUMIF(Capacity_Resource,$F194,'Critical resources (hide)'!BD$6:BD$105)&gt;0,$E$1=2),0,1),0)</f>
        <v>1</v>
      </c>
      <c r="AR194" s="67">
        <f ca="1">IF(LOWER(Capacity!$V99)="x",IF(AND(SUMIF(Capacity_Resource,$D194,'Critical resources (hide)'!BE$6:BE$105)+SUMIF(Capacity_Resource,$E194,'Critical resources (hide)'!BE$6:BE$105)+SUMIF(Capacity_Resource,$F194,'Critical resources (hide)'!BE$6:BE$105)&gt;0,$E$1=2),0,1),0)</f>
        <v>1</v>
      </c>
      <c r="AS194" s="67">
        <f ca="1">IF(LOWER(Capacity!$V99)="x",IF(AND(SUMIF(Capacity_Resource,$D194,'Critical resources (hide)'!BF$6:BF$105)+SUMIF(Capacity_Resource,$E194,'Critical resources (hide)'!BF$6:BF$105)+SUMIF(Capacity_Resource,$F194,'Critical resources (hide)'!BF$6:BF$105)&gt;0,$E$1=2),0,1),0)</f>
        <v>1</v>
      </c>
      <c r="AT194" s="67">
        <f ca="1">IF(LOWER(Capacity!$V99)="x",IF(AND(SUMIF(Capacity_Resource,$D194,'Critical resources (hide)'!BG$6:BG$105)+SUMIF(Capacity_Resource,$E194,'Critical resources (hide)'!BG$6:BG$105)+SUMIF(Capacity_Resource,$F194,'Critical resources (hide)'!BG$6:BG$105)&gt;0,$E$1=2),0,1),0)</f>
        <v>1</v>
      </c>
      <c r="AU194" s="67">
        <f ca="1">IF(LOWER(Capacity!$V99)="x",IF(AND(SUMIF(Capacity_Resource,$D194,'Critical resources (hide)'!BH$6:BH$105)+SUMIF(Capacity_Resource,$E194,'Critical resources (hide)'!BH$6:BH$105)+SUMIF(Capacity_Resource,$F194,'Critical resources (hide)'!BH$6:BH$105)&gt;0,$E$1=2),0,1),0)</f>
        <v>1</v>
      </c>
      <c r="AV194" s="67">
        <f ca="1">IF(LOWER(Capacity!$V99)="x",IF(AND(SUMIF(Capacity_Resource,$D194,'Critical resources (hide)'!BI$6:BI$105)+SUMIF(Capacity_Resource,$E194,'Critical resources (hide)'!BI$6:BI$105)+SUMIF(Capacity_Resource,$F194,'Critical resources (hide)'!BI$6:BI$105)&gt;0,$E$1=2),0,1),0)</f>
        <v>1</v>
      </c>
      <c r="AW194" s="67">
        <f ca="1">IF(LOWER(Capacity!$V99)="x",IF(AND(SUMIF(Capacity_Resource,$D194,'Critical resources (hide)'!BJ$6:BJ$105)+SUMIF(Capacity_Resource,$E194,'Critical resources (hide)'!BJ$6:BJ$105)+SUMIF(Capacity_Resource,$F194,'Critical resources (hide)'!BJ$6:BJ$105)&gt;0,$E$1=2),0,1),0)</f>
        <v>1</v>
      </c>
      <c r="AX194" s="67">
        <f ca="1">IF(LOWER(Capacity!$V99)="x",IF(AND(SUMIF(Capacity_Resource,$D194,'Critical resources (hide)'!BK$6:BK$105)+SUMIF(Capacity_Resource,$E194,'Critical resources (hide)'!BK$6:BK$105)+SUMIF(Capacity_Resource,$F194,'Critical resources (hide)'!BK$6:BK$105)&gt;0,$E$1=2),0,1),0)</f>
        <v>1</v>
      </c>
      <c r="AY194" s="67">
        <f ca="1">IF(LOWER(Capacity!$V99)="x",IF(AND(SUMIF(Capacity_Resource,$D194,'Critical resources (hide)'!BL$6:BL$105)+SUMIF(Capacity_Resource,$E194,'Critical resources (hide)'!BL$6:BL$105)+SUMIF(Capacity_Resource,$F194,'Critical resources (hide)'!BL$6:BL$105)&gt;0,$E$1=2),0,1),0)</f>
        <v>1</v>
      </c>
      <c r="AZ194" s="67">
        <f ca="1">IF(LOWER(Capacity!$V99)="x",IF(AND(SUMIF(Capacity_Resource,$D194,'Critical resources (hide)'!BM$6:BM$105)+SUMIF(Capacity_Resource,$E194,'Critical resources (hide)'!BM$6:BM$105)+SUMIF(Capacity_Resource,$F194,'Critical resources (hide)'!BM$6:BM$105)&gt;0,$E$1=2),0,1),0)</f>
        <v>1</v>
      </c>
      <c r="BA194" s="67">
        <f ca="1">IF(LOWER(Capacity!$V99)="x",IF(AND(SUMIF(Capacity_Resource,$D194,'Critical resources (hide)'!BN$6:BN$105)+SUMIF(Capacity_Resource,$E194,'Critical resources (hide)'!BN$6:BN$105)+SUMIF(Capacity_Resource,$F194,'Critical resources (hide)'!BN$6:BN$105)&gt;0,$E$1=2),0,1),0)</f>
        <v>1</v>
      </c>
      <c r="BB194" s="67">
        <f ca="1">IF(LOWER(Capacity!$V99)="x",IF(AND(SUMIF(Capacity_Resource,$D194,'Critical resources (hide)'!BO$6:BO$105)+SUMIF(Capacity_Resource,$E194,'Critical resources (hide)'!BO$6:BO$105)+SUMIF(Capacity_Resource,$F194,'Critical resources (hide)'!BO$6:BO$105)&gt;0,$E$1=2),0,1),0)</f>
        <v>1</v>
      </c>
      <c r="BC194" s="67">
        <f ca="1">IF(LOWER(Capacity!$V99)="x",IF(AND(SUMIF(Capacity_Resource,$D194,'Critical resources (hide)'!BP$6:BP$105)+SUMIF(Capacity_Resource,$E194,'Critical resources (hide)'!BP$6:BP$105)+SUMIF(Capacity_Resource,$F194,'Critical resources (hide)'!BP$6:BP$105)&gt;0,$E$1=2),0,1),0)</f>
        <v>1</v>
      </c>
      <c r="BD194" s="67">
        <f ca="1">IF(LOWER(Capacity!$V99)="x",IF(AND(SUMIF(Capacity_Resource,$D194,'Critical resources (hide)'!BQ$6:BQ$105)+SUMIF(Capacity_Resource,$E194,'Critical resources (hide)'!BQ$6:BQ$105)+SUMIF(Capacity_Resource,$F194,'Critical resources (hide)'!BQ$6:BQ$105)&gt;0,$E$1=2),0,1),0)</f>
        <v>1</v>
      </c>
      <c r="BE194" s="67">
        <f ca="1">IF(LOWER(Capacity!$V99)="x",IF(AND(SUMIF(Capacity_Resource,$D194,'Critical resources (hide)'!BR$6:BR$105)+SUMIF(Capacity_Resource,$E194,'Critical resources (hide)'!BR$6:BR$105)+SUMIF(Capacity_Resource,$F194,'Critical resources (hide)'!BR$6:BR$105)&gt;0,$E$1=2),0,1),0)</f>
        <v>1</v>
      </c>
      <c r="BF194" s="67">
        <f ca="1">IF(LOWER(Capacity!$V99)="x",IF(AND(SUMIF(Capacity_Resource,$D194,'Critical resources (hide)'!BS$6:BS$105)+SUMIF(Capacity_Resource,$E194,'Critical resources (hide)'!BS$6:BS$105)+SUMIF(Capacity_Resource,$F194,'Critical resources (hide)'!BS$6:BS$105)&gt;0,$E$1=2),0,1),0)</f>
        <v>1</v>
      </c>
      <c r="BG194" s="67">
        <f ca="1">IF(LOWER(Capacity!$V99)="x",IF(AND(SUMIF(Capacity_Resource,$D194,'Critical resources (hide)'!BT$6:BT$105)+SUMIF(Capacity_Resource,$E194,'Critical resources (hide)'!BT$6:BT$105)+SUMIF(Capacity_Resource,$F194,'Critical resources (hide)'!BT$6:BT$105)&gt;0,$E$1=2),0,1),0)</f>
        <v>1</v>
      </c>
      <c r="BH194" s="67">
        <f>IF(ROW(A83)&lt;=Capacity!$M$16,IF('Capacity summary'!$C$14="No",SUM(H194:BG194),'Capacity summary'!$E106),0)</f>
        <v>0</v>
      </c>
      <c r="BI194" s="67" t="str">
        <f>IF(BH194&gt;0,IF(BH194&lt;Capacity!Q99,Capacity!R99,Capacity!T99/'Capacity calculation (hide)'!BH194),"")</f>
        <v/>
      </c>
      <c r="BJ194" s="5"/>
      <c r="BK194" s="5">
        <f>IF($BI194&lt;&gt;"",IF('Capacity summary'!$C$14="Yes",IF(COUNTBLANK('Capacity summary'!$H106:$BG106)&lt;52,IF('Capacity summary'!H106&lt;&gt;"",IF(LOWER('Capacity summary'!H106)="x",$BI194*H194,VALUE('Capacity summary'!H106)),0),H194*$BI194),H194*$BI194),0)</f>
        <v>0</v>
      </c>
      <c r="BL194" s="5">
        <f>IF($BI194&lt;&gt;"",IF('Capacity summary'!$C$14="Yes",IF(COUNTBLANK('Capacity summary'!$H106:$BG106)&lt;52,IF('Capacity summary'!I106&lt;&gt;"",IF(LOWER('Capacity summary'!I106)="x",$BI194*I194,VALUE('Capacity summary'!I106)),0),I194*$BI194),I194*$BI194),0)</f>
        <v>0</v>
      </c>
      <c r="BM194" s="5">
        <f>IF($BI194&lt;&gt;"",IF('Capacity summary'!$C$14="Yes",IF(COUNTBLANK('Capacity summary'!$H106:$BG106)&lt;52,IF('Capacity summary'!J106&lt;&gt;"",IF(LOWER('Capacity summary'!J106)="x",$BI194*J194,VALUE('Capacity summary'!J106)),0),J194*$BI194),J194*$BI194),0)</f>
        <v>0</v>
      </c>
      <c r="BN194" s="5">
        <f>IF($BI194&lt;&gt;"",IF('Capacity summary'!$C$14="Yes",IF(COUNTBLANK('Capacity summary'!$H106:$BG106)&lt;52,IF('Capacity summary'!K106&lt;&gt;"",IF(LOWER('Capacity summary'!K106)="x",$BI194*K194,VALUE('Capacity summary'!K106)),0),K194*$BI194),K194*$BI194),0)</f>
        <v>0</v>
      </c>
      <c r="BO194" s="5">
        <f>IF($BI194&lt;&gt;"",IF('Capacity summary'!$C$14="Yes",IF(COUNTBLANK('Capacity summary'!$H106:$BG106)&lt;52,IF('Capacity summary'!L106&lt;&gt;"",IF(LOWER('Capacity summary'!L106)="x",$BI194*L194,VALUE('Capacity summary'!L106)),0),L194*$BI194),L194*$BI194),0)</f>
        <v>0</v>
      </c>
      <c r="BP194" s="5">
        <f>IF($BI194&lt;&gt;"",IF('Capacity summary'!$C$14="Yes",IF(COUNTBLANK('Capacity summary'!$H106:$BG106)&lt;52,IF('Capacity summary'!M106&lt;&gt;"",IF(LOWER('Capacity summary'!M106)="x",$BI194*M194,VALUE('Capacity summary'!M106)),0),M194*$BI194),M194*$BI194),0)</f>
        <v>0</v>
      </c>
      <c r="BQ194" s="5">
        <f>IF($BI194&lt;&gt;"",IF('Capacity summary'!$C$14="Yes",IF(COUNTBLANK('Capacity summary'!$H106:$BG106)&lt;52,IF('Capacity summary'!N106&lt;&gt;"",IF(LOWER('Capacity summary'!N106)="x",$BI194*N194,VALUE('Capacity summary'!N106)),0),N194*$BI194),N194*$BI194),0)</f>
        <v>0</v>
      </c>
      <c r="BR194" s="5">
        <f>IF($BI194&lt;&gt;"",IF('Capacity summary'!$C$14="Yes",IF(COUNTBLANK('Capacity summary'!$H106:$BG106)&lt;52,IF('Capacity summary'!O106&lt;&gt;"",IF(LOWER('Capacity summary'!O106)="x",$BI194*O194,VALUE('Capacity summary'!O106)),0),O194*$BI194),O194*$BI194),0)</f>
        <v>0</v>
      </c>
      <c r="BS194" s="5">
        <f>IF($BI194&lt;&gt;"",IF('Capacity summary'!$C$14="Yes",IF(COUNTBLANK('Capacity summary'!$H106:$BG106)&lt;52,IF('Capacity summary'!P106&lt;&gt;"",IF(LOWER('Capacity summary'!P106)="x",$BI194*P194,VALUE('Capacity summary'!P106)),0),P194*$BI194),P194*$BI194),0)</f>
        <v>0</v>
      </c>
      <c r="BT194" s="5">
        <f>IF($BI194&lt;&gt;"",IF('Capacity summary'!$C$14="Yes",IF(COUNTBLANK('Capacity summary'!$H106:$BG106)&lt;52,IF('Capacity summary'!Q106&lt;&gt;"",IF(LOWER('Capacity summary'!Q106)="x",$BI194*Q194,VALUE('Capacity summary'!Q106)),0),Q194*$BI194),Q194*$BI194),0)</f>
        <v>0</v>
      </c>
      <c r="BU194" s="5">
        <f>IF($BI194&lt;&gt;"",IF('Capacity summary'!$C$14="Yes",IF(COUNTBLANK('Capacity summary'!$H106:$BG106)&lt;52,IF('Capacity summary'!R106&lt;&gt;"",IF(LOWER('Capacity summary'!R106)="x",$BI194*R194,VALUE('Capacity summary'!R106)),0),R194*$BI194),R194*$BI194),0)</f>
        <v>0</v>
      </c>
      <c r="BV194" s="5">
        <f>IF($BI194&lt;&gt;"",IF('Capacity summary'!$C$14="Yes",IF(COUNTBLANK('Capacity summary'!$H106:$BG106)&lt;52,IF('Capacity summary'!S106&lt;&gt;"",IF(LOWER('Capacity summary'!S106)="x",$BI194*S194,VALUE('Capacity summary'!S106)),0),S194*$BI194),S194*$BI194),0)</f>
        <v>0</v>
      </c>
      <c r="BW194" s="5">
        <f>IF($BI194&lt;&gt;"",IF('Capacity summary'!$C$14="Yes",IF(COUNTBLANK('Capacity summary'!$H106:$BG106)&lt;52,IF('Capacity summary'!T106&lt;&gt;"",IF(LOWER('Capacity summary'!T106)="x",$BI194*T194,VALUE('Capacity summary'!T106)),0),T194*$BI194),T194*$BI194),0)</f>
        <v>0</v>
      </c>
      <c r="BX194" s="5">
        <f>IF($BI194&lt;&gt;"",IF('Capacity summary'!$C$14="Yes",IF(COUNTBLANK('Capacity summary'!$H106:$BG106)&lt;52,IF('Capacity summary'!U106&lt;&gt;"",IF(LOWER('Capacity summary'!U106)="x",$BI194*U194,VALUE('Capacity summary'!U106)),0),U194*$BI194),U194*$BI194),0)</f>
        <v>0</v>
      </c>
      <c r="BY194" s="5">
        <f>IF($BI194&lt;&gt;"",IF('Capacity summary'!$C$14="Yes",IF(COUNTBLANK('Capacity summary'!$H106:$BG106)&lt;52,IF('Capacity summary'!V106&lt;&gt;"",IF(LOWER('Capacity summary'!V106)="x",$BI194*V194,VALUE('Capacity summary'!V106)),0),V194*$BI194),V194*$BI194),0)</f>
        <v>0</v>
      </c>
      <c r="BZ194" s="5">
        <f>IF($BI194&lt;&gt;"",IF('Capacity summary'!$C$14="Yes",IF(COUNTBLANK('Capacity summary'!$H106:$BG106)&lt;52,IF('Capacity summary'!W106&lt;&gt;"",IF(LOWER('Capacity summary'!W106)="x",$BI194*W194,VALUE('Capacity summary'!W106)),0),W194*$BI194),W194*$BI194),0)</f>
        <v>0</v>
      </c>
      <c r="CA194" s="5">
        <f>IF($BI194&lt;&gt;"",IF('Capacity summary'!$C$14="Yes",IF(COUNTBLANK('Capacity summary'!$H106:$BG106)&lt;52,IF('Capacity summary'!X106&lt;&gt;"",IF(LOWER('Capacity summary'!X106)="x",$BI194*X194,VALUE('Capacity summary'!X106)),0),X194*$BI194),X194*$BI194),0)</f>
        <v>0</v>
      </c>
      <c r="CB194" s="5">
        <f>IF($BI194&lt;&gt;"",IF('Capacity summary'!$C$14="Yes",IF(COUNTBLANK('Capacity summary'!$H106:$BG106)&lt;52,IF('Capacity summary'!Y106&lt;&gt;"",IF(LOWER('Capacity summary'!Y106)="x",$BI194*Y194,VALUE('Capacity summary'!Y106)),0),Y194*$BI194),Y194*$BI194),0)</f>
        <v>0</v>
      </c>
      <c r="CC194" s="5">
        <f>IF($BI194&lt;&gt;"",IF('Capacity summary'!$C$14="Yes",IF(COUNTBLANK('Capacity summary'!$H106:$BG106)&lt;52,IF('Capacity summary'!Z106&lt;&gt;"",IF(LOWER('Capacity summary'!Z106)="x",$BI194*Z194,VALUE('Capacity summary'!Z106)),0),Z194*$BI194),Z194*$BI194),0)</f>
        <v>0</v>
      </c>
      <c r="CD194" s="5">
        <f>IF($BI194&lt;&gt;"",IF('Capacity summary'!$C$14="Yes",IF(COUNTBLANK('Capacity summary'!$H106:$BG106)&lt;52,IF('Capacity summary'!AA106&lt;&gt;"",IF(LOWER('Capacity summary'!AA106)="x",$BI194*AA194,VALUE('Capacity summary'!AA106)),0),AA194*$BI194),AA194*$BI194),0)</f>
        <v>0</v>
      </c>
      <c r="CE194" s="5">
        <f>IF($BI194&lt;&gt;"",IF('Capacity summary'!$C$14="Yes",IF(COUNTBLANK('Capacity summary'!$H106:$BG106)&lt;52,IF('Capacity summary'!AB106&lt;&gt;"",IF(LOWER('Capacity summary'!AB106)="x",$BI194*AB194,VALUE('Capacity summary'!AB106)),0),AB194*$BI194),AB194*$BI194),0)</f>
        <v>0</v>
      </c>
      <c r="CF194" s="5">
        <f>IF($BI194&lt;&gt;"",IF('Capacity summary'!$C$14="Yes",IF(COUNTBLANK('Capacity summary'!$H106:$BG106)&lt;52,IF('Capacity summary'!AC106&lt;&gt;"",IF(LOWER('Capacity summary'!AC106)="x",$BI194*AC194,VALUE('Capacity summary'!AC106)),0),AC194*$BI194),AC194*$BI194),0)</f>
        <v>0</v>
      </c>
      <c r="CG194" s="5">
        <f>IF($BI194&lt;&gt;"",IF('Capacity summary'!$C$14="Yes",IF(COUNTBLANK('Capacity summary'!$H106:$BG106)&lt;52,IF('Capacity summary'!AD106&lt;&gt;"",IF(LOWER('Capacity summary'!AD106)="x",$BI194*AD194,VALUE('Capacity summary'!AD106)),0),AD194*$BI194),AD194*$BI194),0)</f>
        <v>0</v>
      </c>
      <c r="CH194" s="5">
        <f>IF($BI194&lt;&gt;"",IF('Capacity summary'!$C$14="Yes",IF(COUNTBLANK('Capacity summary'!$H106:$BG106)&lt;52,IF('Capacity summary'!AE106&lt;&gt;"",IF(LOWER('Capacity summary'!AE106)="x",$BI194*AE194,VALUE('Capacity summary'!AE106)),0),AE194*$BI194),AE194*$BI194),0)</f>
        <v>0</v>
      </c>
      <c r="CI194" s="5">
        <f>IF($BI194&lt;&gt;"",IF('Capacity summary'!$C$14="Yes",IF(COUNTBLANK('Capacity summary'!$H106:$BG106)&lt;52,IF('Capacity summary'!AF106&lt;&gt;"",IF(LOWER('Capacity summary'!AF106)="x",$BI194*AF194,VALUE('Capacity summary'!AF106)),0),AF194*$BI194),AF194*$BI194),0)</f>
        <v>0</v>
      </c>
      <c r="CJ194" s="5">
        <f>IF($BI194&lt;&gt;"",IF('Capacity summary'!$C$14="Yes",IF(COUNTBLANK('Capacity summary'!$H106:$BG106)&lt;52,IF('Capacity summary'!AG106&lt;&gt;"",IF(LOWER('Capacity summary'!AG106)="x",$BI194*AG194,VALUE('Capacity summary'!AG106)),0),AG194*$BI194),AG194*$BI194),0)</f>
        <v>0</v>
      </c>
      <c r="CK194" s="5">
        <f>IF($BI194&lt;&gt;"",IF('Capacity summary'!$C$14="Yes",IF(COUNTBLANK('Capacity summary'!$H106:$BG106)&lt;52,IF('Capacity summary'!AH106&lt;&gt;"",IF(LOWER('Capacity summary'!AH106)="x",$BI194*AH194,VALUE('Capacity summary'!AH106)),0),AH194*$BI194),AH194*$BI194),0)</f>
        <v>0</v>
      </c>
      <c r="CL194" s="5">
        <f>IF($BI194&lt;&gt;"",IF('Capacity summary'!$C$14="Yes",IF(COUNTBLANK('Capacity summary'!$H106:$BG106)&lt;52,IF('Capacity summary'!AI106&lt;&gt;"",IF(LOWER('Capacity summary'!AI106)="x",$BI194*AI194,VALUE('Capacity summary'!AI106)),0),AI194*$BI194),AI194*$BI194),0)</f>
        <v>0</v>
      </c>
      <c r="CM194" s="5">
        <f>IF($BI194&lt;&gt;"",IF('Capacity summary'!$C$14="Yes",IF(COUNTBLANK('Capacity summary'!$H106:$BG106)&lt;52,IF('Capacity summary'!AJ106&lt;&gt;"",IF(LOWER('Capacity summary'!AJ106)="x",$BI194*AJ194,VALUE('Capacity summary'!AJ106)),0),AJ194*$BI194),AJ194*$BI194),0)</f>
        <v>0</v>
      </c>
      <c r="CN194" s="5">
        <f>IF($BI194&lt;&gt;"",IF('Capacity summary'!$C$14="Yes",IF(COUNTBLANK('Capacity summary'!$H106:$BG106)&lt;52,IF('Capacity summary'!AK106&lt;&gt;"",IF(LOWER('Capacity summary'!AK106)="x",$BI194*AK194,VALUE('Capacity summary'!AK106)),0),AK194*$BI194),AK194*$BI194),0)</f>
        <v>0</v>
      </c>
      <c r="CO194" s="5">
        <f>IF($BI194&lt;&gt;"",IF('Capacity summary'!$C$14="Yes",IF(COUNTBLANK('Capacity summary'!$H106:$BG106)&lt;52,IF('Capacity summary'!AL106&lt;&gt;"",IF(LOWER('Capacity summary'!AL106)="x",$BI194*AL194,VALUE('Capacity summary'!AL106)),0),AL194*$BI194),AL194*$BI194),0)</f>
        <v>0</v>
      </c>
      <c r="CP194" s="5">
        <f>IF($BI194&lt;&gt;"",IF('Capacity summary'!$C$14="Yes",IF(COUNTBLANK('Capacity summary'!$H106:$BG106)&lt;52,IF('Capacity summary'!AM106&lt;&gt;"",IF(LOWER('Capacity summary'!AM106)="x",$BI194*AM194,VALUE('Capacity summary'!AM106)),0),AM194*$BI194),AM194*$BI194),0)</f>
        <v>0</v>
      </c>
      <c r="CQ194" s="5">
        <f>IF($BI194&lt;&gt;"",IF('Capacity summary'!$C$14="Yes",IF(COUNTBLANK('Capacity summary'!$H106:$BG106)&lt;52,IF('Capacity summary'!AN106&lt;&gt;"",IF(LOWER('Capacity summary'!AN106)="x",$BI194*AN194,VALUE('Capacity summary'!AN106)),0),AN194*$BI194),AN194*$BI194),0)</f>
        <v>0</v>
      </c>
      <c r="CR194" s="5">
        <f>IF($BI194&lt;&gt;"",IF('Capacity summary'!$C$14="Yes",IF(COUNTBLANK('Capacity summary'!$H106:$BG106)&lt;52,IF('Capacity summary'!AO106&lt;&gt;"",IF(LOWER('Capacity summary'!AO106)="x",$BI194*AO194,VALUE('Capacity summary'!AO106)),0),AO194*$BI194),AO194*$BI194),0)</f>
        <v>0</v>
      </c>
      <c r="CS194" s="5">
        <f>IF($BI194&lt;&gt;"",IF('Capacity summary'!$C$14="Yes",IF(COUNTBLANK('Capacity summary'!$H106:$BG106)&lt;52,IF('Capacity summary'!AP106&lt;&gt;"",IF(LOWER('Capacity summary'!AP106)="x",$BI194*AP194,VALUE('Capacity summary'!AP106)),0),AP194*$BI194),AP194*$BI194),0)</f>
        <v>0</v>
      </c>
      <c r="CT194" s="5">
        <f>IF($BI194&lt;&gt;"",IF('Capacity summary'!$C$14="Yes",IF(COUNTBLANK('Capacity summary'!$H106:$BG106)&lt;52,IF('Capacity summary'!AQ106&lt;&gt;"",IF(LOWER('Capacity summary'!AQ106)="x",$BI194*AQ194,VALUE('Capacity summary'!AQ106)),0),AQ194*$BI194),AQ194*$BI194),0)</f>
        <v>0</v>
      </c>
      <c r="CU194" s="5">
        <f>IF($BI194&lt;&gt;"",IF('Capacity summary'!$C$14="Yes",IF(COUNTBLANK('Capacity summary'!$H106:$BG106)&lt;52,IF('Capacity summary'!AR106&lt;&gt;"",IF(LOWER('Capacity summary'!AR106)="x",$BI194*AR194,VALUE('Capacity summary'!AR106)),0),AR194*$BI194),AR194*$BI194),0)</f>
        <v>0</v>
      </c>
      <c r="CV194" s="5">
        <f>IF($BI194&lt;&gt;"",IF('Capacity summary'!$C$14="Yes",IF(COUNTBLANK('Capacity summary'!$H106:$BG106)&lt;52,IF('Capacity summary'!AS106&lt;&gt;"",IF(LOWER('Capacity summary'!AS106)="x",$BI194*AS194,VALUE('Capacity summary'!AS106)),0),AS194*$BI194),AS194*$BI194),0)</f>
        <v>0</v>
      </c>
      <c r="CW194" s="5">
        <f>IF($BI194&lt;&gt;"",IF('Capacity summary'!$C$14="Yes",IF(COUNTBLANK('Capacity summary'!$H106:$BG106)&lt;52,IF('Capacity summary'!AT106&lt;&gt;"",IF(LOWER('Capacity summary'!AT106)="x",$BI194*AT194,VALUE('Capacity summary'!AT106)),0),AT194*$BI194),AT194*$BI194),0)</f>
        <v>0</v>
      </c>
      <c r="CX194" s="5">
        <f>IF($BI194&lt;&gt;"",IF('Capacity summary'!$C$14="Yes",IF(COUNTBLANK('Capacity summary'!$H106:$BG106)&lt;52,IF('Capacity summary'!AU106&lt;&gt;"",IF(LOWER('Capacity summary'!AU106)="x",$BI194*AU194,VALUE('Capacity summary'!AU106)),0),AU194*$BI194),AU194*$BI194),0)</f>
        <v>0</v>
      </c>
      <c r="CY194" s="5">
        <f>IF($BI194&lt;&gt;"",IF('Capacity summary'!$C$14="Yes",IF(COUNTBLANK('Capacity summary'!$H106:$BG106)&lt;52,IF('Capacity summary'!AV106&lt;&gt;"",IF(LOWER('Capacity summary'!AV106)="x",$BI194*AV194,VALUE('Capacity summary'!AV106)),0),AV194*$BI194),AV194*$BI194),0)</f>
        <v>0</v>
      </c>
      <c r="CZ194" s="5">
        <f>IF($BI194&lt;&gt;"",IF('Capacity summary'!$C$14="Yes",IF(COUNTBLANK('Capacity summary'!$H106:$BG106)&lt;52,IF('Capacity summary'!AW106&lt;&gt;"",IF(LOWER('Capacity summary'!AW106)="x",$BI194*AW194,VALUE('Capacity summary'!AW106)),0),AW194*$BI194),AW194*$BI194),0)</f>
        <v>0</v>
      </c>
      <c r="DA194" s="5">
        <f>IF($BI194&lt;&gt;"",IF('Capacity summary'!$C$14="Yes",IF(COUNTBLANK('Capacity summary'!$H106:$BG106)&lt;52,IF('Capacity summary'!AX106&lt;&gt;"",IF(LOWER('Capacity summary'!AX106)="x",$BI194*AX194,VALUE('Capacity summary'!AX106)),0),AX194*$BI194),AX194*$BI194),0)</f>
        <v>0</v>
      </c>
      <c r="DB194" s="5">
        <f>IF($BI194&lt;&gt;"",IF('Capacity summary'!$C$14="Yes",IF(COUNTBLANK('Capacity summary'!$H106:$BG106)&lt;52,IF('Capacity summary'!AY106&lt;&gt;"",IF(LOWER('Capacity summary'!AY106)="x",$BI194*AY194,VALUE('Capacity summary'!AY106)),0),AY194*$BI194),AY194*$BI194),0)</f>
        <v>0</v>
      </c>
      <c r="DC194" s="5">
        <f>IF($BI194&lt;&gt;"",IF('Capacity summary'!$C$14="Yes",IF(COUNTBLANK('Capacity summary'!$H106:$BG106)&lt;52,IF('Capacity summary'!AZ106&lt;&gt;"",IF(LOWER('Capacity summary'!AZ106)="x",$BI194*AZ194,VALUE('Capacity summary'!AZ106)),0),AZ194*$BI194),AZ194*$BI194),0)</f>
        <v>0</v>
      </c>
      <c r="DD194" s="5">
        <f>IF($BI194&lt;&gt;"",IF('Capacity summary'!$C$14="Yes",IF(COUNTBLANK('Capacity summary'!$H106:$BG106)&lt;52,IF('Capacity summary'!BA106&lt;&gt;"",IF(LOWER('Capacity summary'!BA106)="x",$BI194*BA194,VALUE('Capacity summary'!BA106)),0),BA194*$BI194),BA194*$BI194),0)</f>
        <v>0</v>
      </c>
      <c r="DE194" s="5">
        <f>IF($BI194&lt;&gt;"",IF('Capacity summary'!$C$14="Yes",IF(COUNTBLANK('Capacity summary'!$H106:$BG106)&lt;52,IF('Capacity summary'!BB106&lt;&gt;"",IF(LOWER('Capacity summary'!BB106)="x",$BI194*BB194,VALUE('Capacity summary'!BB106)),0),BB194*$BI194),BB194*$BI194),0)</f>
        <v>0</v>
      </c>
      <c r="DF194" s="5">
        <f>IF($BI194&lt;&gt;"",IF('Capacity summary'!$C$14="Yes",IF(COUNTBLANK('Capacity summary'!$H106:$BG106)&lt;52,IF('Capacity summary'!BC106&lt;&gt;"",IF(LOWER('Capacity summary'!BC106)="x",$BI194*BC194,VALUE('Capacity summary'!BC106)),0),BC194*$BI194),BC194*$BI194),0)</f>
        <v>0</v>
      </c>
      <c r="DG194" s="5">
        <f>IF($BI194&lt;&gt;"",IF('Capacity summary'!$C$14="Yes",IF(COUNTBLANK('Capacity summary'!$H106:$BG106)&lt;52,IF('Capacity summary'!BD106&lt;&gt;"",IF(LOWER('Capacity summary'!BD106)="x",$BI194*BD194,VALUE('Capacity summary'!BD106)),0),BD194*$BI194),BD194*$BI194),0)</f>
        <v>0</v>
      </c>
      <c r="DH194" s="5">
        <f>IF($BI194&lt;&gt;"",IF('Capacity summary'!$C$14="Yes",IF(COUNTBLANK('Capacity summary'!$H106:$BG106)&lt;52,IF('Capacity summary'!BE106&lt;&gt;"",IF(LOWER('Capacity summary'!BE106)="x",$BI194*BE194,VALUE('Capacity summary'!BE106)),0),BE194*$BI194),BE194*$BI194),0)</f>
        <v>0</v>
      </c>
      <c r="DI194" s="5">
        <f>IF($BI194&lt;&gt;"",IF('Capacity summary'!$C$14="Yes",IF(COUNTBLANK('Capacity summary'!$H106:$BG106)&lt;52,IF('Capacity summary'!BF106&lt;&gt;"",IF(LOWER('Capacity summary'!BF106)="x",$BI194*BF194,VALUE('Capacity summary'!BF106)),0),BF194*$BI194),BF194*$BI194),0)</f>
        <v>0</v>
      </c>
      <c r="DJ194" s="5">
        <f>IF($BI194&lt;&gt;"",IF('Capacity summary'!$C$14="Yes",IF(COUNTBLANK('Capacity summary'!$H106:$BG106)&lt;52,IF('Capacity summary'!BG106&lt;&gt;"",IF(LOWER('Capacity summary'!BG106)="x",$BI194*BG194,VALUE('Capacity summary'!BG106)),0),BG194*$BI194),BG194*$BI194),0)</f>
        <v>0</v>
      </c>
      <c r="DK194" s="391">
        <f t="shared" si="10"/>
        <v>0</v>
      </c>
      <c r="DL194" s="5">
        <f t="shared" si="11"/>
        <v>0</v>
      </c>
    </row>
    <row r="195" spans="3:116" x14ac:dyDescent="0.2">
      <c r="C195" s="67" t="str">
        <f>ROW(A84)&amp;". "&amp;Capacity!N100</f>
        <v xml:space="preserve">84. </v>
      </c>
      <c r="D195" s="67">
        <f>'Capacity setup'!C201</f>
        <v>0</v>
      </c>
      <c r="E195" s="67">
        <f>'Capacity setup'!D201</f>
        <v>0</v>
      </c>
      <c r="F195" s="67">
        <f>'Capacity setup'!E201</f>
        <v>0</v>
      </c>
      <c r="H195" s="67">
        <f ca="1">IF(LOWER(Capacity!$V100)="x",IF(AND(SUMIF(Capacity_Resource,$D195,'Critical resources (hide)'!U$6:U$105)+SUMIF(Capacity_Resource,$E195,'Critical resources (hide)'!U$6:U$105)+SUMIF(Capacity_Resource,$F195,'Critical resources (hide)'!U$6:U$105)&gt;0,$E$1=2),0,1),0)</f>
        <v>1</v>
      </c>
      <c r="I195" s="67">
        <f ca="1">IF(LOWER(Capacity!$V100)="x",IF(AND(SUMIF(Capacity_Resource,$D195,'Critical resources (hide)'!V$6:V$105)+SUMIF(Capacity_Resource,$E195,'Critical resources (hide)'!V$6:V$105)+SUMIF(Capacity_Resource,$F195,'Critical resources (hide)'!V$6:V$105)&gt;0,$E$1=2),0,1),0)</f>
        <v>1</v>
      </c>
      <c r="J195" s="67">
        <f ca="1">IF(LOWER(Capacity!$V100)="x",IF(AND(SUMIF(Capacity_Resource,$D195,'Critical resources (hide)'!W$6:W$105)+SUMIF(Capacity_Resource,$E195,'Critical resources (hide)'!W$6:W$105)+SUMIF(Capacity_Resource,$F195,'Critical resources (hide)'!W$6:W$105)&gt;0,$E$1=2),0,1),0)</f>
        <v>1</v>
      </c>
      <c r="K195" s="67">
        <f ca="1">IF(LOWER(Capacity!$V100)="x",IF(AND(SUMIF(Capacity_Resource,$D195,'Critical resources (hide)'!X$6:X$105)+SUMIF(Capacity_Resource,$E195,'Critical resources (hide)'!X$6:X$105)+SUMIF(Capacity_Resource,$F195,'Critical resources (hide)'!X$6:X$105)&gt;0,$E$1=2),0,1),0)</f>
        <v>1</v>
      </c>
      <c r="L195" s="67">
        <f ca="1">IF(LOWER(Capacity!$V100)="x",IF(AND(SUMIF(Capacity_Resource,$D195,'Critical resources (hide)'!Y$6:Y$105)+SUMIF(Capacity_Resource,$E195,'Critical resources (hide)'!Y$6:Y$105)+SUMIF(Capacity_Resource,$F195,'Critical resources (hide)'!Y$6:Y$105)&gt;0,$E$1=2),0,1),0)</f>
        <v>1</v>
      </c>
      <c r="M195" s="67">
        <f ca="1">IF(LOWER(Capacity!$V100)="x",IF(AND(SUMIF(Capacity_Resource,$D195,'Critical resources (hide)'!Z$6:Z$105)+SUMIF(Capacity_Resource,$E195,'Critical resources (hide)'!Z$6:Z$105)+SUMIF(Capacity_Resource,$F195,'Critical resources (hide)'!Z$6:Z$105)&gt;0,$E$1=2),0,1),0)</f>
        <v>1</v>
      </c>
      <c r="N195" s="67">
        <f ca="1">IF(LOWER(Capacity!$V100)="x",IF(AND(SUMIF(Capacity_Resource,$D195,'Critical resources (hide)'!AA$6:AA$105)+SUMIF(Capacity_Resource,$E195,'Critical resources (hide)'!AA$6:AA$105)+SUMIF(Capacity_Resource,$F195,'Critical resources (hide)'!AA$6:AA$105)&gt;0,$E$1=2),0,1),0)</f>
        <v>1</v>
      </c>
      <c r="O195" s="67">
        <f ca="1">IF(LOWER(Capacity!$V100)="x",IF(AND(SUMIF(Capacity_Resource,$D195,'Critical resources (hide)'!AB$6:AB$105)+SUMIF(Capacity_Resource,$E195,'Critical resources (hide)'!AB$6:AB$105)+SUMIF(Capacity_Resource,$F195,'Critical resources (hide)'!AB$6:AB$105)&gt;0,$E$1=2),0,1),0)</f>
        <v>1</v>
      </c>
      <c r="P195" s="67">
        <f ca="1">IF(LOWER(Capacity!$V100)="x",IF(AND(SUMIF(Capacity_Resource,$D195,'Critical resources (hide)'!AC$6:AC$105)+SUMIF(Capacity_Resource,$E195,'Critical resources (hide)'!AC$6:AC$105)+SUMIF(Capacity_Resource,$F195,'Critical resources (hide)'!AC$6:AC$105)&gt;0,$E$1=2),0,1),0)</f>
        <v>1</v>
      </c>
      <c r="Q195" s="67">
        <f ca="1">IF(LOWER(Capacity!$V100)="x",IF(AND(SUMIF(Capacity_Resource,$D195,'Critical resources (hide)'!AD$6:AD$105)+SUMIF(Capacity_Resource,$E195,'Critical resources (hide)'!AD$6:AD$105)+SUMIF(Capacity_Resource,$F195,'Critical resources (hide)'!AD$6:AD$105)&gt;0,$E$1=2),0,1),0)</f>
        <v>1</v>
      </c>
      <c r="R195" s="67">
        <f ca="1">IF(LOWER(Capacity!$V100)="x",IF(AND(SUMIF(Capacity_Resource,$D195,'Critical resources (hide)'!AE$6:AE$105)+SUMIF(Capacity_Resource,$E195,'Critical resources (hide)'!AE$6:AE$105)+SUMIF(Capacity_Resource,$F195,'Critical resources (hide)'!AE$6:AE$105)&gt;0,$E$1=2),0,1),0)</f>
        <v>1</v>
      </c>
      <c r="S195" s="67">
        <f ca="1">IF(LOWER(Capacity!$V100)="x",IF(AND(SUMIF(Capacity_Resource,$D195,'Critical resources (hide)'!AF$6:AF$105)+SUMIF(Capacity_Resource,$E195,'Critical resources (hide)'!AF$6:AF$105)+SUMIF(Capacity_Resource,$F195,'Critical resources (hide)'!AF$6:AF$105)&gt;0,$E$1=2),0,1),0)</f>
        <v>1</v>
      </c>
      <c r="T195" s="67">
        <f ca="1">IF(LOWER(Capacity!$V100)="x",IF(AND(SUMIF(Capacity_Resource,$D195,'Critical resources (hide)'!AG$6:AG$105)+SUMIF(Capacity_Resource,$E195,'Critical resources (hide)'!AG$6:AG$105)+SUMIF(Capacity_Resource,$F195,'Critical resources (hide)'!AG$6:AG$105)&gt;0,$E$1=2),0,1),0)</f>
        <v>1</v>
      </c>
      <c r="U195" s="67">
        <f ca="1">IF(LOWER(Capacity!$V100)="x",IF(AND(SUMIF(Capacity_Resource,$D195,'Critical resources (hide)'!AH$6:AH$105)+SUMIF(Capacity_Resource,$E195,'Critical resources (hide)'!AH$6:AH$105)+SUMIF(Capacity_Resource,$F195,'Critical resources (hide)'!AH$6:AH$105)&gt;0,$E$1=2),0,1),0)</f>
        <v>1</v>
      </c>
      <c r="V195" s="67">
        <f ca="1">IF(LOWER(Capacity!$V100)="x",IF(AND(SUMIF(Capacity_Resource,$D195,'Critical resources (hide)'!AI$6:AI$105)+SUMIF(Capacity_Resource,$E195,'Critical resources (hide)'!AI$6:AI$105)+SUMIF(Capacity_Resource,$F195,'Critical resources (hide)'!AI$6:AI$105)&gt;0,$E$1=2),0,1),0)</f>
        <v>1</v>
      </c>
      <c r="W195" s="67">
        <f ca="1">IF(LOWER(Capacity!$V100)="x",IF(AND(SUMIF(Capacity_Resource,$D195,'Critical resources (hide)'!AJ$6:AJ$105)+SUMIF(Capacity_Resource,$E195,'Critical resources (hide)'!AJ$6:AJ$105)+SUMIF(Capacity_Resource,$F195,'Critical resources (hide)'!AJ$6:AJ$105)&gt;0,$E$1=2),0,1),0)</f>
        <v>1</v>
      </c>
      <c r="X195" s="67">
        <f ca="1">IF(LOWER(Capacity!$V100)="x",IF(AND(SUMIF(Capacity_Resource,$D195,'Critical resources (hide)'!AK$6:AK$105)+SUMIF(Capacity_Resource,$E195,'Critical resources (hide)'!AK$6:AK$105)+SUMIF(Capacity_Resource,$F195,'Critical resources (hide)'!AK$6:AK$105)&gt;0,$E$1=2),0,1),0)</f>
        <v>1</v>
      </c>
      <c r="Y195" s="67">
        <f ca="1">IF(LOWER(Capacity!$V100)="x",IF(AND(SUMIF(Capacity_Resource,$D195,'Critical resources (hide)'!AL$6:AL$105)+SUMIF(Capacity_Resource,$E195,'Critical resources (hide)'!AL$6:AL$105)+SUMIF(Capacity_Resource,$F195,'Critical resources (hide)'!AL$6:AL$105)&gt;0,$E$1=2),0,1),0)</f>
        <v>1</v>
      </c>
      <c r="Z195" s="67">
        <f ca="1">IF(LOWER(Capacity!$V100)="x",IF(AND(SUMIF(Capacity_Resource,$D195,'Critical resources (hide)'!AM$6:AM$105)+SUMIF(Capacity_Resource,$E195,'Critical resources (hide)'!AM$6:AM$105)+SUMIF(Capacity_Resource,$F195,'Critical resources (hide)'!AM$6:AM$105)&gt;0,$E$1=2),0,1),0)</f>
        <v>1</v>
      </c>
      <c r="AA195" s="67">
        <f ca="1">IF(LOWER(Capacity!$V100)="x",IF(AND(SUMIF(Capacity_Resource,$D195,'Critical resources (hide)'!AN$6:AN$105)+SUMIF(Capacity_Resource,$E195,'Critical resources (hide)'!AN$6:AN$105)+SUMIF(Capacity_Resource,$F195,'Critical resources (hide)'!AN$6:AN$105)&gt;0,$E$1=2),0,1),0)</f>
        <v>1</v>
      </c>
      <c r="AB195" s="67">
        <f ca="1">IF(LOWER(Capacity!$V100)="x",IF(AND(SUMIF(Capacity_Resource,$D195,'Critical resources (hide)'!AO$6:AO$105)+SUMIF(Capacity_Resource,$E195,'Critical resources (hide)'!AO$6:AO$105)+SUMIF(Capacity_Resource,$F195,'Critical resources (hide)'!AO$6:AO$105)&gt;0,$E$1=2),0,1),0)</f>
        <v>1</v>
      </c>
      <c r="AC195" s="67">
        <f ca="1">IF(LOWER(Capacity!$V100)="x",IF(AND(SUMIF(Capacity_Resource,$D195,'Critical resources (hide)'!AP$6:AP$105)+SUMIF(Capacity_Resource,$E195,'Critical resources (hide)'!AP$6:AP$105)+SUMIF(Capacity_Resource,$F195,'Critical resources (hide)'!AP$6:AP$105)&gt;0,$E$1=2),0,1),0)</f>
        <v>1</v>
      </c>
      <c r="AD195" s="67">
        <f ca="1">IF(LOWER(Capacity!$V100)="x",IF(AND(SUMIF(Capacity_Resource,$D195,'Critical resources (hide)'!AQ$6:AQ$105)+SUMIF(Capacity_Resource,$E195,'Critical resources (hide)'!AQ$6:AQ$105)+SUMIF(Capacity_Resource,$F195,'Critical resources (hide)'!AQ$6:AQ$105)&gt;0,$E$1=2),0,1),0)</f>
        <v>1</v>
      </c>
      <c r="AE195" s="67">
        <f ca="1">IF(LOWER(Capacity!$V100)="x",IF(AND(SUMIF(Capacity_Resource,$D195,'Critical resources (hide)'!AR$6:AR$105)+SUMIF(Capacity_Resource,$E195,'Critical resources (hide)'!AR$6:AR$105)+SUMIF(Capacity_Resource,$F195,'Critical resources (hide)'!AR$6:AR$105)&gt;0,$E$1=2),0,1),0)</f>
        <v>1</v>
      </c>
      <c r="AF195" s="67">
        <f ca="1">IF(LOWER(Capacity!$V100)="x",IF(AND(SUMIF(Capacity_Resource,$D195,'Critical resources (hide)'!AS$6:AS$105)+SUMIF(Capacity_Resource,$E195,'Critical resources (hide)'!AS$6:AS$105)+SUMIF(Capacity_Resource,$F195,'Critical resources (hide)'!AS$6:AS$105)&gt;0,$E$1=2),0,1),0)</f>
        <v>1</v>
      </c>
      <c r="AG195" s="67">
        <f ca="1">IF(LOWER(Capacity!$V100)="x",IF(AND(SUMIF(Capacity_Resource,$D195,'Critical resources (hide)'!AT$6:AT$105)+SUMIF(Capacity_Resource,$E195,'Critical resources (hide)'!AT$6:AT$105)+SUMIF(Capacity_Resource,$F195,'Critical resources (hide)'!AT$6:AT$105)&gt;0,$E$1=2),0,1),0)</f>
        <v>1</v>
      </c>
      <c r="AH195" s="67">
        <f ca="1">IF(LOWER(Capacity!$V100)="x",IF(AND(SUMIF(Capacity_Resource,$D195,'Critical resources (hide)'!AU$6:AU$105)+SUMIF(Capacity_Resource,$E195,'Critical resources (hide)'!AU$6:AU$105)+SUMIF(Capacity_Resource,$F195,'Critical resources (hide)'!AU$6:AU$105)&gt;0,$E$1=2),0,1),0)</f>
        <v>1</v>
      </c>
      <c r="AI195" s="67">
        <f ca="1">IF(LOWER(Capacity!$V100)="x",IF(AND(SUMIF(Capacity_Resource,$D195,'Critical resources (hide)'!AV$6:AV$105)+SUMIF(Capacity_Resource,$E195,'Critical resources (hide)'!AV$6:AV$105)+SUMIF(Capacity_Resource,$F195,'Critical resources (hide)'!AV$6:AV$105)&gt;0,$E$1=2),0,1),0)</f>
        <v>1</v>
      </c>
      <c r="AJ195" s="67">
        <f ca="1">IF(LOWER(Capacity!$V100)="x",IF(AND(SUMIF(Capacity_Resource,$D195,'Critical resources (hide)'!AW$6:AW$105)+SUMIF(Capacity_Resource,$E195,'Critical resources (hide)'!AW$6:AW$105)+SUMIF(Capacity_Resource,$F195,'Critical resources (hide)'!AW$6:AW$105)&gt;0,$E$1=2),0,1),0)</f>
        <v>1</v>
      </c>
      <c r="AK195" s="67">
        <f ca="1">IF(LOWER(Capacity!$V100)="x",IF(AND(SUMIF(Capacity_Resource,$D195,'Critical resources (hide)'!AX$6:AX$105)+SUMIF(Capacity_Resource,$E195,'Critical resources (hide)'!AX$6:AX$105)+SUMIF(Capacity_Resource,$F195,'Critical resources (hide)'!AX$6:AX$105)&gt;0,$E$1=2),0,1),0)</f>
        <v>1</v>
      </c>
      <c r="AL195" s="67">
        <f ca="1">IF(LOWER(Capacity!$V100)="x",IF(AND(SUMIF(Capacity_Resource,$D195,'Critical resources (hide)'!AY$6:AY$105)+SUMIF(Capacity_Resource,$E195,'Critical resources (hide)'!AY$6:AY$105)+SUMIF(Capacity_Resource,$F195,'Critical resources (hide)'!AY$6:AY$105)&gt;0,$E$1=2),0,1),0)</f>
        <v>1</v>
      </c>
      <c r="AM195" s="67">
        <f ca="1">IF(LOWER(Capacity!$V100)="x",IF(AND(SUMIF(Capacity_Resource,$D195,'Critical resources (hide)'!AZ$6:AZ$105)+SUMIF(Capacity_Resource,$E195,'Critical resources (hide)'!AZ$6:AZ$105)+SUMIF(Capacity_Resource,$F195,'Critical resources (hide)'!AZ$6:AZ$105)&gt;0,$E$1=2),0,1),0)</f>
        <v>1</v>
      </c>
      <c r="AN195" s="67">
        <f ca="1">IF(LOWER(Capacity!$V100)="x",IF(AND(SUMIF(Capacity_Resource,$D195,'Critical resources (hide)'!BA$6:BA$105)+SUMIF(Capacity_Resource,$E195,'Critical resources (hide)'!BA$6:BA$105)+SUMIF(Capacity_Resource,$F195,'Critical resources (hide)'!BA$6:BA$105)&gt;0,$E$1=2),0,1),0)</f>
        <v>1</v>
      </c>
      <c r="AO195" s="67">
        <f ca="1">IF(LOWER(Capacity!$V100)="x",IF(AND(SUMIF(Capacity_Resource,$D195,'Critical resources (hide)'!BB$6:BB$105)+SUMIF(Capacity_Resource,$E195,'Critical resources (hide)'!BB$6:BB$105)+SUMIF(Capacity_Resource,$F195,'Critical resources (hide)'!BB$6:BB$105)&gt;0,$E$1=2),0,1),0)</f>
        <v>1</v>
      </c>
      <c r="AP195" s="67">
        <f ca="1">IF(LOWER(Capacity!$V100)="x",IF(AND(SUMIF(Capacity_Resource,$D195,'Critical resources (hide)'!BC$6:BC$105)+SUMIF(Capacity_Resource,$E195,'Critical resources (hide)'!BC$6:BC$105)+SUMIF(Capacity_Resource,$F195,'Critical resources (hide)'!BC$6:BC$105)&gt;0,$E$1=2),0,1),0)</f>
        <v>1</v>
      </c>
      <c r="AQ195" s="67">
        <f ca="1">IF(LOWER(Capacity!$V100)="x",IF(AND(SUMIF(Capacity_Resource,$D195,'Critical resources (hide)'!BD$6:BD$105)+SUMIF(Capacity_Resource,$E195,'Critical resources (hide)'!BD$6:BD$105)+SUMIF(Capacity_Resource,$F195,'Critical resources (hide)'!BD$6:BD$105)&gt;0,$E$1=2),0,1),0)</f>
        <v>1</v>
      </c>
      <c r="AR195" s="67">
        <f ca="1">IF(LOWER(Capacity!$V100)="x",IF(AND(SUMIF(Capacity_Resource,$D195,'Critical resources (hide)'!BE$6:BE$105)+SUMIF(Capacity_Resource,$E195,'Critical resources (hide)'!BE$6:BE$105)+SUMIF(Capacity_Resource,$F195,'Critical resources (hide)'!BE$6:BE$105)&gt;0,$E$1=2),0,1),0)</f>
        <v>1</v>
      </c>
      <c r="AS195" s="67">
        <f ca="1">IF(LOWER(Capacity!$V100)="x",IF(AND(SUMIF(Capacity_Resource,$D195,'Critical resources (hide)'!BF$6:BF$105)+SUMIF(Capacity_Resource,$E195,'Critical resources (hide)'!BF$6:BF$105)+SUMIF(Capacity_Resource,$F195,'Critical resources (hide)'!BF$6:BF$105)&gt;0,$E$1=2),0,1),0)</f>
        <v>1</v>
      </c>
      <c r="AT195" s="67">
        <f ca="1">IF(LOWER(Capacity!$V100)="x",IF(AND(SUMIF(Capacity_Resource,$D195,'Critical resources (hide)'!BG$6:BG$105)+SUMIF(Capacity_Resource,$E195,'Critical resources (hide)'!BG$6:BG$105)+SUMIF(Capacity_Resource,$F195,'Critical resources (hide)'!BG$6:BG$105)&gt;0,$E$1=2),0,1),0)</f>
        <v>1</v>
      </c>
      <c r="AU195" s="67">
        <f ca="1">IF(LOWER(Capacity!$V100)="x",IF(AND(SUMIF(Capacity_Resource,$D195,'Critical resources (hide)'!BH$6:BH$105)+SUMIF(Capacity_Resource,$E195,'Critical resources (hide)'!BH$6:BH$105)+SUMIF(Capacity_Resource,$F195,'Critical resources (hide)'!BH$6:BH$105)&gt;0,$E$1=2),0,1),0)</f>
        <v>1</v>
      </c>
      <c r="AV195" s="67">
        <f ca="1">IF(LOWER(Capacity!$V100)="x",IF(AND(SUMIF(Capacity_Resource,$D195,'Critical resources (hide)'!BI$6:BI$105)+SUMIF(Capacity_Resource,$E195,'Critical resources (hide)'!BI$6:BI$105)+SUMIF(Capacity_Resource,$F195,'Critical resources (hide)'!BI$6:BI$105)&gt;0,$E$1=2),0,1),0)</f>
        <v>1</v>
      </c>
      <c r="AW195" s="67">
        <f ca="1">IF(LOWER(Capacity!$V100)="x",IF(AND(SUMIF(Capacity_Resource,$D195,'Critical resources (hide)'!BJ$6:BJ$105)+SUMIF(Capacity_Resource,$E195,'Critical resources (hide)'!BJ$6:BJ$105)+SUMIF(Capacity_Resource,$F195,'Critical resources (hide)'!BJ$6:BJ$105)&gt;0,$E$1=2),0,1),0)</f>
        <v>1</v>
      </c>
      <c r="AX195" s="67">
        <f ca="1">IF(LOWER(Capacity!$V100)="x",IF(AND(SUMIF(Capacity_Resource,$D195,'Critical resources (hide)'!BK$6:BK$105)+SUMIF(Capacity_Resource,$E195,'Critical resources (hide)'!BK$6:BK$105)+SUMIF(Capacity_Resource,$F195,'Critical resources (hide)'!BK$6:BK$105)&gt;0,$E$1=2),0,1),0)</f>
        <v>1</v>
      </c>
      <c r="AY195" s="67">
        <f ca="1">IF(LOWER(Capacity!$V100)="x",IF(AND(SUMIF(Capacity_Resource,$D195,'Critical resources (hide)'!BL$6:BL$105)+SUMIF(Capacity_Resource,$E195,'Critical resources (hide)'!BL$6:BL$105)+SUMIF(Capacity_Resource,$F195,'Critical resources (hide)'!BL$6:BL$105)&gt;0,$E$1=2),0,1),0)</f>
        <v>1</v>
      </c>
      <c r="AZ195" s="67">
        <f ca="1">IF(LOWER(Capacity!$V100)="x",IF(AND(SUMIF(Capacity_Resource,$D195,'Critical resources (hide)'!BM$6:BM$105)+SUMIF(Capacity_Resource,$E195,'Critical resources (hide)'!BM$6:BM$105)+SUMIF(Capacity_Resource,$F195,'Critical resources (hide)'!BM$6:BM$105)&gt;0,$E$1=2),0,1),0)</f>
        <v>1</v>
      </c>
      <c r="BA195" s="67">
        <f ca="1">IF(LOWER(Capacity!$V100)="x",IF(AND(SUMIF(Capacity_Resource,$D195,'Critical resources (hide)'!BN$6:BN$105)+SUMIF(Capacity_Resource,$E195,'Critical resources (hide)'!BN$6:BN$105)+SUMIF(Capacity_Resource,$F195,'Critical resources (hide)'!BN$6:BN$105)&gt;0,$E$1=2),0,1),0)</f>
        <v>1</v>
      </c>
      <c r="BB195" s="67">
        <f ca="1">IF(LOWER(Capacity!$V100)="x",IF(AND(SUMIF(Capacity_Resource,$D195,'Critical resources (hide)'!BO$6:BO$105)+SUMIF(Capacity_Resource,$E195,'Critical resources (hide)'!BO$6:BO$105)+SUMIF(Capacity_Resource,$F195,'Critical resources (hide)'!BO$6:BO$105)&gt;0,$E$1=2),0,1),0)</f>
        <v>1</v>
      </c>
      <c r="BC195" s="67">
        <f ca="1">IF(LOWER(Capacity!$V100)="x",IF(AND(SUMIF(Capacity_Resource,$D195,'Critical resources (hide)'!BP$6:BP$105)+SUMIF(Capacity_Resource,$E195,'Critical resources (hide)'!BP$6:BP$105)+SUMIF(Capacity_Resource,$F195,'Critical resources (hide)'!BP$6:BP$105)&gt;0,$E$1=2),0,1),0)</f>
        <v>1</v>
      </c>
      <c r="BD195" s="67">
        <f ca="1">IF(LOWER(Capacity!$V100)="x",IF(AND(SUMIF(Capacity_Resource,$D195,'Critical resources (hide)'!BQ$6:BQ$105)+SUMIF(Capacity_Resource,$E195,'Critical resources (hide)'!BQ$6:BQ$105)+SUMIF(Capacity_Resource,$F195,'Critical resources (hide)'!BQ$6:BQ$105)&gt;0,$E$1=2),0,1),0)</f>
        <v>1</v>
      </c>
      <c r="BE195" s="67">
        <f ca="1">IF(LOWER(Capacity!$V100)="x",IF(AND(SUMIF(Capacity_Resource,$D195,'Critical resources (hide)'!BR$6:BR$105)+SUMIF(Capacity_Resource,$E195,'Critical resources (hide)'!BR$6:BR$105)+SUMIF(Capacity_Resource,$F195,'Critical resources (hide)'!BR$6:BR$105)&gt;0,$E$1=2),0,1),0)</f>
        <v>1</v>
      </c>
      <c r="BF195" s="67">
        <f ca="1">IF(LOWER(Capacity!$V100)="x",IF(AND(SUMIF(Capacity_Resource,$D195,'Critical resources (hide)'!BS$6:BS$105)+SUMIF(Capacity_Resource,$E195,'Critical resources (hide)'!BS$6:BS$105)+SUMIF(Capacity_Resource,$F195,'Critical resources (hide)'!BS$6:BS$105)&gt;0,$E$1=2),0,1),0)</f>
        <v>1</v>
      </c>
      <c r="BG195" s="67">
        <f ca="1">IF(LOWER(Capacity!$V100)="x",IF(AND(SUMIF(Capacity_Resource,$D195,'Critical resources (hide)'!BT$6:BT$105)+SUMIF(Capacity_Resource,$E195,'Critical resources (hide)'!BT$6:BT$105)+SUMIF(Capacity_Resource,$F195,'Critical resources (hide)'!BT$6:BT$105)&gt;0,$E$1=2),0,1),0)</f>
        <v>1</v>
      </c>
      <c r="BH195" s="67">
        <f>IF(ROW(A84)&lt;=Capacity!$M$16,IF('Capacity summary'!$C$14="No",SUM(H195:BG195),'Capacity summary'!$E107),0)</f>
        <v>0</v>
      </c>
      <c r="BI195" s="67" t="str">
        <f>IF(BH195&gt;0,IF(BH195&lt;Capacity!Q100,Capacity!R100,Capacity!T100/'Capacity calculation (hide)'!BH195),"")</f>
        <v/>
      </c>
      <c r="BJ195" s="5"/>
      <c r="BK195" s="5">
        <f>IF($BI195&lt;&gt;"",IF('Capacity summary'!$C$14="Yes",IF(COUNTBLANK('Capacity summary'!$H107:$BG107)&lt;52,IF('Capacity summary'!H107&lt;&gt;"",IF(LOWER('Capacity summary'!H107)="x",$BI195*H195,VALUE('Capacity summary'!H107)),0),H195*$BI195),H195*$BI195),0)</f>
        <v>0</v>
      </c>
      <c r="BL195" s="5">
        <f>IF($BI195&lt;&gt;"",IF('Capacity summary'!$C$14="Yes",IF(COUNTBLANK('Capacity summary'!$H107:$BG107)&lt;52,IF('Capacity summary'!I107&lt;&gt;"",IF(LOWER('Capacity summary'!I107)="x",$BI195*I195,VALUE('Capacity summary'!I107)),0),I195*$BI195),I195*$BI195),0)</f>
        <v>0</v>
      </c>
      <c r="BM195" s="5">
        <f>IF($BI195&lt;&gt;"",IF('Capacity summary'!$C$14="Yes",IF(COUNTBLANK('Capacity summary'!$H107:$BG107)&lt;52,IF('Capacity summary'!J107&lt;&gt;"",IF(LOWER('Capacity summary'!J107)="x",$BI195*J195,VALUE('Capacity summary'!J107)),0),J195*$BI195),J195*$BI195),0)</f>
        <v>0</v>
      </c>
      <c r="BN195" s="5">
        <f>IF($BI195&lt;&gt;"",IF('Capacity summary'!$C$14="Yes",IF(COUNTBLANK('Capacity summary'!$H107:$BG107)&lt;52,IF('Capacity summary'!K107&lt;&gt;"",IF(LOWER('Capacity summary'!K107)="x",$BI195*K195,VALUE('Capacity summary'!K107)),0),K195*$BI195),K195*$BI195),0)</f>
        <v>0</v>
      </c>
      <c r="BO195" s="5">
        <f>IF($BI195&lt;&gt;"",IF('Capacity summary'!$C$14="Yes",IF(COUNTBLANK('Capacity summary'!$H107:$BG107)&lt;52,IF('Capacity summary'!L107&lt;&gt;"",IF(LOWER('Capacity summary'!L107)="x",$BI195*L195,VALUE('Capacity summary'!L107)),0),L195*$BI195),L195*$BI195),0)</f>
        <v>0</v>
      </c>
      <c r="BP195" s="5">
        <f>IF($BI195&lt;&gt;"",IF('Capacity summary'!$C$14="Yes",IF(COUNTBLANK('Capacity summary'!$H107:$BG107)&lt;52,IF('Capacity summary'!M107&lt;&gt;"",IF(LOWER('Capacity summary'!M107)="x",$BI195*M195,VALUE('Capacity summary'!M107)),0),M195*$BI195),M195*$BI195),0)</f>
        <v>0</v>
      </c>
      <c r="BQ195" s="5">
        <f>IF($BI195&lt;&gt;"",IF('Capacity summary'!$C$14="Yes",IF(COUNTBLANK('Capacity summary'!$H107:$BG107)&lt;52,IF('Capacity summary'!N107&lt;&gt;"",IF(LOWER('Capacity summary'!N107)="x",$BI195*N195,VALUE('Capacity summary'!N107)),0),N195*$BI195),N195*$BI195),0)</f>
        <v>0</v>
      </c>
      <c r="BR195" s="5">
        <f>IF($BI195&lt;&gt;"",IF('Capacity summary'!$C$14="Yes",IF(COUNTBLANK('Capacity summary'!$H107:$BG107)&lt;52,IF('Capacity summary'!O107&lt;&gt;"",IF(LOWER('Capacity summary'!O107)="x",$BI195*O195,VALUE('Capacity summary'!O107)),0),O195*$BI195),O195*$BI195),0)</f>
        <v>0</v>
      </c>
      <c r="BS195" s="5">
        <f>IF($BI195&lt;&gt;"",IF('Capacity summary'!$C$14="Yes",IF(COUNTBLANK('Capacity summary'!$H107:$BG107)&lt;52,IF('Capacity summary'!P107&lt;&gt;"",IF(LOWER('Capacity summary'!P107)="x",$BI195*P195,VALUE('Capacity summary'!P107)),0),P195*$BI195),P195*$BI195),0)</f>
        <v>0</v>
      </c>
      <c r="BT195" s="5">
        <f>IF($BI195&lt;&gt;"",IF('Capacity summary'!$C$14="Yes",IF(COUNTBLANK('Capacity summary'!$H107:$BG107)&lt;52,IF('Capacity summary'!Q107&lt;&gt;"",IF(LOWER('Capacity summary'!Q107)="x",$BI195*Q195,VALUE('Capacity summary'!Q107)),0),Q195*$BI195),Q195*$BI195),0)</f>
        <v>0</v>
      </c>
      <c r="BU195" s="5">
        <f>IF($BI195&lt;&gt;"",IF('Capacity summary'!$C$14="Yes",IF(COUNTBLANK('Capacity summary'!$H107:$BG107)&lt;52,IF('Capacity summary'!R107&lt;&gt;"",IF(LOWER('Capacity summary'!R107)="x",$BI195*R195,VALUE('Capacity summary'!R107)),0),R195*$BI195),R195*$BI195),0)</f>
        <v>0</v>
      </c>
      <c r="BV195" s="5">
        <f>IF($BI195&lt;&gt;"",IF('Capacity summary'!$C$14="Yes",IF(COUNTBLANK('Capacity summary'!$H107:$BG107)&lt;52,IF('Capacity summary'!S107&lt;&gt;"",IF(LOWER('Capacity summary'!S107)="x",$BI195*S195,VALUE('Capacity summary'!S107)),0),S195*$BI195),S195*$BI195),0)</f>
        <v>0</v>
      </c>
      <c r="BW195" s="5">
        <f>IF($BI195&lt;&gt;"",IF('Capacity summary'!$C$14="Yes",IF(COUNTBLANK('Capacity summary'!$H107:$BG107)&lt;52,IF('Capacity summary'!T107&lt;&gt;"",IF(LOWER('Capacity summary'!T107)="x",$BI195*T195,VALUE('Capacity summary'!T107)),0),T195*$BI195),T195*$BI195),0)</f>
        <v>0</v>
      </c>
      <c r="BX195" s="5">
        <f>IF($BI195&lt;&gt;"",IF('Capacity summary'!$C$14="Yes",IF(COUNTBLANK('Capacity summary'!$H107:$BG107)&lt;52,IF('Capacity summary'!U107&lt;&gt;"",IF(LOWER('Capacity summary'!U107)="x",$BI195*U195,VALUE('Capacity summary'!U107)),0),U195*$BI195),U195*$BI195),0)</f>
        <v>0</v>
      </c>
      <c r="BY195" s="5">
        <f>IF($BI195&lt;&gt;"",IF('Capacity summary'!$C$14="Yes",IF(COUNTBLANK('Capacity summary'!$H107:$BG107)&lt;52,IF('Capacity summary'!V107&lt;&gt;"",IF(LOWER('Capacity summary'!V107)="x",$BI195*V195,VALUE('Capacity summary'!V107)),0),V195*$BI195),V195*$BI195),0)</f>
        <v>0</v>
      </c>
      <c r="BZ195" s="5">
        <f>IF($BI195&lt;&gt;"",IF('Capacity summary'!$C$14="Yes",IF(COUNTBLANK('Capacity summary'!$H107:$BG107)&lt;52,IF('Capacity summary'!W107&lt;&gt;"",IF(LOWER('Capacity summary'!W107)="x",$BI195*W195,VALUE('Capacity summary'!W107)),0),W195*$BI195),W195*$BI195),0)</f>
        <v>0</v>
      </c>
      <c r="CA195" s="5">
        <f>IF($BI195&lt;&gt;"",IF('Capacity summary'!$C$14="Yes",IF(COUNTBLANK('Capacity summary'!$H107:$BG107)&lt;52,IF('Capacity summary'!X107&lt;&gt;"",IF(LOWER('Capacity summary'!X107)="x",$BI195*X195,VALUE('Capacity summary'!X107)),0),X195*$BI195),X195*$BI195),0)</f>
        <v>0</v>
      </c>
      <c r="CB195" s="5">
        <f>IF($BI195&lt;&gt;"",IF('Capacity summary'!$C$14="Yes",IF(COUNTBLANK('Capacity summary'!$H107:$BG107)&lt;52,IF('Capacity summary'!Y107&lt;&gt;"",IF(LOWER('Capacity summary'!Y107)="x",$BI195*Y195,VALUE('Capacity summary'!Y107)),0),Y195*$BI195),Y195*$BI195),0)</f>
        <v>0</v>
      </c>
      <c r="CC195" s="5">
        <f>IF($BI195&lt;&gt;"",IF('Capacity summary'!$C$14="Yes",IF(COUNTBLANK('Capacity summary'!$H107:$BG107)&lt;52,IF('Capacity summary'!Z107&lt;&gt;"",IF(LOWER('Capacity summary'!Z107)="x",$BI195*Z195,VALUE('Capacity summary'!Z107)),0),Z195*$BI195),Z195*$BI195),0)</f>
        <v>0</v>
      </c>
      <c r="CD195" s="5">
        <f>IF($BI195&lt;&gt;"",IF('Capacity summary'!$C$14="Yes",IF(COUNTBLANK('Capacity summary'!$H107:$BG107)&lt;52,IF('Capacity summary'!AA107&lt;&gt;"",IF(LOWER('Capacity summary'!AA107)="x",$BI195*AA195,VALUE('Capacity summary'!AA107)),0),AA195*$BI195),AA195*$BI195),0)</f>
        <v>0</v>
      </c>
      <c r="CE195" s="5">
        <f>IF($BI195&lt;&gt;"",IF('Capacity summary'!$C$14="Yes",IF(COUNTBLANK('Capacity summary'!$H107:$BG107)&lt;52,IF('Capacity summary'!AB107&lt;&gt;"",IF(LOWER('Capacity summary'!AB107)="x",$BI195*AB195,VALUE('Capacity summary'!AB107)),0),AB195*$BI195),AB195*$BI195),0)</f>
        <v>0</v>
      </c>
      <c r="CF195" s="5">
        <f>IF($BI195&lt;&gt;"",IF('Capacity summary'!$C$14="Yes",IF(COUNTBLANK('Capacity summary'!$H107:$BG107)&lt;52,IF('Capacity summary'!AC107&lt;&gt;"",IF(LOWER('Capacity summary'!AC107)="x",$BI195*AC195,VALUE('Capacity summary'!AC107)),0),AC195*$BI195),AC195*$BI195),0)</f>
        <v>0</v>
      </c>
      <c r="CG195" s="5">
        <f>IF($BI195&lt;&gt;"",IF('Capacity summary'!$C$14="Yes",IF(COUNTBLANK('Capacity summary'!$H107:$BG107)&lt;52,IF('Capacity summary'!AD107&lt;&gt;"",IF(LOWER('Capacity summary'!AD107)="x",$BI195*AD195,VALUE('Capacity summary'!AD107)),0),AD195*$BI195),AD195*$BI195),0)</f>
        <v>0</v>
      </c>
      <c r="CH195" s="5">
        <f>IF($BI195&lt;&gt;"",IF('Capacity summary'!$C$14="Yes",IF(COUNTBLANK('Capacity summary'!$H107:$BG107)&lt;52,IF('Capacity summary'!AE107&lt;&gt;"",IF(LOWER('Capacity summary'!AE107)="x",$BI195*AE195,VALUE('Capacity summary'!AE107)),0),AE195*$BI195),AE195*$BI195),0)</f>
        <v>0</v>
      </c>
      <c r="CI195" s="5">
        <f>IF($BI195&lt;&gt;"",IF('Capacity summary'!$C$14="Yes",IF(COUNTBLANK('Capacity summary'!$H107:$BG107)&lt;52,IF('Capacity summary'!AF107&lt;&gt;"",IF(LOWER('Capacity summary'!AF107)="x",$BI195*AF195,VALUE('Capacity summary'!AF107)),0),AF195*$BI195),AF195*$BI195),0)</f>
        <v>0</v>
      </c>
      <c r="CJ195" s="5">
        <f>IF($BI195&lt;&gt;"",IF('Capacity summary'!$C$14="Yes",IF(COUNTBLANK('Capacity summary'!$H107:$BG107)&lt;52,IF('Capacity summary'!AG107&lt;&gt;"",IF(LOWER('Capacity summary'!AG107)="x",$BI195*AG195,VALUE('Capacity summary'!AG107)),0),AG195*$BI195),AG195*$BI195),0)</f>
        <v>0</v>
      </c>
      <c r="CK195" s="5">
        <f>IF($BI195&lt;&gt;"",IF('Capacity summary'!$C$14="Yes",IF(COUNTBLANK('Capacity summary'!$H107:$BG107)&lt;52,IF('Capacity summary'!AH107&lt;&gt;"",IF(LOWER('Capacity summary'!AH107)="x",$BI195*AH195,VALUE('Capacity summary'!AH107)),0),AH195*$BI195),AH195*$BI195),0)</f>
        <v>0</v>
      </c>
      <c r="CL195" s="5">
        <f>IF($BI195&lt;&gt;"",IF('Capacity summary'!$C$14="Yes",IF(COUNTBLANK('Capacity summary'!$H107:$BG107)&lt;52,IF('Capacity summary'!AI107&lt;&gt;"",IF(LOWER('Capacity summary'!AI107)="x",$BI195*AI195,VALUE('Capacity summary'!AI107)),0),AI195*$BI195),AI195*$BI195),0)</f>
        <v>0</v>
      </c>
      <c r="CM195" s="5">
        <f>IF($BI195&lt;&gt;"",IF('Capacity summary'!$C$14="Yes",IF(COUNTBLANK('Capacity summary'!$H107:$BG107)&lt;52,IF('Capacity summary'!AJ107&lt;&gt;"",IF(LOWER('Capacity summary'!AJ107)="x",$BI195*AJ195,VALUE('Capacity summary'!AJ107)),0),AJ195*$BI195),AJ195*$BI195),0)</f>
        <v>0</v>
      </c>
      <c r="CN195" s="5">
        <f>IF($BI195&lt;&gt;"",IF('Capacity summary'!$C$14="Yes",IF(COUNTBLANK('Capacity summary'!$H107:$BG107)&lt;52,IF('Capacity summary'!AK107&lt;&gt;"",IF(LOWER('Capacity summary'!AK107)="x",$BI195*AK195,VALUE('Capacity summary'!AK107)),0),AK195*$BI195),AK195*$BI195),0)</f>
        <v>0</v>
      </c>
      <c r="CO195" s="5">
        <f>IF($BI195&lt;&gt;"",IF('Capacity summary'!$C$14="Yes",IF(COUNTBLANK('Capacity summary'!$H107:$BG107)&lt;52,IF('Capacity summary'!AL107&lt;&gt;"",IF(LOWER('Capacity summary'!AL107)="x",$BI195*AL195,VALUE('Capacity summary'!AL107)),0),AL195*$BI195),AL195*$BI195),0)</f>
        <v>0</v>
      </c>
      <c r="CP195" s="5">
        <f>IF($BI195&lt;&gt;"",IF('Capacity summary'!$C$14="Yes",IF(COUNTBLANK('Capacity summary'!$H107:$BG107)&lt;52,IF('Capacity summary'!AM107&lt;&gt;"",IF(LOWER('Capacity summary'!AM107)="x",$BI195*AM195,VALUE('Capacity summary'!AM107)),0),AM195*$BI195),AM195*$BI195),0)</f>
        <v>0</v>
      </c>
      <c r="CQ195" s="5">
        <f>IF($BI195&lt;&gt;"",IF('Capacity summary'!$C$14="Yes",IF(COUNTBLANK('Capacity summary'!$H107:$BG107)&lt;52,IF('Capacity summary'!AN107&lt;&gt;"",IF(LOWER('Capacity summary'!AN107)="x",$BI195*AN195,VALUE('Capacity summary'!AN107)),0),AN195*$BI195),AN195*$BI195),0)</f>
        <v>0</v>
      </c>
      <c r="CR195" s="5">
        <f>IF($BI195&lt;&gt;"",IF('Capacity summary'!$C$14="Yes",IF(COUNTBLANK('Capacity summary'!$H107:$BG107)&lt;52,IF('Capacity summary'!AO107&lt;&gt;"",IF(LOWER('Capacity summary'!AO107)="x",$BI195*AO195,VALUE('Capacity summary'!AO107)),0),AO195*$BI195),AO195*$BI195),0)</f>
        <v>0</v>
      </c>
      <c r="CS195" s="5">
        <f>IF($BI195&lt;&gt;"",IF('Capacity summary'!$C$14="Yes",IF(COUNTBLANK('Capacity summary'!$H107:$BG107)&lt;52,IF('Capacity summary'!AP107&lt;&gt;"",IF(LOWER('Capacity summary'!AP107)="x",$BI195*AP195,VALUE('Capacity summary'!AP107)),0),AP195*$BI195),AP195*$BI195),0)</f>
        <v>0</v>
      </c>
      <c r="CT195" s="5">
        <f>IF($BI195&lt;&gt;"",IF('Capacity summary'!$C$14="Yes",IF(COUNTBLANK('Capacity summary'!$H107:$BG107)&lt;52,IF('Capacity summary'!AQ107&lt;&gt;"",IF(LOWER('Capacity summary'!AQ107)="x",$BI195*AQ195,VALUE('Capacity summary'!AQ107)),0),AQ195*$BI195),AQ195*$BI195),0)</f>
        <v>0</v>
      </c>
      <c r="CU195" s="5">
        <f>IF($BI195&lt;&gt;"",IF('Capacity summary'!$C$14="Yes",IF(COUNTBLANK('Capacity summary'!$H107:$BG107)&lt;52,IF('Capacity summary'!AR107&lt;&gt;"",IF(LOWER('Capacity summary'!AR107)="x",$BI195*AR195,VALUE('Capacity summary'!AR107)),0),AR195*$BI195),AR195*$BI195),0)</f>
        <v>0</v>
      </c>
      <c r="CV195" s="5">
        <f>IF($BI195&lt;&gt;"",IF('Capacity summary'!$C$14="Yes",IF(COUNTBLANK('Capacity summary'!$H107:$BG107)&lt;52,IF('Capacity summary'!AS107&lt;&gt;"",IF(LOWER('Capacity summary'!AS107)="x",$BI195*AS195,VALUE('Capacity summary'!AS107)),0),AS195*$BI195),AS195*$BI195),0)</f>
        <v>0</v>
      </c>
      <c r="CW195" s="5">
        <f>IF($BI195&lt;&gt;"",IF('Capacity summary'!$C$14="Yes",IF(COUNTBLANK('Capacity summary'!$H107:$BG107)&lt;52,IF('Capacity summary'!AT107&lt;&gt;"",IF(LOWER('Capacity summary'!AT107)="x",$BI195*AT195,VALUE('Capacity summary'!AT107)),0),AT195*$BI195),AT195*$BI195),0)</f>
        <v>0</v>
      </c>
      <c r="CX195" s="5">
        <f>IF($BI195&lt;&gt;"",IF('Capacity summary'!$C$14="Yes",IF(COUNTBLANK('Capacity summary'!$H107:$BG107)&lt;52,IF('Capacity summary'!AU107&lt;&gt;"",IF(LOWER('Capacity summary'!AU107)="x",$BI195*AU195,VALUE('Capacity summary'!AU107)),0),AU195*$BI195),AU195*$BI195),0)</f>
        <v>0</v>
      </c>
      <c r="CY195" s="5">
        <f>IF($BI195&lt;&gt;"",IF('Capacity summary'!$C$14="Yes",IF(COUNTBLANK('Capacity summary'!$H107:$BG107)&lt;52,IF('Capacity summary'!AV107&lt;&gt;"",IF(LOWER('Capacity summary'!AV107)="x",$BI195*AV195,VALUE('Capacity summary'!AV107)),0),AV195*$BI195),AV195*$BI195),0)</f>
        <v>0</v>
      </c>
      <c r="CZ195" s="5">
        <f>IF($BI195&lt;&gt;"",IF('Capacity summary'!$C$14="Yes",IF(COUNTBLANK('Capacity summary'!$H107:$BG107)&lt;52,IF('Capacity summary'!AW107&lt;&gt;"",IF(LOWER('Capacity summary'!AW107)="x",$BI195*AW195,VALUE('Capacity summary'!AW107)),0),AW195*$BI195),AW195*$BI195),0)</f>
        <v>0</v>
      </c>
      <c r="DA195" s="5">
        <f>IF($BI195&lt;&gt;"",IF('Capacity summary'!$C$14="Yes",IF(COUNTBLANK('Capacity summary'!$H107:$BG107)&lt;52,IF('Capacity summary'!AX107&lt;&gt;"",IF(LOWER('Capacity summary'!AX107)="x",$BI195*AX195,VALUE('Capacity summary'!AX107)),0),AX195*$BI195),AX195*$BI195),0)</f>
        <v>0</v>
      </c>
      <c r="DB195" s="5">
        <f>IF($BI195&lt;&gt;"",IF('Capacity summary'!$C$14="Yes",IF(COUNTBLANK('Capacity summary'!$H107:$BG107)&lt;52,IF('Capacity summary'!AY107&lt;&gt;"",IF(LOWER('Capacity summary'!AY107)="x",$BI195*AY195,VALUE('Capacity summary'!AY107)),0),AY195*$BI195),AY195*$BI195),0)</f>
        <v>0</v>
      </c>
      <c r="DC195" s="5">
        <f>IF($BI195&lt;&gt;"",IF('Capacity summary'!$C$14="Yes",IF(COUNTBLANK('Capacity summary'!$H107:$BG107)&lt;52,IF('Capacity summary'!AZ107&lt;&gt;"",IF(LOWER('Capacity summary'!AZ107)="x",$BI195*AZ195,VALUE('Capacity summary'!AZ107)),0),AZ195*$BI195),AZ195*$BI195),0)</f>
        <v>0</v>
      </c>
      <c r="DD195" s="5">
        <f>IF($BI195&lt;&gt;"",IF('Capacity summary'!$C$14="Yes",IF(COUNTBLANK('Capacity summary'!$H107:$BG107)&lt;52,IF('Capacity summary'!BA107&lt;&gt;"",IF(LOWER('Capacity summary'!BA107)="x",$BI195*BA195,VALUE('Capacity summary'!BA107)),0),BA195*$BI195),BA195*$BI195),0)</f>
        <v>0</v>
      </c>
      <c r="DE195" s="5">
        <f>IF($BI195&lt;&gt;"",IF('Capacity summary'!$C$14="Yes",IF(COUNTBLANK('Capacity summary'!$H107:$BG107)&lt;52,IF('Capacity summary'!BB107&lt;&gt;"",IF(LOWER('Capacity summary'!BB107)="x",$BI195*BB195,VALUE('Capacity summary'!BB107)),0),BB195*$BI195),BB195*$BI195),0)</f>
        <v>0</v>
      </c>
      <c r="DF195" s="5">
        <f>IF($BI195&lt;&gt;"",IF('Capacity summary'!$C$14="Yes",IF(COUNTBLANK('Capacity summary'!$H107:$BG107)&lt;52,IF('Capacity summary'!BC107&lt;&gt;"",IF(LOWER('Capacity summary'!BC107)="x",$BI195*BC195,VALUE('Capacity summary'!BC107)),0),BC195*$BI195),BC195*$BI195),0)</f>
        <v>0</v>
      </c>
      <c r="DG195" s="5">
        <f>IF($BI195&lt;&gt;"",IF('Capacity summary'!$C$14="Yes",IF(COUNTBLANK('Capacity summary'!$H107:$BG107)&lt;52,IF('Capacity summary'!BD107&lt;&gt;"",IF(LOWER('Capacity summary'!BD107)="x",$BI195*BD195,VALUE('Capacity summary'!BD107)),0),BD195*$BI195),BD195*$BI195),0)</f>
        <v>0</v>
      </c>
      <c r="DH195" s="5">
        <f>IF($BI195&lt;&gt;"",IF('Capacity summary'!$C$14="Yes",IF(COUNTBLANK('Capacity summary'!$H107:$BG107)&lt;52,IF('Capacity summary'!BE107&lt;&gt;"",IF(LOWER('Capacity summary'!BE107)="x",$BI195*BE195,VALUE('Capacity summary'!BE107)),0),BE195*$BI195),BE195*$BI195),0)</f>
        <v>0</v>
      </c>
      <c r="DI195" s="5">
        <f>IF($BI195&lt;&gt;"",IF('Capacity summary'!$C$14="Yes",IF(COUNTBLANK('Capacity summary'!$H107:$BG107)&lt;52,IF('Capacity summary'!BF107&lt;&gt;"",IF(LOWER('Capacity summary'!BF107)="x",$BI195*BF195,VALUE('Capacity summary'!BF107)),0),BF195*$BI195),BF195*$BI195),0)</f>
        <v>0</v>
      </c>
      <c r="DJ195" s="5">
        <f>IF($BI195&lt;&gt;"",IF('Capacity summary'!$C$14="Yes",IF(COUNTBLANK('Capacity summary'!$H107:$BG107)&lt;52,IF('Capacity summary'!BG107&lt;&gt;"",IF(LOWER('Capacity summary'!BG107)="x",$BI195*BG195,VALUE('Capacity summary'!BG107)),0),BG195*$BI195),BG195*$BI195),0)</f>
        <v>0</v>
      </c>
      <c r="DK195" s="391">
        <f t="shared" si="10"/>
        <v>0</v>
      </c>
      <c r="DL195" s="5">
        <f t="shared" si="11"/>
        <v>0</v>
      </c>
    </row>
    <row r="196" spans="3:116" x14ac:dyDescent="0.2">
      <c r="C196" s="67" t="str">
        <f>ROW(A85)&amp;". "&amp;Capacity!N101</f>
        <v xml:space="preserve">85. </v>
      </c>
      <c r="D196" s="67">
        <f>'Capacity setup'!C202</f>
        <v>0</v>
      </c>
      <c r="E196" s="67">
        <f>'Capacity setup'!D202</f>
        <v>0</v>
      </c>
      <c r="F196" s="67">
        <f>'Capacity setup'!E202</f>
        <v>0</v>
      </c>
      <c r="H196" s="67">
        <f ca="1">IF(LOWER(Capacity!$V101)="x",IF(AND(SUMIF(Capacity_Resource,$D196,'Critical resources (hide)'!U$6:U$105)+SUMIF(Capacity_Resource,$E196,'Critical resources (hide)'!U$6:U$105)+SUMIF(Capacity_Resource,$F196,'Critical resources (hide)'!U$6:U$105)&gt;0,$E$1=2),0,1),0)</f>
        <v>1</v>
      </c>
      <c r="I196" s="67">
        <f ca="1">IF(LOWER(Capacity!$V101)="x",IF(AND(SUMIF(Capacity_Resource,$D196,'Critical resources (hide)'!V$6:V$105)+SUMIF(Capacity_Resource,$E196,'Critical resources (hide)'!V$6:V$105)+SUMIF(Capacity_Resource,$F196,'Critical resources (hide)'!V$6:V$105)&gt;0,$E$1=2),0,1),0)</f>
        <v>1</v>
      </c>
      <c r="J196" s="67">
        <f ca="1">IF(LOWER(Capacity!$V101)="x",IF(AND(SUMIF(Capacity_Resource,$D196,'Critical resources (hide)'!W$6:W$105)+SUMIF(Capacity_Resource,$E196,'Critical resources (hide)'!W$6:W$105)+SUMIF(Capacity_Resource,$F196,'Critical resources (hide)'!W$6:W$105)&gt;0,$E$1=2),0,1),0)</f>
        <v>1</v>
      </c>
      <c r="K196" s="67">
        <f ca="1">IF(LOWER(Capacity!$V101)="x",IF(AND(SUMIF(Capacity_Resource,$D196,'Critical resources (hide)'!X$6:X$105)+SUMIF(Capacity_Resource,$E196,'Critical resources (hide)'!X$6:X$105)+SUMIF(Capacity_Resource,$F196,'Critical resources (hide)'!X$6:X$105)&gt;0,$E$1=2),0,1),0)</f>
        <v>1</v>
      </c>
      <c r="L196" s="67">
        <f ca="1">IF(LOWER(Capacity!$V101)="x",IF(AND(SUMIF(Capacity_Resource,$D196,'Critical resources (hide)'!Y$6:Y$105)+SUMIF(Capacity_Resource,$E196,'Critical resources (hide)'!Y$6:Y$105)+SUMIF(Capacity_Resource,$F196,'Critical resources (hide)'!Y$6:Y$105)&gt;0,$E$1=2),0,1),0)</f>
        <v>1</v>
      </c>
      <c r="M196" s="67">
        <f ca="1">IF(LOWER(Capacity!$V101)="x",IF(AND(SUMIF(Capacity_Resource,$D196,'Critical resources (hide)'!Z$6:Z$105)+SUMIF(Capacity_Resource,$E196,'Critical resources (hide)'!Z$6:Z$105)+SUMIF(Capacity_Resource,$F196,'Critical resources (hide)'!Z$6:Z$105)&gt;0,$E$1=2),0,1),0)</f>
        <v>1</v>
      </c>
      <c r="N196" s="67">
        <f ca="1">IF(LOWER(Capacity!$V101)="x",IF(AND(SUMIF(Capacity_Resource,$D196,'Critical resources (hide)'!AA$6:AA$105)+SUMIF(Capacity_Resource,$E196,'Critical resources (hide)'!AA$6:AA$105)+SUMIF(Capacity_Resource,$F196,'Critical resources (hide)'!AA$6:AA$105)&gt;0,$E$1=2),0,1),0)</f>
        <v>1</v>
      </c>
      <c r="O196" s="67">
        <f ca="1">IF(LOWER(Capacity!$V101)="x",IF(AND(SUMIF(Capacity_Resource,$D196,'Critical resources (hide)'!AB$6:AB$105)+SUMIF(Capacity_Resource,$E196,'Critical resources (hide)'!AB$6:AB$105)+SUMIF(Capacity_Resource,$F196,'Critical resources (hide)'!AB$6:AB$105)&gt;0,$E$1=2),0,1),0)</f>
        <v>1</v>
      </c>
      <c r="P196" s="67">
        <f ca="1">IF(LOWER(Capacity!$V101)="x",IF(AND(SUMIF(Capacity_Resource,$D196,'Critical resources (hide)'!AC$6:AC$105)+SUMIF(Capacity_Resource,$E196,'Critical resources (hide)'!AC$6:AC$105)+SUMIF(Capacity_Resource,$F196,'Critical resources (hide)'!AC$6:AC$105)&gt;0,$E$1=2),0,1),0)</f>
        <v>1</v>
      </c>
      <c r="Q196" s="67">
        <f ca="1">IF(LOWER(Capacity!$V101)="x",IF(AND(SUMIF(Capacity_Resource,$D196,'Critical resources (hide)'!AD$6:AD$105)+SUMIF(Capacity_Resource,$E196,'Critical resources (hide)'!AD$6:AD$105)+SUMIF(Capacity_Resource,$F196,'Critical resources (hide)'!AD$6:AD$105)&gt;0,$E$1=2),0,1),0)</f>
        <v>1</v>
      </c>
      <c r="R196" s="67">
        <f ca="1">IF(LOWER(Capacity!$V101)="x",IF(AND(SUMIF(Capacity_Resource,$D196,'Critical resources (hide)'!AE$6:AE$105)+SUMIF(Capacity_Resource,$E196,'Critical resources (hide)'!AE$6:AE$105)+SUMIF(Capacity_Resource,$F196,'Critical resources (hide)'!AE$6:AE$105)&gt;0,$E$1=2),0,1),0)</f>
        <v>1</v>
      </c>
      <c r="S196" s="67">
        <f ca="1">IF(LOWER(Capacity!$V101)="x",IF(AND(SUMIF(Capacity_Resource,$D196,'Critical resources (hide)'!AF$6:AF$105)+SUMIF(Capacity_Resource,$E196,'Critical resources (hide)'!AF$6:AF$105)+SUMIF(Capacity_Resource,$F196,'Critical resources (hide)'!AF$6:AF$105)&gt;0,$E$1=2),0,1),0)</f>
        <v>1</v>
      </c>
      <c r="T196" s="67">
        <f ca="1">IF(LOWER(Capacity!$V101)="x",IF(AND(SUMIF(Capacity_Resource,$D196,'Critical resources (hide)'!AG$6:AG$105)+SUMIF(Capacity_Resource,$E196,'Critical resources (hide)'!AG$6:AG$105)+SUMIF(Capacity_Resource,$F196,'Critical resources (hide)'!AG$6:AG$105)&gt;0,$E$1=2),0,1),0)</f>
        <v>1</v>
      </c>
      <c r="U196" s="67">
        <f ca="1">IF(LOWER(Capacity!$V101)="x",IF(AND(SUMIF(Capacity_Resource,$D196,'Critical resources (hide)'!AH$6:AH$105)+SUMIF(Capacity_Resource,$E196,'Critical resources (hide)'!AH$6:AH$105)+SUMIF(Capacity_Resource,$F196,'Critical resources (hide)'!AH$6:AH$105)&gt;0,$E$1=2),0,1),0)</f>
        <v>1</v>
      </c>
      <c r="V196" s="67">
        <f ca="1">IF(LOWER(Capacity!$V101)="x",IF(AND(SUMIF(Capacity_Resource,$D196,'Critical resources (hide)'!AI$6:AI$105)+SUMIF(Capacity_Resource,$E196,'Critical resources (hide)'!AI$6:AI$105)+SUMIF(Capacity_Resource,$F196,'Critical resources (hide)'!AI$6:AI$105)&gt;0,$E$1=2),0,1),0)</f>
        <v>1</v>
      </c>
      <c r="W196" s="67">
        <f ca="1">IF(LOWER(Capacity!$V101)="x",IF(AND(SUMIF(Capacity_Resource,$D196,'Critical resources (hide)'!AJ$6:AJ$105)+SUMIF(Capacity_Resource,$E196,'Critical resources (hide)'!AJ$6:AJ$105)+SUMIF(Capacity_Resource,$F196,'Critical resources (hide)'!AJ$6:AJ$105)&gt;0,$E$1=2),0,1),0)</f>
        <v>1</v>
      </c>
      <c r="X196" s="67">
        <f ca="1">IF(LOWER(Capacity!$V101)="x",IF(AND(SUMIF(Capacity_Resource,$D196,'Critical resources (hide)'!AK$6:AK$105)+SUMIF(Capacity_Resource,$E196,'Critical resources (hide)'!AK$6:AK$105)+SUMIF(Capacity_Resource,$F196,'Critical resources (hide)'!AK$6:AK$105)&gt;0,$E$1=2),0,1),0)</f>
        <v>1</v>
      </c>
      <c r="Y196" s="67">
        <f ca="1">IF(LOWER(Capacity!$V101)="x",IF(AND(SUMIF(Capacity_Resource,$D196,'Critical resources (hide)'!AL$6:AL$105)+SUMIF(Capacity_Resource,$E196,'Critical resources (hide)'!AL$6:AL$105)+SUMIF(Capacity_Resource,$F196,'Critical resources (hide)'!AL$6:AL$105)&gt;0,$E$1=2),0,1),0)</f>
        <v>1</v>
      </c>
      <c r="Z196" s="67">
        <f ca="1">IF(LOWER(Capacity!$V101)="x",IF(AND(SUMIF(Capacity_Resource,$D196,'Critical resources (hide)'!AM$6:AM$105)+SUMIF(Capacity_Resource,$E196,'Critical resources (hide)'!AM$6:AM$105)+SUMIF(Capacity_Resource,$F196,'Critical resources (hide)'!AM$6:AM$105)&gt;0,$E$1=2),0,1),0)</f>
        <v>1</v>
      </c>
      <c r="AA196" s="67">
        <f ca="1">IF(LOWER(Capacity!$V101)="x",IF(AND(SUMIF(Capacity_Resource,$D196,'Critical resources (hide)'!AN$6:AN$105)+SUMIF(Capacity_Resource,$E196,'Critical resources (hide)'!AN$6:AN$105)+SUMIF(Capacity_Resource,$F196,'Critical resources (hide)'!AN$6:AN$105)&gt;0,$E$1=2),0,1),0)</f>
        <v>1</v>
      </c>
      <c r="AB196" s="67">
        <f ca="1">IF(LOWER(Capacity!$V101)="x",IF(AND(SUMIF(Capacity_Resource,$D196,'Critical resources (hide)'!AO$6:AO$105)+SUMIF(Capacity_Resource,$E196,'Critical resources (hide)'!AO$6:AO$105)+SUMIF(Capacity_Resource,$F196,'Critical resources (hide)'!AO$6:AO$105)&gt;0,$E$1=2),0,1),0)</f>
        <v>1</v>
      </c>
      <c r="AC196" s="67">
        <f ca="1">IF(LOWER(Capacity!$V101)="x",IF(AND(SUMIF(Capacity_Resource,$D196,'Critical resources (hide)'!AP$6:AP$105)+SUMIF(Capacity_Resource,$E196,'Critical resources (hide)'!AP$6:AP$105)+SUMIF(Capacity_Resource,$F196,'Critical resources (hide)'!AP$6:AP$105)&gt;0,$E$1=2),0,1),0)</f>
        <v>1</v>
      </c>
      <c r="AD196" s="67">
        <f ca="1">IF(LOWER(Capacity!$V101)="x",IF(AND(SUMIF(Capacity_Resource,$D196,'Critical resources (hide)'!AQ$6:AQ$105)+SUMIF(Capacity_Resource,$E196,'Critical resources (hide)'!AQ$6:AQ$105)+SUMIF(Capacity_Resource,$F196,'Critical resources (hide)'!AQ$6:AQ$105)&gt;0,$E$1=2),0,1),0)</f>
        <v>1</v>
      </c>
      <c r="AE196" s="67">
        <f ca="1">IF(LOWER(Capacity!$V101)="x",IF(AND(SUMIF(Capacity_Resource,$D196,'Critical resources (hide)'!AR$6:AR$105)+SUMIF(Capacity_Resource,$E196,'Critical resources (hide)'!AR$6:AR$105)+SUMIF(Capacity_Resource,$F196,'Critical resources (hide)'!AR$6:AR$105)&gt;0,$E$1=2),0,1),0)</f>
        <v>1</v>
      </c>
      <c r="AF196" s="67">
        <f ca="1">IF(LOWER(Capacity!$V101)="x",IF(AND(SUMIF(Capacity_Resource,$D196,'Critical resources (hide)'!AS$6:AS$105)+SUMIF(Capacity_Resource,$E196,'Critical resources (hide)'!AS$6:AS$105)+SUMIF(Capacity_Resource,$F196,'Critical resources (hide)'!AS$6:AS$105)&gt;0,$E$1=2),0,1),0)</f>
        <v>1</v>
      </c>
      <c r="AG196" s="67">
        <f ca="1">IF(LOWER(Capacity!$V101)="x",IF(AND(SUMIF(Capacity_Resource,$D196,'Critical resources (hide)'!AT$6:AT$105)+SUMIF(Capacity_Resource,$E196,'Critical resources (hide)'!AT$6:AT$105)+SUMIF(Capacity_Resource,$F196,'Critical resources (hide)'!AT$6:AT$105)&gt;0,$E$1=2),0,1),0)</f>
        <v>1</v>
      </c>
      <c r="AH196" s="67">
        <f ca="1">IF(LOWER(Capacity!$V101)="x",IF(AND(SUMIF(Capacity_Resource,$D196,'Critical resources (hide)'!AU$6:AU$105)+SUMIF(Capacity_Resource,$E196,'Critical resources (hide)'!AU$6:AU$105)+SUMIF(Capacity_Resource,$F196,'Critical resources (hide)'!AU$6:AU$105)&gt;0,$E$1=2),0,1),0)</f>
        <v>1</v>
      </c>
      <c r="AI196" s="67">
        <f ca="1">IF(LOWER(Capacity!$V101)="x",IF(AND(SUMIF(Capacity_Resource,$D196,'Critical resources (hide)'!AV$6:AV$105)+SUMIF(Capacity_Resource,$E196,'Critical resources (hide)'!AV$6:AV$105)+SUMIF(Capacity_Resource,$F196,'Critical resources (hide)'!AV$6:AV$105)&gt;0,$E$1=2),0,1),0)</f>
        <v>1</v>
      </c>
      <c r="AJ196" s="67">
        <f ca="1">IF(LOWER(Capacity!$V101)="x",IF(AND(SUMIF(Capacity_Resource,$D196,'Critical resources (hide)'!AW$6:AW$105)+SUMIF(Capacity_Resource,$E196,'Critical resources (hide)'!AW$6:AW$105)+SUMIF(Capacity_Resource,$F196,'Critical resources (hide)'!AW$6:AW$105)&gt;0,$E$1=2),0,1),0)</f>
        <v>1</v>
      </c>
      <c r="AK196" s="67">
        <f ca="1">IF(LOWER(Capacity!$V101)="x",IF(AND(SUMIF(Capacity_Resource,$D196,'Critical resources (hide)'!AX$6:AX$105)+SUMIF(Capacity_Resource,$E196,'Critical resources (hide)'!AX$6:AX$105)+SUMIF(Capacity_Resource,$F196,'Critical resources (hide)'!AX$6:AX$105)&gt;0,$E$1=2),0,1),0)</f>
        <v>1</v>
      </c>
      <c r="AL196" s="67">
        <f ca="1">IF(LOWER(Capacity!$V101)="x",IF(AND(SUMIF(Capacity_Resource,$D196,'Critical resources (hide)'!AY$6:AY$105)+SUMIF(Capacity_Resource,$E196,'Critical resources (hide)'!AY$6:AY$105)+SUMIF(Capacity_Resource,$F196,'Critical resources (hide)'!AY$6:AY$105)&gt;0,$E$1=2),0,1),0)</f>
        <v>1</v>
      </c>
      <c r="AM196" s="67">
        <f ca="1">IF(LOWER(Capacity!$V101)="x",IF(AND(SUMIF(Capacity_Resource,$D196,'Critical resources (hide)'!AZ$6:AZ$105)+SUMIF(Capacity_Resource,$E196,'Critical resources (hide)'!AZ$6:AZ$105)+SUMIF(Capacity_Resource,$F196,'Critical resources (hide)'!AZ$6:AZ$105)&gt;0,$E$1=2),0,1),0)</f>
        <v>1</v>
      </c>
      <c r="AN196" s="67">
        <f ca="1">IF(LOWER(Capacity!$V101)="x",IF(AND(SUMIF(Capacity_Resource,$D196,'Critical resources (hide)'!BA$6:BA$105)+SUMIF(Capacity_Resource,$E196,'Critical resources (hide)'!BA$6:BA$105)+SUMIF(Capacity_Resource,$F196,'Critical resources (hide)'!BA$6:BA$105)&gt;0,$E$1=2),0,1),0)</f>
        <v>1</v>
      </c>
      <c r="AO196" s="67">
        <f ca="1">IF(LOWER(Capacity!$V101)="x",IF(AND(SUMIF(Capacity_Resource,$D196,'Critical resources (hide)'!BB$6:BB$105)+SUMIF(Capacity_Resource,$E196,'Critical resources (hide)'!BB$6:BB$105)+SUMIF(Capacity_Resource,$F196,'Critical resources (hide)'!BB$6:BB$105)&gt;0,$E$1=2),0,1),0)</f>
        <v>1</v>
      </c>
      <c r="AP196" s="67">
        <f ca="1">IF(LOWER(Capacity!$V101)="x",IF(AND(SUMIF(Capacity_Resource,$D196,'Critical resources (hide)'!BC$6:BC$105)+SUMIF(Capacity_Resource,$E196,'Critical resources (hide)'!BC$6:BC$105)+SUMIF(Capacity_Resource,$F196,'Critical resources (hide)'!BC$6:BC$105)&gt;0,$E$1=2),0,1),0)</f>
        <v>1</v>
      </c>
      <c r="AQ196" s="67">
        <f ca="1">IF(LOWER(Capacity!$V101)="x",IF(AND(SUMIF(Capacity_Resource,$D196,'Critical resources (hide)'!BD$6:BD$105)+SUMIF(Capacity_Resource,$E196,'Critical resources (hide)'!BD$6:BD$105)+SUMIF(Capacity_Resource,$F196,'Critical resources (hide)'!BD$6:BD$105)&gt;0,$E$1=2),0,1),0)</f>
        <v>1</v>
      </c>
      <c r="AR196" s="67">
        <f ca="1">IF(LOWER(Capacity!$V101)="x",IF(AND(SUMIF(Capacity_Resource,$D196,'Critical resources (hide)'!BE$6:BE$105)+SUMIF(Capacity_Resource,$E196,'Critical resources (hide)'!BE$6:BE$105)+SUMIF(Capacity_Resource,$F196,'Critical resources (hide)'!BE$6:BE$105)&gt;0,$E$1=2),0,1),0)</f>
        <v>1</v>
      </c>
      <c r="AS196" s="67">
        <f ca="1">IF(LOWER(Capacity!$V101)="x",IF(AND(SUMIF(Capacity_Resource,$D196,'Critical resources (hide)'!BF$6:BF$105)+SUMIF(Capacity_Resource,$E196,'Critical resources (hide)'!BF$6:BF$105)+SUMIF(Capacity_Resource,$F196,'Critical resources (hide)'!BF$6:BF$105)&gt;0,$E$1=2),0,1),0)</f>
        <v>1</v>
      </c>
      <c r="AT196" s="67">
        <f ca="1">IF(LOWER(Capacity!$V101)="x",IF(AND(SUMIF(Capacity_Resource,$D196,'Critical resources (hide)'!BG$6:BG$105)+SUMIF(Capacity_Resource,$E196,'Critical resources (hide)'!BG$6:BG$105)+SUMIF(Capacity_Resource,$F196,'Critical resources (hide)'!BG$6:BG$105)&gt;0,$E$1=2),0,1),0)</f>
        <v>1</v>
      </c>
      <c r="AU196" s="67">
        <f ca="1">IF(LOWER(Capacity!$V101)="x",IF(AND(SUMIF(Capacity_Resource,$D196,'Critical resources (hide)'!BH$6:BH$105)+SUMIF(Capacity_Resource,$E196,'Critical resources (hide)'!BH$6:BH$105)+SUMIF(Capacity_Resource,$F196,'Critical resources (hide)'!BH$6:BH$105)&gt;0,$E$1=2),0,1),0)</f>
        <v>1</v>
      </c>
      <c r="AV196" s="67">
        <f ca="1">IF(LOWER(Capacity!$V101)="x",IF(AND(SUMIF(Capacity_Resource,$D196,'Critical resources (hide)'!BI$6:BI$105)+SUMIF(Capacity_Resource,$E196,'Critical resources (hide)'!BI$6:BI$105)+SUMIF(Capacity_Resource,$F196,'Critical resources (hide)'!BI$6:BI$105)&gt;0,$E$1=2),0,1),0)</f>
        <v>1</v>
      </c>
      <c r="AW196" s="67">
        <f ca="1">IF(LOWER(Capacity!$V101)="x",IF(AND(SUMIF(Capacity_Resource,$D196,'Critical resources (hide)'!BJ$6:BJ$105)+SUMIF(Capacity_Resource,$E196,'Critical resources (hide)'!BJ$6:BJ$105)+SUMIF(Capacity_Resource,$F196,'Critical resources (hide)'!BJ$6:BJ$105)&gt;0,$E$1=2),0,1),0)</f>
        <v>1</v>
      </c>
      <c r="AX196" s="67">
        <f ca="1">IF(LOWER(Capacity!$V101)="x",IF(AND(SUMIF(Capacity_Resource,$D196,'Critical resources (hide)'!BK$6:BK$105)+SUMIF(Capacity_Resource,$E196,'Critical resources (hide)'!BK$6:BK$105)+SUMIF(Capacity_Resource,$F196,'Critical resources (hide)'!BK$6:BK$105)&gt;0,$E$1=2),0,1),0)</f>
        <v>1</v>
      </c>
      <c r="AY196" s="67">
        <f ca="1">IF(LOWER(Capacity!$V101)="x",IF(AND(SUMIF(Capacity_Resource,$D196,'Critical resources (hide)'!BL$6:BL$105)+SUMIF(Capacity_Resource,$E196,'Critical resources (hide)'!BL$6:BL$105)+SUMIF(Capacity_Resource,$F196,'Critical resources (hide)'!BL$6:BL$105)&gt;0,$E$1=2),0,1),0)</f>
        <v>1</v>
      </c>
      <c r="AZ196" s="67">
        <f ca="1">IF(LOWER(Capacity!$V101)="x",IF(AND(SUMIF(Capacity_Resource,$D196,'Critical resources (hide)'!BM$6:BM$105)+SUMIF(Capacity_Resource,$E196,'Critical resources (hide)'!BM$6:BM$105)+SUMIF(Capacity_Resource,$F196,'Critical resources (hide)'!BM$6:BM$105)&gt;0,$E$1=2),0,1),0)</f>
        <v>1</v>
      </c>
      <c r="BA196" s="67">
        <f ca="1">IF(LOWER(Capacity!$V101)="x",IF(AND(SUMIF(Capacity_Resource,$D196,'Critical resources (hide)'!BN$6:BN$105)+SUMIF(Capacity_Resource,$E196,'Critical resources (hide)'!BN$6:BN$105)+SUMIF(Capacity_Resource,$F196,'Critical resources (hide)'!BN$6:BN$105)&gt;0,$E$1=2),0,1),0)</f>
        <v>1</v>
      </c>
      <c r="BB196" s="67">
        <f ca="1">IF(LOWER(Capacity!$V101)="x",IF(AND(SUMIF(Capacity_Resource,$D196,'Critical resources (hide)'!BO$6:BO$105)+SUMIF(Capacity_Resource,$E196,'Critical resources (hide)'!BO$6:BO$105)+SUMIF(Capacity_Resource,$F196,'Critical resources (hide)'!BO$6:BO$105)&gt;0,$E$1=2),0,1),0)</f>
        <v>1</v>
      </c>
      <c r="BC196" s="67">
        <f ca="1">IF(LOWER(Capacity!$V101)="x",IF(AND(SUMIF(Capacity_Resource,$D196,'Critical resources (hide)'!BP$6:BP$105)+SUMIF(Capacity_Resource,$E196,'Critical resources (hide)'!BP$6:BP$105)+SUMIF(Capacity_Resource,$F196,'Critical resources (hide)'!BP$6:BP$105)&gt;0,$E$1=2),0,1),0)</f>
        <v>1</v>
      </c>
      <c r="BD196" s="67">
        <f ca="1">IF(LOWER(Capacity!$V101)="x",IF(AND(SUMIF(Capacity_Resource,$D196,'Critical resources (hide)'!BQ$6:BQ$105)+SUMIF(Capacity_Resource,$E196,'Critical resources (hide)'!BQ$6:BQ$105)+SUMIF(Capacity_Resource,$F196,'Critical resources (hide)'!BQ$6:BQ$105)&gt;0,$E$1=2),0,1),0)</f>
        <v>1</v>
      </c>
      <c r="BE196" s="67">
        <f ca="1">IF(LOWER(Capacity!$V101)="x",IF(AND(SUMIF(Capacity_Resource,$D196,'Critical resources (hide)'!BR$6:BR$105)+SUMIF(Capacity_Resource,$E196,'Critical resources (hide)'!BR$6:BR$105)+SUMIF(Capacity_Resource,$F196,'Critical resources (hide)'!BR$6:BR$105)&gt;0,$E$1=2),0,1),0)</f>
        <v>1</v>
      </c>
      <c r="BF196" s="67">
        <f ca="1">IF(LOWER(Capacity!$V101)="x",IF(AND(SUMIF(Capacity_Resource,$D196,'Critical resources (hide)'!BS$6:BS$105)+SUMIF(Capacity_Resource,$E196,'Critical resources (hide)'!BS$6:BS$105)+SUMIF(Capacity_Resource,$F196,'Critical resources (hide)'!BS$6:BS$105)&gt;0,$E$1=2),0,1),0)</f>
        <v>1</v>
      </c>
      <c r="BG196" s="67">
        <f ca="1">IF(LOWER(Capacity!$V101)="x",IF(AND(SUMIF(Capacity_Resource,$D196,'Critical resources (hide)'!BT$6:BT$105)+SUMIF(Capacity_Resource,$E196,'Critical resources (hide)'!BT$6:BT$105)+SUMIF(Capacity_Resource,$F196,'Critical resources (hide)'!BT$6:BT$105)&gt;0,$E$1=2),0,1),0)</f>
        <v>1</v>
      </c>
      <c r="BH196" s="67">
        <f>IF(ROW(A85)&lt;=Capacity!$M$16,IF('Capacity summary'!$C$14="No",SUM(H196:BG196),'Capacity summary'!$E108),0)</f>
        <v>0</v>
      </c>
      <c r="BI196" s="67" t="str">
        <f>IF(BH196&gt;0,IF(BH196&lt;Capacity!Q101,Capacity!R101,Capacity!T101/'Capacity calculation (hide)'!BH196),"")</f>
        <v/>
      </c>
      <c r="BJ196" s="5"/>
      <c r="BK196" s="5">
        <f>IF($BI196&lt;&gt;"",IF('Capacity summary'!$C$14="Yes",IF(COUNTBLANK('Capacity summary'!$H108:$BG108)&lt;52,IF('Capacity summary'!H108&lt;&gt;"",IF(LOWER('Capacity summary'!H108)="x",$BI196*H196,VALUE('Capacity summary'!H108)),0),H196*$BI196),H196*$BI196),0)</f>
        <v>0</v>
      </c>
      <c r="BL196" s="5">
        <f>IF($BI196&lt;&gt;"",IF('Capacity summary'!$C$14="Yes",IF(COUNTBLANK('Capacity summary'!$H108:$BG108)&lt;52,IF('Capacity summary'!I108&lt;&gt;"",IF(LOWER('Capacity summary'!I108)="x",$BI196*I196,VALUE('Capacity summary'!I108)),0),I196*$BI196),I196*$BI196),0)</f>
        <v>0</v>
      </c>
      <c r="BM196" s="5">
        <f>IF($BI196&lt;&gt;"",IF('Capacity summary'!$C$14="Yes",IF(COUNTBLANK('Capacity summary'!$H108:$BG108)&lt;52,IF('Capacity summary'!J108&lt;&gt;"",IF(LOWER('Capacity summary'!J108)="x",$BI196*J196,VALUE('Capacity summary'!J108)),0),J196*$BI196),J196*$BI196),0)</f>
        <v>0</v>
      </c>
      <c r="BN196" s="5">
        <f>IF($BI196&lt;&gt;"",IF('Capacity summary'!$C$14="Yes",IF(COUNTBLANK('Capacity summary'!$H108:$BG108)&lt;52,IF('Capacity summary'!K108&lt;&gt;"",IF(LOWER('Capacity summary'!K108)="x",$BI196*K196,VALUE('Capacity summary'!K108)),0),K196*$BI196),K196*$BI196),0)</f>
        <v>0</v>
      </c>
      <c r="BO196" s="5">
        <f>IF($BI196&lt;&gt;"",IF('Capacity summary'!$C$14="Yes",IF(COUNTBLANK('Capacity summary'!$H108:$BG108)&lt;52,IF('Capacity summary'!L108&lt;&gt;"",IF(LOWER('Capacity summary'!L108)="x",$BI196*L196,VALUE('Capacity summary'!L108)),0),L196*$BI196),L196*$BI196),0)</f>
        <v>0</v>
      </c>
      <c r="BP196" s="5">
        <f>IF($BI196&lt;&gt;"",IF('Capacity summary'!$C$14="Yes",IF(COUNTBLANK('Capacity summary'!$H108:$BG108)&lt;52,IF('Capacity summary'!M108&lt;&gt;"",IF(LOWER('Capacity summary'!M108)="x",$BI196*M196,VALUE('Capacity summary'!M108)),0),M196*$BI196),M196*$BI196),0)</f>
        <v>0</v>
      </c>
      <c r="BQ196" s="5">
        <f>IF($BI196&lt;&gt;"",IF('Capacity summary'!$C$14="Yes",IF(COUNTBLANK('Capacity summary'!$H108:$BG108)&lt;52,IF('Capacity summary'!N108&lt;&gt;"",IF(LOWER('Capacity summary'!N108)="x",$BI196*N196,VALUE('Capacity summary'!N108)),0),N196*$BI196),N196*$BI196),0)</f>
        <v>0</v>
      </c>
      <c r="BR196" s="5">
        <f>IF($BI196&lt;&gt;"",IF('Capacity summary'!$C$14="Yes",IF(COUNTBLANK('Capacity summary'!$H108:$BG108)&lt;52,IF('Capacity summary'!O108&lt;&gt;"",IF(LOWER('Capacity summary'!O108)="x",$BI196*O196,VALUE('Capacity summary'!O108)),0),O196*$BI196),O196*$BI196),0)</f>
        <v>0</v>
      </c>
      <c r="BS196" s="5">
        <f>IF($BI196&lt;&gt;"",IF('Capacity summary'!$C$14="Yes",IF(COUNTBLANK('Capacity summary'!$H108:$BG108)&lt;52,IF('Capacity summary'!P108&lt;&gt;"",IF(LOWER('Capacity summary'!P108)="x",$BI196*P196,VALUE('Capacity summary'!P108)),0),P196*$BI196),P196*$BI196),0)</f>
        <v>0</v>
      </c>
      <c r="BT196" s="5">
        <f>IF($BI196&lt;&gt;"",IF('Capacity summary'!$C$14="Yes",IF(COUNTBLANK('Capacity summary'!$H108:$BG108)&lt;52,IF('Capacity summary'!Q108&lt;&gt;"",IF(LOWER('Capacity summary'!Q108)="x",$BI196*Q196,VALUE('Capacity summary'!Q108)),0),Q196*$BI196),Q196*$BI196),0)</f>
        <v>0</v>
      </c>
      <c r="BU196" s="5">
        <f>IF($BI196&lt;&gt;"",IF('Capacity summary'!$C$14="Yes",IF(COUNTBLANK('Capacity summary'!$H108:$BG108)&lt;52,IF('Capacity summary'!R108&lt;&gt;"",IF(LOWER('Capacity summary'!R108)="x",$BI196*R196,VALUE('Capacity summary'!R108)),0),R196*$BI196),R196*$BI196),0)</f>
        <v>0</v>
      </c>
      <c r="BV196" s="5">
        <f>IF($BI196&lt;&gt;"",IF('Capacity summary'!$C$14="Yes",IF(COUNTBLANK('Capacity summary'!$H108:$BG108)&lt;52,IF('Capacity summary'!S108&lt;&gt;"",IF(LOWER('Capacity summary'!S108)="x",$BI196*S196,VALUE('Capacity summary'!S108)),0),S196*$BI196),S196*$BI196),0)</f>
        <v>0</v>
      </c>
      <c r="BW196" s="5">
        <f>IF($BI196&lt;&gt;"",IF('Capacity summary'!$C$14="Yes",IF(COUNTBLANK('Capacity summary'!$H108:$BG108)&lt;52,IF('Capacity summary'!T108&lt;&gt;"",IF(LOWER('Capacity summary'!T108)="x",$BI196*T196,VALUE('Capacity summary'!T108)),0),T196*$BI196),T196*$BI196),0)</f>
        <v>0</v>
      </c>
      <c r="BX196" s="5">
        <f>IF($BI196&lt;&gt;"",IF('Capacity summary'!$C$14="Yes",IF(COUNTBLANK('Capacity summary'!$H108:$BG108)&lt;52,IF('Capacity summary'!U108&lt;&gt;"",IF(LOWER('Capacity summary'!U108)="x",$BI196*U196,VALUE('Capacity summary'!U108)),0),U196*$BI196),U196*$BI196),0)</f>
        <v>0</v>
      </c>
      <c r="BY196" s="5">
        <f>IF($BI196&lt;&gt;"",IF('Capacity summary'!$C$14="Yes",IF(COUNTBLANK('Capacity summary'!$H108:$BG108)&lt;52,IF('Capacity summary'!V108&lt;&gt;"",IF(LOWER('Capacity summary'!V108)="x",$BI196*V196,VALUE('Capacity summary'!V108)),0),V196*$BI196),V196*$BI196),0)</f>
        <v>0</v>
      </c>
      <c r="BZ196" s="5">
        <f>IF($BI196&lt;&gt;"",IF('Capacity summary'!$C$14="Yes",IF(COUNTBLANK('Capacity summary'!$H108:$BG108)&lt;52,IF('Capacity summary'!W108&lt;&gt;"",IF(LOWER('Capacity summary'!W108)="x",$BI196*W196,VALUE('Capacity summary'!W108)),0),W196*$BI196),W196*$BI196),0)</f>
        <v>0</v>
      </c>
      <c r="CA196" s="5">
        <f>IF($BI196&lt;&gt;"",IF('Capacity summary'!$C$14="Yes",IF(COUNTBLANK('Capacity summary'!$H108:$BG108)&lt;52,IF('Capacity summary'!X108&lt;&gt;"",IF(LOWER('Capacity summary'!X108)="x",$BI196*X196,VALUE('Capacity summary'!X108)),0),X196*$BI196),X196*$BI196),0)</f>
        <v>0</v>
      </c>
      <c r="CB196" s="5">
        <f>IF($BI196&lt;&gt;"",IF('Capacity summary'!$C$14="Yes",IF(COUNTBLANK('Capacity summary'!$H108:$BG108)&lt;52,IF('Capacity summary'!Y108&lt;&gt;"",IF(LOWER('Capacity summary'!Y108)="x",$BI196*Y196,VALUE('Capacity summary'!Y108)),0),Y196*$BI196),Y196*$BI196),0)</f>
        <v>0</v>
      </c>
      <c r="CC196" s="5">
        <f>IF($BI196&lt;&gt;"",IF('Capacity summary'!$C$14="Yes",IF(COUNTBLANK('Capacity summary'!$H108:$BG108)&lt;52,IF('Capacity summary'!Z108&lt;&gt;"",IF(LOWER('Capacity summary'!Z108)="x",$BI196*Z196,VALUE('Capacity summary'!Z108)),0),Z196*$BI196),Z196*$BI196),0)</f>
        <v>0</v>
      </c>
      <c r="CD196" s="5">
        <f>IF($BI196&lt;&gt;"",IF('Capacity summary'!$C$14="Yes",IF(COUNTBLANK('Capacity summary'!$H108:$BG108)&lt;52,IF('Capacity summary'!AA108&lt;&gt;"",IF(LOWER('Capacity summary'!AA108)="x",$BI196*AA196,VALUE('Capacity summary'!AA108)),0),AA196*$BI196),AA196*$BI196),0)</f>
        <v>0</v>
      </c>
      <c r="CE196" s="5">
        <f>IF($BI196&lt;&gt;"",IF('Capacity summary'!$C$14="Yes",IF(COUNTBLANK('Capacity summary'!$H108:$BG108)&lt;52,IF('Capacity summary'!AB108&lt;&gt;"",IF(LOWER('Capacity summary'!AB108)="x",$BI196*AB196,VALUE('Capacity summary'!AB108)),0),AB196*$BI196),AB196*$BI196),0)</f>
        <v>0</v>
      </c>
      <c r="CF196" s="5">
        <f>IF($BI196&lt;&gt;"",IF('Capacity summary'!$C$14="Yes",IF(COUNTBLANK('Capacity summary'!$H108:$BG108)&lt;52,IF('Capacity summary'!AC108&lt;&gt;"",IF(LOWER('Capacity summary'!AC108)="x",$BI196*AC196,VALUE('Capacity summary'!AC108)),0),AC196*$BI196),AC196*$BI196),0)</f>
        <v>0</v>
      </c>
      <c r="CG196" s="5">
        <f>IF($BI196&lt;&gt;"",IF('Capacity summary'!$C$14="Yes",IF(COUNTBLANK('Capacity summary'!$H108:$BG108)&lt;52,IF('Capacity summary'!AD108&lt;&gt;"",IF(LOWER('Capacity summary'!AD108)="x",$BI196*AD196,VALUE('Capacity summary'!AD108)),0),AD196*$BI196),AD196*$BI196),0)</f>
        <v>0</v>
      </c>
      <c r="CH196" s="5">
        <f>IF($BI196&lt;&gt;"",IF('Capacity summary'!$C$14="Yes",IF(COUNTBLANK('Capacity summary'!$H108:$BG108)&lt;52,IF('Capacity summary'!AE108&lt;&gt;"",IF(LOWER('Capacity summary'!AE108)="x",$BI196*AE196,VALUE('Capacity summary'!AE108)),0),AE196*$BI196),AE196*$BI196),0)</f>
        <v>0</v>
      </c>
      <c r="CI196" s="5">
        <f>IF($BI196&lt;&gt;"",IF('Capacity summary'!$C$14="Yes",IF(COUNTBLANK('Capacity summary'!$H108:$BG108)&lt;52,IF('Capacity summary'!AF108&lt;&gt;"",IF(LOWER('Capacity summary'!AF108)="x",$BI196*AF196,VALUE('Capacity summary'!AF108)),0),AF196*$BI196),AF196*$BI196),0)</f>
        <v>0</v>
      </c>
      <c r="CJ196" s="5">
        <f>IF($BI196&lt;&gt;"",IF('Capacity summary'!$C$14="Yes",IF(COUNTBLANK('Capacity summary'!$H108:$BG108)&lt;52,IF('Capacity summary'!AG108&lt;&gt;"",IF(LOWER('Capacity summary'!AG108)="x",$BI196*AG196,VALUE('Capacity summary'!AG108)),0),AG196*$BI196),AG196*$BI196),0)</f>
        <v>0</v>
      </c>
      <c r="CK196" s="5">
        <f>IF($BI196&lt;&gt;"",IF('Capacity summary'!$C$14="Yes",IF(COUNTBLANK('Capacity summary'!$H108:$BG108)&lt;52,IF('Capacity summary'!AH108&lt;&gt;"",IF(LOWER('Capacity summary'!AH108)="x",$BI196*AH196,VALUE('Capacity summary'!AH108)),0),AH196*$BI196),AH196*$BI196),0)</f>
        <v>0</v>
      </c>
      <c r="CL196" s="5">
        <f>IF($BI196&lt;&gt;"",IF('Capacity summary'!$C$14="Yes",IF(COUNTBLANK('Capacity summary'!$H108:$BG108)&lt;52,IF('Capacity summary'!AI108&lt;&gt;"",IF(LOWER('Capacity summary'!AI108)="x",$BI196*AI196,VALUE('Capacity summary'!AI108)),0),AI196*$BI196),AI196*$BI196),0)</f>
        <v>0</v>
      </c>
      <c r="CM196" s="5">
        <f>IF($BI196&lt;&gt;"",IF('Capacity summary'!$C$14="Yes",IF(COUNTBLANK('Capacity summary'!$H108:$BG108)&lt;52,IF('Capacity summary'!AJ108&lt;&gt;"",IF(LOWER('Capacity summary'!AJ108)="x",$BI196*AJ196,VALUE('Capacity summary'!AJ108)),0),AJ196*$BI196),AJ196*$BI196),0)</f>
        <v>0</v>
      </c>
      <c r="CN196" s="5">
        <f>IF($BI196&lt;&gt;"",IF('Capacity summary'!$C$14="Yes",IF(COUNTBLANK('Capacity summary'!$H108:$BG108)&lt;52,IF('Capacity summary'!AK108&lt;&gt;"",IF(LOWER('Capacity summary'!AK108)="x",$BI196*AK196,VALUE('Capacity summary'!AK108)),0),AK196*$BI196),AK196*$BI196),0)</f>
        <v>0</v>
      </c>
      <c r="CO196" s="5">
        <f>IF($BI196&lt;&gt;"",IF('Capacity summary'!$C$14="Yes",IF(COUNTBLANK('Capacity summary'!$H108:$BG108)&lt;52,IF('Capacity summary'!AL108&lt;&gt;"",IF(LOWER('Capacity summary'!AL108)="x",$BI196*AL196,VALUE('Capacity summary'!AL108)),0),AL196*$BI196),AL196*$BI196),0)</f>
        <v>0</v>
      </c>
      <c r="CP196" s="5">
        <f>IF($BI196&lt;&gt;"",IF('Capacity summary'!$C$14="Yes",IF(COUNTBLANK('Capacity summary'!$H108:$BG108)&lt;52,IF('Capacity summary'!AM108&lt;&gt;"",IF(LOWER('Capacity summary'!AM108)="x",$BI196*AM196,VALUE('Capacity summary'!AM108)),0),AM196*$BI196),AM196*$BI196),0)</f>
        <v>0</v>
      </c>
      <c r="CQ196" s="5">
        <f>IF($BI196&lt;&gt;"",IF('Capacity summary'!$C$14="Yes",IF(COUNTBLANK('Capacity summary'!$H108:$BG108)&lt;52,IF('Capacity summary'!AN108&lt;&gt;"",IF(LOWER('Capacity summary'!AN108)="x",$BI196*AN196,VALUE('Capacity summary'!AN108)),0),AN196*$BI196),AN196*$BI196),0)</f>
        <v>0</v>
      </c>
      <c r="CR196" s="5">
        <f>IF($BI196&lt;&gt;"",IF('Capacity summary'!$C$14="Yes",IF(COUNTBLANK('Capacity summary'!$H108:$BG108)&lt;52,IF('Capacity summary'!AO108&lt;&gt;"",IF(LOWER('Capacity summary'!AO108)="x",$BI196*AO196,VALUE('Capacity summary'!AO108)),0),AO196*$BI196),AO196*$BI196),0)</f>
        <v>0</v>
      </c>
      <c r="CS196" s="5">
        <f>IF($BI196&lt;&gt;"",IF('Capacity summary'!$C$14="Yes",IF(COUNTBLANK('Capacity summary'!$H108:$BG108)&lt;52,IF('Capacity summary'!AP108&lt;&gt;"",IF(LOWER('Capacity summary'!AP108)="x",$BI196*AP196,VALUE('Capacity summary'!AP108)),0),AP196*$BI196),AP196*$BI196),0)</f>
        <v>0</v>
      </c>
      <c r="CT196" s="5">
        <f>IF($BI196&lt;&gt;"",IF('Capacity summary'!$C$14="Yes",IF(COUNTBLANK('Capacity summary'!$H108:$BG108)&lt;52,IF('Capacity summary'!AQ108&lt;&gt;"",IF(LOWER('Capacity summary'!AQ108)="x",$BI196*AQ196,VALUE('Capacity summary'!AQ108)),0),AQ196*$BI196),AQ196*$BI196),0)</f>
        <v>0</v>
      </c>
      <c r="CU196" s="5">
        <f>IF($BI196&lt;&gt;"",IF('Capacity summary'!$C$14="Yes",IF(COUNTBLANK('Capacity summary'!$H108:$BG108)&lt;52,IF('Capacity summary'!AR108&lt;&gt;"",IF(LOWER('Capacity summary'!AR108)="x",$BI196*AR196,VALUE('Capacity summary'!AR108)),0),AR196*$BI196),AR196*$BI196),0)</f>
        <v>0</v>
      </c>
      <c r="CV196" s="5">
        <f>IF($BI196&lt;&gt;"",IF('Capacity summary'!$C$14="Yes",IF(COUNTBLANK('Capacity summary'!$H108:$BG108)&lt;52,IF('Capacity summary'!AS108&lt;&gt;"",IF(LOWER('Capacity summary'!AS108)="x",$BI196*AS196,VALUE('Capacity summary'!AS108)),0),AS196*$BI196),AS196*$BI196),0)</f>
        <v>0</v>
      </c>
      <c r="CW196" s="5">
        <f>IF($BI196&lt;&gt;"",IF('Capacity summary'!$C$14="Yes",IF(COUNTBLANK('Capacity summary'!$H108:$BG108)&lt;52,IF('Capacity summary'!AT108&lt;&gt;"",IF(LOWER('Capacity summary'!AT108)="x",$BI196*AT196,VALUE('Capacity summary'!AT108)),0),AT196*$BI196),AT196*$BI196),0)</f>
        <v>0</v>
      </c>
      <c r="CX196" s="5">
        <f>IF($BI196&lt;&gt;"",IF('Capacity summary'!$C$14="Yes",IF(COUNTBLANK('Capacity summary'!$H108:$BG108)&lt;52,IF('Capacity summary'!AU108&lt;&gt;"",IF(LOWER('Capacity summary'!AU108)="x",$BI196*AU196,VALUE('Capacity summary'!AU108)),0),AU196*$BI196),AU196*$BI196),0)</f>
        <v>0</v>
      </c>
      <c r="CY196" s="5">
        <f>IF($BI196&lt;&gt;"",IF('Capacity summary'!$C$14="Yes",IF(COUNTBLANK('Capacity summary'!$H108:$BG108)&lt;52,IF('Capacity summary'!AV108&lt;&gt;"",IF(LOWER('Capacity summary'!AV108)="x",$BI196*AV196,VALUE('Capacity summary'!AV108)),0),AV196*$BI196),AV196*$BI196),0)</f>
        <v>0</v>
      </c>
      <c r="CZ196" s="5">
        <f>IF($BI196&lt;&gt;"",IF('Capacity summary'!$C$14="Yes",IF(COUNTBLANK('Capacity summary'!$H108:$BG108)&lt;52,IF('Capacity summary'!AW108&lt;&gt;"",IF(LOWER('Capacity summary'!AW108)="x",$BI196*AW196,VALUE('Capacity summary'!AW108)),0),AW196*$BI196),AW196*$BI196),0)</f>
        <v>0</v>
      </c>
      <c r="DA196" s="5">
        <f>IF($BI196&lt;&gt;"",IF('Capacity summary'!$C$14="Yes",IF(COUNTBLANK('Capacity summary'!$H108:$BG108)&lt;52,IF('Capacity summary'!AX108&lt;&gt;"",IF(LOWER('Capacity summary'!AX108)="x",$BI196*AX196,VALUE('Capacity summary'!AX108)),0),AX196*$BI196),AX196*$BI196),0)</f>
        <v>0</v>
      </c>
      <c r="DB196" s="5">
        <f>IF($BI196&lt;&gt;"",IF('Capacity summary'!$C$14="Yes",IF(COUNTBLANK('Capacity summary'!$H108:$BG108)&lt;52,IF('Capacity summary'!AY108&lt;&gt;"",IF(LOWER('Capacity summary'!AY108)="x",$BI196*AY196,VALUE('Capacity summary'!AY108)),0),AY196*$BI196),AY196*$BI196),0)</f>
        <v>0</v>
      </c>
      <c r="DC196" s="5">
        <f>IF($BI196&lt;&gt;"",IF('Capacity summary'!$C$14="Yes",IF(COUNTBLANK('Capacity summary'!$H108:$BG108)&lt;52,IF('Capacity summary'!AZ108&lt;&gt;"",IF(LOWER('Capacity summary'!AZ108)="x",$BI196*AZ196,VALUE('Capacity summary'!AZ108)),0),AZ196*$BI196),AZ196*$BI196),0)</f>
        <v>0</v>
      </c>
      <c r="DD196" s="5">
        <f>IF($BI196&lt;&gt;"",IF('Capacity summary'!$C$14="Yes",IF(COUNTBLANK('Capacity summary'!$H108:$BG108)&lt;52,IF('Capacity summary'!BA108&lt;&gt;"",IF(LOWER('Capacity summary'!BA108)="x",$BI196*BA196,VALUE('Capacity summary'!BA108)),0),BA196*$BI196),BA196*$BI196),0)</f>
        <v>0</v>
      </c>
      <c r="DE196" s="5">
        <f>IF($BI196&lt;&gt;"",IF('Capacity summary'!$C$14="Yes",IF(COUNTBLANK('Capacity summary'!$H108:$BG108)&lt;52,IF('Capacity summary'!BB108&lt;&gt;"",IF(LOWER('Capacity summary'!BB108)="x",$BI196*BB196,VALUE('Capacity summary'!BB108)),0),BB196*$BI196),BB196*$BI196),0)</f>
        <v>0</v>
      </c>
      <c r="DF196" s="5">
        <f>IF($BI196&lt;&gt;"",IF('Capacity summary'!$C$14="Yes",IF(COUNTBLANK('Capacity summary'!$H108:$BG108)&lt;52,IF('Capacity summary'!BC108&lt;&gt;"",IF(LOWER('Capacity summary'!BC108)="x",$BI196*BC196,VALUE('Capacity summary'!BC108)),0),BC196*$BI196),BC196*$BI196),0)</f>
        <v>0</v>
      </c>
      <c r="DG196" s="5">
        <f>IF($BI196&lt;&gt;"",IF('Capacity summary'!$C$14="Yes",IF(COUNTBLANK('Capacity summary'!$H108:$BG108)&lt;52,IF('Capacity summary'!BD108&lt;&gt;"",IF(LOWER('Capacity summary'!BD108)="x",$BI196*BD196,VALUE('Capacity summary'!BD108)),0),BD196*$BI196),BD196*$BI196),0)</f>
        <v>0</v>
      </c>
      <c r="DH196" s="5">
        <f>IF($BI196&lt;&gt;"",IF('Capacity summary'!$C$14="Yes",IF(COUNTBLANK('Capacity summary'!$H108:$BG108)&lt;52,IF('Capacity summary'!BE108&lt;&gt;"",IF(LOWER('Capacity summary'!BE108)="x",$BI196*BE196,VALUE('Capacity summary'!BE108)),0),BE196*$BI196),BE196*$BI196),0)</f>
        <v>0</v>
      </c>
      <c r="DI196" s="5">
        <f>IF($BI196&lt;&gt;"",IF('Capacity summary'!$C$14="Yes",IF(COUNTBLANK('Capacity summary'!$H108:$BG108)&lt;52,IF('Capacity summary'!BF108&lt;&gt;"",IF(LOWER('Capacity summary'!BF108)="x",$BI196*BF196,VALUE('Capacity summary'!BF108)),0),BF196*$BI196),BF196*$BI196),0)</f>
        <v>0</v>
      </c>
      <c r="DJ196" s="5">
        <f>IF($BI196&lt;&gt;"",IF('Capacity summary'!$C$14="Yes",IF(COUNTBLANK('Capacity summary'!$H108:$BG108)&lt;52,IF('Capacity summary'!BG108&lt;&gt;"",IF(LOWER('Capacity summary'!BG108)="x",$BI196*BG196,VALUE('Capacity summary'!BG108)),0),BG196*$BI196),BG196*$BI196),0)</f>
        <v>0</v>
      </c>
      <c r="DK196" s="391">
        <f t="shared" si="10"/>
        <v>0</v>
      </c>
      <c r="DL196" s="5">
        <f t="shared" si="11"/>
        <v>0</v>
      </c>
    </row>
    <row r="197" spans="3:116" x14ac:dyDescent="0.2">
      <c r="C197" s="67" t="str">
        <f>ROW(A86)&amp;". "&amp;Capacity!N102</f>
        <v xml:space="preserve">86. </v>
      </c>
      <c r="D197" s="67">
        <f>'Capacity setup'!C203</f>
        <v>0</v>
      </c>
      <c r="E197" s="67">
        <f>'Capacity setup'!D203</f>
        <v>0</v>
      </c>
      <c r="F197" s="67">
        <f>'Capacity setup'!E203</f>
        <v>0</v>
      </c>
      <c r="H197" s="67">
        <f ca="1">IF(LOWER(Capacity!$V102)="x",IF(AND(SUMIF(Capacity_Resource,$D197,'Critical resources (hide)'!U$6:U$105)+SUMIF(Capacity_Resource,$E197,'Critical resources (hide)'!U$6:U$105)+SUMIF(Capacity_Resource,$F197,'Critical resources (hide)'!U$6:U$105)&gt;0,$E$1=2),0,1),0)</f>
        <v>1</v>
      </c>
      <c r="I197" s="67">
        <f ca="1">IF(LOWER(Capacity!$V102)="x",IF(AND(SUMIF(Capacity_Resource,$D197,'Critical resources (hide)'!V$6:V$105)+SUMIF(Capacity_Resource,$E197,'Critical resources (hide)'!V$6:V$105)+SUMIF(Capacity_Resource,$F197,'Critical resources (hide)'!V$6:V$105)&gt;0,$E$1=2),0,1),0)</f>
        <v>1</v>
      </c>
      <c r="J197" s="67">
        <f ca="1">IF(LOWER(Capacity!$V102)="x",IF(AND(SUMIF(Capacity_Resource,$D197,'Critical resources (hide)'!W$6:W$105)+SUMIF(Capacity_Resource,$E197,'Critical resources (hide)'!W$6:W$105)+SUMIF(Capacity_Resource,$F197,'Critical resources (hide)'!W$6:W$105)&gt;0,$E$1=2),0,1),0)</f>
        <v>1</v>
      </c>
      <c r="K197" s="67">
        <f ca="1">IF(LOWER(Capacity!$V102)="x",IF(AND(SUMIF(Capacity_Resource,$D197,'Critical resources (hide)'!X$6:X$105)+SUMIF(Capacity_Resource,$E197,'Critical resources (hide)'!X$6:X$105)+SUMIF(Capacity_Resource,$F197,'Critical resources (hide)'!X$6:X$105)&gt;0,$E$1=2),0,1),0)</f>
        <v>1</v>
      </c>
      <c r="L197" s="67">
        <f ca="1">IF(LOWER(Capacity!$V102)="x",IF(AND(SUMIF(Capacity_Resource,$D197,'Critical resources (hide)'!Y$6:Y$105)+SUMIF(Capacity_Resource,$E197,'Critical resources (hide)'!Y$6:Y$105)+SUMIF(Capacity_Resource,$F197,'Critical resources (hide)'!Y$6:Y$105)&gt;0,$E$1=2),0,1),0)</f>
        <v>1</v>
      </c>
      <c r="M197" s="67">
        <f ca="1">IF(LOWER(Capacity!$V102)="x",IF(AND(SUMIF(Capacity_Resource,$D197,'Critical resources (hide)'!Z$6:Z$105)+SUMIF(Capacity_Resource,$E197,'Critical resources (hide)'!Z$6:Z$105)+SUMIF(Capacity_Resource,$F197,'Critical resources (hide)'!Z$6:Z$105)&gt;0,$E$1=2),0,1),0)</f>
        <v>1</v>
      </c>
      <c r="N197" s="67">
        <f ca="1">IF(LOWER(Capacity!$V102)="x",IF(AND(SUMIF(Capacity_Resource,$D197,'Critical resources (hide)'!AA$6:AA$105)+SUMIF(Capacity_Resource,$E197,'Critical resources (hide)'!AA$6:AA$105)+SUMIF(Capacity_Resource,$F197,'Critical resources (hide)'!AA$6:AA$105)&gt;0,$E$1=2),0,1),0)</f>
        <v>1</v>
      </c>
      <c r="O197" s="67">
        <f ca="1">IF(LOWER(Capacity!$V102)="x",IF(AND(SUMIF(Capacity_Resource,$D197,'Critical resources (hide)'!AB$6:AB$105)+SUMIF(Capacity_Resource,$E197,'Critical resources (hide)'!AB$6:AB$105)+SUMIF(Capacity_Resource,$F197,'Critical resources (hide)'!AB$6:AB$105)&gt;0,$E$1=2),0,1),0)</f>
        <v>1</v>
      </c>
      <c r="P197" s="67">
        <f ca="1">IF(LOWER(Capacity!$V102)="x",IF(AND(SUMIF(Capacity_Resource,$D197,'Critical resources (hide)'!AC$6:AC$105)+SUMIF(Capacity_Resource,$E197,'Critical resources (hide)'!AC$6:AC$105)+SUMIF(Capacity_Resource,$F197,'Critical resources (hide)'!AC$6:AC$105)&gt;0,$E$1=2),0,1),0)</f>
        <v>1</v>
      </c>
      <c r="Q197" s="67">
        <f ca="1">IF(LOWER(Capacity!$V102)="x",IF(AND(SUMIF(Capacity_Resource,$D197,'Critical resources (hide)'!AD$6:AD$105)+SUMIF(Capacity_Resource,$E197,'Critical resources (hide)'!AD$6:AD$105)+SUMIF(Capacity_Resource,$F197,'Critical resources (hide)'!AD$6:AD$105)&gt;0,$E$1=2),0,1),0)</f>
        <v>1</v>
      </c>
      <c r="R197" s="67">
        <f ca="1">IF(LOWER(Capacity!$V102)="x",IF(AND(SUMIF(Capacity_Resource,$D197,'Critical resources (hide)'!AE$6:AE$105)+SUMIF(Capacity_Resource,$E197,'Critical resources (hide)'!AE$6:AE$105)+SUMIF(Capacity_Resource,$F197,'Critical resources (hide)'!AE$6:AE$105)&gt;0,$E$1=2),0,1),0)</f>
        <v>1</v>
      </c>
      <c r="S197" s="67">
        <f ca="1">IF(LOWER(Capacity!$V102)="x",IF(AND(SUMIF(Capacity_Resource,$D197,'Critical resources (hide)'!AF$6:AF$105)+SUMIF(Capacity_Resource,$E197,'Critical resources (hide)'!AF$6:AF$105)+SUMIF(Capacity_Resource,$F197,'Critical resources (hide)'!AF$6:AF$105)&gt;0,$E$1=2),0,1),0)</f>
        <v>1</v>
      </c>
      <c r="T197" s="67">
        <f ca="1">IF(LOWER(Capacity!$V102)="x",IF(AND(SUMIF(Capacity_Resource,$D197,'Critical resources (hide)'!AG$6:AG$105)+SUMIF(Capacity_Resource,$E197,'Critical resources (hide)'!AG$6:AG$105)+SUMIF(Capacity_Resource,$F197,'Critical resources (hide)'!AG$6:AG$105)&gt;0,$E$1=2),0,1),0)</f>
        <v>1</v>
      </c>
      <c r="U197" s="67">
        <f ca="1">IF(LOWER(Capacity!$V102)="x",IF(AND(SUMIF(Capacity_Resource,$D197,'Critical resources (hide)'!AH$6:AH$105)+SUMIF(Capacity_Resource,$E197,'Critical resources (hide)'!AH$6:AH$105)+SUMIF(Capacity_Resource,$F197,'Critical resources (hide)'!AH$6:AH$105)&gt;0,$E$1=2),0,1),0)</f>
        <v>1</v>
      </c>
      <c r="V197" s="67">
        <f ca="1">IF(LOWER(Capacity!$V102)="x",IF(AND(SUMIF(Capacity_Resource,$D197,'Critical resources (hide)'!AI$6:AI$105)+SUMIF(Capacity_Resource,$E197,'Critical resources (hide)'!AI$6:AI$105)+SUMIF(Capacity_Resource,$F197,'Critical resources (hide)'!AI$6:AI$105)&gt;0,$E$1=2),0,1),0)</f>
        <v>1</v>
      </c>
      <c r="W197" s="67">
        <f ca="1">IF(LOWER(Capacity!$V102)="x",IF(AND(SUMIF(Capacity_Resource,$D197,'Critical resources (hide)'!AJ$6:AJ$105)+SUMIF(Capacity_Resource,$E197,'Critical resources (hide)'!AJ$6:AJ$105)+SUMIF(Capacity_Resource,$F197,'Critical resources (hide)'!AJ$6:AJ$105)&gt;0,$E$1=2),0,1),0)</f>
        <v>1</v>
      </c>
      <c r="X197" s="67">
        <f ca="1">IF(LOWER(Capacity!$V102)="x",IF(AND(SUMIF(Capacity_Resource,$D197,'Critical resources (hide)'!AK$6:AK$105)+SUMIF(Capacity_Resource,$E197,'Critical resources (hide)'!AK$6:AK$105)+SUMIF(Capacity_Resource,$F197,'Critical resources (hide)'!AK$6:AK$105)&gt;0,$E$1=2),0,1),0)</f>
        <v>1</v>
      </c>
      <c r="Y197" s="67">
        <f ca="1">IF(LOWER(Capacity!$V102)="x",IF(AND(SUMIF(Capacity_Resource,$D197,'Critical resources (hide)'!AL$6:AL$105)+SUMIF(Capacity_Resource,$E197,'Critical resources (hide)'!AL$6:AL$105)+SUMIF(Capacity_Resource,$F197,'Critical resources (hide)'!AL$6:AL$105)&gt;0,$E$1=2),0,1),0)</f>
        <v>1</v>
      </c>
      <c r="Z197" s="67">
        <f ca="1">IF(LOWER(Capacity!$V102)="x",IF(AND(SUMIF(Capacity_Resource,$D197,'Critical resources (hide)'!AM$6:AM$105)+SUMIF(Capacity_Resource,$E197,'Critical resources (hide)'!AM$6:AM$105)+SUMIF(Capacity_Resource,$F197,'Critical resources (hide)'!AM$6:AM$105)&gt;0,$E$1=2),0,1),0)</f>
        <v>1</v>
      </c>
      <c r="AA197" s="67">
        <f ca="1">IF(LOWER(Capacity!$V102)="x",IF(AND(SUMIF(Capacity_Resource,$D197,'Critical resources (hide)'!AN$6:AN$105)+SUMIF(Capacity_Resource,$E197,'Critical resources (hide)'!AN$6:AN$105)+SUMIF(Capacity_Resource,$F197,'Critical resources (hide)'!AN$6:AN$105)&gt;0,$E$1=2),0,1),0)</f>
        <v>1</v>
      </c>
      <c r="AB197" s="67">
        <f ca="1">IF(LOWER(Capacity!$V102)="x",IF(AND(SUMIF(Capacity_Resource,$D197,'Critical resources (hide)'!AO$6:AO$105)+SUMIF(Capacity_Resource,$E197,'Critical resources (hide)'!AO$6:AO$105)+SUMIF(Capacity_Resource,$F197,'Critical resources (hide)'!AO$6:AO$105)&gt;0,$E$1=2),0,1),0)</f>
        <v>1</v>
      </c>
      <c r="AC197" s="67">
        <f ca="1">IF(LOWER(Capacity!$V102)="x",IF(AND(SUMIF(Capacity_Resource,$D197,'Critical resources (hide)'!AP$6:AP$105)+SUMIF(Capacity_Resource,$E197,'Critical resources (hide)'!AP$6:AP$105)+SUMIF(Capacity_Resource,$F197,'Critical resources (hide)'!AP$6:AP$105)&gt;0,$E$1=2),0,1),0)</f>
        <v>1</v>
      </c>
      <c r="AD197" s="67">
        <f ca="1">IF(LOWER(Capacity!$V102)="x",IF(AND(SUMIF(Capacity_Resource,$D197,'Critical resources (hide)'!AQ$6:AQ$105)+SUMIF(Capacity_Resource,$E197,'Critical resources (hide)'!AQ$6:AQ$105)+SUMIF(Capacity_Resource,$F197,'Critical resources (hide)'!AQ$6:AQ$105)&gt;0,$E$1=2),0,1),0)</f>
        <v>1</v>
      </c>
      <c r="AE197" s="67">
        <f ca="1">IF(LOWER(Capacity!$V102)="x",IF(AND(SUMIF(Capacity_Resource,$D197,'Critical resources (hide)'!AR$6:AR$105)+SUMIF(Capacity_Resource,$E197,'Critical resources (hide)'!AR$6:AR$105)+SUMIF(Capacity_Resource,$F197,'Critical resources (hide)'!AR$6:AR$105)&gt;0,$E$1=2),0,1),0)</f>
        <v>1</v>
      </c>
      <c r="AF197" s="67">
        <f ca="1">IF(LOWER(Capacity!$V102)="x",IF(AND(SUMIF(Capacity_Resource,$D197,'Critical resources (hide)'!AS$6:AS$105)+SUMIF(Capacity_Resource,$E197,'Critical resources (hide)'!AS$6:AS$105)+SUMIF(Capacity_Resource,$F197,'Critical resources (hide)'!AS$6:AS$105)&gt;0,$E$1=2),0,1),0)</f>
        <v>1</v>
      </c>
      <c r="AG197" s="67">
        <f ca="1">IF(LOWER(Capacity!$V102)="x",IF(AND(SUMIF(Capacity_Resource,$D197,'Critical resources (hide)'!AT$6:AT$105)+SUMIF(Capacity_Resource,$E197,'Critical resources (hide)'!AT$6:AT$105)+SUMIF(Capacity_Resource,$F197,'Critical resources (hide)'!AT$6:AT$105)&gt;0,$E$1=2),0,1),0)</f>
        <v>1</v>
      </c>
      <c r="AH197" s="67">
        <f ca="1">IF(LOWER(Capacity!$V102)="x",IF(AND(SUMIF(Capacity_Resource,$D197,'Critical resources (hide)'!AU$6:AU$105)+SUMIF(Capacity_Resource,$E197,'Critical resources (hide)'!AU$6:AU$105)+SUMIF(Capacity_Resource,$F197,'Critical resources (hide)'!AU$6:AU$105)&gt;0,$E$1=2),0,1),0)</f>
        <v>1</v>
      </c>
      <c r="AI197" s="67">
        <f ca="1">IF(LOWER(Capacity!$V102)="x",IF(AND(SUMIF(Capacity_Resource,$D197,'Critical resources (hide)'!AV$6:AV$105)+SUMIF(Capacity_Resource,$E197,'Critical resources (hide)'!AV$6:AV$105)+SUMIF(Capacity_Resource,$F197,'Critical resources (hide)'!AV$6:AV$105)&gt;0,$E$1=2),0,1),0)</f>
        <v>1</v>
      </c>
      <c r="AJ197" s="67">
        <f ca="1">IF(LOWER(Capacity!$V102)="x",IF(AND(SUMIF(Capacity_Resource,$D197,'Critical resources (hide)'!AW$6:AW$105)+SUMIF(Capacity_Resource,$E197,'Critical resources (hide)'!AW$6:AW$105)+SUMIF(Capacity_Resource,$F197,'Critical resources (hide)'!AW$6:AW$105)&gt;0,$E$1=2),0,1),0)</f>
        <v>1</v>
      </c>
      <c r="AK197" s="67">
        <f ca="1">IF(LOWER(Capacity!$V102)="x",IF(AND(SUMIF(Capacity_Resource,$D197,'Critical resources (hide)'!AX$6:AX$105)+SUMIF(Capacity_Resource,$E197,'Critical resources (hide)'!AX$6:AX$105)+SUMIF(Capacity_Resource,$F197,'Critical resources (hide)'!AX$6:AX$105)&gt;0,$E$1=2),0,1),0)</f>
        <v>1</v>
      </c>
      <c r="AL197" s="67">
        <f ca="1">IF(LOWER(Capacity!$V102)="x",IF(AND(SUMIF(Capacity_Resource,$D197,'Critical resources (hide)'!AY$6:AY$105)+SUMIF(Capacity_Resource,$E197,'Critical resources (hide)'!AY$6:AY$105)+SUMIF(Capacity_Resource,$F197,'Critical resources (hide)'!AY$6:AY$105)&gt;0,$E$1=2),0,1),0)</f>
        <v>1</v>
      </c>
      <c r="AM197" s="67">
        <f ca="1">IF(LOWER(Capacity!$V102)="x",IF(AND(SUMIF(Capacity_Resource,$D197,'Critical resources (hide)'!AZ$6:AZ$105)+SUMIF(Capacity_Resource,$E197,'Critical resources (hide)'!AZ$6:AZ$105)+SUMIF(Capacity_Resource,$F197,'Critical resources (hide)'!AZ$6:AZ$105)&gt;0,$E$1=2),0,1),0)</f>
        <v>1</v>
      </c>
      <c r="AN197" s="67">
        <f ca="1">IF(LOWER(Capacity!$V102)="x",IF(AND(SUMIF(Capacity_Resource,$D197,'Critical resources (hide)'!BA$6:BA$105)+SUMIF(Capacity_Resource,$E197,'Critical resources (hide)'!BA$6:BA$105)+SUMIF(Capacity_Resource,$F197,'Critical resources (hide)'!BA$6:BA$105)&gt;0,$E$1=2),0,1),0)</f>
        <v>1</v>
      </c>
      <c r="AO197" s="67">
        <f ca="1">IF(LOWER(Capacity!$V102)="x",IF(AND(SUMIF(Capacity_Resource,$D197,'Critical resources (hide)'!BB$6:BB$105)+SUMIF(Capacity_Resource,$E197,'Critical resources (hide)'!BB$6:BB$105)+SUMIF(Capacity_Resource,$F197,'Critical resources (hide)'!BB$6:BB$105)&gt;0,$E$1=2),0,1),0)</f>
        <v>1</v>
      </c>
      <c r="AP197" s="67">
        <f ca="1">IF(LOWER(Capacity!$V102)="x",IF(AND(SUMIF(Capacity_Resource,$D197,'Critical resources (hide)'!BC$6:BC$105)+SUMIF(Capacity_Resource,$E197,'Critical resources (hide)'!BC$6:BC$105)+SUMIF(Capacity_Resource,$F197,'Critical resources (hide)'!BC$6:BC$105)&gt;0,$E$1=2),0,1),0)</f>
        <v>1</v>
      </c>
      <c r="AQ197" s="67">
        <f ca="1">IF(LOWER(Capacity!$V102)="x",IF(AND(SUMIF(Capacity_Resource,$D197,'Critical resources (hide)'!BD$6:BD$105)+SUMIF(Capacity_Resource,$E197,'Critical resources (hide)'!BD$6:BD$105)+SUMIF(Capacity_Resource,$F197,'Critical resources (hide)'!BD$6:BD$105)&gt;0,$E$1=2),0,1),0)</f>
        <v>1</v>
      </c>
      <c r="AR197" s="67">
        <f ca="1">IF(LOWER(Capacity!$V102)="x",IF(AND(SUMIF(Capacity_Resource,$D197,'Critical resources (hide)'!BE$6:BE$105)+SUMIF(Capacity_Resource,$E197,'Critical resources (hide)'!BE$6:BE$105)+SUMIF(Capacity_Resource,$F197,'Critical resources (hide)'!BE$6:BE$105)&gt;0,$E$1=2),0,1),0)</f>
        <v>1</v>
      </c>
      <c r="AS197" s="67">
        <f ca="1">IF(LOWER(Capacity!$V102)="x",IF(AND(SUMIF(Capacity_Resource,$D197,'Critical resources (hide)'!BF$6:BF$105)+SUMIF(Capacity_Resource,$E197,'Critical resources (hide)'!BF$6:BF$105)+SUMIF(Capacity_Resource,$F197,'Critical resources (hide)'!BF$6:BF$105)&gt;0,$E$1=2),0,1),0)</f>
        <v>1</v>
      </c>
      <c r="AT197" s="67">
        <f ca="1">IF(LOWER(Capacity!$V102)="x",IF(AND(SUMIF(Capacity_Resource,$D197,'Critical resources (hide)'!BG$6:BG$105)+SUMIF(Capacity_Resource,$E197,'Critical resources (hide)'!BG$6:BG$105)+SUMIF(Capacity_Resource,$F197,'Critical resources (hide)'!BG$6:BG$105)&gt;0,$E$1=2),0,1),0)</f>
        <v>1</v>
      </c>
      <c r="AU197" s="67">
        <f ca="1">IF(LOWER(Capacity!$V102)="x",IF(AND(SUMIF(Capacity_Resource,$D197,'Critical resources (hide)'!BH$6:BH$105)+SUMIF(Capacity_Resource,$E197,'Critical resources (hide)'!BH$6:BH$105)+SUMIF(Capacity_Resource,$F197,'Critical resources (hide)'!BH$6:BH$105)&gt;0,$E$1=2),0,1),0)</f>
        <v>1</v>
      </c>
      <c r="AV197" s="67">
        <f ca="1">IF(LOWER(Capacity!$V102)="x",IF(AND(SUMIF(Capacity_Resource,$D197,'Critical resources (hide)'!BI$6:BI$105)+SUMIF(Capacity_Resource,$E197,'Critical resources (hide)'!BI$6:BI$105)+SUMIF(Capacity_Resource,$F197,'Critical resources (hide)'!BI$6:BI$105)&gt;0,$E$1=2),0,1),0)</f>
        <v>1</v>
      </c>
      <c r="AW197" s="67">
        <f ca="1">IF(LOWER(Capacity!$V102)="x",IF(AND(SUMIF(Capacity_Resource,$D197,'Critical resources (hide)'!BJ$6:BJ$105)+SUMIF(Capacity_Resource,$E197,'Critical resources (hide)'!BJ$6:BJ$105)+SUMIF(Capacity_Resource,$F197,'Critical resources (hide)'!BJ$6:BJ$105)&gt;0,$E$1=2),0,1),0)</f>
        <v>1</v>
      </c>
      <c r="AX197" s="67">
        <f ca="1">IF(LOWER(Capacity!$V102)="x",IF(AND(SUMIF(Capacity_Resource,$D197,'Critical resources (hide)'!BK$6:BK$105)+SUMIF(Capacity_Resource,$E197,'Critical resources (hide)'!BK$6:BK$105)+SUMIF(Capacity_Resource,$F197,'Critical resources (hide)'!BK$6:BK$105)&gt;0,$E$1=2),0,1),0)</f>
        <v>1</v>
      </c>
      <c r="AY197" s="67">
        <f ca="1">IF(LOWER(Capacity!$V102)="x",IF(AND(SUMIF(Capacity_Resource,$D197,'Critical resources (hide)'!BL$6:BL$105)+SUMIF(Capacity_Resource,$E197,'Critical resources (hide)'!BL$6:BL$105)+SUMIF(Capacity_Resource,$F197,'Critical resources (hide)'!BL$6:BL$105)&gt;0,$E$1=2),0,1),0)</f>
        <v>1</v>
      </c>
      <c r="AZ197" s="67">
        <f ca="1">IF(LOWER(Capacity!$V102)="x",IF(AND(SUMIF(Capacity_Resource,$D197,'Critical resources (hide)'!BM$6:BM$105)+SUMIF(Capacity_Resource,$E197,'Critical resources (hide)'!BM$6:BM$105)+SUMIF(Capacity_Resource,$F197,'Critical resources (hide)'!BM$6:BM$105)&gt;0,$E$1=2),0,1),0)</f>
        <v>1</v>
      </c>
      <c r="BA197" s="67">
        <f ca="1">IF(LOWER(Capacity!$V102)="x",IF(AND(SUMIF(Capacity_Resource,$D197,'Critical resources (hide)'!BN$6:BN$105)+SUMIF(Capacity_Resource,$E197,'Critical resources (hide)'!BN$6:BN$105)+SUMIF(Capacity_Resource,$F197,'Critical resources (hide)'!BN$6:BN$105)&gt;0,$E$1=2),0,1),0)</f>
        <v>1</v>
      </c>
      <c r="BB197" s="67">
        <f ca="1">IF(LOWER(Capacity!$V102)="x",IF(AND(SUMIF(Capacity_Resource,$D197,'Critical resources (hide)'!BO$6:BO$105)+SUMIF(Capacity_Resource,$E197,'Critical resources (hide)'!BO$6:BO$105)+SUMIF(Capacity_Resource,$F197,'Critical resources (hide)'!BO$6:BO$105)&gt;0,$E$1=2),0,1),0)</f>
        <v>1</v>
      </c>
      <c r="BC197" s="67">
        <f ca="1">IF(LOWER(Capacity!$V102)="x",IF(AND(SUMIF(Capacity_Resource,$D197,'Critical resources (hide)'!BP$6:BP$105)+SUMIF(Capacity_Resource,$E197,'Critical resources (hide)'!BP$6:BP$105)+SUMIF(Capacity_Resource,$F197,'Critical resources (hide)'!BP$6:BP$105)&gt;0,$E$1=2),0,1),0)</f>
        <v>1</v>
      </c>
      <c r="BD197" s="67">
        <f ca="1">IF(LOWER(Capacity!$V102)="x",IF(AND(SUMIF(Capacity_Resource,$D197,'Critical resources (hide)'!BQ$6:BQ$105)+SUMIF(Capacity_Resource,$E197,'Critical resources (hide)'!BQ$6:BQ$105)+SUMIF(Capacity_Resource,$F197,'Critical resources (hide)'!BQ$6:BQ$105)&gt;0,$E$1=2),0,1),0)</f>
        <v>1</v>
      </c>
      <c r="BE197" s="67">
        <f ca="1">IF(LOWER(Capacity!$V102)="x",IF(AND(SUMIF(Capacity_Resource,$D197,'Critical resources (hide)'!BR$6:BR$105)+SUMIF(Capacity_Resource,$E197,'Critical resources (hide)'!BR$6:BR$105)+SUMIF(Capacity_Resource,$F197,'Critical resources (hide)'!BR$6:BR$105)&gt;0,$E$1=2),0,1),0)</f>
        <v>1</v>
      </c>
      <c r="BF197" s="67">
        <f ca="1">IF(LOWER(Capacity!$V102)="x",IF(AND(SUMIF(Capacity_Resource,$D197,'Critical resources (hide)'!BS$6:BS$105)+SUMIF(Capacity_Resource,$E197,'Critical resources (hide)'!BS$6:BS$105)+SUMIF(Capacity_Resource,$F197,'Critical resources (hide)'!BS$6:BS$105)&gt;0,$E$1=2),0,1),0)</f>
        <v>1</v>
      </c>
      <c r="BG197" s="67">
        <f ca="1">IF(LOWER(Capacity!$V102)="x",IF(AND(SUMIF(Capacity_Resource,$D197,'Critical resources (hide)'!BT$6:BT$105)+SUMIF(Capacity_Resource,$E197,'Critical resources (hide)'!BT$6:BT$105)+SUMIF(Capacity_Resource,$F197,'Critical resources (hide)'!BT$6:BT$105)&gt;0,$E$1=2),0,1),0)</f>
        <v>1</v>
      </c>
      <c r="BH197" s="67">
        <f>IF(ROW(A86)&lt;=Capacity!$M$16,IF('Capacity summary'!$C$14="No",SUM(H197:BG197),'Capacity summary'!$E109),0)</f>
        <v>0</v>
      </c>
      <c r="BI197" s="67" t="str">
        <f>IF(BH197&gt;0,IF(BH197&lt;Capacity!Q102,Capacity!R102,Capacity!T102/'Capacity calculation (hide)'!BH197),"")</f>
        <v/>
      </c>
      <c r="BJ197" s="5"/>
      <c r="BK197" s="5">
        <f>IF($BI197&lt;&gt;"",IF('Capacity summary'!$C$14="Yes",IF(COUNTBLANK('Capacity summary'!$H109:$BG109)&lt;52,IF('Capacity summary'!H109&lt;&gt;"",IF(LOWER('Capacity summary'!H109)="x",$BI197*H197,VALUE('Capacity summary'!H109)),0),H197*$BI197),H197*$BI197),0)</f>
        <v>0</v>
      </c>
      <c r="BL197" s="5">
        <f>IF($BI197&lt;&gt;"",IF('Capacity summary'!$C$14="Yes",IF(COUNTBLANK('Capacity summary'!$H109:$BG109)&lt;52,IF('Capacity summary'!I109&lt;&gt;"",IF(LOWER('Capacity summary'!I109)="x",$BI197*I197,VALUE('Capacity summary'!I109)),0),I197*$BI197),I197*$BI197),0)</f>
        <v>0</v>
      </c>
      <c r="BM197" s="5">
        <f>IF($BI197&lt;&gt;"",IF('Capacity summary'!$C$14="Yes",IF(COUNTBLANK('Capacity summary'!$H109:$BG109)&lt;52,IF('Capacity summary'!J109&lt;&gt;"",IF(LOWER('Capacity summary'!J109)="x",$BI197*J197,VALUE('Capacity summary'!J109)),0),J197*$BI197),J197*$BI197),0)</f>
        <v>0</v>
      </c>
      <c r="BN197" s="5">
        <f>IF($BI197&lt;&gt;"",IF('Capacity summary'!$C$14="Yes",IF(COUNTBLANK('Capacity summary'!$H109:$BG109)&lt;52,IF('Capacity summary'!K109&lt;&gt;"",IF(LOWER('Capacity summary'!K109)="x",$BI197*K197,VALUE('Capacity summary'!K109)),0),K197*$BI197),K197*$BI197),0)</f>
        <v>0</v>
      </c>
      <c r="BO197" s="5">
        <f>IF($BI197&lt;&gt;"",IF('Capacity summary'!$C$14="Yes",IF(COUNTBLANK('Capacity summary'!$H109:$BG109)&lt;52,IF('Capacity summary'!L109&lt;&gt;"",IF(LOWER('Capacity summary'!L109)="x",$BI197*L197,VALUE('Capacity summary'!L109)),0),L197*$BI197),L197*$BI197),0)</f>
        <v>0</v>
      </c>
      <c r="BP197" s="5">
        <f>IF($BI197&lt;&gt;"",IF('Capacity summary'!$C$14="Yes",IF(COUNTBLANK('Capacity summary'!$H109:$BG109)&lt;52,IF('Capacity summary'!M109&lt;&gt;"",IF(LOWER('Capacity summary'!M109)="x",$BI197*M197,VALUE('Capacity summary'!M109)),0),M197*$BI197),M197*$BI197),0)</f>
        <v>0</v>
      </c>
      <c r="BQ197" s="5">
        <f>IF($BI197&lt;&gt;"",IF('Capacity summary'!$C$14="Yes",IF(COUNTBLANK('Capacity summary'!$H109:$BG109)&lt;52,IF('Capacity summary'!N109&lt;&gt;"",IF(LOWER('Capacity summary'!N109)="x",$BI197*N197,VALUE('Capacity summary'!N109)),0),N197*$BI197),N197*$BI197),0)</f>
        <v>0</v>
      </c>
      <c r="BR197" s="5">
        <f>IF($BI197&lt;&gt;"",IF('Capacity summary'!$C$14="Yes",IF(COUNTBLANK('Capacity summary'!$H109:$BG109)&lt;52,IF('Capacity summary'!O109&lt;&gt;"",IF(LOWER('Capacity summary'!O109)="x",$BI197*O197,VALUE('Capacity summary'!O109)),0),O197*$BI197),O197*$BI197),0)</f>
        <v>0</v>
      </c>
      <c r="BS197" s="5">
        <f>IF($BI197&lt;&gt;"",IF('Capacity summary'!$C$14="Yes",IF(COUNTBLANK('Capacity summary'!$H109:$BG109)&lt;52,IF('Capacity summary'!P109&lt;&gt;"",IF(LOWER('Capacity summary'!P109)="x",$BI197*P197,VALUE('Capacity summary'!P109)),0),P197*$BI197),P197*$BI197),0)</f>
        <v>0</v>
      </c>
      <c r="BT197" s="5">
        <f>IF($BI197&lt;&gt;"",IF('Capacity summary'!$C$14="Yes",IF(COUNTBLANK('Capacity summary'!$H109:$BG109)&lt;52,IF('Capacity summary'!Q109&lt;&gt;"",IF(LOWER('Capacity summary'!Q109)="x",$BI197*Q197,VALUE('Capacity summary'!Q109)),0),Q197*$BI197),Q197*$BI197),0)</f>
        <v>0</v>
      </c>
      <c r="BU197" s="5">
        <f>IF($BI197&lt;&gt;"",IF('Capacity summary'!$C$14="Yes",IF(COUNTBLANK('Capacity summary'!$H109:$BG109)&lt;52,IF('Capacity summary'!R109&lt;&gt;"",IF(LOWER('Capacity summary'!R109)="x",$BI197*R197,VALUE('Capacity summary'!R109)),0),R197*$BI197),R197*$BI197),0)</f>
        <v>0</v>
      </c>
      <c r="BV197" s="5">
        <f>IF($BI197&lt;&gt;"",IF('Capacity summary'!$C$14="Yes",IF(COUNTBLANK('Capacity summary'!$H109:$BG109)&lt;52,IF('Capacity summary'!S109&lt;&gt;"",IF(LOWER('Capacity summary'!S109)="x",$BI197*S197,VALUE('Capacity summary'!S109)),0),S197*$BI197),S197*$BI197),0)</f>
        <v>0</v>
      </c>
      <c r="BW197" s="5">
        <f>IF($BI197&lt;&gt;"",IF('Capacity summary'!$C$14="Yes",IF(COUNTBLANK('Capacity summary'!$H109:$BG109)&lt;52,IF('Capacity summary'!T109&lt;&gt;"",IF(LOWER('Capacity summary'!T109)="x",$BI197*T197,VALUE('Capacity summary'!T109)),0),T197*$BI197),T197*$BI197),0)</f>
        <v>0</v>
      </c>
      <c r="BX197" s="5">
        <f>IF($BI197&lt;&gt;"",IF('Capacity summary'!$C$14="Yes",IF(COUNTBLANK('Capacity summary'!$H109:$BG109)&lt;52,IF('Capacity summary'!U109&lt;&gt;"",IF(LOWER('Capacity summary'!U109)="x",$BI197*U197,VALUE('Capacity summary'!U109)),0),U197*$BI197),U197*$BI197),0)</f>
        <v>0</v>
      </c>
      <c r="BY197" s="5">
        <f>IF($BI197&lt;&gt;"",IF('Capacity summary'!$C$14="Yes",IF(COUNTBLANK('Capacity summary'!$H109:$BG109)&lt;52,IF('Capacity summary'!V109&lt;&gt;"",IF(LOWER('Capacity summary'!V109)="x",$BI197*V197,VALUE('Capacity summary'!V109)),0),V197*$BI197),V197*$BI197),0)</f>
        <v>0</v>
      </c>
      <c r="BZ197" s="5">
        <f>IF($BI197&lt;&gt;"",IF('Capacity summary'!$C$14="Yes",IF(COUNTBLANK('Capacity summary'!$H109:$BG109)&lt;52,IF('Capacity summary'!W109&lt;&gt;"",IF(LOWER('Capacity summary'!W109)="x",$BI197*W197,VALUE('Capacity summary'!W109)),0),W197*$BI197),W197*$BI197),0)</f>
        <v>0</v>
      </c>
      <c r="CA197" s="5">
        <f>IF($BI197&lt;&gt;"",IF('Capacity summary'!$C$14="Yes",IF(COUNTBLANK('Capacity summary'!$H109:$BG109)&lt;52,IF('Capacity summary'!X109&lt;&gt;"",IF(LOWER('Capacity summary'!X109)="x",$BI197*X197,VALUE('Capacity summary'!X109)),0),X197*$BI197),X197*$BI197),0)</f>
        <v>0</v>
      </c>
      <c r="CB197" s="5">
        <f>IF($BI197&lt;&gt;"",IF('Capacity summary'!$C$14="Yes",IF(COUNTBLANK('Capacity summary'!$H109:$BG109)&lt;52,IF('Capacity summary'!Y109&lt;&gt;"",IF(LOWER('Capacity summary'!Y109)="x",$BI197*Y197,VALUE('Capacity summary'!Y109)),0),Y197*$BI197),Y197*$BI197),0)</f>
        <v>0</v>
      </c>
      <c r="CC197" s="5">
        <f>IF($BI197&lt;&gt;"",IF('Capacity summary'!$C$14="Yes",IF(COUNTBLANK('Capacity summary'!$H109:$BG109)&lt;52,IF('Capacity summary'!Z109&lt;&gt;"",IF(LOWER('Capacity summary'!Z109)="x",$BI197*Z197,VALUE('Capacity summary'!Z109)),0),Z197*$BI197),Z197*$BI197),0)</f>
        <v>0</v>
      </c>
      <c r="CD197" s="5">
        <f>IF($BI197&lt;&gt;"",IF('Capacity summary'!$C$14="Yes",IF(COUNTBLANK('Capacity summary'!$H109:$BG109)&lt;52,IF('Capacity summary'!AA109&lt;&gt;"",IF(LOWER('Capacity summary'!AA109)="x",$BI197*AA197,VALUE('Capacity summary'!AA109)),0),AA197*$BI197),AA197*$BI197),0)</f>
        <v>0</v>
      </c>
      <c r="CE197" s="5">
        <f>IF($BI197&lt;&gt;"",IF('Capacity summary'!$C$14="Yes",IF(COUNTBLANK('Capacity summary'!$H109:$BG109)&lt;52,IF('Capacity summary'!AB109&lt;&gt;"",IF(LOWER('Capacity summary'!AB109)="x",$BI197*AB197,VALUE('Capacity summary'!AB109)),0),AB197*$BI197),AB197*$BI197),0)</f>
        <v>0</v>
      </c>
      <c r="CF197" s="5">
        <f>IF($BI197&lt;&gt;"",IF('Capacity summary'!$C$14="Yes",IF(COUNTBLANK('Capacity summary'!$H109:$BG109)&lt;52,IF('Capacity summary'!AC109&lt;&gt;"",IF(LOWER('Capacity summary'!AC109)="x",$BI197*AC197,VALUE('Capacity summary'!AC109)),0),AC197*$BI197),AC197*$BI197),0)</f>
        <v>0</v>
      </c>
      <c r="CG197" s="5">
        <f>IF($BI197&lt;&gt;"",IF('Capacity summary'!$C$14="Yes",IF(COUNTBLANK('Capacity summary'!$H109:$BG109)&lt;52,IF('Capacity summary'!AD109&lt;&gt;"",IF(LOWER('Capacity summary'!AD109)="x",$BI197*AD197,VALUE('Capacity summary'!AD109)),0),AD197*$BI197),AD197*$BI197),0)</f>
        <v>0</v>
      </c>
      <c r="CH197" s="5">
        <f>IF($BI197&lt;&gt;"",IF('Capacity summary'!$C$14="Yes",IF(COUNTBLANK('Capacity summary'!$H109:$BG109)&lt;52,IF('Capacity summary'!AE109&lt;&gt;"",IF(LOWER('Capacity summary'!AE109)="x",$BI197*AE197,VALUE('Capacity summary'!AE109)),0),AE197*$BI197),AE197*$BI197),0)</f>
        <v>0</v>
      </c>
      <c r="CI197" s="5">
        <f>IF($BI197&lt;&gt;"",IF('Capacity summary'!$C$14="Yes",IF(COUNTBLANK('Capacity summary'!$H109:$BG109)&lt;52,IF('Capacity summary'!AF109&lt;&gt;"",IF(LOWER('Capacity summary'!AF109)="x",$BI197*AF197,VALUE('Capacity summary'!AF109)),0),AF197*$BI197),AF197*$BI197),0)</f>
        <v>0</v>
      </c>
      <c r="CJ197" s="5">
        <f>IF($BI197&lt;&gt;"",IF('Capacity summary'!$C$14="Yes",IF(COUNTBLANK('Capacity summary'!$H109:$BG109)&lt;52,IF('Capacity summary'!AG109&lt;&gt;"",IF(LOWER('Capacity summary'!AG109)="x",$BI197*AG197,VALUE('Capacity summary'!AG109)),0),AG197*$BI197),AG197*$BI197),0)</f>
        <v>0</v>
      </c>
      <c r="CK197" s="5">
        <f>IF($BI197&lt;&gt;"",IF('Capacity summary'!$C$14="Yes",IF(COUNTBLANK('Capacity summary'!$H109:$BG109)&lt;52,IF('Capacity summary'!AH109&lt;&gt;"",IF(LOWER('Capacity summary'!AH109)="x",$BI197*AH197,VALUE('Capacity summary'!AH109)),0),AH197*$BI197),AH197*$BI197),0)</f>
        <v>0</v>
      </c>
      <c r="CL197" s="5">
        <f>IF($BI197&lt;&gt;"",IF('Capacity summary'!$C$14="Yes",IF(COUNTBLANK('Capacity summary'!$H109:$BG109)&lt;52,IF('Capacity summary'!AI109&lt;&gt;"",IF(LOWER('Capacity summary'!AI109)="x",$BI197*AI197,VALUE('Capacity summary'!AI109)),0),AI197*$BI197),AI197*$BI197),0)</f>
        <v>0</v>
      </c>
      <c r="CM197" s="5">
        <f>IF($BI197&lt;&gt;"",IF('Capacity summary'!$C$14="Yes",IF(COUNTBLANK('Capacity summary'!$H109:$BG109)&lt;52,IF('Capacity summary'!AJ109&lt;&gt;"",IF(LOWER('Capacity summary'!AJ109)="x",$BI197*AJ197,VALUE('Capacity summary'!AJ109)),0),AJ197*$BI197),AJ197*$BI197),0)</f>
        <v>0</v>
      </c>
      <c r="CN197" s="5">
        <f>IF($BI197&lt;&gt;"",IF('Capacity summary'!$C$14="Yes",IF(COUNTBLANK('Capacity summary'!$H109:$BG109)&lt;52,IF('Capacity summary'!AK109&lt;&gt;"",IF(LOWER('Capacity summary'!AK109)="x",$BI197*AK197,VALUE('Capacity summary'!AK109)),0),AK197*$BI197),AK197*$BI197),0)</f>
        <v>0</v>
      </c>
      <c r="CO197" s="5">
        <f>IF($BI197&lt;&gt;"",IF('Capacity summary'!$C$14="Yes",IF(COUNTBLANK('Capacity summary'!$H109:$BG109)&lt;52,IF('Capacity summary'!AL109&lt;&gt;"",IF(LOWER('Capacity summary'!AL109)="x",$BI197*AL197,VALUE('Capacity summary'!AL109)),0),AL197*$BI197),AL197*$BI197),0)</f>
        <v>0</v>
      </c>
      <c r="CP197" s="5">
        <f>IF($BI197&lt;&gt;"",IF('Capacity summary'!$C$14="Yes",IF(COUNTBLANK('Capacity summary'!$H109:$BG109)&lt;52,IF('Capacity summary'!AM109&lt;&gt;"",IF(LOWER('Capacity summary'!AM109)="x",$BI197*AM197,VALUE('Capacity summary'!AM109)),0),AM197*$BI197),AM197*$BI197),0)</f>
        <v>0</v>
      </c>
      <c r="CQ197" s="5">
        <f>IF($BI197&lt;&gt;"",IF('Capacity summary'!$C$14="Yes",IF(COUNTBLANK('Capacity summary'!$H109:$BG109)&lt;52,IF('Capacity summary'!AN109&lt;&gt;"",IF(LOWER('Capacity summary'!AN109)="x",$BI197*AN197,VALUE('Capacity summary'!AN109)),0),AN197*$BI197),AN197*$BI197),0)</f>
        <v>0</v>
      </c>
      <c r="CR197" s="5">
        <f>IF($BI197&lt;&gt;"",IF('Capacity summary'!$C$14="Yes",IF(COUNTBLANK('Capacity summary'!$H109:$BG109)&lt;52,IF('Capacity summary'!AO109&lt;&gt;"",IF(LOWER('Capacity summary'!AO109)="x",$BI197*AO197,VALUE('Capacity summary'!AO109)),0),AO197*$BI197),AO197*$BI197),0)</f>
        <v>0</v>
      </c>
      <c r="CS197" s="5">
        <f>IF($BI197&lt;&gt;"",IF('Capacity summary'!$C$14="Yes",IF(COUNTBLANK('Capacity summary'!$H109:$BG109)&lt;52,IF('Capacity summary'!AP109&lt;&gt;"",IF(LOWER('Capacity summary'!AP109)="x",$BI197*AP197,VALUE('Capacity summary'!AP109)),0),AP197*$BI197),AP197*$BI197),0)</f>
        <v>0</v>
      </c>
      <c r="CT197" s="5">
        <f>IF($BI197&lt;&gt;"",IF('Capacity summary'!$C$14="Yes",IF(COUNTBLANK('Capacity summary'!$H109:$BG109)&lt;52,IF('Capacity summary'!AQ109&lt;&gt;"",IF(LOWER('Capacity summary'!AQ109)="x",$BI197*AQ197,VALUE('Capacity summary'!AQ109)),0),AQ197*$BI197),AQ197*$BI197),0)</f>
        <v>0</v>
      </c>
      <c r="CU197" s="5">
        <f>IF($BI197&lt;&gt;"",IF('Capacity summary'!$C$14="Yes",IF(COUNTBLANK('Capacity summary'!$H109:$BG109)&lt;52,IF('Capacity summary'!AR109&lt;&gt;"",IF(LOWER('Capacity summary'!AR109)="x",$BI197*AR197,VALUE('Capacity summary'!AR109)),0),AR197*$BI197),AR197*$BI197),0)</f>
        <v>0</v>
      </c>
      <c r="CV197" s="5">
        <f>IF($BI197&lt;&gt;"",IF('Capacity summary'!$C$14="Yes",IF(COUNTBLANK('Capacity summary'!$H109:$BG109)&lt;52,IF('Capacity summary'!AS109&lt;&gt;"",IF(LOWER('Capacity summary'!AS109)="x",$BI197*AS197,VALUE('Capacity summary'!AS109)),0),AS197*$BI197),AS197*$BI197),0)</f>
        <v>0</v>
      </c>
      <c r="CW197" s="5">
        <f>IF($BI197&lt;&gt;"",IF('Capacity summary'!$C$14="Yes",IF(COUNTBLANK('Capacity summary'!$H109:$BG109)&lt;52,IF('Capacity summary'!AT109&lt;&gt;"",IF(LOWER('Capacity summary'!AT109)="x",$BI197*AT197,VALUE('Capacity summary'!AT109)),0),AT197*$BI197),AT197*$BI197),0)</f>
        <v>0</v>
      </c>
      <c r="CX197" s="5">
        <f>IF($BI197&lt;&gt;"",IF('Capacity summary'!$C$14="Yes",IF(COUNTBLANK('Capacity summary'!$H109:$BG109)&lt;52,IF('Capacity summary'!AU109&lt;&gt;"",IF(LOWER('Capacity summary'!AU109)="x",$BI197*AU197,VALUE('Capacity summary'!AU109)),0),AU197*$BI197),AU197*$BI197),0)</f>
        <v>0</v>
      </c>
      <c r="CY197" s="5">
        <f>IF($BI197&lt;&gt;"",IF('Capacity summary'!$C$14="Yes",IF(COUNTBLANK('Capacity summary'!$H109:$BG109)&lt;52,IF('Capacity summary'!AV109&lt;&gt;"",IF(LOWER('Capacity summary'!AV109)="x",$BI197*AV197,VALUE('Capacity summary'!AV109)),0),AV197*$BI197),AV197*$BI197),0)</f>
        <v>0</v>
      </c>
      <c r="CZ197" s="5">
        <f>IF($BI197&lt;&gt;"",IF('Capacity summary'!$C$14="Yes",IF(COUNTBLANK('Capacity summary'!$H109:$BG109)&lt;52,IF('Capacity summary'!AW109&lt;&gt;"",IF(LOWER('Capacity summary'!AW109)="x",$BI197*AW197,VALUE('Capacity summary'!AW109)),0),AW197*$BI197),AW197*$BI197),0)</f>
        <v>0</v>
      </c>
      <c r="DA197" s="5">
        <f>IF($BI197&lt;&gt;"",IF('Capacity summary'!$C$14="Yes",IF(COUNTBLANK('Capacity summary'!$H109:$BG109)&lt;52,IF('Capacity summary'!AX109&lt;&gt;"",IF(LOWER('Capacity summary'!AX109)="x",$BI197*AX197,VALUE('Capacity summary'!AX109)),0),AX197*$BI197),AX197*$BI197),0)</f>
        <v>0</v>
      </c>
      <c r="DB197" s="5">
        <f>IF($BI197&lt;&gt;"",IF('Capacity summary'!$C$14="Yes",IF(COUNTBLANK('Capacity summary'!$H109:$BG109)&lt;52,IF('Capacity summary'!AY109&lt;&gt;"",IF(LOWER('Capacity summary'!AY109)="x",$BI197*AY197,VALUE('Capacity summary'!AY109)),0),AY197*$BI197),AY197*$BI197),0)</f>
        <v>0</v>
      </c>
      <c r="DC197" s="5">
        <f>IF($BI197&lt;&gt;"",IF('Capacity summary'!$C$14="Yes",IF(COUNTBLANK('Capacity summary'!$H109:$BG109)&lt;52,IF('Capacity summary'!AZ109&lt;&gt;"",IF(LOWER('Capacity summary'!AZ109)="x",$BI197*AZ197,VALUE('Capacity summary'!AZ109)),0),AZ197*$BI197),AZ197*$BI197),0)</f>
        <v>0</v>
      </c>
      <c r="DD197" s="5">
        <f>IF($BI197&lt;&gt;"",IF('Capacity summary'!$C$14="Yes",IF(COUNTBLANK('Capacity summary'!$H109:$BG109)&lt;52,IF('Capacity summary'!BA109&lt;&gt;"",IF(LOWER('Capacity summary'!BA109)="x",$BI197*BA197,VALUE('Capacity summary'!BA109)),0),BA197*$BI197),BA197*$BI197),0)</f>
        <v>0</v>
      </c>
      <c r="DE197" s="5">
        <f>IF($BI197&lt;&gt;"",IF('Capacity summary'!$C$14="Yes",IF(COUNTBLANK('Capacity summary'!$H109:$BG109)&lt;52,IF('Capacity summary'!BB109&lt;&gt;"",IF(LOWER('Capacity summary'!BB109)="x",$BI197*BB197,VALUE('Capacity summary'!BB109)),0),BB197*$BI197),BB197*$BI197),0)</f>
        <v>0</v>
      </c>
      <c r="DF197" s="5">
        <f>IF($BI197&lt;&gt;"",IF('Capacity summary'!$C$14="Yes",IF(COUNTBLANK('Capacity summary'!$H109:$BG109)&lt;52,IF('Capacity summary'!BC109&lt;&gt;"",IF(LOWER('Capacity summary'!BC109)="x",$BI197*BC197,VALUE('Capacity summary'!BC109)),0),BC197*$BI197),BC197*$BI197),0)</f>
        <v>0</v>
      </c>
      <c r="DG197" s="5">
        <f>IF($BI197&lt;&gt;"",IF('Capacity summary'!$C$14="Yes",IF(COUNTBLANK('Capacity summary'!$H109:$BG109)&lt;52,IF('Capacity summary'!BD109&lt;&gt;"",IF(LOWER('Capacity summary'!BD109)="x",$BI197*BD197,VALUE('Capacity summary'!BD109)),0),BD197*$BI197),BD197*$BI197),0)</f>
        <v>0</v>
      </c>
      <c r="DH197" s="5">
        <f>IF($BI197&lt;&gt;"",IF('Capacity summary'!$C$14="Yes",IF(COUNTBLANK('Capacity summary'!$H109:$BG109)&lt;52,IF('Capacity summary'!BE109&lt;&gt;"",IF(LOWER('Capacity summary'!BE109)="x",$BI197*BE197,VALUE('Capacity summary'!BE109)),0),BE197*$BI197),BE197*$BI197),0)</f>
        <v>0</v>
      </c>
      <c r="DI197" s="5">
        <f>IF($BI197&lt;&gt;"",IF('Capacity summary'!$C$14="Yes",IF(COUNTBLANK('Capacity summary'!$H109:$BG109)&lt;52,IF('Capacity summary'!BF109&lt;&gt;"",IF(LOWER('Capacity summary'!BF109)="x",$BI197*BF197,VALUE('Capacity summary'!BF109)),0),BF197*$BI197),BF197*$BI197),0)</f>
        <v>0</v>
      </c>
      <c r="DJ197" s="5">
        <f>IF($BI197&lt;&gt;"",IF('Capacity summary'!$C$14="Yes",IF(COUNTBLANK('Capacity summary'!$H109:$BG109)&lt;52,IF('Capacity summary'!BG109&lt;&gt;"",IF(LOWER('Capacity summary'!BG109)="x",$BI197*BG197,VALUE('Capacity summary'!BG109)),0),BG197*$BI197),BG197*$BI197),0)</f>
        <v>0</v>
      </c>
      <c r="DK197" s="391">
        <f t="shared" si="10"/>
        <v>0</v>
      </c>
      <c r="DL197" s="5">
        <f t="shared" si="11"/>
        <v>0</v>
      </c>
    </row>
    <row r="198" spans="3:116" x14ac:dyDescent="0.2">
      <c r="C198" s="67" t="str">
        <f>ROW(A87)&amp;". "&amp;Capacity!N103</f>
        <v xml:space="preserve">87. </v>
      </c>
      <c r="D198" s="67">
        <f>'Capacity setup'!C204</f>
        <v>0</v>
      </c>
      <c r="E198" s="67">
        <f>'Capacity setup'!D204</f>
        <v>0</v>
      </c>
      <c r="F198" s="67">
        <f>'Capacity setup'!E204</f>
        <v>0</v>
      </c>
      <c r="H198" s="67">
        <f ca="1">IF(LOWER(Capacity!$V103)="x",IF(AND(SUMIF(Capacity_Resource,$D198,'Critical resources (hide)'!U$6:U$105)+SUMIF(Capacity_Resource,$E198,'Critical resources (hide)'!U$6:U$105)+SUMIF(Capacity_Resource,$F198,'Critical resources (hide)'!U$6:U$105)&gt;0,$E$1=2),0,1),0)</f>
        <v>1</v>
      </c>
      <c r="I198" s="67">
        <f ca="1">IF(LOWER(Capacity!$V103)="x",IF(AND(SUMIF(Capacity_Resource,$D198,'Critical resources (hide)'!V$6:V$105)+SUMIF(Capacity_Resource,$E198,'Critical resources (hide)'!V$6:V$105)+SUMIF(Capacity_Resource,$F198,'Critical resources (hide)'!V$6:V$105)&gt;0,$E$1=2),0,1),0)</f>
        <v>1</v>
      </c>
      <c r="J198" s="67">
        <f ca="1">IF(LOWER(Capacity!$V103)="x",IF(AND(SUMIF(Capacity_Resource,$D198,'Critical resources (hide)'!W$6:W$105)+SUMIF(Capacity_Resource,$E198,'Critical resources (hide)'!W$6:W$105)+SUMIF(Capacity_Resource,$F198,'Critical resources (hide)'!W$6:W$105)&gt;0,$E$1=2),0,1),0)</f>
        <v>1</v>
      </c>
      <c r="K198" s="67">
        <f ca="1">IF(LOWER(Capacity!$V103)="x",IF(AND(SUMIF(Capacity_Resource,$D198,'Critical resources (hide)'!X$6:X$105)+SUMIF(Capacity_Resource,$E198,'Critical resources (hide)'!X$6:X$105)+SUMIF(Capacity_Resource,$F198,'Critical resources (hide)'!X$6:X$105)&gt;0,$E$1=2),0,1),0)</f>
        <v>1</v>
      </c>
      <c r="L198" s="67">
        <f ca="1">IF(LOWER(Capacity!$V103)="x",IF(AND(SUMIF(Capacity_Resource,$D198,'Critical resources (hide)'!Y$6:Y$105)+SUMIF(Capacity_Resource,$E198,'Critical resources (hide)'!Y$6:Y$105)+SUMIF(Capacity_Resource,$F198,'Critical resources (hide)'!Y$6:Y$105)&gt;0,$E$1=2),0,1),0)</f>
        <v>1</v>
      </c>
      <c r="M198" s="67">
        <f ca="1">IF(LOWER(Capacity!$V103)="x",IF(AND(SUMIF(Capacity_Resource,$D198,'Critical resources (hide)'!Z$6:Z$105)+SUMIF(Capacity_Resource,$E198,'Critical resources (hide)'!Z$6:Z$105)+SUMIF(Capacity_Resource,$F198,'Critical resources (hide)'!Z$6:Z$105)&gt;0,$E$1=2),0,1),0)</f>
        <v>1</v>
      </c>
      <c r="N198" s="67">
        <f ca="1">IF(LOWER(Capacity!$V103)="x",IF(AND(SUMIF(Capacity_Resource,$D198,'Critical resources (hide)'!AA$6:AA$105)+SUMIF(Capacity_Resource,$E198,'Critical resources (hide)'!AA$6:AA$105)+SUMIF(Capacity_Resource,$F198,'Critical resources (hide)'!AA$6:AA$105)&gt;0,$E$1=2),0,1),0)</f>
        <v>1</v>
      </c>
      <c r="O198" s="67">
        <f ca="1">IF(LOWER(Capacity!$V103)="x",IF(AND(SUMIF(Capacity_Resource,$D198,'Critical resources (hide)'!AB$6:AB$105)+SUMIF(Capacity_Resource,$E198,'Critical resources (hide)'!AB$6:AB$105)+SUMIF(Capacity_Resource,$F198,'Critical resources (hide)'!AB$6:AB$105)&gt;0,$E$1=2),0,1),0)</f>
        <v>1</v>
      </c>
      <c r="P198" s="67">
        <f ca="1">IF(LOWER(Capacity!$V103)="x",IF(AND(SUMIF(Capacity_Resource,$D198,'Critical resources (hide)'!AC$6:AC$105)+SUMIF(Capacity_Resource,$E198,'Critical resources (hide)'!AC$6:AC$105)+SUMIF(Capacity_Resource,$F198,'Critical resources (hide)'!AC$6:AC$105)&gt;0,$E$1=2),0,1),0)</f>
        <v>1</v>
      </c>
      <c r="Q198" s="67">
        <f ca="1">IF(LOWER(Capacity!$V103)="x",IF(AND(SUMIF(Capacity_Resource,$D198,'Critical resources (hide)'!AD$6:AD$105)+SUMIF(Capacity_Resource,$E198,'Critical resources (hide)'!AD$6:AD$105)+SUMIF(Capacity_Resource,$F198,'Critical resources (hide)'!AD$6:AD$105)&gt;0,$E$1=2),0,1),0)</f>
        <v>1</v>
      </c>
      <c r="R198" s="67">
        <f ca="1">IF(LOWER(Capacity!$V103)="x",IF(AND(SUMIF(Capacity_Resource,$D198,'Critical resources (hide)'!AE$6:AE$105)+SUMIF(Capacity_Resource,$E198,'Critical resources (hide)'!AE$6:AE$105)+SUMIF(Capacity_Resource,$F198,'Critical resources (hide)'!AE$6:AE$105)&gt;0,$E$1=2),0,1),0)</f>
        <v>1</v>
      </c>
      <c r="S198" s="67">
        <f ca="1">IF(LOWER(Capacity!$V103)="x",IF(AND(SUMIF(Capacity_Resource,$D198,'Critical resources (hide)'!AF$6:AF$105)+SUMIF(Capacity_Resource,$E198,'Critical resources (hide)'!AF$6:AF$105)+SUMIF(Capacity_Resource,$F198,'Critical resources (hide)'!AF$6:AF$105)&gt;0,$E$1=2),0,1),0)</f>
        <v>1</v>
      </c>
      <c r="T198" s="67">
        <f ca="1">IF(LOWER(Capacity!$V103)="x",IF(AND(SUMIF(Capacity_Resource,$D198,'Critical resources (hide)'!AG$6:AG$105)+SUMIF(Capacity_Resource,$E198,'Critical resources (hide)'!AG$6:AG$105)+SUMIF(Capacity_Resource,$F198,'Critical resources (hide)'!AG$6:AG$105)&gt;0,$E$1=2),0,1),0)</f>
        <v>1</v>
      </c>
      <c r="U198" s="67">
        <f ca="1">IF(LOWER(Capacity!$V103)="x",IF(AND(SUMIF(Capacity_Resource,$D198,'Critical resources (hide)'!AH$6:AH$105)+SUMIF(Capacity_Resource,$E198,'Critical resources (hide)'!AH$6:AH$105)+SUMIF(Capacity_Resource,$F198,'Critical resources (hide)'!AH$6:AH$105)&gt;0,$E$1=2),0,1),0)</f>
        <v>1</v>
      </c>
      <c r="V198" s="67">
        <f ca="1">IF(LOWER(Capacity!$V103)="x",IF(AND(SUMIF(Capacity_Resource,$D198,'Critical resources (hide)'!AI$6:AI$105)+SUMIF(Capacity_Resource,$E198,'Critical resources (hide)'!AI$6:AI$105)+SUMIF(Capacity_Resource,$F198,'Critical resources (hide)'!AI$6:AI$105)&gt;0,$E$1=2),0,1),0)</f>
        <v>1</v>
      </c>
      <c r="W198" s="67">
        <f ca="1">IF(LOWER(Capacity!$V103)="x",IF(AND(SUMIF(Capacity_Resource,$D198,'Critical resources (hide)'!AJ$6:AJ$105)+SUMIF(Capacity_Resource,$E198,'Critical resources (hide)'!AJ$6:AJ$105)+SUMIF(Capacity_Resource,$F198,'Critical resources (hide)'!AJ$6:AJ$105)&gt;0,$E$1=2),0,1),0)</f>
        <v>1</v>
      </c>
      <c r="X198" s="67">
        <f ca="1">IF(LOWER(Capacity!$V103)="x",IF(AND(SUMIF(Capacity_Resource,$D198,'Critical resources (hide)'!AK$6:AK$105)+SUMIF(Capacity_Resource,$E198,'Critical resources (hide)'!AK$6:AK$105)+SUMIF(Capacity_Resource,$F198,'Critical resources (hide)'!AK$6:AK$105)&gt;0,$E$1=2),0,1),0)</f>
        <v>1</v>
      </c>
      <c r="Y198" s="67">
        <f ca="1">IF(LOWER(Capacity!$V103)="x",IF(AND(SUMIF(Capacity_Resource,$D198,'Critical resources (hide)'!AL$6:AL$105)+SUMIF(Capacity_Resource,$E198,'Critical resources (hide)'!AL$6:AL$105)+SUMIF(Capacity_Resource,$F198,'Critical resources (hide)'!AL$6:AL$105)&gt;0,$E$1=2),0,1),0)</f>
        <v>1</v>
      </c>
      <c r="Z198" s="67">
        <f ca="1">IF(LOWER(Capacity!$V103)="x",IF(AND(SUMIF(Capacity_Resource,$D198,'Critical resources (hide)'!AM$6:AM$105)+SUMIF(Capacity_Resource,$E198,'Critical resources (hide)'!AM$6:AM$105)+SUMIF(Capacity_Resource,$F198,'Critical resources (hide)'!AM$6:AM$105)&gt;0,$E$1=2),0,1),0)</f>
        <v>1</v>
      </c>
      <c r="AA198" s="67">
        <f ca="1">IF(LOWER(Capacity!$V103)="x",IF(AND(SUMIF(Capacity_Resource,$D198,'Critical resources (hide)'!AN$6:AN$105)+SUMIF(Capacity_Resource,$E198,'Critical resources (hide)'!AN$6:AN$105)+SUMIF(Capacity_Resource,$F198,'Critical resources (hide)'!AN$6:AN$105)&gt;0,$E$1=2),0,1),0)</f>
        <v>1</v>
      </c>
      <c r="AB198" s="67">
        <f ca="1">IF(LOWER(Capacity!$V103)="x",IF(AND(SUMIF(Capacity_Resource,$D198,'Critical resources (hide)'!AO$6:AO$105)+SUMIF(Capacity_Resource,$E198,'Critical resources (hide)'!AO$6:AO$105)+SUMIF(Capacity_Resource,$F198,'Critical resources (hide)'!AO$6:AO$105)&gt;0,$E$1=2),0,1),0)</f>
        <v>1</v>
      </c>
      <c r="AC198" s="67">
        <f ca="1">IF(LOWER(Capacity!$V103)="x",IF(AND(SUMIF(Capacity_Resource,$D198,'Critical resources (hide)'!AP$6:AP$105)+SUMIF(Capacity_Resource,$E198,'Critical resources (hide)'!AP$6:AP$105)+SUMIF(Capacity_Resource,$F198,'Critical resources (hide)'!AP$6:AP$105)&gt;0,$E$1=2),0,1),0)</f>
        <v>1</v>
      </c>
      <c r="AD198" s="67">
        <f ca="1">IF(LOWER(Capacity!$V103)="x",IF(AND(SUMIF(Capacity_Resource,$D198,'Critical resources (hide)'!AQ$6:AQ$105)+SUMIF(Capacity_Resource,$E198,'Critical resources (hide)'!AQ$6:AQ$105)+SUMIF(Capacity_Resource,$F198,'Critical resources (hide)'!AQ$6:AQ$105)&gt;0,$E$1=2),0,1),0)</f>
        <v>1</v>
      </c>
      <c r="AE198" s="67">
        <f ca="1">IF(LOWER(Capacity!$V103)="x",IF(AND(SUMIF(Capacity_Resource,$D198,'Critical resources (hide)'!AR$6:AR$105)+SUMIF(Capacity_Resource,$E198,'Critical resources (hide)'!AR$6:AR$105)+SUMIF(Capacity_Resource,$F198,'Critical resources (hide)'!AR$6:AR$105)&gt;0,$E$1=2),0,1),0)</f>
        <v>1</v>
      </c>
      <c r="AF198" s="67">
        <f ca="1">IF(LOWER(Capacity!$V103)="x",IF(AND(SUMIF(Capacity_Resource,$D198,'Critical resources (hide)'!AS$6:AS$105)+SUMIF(Capacity_Resource,$E198,'Critical resources (hide)'!AS$6:AS$105)+SUMIF(Capacity_Resource,$F198,'Critical resources (hide)'!AS$6:AS$105)&gt;0,$E$1=2),0,1),0)</f>
        <v>1</v>
      </c>
      <c r="AG198" s="67">
        <f ca="1">IF(LOWER(Capacity!$V103)="x",IF(AND(SUMIF(Capacity_Resource,$D198,'Critical resources (hide)'!AT$6:AT$105)+SUMIF(Capacity_Resource,$E198,'Critical resources (hide)'!AT$6:AT$105)+SUMIF(Capacity_Resource,$F198,'Critical resources (hide)'!AT$6:AT$105)&gt;0,$E$1=2),0,1),0)</f>
        <v>1</v>
      </c>
      <c r="AH198" s="67">
        <f ca="1">IF(LOWER(Capacity!$V103)="x",IF(AND(SUMIF(Capacity_Resource,$D198,'Critical resources (hide)'!AU$6:AU$105)+SUMIF(Capacity_Resource,$E198,'Critical resources (hide)'!AU$6:AU$105)+SUMIF(Capacity_Resource,$F198,'Critical resources (hide)'!AU$6:AU$105)&gt;0,$E$1=2),0,1),0)</f>
        <v>1</v>
      </c>
      <c r="AI198" s="67">
        <f ca="1">IF(LOWER(Capacity!$V103)="x",IF(AND(SUMIF(Capacity_Resource,$D198,'Critical resources (hide)'!AV$6:AV$105)+SUMIF(Capacity_Resource,$E198,'Critical resources (hide)'!AV$6:AV$105)+SUMIF(Capacity_Resource,$F198,'Critical resources (hide)'!AV$6:AV$105)&gt;0,$E$1=2),0,1),0)</f>
        <v>1</v>
      </c>
      <c r="AJ198" s="67">
        <f ca="1">IF(LOWER(Capacity!$V103)="x",IF(AND(SUMIF(Capacity_Resource,$D198,'Critical resources (hide)'!AW$6:AW$105)+SUMIF(Capacity_Resource,$E198,'Critical resources (hide)'!AW$6:AW$105)+SUMIF(Capacity_Resource,$F198,'Critical resources (hide)'!AW$6:AW$105)&gt;0,$E$1=2),0,1),0)</f>
        <v>1</v>
      </c>
      <c r="AK198" s="67">
        <f ca="1">IF(LOWER(Capacity!$V103)="x",IF(AND(SUMIF(Capacity_Resource,$D198,'Critical resources (hide)'!AX$6:AX$105)+SUMIF(Capacity_Resource,$E198,'Critical resources (hide)'!AX$6:AX$105)+SUMIF(Capacity_Resource,$F198,'Critical resources (hide)'!AX$6:AX$105)&gt;0,$E$1=2),0,1),0)</f>
        <v>1</v>
      </c>
      <c r="AL198" s="67">
        <f ca="1">IF(LOWER(Capacity!$V103)="x",IF(AND(SUMIF(Capacity_Resource,$D198,'Critical resources (hide)'!AY$6:AY$105)+SUMIF(Capacity_Resource,$E198,'Critical resources (hide)'!AY$6:AY$105)+SUMIF(Capacity_Resource,$F198,'Critical resources (hide)'!AY$6:AY$105)&gt;0,$E$1=2),0,1),0)</f>
        <v>1</v>
      </c>
      <c r="AM198" s="67">
        <f ca="1">IF(LOWER(Capacity!$V103)="x",IF(AND(SUMIF(Capacity_Resource,$D198,'Critical resources (hide)'!AZ$6:AZ$105)+SUMIF(Capacity_Resource,$E198,'Critical resources (hide)'!AZ$6:AZ$105)+SUMIF(Capacity_Resource,$F198,'Critical resources (hide)'!AZ$6:AZ$105)&gt;0,$E$1=2),0,1),0)</f>
        <v>1</v>
      </c>
      <c r="AN198" s="67">
        <f ca="1">IF(LOWER(Capacity!$V103)="x",IF(AND(SUMIF(Capacity_Resource,$D198,'Critical resources (hide)'!BA$6:BA$105)+SUMIF(Capacity_Resource,$E198,'Critical resources (hide)'!BA$6:BA$105)+SUMIF(Capacity_Resource,$F198,'Critical resources (hide)'!BA$6:BA$105)&gt;0,$E$1=2),0,1),0)</f>
        <v>1</v>
      </c>
      <c r="AO198" s="67">
        <f ca="1">IF(LOWER(Capacity!$V103)="x",IF(AND(SUMIF(Capacity_Resource,$D198,'Critical resources (hide)'!BB$6:BB$105)+SUMIF(Capacity_Resource,$E198,'Critical resources (hide)'!BB$6:BB$105)+SUMIF(Capacity_Resource,$F198,'Critical resources (hide)'!BB$6:BB$105)&gt;0,$E$1=2),0,1),0)</f>
        <v>1</v>
      </c>
      <c r="AP198" s="67">
        <f ca="1">IF(LOWER(Capacity!$V103)="x",IF(AND(SUMIF(Capacity_Resource,$D198,'Critical resources (hide)'!BC$6:BC$105)+SUMIF(Capacity_Resource,$E198,'Critical resources (hide)'!BC$6:BC$105)+SUMIF(Capacity_Resource,$F198,'Critical resources (hide)'!BC$6:BC$105)&gt;0,$E$1=2),0,1),0)</f>
        <v>1</v>
      </c>
      <c r="AQ198" s="67">
        <f ca="1">IF(LOWER(Capacity!$V103)="x",IF(AND(SUMIF(Capacity_Resource,$D198,'Critical resources (hide)'!BD$6:BD$105)+SUMIF(Capacity_Resource,$E198,'Critical resources (hide)'!BD$6:BD$105)+SUMIF(Capacity_Resource,$F198,'Critical resources (hide)'!BD$6:BD$105)&gt;0,$E$1=2),0,1),0)</f>
        <v>1</v>
      </c>
      <c r="AR198" s="67">
        <f ca="1">IF(LOWER(Capacity!$V103)="x",IF(AND(SUMIF(Capacity_Resource,$D198,'Critical resources (hide)'!BE$6:BE$105)+SUMIF(Capacity_Resource,$E198,'Critical resources (hide)'!BE$6:BE$105)+SUMIF(Capacity_Resource,$F198,'Critical resources (hide)'!BE$6:BE$105)&gt;0,$E$1=2),0,1),0)</f>
        <v>1</v>
      </c>
      <c r="AS198" s="67">
        <f ca="1">IF(LOWER(Capacity!$V103)="x",IF(AND(SUMIF(Capacity_Resource,$D198,'Critical resources (hide)'!BF$6:BF$105)+SUMIF(Capacity_Resource,$E198,'Critical resources (hide)'!BF$6:BF$105)+SUMIF(Capacity_Resource,$F198,'Critical resources (hide)'!BF$6:BF$105)&gt;0,$E$1=2),0,1),0)</f>
        <v>1</v>
      </c>
      <c r="AT198" s="67">
        <f ca="1">IF(LOWER(Capacity!$V103)="x",IF(AND(SUMIF(Capacity_Resource,$D198,'Critical resources (hide)'!BG$6:BG$105)+SUMIF(Capacity_Resource,$E198,'Critical resources (hide)'!BG$6:BG$105)+SUMIF(Capacity_Resource,$F198,'Critical resources (hide)'!BG$6:BG$105)&gt;0,$E$1=2),0,1),0)</f>
        <v>1</v>
      </c>
      <c r="AU198" s="67">
        <f ca="1">IF(LOWER(Capacity!$V103)="x",IF(AND(SUMIF(Capacity_Resource,$D198,'Critical resources (hide)'!BH$6:BH$105)+SUMIF(Capacity_Resource,$E198,'Critical resources (hide)'!BH$6:BH$105)+SUMIF(Capacity_Resource,$F198,'Critical resources (hide)'!BH$6:BH$105)&gt;0,$E$1=2),0,1),0)</f>
        <v>1</v>
      </c>
      <c r="AV198" s="67">
        <f ca="1">IF(LOWER(Capacity!$V103)="x",IF(AND(SUMIF(Capacity_Resource,$D198,'Critical resources (hide)'!BI$6:BI$105)+SUMIF(Capacity_Resource,$E198,'Critical resources (hide)'!BI$6:BI$105)+SUMIF(Capacity_Resource,$F198,'Critical resources (hide)'!BI$6:BI$105)&gt;0,$E$1=2),0,1),0)</f>
        <v>1</v>
      </c>
      <c r="AW198" s="67">
        <f ca="1">IF(LOWER(Capacity!$V103)="x",IF(AND(SUMIF(Capacity_Resource,$D198,'Critical resources (hide)'!BJ$6:BJ$105)+SUMIF(Capacity_Resource,$E198,'Critical resources (hide)'!BJ$6:BJ$105)+SUMIF(Capacity_Resource,$F198,'Critical resources (hide)'!BJ$6:BJ$105)&gt;0,$E$1=2),0,1),0)</f>
        <v>1</v>
      </c>
      <c r="AX198" s="67">
        <f ca="1">IF(LOWER(Capacity!$V103)="x",IF(AND(SUMIF(Capacity_Resource,$D198,'Critical resources (hide)'!BK$6:BK$105)+SUMIF(Capacity_Resource,$E198,'Critical resources (hide)'!BK$6:BK$105)+SUMIF(Capacity_Resource,$F198,'Critical resources (hide)'!BK$6:BK$105)&gt;0,$E$1=2),0,1),0)</f>
        <v>1</v>
      </c>
      <c r="AY198" s="67">
        <f ca="1">IF(LOWER(Capacity!$V103)="x",IF(AND(SUMIF(Capacity_Resource,$D198,'Critical resources (hide)'!BL$6:BL$105)+SUMIF(Capacity_Resource,$E198,'Critical resources (hide)'!BL$6:BL$105)+SUMIF(Capacity_Resource,$F198,'Critical resources (hide)'!BL$6:BL$105)&gt;0,$E$1=2),0,1),0)</f>
        <v>1</v>
      </c>
      <c r="AZ198" s="67">
        <f ca="1">IF(LOWER(Capacity!$V103)="x",IF(AND(SUMIF(Capacity_Resource,$D198,'Critical resources (hide)'!BM$6:BM$105)+SUMIF(Capacity_Resource,$E198,'Critical resources (hide)'!BM$6:BM$105)+SUMIF(Capacity_Resource,$F198,'Critical resources (hide)'!BM$6:BM$105)&gt;0,$E$1=2),0,1),0)</f>
        <v>1</v>
      </c>
      <c r="BA198" s="67">
        <f ca="1">IF(LOWER(Capacity!$V103)="x",IF(AND(SUMIF(Capacity_Resource,$D198,'Critical resources (hide)'!BN$6:BN$105)+SUMIF(Capacity_Resource,$E198,'Critical resources (hide)'!BN$6:BN$105)+SUMIF(Capacity_Resource,$F198,'Critical resources (hide)'!BN$6:BN$105)&gt;0,$E$1=2),0,1),0)</f>
        <v>1</v>
      </c>
      <c r="BB198" s="67">
        <f ca="1">IF(LOWER(Capacity!$V103)="x",IF(AND(SUMIF(Capacity_Resource,$D198,'Critical resources (hide)'!BO$6:BO$105)+SUMIF(Capacity_Resource,$E198,'Critical resources (hide)'!BO$6:BO$105)+SUMIF(Capacity_Resource,$F198,'Critical resources (hide)'!BO$6:BO$105)&gt;0,$E$1=2),0,1),0)</f>
        <v>1</v>
      </c>
      <c r="BC198" s="67">
        <f ca="1">IF(LOWER(Capacity!$V103)="x",IF(AND(SUMIF(Capacity_Resource,$D198,'Critical resources (hide)'!BP$6:BP$105)+SUMIF(Capacity_Resource,$E198,'Critical resources (hide)'!BP$6:BP$105)+SUMIF(Capacity_Resource,$F198,'Critical resources (hide)'!BP$6:BP$105)&gt;0,$E$1=2),0,1),0)</f>
        <v>1</v>
      </c>
      <c r="BD198" s="67">
        <f ca="1">IF(LOWER(Capacity!$V103)="x",IF(AND(SUMIF(Capacity_Resource,$D198,'Critical resources (hide)'!BQ$6:BQ$105)+SUMIF(Capacity_Resource,$E198,'Critical resources (hide)'!BQ$6:BQ$105)+SUMIF(Capacity_Resource,$F198,'Critical resources (hide)'!BQ$6:BQ$105)&gt;0,$E$1=2),0,1),0)</f>
        <v>1</v>
      </c>
      <c r="BE198" s="67">
        <f ca="1">IF(LOWER(Capacity!$V103)="x",IF(AND(SUMIF(Capacity_Resource,$D198,'Critical resources (hide)'!BR$6:BR$105)+SUMIF(Capacity_Resource,$E198,'Critical resources (hide)'!BR$6:BR$105)+SUMIF(Capacity_Resource,$F198,'Critical resources (hide)'!BR$6:BR$105)&gt;0,$E$1=2),0,1),0)</f>
        <v>1</v>
      </c>
      <c r="BF198" s="67">
        <f ca="1">IF(LOWER(Capacity!$V103)="x",IF(AND(SUMIF(Capacity_Resource,$D198,'Critical resources (hide)'!BS$6:BS$105)+SUMIF(Capacity_Resource,$E198,'Critical resources (hide)'!BS$6:BS$105)+SUMIF(Capacity_Resource,$F198,'Critical resources (hide)'!BS$6:BS$105)&gt;0,$E$1=2),0,1),0)</f>
        <v>1</v>
      </c>
      <c r="BG198" s="67">
        <f ca="1">IF(LOWER(Capacity!$V103)="x",IF(AND(SUMIF(Capacity_Resource,$D198,'Critical resources (hide)'!BT$6:BT$105)+SUMIF(Capacity_Resource,$E198,'Critical resources (hide)'!BT$6:BT$105)+SUMIF(Capacity_Resource,$F198,'Critical resources (hide)'!BT$6:BT$105)&gt;0,$E$1=2),0,1),0)</f>
        <v>1</v>
      </c>
      <c r="BH198" s="67">
        <f>IF(ROW(A87)&lt;=Capacity!$M$16,IF('Capacity summary'!$C$14="No",SUM(H198:BG198),'Capacity summary'!$E110),0)</f>
        <v>0</v>
      </c>
      <c r="BI198" s="67" t="str">
        <f>IF(BH198&gt;0,IF(BH198&lt;Capacity!Q103,Capacity!R103,Capacity!T103/'Capacity calculation (hide)'!BH198),"")</f>
        <v/>
      </c>
      <c r="BJ198" s="5"/>
      <c r="BK198" s="5">
        <f>IF($BI198&lt;&gt;"",IF('Capacity summary'!$C$14="Yes",IF(COUNTBLANK('Capacity summary'!$H110:$BG110)&lt;52,IF('Capacity summary'!H110&lt;&gt;"",IF(LOWER('Capacity summary'!H110)="x",$BI198*H198,VALUE('Capacity summary'!H110)),0),H198*$BI198),H198*$BI198),0)</f>
        <v>0</v>
      </c>
      <c r="BL198" s="5">
        <f>IF($BI198&lt;&gt;"",IF('Capacity summary'!$C$14="Yes",IF(COUNTBLANK('Capacity summary'!$H110:$BG110)&lt;52,IF('Capacity summary'!I110&lt;&gt;"",IF(LOWER('Capacity summary'!I110)="x",$BI198*I198,VALUE('Capacity summary'!I110)),0),I198*$BI198),I198*$BI198),0)</f>
        <v>0</v>
      </c>
      <c r="BM198" s="5">
        <f>IF($BI198&lt;&gt;"",IF('Capacity summary'!$C$14="Yes",IF(COUNTBLANK('Capacity summary'!$H110:$BG110)&lt;52,IF('Capacity summary'!J110&lt;&gt;"",IF(LOWER('Capacity summary'!J110)="x",$BI198*J198,VALUE('Capacity summary'!J110)),0),J198*$BI198),J198*$BI198),0)</f>
        <v>0</v>
      </c>
      <c r="BN198" s="5">
        <f>IF($BI198&lt;&gt;"",IF('Capacity summary'!$C$14="Yes",IF(COUNTBLANK('Capacity summary'!$H110:$BG110)&lt;52,IF('Capacity summary'!K110&lt;&gt;"",IF(LOWER('Capacity summary'!K110)="x",$BI198*K198,VALUE('Capacity summary'!K110)),0),K198*$BI198),K198*$BI198),0)</f>
        <v>0</v>
      </c>
      <c r="BO198" s="5">
        <f>IF($BI198&lt;&gt;"",IF('Capacity summary'!$C$14="Yes",IF(COUNTBLANK('Capacity summary'!$H110:$BG110)&lt;52,IF('Capacity summary'!L110&lt;&gt;"",IF(LOWER('Capacity summary'!L110)="x",$BI198*L198,VALUE('Capacity summary'!L110)),0),L198*$BI198),L198*$BI198),0)</f>
        <v>0</v>
      </c>
      <c r="BP198" s="5">
        <f>IF($BI198&lt;&gt;"",IF('Capacity summary'!$C$14="Yes",IF(COUNTBLANK('Capacity summary'!$H110:$BG110)&lt;52,IF('Capacity summary'!M110&lt;&gt;"",IF(LOWER('Capacity summary'!M110)="x",$BI198*M198,VALUE('Capacity summary'!M110)),0),M198*$BI198),M198*$BI198),0)</f>
        <v>0</v>
      </c>
      <c r="BQ198" s="5">
        <f>IF($BI198&lt;&gt;"",IF('Capacity summary'!$C$14="Yes",IF(COUNTBLANK('Capacity summary'!$H110:$BG110)&lt;52,IF('Capacity summary'!N110&lt;&gt;"",IF(LOWER('Capacity summary'!N110)="x",$BI198*N198,VALUE('Capacity summary'!N110)),0),N198*$BI198),N198*$BI198),0)</f>
        <v>0</v>
      </c>
      <c r="BR198" s="5">
        <f>IF($BI198&lt;&gt;"",IF('Capacity summary'!$C$14="Yes",IF(COUNTBLANK('Capacity summary'!$H110:$BG110)&lt;52,IF('Capacity summary'!O110&lt;&gt;"",IF(LOWER('Capacity summary'!O110)="x",$BI198*O198,VALUE('Capacity summary'!O110)),0),O198*$BI198),O198*$BI198),0)</f>
        <v>0</v>
      </c>
      <c r="BS198" s="5">
        <f>IF($BI198&lt;&gt;"",IF('Capacity summary'!$C$14="Yes",IF(COUNTBLANK('Capacity summary'!$H110:$BG110)&lt;52,IF('Capacity summary'!P110&lt;&gt;"",IF(LOWER('Capacity summary'!P110)="x",$BI198*P198,VALUE('Capacity summary'!P110)),0),P198*$BI198),P198*$BI198),0)</f>
        <v>0</v>
      </c>
      <c r="BT198" s="5">
        <f>IF($BI198&lt;&gt;"",IF('Capacity summary'!$C$14="Yes",IF(COUNTBLANK('Capacity summary'!$H110:$BG110)&lt;52,IF('Capacity summary'!Q110&lt;&gt;"",IF(LOWER('Capacity summary'!Q110)="x",$BI198*Q198,VALUE('Capacity summary'!Q110)),0),Q198*$BI198),Q198*$BI198),0)</f>
        <v>0</v>
      </c>
      <c r="BU198" s="5">
        <f>IF($BI198&lt;&gt;"",IF('Capacity summary'!$C$14="Yes",IF(COUNTBLANK('Capacity summary'!$H110:$BG110)&lt;52,IF('Capacity summary'!R110&lt;&gt;"",IF(LOWER('Capacity summary'!R110)="x",$BI198*R198,VALUE('Capacity summary'!R110)),0),R198*$BI198),R198*$BI198),0)</f>
        <v>0</v>
      </c>
      <c r="BV198" s="5">
        <f>IF($BI198&lt;&gt;"",IF('Capacity summary'!$C$14="Yes",IF(COUNTBLANK('Capacity summary'!$H110:$BG110)&lt;52,IF('Capacity summary'!S110&lt;&gt;"",IF(LOWER('Capacity summary'!S110)="x",$BI198*S198,VALUE('Capacity summary'!S110)),0),S198*$BI198),S198*$BI198),0)</f>
        <v>0</v>
      </c>
      <c r="BW198" s="5">
        <f>IF($BI198&lt;&gt;"",IF('Capacity summary'!$C$14="Yes",IF(COUNTBLANK('Capacity summary'!$H110:$BG110)&lt;52,IF('Capacity summary'!T110&lt;&gt;"",IF(LOWER('Capacity summary'!T110)="x",$BI198*T198,VALUE('Capacity summary'!T110)),0),T198*$BI198),T198*$BI198),0)</f>
        <v>0</v>
      </c>
      <c r="BX198" s="5">
        <f>IF($BI198&lt;&gt;"",IF('Capacity summary'!$C$14="Yes",IF(COUNTBLANK('Capacity summary'!$H110:$BG110)&lt;52,IF('Capacity summary'!U110&lt;&gt;"",IF(LOWER('Capacity summary'!U110)="x",$BI198*U198,VALUE('Capacity summary'!U110)),0),U198*$BI198),U198*$BI198),0)</f>
        <v>0</v>
      </c>
      <c r="BY198" s="5">
        <f>IF($BI198&lt;&gt;"",IF('Capacity summary'!$C$14="Yes",IF(COUNTBLANK('Capacity summary'!$H110:$BG110)&lt;52,IF('Capacity summary'!V110&lt;&gt;"",IF(LOWER('Capacity summary'!V110)="x",$BI198*V198,VALUE('Capacity summary'!V110)),0),V198*$BI198),V198*$BI198),0)</f>
        <v>0</v>
      </c>
      <c r="BZ198" s="5">
        <f>IF($BI198&lt;&gt;"",IF('Capacity summary'!$C$14="Yes",IF(COUNTBLANK('Capacity summary'!$H110:$BG110)&lt;52,IF('Capacity summary'!W110&lt;&gt;"",IF(LOWER('Capacity summary'!W110)="x",$BI198*W198,VALUE('Capacity summary'!W110)),0),W198*$BI198),W198*$BI198),0)</f>
        <v>0</v>
      </c>
      <c r="CA198" s="5">
        <f>IF($BI198&lt;&gt;"",IF('Capacity summary'!$C$14="Yes",IF(COUNTBLANK('Capacity summary'!$H110:$BG110)&lt;52,IF('Capacity summary'!X110&lt;&gt;"",IF(LOWER('Capacity summary'!X110)="x",$BI198*X198,VALUE('Capacity summary'!X110)),0),X198*$BI198),X198*$BI198),0)</f>
        <v>0</v>
      </c>
      <c r="CB198" s="5">
        <f>IF($BI198&lt;&gt;"",IF('Capacity summary'!$C$14="Yes",IF(COUNTBLANK('Capacity summary'!$H110:$BG110)&lt;52,IF('Capacity summary'!Y110&lt;&gt;"",IF(LOWER('Capacity summary'!Y110)="x",$BI198*Y198,VALUE('Capacity summary'!Y110)),0),Y198*$BI198),Y198*$BI198),0)</f>
        <v>0</v>
      </c>
      <c r="CC198" s="5">
        <f>IF($BI198&lt;&gt;"",IF('Capacity summary'!$C$14="Yes",IF(COUNTBLANK('Capacity summary'!$H110:$BG110)&lt;52,IF('Capacity summary'!Z110&lt;&gt;"",IF(LOWER('Capacity summary'!Z110)="x",$BI198*Z198,VALUE('Capacity summary'!Z110)),0),Z198*$BI198),Z198*$BI198),0)</f>
        <v>0</v>
      </c>
      <c r="CD198" s="5">
        <f>IF($BI198&lt;&gt;"",IF('Capacity summary'!$C$14="Yes",IF(COUNTBLANK('Capacity summary'!$H110:$BG110)&lt;52,IF('Capacity summary'!AA110&lt;&gt;"",IF(LOWER('Capacity summary'!AA110)="x",$BI198*AA198,VALUE('Capacity summary'!AA110)),0),AA198*$BI198),AA198*$BI198),0)</f>
        <v>0</v>
      </c>
      <c r="CE198" s="5">
        <f>IF($BI198&lt;&gt;"",IF('Capacity summary'!$C$14="Yes",IF(COUNTBLANK('Capacity summary'!$H110:$BG110)&lt;52,IF('Capacity summary'!AB110&lt;&gt;"",IF(LOWER('Capacity summary'!AB110)="x",$BI198*AB198,VALUE('Capacity summary'!AB110)),0),AB198*$BI198),AB198*$BI198),0)</f>
        <v>0</v>
      </c>
      <c r="CF198" s="5">
        <f>IF($BI198&lt;&gt;"",IF('Capacity summary'!$C$14="Yes",IF(COUNTBLANK('Capacity summary'!$H110:$BG110)&lt;52,IF('Capacity summary'!AC110&lt;&gt;"",IF(LOWER('Capacity summary'!AC110)="x",$BI198*AC198,VALUE('Capacity summary'!AC110)),0),AC198*$BI198),AC198*$BI198),0)</f>
        <v>0</v>
      </c>
      <c r="CG198" s="5">
        <f>IF($BI198&lt;&gt;"",IF('Capacity summary'!$C$14="Yes",IF(COUNTBLANK('Capacity summary'!$H110:$BG110)&lt;52,IF('Capacity summary'!AD110&lt;&gt;"",IF(LOWER('Capacity summary'!AD110)="x",$BI198*AD198,VALUE('Capacity summary'!AD110)),0),AD198*$BI198),AD198*$BI198),0)</f>
        <v>0</v>
      </c>
      <c r="CH198" s="5">
        <f>IF($BI198&lt;&gt;"",IF('Capacity summary'!$C$14="Yes",IF(COUNTBLANK('Capacity summary'!$H110:$BG110)&lt;52,IF('Capacity summary'!AE110&lt;&gt;"",IF(LOWER('Capacity summary'!AE110)="x",$BI198*AE198,VALUE('Capacity summary'!AE110)),0),AE198*$BI198),AE198*$BI198),0)</f>
        <v>0</v>
      </c>
      <c r="CI198" s="5">
        <f>IF($BI198&lt;&gt;"",IF('Capacity summary'!$C$14="Yes",IF(COUNTBLANK('Capacity summary'!$H110:$BG110)&lt;52,IF('Capacity summary'!AF110&lt;&gt;"",IF(LOWER('Capacity summary'!AF110)="x",$BI198*AF198,VALUE('Capacity summary'!AF110)),0),AF198*$BI198),AF198*$BI198),0)</f>
        <v>0</v>
      </c>
      <c r="CJ198" s="5">
        <f>IF($BI198&lt;&gt;"",IF('Capacity summary'!$C$14="Yes",IF(COUNTBLANK('Capacity summary'!$H110:$BG110)&lt;52,IF('Capacity summary'!AG110&lt;&gt;"",IF(LOWER('Capacity summary'!AG110)="x",$BI198*AG198,VALUE('Capacity summary'!AG110)),0),AG198*$BI198),AG198*$BI198),0)</f>
        <v>0</v>
      </c>
      <c r="CK198" s="5">
        <f>IF($BI198&lt;&gt;"",IF('Capacity summary'!$C$14="Yes",IF(COUNTBLANK('Capacity summary'!$H110:$BG110)&lt;52,IF('Capacity summary'!AH110&lt;&gt;"",IF(LOWER('Capacity summary'!AH110)="x",$BI198*AH198,VALUE('Capacity summary'!AH110)),0),AH198*$BI198),AH198*$BI198),0)</f>
        <v>0</v>
      </c>
      <c r="CL198" s="5">
        <f>IF($BI198&lt;&gt;"",IF('Capacity summary'!$C$14="Yes",IF(COUNTBLANK('Capacity summary'!$H110:$BG110)&lt;52,IF('Capacity summary'!AI110&lt;&gt;"",IF(LOWER('Capacity summary'!AI110)="x",$BI198*AI198,VALUE('Capacity summary'!AI110)),0),AI198*$BI198),AI198*$BI198),0)</f>
        <v>0</v>
      </c>
      <c r="CM198" s="5">
        <f>IF($BI198&lt;&gt;"",IF('Capacity summary'!$C$14="Yes",IF(COUNTBLANK('Capacity summary'!$H110:$BG110)&lt;52,IF('Capacity summary'!AJ110&lt;&gt;"",IF(LOWER('Capacity summary'!AJ110)="x",$BI198*AJ198,VALUE('Capacity summary'!AJ110)),0),AJ198*$BI198),AJ198*$BI198),0)</f>
        <v>0</v>
      </c>
      <c r="CN198" s="5">
        <f>IF($BI198&lt;&gt;"",IF('Capacity summary'!$C$14="Yes",IF(COUNTBLANK('Capacity summary'!$H110:$BG110)&lt;52,IF('Capacity summary'!AK110&lt;&gt;"",IF(LOWER('Capacity summary'!AK110)="x",$BI198*AK198,VALUE('Capacity summary'!AK110)),0),AK198*$BI198),AK198*$BI198),0)</f>
        <v>0</v>
      </c>
      <c r="CO198" s="5">
        <f>IF($BI198&lt;&gt;"",IF('Capacity summary'!$C$14="Yes",IF(COUNTBLANK('Capacity summary'!$H110:$BG110)&lt;52,IF('Capacity summary'!AL110&lt;&gt;"",IF(LOWER('Capacity summary'!AL110)="x",$BI198*AL198,VALUE('Capacity summary'!AL110)),0),AL198*$BI198),AL198*$BI198),0)</f>
        <v>0</v>
      </c>
      <c r="CP198" s="5">
        <f>IF($BI198&lt;&gt;"",IF('Capacity summary'!$C$14="Yes",IF(COUNTBLANK('Capacity summary'!$H110:$BG110)&lt;52,IF('Capacity summary'!AM110&lt;&gt;"",IF(LOWER('Capacity summary'!AM110)="x",$BI198*AM198,VALUE('Capacity summary'!AM110)),0),AM198*$BI198),AM198*$BI198),0)</f>
        <v>0</v>
      </c>
      <c r="CQ198" s="5">
        <f>IF($BI198&lt;&gt;"",IF('Capacity summary'!$C$14="Yes",IF(COUNTBLANK('Capacity summary'!$H110:$BG110)&lt;52,IF('Capacity summary'!AN110&lt;&gt;"",IF(LOWER('Capacity summary'!AN110)="x",$BI198*AN198,VALUE('Capacity summary'!AN110)),0),AN198*$BI198),AN198*$BI198),0)</f>
        <v>0</v>
      </c>
      <c r="CR198" s="5">
        <f>IF($BI198&lt;&gt;"",IF('Capacity summary'!$C$14="Yes",IF(COUNTBLANK('Capacity summary'!$H110:$BG110)&lt;52,IF('Capacity summary'!AO110&lt;&gt;"",IF(LOWER('Capacity summary'!AO110)="x",$BI198*AO198,VALUE('Capacity summary'!AO110)),0),AO198*$BI198),AO198*$BI198),0)</f>
        <v>0</v>
      </c>
      <c r="CS198" s="5">
        <f>IF($BI198&lt;&gt;"",IF('Capacity summary'!$C$14="Yes",IF(COUNTBLANK('Capacity summary'!$H110:$BG110)&lt;52,IF('Capacity summary'!AP110&lt;&gt;"",IF(LOWER('Capacity summary'!AP110)="x",$BI198*AP198,VALUE('Capacity summary'!AP110)),0),AP198*$BI198),AP198*$BI198),0)</f>
        <v>0</v>
      </c>
      <c r="CT198" s="5">
        <f>IF($BI198&lt;&gt;"",IF('Capacity summary'!$C$14="Yes",IF(COUNTBLANK('Capacity summary'!$H110:$BG110)&lt;52,IF('Capacity summary'!AQ110&lt;&gt;"",IF(LOWER('Capacity summary'!AQ110)="x",$BI198*AQ198,VALUE('Capacity summary'!AQ110)),0),AQ198*$BI198),AQ198*$BI198),0)</f>
        <v>0</v>
      </c>
      <c r="CU198" s="5">
        <f>IF($BI198&lt;&gt;"",IF('Capacity summary'!$C$14="Yes",IF(COUNTBLANK('Capacity summary'!$H110:$BG110)&lt;52,IF('Capacity summary'!AR110&lt;&gt;"",IF(LOWER('Capacity summary'!AR110)="x",$BI198*AR198,VALUE('Capacity summary'!AR110)),0),AR198*$BI198),AR198*$BI198),0)</f>
        <v>0</v>
      </c>
      <c r="CV198" s="5">
        <f>IF($BI198&lt;&gt;"",IF('Capacity summary'!$C$14="Yes",IF(COUNTBLANK('Capacity summary'!$H110:$BG110)&lt;52,IF('Capacity summary'!AS110&lt;&gt;"",IF(LOWER('Capacity summary'!AS110)="x",$BI198*AS198,VALUE('Capacity summary'!AS110)),0),AS198*$BI198),AS198*$BI198),0)</f>
        <v>0</v>
      </c>
      <c r="CW198" s="5">
        <f>IF($BI198&lt;&gt;"",IF('Capacity summary'!$C$14="Yes",IF(COUNTBLANK('Capacity summary'!$H110:$BG110)&lt;52,IF('Capacity summary'!AT110&lt;&gt;"",IF(LOWER('Capacity summary'!AT110)="x",$BI198*AT198,VALUE('Capacity summary'!AT110)),0),AT198*$BI198),AT198*$BI198),0)</f>
        <v>0</v>
      </c>
      <c r="CX198" s="5">
        <f>IF($BI198&lt;&gt;"",IF('Capacity summary'!$C$14="Yes",IF(COUNTBLANK('Capacity summary'!$H110:$BG110)&lt;52,IF('Capacity summary'!AU110&lt;&gt;"",IF(LOWER('Capacity summary'!AU110)="x",$BI198*AU198,VALUE('Capacity summary'!AU110)),0),AU198*$BI198),AU198*$BI198),0)</f>
        <v>0</v>
      </c>
      <c r="CY198" s="5">
        <f>IF($BI198&lt;&gt;"",IF('Capacity summary'!$C$14="Yes",IF(COUNTBLANK('Capacity summary'!$H110:$BG110)&lt;52,IF('Capacity summary'!AV110&lt;&gt;"",IF(LOWER('Capacity summary'!AV110)="x",$BI198*AV198,VALUE('Capacity summary'!AV110)),0),AV198*$BI198),AV198*$BI198),0)</f>
        <v>0</v>
      </c>
      <c r="CZ198" s="5">
        <f>IF($BI198&lt;&gt;"",IF('Capacity summary'!$C$14="Yes",IF(COUNTBLANK('Capacity summary'!$H110:$BG110)&lt;52,IF('Capacity summary'!AW110&lt;&gt;"",IF(LOWER('Capacity summary'!AW110)="x",$BI198*AW198,VALUE('Capacity summary'!AW110)),0),AW198*$BI198),AW198*$BI198),0)</f>
        <v>0</v>
      </c>
      <c r="DA198" s="5">
        <f>IF($BI198&lt;&gt;"",IF('Capacity summary'!$C$14="Yes",IF(COUNTBLANK('Capacity summary'!$H110:$BG110)&lt;52,IF('Capacity summary'!AX110&lt;&gt;"",IF(LOWER('Capacity summary'!AX110)="x",$BI198*AX198,VALUE('Capacity summary'!AX110)),0),AX198*$BI198),AX198*$BI198),0)</f>
        <v>0</v>
      </c>
      <c r="DB198" s="5">
        <f>IF($BI198&lt;&gt;"",IF('Capacity summary'!$C$14="Yes",IF(COUNTBLANK('Capacity summary'!$H110:$BG110)&lt;52,IF('Capacity summary'!AY110&lt;&gt;"",IF(LOWER('Capacity summary'!AY110)="x",$BI198*AY198,VALUE('Capacity summary'!AY110)),0),AY198*$BI198),AY198*$BI198),0)</f>
        <v>0</v>
      </c>
      <c r="DC198" s="5">
        <f>IF($BI198&lt;&gt;"",IF('Capacity summary'!$C$14="Yes",IF(COUNTBLANK('Capacity summary'!$H110:$BG110)&lt;52,IF('Capacity summary'!AZ110&lt;&gt;"",IF(LOWER('Capacity summary'!AZ110)="x",$BI198*AZ198,VALUE('Capacity summary'!AZ110)),0),AZ198*$BI198),AZ198*$BI198),0)</f>
        <v>0</v>
      </c>
      <c r="DD198" s="5">
        <f>IF($BI198&lt;&gt;"",IF('Capacity summary'!$C$14="Yes",IF(COUNTBLANK('Capacity summary'!$H110:$BG110)&lt;52,IF('Capacity summary'!BA110&lt;&gt;"",IF(LOWER('Capacity summary'!BA110)="x",$BI198*BA198,VALUE('Capacity summary'!BA110)),0),BA198*$BI198),BA198*$BI198),0)</f>
        <v>0</v>
      </c>
      <c r="DE198" s="5">
        <f>IF($BI198&lt;&gt;"",IF('Capacity summary'!$C$14="Yes",IF(COUNTBLANK('Capacity summary'!$H110:$BG110)&lt;52,IF('Capacity summary'!BB110&lt;&gt;"",IF(LOWER('Capacity summary'!BB110)="x",$BI198*BB198,VALUE('Capacity summary'!BB110)),0),BB198*$BI198),BB198*$BI198),0)</f>
        <v>0</v>
      </c>
      <c r="DF198" s="5">
        <f>IF($BI198&lt;&gt;"",IF('Capacity summary'!$C$14="Yes",IF(COUNTBLANK('Capacity summary'!$H110:$BG110)&lt;52,IF('Capacity summary'!BC110&lt;&gt;"",IF(LOWER('Capacity summary'!BC110)="x",$BI198*BC198,VALUE('Capacity summary'!BC110)),0),BC198*$BI198),BC198*$BI198),0)</f>
        <v>0</v>
      </c>
      <c r="DG198" s="5">
        <f>IF($BI198&lt;&gt;"",IF('Capacity summary'!$C$14="Yes",IF(COUNTBLANK('Capacity summary'!$H110:$BG110)&lt;52,IF('Capacity summary'!BD110&lt;&gt;"",IF(LOWER('Capacity summary'!BD110)="x",$BI198*BD198,VALUE('Capacity summary'!BD110)),0),BD198*$BI198),BD198*$BI198),0)</f>
        <v>0</v>
      </c>
      <c r="DH198" s="5">
        <f>IF($BI198&lt;&gt;"",IF('Capacity summary'!$C$14="Yes",IF(COUNTBLANK('Capacity summary'!$H110:$BG110)&lt;52,IF('Capacity summary'!BE110&lt;&gt;"",IF(LOWER('Capacity summary'!BE110)="x",$BI198*BE198,VALUE('Capacity summary'!BE110)),0),BE198*$BI198),BE198*$BI198),0)</f>
        <v>0</v>
      </c>
      <c r="DI198" s="5">
        <f>IF($BI198&lt;&gt;"",IF('Capacity summary'!$C$14="Yes",IF(COUNTBLANK('Capacity summary'!$H110:$BG110)&lt;52,IF('Capacity summary'!BF110&lt;&gt;"",IF(LOWER('Capacity summary'!BF110)="x",$BI198*BF198,VALUE('Capacity summary'!BF110)),0),BF198*$BI198),BF198*$BI198),0)</f>
        <v>0</v>
      </c>
      <c r="DJ198" s="5">
        <f>IF($BI198&lt;&gt;"",IF('Capacity summary'!$C$14="Yes",IF(COUNTBLANK('Capacity summary'!$H110:$BG110)&lt;52,IF('Capacity summary'!BG110&lt;&gt;"",IF(LOWER('Capacity summary'!BG110)="x",$BI198*BG198,VALUE('Capacity summary'!BG110)),0),BG198*$BI198),BG198*$BI198),0)</f>
        <v>0</v>
      </c>
      <c r="DK198" s="391">
        <f t="shared" si="10"/>
        <v>0</v>
      </c>
      <c r="DL198" s="5">
        <f t="shared" si="11"/>
        <v>0</v>
      </c>
    </row>
    <row r="199" spans="3:116" x14ac:dyDescent="0.2">
      <c r="C199" s="67" t="str">
        <f>ROW(A88)&amp;". "&amp;Capacity!N104</f>
        <v xml:space="preserve">88. </v>
      </c>
      <c r="D199" s="67">
        <f>'Capacity setup'!C205</f>
        <v>0</v>
      </c>
      <c r="E199" s="67">
        <f>'Capacity setup'!D205</f>
        <v>0</v>
      </c>
      <c r="F199" s="67">
        <f>'Capacity setup'!E205</f>
        <v>0</v>
      </c>
      <c r="H199" s="67">
        <f ca="1">IF(LOWER(Capacity!$V104)="x",IF(AND(SUMIF(Capacity_Resource,$D199,'Critical resources (hide)'!U$6:U$105)+SUMIF(Capacity_Resource,$E199,'Critical resources (hide)'!U$6:U$105)+SUMIF(Capacity_Resource,$F199,'Critical resources (hide)'!U$6:U$105)&gt;0,$E$1=2),0,1),0)</f>
        <v>1</v>
      </c>
      <c r="I199" s="67">
        <f ca="1">IF(LOWER(Capacity!$V104)="x",IF(AND(SUMIF(Capacity_Resource,$D199,'Critical resources (hide)'!V$6:V$105)+SUMIF(Capacity_Resource,$E199,'Critical resources (hide)'!V$6:V$105)+SUMIF(Capacity_Resource,$F199,'Critical resources (hide)'!V$6:V$105)&gt;0,$E$1=2),0,1),0)</f>
        <v>1</v>
      </c>
      <c r="J199" s="67">
        <f ca="1">IF(LOWER(Capacity!$V104)="x",IF(AND(SUMIF(Capacity_Resource,$D199,'Critical resources (hide)'!W$6:W$105)+SUMIF(Capacity_Resource,$E199,'Critical resources (hide)'!W$6:W$105)+SUMIF(Capacity_Resource,$F199,'Critical resources (hide)'!W$6:W$105)&gt;0,$E$1=2),0,1),0)</f>
        <v>1</v>
      </c>
      <c r="K199" s="67">
        <f ca="1">IF(LOWER(Capacity!$V104)="x",IF(AND(SUMIF(Capacity_Resource,$D199,'Critical resources (hide)'!X$6:X$105)+SUMIF(Capacity_Resource,$E199,'Critical resources (hide)'!X$6:X$105)+SUMIF(Capacity_Resource,$F199,'Critical resources (hide)'!X$6:X$105)&gt;0,$E$1=2),0,1),0)</f>
        <v>1</v>
      </c>
      <c r="L199" s="67">
        <f ca="1">IF(LOWER(Capacity!$V104)="x",IF(AND(SUMIF(Capacity_Resource,$D199,'Critical resources (hide)'!Y$6:Y$105)+SUMIF(Capacity_Resource,$E199,'Critical resources (hide)'!Y$6:Y$105)+SUMIF(Capacity_Resource,$F199,'Critical resources (hide)'!Y$6:Y$105)&gt;0,$E$1=2),0,1),0)</f>
        <v>1</v>
      </c>
      <c r="M199" s="67">
        <f ca="1">IF(LOWER(Capacity!$V104)="x",IF(AND(SUMIF(Capacity_Resource,$D199,'Critical resources (hide)'!Z$6:Z$105)+SUMIF(Capacity_Resource,$E199,'Critical resources (hide)'!Z$6:Z$105)+SUMIF(Capacity_Resource,$F199,'Critical resources (hide)'!Z$6:Z$105)&gt;0,$E$1=2),0,1),0)</f>
        <v>1</v>
      </c>
      <c r="N199" s="67">
        <f ca="1">IF(LOWER(Capacity!$V104)="x",IF(AND(SUMIF(Capacity_Resource,$D199,'Critical resources (hide)'!AA$6:AA$105)+SUMIF(Capacity_Resource,$E199,'Critical resources (hide)'!AA$6:AA$105)+SUMIF(Capacity_Resource,$F199,'Critical resources (hide)'!AA$6:AA$105)&gt;0,$E$1=2),0,1),0)</f>
        <v>1</v>
      </c>
      <c r="O199" s="67">
        <f ca="1">IF(LOWER(Capacity!$V104)="x",IF(AND(SUMIF(Capacity_Resource,$D199,'Critical resources (hide)'!AB$6:AB$105)+SUMIF(Capacity_Resource,$E199,'Critical resources (hide)'!AB$6:AB$105)+SUMIF(Capacity_Resource,$F199,'Critical resources (hide)'!AB$6:AB$105)&gt;0,$E$1=2),0,1),0)</f>
        <v>1</v>
      </c>
      <c r="P199" s="67">
        <f ca="1">IF(LOWER(Capacity!$V104)="x",IF(AND(SUMIF(Capacity_Resource,$D199,'Critical resources (hide)'!AC$6:AC$105)+SUMIF(Capacity_Resource,$E199,'Critical resources (hide)'!AC$6:AC$105)+SUMIF(Capacity_Resource,$F199,'Critical resources (hide)'!AC$6:AC$105)&gt;0,$E$1=2),0,1),0)</f>
        <v>1</v>
      </c>
      <c r="Q199" s="67">
        <f ca="1">IF(LOWER(Capacity!$V104)="x",IF(AND(SUMIF(Capacity_Resource,$D199,'Critical resources (hide)'!AD$6:AD$105)+SUMIF(Capacity_Resource,$E199,'Critical resources (hide)'!AD$6:AD$105)+SUMIF(Capacity_Resource,$F199,'Critical resources (hide)'!AD$6:AD$105)&gt;0,$E$1=2),0,1),0)</f>
        <v>1</v>
      </c>
      <c r="R199" s="67">
        <f ca="1">IF(LOWER(Capacity!$V104)="x",IF(AND(SUMIF(Capacity_Resource,$D199,'Critical resources (hide)'!AE$6:AE$105)+SUMIF(Capacity_Resource,$E199,'Critical resources (hide)'!AE$6:AE$105)+SUMIF(Capacity_Resource,$F199,'Critical resources (hide)'!AE$6:AE$105)&gt;0,$E$1=2),0,1),0)</f>
        <v>1</v>
      </c>
      <c r="S199" s="67">
        <f ca="1">IF(LOWER(Capacity!$V104)="x",IF(AND(SUMIF(Capacity_Resource,$D199,'Critical resources (hide)'!AF$6:AF$105)+SUMIF(Capacity_Resource,$E199,'Critical resources (hide)'!AF$6:AF$105)+SUMIF(Capacity_Resource,$F199,'Critical resources (hide)'!AF$6:AF$105)&gt;0,$E$1=2),0,1),0)</f>
        <v>1</v>
      </c>
      <c r="T199" s="67">
        <f ca="1">IF(LOWER(Capacity!$V104)="x",IF(AND(SUMIF(Capacity_Resource,$D199,'Critical resources (hide)'!AG$6:AG$105)+SUMIF(Capacity_Resource,$E199,'Critical resources (hide)'!AG$6:AG$105)+SUMIF(Capacity_Resource,$F199,'Critical resources (hide)'!AG$6:AG$105)&gt;0,$E$1=2),0,1),0)</f>
        <v>1</v>
      </c>
      <c r="U199" s="67">
        <f ca="1">IF(LOWER(Capacity!$V104)="x",IF(AND(SUMIF(Capacity_Resource,$D199,'Critical resources (hide)'!AH$6:AH$105)+SUMIF(Capacity_Resource,$E199,'Critical resources (hide)'!AH$6:AH$105)+SUMIF(Capacity_Resource,$F199,'Critical resources (hide)'!AH$6:AH$105)&gt;0,$E$1=2),0,1),0)</f>
        <v>1</v>
      </c>
      <c r="V199" s="67">
        <f ca="1">IF(LOWER(Capacity!$V104)="x",IF(AND(SUMIF(Capacity_Resource,$D199,'Critical resources (hide)'!AI$6:AI$105)+SUMIF(Capacity_Resource,$E199,'Critical resources (hide)'!AI$6:AI$105)+SUMIF(Capacity_Resource,$F199,'Critical resources (hide)'!AI$6:AI$105)&gt;0,$E$1=2),0,1),0)</f>
        <v>1</v>
      </c>
      <c r="W199" s="67">
        <f ca="1">IF(LOWER(Capacity!$V104)="x",IF(AND(SUMIF(Capacity_Resource,$D199,'Critical resources (hide)'!AJ$6:AJ$105)+SUMIF(Capacity_Resource,$E199,'Critical resources (hide)'!AJ$6:AJ$105)+SUMIF(Capacity_Resource,$F199,'Critical resources (hide)'!AJ$6:AJ$105)&gt;0,$E$1=2),0,1),0)</f>
        <v>1</v>
      </c>
      <c r="X199" s="67">
        <f ca="1">IF(LOWER(Capacity!$V104)="x",IF(AND(SUMIF(Capacity_Resource,$D199,'Critical resources (hide)'!AK$6:AK$105)+SUMIF(Capacity_Resource,$E199,'Critical resources (hide)'!AK$6:AK$105)+SUMIF(Capacity_Resource,$F199,'Critical resources (hide)'!AK$6:AK$105)&gt;0,$E$1=2),0,1),0)</f>
        <v>1</v>
      </c>
      <c r="Y199" s="67">
        <f ca="1">IF(LOWER(Capacity!$V104)="x",IF(AND(SUMIF(Capacity_Resource,$D199,'Critical resources (hide)'!AL$6:AL$105)+SUMIF(Capacity_Resource,$E199,'Critical resources (hide)'!AL$6:AL$105)+SUMIF(Capacity_Resource,$F199,'Critical resources (hide)'!AL$6:AL$105)&gt;0,$E$1=2),0,1),0)</f>
        <v>1</v>
      </c>
      <c r="Z199" s="67">
        <f ca="1">IF(LOWER(Capacity!$V104)="x",IF(AND(SUMIF(Capacity_Resource,$D199,'Critical resources (hide)'!AM$6:AM$105)+SUMIF(Capacity_Resource,$E199,'Critical resources (hide)'!AM$6:AM$105)+SUMIF(Capacity_Resource,$F199,'Critical resources (hide)'!AM$6:AM$105)&gt;0,$E$1=2),0,1),0)</f>
        <v>1</v>
      </c>
      <c r="AA199" s="67">
        <f ca="1">IF(LOWER(Capacity!$V104)="x",IF(AND(SUMIF(Capacity_Resource,$D199,'Critical resources (hide)'!AN$6:AN$105)+SUMIF(Capacity_Resource,$E199,'Critical resources (hide)'!AN$6:AN$105)+SUMIF(Capacity_Resource,$F199,'Critical resources (hide)'!AN$6:AN$105)&gt;0,$E$1=2),0,1),0)</f>
        <v>1</v>
      </c>
      <c r="AB199" s="67">
        <f ca="1">IF(LOWER(Capacity!$V104)="x",IF(AND(SUMIF(Capacity_Resource,$D199,'Critical resources (hide)'!AO$6:AO$105)+SUMIF(Capacity_Resource,$E199,'Critical resources (hide)'!AO$6:AO$105)+SUMIF(Capacity_Resource,$F199,'Critical resources (hide)'!AO$6:AO$105)&gt;0,$E$1=2),0,1),0)</f>
        <v>1</v>
      </c>
      <c r="AC199" s="67">
        <f ca="1">IF(LOWER(Capacity!$V104)="x",IF(AND(SUMIF(Capacity_Resource,$D199,'Critical resources (hide)'!AP$6:AP$105)+SUMIF(Capacity_Resource,$E199,'Critical resources (hide)'!AP$6:AP$105)+SUMIF(Capacity_Resource,$F199,'Critical resources (hide)'!AP$6:AP$105)&gt;0,$E$1=2),0,1),0)</f>
        <v>1</v>
      </c>
      <c r="AD199" s="67">
        <f ca="1">IF(LOWER(Capacity!$V104)="x",IF(AND(SUMIF(Capacity_Resource,$D199,'Critical resources (hide)'!AQ$6:AQ$105)+SUMIF(Capacity_Resource,$E199,'Critical resources (hide)'!AQ$6:AQ$105)+SUMIF(Capacity_Resource,$F199,'Critical resources (hide)'!AQ$6:AQ$105)&gt;0,$E$1=2),0,1),0)</f>
        <v>1</v>
      </c>
      <c r="AE199" s="67">
        <f ca="1">IF(LOWER(Capacity!$V104)="x",IF(AND(SUMIF(Capacity_Resource,$D199,'Critical resources (hide)'!AR$6:AR$105)+SUMIF(Capacity_Resource,$E199,'Critical resources (hide)'!AR$6:AR$105)+SUMIF(Capacity_Resource,$F199,'Critical resources (hide)'!AR$6:AR$105)&gt;0,$E$1=2),0,1),0)</f>
        <v>1</v>
      </c>
      <c r="AF199" s="67">
        <f ca="1">IF(LOWER(Capacity!$V104)="x",IF(AND(SUMIF(Capacity_Resource,$D199,'Critical resources (hide)'!AS$6:AS$105)+SUMIF(Capacity_Resource,$E199,'Critical resources (hide)'!AS$6:AS$105)+SUMIF(Capacity_Resource,$F199,'Critical resources (hide)'!AS$6:AS$105)&gt;0,$E$1=2),0,1),0)</f>
        <v>1</v>
      </c>
      <c r="AG199" s="67">
        <f ca="1">IF(LOWER(Capacity!$V104)="x",IF(AND(SUMIF(Capacity_Resource,$D199,'Critical resources (hide)'!AT$6:AT$105)+SUMIF(Capacity_Resource,$E199,'Critical resources (hide)'!AT$6:AT$105)+SUMIF(Capacity_Resource,$F199,'Critical resources (hide)'!AT$6:AT$105)&gt;0,$E$1=2),0,1),0)</f>
        <v>1</v>
      </c>
      <c r="AH199" s="67">
        <f ca="1">IF(LOWER(Capacity!$V104)="x",IF(AND(SUMIF(Capacity_Resource,$D199,'Critical resources (hide)'!AU$6:AU$105)+SUMIF(Capacity_Resource,$E199,'Critical resources (hide)'!AU$6:AU$105)+SUMIF(Capacity_Resource,$F199,'Critical resources (hide)'!AU$6:AU$105)&gt;0,$E$1=2),0,1),0)</f>
        <v>1</v>
      </c>
      <c r="AI199" s="67">
        <f ca="1">IF(LOWER(Capacity!$V104)="x",IF(AND(SUMIF(Capacity_Resource,$D199,'Critical resources (hide)'!AV$6:AV$105)+SUMIF(Capacity_Resource,$E199,'Critical resources (hide)'!AV$6:AV$105)+SUMIF(Capacity_Resource,$F199,'Critical resources (hide)'!AV$6:AV$105)&gt;0,$E$1=2),0,1),0)</f>
        <v>1</v>
      </c>
      <c r="AJ199" s="67">
        <f ca="1">IF(LOWER(Capacity!$V104)="x",IF(AND(SUMIF(Capacity_Resource,$D199,'Critical resources (hide)'!AW$6:AW$105)+SUMIF(Capacity_Resource,$E199,'Critical resources (hide)'!AW$6:AW$105)+SUMIF(Capacity_Resource,$F199,'Critical resources (hide)'!AW$6:AW$105)&gt;0,$E$1=2),0,1),0)</f>
        <v>1</v>
      </c>
      <c r="AK199" s="67">
        <f ca="1">IF(LOWER(Capacity!$V104)="x",IF(AND(SUMIF(Capacity_Resource,$D199,'Critical resources (hide)'!AX$6:AX$105)+SUMIF(Capacity_Resource,$E199,'Critical resources (hide)'!AX$6:AX$105)+SUMIF(Capacity_Resource,$F199,'Critical resources (hide)'!AX$6:AX$105)&gt;0,$E$1=2),0,1),0)</f>
        <v>1</v>
      </c>
      <c r="AL199" s="67">
        <f ca="1">IF(LOWER(Capacity!$V104)="x",IF(AND(SUMIF(Capacity_Resource,$D199,'Critical resources (hide)'!AY$6:AY$105)+SUMIF(Capacity_Resource,$E199,'Critical resources (hide)'!AY$6:AY$105)+SUMIF(Capacity_Resource,$F199,'Critical resources (hide)'!AY$6:AY$105)&gt;0,$E$1=2),0,1),0)</f>
        <v>1</v>
      </c>
      <c r="AM199" s="67">
        <f ca="1">IF(LOWER(Capacity!$V104)="x",IF(AND(SUMIF(Capacity_Resource,$D199,'Critical resources (hide)'!AZ$6:AZ$105)+SUMIF(Capacity_Resource,$E199,'Critical resources (hide)'!AZ$6:AZ$105)+SUMIF(Capacity_Resource,$F199,'Critical resources (hide)'!AZ$6:AZ$105)&gt;0,$E$1=2),0,1),0)</f>
        <v>1</v>
      </c>
      <c r="AN199" s="67">
        <f ca="1">IF(LOWER(Capacity!$V104)="x",IF(AND(SUMIF(Capacity_Resource,$D199,'Critical resources (hide)'!BA$6:BA$105)+SUMIF(Capacity_Resource,$E199,'Critical resources (hide)'!BA$6:BA$105)+SUMIF(Capacity_Resource,$F199,'Critical resources (hide)'!BA$6:BA$105)&gt;0,$E$1=2),0,1),0)</f>
        <v>1</v>
      </c>
      <c r="AO199" s="67">
        <f ca="1">IF(LOWER(Capacity!$V104)="x",IF(AND(SUMIF(Capacity_Resource,$D199,'Critical resources (hide)'!BB$6:BB$105)+SUMIF(Capacity_Resource,$E199,'Critical resources (hide)'!BB$6:BB$105)+SUMIF(Capacity_Resource,$F199,'Critical resources (hide)'!BB$6:BB$105)&gt;0,$E$1=2),0,1),0)</f>
        <v>1</v>
      </c>
      <c r="AP199" s="67">
        <f ca="1">IF(LOWER(Capacity!$V104)="x",IF(AND(SUMIF(Capacity_Resource,$D199,'Critical resources (hide)'!BC$6:BC$105)+SUMIF(Capacity_Resource,$E199,'Critical resources (hide)'!BC$6:BC$105)+SUMIF(Capacity_Resource,$F199,'Critical resources (hide)'!BC$6:BC$105)&gt;0,$E$1=2),0,1),0)</f>
        <v>1</v>
      </c>
      <c r="AQ199" s="67">
        <f ca="1">IF(LOWER(Capacity!$V104)="x",IF(AND(SUMIF(Capacity_Resource,$D199,'Critical resources (hide)'!BD$6:BD$105)+SUMIF(Capacity_Resource,$E199,'Critical resources (hide)'!BD$6:BD$105)+SUMIF(Capacity_Resource,$F199,'Critical resources (hide)'!BD$6:BD$105)&gt;0,$E$1=2),0,1),0)</f>
        <v>1</v>
      </c>
      <c r="AR199" s="67">
        <f ca="1">IF(LOWER(Capacity!$V104)="x",IF(AND(SUMIF(Capacity_Resource,$D199,'Critical resources (hide)'!BE$6:BE$105)+SUMIF(Capacity_Resource,$E199,'Critical resources (hide)'!BE$6:BE$105)+SUMIF(Capacity_Resource,$F199,'Critical resources (hide)'!BE$6:BE$105)&gt;0,$E$1=2),0,1),0)</f>
        <v>1</v>
      </c>
      <c r="AS199" s="67">
        <f ca="1">IF(LOWER(Capacity!$V104)="x",IF(AND(SUMIF(Capacity_Resource,$D199,'Critical resources (hide)'!BF$6:BF$105)+SUMIF(Capacity_Resource,$E199,'Critical resources (hide)'!BF$6:BF$105)+SUMIF(Capacity_Resource,$F199,'Critical resources (hide)'!BF$6:BF$105)&gt;0,$E$1=2),0,1),0)</f>
        <v>1</v>
      </c>
      <c r="AT199" s="67">
        <f ca="1">IF(LOWER(Capacity!$V104)="x",IF(AND(SUMIF(Capacity_Resource,$D199,'Critical resources (hide)'!BG$6:BG$105)+SUMIF(Capacity_Resource,$E199,'Critical resources (hide)'!BG$6:BG$105)+SUMIF(Capacity_Resource,$F199,'Critical resources (hide)'!BG$6:BG$105)&gt;0,$E$1=2),0,1),0)</f>
        <v>1</v>
      </c>
      <c r="AU199" s="67">
        <f ca="1">IF(LOWER(Capacity!$V104)="x",IF(AND(SUMIF(Capacity_Resource,$D199,'Critical resources (hide)'!BH$6:BH$105)+SUMIF(Capacity_Resource,$E199,'Critical resources (hide)'!BH$6:BH$105)+SUMIF(Capacity_Resource,$F199,'Critical resources (hide)'!BH$6:BH$105)&gt;0,$E$1=2),0,1),0)</f>
        <v>1</v>
      </c>
      <c r="AV199" s="67">
        <f ca="1">IF(LOWER(Capacity!$V104)="x",IF(AND(SUMIF(Capacity_Resource,$D199,'Critical resources (hide)'!BI$6:BI$105)+SUMIF(Capacity_Resource,$E199,'Critical resources (hide)'!BI$6:BI$105)+SUMIF(Capacity_Resource,$F199,'Critical resources (hide)'!BI$6:BI$105)&gt;0,$E$1=2),0,1),0)</f>
        <v>1</v>
      </c>
      <c r="AW199" s="67">
        <f ca="1">IF(LOWER(Capacity!$V104)="x",IF(AND(SUMIF(Capacity_Resource,$D199,'Critical resources (hide)'!BJ$6:BJ$105)+SUMIF(Capacity_Resource,$E199,'Critical resources (hide)'!BJ$6:BJ$105)+SUMIF(Capacity_Resource,$F199,'Critical resources (hide)'!BJ$6:BJ$105)&gt;0,$E$1=2),0,1),0)</f>
        <v>1</v>
      </c>
      <c r="AX199" s="67">
        <f ca="1">IF(LOWER(Capacity!$V104)="x",IF(AND(SUMIF(Capacity_Resource,$D199,'Critical resources (hide)'!BK$6:BK$105)+SUMIF(Capacity_Resource,$E199,'Critical resources (hide)'!BK$6:BK$105)+SUMIF(Capacity_Resource,$F199,'Critical resources (hide)'!BK$6:BK$105)&gt;0,$E$1=2),0,1),0)</f>
        <v>1</v>
      </c>
      <c r="AY199" s="67">
        <f ca="1">IF(LOWER(Capacity!$V104)="x",IF(AND(SUMIF(Capacity_Resource,$D199,'Critical resources (hide)'!BL$6:BL$105)+SUMIF(Capacity_Resource,$E199,'Critical resources (hide)'!BL$6:BL$105)+SUMIF(Capacity_Resource,$F199,'Critical resources (hide)'!BL$6:BL$105)&gt;0,$E$1=2),0,1),0)</f>
        <v>1</v>
      </c>
      <c r="AZ199" s="67">
        <f ca="1">IF(LOWER(Capacity!$V104)="x",IF(AND(SUMIF(Capacity_Resource,$D199,'Critical resources (hide)'!BM$6:BM$105)+SUMIF(Capacity_Resource,$E199,'Critical resources (hide)'!BM$6:BM$105)+SUMIF(Capacity_Resource,$F199,'Critical resources (hide)'!BM$6:BM$105)&gt;0,$E$1=2),0,1),0)</f>
        <v>1</v>
      </c>
      <c r="BA199" s="67">
        <f ca="1">IF(LOWER(Capacity!$V104)="x",IF(AND(SUMIF(Capacity_Resource,$D199,'Critical resources (hide)'!BN$6:BN$105)+SUMIF(Capacity_Resource,$E199,'Critical resources (hide)'!BN$6:BN$105)+SUMIF(Capacity_Resource,$F199,'Critical resources (hide)'!BN$6:BN$105)&gt;0,$E$1=2),0,1),0)</f>
        <v>1</v>
      </c>
      <c r="BB199" s="67">
        <f ca="1">IF(LOWER(Capacity!$V104)="x",IF(AND(SUMIF(Capacity_Resource,$D199,'Critical resources (hide)'!BO$6:BO$105)+SUMIF(Capacity_Resource,$E199,'Critical resources (hide)'!BO$6:BO$105)+SUMIF(Capacity_Resource,$F199,'Critical resources (hide)'!BO$6:BO$105)&gt;0,$E$1=2),0,1),0)</f>
        <v>1</v>
      </c>
      <c r="BC199" s="67">
        <f ca="1">IF(LOWER(Capacity!$V104)="x",IF(AND(SUMIF(Capacity_Resource,$D199,'Critical resources (hide)'!BP$6:BP$105)+SUMIF(Capacity_Resource,$E199,'Critical resources (hide)'!BP$6:BP$105)+SUMIF(Capacity_Resource,$F199,'Critical resources (hide)'!BP$6:BP$105)&gt;0,$E$1=2),0,1),0)</f>
        <v>1</v>
      </c>
      <c r="BD199" s="67">
        <f ca="1">IF(LOWER(Capacity!$V104)="x",IF(AND(SUMIF(Capacity_Resource,$D199,'Critical resources (hide)'!BQ$6:BQ$105)+SUMIF(Capacity_Resource,$E199,'Critical resources (hide)'!BQ$6:BQ$105)+SUMIF(Capacity_Resource,$F199,'Critical resources (hide)'!BQ$6:BQ$105)&gt;0,$E$1=2),0,1),0)</f>
        <v>1</v>
      </c>
      <c r="BE199" s="67">
        <f ca="1">IF(LOWER(Capacity!$V104)="x",IF(AND(SUMIF(Capacity_Resource,$D199,'Critical resources (hide)'!BR$6:BR$105)+SUMIF(Capacity_Resource,$E199,'Critical resources (hide)'!BR$6:BR$105)+SUMIF(Capacity_Resource,$F199,'Critical resources (hide)'!BR$6:BR$105)&gt;0,$E$1=2),0,1),0)</f>
        <v>1</v>
      </c>
      <c r="BF199" s="67">
        <f ca="1">IF(LOWER(Capacity!$V104)="x",IF(AND(SUMIF(Capacity_Resource,$D199,'Critical resources (hide)'!BS$6:BS$105)+SUMIF(Capacity_Resource,$E199,'Critical resources (hide)'!BS$6:BS$105)+SUMIF(Capacity_Resource,$F199,'Critical resources (hide)'!BS$6:BS$105)&gt;0,$E$1=2),0,1),0)</f>
        <v>1</v>
      </c>
      <c r="BG199" s="67">
        <f ca="1">IF(LOWER(Capacity!$V104)="x",IF(AND(SUMIF(Capacity_Resource,$D199,'Critical resources (hide)'!BT$6:BT$105)+SUMIF(Capacity_Resource,$E199,'Critical resources (hide)'!BT$6:BT$105)+SUMIF(Capacity_Resource,$F199,'Critical resources (hide)'!BT$6:BT$105)&gt;0,$E$1=2),0,1),0)</f>
        <v>1</v>
      </c>
      <c r="BH199" s="67">
        <f>IF(ROW(A88)&lt;=Capacity!$M$16,IF('Capacity summary'!$C$14="No",SUM(H199:BG199),'Capacity summary'!$E111),0)</f>
        <v>0</v>
      </c>
      <c r="BI199" s="67" t="str">
        <f>IF(BH199&gt;0,IF(BH199&lt;Capacity!Q104,Capacity!R104,Capacity!T104/'Capacity calculation (hide)'!BH199),"")</f>
        <v/>
      </c>
      <c r="BJ199" s="5"/>
      <c r="BK199" s="5">
        <f>IF($BI199&lt;&gt;"",IF('Capacity summary'!$C$14="Yes",IF(COUNTBLANK('Capacity summary'!$H111:$BG111)&lt;52,IF('Capacity summary'!H111&lt;&gt;"",IF(LOWER('Capacity summary'!H111)="x",$BI199*H199,VALUE('Capacity summary'!H111)),0),H199*$BI199),H199*$BI199),0)</f>
        <v>0</v>
      </c>
      <c r="BL199" s="5">
        <f>IF($BI199&lt;&gt;"",IF('Capacity summary'!$C$14="Yes",IF(COUNTBLANK('Capacity summary'!$H111:$BG111)&lt;52,IF('Capacity summary'!I111&lt;&gt;"",IF(LOWER('Capacity summary'!I111)="x",$BI199*I199,VALUE('Capacity summary'!I111)),0),I199*$BI199),I199*$BI199),0)</f>
        <v>0</v>
      </c>
      <c r="BM199" s="5">
        <f>IF($BI199&lt;&gt;"",IF('Capacity summary'!$C$14="Yes",IF(COUNTBLANK('Capacity summary'!$H111:$BG111)&lt;52,IF('Capacity summary'!J111&lt;&gt;"",IF(LOWER('Capacity summary'!J111)="x",$BI199*J199,VALUE('Capacity summary'!J111)),0),J199*$BI199),J199*$BI199),0)</f>
        <v>0</v>
      </c>
      <c r="BN199" s="5">
        <f>IF($BI199&lt;&gt;"",IF('Capacity summary'!$C$14="Yes",IF(COUNTBLANK('Capacity summary'!$H111:$BG111)&lt;52,IF('Capacity summary'!K111&lt;&gt;"",IF(LOWER('Capacity summary'!K111)="x",$BI199*K199,VALUE('Capacity summary'!K111)),0),K199*$BI199),K199*$BI199),0)</f>
        <v>0</v>
      </c>
      <c r="BO199" s="5">
        <f>IF($BI199&lt;&gt;"",IF('Capacity summary'!$C$14="Yes",IF(COUNTBLANK('Capacity summary'!$H111:$BG111)&lt;52,IF('Capacity summary'!L111&lt;&gt;"",IF(LOWER('Capacity summary'!L111)="x",$BI199*L199,VALUE('Capacity summary'!L111)),0),L199*$BI199),L199*$BI199),0)</f>
        <v>0</v>
      </c>
      <c r="BP199" s="5">
        <f>IF($BI199&lt;&gt;"",IF('Capacity summary'!$C$14="Yes",IF(COUNTBLANK('Capacity summary'!$H111:$BG111)&lt;52,IF('Capacity summary'!M111&lt;&gt;"",IF(LOWER('Capacity summary'!M111)="x",$BI199*M199,VALUE('Capacity summary'!M111)),0),M199*$BI199),M199*$BI199),0)</f>
        <v>0</v>
      </c>
      <c r="BQ199" s="5">
        <f>IF($BI199&lt;&gt;"",IF('Capacity summary'!$C$14="Yes",IF(COUNTBLANK('Capacity summary'!$H111:$BG111)&lt;52,IF('Capacity summary'!N111&lt;&gt;"",IF(LOWER('Capacity summary'!N111)="x",$BI199*N199,VALUE('Capacity summary'!N111)),0),N199*$BI199),N199*$BI199),0)</f>
        <v>0</v>
      </c>
      <c r="BR199" s="5">
        <f>IF($BI199&lt;&gt;"",IF('Capacity summary'!$C$14="Yes",IF(COUNTBLANK('Capacity summary'!$H111:$BG111)&lt;52,IF('Capacity summary'!O111&lt;&gt;"",IF(LOWER('Capacity summary'!O111)="x",$BI199*O199,VALUE('Capacity summary'!O111)),0),O199*$BI199),O199*$BI199),0)</f>
        <v>0</v>
      </c>
      <c r="BS199" s="5">
        <f>IF($BI199&lt;&gt;"",IF('Capacity summary'!$C$14="Yes",IF(COUNTBLANK('Capacity summary'!$H111:$BG111)&lt;52,IF('Capacity summary'!P111&lt;&gt;"",IF(LOWER('Capacity summary'!P111)="x",$BI199*P199,VALUE('Capacity summary'!P111)),0),P199*$BI199),P199*$BI199),0)</f>
        <v>0</v>
      </c>
      <c r="BT199" s="5">
        <f>IF($BI199&lt;&gt;"",IF('Capacity summary'!$C$14="Yes",IF(COUNTBLANK('Capacity summary'!$H111:$BG111)&lt;52,IF('Capacity summary'!Q111&lt;&gt;"",IF(LOWER('Capacity summary'!Q111)="x",$BI199*Q199,VALUE('Capacity summary'!Q111)),0),Q199*$BI199),Q199*$BI199),0)</f>
        <v>0</v>
      </c>
      <c r="BU199" s="5">
        <f>IF($BI199&lt;&gt;"",IF('Capacity summary'!$C$14="Yes",IF(COUNTBLANK('Capacity summary'!$H111:$BG111)&lt;52,IF('Capacity summary'!R111&lt;&gt;"",IF(LOWER('Capacity summary'!R111)="x",$BI199*R199,VALUE('Capacity summary'!R111)),0),R199*$BI199),R199*$BI199),0)</f>
        <v>0</v>
      </c>
      <c r="BV199" s="5">
        <f>IF($BI199&lt;&gt;"",IF('Capacity summary'!$C$14="Yes",IF(COUNTBLANK('Capacity summary'!$H111:$BG111)&lt;52,IF('Capacity summary'!S111&lt;&gt;"",IF(LOWER('Capacity summary'!S111)="x",$BI199*S199,VALUE('Capacity summary'!S111)),0),S199*$BI199),S199*$BI199),0)</f>
        <v>0</v>
      </c>
      <c r="BW199" s="5">
        <f>IF($BI199&lt;&gt;"",IF('Capacity summary'!$C$14="Yes",IF(COUNTBLANK('Capacity summary'!$H111:$BG111)&lt;52,IF('Capacity summary'!T111&lt;&gt;"",IF(LOWER('Capacity summary'!T111)="x",$BI199*T199,VALUE('Capacity summary'!T111)),0),T199*$BI199),T199*$BI199),0)</f>
        <v>0</v>
      </c>
      <c r="BX199" s="5">
        <f>IF($BI199&lt;&gt;"",IF('Capacity summary'!$C$14="Yes",IF(COUNTBLANK('Capacity summary'!$H111:$BG111)&lt;52,IF('Capacity summary'!U111&lt;&gt;"",IF(LOWER('Capacity summary'!U111)="x",$BI199*U199,VALUE('Capacity summary'!U111)),0),U199*$BI199),U199*$BI199),0)</f>
        <v>0</v>
      </c>
      <c r="BY199" s="5">
        <f>IF($BI199&lt;&gt;"",IF('Capacity summary'!$C$14="Yes",IF(COUNTBLANK('Capacity summary'!$H111:$BG111)&lt;52,IF('Capacity summary'!V111&lt;&gt;"",IF(LOWER('Capacity summary'!V111)="x",$BI199*V199,VALUE('Capacity summary'!V111)),0),V199*$BI199),V199*$BI199),0)</f>
        <v>0</v>
      </c>
      <c r="BZ199" s="5">
        <f>IF($BI199&lt;&gt;"",IF('Capacity summary'!$C$14="Yes",IF(COUNTBLANK('Capacity summary'!$H111:$BG111)&lt;52,IF('Capacity summary'!W111&lt;&gt;"",IF(LOWER('Capacity summary'!W111)="x",$BI199*W199,VALUE('Capacity summary'!W111)),0),W199*$BI199),W199*$BI199),0)</f>
        <v>0</v>
      </c>
      <c r="CA199" s="5">
        <f>IF($BI199&lt;&gt;"",IF('Capacity summary'!$C$14="Yes",IF(COUNTBLANK('Capacity summary'!$H111:$BG111)&lt;52,IF('Capacity summary'!X111&lt;&gt;"",IF(LOWER('Capacity summary'!X111)="x",$BI199*X199,VALUE('Capacity summary'!X111)),0),X199*$BI199),X199*$BI199),0)</f>
        <v>0</v>
      </c>
      <c r="CB199" s="5">
        <f>IF($BI199&lt;&gt;"",IF('Capacity summary'!$C$14="Yes",IF(COUNTBLANK('Capacity summary'!$H111:$BG111)&lt;52,IF('Capacity summary'!Y111&lt;&gt;"",IF(LOWER('Capacity summary'!Y111)="x",$BI199*Y199,VALUE('Capacity summary'!Y111)),0),Y199*$BI199),Y199*$BI199),0)</f>
        <v>0</v>
      </c>
      <c r="CC199" s="5">
        <f>IF($BI199&lt;&gt;"",IF('Capacity summary'!$C$14="Yes",IF(COUNTBLANK('Capacity summary'!$H111:$BG111)&lt;52,IF('Capacity summary'!Z111&lt;&gt;"",IF(LOWER('Capacity summary'!Z111)="x",$BI199*Z199,VALUE('Capacity summary'!Z111)),0),Z199*$BI199),Z199*$BI199),0)</f>
        <v>0</v>
      </c>
      <c r="CD199" s="5">
        <f>IF($BI199&lt;&gt;"",IF('Capacity summary'!$C$14="Yes",IF(COUNTBLANK('Capacity summary'!$H111:$BG111)&lt;52,IF('Capacity summary'!AA111&lt;&gt;"",IF(LOWER('Capacity summary'!AA111)="x",$BI199*AA199,VALUE('Capacity summary'!AA111)),0),AA199*$BI199),AA199*$BI199),0)</f>
        <v>0</v>
      </c>
      <c r="CE199" s="5">
        <f>IF($BI199&lt;&gt;"",IF('Capacity summary'!$C$14="Yes",IF(COUNTBLANK('Capacity summary'!$H111:$BG111)&lt;52,IF('Capacity summary'!AB111&lt;&gt;"",IF(LOWER('Capacity summary'!AB111)="x",$BI199*AB199,VALUE('Capacity summary'!AB111)),0),AB199*$BI199),AB199*$BI199),0)</f>
        <v>0</v>
      </c>
      <c r="CF199" s="5">
        <f>IF($BI199&lt;&gt;"",IF('Capacity summary'!$C$14="Yes",IF(COUNTBLANK('Capacity summary'!$H111:$BG111)&lt;52,IF('Capacity summary'!AC111&lt;&gt;"",IF(LOWER('Capacity summary'!AC111)="x",$BI199*AC199,VALUE('Capacity summary'!AC111)),0),AC199*$BI199),AC199*$BI199),0)</f>
        <v>0</v>
      </c>
      <c r="CG199" s="5">
        <f>IF($BI199&lt;&gt;"",IF('Capacity summary'!$C$14="Yes",IF(COUNTBLANK('Capacity summary'!$H111:$BG111)&lt;52,IF('Capacity summary'!AD111&lt;&gt;"",IF(LOWER('Capacity summary'!AD111)="x",$BI199*AD199,VALUE('Capacity summary'!AD111)),0),AD199*$BI199),AD199*$BI199),0)</f>
        <v>0</v>
      </c>
      <c r="CH199" s="5">
        <f>IF($BI199&lt;&gt;"",IF('Capacity summary'!$C$14="Yes",IF(COUNTBLANK('Capacity summary'!$H111:$BG111)&lt;52,IF('Capacity summary'!AE111&lt;&gt;"",IF(LOWER('Capacity summary'!AE111)="x",$BI199*AE199,VALUE('Capacity summary'!AE111)),0),AE199*$BI199),AE199*$BI199),0)</f>
        <v>0</v>
      </c>
      <c r="CI199" s="5">
        <f>IF($BI199&lt;&gt;"",IF('Capacity summary'!$C$14="Yes",IF(COUNTBLANK('Capacity summary'!$H111:$BG111)&lt;52,IF('Capacity summary'!AF111&lt;&gt;"",IF(LOWER('Capacity summary'!AF111)="x",$BI199*AF199,VALUE('Capacity summary'!AF111)),0),AF199*$BI199),AF199*$BI199),0)</f>
        <v>0</v>
      </c>
      <c r="CJ199" s="5">
        <f>IF($BI199&lt;&gt;"",IF('Capacity summary'!$C$14="Yes",IF(COUNTBLANK('Capacity summary'!$H111:$BG111)&lt;52,IF('Capacity summary'!AG111&lt;&gt;"",IF(LOWER('Capacity summary'!AG111)="x",$BI199*AG199,VALUE('Capacity summary'!AG111)),0),AG199*$BI199),AG199*$BI199),0)</f>
        <v>0</v>
      </c>
      <c r="CK199" s="5">
        <f>IF($BI199&lt;&gt;"",IF('Capacity summary'!$C$14="Yes",IF(COUNTBLANK('Capacity summary'!$H111:$BG111)&lt;52,IF('Capacity summary'!AH111&lt;&gt;"",IF(LOWER('Capacity summary'!AH111)="x",$BI199*AH199,VALUE('Capacity summary'!AH111)),0),AH199*$BI199),AH199*$BI199),0)</f>
        <v>0</v>
      </c>
      <c r="CL199" s="5">
        <f>IF($BI199&lt;&gt;"",IF('Capacity summary'!$C$14="Yes",IF(COUNTBLANK('Capacity summary'!$H111:$BG111)&lt;52,IF('Capacity summary'!AI111&lt;&gt;"",IF(LOWER('Capacity summary'!AI111)="x",$BI199*AI199,VALUE('Capacity summary'!AI111)),0),AI199*$BI199),AI199*$BI199),0)</f>
        <v>0</v>
      </c>
      <c r="CM199" s="5">
        <f>IF($BI199&lt;&gt;"",IF('Capacity summary'!$C$14="Yes",IF(COUNTBLANK('Capacity summary'!$H111:$BG111)&lt;52,IF('Capacity summary'!AJ111&lt;&gt;"",IF(LOWER('Capacity summary'!AJ111)="x",$BI199*AJ199,VALUE('Capacity summary'!AJ111)),0),AJ199*$BI199),AJ199*$BI199),0)</f>
        <v>0</v>
      </c>
      <c r="CN199" s="5">
        <f>IF($BI199&lt;&gt;"",IF('Capacity summary'!$C$14="Yes",IF(COUNTBLANK('Capacity summary'!$H111:$BG111)&lt;52,IF('Capacity summary'!AK111&lt;&gt;"",IF(LOWER('Capacity summary'!AK111)="x",$BI199*AK199,VALUE('Capacity summary'!AK111)),0),AK199*$BI199),AK199*$BI199),0)</f>
        <v>0</v>
      </c>
      <c r="CO199" s="5">
        <f>IF($BI199&lt;&gt;"",IF('Capacity summary'!$C$14="Yes",IF(COUNTBLANK('Capacity summary'!$H111:$BG111)&lt;52,IF('Capacity summary'!AL111&lt;&gt;"",IF(LOWER('Capacity summary'!AL111)="x",$BI199*AL199,VALUE('Capacity summary'!AL111)),0),AL199*$BI199),AL199*$BI199),0)</f>
        <v>0</v>
      </c>
      <c r="CP199" s="5">
        <f>IF($BI199&lt;&gt;"",IF('Capacity summary'!$C$14="Yes",IF(COUNTBLANK('Capacity summary'!$H111:$BG111)&lt;52,IF('Capacity summary'!AM111&lt;&gt;"",IF(LOWER('Capacity summary'!AM111)="x",$BI199*AM199,VALUE('Capacity summary'!AM111)),0),AM199*$BI199),AM199*$BI199),0)</f>
        <v>0</v>
      </c>
      <c r="CQ199" s="5">
        <f>IF($BI199&lt;&gt;"",IF('Capacity summary'!$C$14="Yes",IF(COUNTBLANK('Capacity summary'!$H111:$BG111)&lt;52,IF('Capacity summary'!AN111&lt;&gt;"",IF(LOWER('Capacity summary'!AN111)="x",$BI199*AN199,VALUE('Capacity summary'!AN111)),0),AN199*$BI199),AN199*$BI199),0)</f>
        <v>0</v>
      </c>
      <c r="CR199" s="5">
        <f>IF($BI199&lt;&gt;"",IF('Capacity summary'!$C$14="Yes",IF(COUNTBLANK('Capacity summary'!$H111:$BG111)&lt;52,IF('Capacity summary'!AO111&lt;&gt;"",IF(LOWER('Capacity summary'!AO111)="x",$BI199*AO199,VALUE('Capacity summary'!AO111)),0),AO199*$BI199),AO199*$BI199),0)</f>
        <v>0</v>
      </c>
      <c r="CS199" s="5">
        <f>IF($BI199&lt;&gt;"",IF('Capacity summary'!$C$14="Yes",IF(COUNTBLANK('Capacity summary'!$H111:$BG111)&lt;52,IF('Capacity summary'!AP111&lt;&gt;"",IF(LOWER('Capacity summary'!AP111)="x",$BI199*AP199,VALUE('Capacity summary'!AP111)),0),AP199*$BI199),AP199*$BI199),0)</f>
        <v>0</v>
      </c>
      <c r="CT199" s="5">
        <f>IF($BI199&lt;&gt;"",IF('Capacity summary'!$C$14="Yes",IF(COUNTBLANK('Capacity summary'!$H111:$BG111)&lt;52,IF('Capacity summary'!AQ111&lt;&gt;"",IF(LOWER('Capacity summary'!AQ111)="x",$BI199*AQ199,VALUE('Capacity summary'!AQ111)),0),AQ199*$BI199),AQ199*$BI199),0)</f>
        <v>0</v>
      </c>
      <c r="CU199" s="5">
        <f>IF($BI199&lt;&gt;"",IF('Capacity summary'!$C$14="Yes",IF(COUNTBLANK('Capacity summary'!$H111:$BG111)&lt;52,IF('Capacity summary'!AR111&lt;&gt;"",IF(LOWER('Capacity summary'!AR111)="x",$BI199*AR199,VALUE('Capacity summary'!AR111)),0),AR199*$BI199),AR199*$BI199),0)</f>
        <v>0</v>
      </c>
      <c r="CV199" s="5">
        <f>IF($BI199&lt;&gt;"",IF('Capacity summary'!$C$14="Yes",IF(COUNTBLANK('Capacity summary'!$H111:$BG111)&lt;52,IF('Capacity summary'!AS111&lt;&gt;"",IF(LOWER('Capacity summary'!AS111)="x",$BI199*AS199,VALUE('Capacity summary'!AS111)),0),AS199*$BI199),AS199*$BI199),0)</f>
        <v>0</v>
      </c>
      <c r="CW199" s="5">
        <f>IF($BI199&lt;&gt;"",IF('Capacity summary'!$C$14="Yes",IF(COUNTBLANK('Capacity summary'!$H111:$BG111)&lt;52,IF('Capacity summary'!AT111&lt;&gt;"",IF(LOWER('Capacity summary'!AT111)="x",$BI199*AT199,VALUE('Capacity summary'!AT111)),0),AT199*$BI199),AT199*$BI199),0)</f>
        <v>0</v>
      </c>
      <c r="CX199" s="5">
        <f>IF($BI199&lt;&gt;"",IF('Capacity summary'!$C$14="Yes",IF(COUNTBLANK('Capacity summary'!$H111:$BG111)&lt;52,IF('Capacity summary'!AU111&lt;&gt;"",IF(LOWER('Capacity summary'!AU111)="x",$BI199*AU199,VALUE('Capacity summary'!AU111)),0),AU199*$BI199),AU199*$BI199),0)</f>
        <v>0</v>
      </c>
      <c r="CY199" s="5">
        <f>IF($BI199&lt;&gt;"",IF('Capacity summary'!$C$14="Yes",IF(COUNTBLANK('Capacity summary'!$H111:$BG111)&lt;52,IF('Capacity summary'!AV111&lt;&gt;"",IF(LOWER('Capacity summary'!AV111)="x",$BI199*AV199,VALUE('Capacity summary'!AV111)),0),AV199*$BI199),AV199*$BI199),0)</f>
        <v>0</v>
      </c>
      <c r="CZ199" s="5">
        <f>IF($BI199&lt;&gt;"",IF('Capacity summary'!$C$14="Yes",IF(COUNTBLANK('Capacity summary'!$H111:$BG111)&lt;52,IF('Capacity summary'!AW111&lt;&gt;"",IF(LOWER('Capacity summary'!AW111)="x",$BI199*AW199,VALUE('Capacity summary'!AW111)),0),AW199*$BI199),AW199*$BI199),0)</f>
        <v>0</v>
      </c>
      <c r="DA199" s="5">
        <f>IF($BI199&lt;&gt;"",IF('Capacity summary'!$C$14="Yes",IF(COUNTBLANK('Capacity summary'!$H111:$BG111)&lt;52,IF('Capacity summary'!AX111&lt;&gt;"",IF(LOWER('Capacity summary'!AX111)="x",$BI199*AX199,VALUE('Capacity summary'!AX111)),0),AX199*$BI199),AX199*$BI199),0)</f>
        <v>0</v>
      </c>
      <c r="DB199" s="5">
        <f>IF($BI199&lt;&gt;"",IF('Capacity summary'!$C$14="Yes",IF(COUNTBLANK('Capacity summary'!$H111:$BG111)&lt;52,IF('Capacity summary'!AY111&lt;&gt;"",IF(LOWER('Capacity summary'!AY111)="x",$BI199*AY199,VALUE('Capacity summary'!AY111)),0),AY199*$BI199),AY199*$BI199),0)</f>
        <v>0</v>
      </c>
      <c r="DC199" s="5">
        <f>IF($BI199&lt;&gt;"",IF('Capacity summary'!$C$14="Yes",IF(COUNTBLANK('Capacity summary'!$H111:$BG111)&lt;52,IF('Capacity summary'!AZ111&lt;&gt;"",IF(LOWER('Capacity summary'!AZ111)="x",$BI199*AZ199,VALUE('Capacity summary'!AZ111)),0),AZ199*$BI199),AZ199*$BI199),0)</f>
        <v>0</v>
      </c>
      <c r="DD199" s="5">
        <f>IF($BI199&lt;&gt;"",IF('Capacity summary'!$C$14="Yes",IF(COUNTBLANK('Capacity summary'!$H111:$BG111)&lt;52,IF('Capacity summary'!BA111&lt;&gt;"",IF(LOWER('Capacity summary'!BA111)="x",$BI199*BA199,VALUE('Capacity summary'!BA111)),0),BA199*$BI199),BA199*$BI199),0)</f>
        <v>0</v>
      </c>
      <c r="DE199" s="5">
        <f>IF($BI199&lt;&gt;"",IF('Capacity summary'!$C$14="Yes",IF(COUNTBLANK('Capacity summary'!$H111:$BG111)&lt;52,IF('Capacity summary'!BB111&lt;&gt;"",IF(LOWER('Capacity summary'!BB111)="x",$BI199*BB199,VALUE('Capacity summary'!BB111)),0),BB199*$BI199),BB199*$BI199),0)</f>
        <v>0</v>
      </c>
      <c r="DF199" s="5">
        <f>IF($BI199&lt;&gt;"",IF('Capacity summary'!$C$14="Yes",IF(COUNTBLANK('Capacity summary'!$H111:$BG111)&lt;52,IF('Capacity summary'!BC111&lt;&gt;"",IF(LOWER('Capacity summary'!BC111)="x",$BI199*BC199,VALUE('Capacity summary'!BC111)),0),BC199*$BI199),BC199*$BI199),0)</f>
        <v>0</v>
      </c>
      <c r="DG199" s="5">
        <f>IF($BI199&lt;&gt;"",IF('Capacity summary'!$C$14="Yes",IF(COUNTBLANK('Capacity summary'!$H111:$BG111)&lt;52,IF('Capacity summary'!BD111&lt;&gt;"",IF(LOWER('Capacity summary'!BD111)="x",$BI199*BD199,VALUE('Capacity summary'!BD111)),0),BD199*$BI199),BD199*$BI199),0)</f>
        <v>0</v>
      </c>
      <c r="DH199" s="5">
        <f>IF($BI199&lt;&gt;"",IF('Capacity summary'!$C$14="Yes",IF(COUNTBLANK('Capacity summary'!$H111:$BG111)&lt;52,IF('Capacity summary'!BE111&lt;&gt;"",IF(LOWER('Capacity summary'!BE111)="x",$BI199*BE199,VALUE('Capacity summary'!BE111)),0),BE199*$BI199),BE199*$BI199),0)</f>
        <v>0</v>
      </c>
      <c r="DI199" s="5">
        <f>IF($BI199&lt;&gt;"",IF('Capacity summary'!$C$14="Yes",IF(COUNTBLANK('Capacity summary'!$H111:$BG111)&lt;52,IF('Capacity summary'!BF111&lt;&gt;"",IF(LOWER('Capacity summary'!BF111)="x",$BI199*BF199,VALUE('Capacity summary'!BF111)),0),BF199*$BI199),BF199*$BI199),0)</f>
        <v>0</v>
      </c>
      <c r="DJ199" s="5">
        <f>IF($BI199&lt;&gt;"",IF('Capacity summary'!$C$14="Yes",IF(COUNTBLANK('Capacity summary'!$H111:$BG111)&lt;52,IF('Capacity summary'!BG111&lt;&gt;"",IF(LOWER('Capacity summary'!BG111)="x",$BI199*BG199,VALUE('Capacity summary'!BG111)),0),BG199*$BI199),BG199*$BI199),0)</f>
        <v>0</v>
      </c>
      <c r="DK199" s="391">
        <f t="shared" si="10"/>
        <v>0</v>
      </c>
      <c r="DL199" s="5">
        <f t="shared" si="11"/>
        <v>0</v>
      </c>
    </row>
    <row r="200" spans="3:116" x14ac:dyDescent="0.2">
      <c r="C200" s="67" t="str">
        <f>ROW(A89)&amp;". "&amp;Capacity!N105</f>
        <v xml:space="preserve">89. </v>
      </c>
      <c r="D200" s="67">
        <f>'Capacity setup'!C206</f>
        <v>0</v>
      </c>
      <c r="E200" s="67">
        <f>'Capacity setup'!D206</f>
        <v>0</v>
      </c>
      <c r="F200" s="67">
        <f>'Capacity setup'!E206</f>
        <v>0</v>
      </c>
      <c r="H200" s="67">
        <f ca="1">IF(LOWER(Capacity!$V105)="x",IF(AND(SUMIF(Capacity_Resource,$D200,'Critical resources (hide)'!U$6:U$105)+SUMIF(Capacity_Resource,$E200,'Critical resources (hide)'!U$6:U$105)+SUMIF(Capacity_Resource,$F200,'Critical resources (hide)'!U$6:U$105)&gt;0,$E$1=2),0,1),0)</f>
        <v>1</v>
      </c>
      <c r="I200" s="67">
        <f ca="1">IF(LOWER(Capacity!$V105)="x",IF(AND(SUMIF(Capacity_Resource,$D200,'Critical resources (hide)'!V$6:V$105)+SUMIF(Capacity_Resource,$E200,'Critical resources (hide)'!V$6:V$105)+SUMIF(Capacity_Resource,$F200,'Critical resources (hide)'!V$6:V$105)&gt;0,$E$1=2),0,1),0)</f>
        <v>1</v>
      </c>
      <c r="J200" s="67">
        <f ca="1">IF(LOWER(Capacity!$V105)="x",IF(AND(SUMIF(Capacity_Resource,$D200,'Critical resources (hide)'!W$6:W$105)+SUMIF(Capacity_Resource,$E200,'Critical resources (hide)'!W$6:W$105)+SUMIF(Capacity_Resource,$F200,'Critical resources (hide)'!W$6:W$105)&gt;0,$E$1=2),0,1),0)</f>
        <v>1</v>
      </c>
      <c r="K200" s="67">
        <f ca="1">IF(LOWER(Capacity!$V105)="x",IF(AND(SUMIF(Capacity_Resource,$D200,'Critical resources (hide)'!X$6:X$105)+SUMIF(Capacity_Resource,$E200,'Critical resources (hide)'!X$6:X$105)+SUMIF(Capacity_Resource,$F200,'Critical resources (hide)'!X$6:X$105)&gt;0,$E$1=2),0,1),0)</f>
        <v>1</v>
      </c>
      <c r="L200" s="67">
        <f ca="1">IF(LOWER(Capacity!$V105)="x",IF(AND(SUMIF(Capacity_Resource,$D200,'Critical resources (hide)'!Y$6:Y$105)+SUMIF(Capacity_Resource,$E200,'Critical resources (hide)'!Y$6:Y$105)+SUMIF(Capacity_Resource,$F200,'Critical resources (hide)'!Y$6:Y$105)&gt;0,$E$1=2),0,1),0)</f>
        <v>1</v>
      </c>
      <c r="M200" s="67">
        <f ca="1">IF(LOWER(Capacity!$V105)="x",IF(AND(SUMIF(Capacity_Resource,$D200,'Critical resources (hide)'!Z$6:Z$105)+SUMIF(Capacity_Resource,$E200,'Critical resources (hide)'!Z$6:Z$105)+SUMIF(Capacity_Resource,$F200,'Critical resources (hide)'!Z$6:Z$105)&gt;0,$E$1=2),0,1),0)</f>
        <v>1</v>
      </c>
      <c r="N200" s="67">
        <f ca="1">IF(LOWER(Capacity!$V105)="x",IF(AND(SUMIF(Capacity_Resource,$D200,'Critical resources (hide)'!AA$6:AA$105)+SUMIF(Capacity_Resource,$E200,'Critical resources (hide)'!AA$6:AA$105)+SUMIF(Capacity_Resource,$F200,'Critical resources (hide)'!AA$6:AA$105)&gt;0,$E$1=2),0,1),0)</f>
        <v>1</v>
      </c>
      <c r="O200" s="67">
        <f ca="1">IF(LOWER(Capacity!$V105)="x",IF(AND(SUMIF(Capacity_Resource,$D200,'Critical resources (hide)'!AB$6:AB$105)+SUMIF(Capacity_Resource,$E200,'Critical resources (hide)'!AB$6:AB$105)+SUMIF(Capacity_Resource,$F200,'Critical resources (hide)'!AB$6:AB$105)&gt;0,$E$1=2),0,1),0)</f>
        <v>1</v>
      </c>
      <c r="P200" s="67">
        <f ca="1">IF(LOWER(Capacity!$V105)="x",IF(AND(SUMIF(Capacity_Resource,$D200,'Critical resources (hide)'!AC$6:AC$105)+SUMIF(Capacity_Resource,$E200,'Critical resources (hide)'!AC$6:AC$105)+SUMIF(Capacity_Resource,$F200,'Critical resources (hide)'!AC$6:AC$105)&gt;0,$E$1=2),0,1),0)</f>
        <v>1</v>
      </c>
      <c r="Q200" s="67">
        <f ca="1">IF(LOWER(Capacity!$V105)="x",IF(AND(SUMIF(Capacity_Resource,$D200,'Critical resources (hide)'!AD$6:AD$105)+SUMIF(Capacity_Resource,$E200,'Critical resources (hide)'!AD$6:AD$105)+SUMIF(Capacity_Resource,$F200,'Critical resources (hide)'!AD$6:AD$105)&gt;0,$E$1=2),0,1),0)</f>
        <v>1</v>
      </c>
      <c r="R200" s="67">
        <f ca="1">IF(LOWER(Capacity!$V105)="x",IF(AND(SUMIF(Capacity_Resource,$D200,'Critical resources (hide)'!AE$6:AE$105)+SUMIF(Capacity_Resource,$E200,'Critical resources (hide)'!AE$6:AE$105)+SUMIF(Capacity_Resource,$F200,'Critical resources (hide)'!AE$6:AE$105)&gt;0,$E$1=2),0,1),0)</f>
        <v>1</v>
      </c>
      <c r="S200" s="67">
        <f ca="1">IF(LOWER(Capacity!$V105)="x",IF(AND(SUMIF(Capacity_Resource,$D200,'Critical resources (hide)'!AF$6:AF$105)+SUMIF(Capacity_Resource,$E200,'Critical resources (hide)'!AF$6:AF$105)+SUMIF(Capacity_Resource,$F200,'Critical resources (hide)'!AF$6:AF$105)&gt;0,$E$1=2),0,1),0)</f>
        <v>1</v>
      </c>
      <c r="T200" s="67">
        <f ca="1">IF(LOWER(Capacity!$V105)="x",IF(AND(SUMIF(Capacity_Resource,$D200,'Critical resources (hide)'!AG$6:AG$105)+SUMIF(Capacity_Resource,$E200,'Critical resources (hide)'!AG$6:AG$105)+SUMIF(Capacity_Resource,$F200,'Critical resources (hide)'!AG$6:AG$105)&gt;0,$E$1=2),0,1),0)</f>
        <v>1</v>
      </c>
      <c r="U200" s="67">
        <f ca="1">IF(LOWER(Capacity!$V105)="x",IF(AND(SUMIF(Capacity_Resource,$D200,'Critical resources (hide)'!AH$6:AH$105)+SUMIF(Capacity_Resource,$E200,'Critical resources (hide)'!AH$6:AH$105)+SUMIF(Capacity_Resource,$F200,'Critical resources (hide)'!AH$6:AH$105)&gt;0,$E$1=2),0,1),0)</f>
        <v>1</v>
      </c>
      <c r="V200" s="67">
        <f ca="1">IF(LOWER(Capacity!$V105)="x",IF(AND(SUMIF(Capacity_Resource,$D200,'Critical resources (hide)'!AI$6:AI$105)+SUMIF(Capacity_Resource,$E200,'Critical resources (hide)'!AI$6:AI$105)+SUMIF(Capacity_Resource,$F200,'Critical resources (hide)'!AI$6:AI$105)&gt;0,$E$1=2),0,1),0)</f>
        <v>1</v>
      </c>
      <c r="W200" s="67">
        <f ca="1">IF(LOWER(Capacity!$V105)="x",IF(AND(SUMIF(Capacity_Resource,$D200,'Critical resources (hide)'!AJ$6:AJ$105)+SUMIF(Capacity_Resource,$E200,'Critical resources (hide)'!AJ$6:AJ$105)+SUMIF(Capacity_Resource,$F200,'Critical resources (hide)'!AJ$6:AJ$105)&gt;0,$E$1=2),0,1),0)</f>
        <v>1</v>
      </c>
      <c r="X200" s="67">
        <f ca="1">IF(LOWER(Capacity!$V105)="x",IF(AND(SUMIF(Capacity_Resource,$D200,'Critical resources (hide)'!AK$6:AK$105)+SUMIF(Capacity_Resource,$E200,'Critical resources (hide)'!AK$6:AK$105)+SUMIF(Capacity_Resource,$F200,'Critical resources (hide)'!AK$6:AK$105)&gt;0,$E$1=2),0,1),0)</f>
        <v>1</v>
      </c>
      <c r="Y200" s="67">
        <f ca="1">IF(LOWER(Capacity!$V105)="x",IF(AND(SUMIF(Capacity_Resource,$D200,'Critical resources (hide)'!AL$6:AL$105)+SUMIF(Capacity_Resource,$E200,'Critical resources (hide)'!AL$6:AL$105)+SUMIF(Capacity_Resource,$F200,'Critical resources (hide)'!AL$6:AL$105)&gt;0,$E$1=2),0,1),0)</f>
        <v>1</v>
      </c>
      <c r="Z200" s="67">
        <f ca="1">IF(LOWER(Capacity!$V105)="x",IF(AND(SUMIF(Capacity_Resource,$D200,'Critical resources (hide)'!AM$6:AM$105)+SUMIF(Capacity_Resource,$E200,'Critical resources (hide)'!AM$6:AM$105)+SUMIF(Capacity_Resource,$F200,'Critical resources (hide)'!AM$6:AM$105)&gt;0,$E$1=2),0,1),0)</f>
        <v>1</v>
      </c>
      <c r="AA200" s="67">
        <f ca="1">IF(LOWER(Capacity!$V105)="x",IF(AND(SUMIF(Capacity_Resource,$D200,'Critical resources (hide)'!AN$6:AN$105)+SUMIF(Capacity_Resource,$E200,'Critical resources (hide)'!AN$6:AN$105)+SUMIF(Capacity_Resource,$F200,'Critical resources (hide)'!AN$6:AN$105)&gt;0,$E$1=2),0,1),0)</f>
        <v>1</v>
      </c>
      <c r="AB200" s="67">
        <f ca="1">IF(LOWER(Capacity!$V105)="x",IF(AND(SUMIF(Capacity_Resource,$D200,'Critical resources (hide)'!AO$6:AO$105)+SUMIF(Capacity_Resource,$E200,'Critical resources (hide)'!AO$6:AO$105)+SUMIF(Capacity_Resource,$F200,'Critical resources (hide)'!AO$6:AO$105)&gt;0,$E$1=2),0,1),0)</f>
        <v>1</v>
      </c>
      <c r="AC200" s="67">
        <f ca="1">IF(LOWER(Capacity!$V105)="x",IF(AND(SUMIF(Capacity_Resource,$D200,'Critical resources (hide)'!AP$6:AP$105)+SUMIF(Capacity_Resource,$E200,'Critical resources (hide)'!AP$6:AP$105)+SUMIF(Capacity_Resource,$F200,'Critical resources (hide)'!AP$6:AP$105)&gt;0,$E$1=2),0,1),0)</f>
        <v>1</v>
      </c>
      <c r="AD200" s="67">
        <f ca="1">IF(LOWER(Capacity!$V105)="x",IF(AND(SUMIF(Capacity_Resource,$D200,'Critical resources (hide)'!AQ$6:AQ$105)+SUMIF(Capacity_Resource,$E200,'Critical resources (hide)'!AQ$6:AQ$105)+SUMIF(Capacity_Resource,$F200,'Critical resources (hide)'!AQ$6:AQ$105)&gt;0,$E$1=2),0,1),0)</f>
        <v>1</v>
      </c>
      <c r="AE200" s="67">
        <f ca="1">IF(LOWER(Capacity!$V105)="x",IF(AND(SUMIF(Capacity_Resource,$D200,'Critical resources (hide)'!AR$6:AR$105)+SUMIF(Capacity_Resource,$E200,'Critical resources (hide)'!AR$6:AR$105)+SUMIF(Capacity_Resource,$F200,'Critical resources (hide)'!AR$6:AR$105)&gt;0,$E$1=2),0,1),0)</f>
        <v>1</v>
      </c>
      <c r="AF200" s="67">
        <f ca="1">IF(LOWER(Capacity!$V105)="x",IF(AND(SUMIF(Capacity_Resource,$D200,'Critical resources (hide)'!AS$6:AS$105)+SUMIF(Capacity_Resource,$E200,'Critical resources (hide)'!AS$6:AS$105)+SUMIF(Capacity_Resource,$F200,'Critical resources (hide)'!AS$6:AS$105)&gt;0,$E$1=2),0,1),0)</f>
        <v>1</v>
      </c>
      <c r="AG200" s="67">
        <f ca="1">IF(LOWER(Capacity!$V105)="x",IF(AND(SUMIF(Capacity_Resource,$D200,'Critical resources (hide)'!AT$6:AT$105)+SUMIF(Capacity_Resource,$E200,'Critical resources (hide)'!AT$6:AT$105)+SUMIF(Capacity_Resource,$F200,'Critical resources (hide)'!AT$6:AT$105)&gt;0,$E$1=2),0,1),0)</f>
        <v>1</v>
      </c>
      <c r="AH200" s="67">
        <f ca="1">IF(LOWER(Capacity!$V105)="x",IF(AND(SUMIF(Capacity_Resource,$D200,'Critical resources (hide)'!AU$6:AU$105)+SUMIF(Capacity_Resource,$E200,'Critical resources (hide)'!AU$6:AU$105)+SUMIF(Capacity_Resource,$F200,'Critical resources (hide)'!AU$6:AU$105)&gt;0,$E$1=2),0,1),0)</f>
        <v>1</v>
      </c>
      <c r="AI200" s="67">
        <f ca="1">IF(LOWER(Capacity!$V105)="x",IF(AND(SUMIF(Capacity_Resource,$D200,'Critical resources (hide)'!AV$6:AV$105)+SUMIF(Capacity_Resource,$E200,'Critical resources (hide)'!AV$6:AV$105)+SUMIF(Capacity_Resource,$F200,'Critical resources (hide)'!AV$6:AV$105)&gt;0,$E$1=2),0,1),0)</f>
        <v>1</v>
      </c>
      <c r="AJ200" s="67">
        <f ca="1">IF(LOWER(Capacity!$V105)="x",IF(AND(SUMIF(Capacity_Resource,$D200,'Critical resources (hide)'!AW$6:AW$105)+SUMIF(Capacity_Resource,$E200,'Critical resources (hide)'!AW$6:AW$105)+SUMIF(Capacity_Resource,$F200,'Critical resources (hide)'!AW$6:AW$105)&gt;0,$E$1=2),0,1),0)</f>
        <v>1</v>
      </c>
      <c r="AK200" s="67">
        <f ca="1">IF(LOWER(Capacity!$V105)="x",IF(AND(SUMIF(Capacity_Resource,$D200,'Critical resources (hide)'!AX$6:AX$105)+SUMIF(Capacity_Resource,$E200,'Critical resources (hide)'!AX$6:AX$105)+SUMIF(Capacity_Resource,$F200,'Critical resources (hide)'!AX$6:AX$105)&gt;0,$E$1=2),0,1),0)</f>
        <v>1</v>
      </c>
      <c r="AL200" s="67">
        <f ca="1">IF(LOWER(Capacity!$V105)="x",IF(AND(SUMIF(Capacity_Resource,$D200,'Critical resources (hide)'!AY$6:AY$105)+SUMIF(Capacity_Resource,$E200,'Critical resources (hide)'!AY$6:AY$105)+SUMIF(Capacity_Resource,$F200,'Critical resources (hide)'!AY$6:AY$105)&gt;0,$E$1=2),0,1),0)</f>
        <v>1</v>
      </c>
      <c r="AM200" s="67">
        <f ca="1">IF(LOWER(Capacity!$V105)="x",IF(AND(SUMIF(Capacity_Resource,$D200,'Critical resources (hide)'!AZ$6:AZ$105)+SUMIF(Capacity_Resource,$E200,'Critical resources (hide)'!AZ$6:AZ$105)+SUMIF(Capacity_Resource,$F200,'Critical resources (hide)'!AZ$6:AZ$105)&gt;0,$E$1=2),0,1),0)</f>
        <v>1</v>
      </c>
      <c r="AN200" s="67">
        <f ca="1">IF(LOWER(Capacity!$V105)="x",IF(AND(SUMIF(Capacity_Resource,$D200,'Critical resources (hide)'!BA$6:BA$105)+SUMIF(Capacity_Resource,$E200,'Critical resources (hide)'!BA$6:BA$105)+SUMIF(Capacity_Resource,$F200,'Critical resources (hide)'!BA$6:BA$105)&gt;0,$E$1=2),0,1),0)</f>
        <v>1</v>
      </c>
      <c r="AO200" s="67">
        <f ca="1">IF(LOWER(Capacity!$V105)="x",IF(AND(SUMIF(Capacity_Resource,$D200,'Critical resources (hide)'!BB$6:BB$105)+SUMIF(Capacity_Resource,$E200,'Critical resources (hide)'!BB$6:BB$105)+SUMIF(Capacity_Resource,$F200,'Critical resources (hide)'!BB$6:BB$105)&gt;0,$E$1=2),0,1),0)</f>
        <v>1</v>
      </c>
      <c r="AP200" s="67">
        <f ca="1">IF(LOWER(Capacity!$V105)="x",IF(AND(SUMIF(Capacity_Resource,$D200,'Critical resources (hide)'!BC$6:BC$105)+SUMIF(Capacity_Resource,$E200,'Critical resources (hide)'!BC$6:BC$105)+SUMIF(Capacity_Resource,$F200,'Critical resources (hide)'!BC$6:BC$105)&gt;0,$E$1=2),0,1),0)</f>
        <v>1</v>
      </c>
      <c r="AQ200" s="67">
        <f ca="1">IF(LOWER(Capacity!$V105)="x",IF(AND(SUMIF(Capacity_Resource,$D200,'Critical resources (hide)'!BD$6:BD$105)+SUMIF(Capacity_Resource,$E200,'Critical resources (hide)'!BD$6:BD$105)+SUMIF(Capacity_Resource,$F200,'Critical resources (hide)'!BD$6:BD$105)&gt;0,$E$1=2),0,1),0)</f>
        <v>1</v>
      </c>
      <c r="AR200" s="67">
        <f ca="1">IF(LOWER(Capacity!$V105)="x",IF(AND(SUMIF(Capacity_Resource,$D200,'Critical resources (hide)'!BE$6:BE$105)+SUMIF(Capacity_Resource,$E200,'Critical resources (hide)'!BE$6:BE$105)+SUMIF(Capacity_Resource,$F200,'Critical resources (hide)'!BE$6:BE$105)&gt;0,$E$1=2),0,1),0)</f>
        <v>1</v>
      </c>
      <c r="AS200" s="67">
        <f ca="1">IF(LOWER(Capacity!$V105)="x",IF(AND(SUMIF(Capacity_Resource,$D200,'Critical resources (hide)'!BF$6:BF$105)+SUMIF(Capacity_Resource,$E200,'Critical resources (hide)'!BF$6:BF$105)+SUMIF(Capacity_Resource,$F200,'Critical resources (hide)'!BF$6:BF$105)&gt;0,$E$1=2),0,1),0)</f>
        <v>1</v>
      </c>
      <c r="AT200" s="67">
        <f ca="1">IF(LOWER(Capacity!$V105)="x",IF(AND(SUMIF(Capacity_Resource,$D200,'Critical resources (hide)'!BG$6:BG$105)+SUMIF(Capacity_Resource,$E200,'Critical resources (hide)'!BG$6:BG$105)+SUMIF(Capacity_Resource,$F200,'Critical resources (hide)'!BG$6:BG$105)&gt;0,$E$1=2),0,1),0)</f>
        <v>1</v>
      </c>
      <c r="AU200" s="67">
        <f ca="1">IF(LOWER(Capacity!$V105)="x",IF(AND(SUMIF(Capacity_Resource,$D200,'Critical resources (hide)'!BH$6:BH$105)+SUMIF(Capacity_Resource,$E200,'Critical resources (hide)'!BH$6:BH$105)+SUMIF(Capacity_Resource,$F200,'Critical resources (hide)'!BH$6:BH$105)&gt;0,$E$1=2),0,1),0)</f>
        <v>1</v>
      </c>
      <c r="AV200" s="67">
        <f ca="1">IF(LOWER(Capacity!$V105)="x",IF(AND(SUMIF(Capacity_Resource,$D200,'Critical resources (hide)'!BI$6:BI$105)+SUMIF(Capacity_Resource,$E200,'Critical resources (hide)'!BI$6:BI$105)+SUMIF(Capacity_Resource,$F200,'Critical resources (hide)'!BI$6:BI$105)&gt;0,$E$1=2),0,1),0)</f>
        <v>1</v>
      </c>
      <c r="AW200" s="67">
        <f ca="1">IF(LOWER(Capacity!$V105)="x",IF(AND(SUMIF(Capacity_Resource,$D200,'Critical resources (hide)'!BJ$6:BJ$105)+SUMIF(Capacity_Resource,$E200,'Critical resources (hide)'!BJ$6:BJ$105)+SUMIF(Capacity_Resource,$F200,'Critical resources (hide)'!BJ$6:BJ$105)&gt;0,$E$1=2),0,1),0)</f>
        <v>1</v>
      </c>
      <c r="AX200" s="67">
        <f ca="1">IF(LOWER(Capacity!$V105)="x",IF(AND(SUMIF(Capacity_Resource,$D200,'Critical resources (hide)'!BK$6:BK$105)+SUMIF(Capacity_Resource,$E200,'Critical resources (hide)'!BK$6:BK$105)+SUMIF(Capacity_Resource,$F200,'Critical resources (hide)'!BK$6:BK$105)&gt;0,$E$1=2),0,1),0)</f>
        <v>1</v>
      </c>
      <c r="AY200" s="67">
        <f ca="1">IF(LOWER(Capacity!$V105)="x",IF(AND(SUMIF(Capacity_Resource,$D200,'Critical resources (hide)'!BL$6:BL$105)+SUMIF(Capacity_Resource,$E200,'Critical resources (hide)'!BL$6:BL$105)+SUMIF(Capacity_Resource,$F200,'Critical resources (hide)'!BL$6:BL$105)&gt;0,$E$1=2),0,1),0)</f>
        <v>1</v>
      </c>
      <c r="AZ200" s="67">
        <f ca="1">IF(LOWER(Capacity!$V105)="x",IF(AND(SUMIF(Capacity_Resource,$D200,'Critical resources (hide)'!BM$6:BM$105)+SUMIF(Capacity_Resource,$E200,'Critical resources (hide)'!BM$6:BM$105)+SUMIF(Capacity_Resource,$F200,'Critical resources (hide)'!BM$6:BM$105)&gt;0,$E$1=2),0,1),0)</f>
        <v>1</v>
      </c>
      <c r="BA200" s="67">
        <f ca="1">IF(LOWER(Capacity!$V105)="x",IF(AND(SUMIF(Capacity_Resource,$D200,'Critical resources (hide)'!BN$6:BN$105)+SUMIF(Capacity_Resource,$E200,'Critical resources (hide)'!BN$6:BN$105)+SUMIF(Capacity_Resource,$F200,'Critical resources (hide)'!BN$6:BN$105)&gt;0,$E$1=2),0,1),0)</f>
        <v>1</v>
      </c>
      <c r="BB200" s="67">
        <f ca="1">IF(LOWER(Capacity!$V105)="x",IF(AND(SUMIF(Capacity_Resource,$D200,'Critical resources (hide)'!BO$6:BO$105)+SUMIF(Capacity_Resource,$E200,'Critical resources (hide)'!BO$6:BO$105)+SUMIF(Capacity_Resource,$F200,'Critical resources (hide)'!BO$6:BO$105)&gt;0,$E$1=2),0,1),0)</f>
        <v>1</v>
      </c>
      <c r="BC200" s="67">
        <f ca="1">IF(LOWER(Capacity!$V105)="x",IF(AND(SUMIF(Capacity_Resource,$D200,'Critical resources (hide)'!BP$6:BP$105)+SUMIF(Capacity_Resource,$E200,'Critical resources (hide)'!BP$6:BP$105)+SUMIF(Capacity_Resource,$F200,'Critical resources (hide)'!BP$6:BP$105)&gt;0,$E$1=2),0,1),0)</f>
        <v>1</v>
      </c>
      <c r="BD200" s="67">
        <f ca="1">IF(LOWER(Capacity!$V105)="x",IF(AND(SUMIF(Capacity_Resource,$D200,'Critical resources (hide)'!BQ$6:BQ$105)+SUMIF(Capacity_Resource,$E200,'Critical resources (hide)'!BQ$6:BQ$105)+SUMIF(Capacity_Resource,$F200,'Critical resources (hide)'!BQ$6:BQ$105)&gt;0,$E$1=2),0,1),0)</f>
        <v>1</v>
      </c>
      <c r="BE200" s="67">
        <f ca="1">IF(LOWER(Capacity!$V105)="x",IF(AND(SUMIF(Capacity_Resource,$D200,'Critical resources (hide)'!BR$6:BR$105)+SUMIF(Capacity_Resource,$E200,'Critical resources (hide)'!BR$6:BR$105)+SUMIF(Capacity_Resource,$F200,'Critical resources (hide)'!BR$6:BR$105)&gt;0,$E$1=2),0,1),0)</f>
        <v>1</v>
      </c>
      <c r="BF200" s="67">
        <f ca="1">IF(LOWER(Capacity!$V105)="x",IF(AND(SUMIF(Capacity_Resource,$D200,'Critical resources (hide)'!BS$6:BS$105)+SUMIF(Capacity_Resource,$E200,'Critical resources (hide)'!BS$6:BS$105)+SUMIF(Capacity_Resource,$F200,'Critical resources (hide)'!BS$6:BS$105)&gt;0,$E$1=2),0,1),0)</f>
        <v>1</v>
      </c>
      <c r="BG200" s="67">
        <f ca="1">IF(LOWER(Capacity!$V105)="x",IF(AND(SUMIF(Capacity_Resource,$D200,'Critical resources (hide)'!BT$6:BT$105)+SUMIF(Capacity_Resource,$E200,'Critical resources (hide)'!BT$6:BT$105)+SUMIF(Capacity_Resource,$F200,'Critical resources (hide)'!BT$6:BT$105)&gt;0,$E$1=2),0,1),0)</f>
        <v>1</v>
      </c>
      <c r="BH200" s="67">
        <f>IF(ROW(A89)&lt;=Capacity!$M$16,IF('Capacity summary'!$C$14="No",SUM(H200:BG200),'Capacity summary'!$E112),0)</f>
        <v>0</v>
      </c>
      <c r="BI200" s="67" t="str">
        <f>IF(BH200&gt;0,IF(BH200&lt;Capacity!Q105,Capacity!R105,Capacity!T105/'Capacity calculation (hide)'!BH200),"")</f>
        <v/>
      </c>
      <c r="BJ200" s="5"/>
      <c r="BK200" s="5">
        <f>IF($BI200&lt;&gt;"",IF('Capacity summary'!$C$14="Yes",IF(COUNTBLANK('Capacity summary'!$H112:$BG112)&lt;52,IF('Capacity summary'!H112&lt;&gt;"",IF(LOWER('Capacity summary'!H112)="x",$BI200*H200,VALUE('Capacity summary'!H112)),0),H200*$BI200),H200*$BI200),0)</f>
        <v>0</v>
      </c>
      <c r="BL200" s="5">
        <f>IF($BI200&lt;&gt;"",IF('Capacity summary'!$C$14="Yes",IF(COUNTBLANK('Capacity summary'!$H112:$BG112)&lt;52,IF('Capacity summary'!I112&lt;&gt;"",IF(LOWER('Capacity summary'!I112)="x",$BI200*I200,VALUE('Capacity summary'!I112)),0),I200*$BI200),I200*$BI200),0)</f>
        <v>0</v>
      </c>
      <c r="BM200" s="5">
        <f>IF($BI200&lt;&gt;"",IF('Capacity summary'!$C$14="Yes",IF(COUNTBLANK('Capacity summary'!$H112:$BG112)&lt;52,IF('Capacity summary'!J112&lt;&gt;"",IF(LOWER('Capacity summary'!J112)="x",$BI200*J200,VALUE('Capacity summary'!J112)),0),J200*$BI200),J200*$BI200),0)</f>
        <v>0</v>
      </c>
      <c r="BN200" s="5">
        <f>IF($BI200&lt;&gt;"",IF('Capacity summary'!$C$14="Yes",IF(COUNTBLANK('Capacity summary'!$H112:$BG112)&lt;52,IF('Capacity summary'!K112&lt;&gt;"",IF(LOWER('Capacity summary'!K112)="x",$BI200*K200,VALUE('Capacity summary'!K112)),0),K200*$BI200),K200*$BI200),0)</f>
        <v>0</v>
      </c>
      <c r="BO200" s="5">
        <f>IF($BI200&lt;&gt;"",IF('Capacity summary'!$C$14="Yes",IF(COUNTBLANK('Capacity summary'!$H112:$BG112)&lt;52,IF('Capacity summary'!L112&lt;&gt;"",IF(LOWER('Capacity summary'!L112)="x",$BI200*L200,VALUE('Capacity summary'!L112)),0),L200*$BI200),L200*$BI200),0)</f>
        <v>0</v>
      </c>
      <c r="BP200" s="5">
        <f>IF($BI200&lt;&gt;"",IF('Capacity summary'!$C$14="Yes",IF(COUNTBLANK('Capacity summary'!$H112:$BG112)&lt;52,IF('Capacity summary'!M112&lt;&gt;"",IF(LOWER('Capacity summary'!M112)="x",$BI200*M200,VALUE('Capacity summary'!M112)),0),M200*$BI200),M200*$BI200),0)</f>
        <v>0</v>
      </c>
      <c r="BQ200" s="5">
        <f>IF($BI200&lt;&gt;"",IF('Capacity summary'!$C$14="Yes",IF(COUNTBLANK('Capacity summary'!$H112:$BG112)&lt;52,IF('Capacity summary'!N112&lt;&gt;"",IF(LOWER('Capacity summary'!N112)="x",$BI200*N200,VALUE('Capacity summary'!N112)),0),N200*$BI200),N200*$BI200),0)</f>
        <v>0</v>
      </c>
      <c r="BR200" s="5">
        <f>IF($BI200&lt;&gt;"",IF('Capacity summary'!$C$14="Yes",IF(COUNTBLANK('Capacity summary'!$H112:$BG112)&lt;52,IF('Capacity summary'!O112&lt;&gt;"",IF(LOWER('Capacity summary'!O112)="x",$BI200*O200,VALUE('Capacity summary'!O112)),0),O200*$BI200),O200*$BI200),0)</f>
        <v>0</v>
      </c>
      <c r="BS200" s="5">
        <f>IF($BI200&lt;&gt;"",IF('Capacity summary'!$C$14="Yes",IF(COUNTBLANK('Capacity summary'!$H112:$BG112)&lt;52,IF('Capacity summary'!P112&lt;&gt;"",IF(LOWER('Capacity summary'!P112)="x",$BI200*P200,VALUE('Capacity summary'!P112)),0),P200*$BI200),P200*$BI200),0)</f>
        <v>0</v>
      </c>
      <c r="BT200" s="5">
        <f>IF($BI200&lt;&gt;"",IF('Capacity summary'!$C$14="Yes",IF(COUNTBLANK('Capacity summary'!$H112:$BG112)&lt;52,IF('Capacity summary'!Q112&lt;&gt;"",IF(LOWER('Capacity summary'!Q112)="x",$BI200*Q200,VALUE('Capacity summary'!Q112)),0),Q200*$BI200),Q200*$BI200),0)</f>
        <v>0</v>
      </c>
      <c r="BU200" s="5">
        <f>IF($BI200&lt;&gt;"",IF('Capacity summary'!$C$14="Yes",IF(COUNTBLANK('Capacity summary'!$H112:$BG112)&lt;52,IF('Capacity summary'!R112&lt;&gt;"",IF(LOWER('Capacity summary'!R112)="x",$BI200*R200,VALUE('Capacity summary'!R112)),0),R200*$BI200),R200*$BI200),0)</f>
        <v>0</v>
      </c>
      <c r="BV200" s="5">
        <f>IF($BI200&lt;&gt;"",IF('Capacity summary'!$C$14="Yes",IF(COUNTBLANK('Capacity summary'!$H112:$BG112)&lt;52,IF('Capacity summary'!S112&lt;&gt;"",IF(LOWER('Capacity summary'!S112)="x",$BI200*S200,VALUE('Capacity summary'!S112)),0),S200*$BI200),S200*$BI200),0)</f>
        <v>0</v>
      </c>
      <c r="BW200" s="5">
        <f>IF($BI200&lt;&gt;"",IF('Capacity summary'!$C$14="Yes",IF(COUNTBLANK('Capacity summary'!$H112:$BG112)&lt;52,IF('Capacity summary'!T112&lt;&gt;"",IF(LOWER('Capacity summary'!T112)="x",$BI200*T200,VALUE('Capacity summary'!T112)),0),T200*$BI200),T200*$BI200),0)</f>
        <v>0</v>
      </c>
      <c r="BX200" s="5">
        <f>IF($BI200&lt;&gt;"",IF('Capacity summary'!$C$14="Yes",IF(COUNTBLANK('Capacity summary'!$H112:$BG112)&lt;52,IF('Capacity summary'!U112&lt;&gt;"",IF(LOWER('Capacity summary'!U112)="x",$BI200*U200,VALUE('Capacity summary'!U112)),0),U200*$BI200),U200*$BI200),0)</f>
        <v>0</v>
      </c>
      <c r="BY200" s="5">
        <f>IF($BI200&lt;&gt;"",IF('Capacity summary'!$C$14="Yes",IF(COUNTBLANK('Capacity summary'!$H112:$BG112)&lt;52,IF('Capacity summary'!V112&lt;&gt;"",IF(LOWER('Capacity summary'!V112)="x",$BI200*V200,VALUE('Capacity summary'!V112)),0),V200*$BI200),V200*$BI200),0)</f>
        <v>0</v>
      </c>
      <c r="BZ200" s="5">
        <f>IF($BI200&lt;&gt;"",IF('Capacity summary'!$C$14="Yes",IF(COUNTBLANK('Capacity summary'!$H112:$BG112)&lt;52,IF('Capacity summary'!W112&lt;&gt;"",IF(LOWER('Capacity summary'!W112)="x",$BI200*W200,VALUE('Capacity summary'!W112)),0),W200*$BI200),W200*$BI200),0)</f>
        <v>0</v>
      </c>
      <c r="CA200" s="5">
        <f>IF($BI200&lt;&gt;"",IF('Capacity summary'!$C$14="Yes",IF(COUNTBLANK('Capacity summary'!$H112:$BG112)&lt;52,IF('Capacity summary'!X112&lt;&gt;"",IF(LOWER('Capacity summary'!X112)="x",$BI200*X200,VALUE('Capacity summary'!X112)),0),X200*$BI200),X200*$BI200),0)</f>
        <v>0</v>
      </c>
      <c r="CB200" s="5">
        <f>IF($BI200&lt;&gt;"",IF('Capacity summary'!$C$14="Yes",IF(COUNTBLANK('Capacity summary'!$H112:$BG112)&lt;52,IF('Capacity summary'!Y112&lt;&gt;"",IF(LOWER('Capacity summary'!Y112)="x",$BI200*Y200,VALUE('Capacity summary'!Y112)),0),Y200*$BI200),Y200*$BI200),0)</f>
        <v>0</v>
      </c>
      <c r="CC200" s="5">
        <f>IF($BI200&lt;&gt;"",IF('Capacity summary'!$C$14="Yes",IF(COUNTBLANK('Capacity summary'!$H112:$BG112)&lt;52,IF('Capacity summary'!Z112&lt;&gt;"",IF(LOWER('Capacity summary'!Z112)="x",$BI200*Z200,VALUE('Capacity summary'!Z112)),0),Z200*$BI200),Z200*$BI200),0)</f>
        <v>0</v>
      </c>
      <c r="CD200" s="5">
        <f>IF($BI200&lt;&gt;"",IF('Capacity summary'!$C$14="Yes",IF(COUNTBLANK('Capacity summary'!$H112:$BG112)&lt;52,IF('Capacity summary'!AA112&lt;&gt;"",IF(LOWER('Capacity summary'!AA112)="x",$BI200*AA200,VALUE('Capacity summary'!AA112)),0),AA200*$BI200),AA200*$BI200),0)</f>
        <v>0</v>
      </c>
      <c r="CE200" s="5">
        <f>IF($BI200&lt;&gt;"",IF('Capacity summary'!$C$14="Yes",IF(COUNTBLANK('Capacity summary'!$H112:$BG112)&lt;52,IF('Capacity summary'!AB112&lt;&gt;"",IF(LOWER('Capacity summary'!AB112)="x",$BI200*AB200,VALUE('Capacity summary'!AB112)),0),AB200*$BI200),AB200*$BI200),0)</f>
        <v>0</v>
      </c>
      <c r="CF200" s="5">
        <f>IF($BI200&lt;&gt;"",IF('Capacity summary'!$C$14="Yes",IF(COUNTBLANK('Capacity summary'!$H112:$BG112)&lt;52,IF('Capacity summary'!AC112&lt;&gt;"",IF(LOWER('Capacity summary'!AC112)="x",$BI200*AC200,VALUE('Capacity summary'!AC112)),0),AC200*$BI200),AC200*$BI200),0)</f>
        <v>0</v>
      </c>
      <c r="CG200" s="5">
        <f>IF($BI200&lt;&gt;"",IF('Capacity summary'!$C$14="Yes",IF(COUNTBLANK('Capacity summary'!$H112:$BG112)&lt;52,IF('Capacity summary'!AD112&lt;&gt;"",IF(LOWER('Capacity summary'!AD112)="x",$BI200*AD200,VALUE('Capacity summary'!AD112)),0),AD200*$BI200),AD200*$BI200),0)</f>
        <v>0</v>
      </c>
      <c r="CH200" s="5">
        <f>IF($BI200&lt;&gt;"",IF('Capacity summary'!$C$14="Yes",IF(COUNTBLANK('Capacity summary'!$H112:$BG112)&lt;52,IF('Capacity summary'!AE112&lt;&gt;"",IF(LOWER('Capacity summary'!AE112)="x",$BI200*AE200,VALUE('Capacity summary'!AE112)),0),AE200*$BI200),AE200*$BI200),0)</f>
        <v>0</v>
      </c>
      <c r="CI200" s="5">
        <f>IF($BI200&lt;&gt;"",IF('Capacity summary'!$C$14="Yes",IF(COUNTBLANK('Capacity summary'!$H112:$BG112)&lt;52,IF('Capacity summary'!AF112&lt;&gt;"",IF(LOWER('Capacity summary'!AF112)="x",$BI200*AF200,VALUE('Capacity summary'!AF112)),0),AF200*$BI200),AF200*$BI200),0)</f>
        <v>0</v>
      </c>
      <c r="CJ200" s="5">
        <f>IF($BI200&lt;&gt;"",IF('Capacity summary'!$C$14="Yes",IF(COUNTBLANK('Capacity summary'!$H112:$BG112)&lt;52,IF('Capacity summary'!AG112&lt;&gt;"",IF(LOWER('Capacity summary'!AG112)="x",$BI200*AG200,VALUE('Capacity summary'!AG112)),0),AG200*$BI200),AG200*$BI200),0)</f>
        <v>0</v>
      </c>
      <c r="CK200" s="5">
        <f>IF($BI200&lt;&gt;"",IF('Capacity summary'!$C$14="Yes",IF(COUNTBLANK('Capacity summary'!$H112:$BG112)&lt;52,IF('Capacity summary'!AH112&lt;&gt;"",IF(LOWER('Capacity summary'!AH112)="x",$BI200*AH200,VALUE('Capacity summary'!AH112)),0),AH200*$BI200),AH200*$BI200),0)</f>
        <v>0</v>
      </c>
      <c r="CL200" s="5">
        <f>IF($BI200&lt;&gt;"",IF('Capacity summary'!$C$14="Yes",IF(COUNTBLANK('Capacity summary'!$H112:$BG112)&lt;52,IF('Capacity summary'!AI112&lt;&gt;"",IF(LOWER('Capacity summary'!AI112)="x",$BI200*AI200,VALUE('Capacity summary'!AI112)),0),AI200*$BI200),AI200*$BI200),0)</f>
        <v>0</v>
      </c>
      <c r="CM200" s="5">
        <f>IF($BI200&lt;&gt;"",IF('Capacity summary'!$C$14="Yes",IF(COUNTBLANK('Capacity summary'!$H112:$BG112)&lt;52,IF('Capacity summary'!AJ112&lt;&gt;"",IF(LOWER('Capacity summary'!AJ112)="x",$BI200*AJ200,VALUE('Capacity summary'!AJ112)),0),AJ200*$BI200),AJ200*$BI200),0)</f>
        <v>0</v>
      </c>
      <c r="CN200" s="5">
        <f>IF($BI200&lt;&gt;"",IF('Capacity summary'!$C$14="Yes",IF(COUNTBLANK('Capacity summary'!$H112:$BG112)&lt;52,IF('Capacity summary'!AK112&lt;&gt;"",IF(LOWER('Capacity summary'!AK112)="x",$BI200*AK200,VALUE('Capacity summary'!AK112)),0),AK200*$BI200),AK200*$BI200),0)</f>
        <v>0</v>
      </c>
      <c r="CO200" s="5">
        <f>IF($BI200&lt;&gt;"",IF('Capacity summary'!$C$14="Yes",IF(COUNTBLANK('Capacity summary'!$H112:$BG112)&lt;52,IF('Capacity summary'!AL112&lt;&gt;"",IF(LOWER('Capacity summary'!AL112)="x",$BI200*AL200,VALUE('Capacity summary'!AL112)),0),AL200*$BI200),AL200*$BI200),0)</f>
        <v>0</v>
      </c>
      <c r="CP200" s="5">
        <f>IF($BI200&lt;&gt;"",IF('Capacity summary'!$C$14="Yes",IF(COUNTBLANK('Capacity summary'!$H112:$BG112)&lt;52,IF('Capacity summary'!AM112&lt;&gt;"",IF(LOWER('Capacity summary'!AM112)="x",$BI200*AM200,VALUE('Capacity summary'!AM112)),0),AM200*$BI200),AM200*$BI200),0)</f>
        <v>0</v>
      </c>
      <c r="CQ200" s="5">
        <f>IF($BI200&lt;&gt;"",IF('Capacity summary'!$C$14="Yes",IF(COUNTBLANK('Capacity summary'!$H112:$BG112)&lt;52,IF('Capacity summary'!AN112&lt;&gt;"",IF(LOWER('Capacity summary'!AN112)="x",$BI200*AN200,VALUE('Capacity summary'!AN112)),0),AN200*$BI200),AN200*$BI200),0)</f>
        <v>0</v>
      </c>
      <c r="CR200" s="5">
        <f>IF($BI200&lt;&gt;"",IF('Capacity summary'!$C$14="Yes",IF(COUNTBLANK('Capacity summary'!$H112:$BG112)&lt;52,IF('Capacity summary'!AO112&lt;&gt;"",IF(LOWER('Capacity summary'!AO112)="x",$BI200*AO200,VALUE('Capacity summary'!AO112)),0),AO200*$BI200),AO200*$BI200),0)</f>
        <v>0</v>
      </c>
      <c r="CS200" s="5">
        <f>IF($BI200&lt;&gt;"",IF('Capacity summary'!$C$14="Yes",IF(COUNTBLANK('Capacity summary'!$H112:$BG112)&lt;52,IF('Capacity summary'!AP112&lt;&gt;"",IF(LOWER('Capacity summary'!AP112)="x",$BI200*AP200,VALUE('Capacity summary'!AP112)),0),AP200*$BI200),AP200*$BI200),0)</f>
        <v>0</v>
      </c>
      <c r="CT200" s="5">
        <f>IF($BI200&lt;&gt;"",IF('Capacity summary'!$C$14="Yes",IF(COUNTBLANK('Capacity summary'!$H112:$BG112)&lt;52,IF('Capacity summary'!AQ112&lt;&gt;"",IF(LOWER('Capacity summary'!AQ112)="x",$BI200*AQ200,VALUE('Capacity summary'!AQ112)),0),AQ200*$BI200),AQ200*$BI200),0)</f>
        <v>0</v>
      </c>
      <c r="CU200" s="5">
        <f>IF($BI200&lt;&gt;"",IF('Capacity summary'!$C$14="Yes",IF(COUNTBLANK('Capacity summary'!$H112:$BG112)&lt;52,IF('Capacity summary'!AR112&lt;&gt;"",IF(LOWER('Capacity summary'!AR112)="x",$BI200*AR200,VALUE('Capacity summary'!AR112)),0),AR200*$BI200),AR200*$BI200),0)</f>
        <v>0</v>
      </c>
      <c r="CV200" s="5">
        <f>IF($BI200&lt;&gt;"",IF('Capacity summary'!$C$14="Yes",IF(COUNTBLANK('Capacity summary'!$H112:$BG112)&lt;52,IF('Capacity summary'!AS112&lt;&gt;"",IF(LOWER('Capacity summary'!AS112)="x",$BI200*AS200,VALUE('Capacity summary'!AS112)),0),AS200*$BI200),AS200*$BI200),0)</f>
        <v>0</v>
      </c>
      <c r="CW200" s="5">
        <f>IF($BI200&lt;&gt;"",IF('Capacity summary'!$C$14="Yes",IF(COUNTBLANK('Capacity summary'!$H112:$BG112)&lt;52,IF('Capacity summary'!AT112&lt;&gt;"",IF(LOWER('Capacity summary'!AT112)="x",$BI200*AT200,VALUE('Capacity summary'!AT112)),0),AT200*$BI200),AT200*$BI200),0)</f>
        <v>0</v>
      </c>
      <c r="CX200" s="5">
        <f>IF($BI200&lt;&gt;"",IF('Capacity summary'!$C$14="Yes",IF(COUNTBLANK('Capacity summary'!$H112:$BG112)&lt;52,IF('Capacity summary'!AU112&lt;&gt;"",IF(LOWER('Capacity summary'!AU112)="x",$BI200*AU200,VALUE('Capacity summary'!AU112)),0),AU200*$BI200),AU200*$BI200),0)</f>
        <v>0</v>
      </c>
      <c r="CY200" s="5">
        <f>IF($BI200&lt;&gt;"",IF('Capacity summary'!$C$14="Yes",IF(COUNTBLANK('Capacity summary'!$H112:$BG112)&lt;52,IF('Capacity summary'!AV112&lt;&gt;"",IF(LOWER('Capacity summary'!AV112)="x",$BI200*AV200,VALUE('Capacity summary'!AV112)),0),AV200*$BI200),AV200*$BI200),0)</f>
        <v>0</v>
      </c>
      <c r="CZ200" s="5">
        <f>IF($BI200&lt;&gt;"",IF('Capacity summary'!$C$14="Yes",IF(COUNTBLANK('Capacity summary'!$H112:$BG112)&lt;52,IF('Capacity summary'!AW112&lt;&gt;"",IF(LOWER('Capacity summary'!AW112)="x",$BI200*AW200,VALUE('Capacity summary'!AW112)),0),AW200*$BI200),AW200*$BI200),0)</f>
        <v>0</v>
      </c>
      <c r="DA200" s="5">
        <f>IF($BI200&lt;&gt;"",IF('Capacity summary'!$C$14="Yes",IF(COUNTBLANK('Capacity summary'!$H112:$BG112)&lt;52,IF('Capacity summary'!AX112&lt;&gt;"",IF(LOWER('Capacity summary'!AX112)="x",$BI200*AX200,VALUE('Capacity summary'!AX112)),0),AX200*$BI200),AX200*$BI200),0)</f>
        <v>0</v>
      </c>
      <c r="DB200" s="5">
        <f>IF($BI200&lt;&gt;"",IF('Capacity summary'!$C$14="Yes",IF(COUNTBLANK('Capacity summary'!$H112:$BG112)&lt;52,IF('Capacity summary'!AY112&lt;&gt;"",IF(LOWER('Capacity summary'!AY112)="x",$BI200*AY200,VALUE('Capacity summary'!AY112)),0),AY200*$BI200),AY200*$BI200),0)</f>
        <v>0</v>
      </c>
      <c r="DC200" s="5">
        <f>IF($BI200&lt;&gt;"",IF('Capacity summary'!$C$14="Yes",IF(COUNTBLANK('Capacity summary'!$H112:$BG112)&lt;52,IF('Capacity summary'!AZ112&lt;&gt;"",IF(LOWER('Capacity summary'!AZ112)="x",$BI200*AZ200,VALUE('Capacity summary'!AZ112)),0),AZ200*$BI200),AZ200*$BI200),0)</f>
        <v>0</v>
      </c>
      <c r="DD200" s="5">
        <f>IF($BI200&lt;&gt;"",IF('Capacity summary'!$C$14="Yes",IF(COUNTBLANK('Capacity summary'!$H112:$BG112)&lt;52,IF('Capacity summary'!BA112&lt;&gt;"",IF(LOWER('Capacity summary'!BA112)="x",$BI200*BA200,VALUE('Capacity summary'!BA112)),0),BA200*$BI200),BA200*$BI200),0)</f>
        <v>0</v>
      </c>
      <c r="DE200" s="5">
        <f>IF($BI200&lt;&gt;"",IF('Capacity summary'!$C$14="Yes",IF(COUNTBLANK('Capacity summary'!$H112:$BG112)&lt;52,IF('Capacity summary'!BB112&lt;&gt;"",IF(LOWER('Capacity summary'!BB112)="x",$BI200*BB200,VALUE('Capacity summary'!BB112)),0),BB200*$BI200),BB200*$BI200),0)</f>
        <v>0</v>
      </c>
      <c r="DF200" s="5">
        <f>IF($BI200&lt;&gt;"",IF('Capacity summary'!$C$14="Yes",IF(COUNTBLANK('Capacity summary'!$H112:$BG112)&lt;52,IF('Capacity summary'!BC112&lt;&gt;"",IF(LOWER('Capacity summary'!BC112)="x",$BI200*BC200,VALUE('Capacity summary'!BC112)),0),BC200*$BI200),BC200*$BI200),0)</f>
        <v>0</v>
      </c>
      <c r="DG200" s="5">
        <f>IF($BI200&lt;&gt;"",IF('Capacity summary'!$C$14="Yes",IF(COUNTBLANK('Capacity summary'!$H112:$BG112)&lt;52,IF('Capacity summary'!BD112&lt;&gt;"",IF(LOWER('Capacity summary'!BD112)="x",$BI200*BD200,VALUE('Capacity summary'!BD112)),0),BD200*$BI200),BD200*$BI200),0)</f>
        <v>0</v>
      </c>
      <c r="DH200" s="5">
        <f>IF($BI200&lt;&gt;"",IF('Capacity summary'!$C$14="Yes",IF(COUNTBLANK('Capacity summary'!$H112:$BG112)&lt;52,IF('Capacity summary'!BE112&lt;&gt;"",IF(LOWER('Capacity summary'!BE112)="x",$BI200*BE200,VALUE('Capacity summary'!BE112)),0),BE200*$BI200),BE200*$BI200),0)</f>
        <v>0</v>
      </c>
      <c r="DI200" s="5">
        <f>IF($BI200&lt;&gt;"",IF('Capacity summary'!$C$14="Yes",IF(COUNTBLANK('Capacity summary'!$H112:$BG112)&lt;52,IF('Capacity summary'!BF112&lt;&gt;"",IF(LOWER('Capacity summary'!BF112)="x",$BI200*BF200,VALUE('Capacity summary'!BF112)),0),BF200*$BI200),BF200*$BI200),0)</f>
        <v>0</v>
      </c>
      <c r="DJ200" s="5">
        <f>IF($BI200&lt;&gt;"",IF('Capacity summary'!$C$14="Yes",IF(COUNTBLANK('Capacity summary'!$H112:$BG112)&lt;52,IF('Capacity summary'!BG112&lt;&gt;"",IF(LOWER('Capacity summary'!BG112)="x",$BI200*BG200,VALUE('Capacity summary'!BG112)),0),BG200*$BI200),BG200*$BI200),0)</f>
        <v>0</v>
      </c>
      <c r="DK200" s="391">
        <f t="shared" si="10"/>
        <v>0</v>
      </c>
      <c r="DL200" s="5">
        <f t="shared" si="11"/>
        <v>0</v>
      </c>
    </row>
    <row r="201" spans="3:116" x14ac:dyDescent="0.2">
      <c r="C201" s="67" t="str">
        <f>ROW(A90)&amp;". "&amp;Capacity!N106</f>
        <v xml:space="preserve">90. </v>
      </c>
      <c r="D201" s="67">
        <f>'Capacity setup'!C207</f>
        <v>0</v>
      </c>
      <c r="E201" s="67">
        <f>'Capacity setup'!D207</f>
        <v>0</v>
      </c>
      <c r="F201" s="67">
        <f>'Capacity setup'!E207</f>
        <v>0</v>
      </c>
      <c r="H201" s="67">
        <f ca="1">IF(LOWER(Capacity!$V106)="x",IF(AND(SUMIF(Capacity_Resource,$D201,'Critical resources (hide)'!U$6:U$105)+SUMIF(Capacity_Resource,$E201,'Critical resources (hide)'!U$6:U$105)+SUMIF(Capacity_Resource,$F201,'Critical resources (hide)'!U$6:U$105)&gt;0,$E$1=2),0,1),0)</f>
        <v>1</v>
      </c>
      <c r="I201" s="67">
        <f ca="1">IF(LOWER(Capacity!$V106)="x",IF(AND(SUMIF(Capacity_Resource,$D201,'Critical resources (hide)'!V$6:V$105)+SUMIF(Capacity_Resource,$E201,'Critical resources (hide)'!V$6:V$105)+SUMIF(Capacity_Resource,$F201,'Critical resources (hide)'!V$6:V$105)&gt;0,$E$1=2),0,1),0)</f>
        <v>1</v>
      </c>
      <c r="J201" s="67">
        <f ca="1">IF(LOWER(Capacity!$V106)="x",IF(AND(SUMIF(Capacity_Resource,$D201,'Critical resources (hide)'!W$6:W$105)+SUMIF(Capacity_Resource,$E201,'Critical resources (hide)'!W$6:W$105)+SUMIF(Capacity_Resource,$F201,'Critical resources (hide)'!W$6:W$105)&gt;0,$E$1=2),0,1),0)</f>
        <v>1</v>
      </c>
      <c r="K201" s="67">
        <f ca="1">IF(LOWER(Capacity!$V106)="x",IF(AND(SUMIF(Capacity_Resource,$D201,'Critical resources (hide)'!X$6:X$105)+SUMIF(Capacity_Resource,$E201,'Critical resources (hide)'!X$6:X$105)+SUMIF(Capacity_Resource,$F201,'Critical resources (hide)'!X$6:X$105)&gt;0,$E$1=2),0,1),0)</f>
        <v>1</v>
      </c>
      <c r="L201" s="67">
        <f ca="1">IF(LOWER(Capacity!$V106)="x",IF(AND(SUMIF(Capacity_Resource,$D201,'Critical resources (hide)'!Y$6:Y$105)+SUMIF(Capacity_Resource,$E201,'Critical resources (hide)'!Y$6:Y$105)+SUMIF(Capacity_Resource,$F201,'Critical resources (hide)'!Y$6:Y$105)&gt;0,$E$1=2),0,1),0)</f>
        <v>1</v>
      </c>
      <c r="M201" s="67">
        <f ca="1">IF(LOWER(Capacity!$V106)="x",IF(AND(SUMIF(Capacity_Resource,$D201,'Critical resources (hide)'!Z$6:Z$105)+SUMIF(Capacity_Resource,$E201,'Critical resources (hide)'!Z$6:Z$105)+SUMIF(Capacity_Resource,$F201,'Critical resources (hide)'!Z$6:Z$105)&gt;0,$E$1=2),0,1),0)</f>
        <v>1</v>
      </c>
      <c r="N201" s="67">
        <f ca="1">IF(LOWER(Capacity!$V106)="x",IF(AND(SUMIF(Capacity_Resource,$D201,'Critical resources (hide)'!AA$6:AA$105)+SUMIF(Capacity_Resource,$E201,'Critical resources (hide)'!AA$6:AA$105)+SUMIF(Capacity_Resource,$F201,'Critical resources (hide)'!AA$6:AA$105)&gt;0,$E$1=2),0,1),0)</f>
        <v>1</v>
      </c>
      <c r="O201" s="67">
        <f ca="1">IF(LOWER(Capacity!$V106)="x",IF(AND(SUMIF(Capacity_Resource,$D201,'Critical resources (hide)'!AB$6:AB$105)+SUMIF(Capacity_Resource,$E201,'Critical resources (hide)'!AB$6:AB$105)+SUMIF(Capacity_Resource,$F201,'Critical resources (hide)'!AB$6:AB$105)&gt;0,$E$1=2),0,1),0)</f>
        <v>1</v>
      </c>
      <c r="P201" s="67">
        <f ca="1">IF(LOWER(Capacity!$V106)="x",IF(AND(SUMIF(Capacity_Resource,$D201,'Critical resources (hide)'!AC$6:AC$105)+SUMIF(Capacity_Resource,$E201,'Critical resources (hide)'!AC$6:AC$105)+SUMIF(Capacity_Resource,$F201,'Critical resources (hide)'!AC$6:AC$105)&gt;0,$E$1=2),0,1),0)</f>
        <v>1</v>
      </c>
      <c r="Q201" s="67">
        <f ca="1">IF(LOWER(Capacity!$V106)="x",IF(AND(SUMIF(Capacity_Resource,$D201,'Critical resources (hide)'!AD$6:AD$105)+SUMIF(Capacity_Resource,$E201,'Critical resources (hide)'!AD$6:AD$105)+SUMIF(Capacity_Resource,$F201,'Critical resources (hide)'!AD$6:AD$105)&gt;0,$E$1=2),0,1),0)</f>
        <v>1</v>
      </c>
      <c r="R201" s="67">
        <f ca="1">IF(LOWER(Capacity!$V106)="x",IF(AND(SUMIF(Capacity_Resource,$D201,'Critical resources (hide)'!AE$6:AE$105)+SUMIF(Capacity_Resource,$E201,'Critical resources (hide)'!AE$6:AE$105)+SUMIF(Capacity_Resource,$F201,'Critical resources (hide)'!AE$6:AE$105)&gt;0,$E$1=2),0,1),0)</f>
        <v>1</v>
      </c>
      <c r="S201" s="67">
        <f ca="1">IF(LOWER(Capacity!$V106)="x",IF(AND(SUMIF(Capacity_Resource,$D201,'Critical resources (hide)'!AF$6:AF$105)+SUMIF(Capacity_Resource,$E201,'Critical resources (hide)'!AF$6:AF$105)+SUMIF(Capacity_Resource,$F201,'Critical resources (hide)'!AF$6:AF$105)&gt;0,$E$1=2),0,1),0)</f>
        <v>1</v>
      </c>
      <c r="T201" s="67">
        <f ca="1">IF(LOWER(Capacity!$V106)="x",IF(AND(SUMIF(Capacity_Resource,$D201,'Critical resources (hide)'!AG$6:AG$105)+SUMIF(Capacity_Resource,$E201,'Critical resources (hide)'!AG$6:AG$105)+SUMIF(Capacity_Resource,$F201,'Critical resources (hide)'!AG$6:AG$105)&gt;0,$E$1=2),0,1),0)</f>
        <v>1</v>
      </c>
      <c r="U201" s="67">
        <f ca="1">IF(LOWER(Capacity!$V106)="x",IF(AND(SUMIF(Capacity_Resource,$D201,'Critical resources (hide)'!AH$6:AH$105)+SUMIF(Capacity_Resource,$E201,'Critical resources (hide)'!AH$6:AH$105)+SUMIF(Capacity_Resource,$F201,'Critical resources (hide)'!AH$6:AH$105)&gt;0,$E$1=2),0,1),0)</f>
        <v>1</v>
      </c>
      <c r="V201" s="67">
        <f ca="1">IF(LOWER(Capacity!$V106)="x",IF(AND(SUMIF(Capacity_Resource,$D201,'Critical resources (hide)'!AI$6:AI$105)+SUMIF(Capacity_Resource,$E201,'Critical resources (hide)'!AI$6:AI$105)+SUMIF(Capacity_Resource,$F201,'Critical resources (hide)'!AI$6:AI$105)&gt;0,$E$1=2),0,1),0)</f>
        <v>1</v>
      </c>
      <c r="W201" s="67">
        <f ca="1">IF(LOWER(Capacity!$V106)="x",IF(AND(SUMIF(Capacity_Resource,$D201,'Critical resources (hide)'!AJ$6:AJ$105)+SUMIF(Capacity_Resource,$E201,'Critical resources (hide)'!AJ$6:AJ$105)+SUMIF(Capacity_Resource,$F201,'Critical resources (hide)'!AJ$6:AJ$105)&gt;0,$E$1=2),0,1),0)</f>
        <v>1</v>
      </c>
      <c r="X201" s="67">
        <f ca="1">IF(LOWER(Capacity!$V106)="x",IF(AND(SUMIF(Capacity_Resource,$D201,'Critical resources (hide)'!AK$6:AK$105)+SUMIF(Capacity_Resource,$E201,'Critical resources (hide)'!AK$6:AK$105)+SUMIF(Capacity_Resource,$F201,'Critical resources (hide)'!AK$6:AK$105)&gt;0,$E$1=2),0,1),0)</f>
        <v>1</v>
      </c>
      <c r="Y201" s="67">
        <f ca="1">IF(LOWER(Capacity!$V106)="x",IF(AND(SUMIF(Capacity_Resource,$D201,'Critical resources (hide)'!AL$6:AL$105)+SUMIF(Capacity_Resource,$E201,'Critical resources (hide)'!AL$6:AL$105)+SUMIF(Capacity_Resource,$F201,'Critical resources (hide)'!AL$6:AL$105)&gt;0,$E$1=2),0,1),0)</f>
        <v>1</v>
      </c>
      <c r="Z201" s="67">
        <f ca="1">IF(LOWER(Capacity!$V106)="x",IF(AND(SUMIF(Capacity_Resource,$D201,'Critical resources (hide)'!AM$6:AM$105)+SUMIF(Capacity_Resource,$E201,'Critical resources (hide)'!AM$6:AM$105)+SUMIF(Capacity_Resource,$F201,'Critical resources (hide)'!AM$6:AM$105)&gt;0,$E$1=2),0,1),0)</f>
        <v>1</v>
      </c>
      <c r="AA201" s="67">
        <f ca="1">IF(LOWER(Capacity!$V106)="x",IF(AND(SUMIF(Capacity_Resource,$D201,'Critical resources (hide)'!AN$6:AN$105)+SUMIF(Capacity_Resource,$E201,'Critical resources (hide)'!AN$6:AN$105)+SUMIF(Capacity_Resource,$F201,'Critical resources (hide)'!AN$6:AN$105)&gt;0,$E$1=2),0,1),0)</f>
        <v>1</v>
      </c>
      <c r="AB201" s="67">
        <f ca="1">IF(LOWER(Capacity!$V106)="x",IF(AND(SUMIF(Capacity_Resource,$D201,'Critical resources (hide)'!AO$6:AO$105)+SUMIF(Capacity_Resource,$E201,'Critical resources (hide)'!AO$6:AO$105)+SUMIF(Capacity_Resource,$F201,'Critical resources (hide)'!AO$6:AO$105)&gt;0,$E$1=2),0,1),0)</f>
        <v>1</v>
      </c>
      <c r="AC201" s="67">
        <f ca="1">IF(LOWER(Capacity!$V106)="x",IF(AND(SUMIF(Capacity_Resource,$D201,'Critical resources (hide)'!AP$6:AP$105)+SUMIF(Capacity_Resource,$E201,'Critical resources (hide)'!AP$6:AP$105)+SUMIF(Capacity_Resource,$F201,'Critical resources (hide)'!AP$6:AP$105)&gt;0,$E$1=2),0,1),0)</f>
        <v>1</v>
      </c>
      <c r="AD201" s="67">
        <f ca="1">IF(LOWER(Capacity!$V106)="x",IF(AND(SUMIF(Capacity_Resource,$D201,'Critical resources (hide)'!AQ$6:AQ$105)+SUMIF(Capacity_Resource,$E201,'Critical resources (hide)'!AQ$6:AQ$105)+SUMIF(Capacity_Resource,$F201,'Critical resources (hide)'!AQ$6:AQ$105)&gt;0,$E$1=2),0,1),0)</f>
        <v>1</v>
      </c>
      <c r="AE201" s="67">
        <f ca="1">IF(LOWER(Capacity!$V106)="x",IF(AND(SUMIF(Capacity_Resource,$D201,'Critical resources (hide)'!AR$6:AR$105)+SUMIF(Capacity_Resource,$E201,'Critical resources (hide)'!AR$6:AR$105)+SUMIF(Capacity_Resource,$F201,'Critical resources (hide)'!AR$6:AR$105)&gt;0,$E$1=2),0,1),0)</f>
        <v>1</v>
      </c>
      <c r="AF201" s="67">
        <f ca="1">IF(LOWER(Capacity!$V106)="x",IF(AND(SUMIF(Capacity_Resource,$D201,'Critical resources (hide)'!AS$6:AS$105)+SUMIF(Capacity_Resource,$E201,'Critical resources (hide)'!AS$6:AS$105)+SUMIF(Capacity_Resource,$F201,'Critical resources (hide)'!AS$6:AS$105)&gt;0,$E$1=2),0,1),0)</f>
        <v>1</v>
      </c>
      <c r="AG201" s="67">
        <f ca="1">IF(LOWER(Capacity!$V106)="x",IF(AND(SUMIF(Capacity_Resource,$D201,'Critical resources (hide)'!AT$6:AT$105)+SUMIF(Capacity_Resource,$E201,'Critical resources (hide)'!AT$6:AT$105)+SUMIF(Capacity_Resource,$F201,'Critical resources (hide)'!AT$6:AT$105)&gt;0,$E$1=2),0,1),0)</f>
        <v>1</v>
      </c>
      <c r="AH201" s="67">
        <f ca="1">IF(LOWER(Capacity!$V106)="x",IF(AND(SUMIF(Capacity_Resource,$D201,'Critical resources (hide)'!AU$6:AU$105)+SUMIF(Capacity_Resource,$E201,'Critical resources (hide)'!AU$6:AU$105)+SUMIF(Capacity_Resource,$F201,'Critical resources (hide)'!AU$6:AU$105)&gt;0,$E$1=2),0,1),0)</f>
        <v>1</v>
      </c>
      <c r="AI201" s="67">
        <f ca="1">IF(LOWER(Capacity!$V106)="x",IF(AND(SUMIF(Capacity_Resource,$D201,'Critical resources (hide)'!AV$6:AV$105)+SUMIF(Capacity_Resource,$E201,'Critical resources (hide)'!AV$6:AV$105)+SUMIF(Capacity_Resource,$F201,'Critical resources (hide)'!AV$6:AV$105)&gt;0,$E$1=2),0,1),0)</f>
        <v>1</v>
      </c>
      <c r="AJ201" s="67">
        <f ca="1">IF(LOWER(Capacity!$V106)="x",IF(AND(SUMIF(Capacity_Resource,$D201,'Critical resources (hide)'!AW$6:AW$105)+SUMIF(Capacity_Resource,$E201,'Critical resources (hide)'!AW$6:AW$105)+SUMIF(Capacity_Resource,$F201,'Critical resources (hide)'!AW$6:AW$105)&gt;0,$E$1=2),0,1),0)</f>
        <v>1</v>
      </c>
      <c r="AK201" s="67">
        <f ca="1">IF(LOWER(Capacity!$V106)="x",IF(AND(SUMIF(Capacity_Resource,$D201,'Critical resources (hide)'!AX$6:AX$105)+SUMIF(Capacity_Resource,$E201,'Critical resources (hide)'!AX$6:AX$105)+SUMIF(Capacity_Resource,$F201,'Critical resources (hide)'!AX$6:AX$105)&gt;0,$E$1=2),0,1),0)</f>
        <v>1</v>
      </c>
      <c r="AL201" s="67">
        <f ca="1">IF(LOWER(Capacity!$V106)="x",IF(AND(SUMIF(Capacity_Resource,$D201,'Critical resources (hide)'!AY$6:AY$105)+SUMIF(Capacity_Resource,$E201,'Critical resources (hide)'!AY$6:AY$105)+SUMIF(Capacity_Resource,$F201,'Critical resources (hide)'!AY$6:AY$105)&gt;0,$E$1=2),0,1),0)</f>
        <v>1</v>
      </c>
      <c r="AM201" s="67">
        <f ca="1">IF(LOWER(Capacity!$V106)="x",IF(AND(SUMIF(Capacity_Resource,$D201,'Critical resources (hide)'!AZ$6:AZ$105)+SUMIF(Capacity_Resource,$E201,'Critical resources (hide)'!AZ$6:AZ$105)+SUMIF(Capacity_Resource,$F201,'Critical resources (hide)'!AZ$6:AZ$105)&gt;0,$E$1=2),0,1),0)</f>
        <v>1</v>
      </c>
      <c r="AN201" s="67">
        <f ca="1">IF(LOWER(Capacity!$V106)="x",IF(AND(SUMIF(Capacity_Resource,$D201,'Critical resources (hide)'!BA$6:BA$105)+SUMIF(Capacity_Resource,$E201,'Critical resources (hide)'!BA$6:BA$105)+SUMIF(Capacity_Resource,$F201,'Critical resources (hide)'!BA$6:BA$105)&gt;0,$E$1=2),0,1),0)</f>
        <v>1</v>
      </c>
      <c r="AO201" s="67">
        <f ca="1">IF(LOWER(Capacity!$V106)="x",IF(AND(SUMIF(Capacity_Resource,$D201,'Critical resources (hide)'!BB$6:BB$105)+SUMIF(Capacity_Resource,$E201,'Critical resources (hide)'!BB$6:BB$105)+SUMIF(Capacity_Resource,$F201,'Critical resources (hide)'!BB$6:BB$105)&gt;0,$E$1=2),0,1),0)</f>
        <v>1</v>
      </c>
      <c r="AP201" s="67">
        <f ca="1">IF(LOWER(Capacity!$V106)="x",IF(AND(SUMIF(Capacity_Resource,$D201,'Critical resources (hide)'!BC$6:BC$105)+SUMIF(Capacity_Resource,$E201,'Critical resources (hide)'!BC$6:BC$105)+SUMIF(Capacity_Resource,$F201,'Critical resources (hide)'!BC$6:BC$105)&gt;0,$E$1=2),0,1),0)</f>
        <v>1</v>
      </c>
      <c r="AQ201" s="67">
        <f ca="1">IF(LOWER(Capacity!$V106)="x",IF(AND(SUMIF(Capacity_Resource,$D201,'Critical resources (hide)'!BD$6:BD$105)+SUMIF(Capacity_Resource,$E201,'Critical resources (hide)'!BD$6:BD$105)+SUMIF(Capacity_Resource,$F201,'Critical resources (hide)'!BD$6:BD$105)&gt;0,$E$1=2),0,1),0)</f>
        <v>1</v>
      </c>
      <c r="AR201" s="67">
        <f ca="1">IF(LOWER(Capacity!$V106)="x",IF(AND(SUMIF(Capacity_Resource,$D201,'Critical resources (hide)'!BE$6:BE$105)+SUMIF(Capacity_Resource,$E201,'Critical resources (hide)'!BE$6:BE$105)+SUMIF(Capacity_Resource,$F201,'Critical resources (hide)'!BE$6:BE$105)&gt;0,$E$1=2),0,1),0)</f>
        <v>1</v>
      </c>
      <c r="AS201" s="67">
        <f ca="1">IF(LOWER(Capacity!$V106)="x",IF(AND(SUMIF(Capacity_Resource,$D201,'Critical resources (hide)'!BF$6:BF$105)+SUMIF(Capacity_Resource,$E201,'Critical resources (hide)'!BF$6:BF$105)+SUMIF(Capacity_Resource,$F201,'Critical resources (hide)'!BF$6:BF$105)&gt;0,$E$1=2),0,1),0)</f>
        <v>1</v>
      </c>
      <c r="AT201" s="67">
        <f ca="1">IF(LOWER(Capacity!$V106)="x",IF(AND(SUMIF(Capacity_Resource,$D201,'Critical resources (hide)'!BG$6:BG$105)+SUMIF(Capacity_Resource,$E201,'Critical resources (hide)'!BG$6:BG$105)+SUMIF(Capacity_Resource,$F201,'Critical resources (hide)'!BG$6:BG$105)&gt;0,$E$1=2),0,1),0)</f>
        <v>1</v>
      </c>
      <c r="AU201" s="67">
        <f ca="1">IF(LOWER(Capacity!$V106)="x",IF(AND(SUMIF(Capacity_Resource,$D201,'Critical resources (hide)'!BH$6:BH$105)+SUMIF(Capacity_Resource,$E201,'Critical resources (hide)'!BH$6:BH$105)+SUMIF(Capacity_Resource,$F201,'Critical resources (hide)'!BH$6:BH$105)&gt;0,$E$1=2),0,1),0)</f>
        <v>1</v>
      </c>
      <c r="AV201" s="67">
        <f ca="1">IF(LOWER(Capacity!$V106)="x",IF(AND(SUMIF(Capacity_Resource,$D201,'Critical resources (hide)'!BI$6:BI$105)+SUMIF(Capacity_Resource,$E201,'Critical resources (hide)'!BI$6:BI$105)+SUMIF(Capacity_Resource,$F201,'Critical resources (hide)'!BI$6:BI$105)&gt;0,$E$1=2),0,1),0)</f>
        <v>1</v>
      </c>
      <c r="AW201" s="67">
        <f ca="1">IF(LOWER(Capacity!$V106)="x",IF(AND(SUMIF(Capacity_Resource,$D201,'Critical resources (hide)'!BJ$6:BJ$105)+SUMIF(Capacity_Resource,$E201,'Critical resources (hide)'!BJ$6:BJ$105)+SUMIF(Capacity_Resource,$F201,'Critical resources (hide)'!BJ$6:BJ$105)&gt;0,$E$1=2),0,1),0)</f>
        <v>1</v>
      </c>
      <c r="AX201" s="67">
        <f ca="1">IF(LOWER(Capacity!$V106)="x",IF(AND(SUMIF(Capacity_Resource,$D201,'Critical resources (hide)'!BK$6:BK$105)+SUMIF(Capacity_Resource,$E201,'Critical resources (hide)'!BK$6:BK$105)+SUMIF(Capacity_Resource,$F201,'Critical resources (hide)'!BK$6:BK$105)&gt;0,$E$1=2),0,1),0)</f>
        <v>1</v>
      </c>
      <c r="AY201" s="67">
        <f ca="1">IF(LOWER(Capacity!$V106)="x",IF(AND(SUMIF(Capacity_Resource,$D201,'Critical resources (hide)'!BL$6:BL$105)+SUMIF(Capacity_Resource,$E201,'Critical resources (hide)'!BL$6:BL$105)+SUMIF(Capacity_Resource,$F201,'Critical resources (hide)'!BL$6:BL$105)&gt;0,$E$1=2),0,1),0)</f>
        <v>1</v>
      </c>
      <c r="AZ201" s="67">
        <f ca="1">IF(LOWER(Capacity!$V106)="x",IF(AND(SUMIF(Capacity_Resource,$D201,'Critical resources (hide)'!BM$6:BM$105)+SUMIF(Capacity_Resource,$E201,'Critical resources (hide)'!BM$6:BM$105)+SUMIF(Capacity_Resource,$F201,'Critical resources (hide)'!BM$6:BM$105)&gt;0,$E$1=2),0,1),0)</f>
        <v>1</v>
      </c>
      <c r="BA201" s="67">
        <f ca="1">IF(LOWER(Capacity!$V106)="x",IF(AND(SUMIF(Capacity_Resource,$D201,'Critical resources (hide)'!BN$6:BN$105)+SUMIF(Capacity_Resource,$E201,'Critical resources (hide)'!BN$6:BN$105)+SUMIF(Capacity_Resource,$F201,'Critical resources (hide)'!BN$6:BN$105)&gt;0,$E$1=2),0,1),0)</f>
        <v>1</v>
      </c>
      <c r="BB201" s="67">
        <f ca="1">IF(LOWER(Capacity!$V106)="x",IF(AND(SUMIF(Capacity_Resource,$D201,'Critical resources (hide)'!BO$6:BO$105)+SUMIF(Capacity_Resource,$E201,'Critical resources (hide)'!BO$6:BO$105)+SUMIF(Capacity_Resource,$F201,'Critical resources (hide)'!BO$6:BO$105)&gt;0,$E$1=2),0,1),0)</f>
        <v>1</v>
      </c>
      <c r="BC201" s="67">
        <f ca="1">IF(LOWER(Capacity!$V106)="x",IF(AND(SUMIF(Capacity_Resource,$D201,'Critical resources (hide)'!BP$6:BP$105)+SUMIF(Capacity_Resource,$E201,'Critical resources (hide)'!BP$6:BP$105)+SUMIF(Capacity_Resource,$F201,'Critical resources (hide)'!BP$6:BP$105)&gt;0,$E$1=2),0,1),0)</f>
        <v>1</v>
      </c>
      <c r="BD201" s="67">
        <f ca="1">IF(LOWER(Capacity!$V106)="x",IF(AND(SUMIF(Capacity_Resource,$D201,'Critical resources (hide)'!BQ$6:BQ$105)+SUMIF(Capacity_Resource,$E201,'Critical resources (hide)'!BQ$6:BQ$105)+SUMIF(Capacity_Resource,$F201,'Critical resources (hide)'!BQ$6:BQ$105)&gt;0,$E$1=2),0,1),0)</f>
        <v>1</v>
      </c>
      <c r="BE201" s="67">
        <f ca="1">IF(LOWER(Capacity!$V106)="x",IF(AND(SUMIF(Capacity_Resource,$D201,'Critical resources (hide)'!BR$6:BR$105)+SUMIF(Capacity_Resource,$E201,'Critical resources (hide)'!BR$6:BR$105)+SUMIF(Capacity_Resource,$F201,'Critical resources (hide)'!BR$6:BR$105)&gt;0,$E$1=2),0,1),0)</f>
        <v>1</v>
      </c>
      <c r="BF201" s="67">
        <f ca="1">IF(LOWER(Capacity!$V106)="x",IF(AND(SUMIF(Capacity_Resource,$D201,'Critical resources (hide)'!BS$6:BS$105)+SUMIF(Capacity_Resource,$E201,'Critical resources (hide)'!BS$6:BS$105)+SUMIF(Capacity_Resource,$F201,'Critical resources (hide)'!BS$6:BS$105)&gt;0,$E$1=2),0,1),0)</f>
        <v>1</v>
      </c>
      <c r="BG201" s="67">
        <f ca="1">IF(LOWER(Capacity!$V106)="x",IF(AND(SUMIF(Capacity_Resource,$D201,'Critical resources (hide)'!BT$6:BT$105)+SUMIF(Capacity_Resource,$E201,'Critical resources (hide)'!BT$6:BT$105)+SUMIF(Capacity_Resource,$F201,'Critical resources (hide)'!BT$6:BT$105)&gt;0,$E$1=2),0,1),0)</f>
        <v>1</v>
      </c>
      <c r="BH201" s="67">
        <f>IF(ROW(A90)&lt;=Capacity!$M$16,IF('Capacity summary'!$C$14="No",SUM(H201:BG201),'Capacity summary'!$E113),0)</f>
        <v>0</v>
      </c>
      <c r="BI201" s="67" t="str">
        <f>IF(BH201&gt;0,IF(BH201&lt;Capacity!Q106,Capacity!R106,Capacity!T106/'Capacity calculation (hide)'!BH201),"")</f>
        <v/>
      </c>
      <c r="BJ201" s="5"/>
      <c r="BK201" s="5">
        <f>IF($BI201&lt;&gt;"",IF('Capacity summary'!$C$14="Yes",IF(COUNTBLANK('Capacity summary'!$H113:$BG113)&lt;52,IF('Capacity summary'!H113&lt;&gt;"",IF(LOWER('Capacity summary'!H113)="x",$BI201*H201,VALUE('Capacity summary'!H113)),0),H201*$BI201),H201*$BI201),0)</f>
        <v>0</v>
      </c>
      <c r="BL201" s="5">
        <f>IF($BI201&lt;&gt;"",IF('Capacity summary'!$C$14="Yes",IF(COUNTBLANK('Capacity summary'!$H113:$BG113)&lt;52,IF('Capacity summary'!I113&lt;&gt;"",IF(LOWER('Capacity summary'!I113)="x",$BI201*I201,VALUE('Capacity summary'!I113)),0),I201*$BI201),I201*$BI201),0)</f>
        <v>0</v>
      </c>
      <c r="BM201" s="5">
        <f>IF($BI201&lt;&gt;"",IF('Capacity summary'!$C$14="Yes",IF(COUNTBLANK('Capacity summary'!$H113:$BG113)&lt;52,IF('Capacity summary'!J113&lt;&gt;"",IF(LOWER('Capacity summary'!J113)="x",$BI201*J201,VALUE('Capacity summary'!J113)),0),J201*$BI201),J201*$BI201),0)</f>
        <v>0</v>
      </c>
      <c r="BN201" s="5">
        <f>IF($BI201&lt;&gt;"",IF('Capacity summary'!$C$14="Yes",IF(COUNTBLANK('Capacity summary'!$H113:$BG113)&lt;52,IF('Capacity summary'!K113&lt;&gt;"",IF(LOWER('Capacity summary'!K113)="x",$BI201*K201,VALUE('Capacity summary'!K113)),0),K201*$BI201),K201*$BI201),0)</f>
        <v>0</v>
      </c>
      <c r="BO201" s="5">
        <f>IF($BI201&lt;&gt;"",IF('Capacity summary'!$C$14="Yes",IF(COUNTBLANK('Capacity summary'!$H113:$BG113)&lt;52,IF('Capacity summary'!L113&lt;&gt;"",IF(LOWER('Capacity summary'!L113)="x",$BI201*L201,VALUE('Capacity summary'!L113)),0),L201*$BI201),L201*$BI201),0)</f>
        <v>0</v>
      </c>
      <c r="BP201" s="5">
        <f>IF($BI201&lt;&gt;"",IF('Capacity summary'!$C$14="Yes",IF(COUNTBLANK('Capacity summary'!$H113:$BG113)&lt;52,IF('Capacity summary'!M113&lt;&gt;"",IF(LOWER('Capacity summary'!M113)="x",$BI201*M201,VALUE('Capacity summary'!M113)),0),M201*$BI201),M201*$BI201),0)</f>
        <v>0</v>
      </c>
      <c r="BQ201" s="5">
        <f>IF($BI201&lt;&gt;"",IF('Capacity summary'!$C$14="Yes",IF(COUNTBLANK('Capacity summary'!$H113:$BG113)&lt;52,IF('Capacity summary'!N113&lt;&gt;"",IF(LOWER('Capacity summary'!N113)="x",$BI201*N201,VALUE('Capacity summary'!N113)),0),N201*$BI201),N201*$BI201),0)</f>
        <v>0</v>
      </c>
      <c r="BR201" s="5">
        <f>IF($BI201&lt;&gt;"",IF('Capacity summary'!$C$14="Yes",IF(COUNTBLANK('Capacity summary'!$H113:$BG113)&lt;52,IF('Capacity summary'!O113&lt;&gt;"",IF(LOWER('Capacity summary'!O113)="x",$BI201*O201,VALUE('Capacity summary'!O113)),0),O201*$BI201),O201*$BI201),0)</f>
        <v>0</v>
      </c>
      <c r="BS201" s="5">
        <f>IF($BI201&lt;&gt;"",IF('Capacity summary'!$C$14="Yes",IF(COUNTBLANK('Capacity summary'!$H113:$BG113)&lt;52,IF('Capacity summary'!P113&lt;&gt;"",IF(LOWER('Capacity summary'!P113)="x",$BI201*P201,VALUE('Capacity summary'!P113)),0),P201*$BI201),P201*$BI201),0)</f>
        <v>0</v>
      </c>
      <c r="BT201" s="5">
        <f>IF($BI201&lt;&gt;"",IF('Capacity summary'!$C$14="Yes",IF(COUNTBLANK('Capacity summary'!$H113:$BG113)&lt;52,IF('Capacity summary'!Q113&lt;&gt;"",IF(LOWER('Capacity summary'!Q113)="x",$BI201*Q201,VALUE('Capacity summary'!Q113)),0),Q201*$BI201),Q201*$BI201),0)</f>
        <v>0</v>
      </c>
      <c r="BU201" s="5">
        <f>IF($BI201&lt;&gt;"",IF('Capacity summary'!$C$14="Yes",IF(COUNTBLANK('Capacity summary'!$H113:$BG113)&lt;52,IF('Capacity summary'!R113&lt;&gt;"",IF(LOWER('Capacity summary'!R113)="x",$BI201*R201,VALUE('Capacity summary'!R113)),0),R201*$BI201),R201*$BI201),0)</f>
        <v>0</v>
      </c>
      <c r="BV201" s="5">
        <f>IF($BI201&lt;&gt;"",IF('Capacity summary'!$C$14="Yes",IF(COUNTBLANK('Capacity summary'!$H113:$BG113)&lt;52,IF('Capacity summary'!S113&lt;&gt;"",IF(LOWER('Capacity summary'!S113)="x",$BI201*S201,VALUE('Capacity summary'!S113)),0),S201*$BI201),S201*$BI201),0)</f>
        <v>0</v>
      </c>
      <c r="BW201" s="5">
        <f>IF($BI201&lt;&gt;"",IF('Capacity summary'!$C$14="Yes",IF(COUNTBLANK('Capacity summary'!$H113:$BG113)&lt;52,IF('Capacity summary'!T113&lt;&gt;"",IF(LOWER('Capacity summary'!T113)="x",$BI201*T201,VALUE('Capacity summary'!T113)),0),T201*$BI201),T201*$BI201),0)</f>
        <v>0</v>
      </c>
      <c r="BX201" s="5">
        <f>IF($BI201&lt;&gt;"",IF('Capacity summary'!$C$14="Yes",IF(COUNTBLANK('Capacity summary'!$H113:$BG113)&lt;52,IF('Capacity summary'!U113&lt;&gt;"",IF(LOWER('Capacity summary'!U113)="x",$BI201*U201,VALUE('Capacity summary'!U113)),0),U201*$BI201),U201*$BI201),0)</f>
        <v>0</v>
      </c>
      <c r="BY201" s="5">
        <f>IF($BI201&lt;&gt;"",IF('Capacity summary'!$C$14="Yes",IF(COUNTBLANK('Capacity summary'!$H113:$BG113)&lt;52,IF('Capacity summary'!V113&lt;&gt;"",IF(LOWER('Capacity summary'!V113)="x",$BI201*V201,VALUE('Capacity summary'!V113)),0),V201*$BI201),V201*$BI201),0)</f>
        <v>0</v>
      </c>
      <c r="BZ201" s="5">
        <f>IF($BI201&lt;&gt;"",IF('Capacity summary'!$C$14="Yes",IF(COUNTBLANK('Capacity summary'!$H113:$BG113)&lt;52,IF('Capacity summary'!W113&lt;&gt;"",IF(LOWER('Capacity summary'!W113)="x",$BI201*W201,VALUE('Capacity summary'!W113)),0),W201*$BI201),W201*$BI201),0)</f>
        <v>0</v>
      </c>
      <c r="CA201" s="5">
        <f>IF($BI201&lt;&gt;"",IF('Capacity summary'!$C$14="Yes",IF(COUNTBLANK('Capacity summary'!$H113:$BG113)&lt;52,IF('Capacity summary'!X113&lt;&gt;"",IF(LOWER('Capacity summary'!X113)="x",$BI201*X201,VALUE('Capacity summary'!X113)),0),X201*$BI201),X201*$BI201),0)</f>
        <v>0</v>
      </c>
      <c r="CB201" s="5">
        <f>IF($BI201&lt;&gt;"",IF('Capacity summary'!$C$14="Yes",IF(COUNTBLANK('Capacity summary'!$H113:$BG113)&lt;52,IF('Capacity summary'!Y113&lt;&gt;"",IF(LOWER('Capacity summary'!Y113)="x",$BI201*Y201,VALUE('Capacity summary'!Y113)),0),Y201*$BI201),Y201*$BI201),0)</f>
        <v>0</v>
      </c>
      <c r="CC201" s="5">
        <f>IF($BI201&lt;&gt;"",IF('Capacity summary'!$C$14="Yes",IF(COUNTBLANK('Capacity summary'!$H113:$BG113)&lt;52,IF('Capacity summary'!Z113&lt;&gt;"",IF(LOWER('Capacity summary'!Z113)="x",$BI201*Z201,VALUE('Capacity summary'!Z113)),0),Z201*$BI201),Z201*$BI201),0)</f>
        <v>0</v>
      </c>
      <c r="CD201" s="5">
        <f>IF($BI201&lt;&gt;"",IF('Capacity summary'!$C$14="Yes",IF(COUNTBLANK('Capacity summary'!$H113:$BG113)&lt;52,IF('Capacity summary'!AA113&lt;&gt;"",IF(LOWER('Capacity summary'!AA113)="x",$BI201*AA201,VALUE('Capacity summary'!AA113)),0),AA201*$BI201),AA201*$BI201),0)</f>
        <v>0</v>
      </c>
      <c r="CE201" s="5">
        <f>IF($BI201&lt;&gt;"",IF('Capacity summary'!$C$14="Yes",IF(COUNTBLANK('Capacity summary'!$H113:$BG113)&lt;52,IF('Capacity summary'!AB113&lt;&gt;"",IF(LOWER('Capacity summary'!AB113)="x",$BI201*AB201,VALUE('Capacity summary'!AB113)),0),AB201*$BI201),AB201*$BI201),0)</f>
        <v>0</v>
      </c>
      <c r="CF201" s="5">
        <f>IF($BI201&lt;&gt;"",IF('Capacity summary'!$C$14="Yes",IF(COUNTBLANK('Capacity summary'!$H113:$BG113)&lt;52,IF('Capacity summary'!AC113&lt;&gt;"",IF(LOWER('Capacity summary'!AC113)="x",$BI201*AC201,VALUE('Capacity summary'!AC113)),0),AC201*$BI201),AC201*$BI201),0)</f>
        <v>0</v>
      </c>
      <c r="CG201" s="5">
        <f>IF($BI201&lt;&gt;"",IF('Capacity summary'!$C$14="Yes",IF(COUNTBLANK('Capacity summary'!$H113:$BG113)&lt;52,IF('Capacity summary'!AD113&lt;&gt;"",IF(LOWER('Capacity summary'!AD113)="x",$BI201*AD201,VALUE('Capacity summary'!AD113)),0),AD201*$BI201),AD201*$BI201),0)</f>
        <v>0</v>
      </c>
      <c r="CH201" s="5">
        <f>IF($BI201&lt;&gt;"",IF('Capacity summary'!$C$14="Yes",IF(COUNTBLANK('Capacity summary'!$H113:$BG113)&lt;52,IF('Capacity summary'!AE113&lt;&gt;"",IF(LOWER('Capacity summary'!AE113)="x",$BI201*AE201,VALUE('Capacity summary'!AE113)),0),AE201*$BI201),AE201*$BI201),0)</f>
        <v>0</v>
      </c>
      <c r="CI201" s="5">
        <f>IF($BI201&lt;&gt;"",IF('Capacity summary'!$C$14="Yes",IF(COUNTBLANK('Capacity summary'!$H113:$BG113)&lt;52,IF('Capacity summary'!AF113&lt;&gt;"",IF(LOWER('Capacity summary'!AF113)="x",$BI201*AF201,VALUE('Capacity summary'!AF113)),0),AF201*$BI201),AF201*$BI201),0)</f>
        <v>0</v>
      </c>
      <c r="CJ201" s="5">
        <f>IF($BI201&lt;&gt;"",IF('Capacity summary'!$C$14="Yes",IF(COUNTBLANK('Capacity summary'!$H113:$BG113)&lt;52,IF('Capacity summary'!AG113&lt;&gt;"",IF(LOWER('Capacity summary'!AG113)="x",$BI201*AG201,VALUE('Capacity summary'!AG113)),0),AG201*$BI201),AG201*$BI201),0)</f>
        <v>0</v>
      </c>
      <c r="CK201" s="5">
        <f>IF($BI201&lt;&gt;"",IF('Capacity summary'!$C$14="Yes",IF(COUNTBLANK('Capacity summary'!$H113:$BG113)&lt;52,IF('Capacity summary'!AH113&lt;&gt;"",IF(LOWER('Capacity summary'!AH113)="x",$BI201*AH201,VALUE('Capacity summary'!AH113)),0),AH201*$BI201),AH201*$BI201),0)</f>
        <v>0</v>
      </c>
      <c r="CL201" s="5">
        <f>IF($BI201&lt;&gt;"",IF('Capacity summary'!$C$14="Yes",IF(COUNTBLANK('Capacity summary'!$H113:$BG113)&lt;52,IF('Capacity summary'!AI113&lt;&gt;"",IF(LOWER('Capacity summary'!AI113)="x",$BI201*AI201,VALUE('Capacity summary'!AI113)),0),AI201*$BI201),AI201*$BI201),0)</f>
        <v>0</v>
      </c>
      <c r="CM201" s="5">
        <f>IF($BI201&lt;&gt;"",IF('Capacity summary'!$C$14="Yes",IF(COUNTBLANK('Capacity summary'!$H113:$BG113)&lt;52,IF('Capacity summary'!AJ113&lt;&gt;"",IF(LOWER('Capacity summary'!AJ113)="x",$BI201*AJ201,VALUE('Capacity summary'!AJ113)),0),AJ201*$BI201),AJ201*$BI201),0)</f>
        <v>0</v>
      </c>
      <c r="CN201" s="5">
        <f>IF($BI201&lt;&gt;"",IF('Capacity summary'!$C$14="Yes",IF(COUNTBLANK('Capacity summary'!$H113:$BG113)&lt;52,IF('Capacity summary'!AK113&lt;&gt;"",IF(LOWER('Capacity summary'!AK113)="x",$BI201*AK201,VALUE('Capacity summary'!AK113)),0),AK201*$BI201),AK201*$BI201),0)</f>
        <v>0</v>
      </c>
      <c r="CO201" s="5">
        <f>IF($BI201&lt;&gt;"",IF('Capacity summary'!$C$14="Yes",IF(COUNTBLANK('Capacity summary'!$H113:$BG113)&lt;52,IF('Capacity summary'!AL113&lt;&gt;"",IF(LOWER('Capacity summary'!AL113)="x",$BI201*AL201,VALUE('Capacity summary'!AL113)),0),AL201*$BI201),AL201*$BI201),0)</f>
        <v>0</v>
      </c>
      <c r="CP201" s="5">
        <f>IF($BI201&lt;&gt;"",IF('Capacity summary'!$C$14="Yes",IF(COUNTBLANK('Capacity summary'!$H113:$BG113)&lt;52,IF('Capacity summary'!AM113&lt;&gt;"",IF(LOWER('Capacity summary'!AM113)="x",$BI201*AM201,VALUE('Capacity summary'!AM113)),0),AM201*$BI201),AM201*$BI201),0)</f>
        <v>0</v>
      </c>
      <c r="CQ201" s="5">
        <f>IF($BI201&lt;&gt;"",IF('Capacity summary'!$C$14="Yes",IF(COUNTBLANK('Capacity summary'!$H113:$BG113)&lt;52,IF('Capacity summary'!AN113&lt;&gt;"",IF(LOWER('Capacity summary'!AN113)="x",$BI201*AN201,VALUE('Capacity summary'!AN113)),0),AN201*$BI201),AN201*$BI201),0)</f>
        <v>0</v>
      </c>
      <c r="CR201" s="5">
        <f>IF($BI201&lt;&gt;"",IF('Capacity summary'!$C$14="Yes",IF(COUNTBLANK('Capacity summary'!$H113:$BG113)&lt;52,IF('Capacity summary'!AO113&lt;&gt;"",IF(LOWER('Capacity summary'!AO113)="x",$BI201*AO201,VALUE('Capacity summary'!AO113)),0),AO201*$BI201),AO201*$BI201),0)</f>
        <v>0</v>
      </c>
      <c r="CS201" s="5">
        <f>IF($BI201&lt;&gt;"",IF('Capacity summary'!$C$14="Yes",IF(COUNTBLANK('Capacity summary'!$H113:$BG113)&lt;52,IF('Capacity summary'!AP113&lt;&gt;"",IF(LOWER('Capacity summary'!AP113)="x",$BI201*AP201,VALUE('Capacity summary'!AP113)),0),AP201*$BI201),AP201*$BI201),0)</f>
        <v>0</v>
      </c>
      <c r="CT201" s="5">
        <f>IF($BI201&lt;&gt;"",IF('Capacity summary'!$C$14="Yes",IF(COUNTBLANK('Capacity summary'!$H113:$BG113)&lt;52,IF('Capacity summary'!AQ113&lt;&gt;"",IF(LOWER('Capacity summary'!AQ113)="x",$BI201*AQ201,VALUE('Capacity summary'!AQ113)),0),AQ201*$BI201),AQ201*$BI201),0)</f>
        <v>0</v>
      </c>
      <c r="CU201" s="5">
        <f>IF($BI201&lt;&gt;"",IF('Capacity summary'!$C$14="Yes",IF(COUNTBLANK('Capacity summary'!$H113:$BG113)&lt;52,IF('Capacity summary'!AR113&lt;&gt;"",IF(LOWER('Capacity summary'!AR113)="x",$BI201*AR201,VALUE('Capacity summary'!AR113)),0),AR201*$BI201),AR201*$BI201),0)</f>
        <v>0</v>
      </c>
      <c r="CV201" s="5">
        <f>IF($BI201&lt;&gt;"",IF('Capacity summary'!$C$14="Yes",IF(COUNTBLANK('Capacity summary'!$H113:$BG113)&lt;52,IF('Capacity summary'!AS113&lt;&gt;"",IF(LOWER('Capacity summary'!AS113)="x",$BI201*AS201,VALUE('Capacity summary'!AS113)),0),AS201*$BI201),AS201*$BI201),0)</f>
        <v>0</v>
      </c>
      <c r="CW201" s="5">
        <f>IF($BI201&lt;&gt;"",IF('Capacity summary'!$C$14="Yes",IF(COUNTBLANK('Capacity summary'!$H113:$BG113)&lt;52,IF('Capacity summary'!AT113&lt;&gt;"",IF(LOWER('Capacity summary'!AT113)="x",$BI201*AT201,VALUE('Capacity summary'!AT113)),0),AT201*$BI201),AT201*$BI201),0)</f>
        <v>0</v>
      </c>
      <c r="CX201" s="5">
        <f>IF($BI201&lt;&gt;"",IF('Capacity summary'!$C$14="Yes",IF(COUNTBLANK('Capacity summary'!$H113:$BG113)&lt;52,IF('Capacity summary'!AU113&lt;&gt;"",IF(LOWER('Capacity summary'!AU113)="x",$BI201*AU201,VALUE('Capacity summary'!AU113)),0),AU201*$BI201),AU201*$BI201),0)</f>
        <v>0</v>
      </c>
      <c r="CY201" s="5">
        <f>IF($BI201&lt;&gt;"",IF('Capacity summary'!$C$14="Yes",IF(COUNTBLANK('Capacity summary'!$H113:$BG113)&lt;52,IF('Capacity summary'!AV113&lt;&gt;"",IF(LOWER('Capacity summary'!AV113)="x",$BI201*AV201,VALUE('Capacity summary'!AV113)),0),AV201*$BI201),AV201*$BI201),0)</f>
        <v>0</v>
      </c>
      <c r="CZ201" s="5">
        <f>IF($BI201&lt;&gt;"",IF('Capacity summary'!$C$14="Yes",IF(COUNTBLANK('Capacity summary'!$H113:$BG113)&lt;52,IF('Capacity summary'!AW113&lt;&gt;"",IF(LOWER('Capacity summary'!AW113)="x",$BI201*AW201,VALUE('Capacity summary'!AW113)),0),AW201*$BI201),AW201*$BI201),0)</f>
        <v>0</v>
      </c>
      <c r="DA201" s="5">
        <f>IF($BI201&lt;&gt;"",IF('Capacity summary'!$C$14="Yes",IF(COUNTBLANK('Capacity summary'!$H113:$BG113)&lt;52,IF('Capacity summary'!AX113&lt;&gt;"",IF(LOWER('Capacity summary'!AX113)="x",$BI201*AX201,VALUE('Capacity summary'!AX113)),0),AX201*$BI201),AX201*$BI201),0)</f>
        <v>0</v>
      </c>
      <c r="DB201" s="5">
        <f>IF($BI201&lt;&gt;"",IF('Capacity summary'!$C$14="Yes",IF(COUNTBLANK('Capacity summary'!$H113:$BG113)&lt;52,IF('Capacity summary'!AY113&lt;&gt;"",IF(LOWER('Capacity summary'!AY113)="x",$BI201*AY201,VALUE('Capacity summary'!AY113)),0),AY201*$BI201),AY201*$BI201),0)</f>
        <v>0</v>
      </c>
      <c r="DC201" s="5">
        <f>IF($BI201&lt;&gt;"",IF('Capacity summary'!$C$14="Yes",IF(COUNTBLANK('Capacity summary'!$H113:$BG113)&lt;52,IF('Capacity summary'!AZ113&lt;&gt;"",IF(LOWER('Capacity summary'!AZ113)="x",$BI201*AZ201,VALUE('Capacity summary'!AZ113)),0),AZ201*$BI201),AZ201*$BI201),0)</f>
        <v>0</v>
      </c>
      <c r="DD201" s="5">
        <f>IF($BI201&lt;&gt;"",IF('Capacity summary'!$C$14="Yes",IF(COUNTBLANK('Capacity summary'!$H113:$BG113)&lt;52,IF('Capacity summary'!BA113&lt;&gt;"",IF(LOWER('Capacity summary'!BA113)="x",$BI201*BA201,VALUE('Capacity summary'!BA113)),0),BA201*$BI201),BA201*$BI201),0)</f>
        <v>0</v>
      </c>
      <c r="DE201" s="5">
        <f>IF($BI201&lt;&gt;"",IF('Capacity summary'!$C$14="Yes",IF(COUNTBLANK('Capacity summary'!$H113:$BG113)&lt;52,IF('Capacity summary'!BB113&lt;&gt;"",IF(LOWER('Capacity summary'!BB113)="x",$BI201*BB201,VALUE('Capacity summary'!BB113)),0),BB201*$BI201),BB201*$BI201),0)</f>
        <v>0</v>
      </c>
      <c r="DF201" s="5">
        <f>IF($BI201&lt;&gt;"",IF('Capacity summary'!$C$14="Yes",IF(COUNTBLANK('Capacity summary'!$H113:$BG113)&lt;52,IF('Capacity summary'!BC113&lt;&gt;"",IF(LOWER('Capacity summary'!BC113)="x",$BI201*BC201,VALUE('Capacity summary'!BC113)),0),BC201*$BI201),BC201*$BI201),0)</f>
        <v>0</v>
      </c>
      <c r="DG201" s="5">
        <f>IF($BI201&lt;&gt;"",IF('Capacity summary'!$C$14="Yes",IF(COUNTBLANK('Capacity summary'!$H113:$BG113)&lt;52,IF('Capacity summary'!BD113&lt;&gt;"",IF(LOWER('Capacity summary'!BD113)="x",$BI201*BD201,VALUE('Capacity summary'!BD113)),0),BD201*$BI201),BD201*$BI201),0)</f>
        <v>0</v>
      </c>
      <c r="DH201" s="5">
        <f>IF($BI201&lt;&gt;"",IF('Capacity summary'!$C$14="Yes",IF(COUNTBLANK('Capacity summary'!$H113:$BG113)&lt;52,IF('Capacity summary'!BE113&lt;&gt;"",IF(LOWER('Capacity summary'!BE113)="x",$BI201*BE201,VALUE('Capacity summary'!BE113)),0),BE201*$BI201),BE201*$BI201),0)</f>
        <v>0</v>
      </c>
      <c r="DI201" s="5">
        <f>IF($BI201&lt;&gt;"",IF('Capacity summary'!$C$14="Yes",IF(COUNTBLANK('Capacity summary'!$H113:$BG113)&lt;52,IF('Capacity summary'!BF113&lt;&gt;"",IF(LOWER('Capacity summary'!BF113)="x",$BI201*BF201,VALUE('Capacity summary'!BF113)),0),BF201*$BI201),BF201*$BI201),0)</f>
        <v>0</v>
      </c>
      <c r="DJ201" s="5">
        <f>IF($BI201&lt;&gt;"",IF('Capacity summary'!$C$14="Yes",IF(COUNTBLANK('Capacity summary'!$H113:$BG113)&lt;52,IF('Capacity summary'!BG113&lt;&gt;"",IF(LOWER('Capacity summary'!BG113)="x",$BI201*BG201,VALUE('Capacity summary'!BG113)),0),BG201*$BI201),BG201*$BI201),0)</f>
        <v>0</v>
      </c>
      <c r="DK201" s="391">
        <f t="shared" si="10"/>
        <v>0</v>
      </c>
      <c r="DL201" s="5">
        <f t="shared" si="11"/>
        <v>0</v>
      </c>
    </row>
    <row r="202" spans="3:116" x14ac:dyDescent="0.2">
      <c r="C202" s="67" t="str">
        <f>ROW(A91)&amp;". "&amp;Capacity!N107</f>
        <v xml:space="preserve">91. </v>
      </c>
      <c r="D202" s="67">
        <f>'Capacity setup'!C208</f>
        <v>0</v>
      </c>
      <c r="E202" s="67">
        <f>'Capacity setup'!D208</f>
        <v>0</v>
      </c>
      <c r="F202" s="67">
        <f>'Capacity setup'!E208</f>
        <v>0</v>
      </c>
      <c r="H202" s="67">
        <f ca="1">IF(LOWER(Capacity!$V107)="x",IF(AND(SUMIF(Capacity_Resource,$D202,'Critical resources (hide)'!U$6:U$105)+SUMIF(Capacity_Resource,$E202,'Critical resources (hide)'!U$6:U$105)+SUMIF(Capacity_Resource,$F202,'Critical resources (hide)'!U$6:U$105)&gt;0,$E$1=2),0,1),0)</f>
        <v>1</v>
      </c>
      <c r="I202" s="67">
        <f ca="1">IF(LOWER(Capacity!$V107)="x",IF(AND(SUMIF(Capacity_Resource,$D202,'Critical resources (hide)'!V$6:V$105)+SUMIF(Capacity_Resource,$E202,'Critical resources (hide)'!V$6:V$105)+SUMIF(Capacity_Resource,$F202,'Critical resources (hide)'!V$6:V$105)&gt;0,$E$1=2),0,1),0)</f>
        <v>1</v>
      </c>
      <c r="J202" s="67">
        <f ca="1">IF(LOWER(Capacity!$V107)="x",IF(AND(SUMIF(Capacity_Resource,$D202,'Critical resources (hide)'!W$6:W$105)+SUMIF(Capacity_Resource,$E202,'Critical resources (hide)'!W$6:W$105)+SUMIF(Capacity_Resource,$F202,'Critical resources (hide)'!W$6:W$105)&gt;0,$E$1=2),0,1),0)</f>
        <v>1</v>
      </c>
      <c r="K202" s="67">
        <f ca="1">IF(LOWER(Capacity!$V107)="x",IF(AND(SUMIF(Capacity_Resource,$D202,'Critical resources (hide)'!X$6:X$105)+SUMIF(Capacity_Resource,$E202,'Critical resources (hide)'!X$6:X$105)+SUMIF(Capacity_Resource,$F202,'Critical resources (hide)'!X$6:X$105)&gt;0,$E$1=2),0,1),0)</f>
        <v>1</v>
      </c>
      <c r="L202" s="67">
        <f ca="1">IF(LOWER(Capacity!$V107)="x",IF(AND(SUMIF(Capacity_Resource,$D202,'Critical resources (hide)'!Y$6:Y$105)+SUMIF(Capacity_Resource,$E202,'Critical resources (hide)'!Y$6:Y$105)+SUMIF(Capacity_Resource,$F202,'Critical resources (hide)'!Y$6:Y$105)&gt;0,$E$1=2),0,1),0)</f>
        <v>1</v>
      </c>
      <c r="M202" s="67">
        <f ca="1">IF(LOWER(Capacity!$V107)="x",IF(AND(SUMIF(Capacity_Resource,$D202,'Critical resources (hide)'!Z$6:Z$105)+SUMIF(Capacity_Resource,$E202,'Critical resources (hide)'!Z$6:Z$105)+SUMIF(Capacity_Resource,$F202,'Critical resources (hide)'!Z$6:Z$105)&gt;0,$E$1=2),0,1),0)</f>
        <v>1</v>
      </c>
      <c r="N202" s="67">
        <f ca="1">IF(LOWER(Capacity!$V107)="x",IF(AND(SUMIF(Capacity_Resource,$D202,'Critical resources (hide)'!AA$6:AA$105)+SUMIF(Capacity_Resource,$E202,'Critical resources (hide)'!AA$6:AA$105)+SUMIF(Capacity_Resource,$F202,'Critical resources (hide)'!AA$6:AA$105)&gt;0,$E$1=2),0,1),0)</f>
        <v>1</v>
      </c>
      <c r="O202" s="67">
        <f ca="1">IF(LOWER(Capacity!$V107)="x",IF(AND(SUMIF(Capacity_Resource,$D202,'Critical resources (hide)'!AB$6:AB$105)+SUMIF(Capacity_Resource,$E202,'Critical resources (hide)'!AB$6:AB$105)+SUMIF(Capacity_Resource,$F202,'Critical resources (hide)'!AB$6:AB$105)&gt;0,$E$1=2),0,1),0)</f>
        <v>1</v>
      </c>
      <c r="P202" s="67">
        <f ca="1">IF(LOWER(Capacity!$V107)="x",IF(AND(SUMIF(Capacity_Resource,$D202,'Critical resources (hide)'!AC$6:AC$105)+SUMIF(Capacity_Resource,$E202,'Critical resources (hide)'!AC$6:AC$105)+SUMIF(Capacity_Resource,$F202,'Critical resources (hide)'!AC$6:AC$105)&gt;0,$E$1=2),0,1),0)</f>
        <v>1</v>
      </c>
      <c r="Q202" s="67">
        <f ca="1">IF(LOWER(Capacity!$V107)="x",IF(AND(SUMIF(Capacity_Resource,$D202,'Critical resources (hide)'!AD$6:AD$105)+SUMIF(Capacity_Resource,$E202,'Critical resources (hide)'!AD$6:AD$105)+SUMIF(Capacity_Resource,$F202,'Critical resources (hide)'!AD$6:AD$105)&gt;0,$E$1=2),0,1),0)</f>
        <v>1</v>
      </c>
      <c r="R202" s="67">
        <f ca="1">IF(LOWER(Capacity!$V107)="x",IF(AND(SUMIF(Capacity_Resource,$D202,'Critical resources (hide)'!AE$6:AE$105)+SUMIF(Capacity_Resource,$E202,'Critical resources (hide)'!AE$6:AE$105)+SUMIF(Capacity_Resource,$F202,'Critical resources (hide)'!AE$6:AE$105)&gt;0,$E$1=2),0,1),0)</f>
        <v>1</v>
      </c>
      <c r="S202" s="67">
        <f ca="1">IF(LOWER(Capacity!$V107)="x",IF(AND(SUMIF(Capacity_Resource,$D202,'Critical resources (hide)'!AF$6:AF$105)+SUMIF(Capacity_Resource,$E202,'Critical resources (hide)'!AF$6:AF$105)+SUMIF(Capacity_Resource,$F202,'Critical resources (hide)'!AF$6:AF$105)&gt;0,$E$1=2),0,1),0)</f>
        <v>1</v>
      </c>
      <c r="T202" s="67">
        <f ca="1">IF(LOWER(Capacity!$V107)="x",IF(AND(SUMIF(Capacity_Resource,$D202,'Critical resources (hide)'!AG$6:AG$105)+SUMIF(Capacity_Resource,$E202,'Critical resources (hide)'!AG$6:AG$105)+SUMIF(Capacity_Resource,$F202,'Critical resources (hide)'!AG$6:AG$105)&gt;0,$E$1=2),0,1),0)</f>
        <v>1</v>
      </c>
      <c r="U202" s="67">
        <f ca="1">IF(LOWER(Capacity!$V107)="x",IF(AND(SUMIF(Capacity_Resource,$D202,'Critical resources (hide)'!AH$6:AH$105)+SUMIF(Capacity_Resource,$E202,'Critical resources (hide)'!AH$6:AH$105)+SUMIF(Capacity_Resource,$F202,'Critical resources (hide)'!AH$6:AH$105)&gt;0,$E$1=2),0,1),0)</f>
        <v>1</v>
      </c>
      <c r="V202" s="67">
        <f ca="1">IF(LOWER(Capacity!$V107)="x",IF(AND(SUMIF(Capacity_Resource,$D202,'Critical resources (hide)'!AI$6:AI$105)+SUMIF(Capacity_Resource,$E202,'Critical resources (hide)'!AI$6:AI$105)+SUMIF(Capacity_Resource,$F202,'Critical resources (hide)'!AI$6:AI$105)&gt;0,$E$1=2),0,1),0)</f>
        <v>1</v>
      </c>
      <c r="W202" s="67">
        <f ca="1">IF(LOWER(Capacity!$V107)="x",IF(AND(SUMIF(Capacity_Resource,$D202,'Critical resources (hide)'!AJ$6:AJ$105)+SUMIF(Capacity_Resource,$E202,'Critical resources (hide)'!AJ$6:AJ$105)+SUMIF(Capacity_Resource,$F202,'Critical resources (hide)'!AJ$6:AJ$105)&gt;0,$E$1=2),0,1),0)</f>
        <v>1</v>
      </c>
      <c r="X202" s="67">
        <f ca="1">IF(LOWER(Capacity!$V107)="x",IF(AND(SUMIF(Capacity_Resource,$D202,'Critical resources (hide)'!AK$6:AK$105)+SUMIF(Capacity_Resource,$E202,'Critical resources (hide)'!AK$6:AK$105)+SUMIF(Capacity_Resource,$F202,'Critical resources (hide)'!AK$6:AK$105)&gt;0,$E$1=2),0,1),0)</f>
        <v>1</v>
      </c>
      <c r="Y202" s="67">
        <f ca="1">IF(LOWER(Capacity!$V107)="x",IF(AND(SUMIF(Capacity_Resource,$D202,'Critical resources (hide)'!AL$6:AL$105)+SUMIF(Capacity_Resource,$E202,'Critical resources (hide)'!AL$6:AL$105)+SUMIF(Capacity_Resource,$F202,'Critical resources (hide)'!AL$6:AL$105)&gt;0,$E$1=2),0,1),0)</f>
        <v>1</v>
      </c>
      <c r="Z202" s="67">
        <f ca="1">IF(LOWER(Capacity!$V107)="x",IF(AND(SUMIF(Capacity_Resource,$D202,'Critical resources (hide)'!AM$6:AM$105)+SUMIF(Capacity_Resource,$E202,'Critical resources (hide)'!AM$6:AM$105)+SUMIF(Capacity_Resource,$F202,'Critical resources (hide)'!AM$6:AM$105)&gt;0,$E$1=2),0,1),0)</f>
        <v>1</v>
      </c>
      <c r="AA202" s="67">
        <f ca="1">IF(LOWER(Capacity!$V107)="x",IF(AND(SUMIF(Capacity_Resource,$D202,'Critical resources (hide)'!AN$6:AN$105)+SUMIF(Capacity_Resource,$E202,'Critical resources (hide)'!AN$6:AN$105)+SUMIF(Capacity_Resource,$F202,'Critical resources (hide)'!AN$6:AN$105)&gt;0,$E$1=2),0,1),0)</f>
        <v>1</v>
      </c>
      <c r="AB202" s="67">
        <f ca="1">IF(LOWER(Capacity!$V107)="x",IF(AND(SUMIF(Capacity_Resource,$D202,'Critical resources (hide)'!AO$6:AO$105)+SUMIF(Capacity_Resource,$E202,'Critical resources (hide)'!AO$6:AO$105)+SUMIF(Capacity_Resource,$F202,'Critical resources (hide)'!AO$6:AO$105)&gt;0,$E$1=2),0,1),0)</f>
        <v>1</v>
      </c>
      <c r="AC202" s="67">
        <f ca="1">IF(LOWER(Capacity!$V107)="x",IF(AND(SUMIF(Capacity_Resource,$D202,'Critical resources (hide)'!AP$6:AP$105)+SUMIF(Capacity_Resource,$E202,'Critical resources (hide)'!AP$6:AP$105)+SUMIF(Capacity_Resource,$F202,'Critical resources (hide)'!AP$6:AP$105)&gt;0,$E$1=2),0,1),0)</f>
        <v>1</v>
      </c>
      <c r="AD202" s="67">
        <f ca="1">IF(LOWER(Capacity!$V107)="x",IF(AND(SUMIF(Capacity_Resource,$D202,'Critical resources (hide)'!AQ$6:AQ$105)+SUMIF(Capacity_Resource,$E202,'Critical resources (hide)'!AQ$6:AQ$105)+SUMIF(Capacity_Resource,$F202,'Critical resources (hide)'!AQ$6:AQ$105)&gt;0,$E$1=2),0,1),0)</f>
        <v>1</v>
      </c>
      <c r="AE202" s="67">
        <f ca="1">IF(LOWER(Capacity!$V107)="x",IF(AND(SUMIF(Capacity_Resource,$D202,'Critical resources (hide)'!AR$6:AR$105)+SUMIF(Capacity_Resource,$E202,'Critical resources (hide)'!AR$6:AR$105)+SUMIF(Capacity_Resource,$F202,'Critical resources (hide)'!AR$6:AR$105)&gt;0,$E$1=2),0,1),0)</f>
        <v>1</v>
      </c>
      <c r="AF202" s="67">
        <f ca="1">IF(LOWER(Capacity!$V107)="x",IF(AND(SUMIF(Capacity_Resource,$D202,'Critical resources (hide)'!AS$6:AS$105)+SUMIF(Capacity_Resource,$E202,'Critical resources (hide)'!AS$6:AS$105)+SUMIF(Capacity_Resource,$F202,'Critical resources (hide)'!AS$6:AS$105)&gt;0,$E$1=2),0,1),0)</f>
        <v>1</v>
      </c>
      <c r="AG202" s="67">
        <f ca="1">IF(LOWER(Capacity!$V107)="x",IF(AND(SUMIF(Capacity_Resource,$D202,'Critical resources (hide)'!AT$6:AT$105)+SUMIF(Capacity_Resource,$E202,'Critical resources (hide)'!AT$6:AT$105)+SUMIF(Capacity_Resource,$F202,'Critical resources (hide)'!AT$6:AT$105)&gt;0,$E$1=2),0,1),0)</f>
        <v>1</v>
      </c>
      <c r="AH202" s="67">
        <f ca="1">IF(LOWER(Capacity!$V107)="x",IF(AND(SUMIF(Capacity_Resource,$D202,'Critical resources (hide)'!AU$6:AU$105)+SUMIF(Capacity_Resource,$E202,'Critical resources (hide)'!AU$6:AU$105)+SUMIF(Capacity_Resource,$F202,'Critical resources (hide)'!AU$6:AU$105)&gt;0,$E$1=2),0,1),0)</f>
        <v>1</v>
      </c>
      <c r="AI202" s="67">
        <f ca="1">IF(LOWER(Capacity!$V107)="x",IF(AND(SUMIF(Capacity_Resource,$D202,'Critical resources (hide)'!AV$6:AV$105)+SUMIF(Capacity_Resource,$E202,'Critical resources (hide)'!AV$6:AV$105)+SUMIF(Capacity_Resource,$F202,'Critical resources (hide)'!AV$6:AV$105)&gt;0,$E$1=2),0,1),0)</f>
        <v>1</v>
      </c>
      <c r="AJ202" s="67">
        <f ca="1">IF(LOWER(Capacity!$V107)="x",IF(AND(SUMIF(Capacity_Resource,$D202,'Critical resources (hide)'!AW$6:AW$105)+SUMIF(Capacity_Resource,$E202,'Critical resources (hide)'!AW$6:AW$105)+SUMIF(Capacity_Resource,$F202,'Critical resources (hide)'!AW$6:AW$105)&gt;0,$E$1=2),0,1),0)</f>
        <v>1</v>
      </c>
      <c r="AK202" s="67">
        <f ca="1">IF(LOWER(Capacity!$V107)="x",IF(AND(SUMIF(Capacity_Resource,$D202,'Critical resources (hide)'!AX$6:AX$105)+SUMIF(Capacity_Resource,$E202,'Critical resources (hide)'!AX$6:AX$105)+SUMIF(Capacity_Resource,$F202,'Critical resources (hide)'!AX$6:AX$105)&gt;0,$E$1=2),0,1),0)</f>
        <v>1</v>
      </c>
      <c r="AL202" s="67">
        <f ca="1">IF(LOWER(Capacity!$V107)="x",IF(AND(SUMIF(Capacity_Resource,$D202,'Critical resources (hide)'!AY$6:AY$105)+SUMIF(Capacity_Resource,$E202,'Critical resources (hide)'!AY$6:AY$105)+SUMIF(Capacity_Resource,$F202,'Critical resources (hide)'!AY$6:AY$105)&gt;0,$E$1=2),0,1),0)</f>
        <v>1</v>
      </c>
      <c r="AM202" s="67">
        <f ca="1">IF(LOWER(Capacity!$V107)="x",IF(AND(SUMIF(Capacity_Resource,$D202,'Critical resources (hide)'!AZ$6:AZ$105)+SUMIF(Capacity_Resource,$E202,'Critical resources (hide)'!AZ$6:AZ$105)+SUMIF(Capacity_Resource,$F202,'Critical resources (hide)'!AZ$6:AZ$105)&gt;0,$E$1=2),0,1),0)</f>
        <v>1</v>
      </c>
      <c r="AN202" s="67">
        <f ca="1">IF(LOWER(Capacity!$V107)="x",IF(AND(SUMIF(Capacity_Resource,$D202,'Critical resources (hide)'!BA$6:BA$105)+SUMIF(Capacity_Resource,$E202,'Critical resources (hide)'!BA$6:BA$105)+SUMIF(Capacity_Resource,$F202,'Critical resources (hide)'!BA$6:BA$105)&gt;0,$E$1=2),0,1),0)</f>
        <v>1</v>
      </c>
      <c r="AO202" s="67">
        <f ca="1">IF(LOWER(Capacity!$V107)="x",IF(AND(SUMIF(Capacity_Resource,$D202,'Critical resources (hide)'!BB$6:BB$105)+SUMIF(Capacity_Resource,$E202,'Critical resources (hide)'!BB$6:BB$105)+SUMIF(Capacity_Resource,$F202,'Critical resources (hide)'!BB$6:BB$105)&gt;0,$E$1=2),0,1),0)</f>
        <v>1</v>
      </c>
      <c r="AP202" s="67">
        <f ca="1">IF(LOWER(Capacity!$V107)="x",IF(AND(SUMIF(Capacity_Resource,$D202,'Critical resources (hide)'!BC$6:BC$105)+SUMIF(Capacity_Resource,$E202,'Critical resources (hide)'!BC$6:BC$105)+SUMIF(Capacity_Resource,$F202,'Critical resources (hide)'!BC$6:BC$105)&gt;0,$E$1=2),0,1),0)</f>
        <v>1</v>
      </c>
      <c r="AQ202" s="67">
        <f ca="1">IF(LOWER(Capacity!$V107)="x",IF(AND(SUMIF(Capacity_Resource,$D202,'Critical resources (hide)'!BD$6:BD$105)+SUMIF(Capacity_Resource,$E202,'Critical resources (hide)'!BD$6:BD$105)+SUMIF(Capacity_Resource,$F202,'Critical resources (hide)'!BD$6:BD$105)&gt;0,$E$1=2),0,1),0)</f>
        <v>1</v>
      </c>
      <c r="AR202" s="67">
        <f ca="1">IF(LOWER(Capacity!$V107)="x",IF(AND(SUMIF(Capacity_Resource,$D202,'Critical resources (hide)'!BE$6:BE$105)+SUMIF(Capacity_Resource,$E202,'Critical resources (hide)'!BE$6:BE$105)+SUMIF(Capacity_Resource,$F202,'Critical resources (hide)'!BE$6:BE$105)&gt;0,$E$1=2),0,1),0)</f>
        <v>1</v>
      </c>
      <c r="AS202" s="67">
        <f ca="1">IF(LOWER(Capacity!$V107)="x",IF(AND(SUMIF(Capacity_Resource,$D202,'Critical resources (hide)'!BF$6:BF$105)+SUMIF(Capacity_Resource,$E202,'Critical resources (hide)'!BF$6:BF$105)+SUMIF(Capacity_Resource,$F202,'Critical resources (hide)'!BF$6:BF$105)&gt;0,$E$1=2),0,1),0)</f>
        <v>1</v>
      </c>
      <c r="AT202" s="67">
        <f ca="1">IF(LOWER(Capacity!$V107)="x",IF(AND(SUMIF(Capacity_Resource,$D202,'Critical resources (hide)'!BG$6:BG$105)+SUMIF(Capacity_Resource,$E202,'Critical resources (hide)'!BG$6:BG$105)+SUMIF(Capacity_Resource,$F202,'Critical resources (hide)'!BG$6:BG$105)&gt;0,$E$1=2),0,1),0)</f>
        <v>1</v>
      </c>
      <c r="AU202" s="67">
        <f ca="1">IF(LOWER(Capacity!$V107)="x",IF(AND(SUMIF(Capacity_Resource,$D202,'Critical resources (hide)'!BH$6:BH$105)+SUMIF(Capacity_Resource,$E202,'Critical resources (hide)'!BH$6:BH$105)+SUMIF(Capacity_Resource,$F202,'Critical resources (hide)'!BH$6:BH$105)&gt;0,$E$1=2),0,1),0)</f>
        <v>1</v>
      </c>
      <c r="AV202" s="67">
        <f ca="1">IF(LOWER(Capacity!$V107)="x",IF(AND(SUMIF(Capacity_Resource,$D202,'Critical resources (hide)'!BI$6:BI$105)+SUMIF(Capacity_Resource,$E202,'Critical resources (hide)'!BI$6:BI$105)+SUMIF(Capacity_Resource,$F202,'Critical resources (hide)'!BI$6:BI$105)&gt;0,$E$1=2),0,1),0)</f>
        <v>1</v>
      </c>
      <c r="AW202" s="67">
        <f ca="1">IF(LOWER(Capacity!$V107)="x",IF(AND(SUMIF(Capacity_Resource,$D202,'Critical resources (hide)'!BJ$6:BJ$105)+SUMIF(Capacity_Resource,$E202,'Critical resources (hide)'!BJ$6:BJ$105)+SUMIF(Capacity_Resource,$F202,'Critical resources (hide)'!BJ$6:BJ$105)&gt;0,$E$1=2),0,1),0)</f>
        <v>1</v>
      </c>
      <c r="AX202" s="67">
        <f ca="1">IF(LOWER(Capacity!$V107)="x",IF(AND(SUMIF(Capacity_Resource,$D202,'Critical resources (hide)'!BK$6:BK$105)+SUMIF(Capacity_Resource,$E202,'Critical resources (hide)'!BK$6:BK$105)+SUMIF(Capacity_Resource,$F202,'Critical resources (hide)'!BK$6:BK$105)&gt;0,$E$1=2),0,1),0)</f>
        <v>1</v>
      </c>
      <c r="AY202" s="67">
        <f ca="1">IF(LOWER(Capacity!$V107)="x",IF(AND(SUMIF(Capacity_Resource,$D202,'Critical resources (hide)'!BL$6:BL$105)+SUMIF(Capacity_Resource,$E202,'Critical resources (hide)'!BL$6:BL$105)+SUMIF(Capacity_Resource,$F202,'Critical resources (hide)'!BL$6:BL$105)&gt;0,$E$1=2),0,1),0)</f>
        <v>1</v>
      </c>
      <c r="AZ202" s="67">
        <f ca="1">IF(LOWER(Capacity!$V107)="x",IF(AND(SUMIF(Capacity_Resource,$D202,'Critical resources (hide)'!BM$6:BM$105)+SUMIF(Capacity_Resource,$E202,'Critical resources (hide)'!BM$6:BM$105)+SUMIF(Capacity_Resource,$F202,'Critical resources (hide)'!BM$6:BM$105)&gt;0,$E$1=2),0,1),0)</f>
        <v>1</v>
      </c>
      <c r="BA202" s="67">
        <f ca="1">IF(LOWER(Capacity!$V107)="x",IF(AND(SUMIF(Capacity_Resource,$D202,'Critical resources (hide)'!BN$6:BN$105)+SUMIF(Capacity_Resource,$E202,'Critical resources (hide)'!BN$6:BN$105)+SUMIF(Capacity_Resource,$F202,'Critical resources (hide)'!BN$6:BN$105)&gt;0,$E$1=2),0,1),0)</f>
        <v>1</v>
      </c>
      <c r="BB202" s="67">
        <f ca="1">IF(LOWER(Capacity!$V107)="x",IF(AND(SUMIF(Capacity_Resource,$D202,'Critical resources (hide)'!BO$6:BO$105)+SUMIF(Capacity_Resource,$E202,'Critical resources (hide)'!BO$6:BO$105)+SUMIF(Capacity_Resource,$F202,'Critical resources (hide)'!BO$6:BO$105)&gt;0,$E$1=2),0,1),0)</f>
        <v>1</v>
      </c>
      <c r="BC202" s="67">
        <f ca="1">IF(LOWER(Capacity!$V107)="x",IF(AND(SUMIF(Capacity_Resource,$D202,'Critical resources (hide)'!BP$6:BP$105)+SUMIF(Capacity_Resource,$E202,'Critical resources (hide)'!BP$6:BP$105)+SUMIF(Capacity_Resource,$F202,'Critical resources (hide)'!BP$6:BP$105)&gt;0,$E$1=2),0,1),0)</f>
        <v>1</v>
      </c>
      <c r="BD202" s="67">
        <f ca="1">IF(LOWER(Capacity!$V107)="x",IF(AND(SUMIF(Capacity_Resource,$D202,'Critical resources (hide)'!BQ$6:BQ$105)+SUMIF(Capacity_Resource,$E202,'Critical resources (hide)'!BQ$6:BQ$105)+SUMIF(Capacity_Resource,$F202,'Critical resources (hide)'!BQ$6:BQ$105)&gt;0,$E$1=2),0,1),0)</f>
        <v>1</v>
      </c>
      <c r="BE202" s="67">
        <f ca="1">IF(LOWER(Capacity!$V107)="x",IF(AND(SUMIF(Capacity_Resource,$D202,'Critical resources (hide)'!BR$6:BR$105)+SUMIF(Capacity_Resource,$E202,'Critical resources (hide)'!BR$6:BR$105)+SUMIF(Capacity_Resource,$F202,'Critical resources (hide)'!BR$6:BR$105)&gt;0,$E$1=2),0,1),0)</f>
        <v>1</v>
      </c>
      <c r="BF202" s="67">
        <f ca="1">IF(LOWER(Capacity!$V107)="x",IF(AND(SUMIF(Capacity_Resource,$D202,'Critical resources (hide)'!BS$6:BS$105)+SUMIF(Capacity_Resource,$E202,'Critical resources (hide)'!BS$6:BS$105)+SUMIF(Capacity_Resource,$F202,'Critical resources (hide)'!BS$6:BS$105)&gt;0,$E$1=2),0,1),0)</f>
        <v>1</v>
      </c>
      <c r="BG202" s="67">
        <f ca="1">IF(LOWER(Capacity!$V107)="x",IF(AND(SUMIF(Capacity_Resource,$D202,'Critical resources (hide)'!BT$6:BT$105)+SUMIF(Capacity_Resource,$E202,'Critical resources (hide)'!BT$6:BT$105)+SUMIF(Capacity_Resource,$F202,'Critical resources (hide)'!BT$6:BT$105)&gt;0,$E$1=2),0,1),0)</f>
        <v>1</v>
      </c>
      <c r="BH202" s="67">
        <f>IF(ROW(A91)&lt;=Capacity!$M$16,IF('Capacity summary'!$C$14="No",SUM(H202:BG202),'Capacity summary'!$E114),0)</f>
        <v>0</v>
      </c>
      <c r="BI202" s="67" t="str">
        <f>IF(BH202&gt;0,IF(BH202&lt;Capacity!Q107,Capacity!R107,Capacity!T107/'Capacity calculation (hide)'!BH202),"")</f>
        <v/>
      </c>
      <c r="BJ202" s="5"/>
      <c r="BK202" s="5">
        <f>IF($BI202&lt;&gt;"",IF('Capacity summary'!$C$14="Yes",IF(COUNTBLANK('Capacity summary'!$H114:$BG114)&lt;52,IF('Capacity summary'!H114&lt;&gt;"",IF(LOWER('Capacity summary'!H114)="x",$BI202*H202,VALUE('Capacity summary'!H114)),0),H202*$BI202),H202*$BI202),0)</f>
        <v>0</v>
      </c>
      <c r="BL202" s="5">
        <f>IF($BI202&lt;&gt;"",IF('Capacity summary'!$C$14="Yes",IF(COUNTBLANK('Capacity summary'!$H114:$BG114)&lt;52,IF('Capacity summary'!I114&lt;&gt;"",IF(LOWER('Capacity summary'!I114)="x",$BI202*I202,VALUE('Capacity summary'!I114)),0),I202*$BI202),I202*$BI202),0)</f>
        <v>0</v>
      </c>
      <c r="BM202" s="5">
        <f>IF($BI202&lt;&gt;"",IF('Capacity summary'!$C$14="Yes",IF(COUNTBLANK('Capacity summary'!$H114:$BG114)&lt;52,IF('Capacity summary'!J114&lt;&gt;"",IF(LOWER('Capacity summary'!J114)="x",$BI202*J202,VALUE('Capacity summary'!J114)),0),J202*$BI202),J202*$BI202),0)</f>
        <v>0</v>
      </c>
      <c r="BN202" s="5">
        <f>IF($BI202&lt;&gt;"",IF('Capacity summary'!$C$14="Yes",IF(COUNTBLANK('Capacity summary'!$H114:$BG114)&lt;52,IF('Capacity summary'!K114&lt;&gt;"",IF(LOWER('Capacity summary'!K114)="x",$BI202*K202,VALUE('Capacity summary'!K114)),0),K202*$BI202),K202*$BI202),0)</f>
        <v>0</v>
      </c>
      <c r="BO202" s="5">
        <f>IF($BI202&lt;&gt;"",IF('Capacity summary'!$C$14="Yes",IF(COUNTBLANK('Capacity summary'!$H114:$BG114)&lt;52,IF('Capacity summary'!L114&lt;&gt;"",IF(LOWER('Capacity summary'!L114)="x",$BI202*L202,VALUE('Capacity summary'!L114)),0),L202*$BI202),L202*$BI202),0)</f>
        <v>0</v>
      </c>
      <c r="BP202" s="5">
        <f>IF($BI202&lt;&gt;"",IF('Capacity summary'!$C$14="Yes",IF(COUNTBLANK('Capacity summary'!$H114:$BG114)&lt;52,IF('Capacity summary'!M114&lt;&gt;"",IF(LOWER('Capacity summary'!M114)="x",$BI202*M202,VALUE('Capacity summary'!M114)),0),M202*$BI202),M202*$BI202),0)</f>
        <v>0</v>
      </c>
      <c r="BQ202" s="5">
        <f>IF($BI202&lt;&gt;"",IF('Capacity summary'!$C$14="Yes",IF(COUNTBLANK('Capacity summary'!$H114:$BG114)&lt;52,IF('Capacity summary'!N114&lt;&gt;"",IF(LOWER('Capacity summary'!N114)="x",$BI202*N202,VALUE('Capacity summary'!N114)),0),N202*$BI202),N202*$BI202),0)</f>
        <v>0</v>
      </c>
      <c r="BR202" s="5">
        <f>IF($BI202&lt;&gt;"",IF('Capacity summary'!$C$14="Yes",IF(COUNTBLANK('Capacity summary'!$H114:$BG114)&lt;52,IF('Capacity summary'!O114&lt;&gt;"",IF(LOWER('Capacity summary'!O114)="x",$BI202*O202,VALUE('Capacity summary'!O114)),0),O202*$BI202),O202*$BI202),0)</f>
        <v>0</v>
      </c>
      <c r="BS202" s="5">
        <f>IF($BI202&lt;&gt;"",IF('Capacity summary'!$C$14="Yes",IF(COUNTBLANK('Capacity summary'!$H114:$BG114)&lt;52,IF('Capacity summary'!P114&lt;&gt;"",IF(LOWER('Capacity summary'!P114)="x",$BI202*P202,VALUE('Capacity summary'!P114)),0),P202*$BI202),P202*$BI202),0)</f>
        <v>0</v>
      </c>
      <c r="BT202" s="5">
        <f>IF($BI202&lt;&gt;"",IF('Capacity summary'!$C$14="Yes",IF(COUNTBLANK('Capacity summary'!$H114:$BG114)&lt;52,IF('Capacity summary'!Q114&lt;&gt;"",IF(LOWER('Capacity summary'!Q114)="x",$BI202*Q202,VALUE('Capacity summary'!Q114)),0),Q202*$BI202),Q202*$BI202),0)</f>
        <v>0</v>
      </c>
      <c r="BU202" s="5">
        <f>IF($BI202&lt;&gt;"",IF('Capacity summary'!$C$14="Yes",IF(COUNTBLANK('Capacity summary'!$H114:$BG114)&lt;52,IF('Capacity summary'!R114&lt;&gt;"",IF(LOWER('Capacity summary'!R114)="x",$BI202*R202,VALUE('Capacity summary'!R114)),0),R202*$BI202),R202*$BI202),0)</f>
        <v>0</v>
      </c>
      <c r="BV202" s="5">
        <f>IF($BI202&lt;&gt;"",IF('Capacity summary'!$C$14="Yes",IF(COUNTBLANK('Capacity summary'!$H114:$BG114)&lt;52,IF('Capacity summary'!S114&lt;&gt;"",IF(LOWER('Capacity summary'!S114)="x",$BI202*S202,VALUE('Capacity summary'!S114)),0),S202*$BI202),S202*$BI202),0)</f>
        <v>0</v>
      </c>
      <c r="BW202" s="5">
        <f>IF($BI202&lt;&gt;"",IF('Capacity summary'!$C$14="Yes",IF(COUNTBLANK('Capacity summary'!$H114:$BG114)&lt;52,IF('Capacity summary'!T114&lt;&gt;"",IF(LOWER('Capacity summary'!T114)="x",$BI202*T202,VALUE('Capacity summary'!T114)),0),T202*$BI202),T202*$BI202),0)</f>
        <v>0</v>
      </c>
      <c r="BX202" s="5">
        <f>IF($BI202&lt;&gt;"",IF('Capacity summary'!$C$14="Yes",IF(COUNTBLANK('Capacity summary'!$H114:$BG114)&lt;52,IF('Capacity summary'!U114&lt;&gt;"",IF(LOWER('Capacity summary'!U114)="x",$BI202*U202,VALUE('Capacity summary'!U114)),0),U202*$BI202),U202*$BI202),0)</f>
        <v>0</v>
      </c>
      <c r="BY202" s="5">
        <f>IF($BI202&lt;&gt;"",IF('Capacity summary'!$C$14="Yes",IF(COUNTBLANK('Capacity summary'!$H114:$BG114)&lt;52,IF('Capacity summary'!V114&lt;&gt;"",IF(LOWER('Capacity summary'!V114)="x",$BI202*V202,VALUE('Capacity summary'!V114)),0),V202*$BI202),V202*$BI202),0)</f>
        <v>0</v>
      </c>
      <c r="BZ202" s="5">
        <f>IF($BI202&lt;&gt;"",IF('Capacity summary'!$C$14="Yes",IF(COUNTBLANK('Capacity summary'!$H114:$BG114)&lt;52,IF('Capacity summary'!W114&lt;&gt;"",IF(LOWER('Capacity summary'!W114)="x",$BI202*W202,VALUE('Capacity summary'!W114)),0),W202*$BI202),W202*$BI202),0)</f>
        <v>0</v>
      </c>
      <c r="CA202" s="5">
        <f>IF($BI202&lt;&gt;"",IF('Capacity summary'!$C$14="Yes",IF(COUNTBLANK('Capacity summary'!$H114:$BG114)&lt;52,IF('Capacity summary'!X114&lt;&gt;"",IF(LOWER('Capacity summary'!X114)="x",$BI202*X202,VALUE('Capacity summary'!X114)),0),X202*$BI202),X202*$BI202),0)</f>
        <v>0</v>
      </c>
      <c r="CB202" s="5">
        <f>IF($BI202&lt;&gt;"",IF('Capacity summary'!$C$14="Yes",IF(COUNTBLANK('Capacity summary'!$H114:$BG114)&lt;52,IF('Capacity summary'!Y114&lt;&gt;"",IF(LOWER('Capacity summary'!Y114)="x",$BI202*Y202,VALUE('Capacity summary'!Y114)),0),Y202*$BI202),Y202*$BI202),0)</f>
        <v>0</v>
      </c>
      <c r="CC202" s="5">
        <f>IF($BI202&lt;&gt;"",IF('Capacity summary'!$C$14="Yes",IF(COUNTBLANK('Capacity summary'!$H114:$BG114)&lt;52,IF('Capacity summary'!Z114&lt;&gt;"",IF(LOWER('Capacity summary'!Z114)="x",$BI202*Z202,VALUE('Capacity summary'!Z114)),0),Z202*$BI202),Z202*$BI202),0)</f>
        <v>0</v>
      </c>
      <c r="CD202" s="5">
        <f>IF($BI202&lt;&gt;"",IF('Capacity summary'!$C$14="Yes",IF(COUNTBLANK('Capacity summary'!$H114:$BG114)&lt;52,IF('Capacity summary'!AA114&lt;&gt;"",IF(LOWER('Capacity summary'!AA114)="x",$BI202*AA202,VALUE('Capacity summary'!AA114)),0),AA202*$BI202),AA202*$BI202),0)</f>
        <v>0</v>
      </c>
      <c r="CE202" s="5">
        <f>IF($BI202&lt;&gt;"",IF('Capacity summary'!$C$14="Yes",IF(COUNTBLANK('Capacity summary'!$H114:$BG114)&lt;52,IF('Capacity summary'!AB114&lt;&gt;"",IF(LOWER('Capacity summary'!AB114)="x",$BI202*AB202,VALUE('Capacity summary'!AB114)),0),AB202*$BI202),AB202*$BI202),0)</f>
        <v>0</v>
      </c>
      <c r="CF202" s="5">
        <f>IF($BI202&lt;&gt;"",IF('Capacity summary'!$C$14="Yes",IF(COUNTBLANK('Capacity summary'!$H114:$BG114)&lt;52,IF('Capacity summary'!AC114&lt;&gt;"",IF(LOWER('Capacity summary'!AC114)="x",$BI202*AC202,VALUE('Capacity summary'!AC114)),0),AC202*$BI202),AC202*$BI202),0)</f>
        <v>0</v>
      </c>
      <c r="CG202" s="5">
        <f>IF($BI202&lt;&gt;"",IF('Capacity summary'!$C$14="Yes",IF(COUNTBLANK('Capacity summary'!$H114:$BG114)&lt;52,IF('Capacity summary'!AD114&lt;&gt;"",IF(LOWER('Capacity summary'!AD114)="x",$BI202*AD202,VALUE('Capacity summary'!AD114)),0),AD202*$BI202),AD202*$BI202),0)</f>
        <v>0</v>
      </c>
      <c r="CH202" s="5">
        <f>IF($BI202&lt;&gt;"",IF('Capacity summary'!$C$14="Yes",IF(COUNTBLANK('Capacity summary'!$H114:$BG114)&lt;52,IF('Capacity summary'!AE114&lt;&gt;"",IF(LOWER('Capacity summary'!AE114)="x",$BI202*AE202,VALUE('Capacity summary'!AE114)),0),AE202*$BI202),AE202*$BI202),0)</f>
        <v>0</v>
      </c>
      <c r="CI202" s="5">
        <f>IF($BI202&lt;&gt;"",IF('Capacity summary'!$C$14="Yes",IF(COUNTBLANK('Capacity summary'!$H114:$BG114)&lt;52,IF('Capacity summary'!AF114&lt;&gt;"",IF(LOWER('Capacity summary'!AF114)="x",$BI202*AF202,VALUE('Capacity summary'!AF114)),0),AF202*$BI202),AF202*$BI202),0)</f>
        <v>0</v>
      </c>
      <c r="CJ202" s="5">
        <f>IF($BI202&lt;&gt;"",IF('Capacity summary'!$C$14="Yes",IF(COUNTBLANK('Capacity summary'!$H114:$BG114)&lt;52,IF('Capacity summary'!AG114&lt;&gt;"",IF(LOWER('Capacity summary'!AG114)="x",$BI202*AG202,VALUE('Capacity summary'!AG114)),0),AG202*$BI202),AG202*$BI202),0)</f>
        <v>0</v>
      </c>
      <c r="CK202" s="5">
        <f>IF($BI202&lt;&gt;"",IF('Capacity summary'!$C$14="Yes",IF(COUNTBLANK('Capacity summary'!$H114:$BG114)&lt;52,IF('Capacity summary'!AH114&lt;&gt;"",IF(LOWER('Capacity summary'!AH114)="x",$BI202*AH202,VALUE('Capacity summary'!AH114)),0),AH202*$BI202),AH202*$BI202),0)</f>
        <v>0</v>
      </c>
      <c r="CL202" s="5">
        <f>IF($BI202&lt;&gt;"",IF('Capacity summary'!$C$14="Yes",IF(COUNTBLANK('Capacity summary'!$H114:$BG114)&lt;52,IF('Capacity summary'!AI114&lt;&gt;"",IF(LOWER('Capacity summary'!AI114)="x",$BI202*AI202,VALUE('Capacity summary'!AI114)),0),AI202*$BI202),AI202*$BI202),0)</f>
        <v>0</v>
      </c>
      <c r="CM202" s="5">
        <f>IF($BI202&lt;&gt;"",IF('Capacity summary'!$C$14="Yes",IF(COUNTBLANK('Capacity summary'!$H114:$BG114)&lt;52,IF('Capacity summary'!AJ114&lt;&gt;"",IF(LOWER('Capacity summary'!AJ114)="x",$BI202*AJ202,VALUE('Capacity summary'!AJ114)),0),AJ202*$BI202),AJ202*$BI202),0)</f>
        <v>0</v>
      </c>
      <c r="CN202" s="5">
        <f>IF($BI202&lt;&gt;"",IF('Capacity summary'!$C$14="Yes",IF(COUNTBLANK('Capacity summary'!$H114:$BG114)&lt;52,IF('Capacity summary'!AK114&lt;&gt;"",IF(LOWER('Capacity summary'!AK114)="x",$BI202*AK202,VALUE('Capacity summary'!AK114)),0),AK202*$BI202),AK202*$BI202),0)</f>
        <v>0</v>
      </c>
      <c r="CO202" s="5">
        <f>IF($BI202&lt;&gt;"",IF('Capacity summary'!$C$14="Yes",IF(COUNTBLANK('Capacity summary'!$H114:$BG114)&lt;52,IF('Capacity summary'!AL114&lt;&gt;"",IF(LOWER('Capacity summary'!AL114)="x",$BI202*AL202,VALUE('Capacity summary'!AL114)),0),AL202*$BI202),AL202*$BI202),0)</f>
        <v>0</v>
      </c>
      <c r="CP202" s="5">
        <f>IF($BI202&lt;&gt;"",IF('Capacity summary'!$C$14="Yes",IF(COUNTBLANK('Capacity summary'!$H114:$BG114)&lt;52,IF('Capacity summary'!AM114&lt;&gt;"",IF(LOWER('Capacity summary'!AM114)="x",$BI202*AM202,VALUE('Capacity summary'!AM114)),0),AM202*$BI202),AM202*$BI202),0)</f>
        <v>0</v>
      </c>
      <c r="CQ202" s="5">
        <f>IF($BI202&lt;&gt;"",IF('Capacity summary'!$C$14="Yes",IF(COUNTBLANK('Capacity summary'!$H114:$BG114)&lt;52,IF('Capacity summary'!AN114&lt;&gt;"",IF(LOWER('Capacity summary'!AN114)="x",$BI202*AN202,VALUE('Capacity summary'!AN114)),0),AN202*$BI202),AN202*$BI202),0)</f>
        <v>0</v>
      </c>
      <c r="CR202" s="5">
        <f>IF($BI202&lt;&gt;"",IF('Capacity summary'!$C$14="Yes",IF(COUNTBLANK('Capacity summary'!$H114:$BG114)&lt;52,IF('Capacity summary'!AO114&lt;&gt;"",IF(LOWER('Capacity summary'!AO114)="x",$BI202*AO202,VALUE('Capacity summary'!AO114)),0),AO202*$BI202),AO202*$BI202),0)</f>
        <v>0</v>
      </c>
      <c r="CS202" s="5">
        <f>IF($BI202&lt;&gt;"",IF('Capacity summary'!$C$14="Yes",IF(COUNTBLANK('Capacity summary'!$H114:$BG114)&lt;52,IF('Capacity summary'!AP114&lt;&gt;"",IF(LOWER('Capacity summary'!AP114)="x",$BI202*AP202,VALUE('Capacity summary'!AP114)),0),AP202*$BI202),AP202*$BI202),0)</f>
        <v>0</v>
      </c>
      <c r="CT202" s="5">
        <f>IF($BI202&lt;&gt;"",IF('Capacity summary'!$C$14="Yes",IF(COUNTBLANK('Capacity summary'!$H114:$BG114)&lt;52,IF('Capacity summary'!AQ114&lt;&gt;"",IF(LOWER('Capacity summary'!AQ114)="x",$BI202*AQ202,VALUE('Capacity summary'!AQ114)),0),AQ202*$BI202),AQ202*$BI202),0)</f>
        <v>0</v>
      </c>
      <c r="CU202" s="5">
        <f>IF($BI202&lt;&gt;"",IF('Capacity summary'!$C$14="Yes",IF(COUNTBLANK('Capacity summary'!$H114:$BG114)&lt;52,IF('Capacity summary'!AR114&lt;&gt;"",IF(LOWER('Capacity summary'!AR114)="x",$BI202*AR202,VALUE('Capacity summary'!AR114)),0),AR202*$BI202),AR202*$BI202),0)</f>
        <v>0</v>
      </c>
      <c r="CV202" s="5">
        <f>IF($BI202&lt;&gt;"",IF('Capacity summary'!$C$14="Yes",IF(COUNTBLANK('Capacity summary'!$H114:$BG114)&lt;52,IF('Capacity summary'!AS114&lt;&gt;"",IF(LOWER('Capacity summary'!AS114)="x",$BI202*AS202,VALUE('Capacity summary'!AS114)),0),AS202*$BI202),AS202*$BI202),0)</f>
        <v>0</v>
      </c>
      <c r="CW202" s="5">
        <f>IF($BI202&lt;&gt;"",IF('Capacity summary'!$C$14="Yes",IF(COUNTBLANK('Capacity summary'!$H114:$BG114)&lt;52,IF('Capacity summary'!AT114&lt;&gt;"",IF(LOWER('Capacity summary'!AT114)="x",$BI202*AT202,VALUE('Capacity summary'!AT114)),0),AT202*$BI202),AT202*$BI202),0)</f>
        <v>0</v>
      </c>
      <c r="CX202" s="5">
        <f>IF($BI202&lt;&gt;"",IF('Capacity summary'!$C$14="Yes",IF(COUNTBLANK('Capacity summary'!$H114:$BG114)&lt;52,IF('Capacity summary'!AU114&lt;&gt;"",IF(LOWER('Capacity summary'!AU114)="x",$BI202*AU202,VALUE('Capacity summary'!AU114)),0),AU202*$BI202),AU202*$BI202),0)</f>
        <v>0</v>
      </c>
      <c r="CY202" s="5">
        <f>IF($BI202&lt;&gt;"",IF('Capacity summary'!$C$14="Yes",IF(COUNTBLANK('Capacity summary'!$H114:$BG114)&lt;52,IF('Capacity summary'!AV114&lt;&gt;"",IF(LOWER('Capacity summary'!AV114)="x",$BI202*AV202,VALUE('Capacity summary'!AV114)),0),AV202*$BI202),AV202*$BI202),0)</f>
        <v>0</v>
      </c>
      <c r="CZ202" s="5">
        <f>IF($BI202&lt;&gt;"",IF('Capacity summary'!$C$14="Yes",IF(COUNTBLANK('Capacity summary'!$H114:$BG114)&lt;52,IF('Capacity summary'!AW114&lt;&gt;"",IF(LOWER('Capacity summary'!AW114)="x",$BI202*AW202,VALUE('Capacity summary'!AW114)),0),AW202*$BI202),AW202*$BI202),0)</f>
        <v>0</v>
      </c>
      <c r="DA202" s="5">
        <f>IF($BI202&lt;&gt;"",IF('Capacity summary'!$C$14="Yes",IF(COUNTBLANK('Capacity summary'!$H114:$BG114)&lt;52,IF('Capacity summary'!AX114&lt;&gt;"",IF(LOWER('Capacity summary'!AX114)="x",$BI202*AX202,VALUE('Capacity summary'!AX114)),0),AX202*$BI202),AX202*$BI202),0)</f>
        <v>0</v>
      </c>
      <c r="DB202" s="5">
        <f>IF($BI202&lt;&gt;"",IF('Capacity summary'!$C$14="Yes",IF(COUNTBLANK('Capacity summary'!$H114:$BG114)&lt;52,IF('Capacity summary'!AY114&lt;&gt;"",IF(LOWER('Capacity summary'!AY114)="x",$BI202*AY202,VALUE('Capacity summary'!AY114)),0),AY202*$BI202),AY202*$BI202),0)</f>
        <v>0</v>
      </c>
      <c r="DC202" s="5">
        <f>IF($BI202&lt;&gt;"",IF('Capacity summary'!$C$14="Yes",IF(COUNTBLANK('Capacity summary'!$H114:$BG114)&lt;52,IF('Capacity summary'!AZ114&lt;&gt;"",IF(LOWER('Capacity summary'!AZ114)="x",$BI202*AZ202,VALUE('Capacity summary'!AZ114)),0),AZ202*$BI202),AZ202*$BI202),0)</f>
        <v>0</v>
      </c>
      <c r="DD202" s="5">
        <f>IF($BI202&lt;&gt;"",IF('Capacity summary'!$C$14="Yes",IF(COUNTBLANK('Capacity summary'!$H114:$BG114)&lt;52,IF('Capacity summary'!BA114&lt;&gt;"",IF(LOWER('Capacity summary'!BA114)="x",$BI202*BA202,VALUE('Capacity summary'!BA114)),0),BA202*$BI202),BA202*$BI202),0)</f>
        <v>0</v>
      </c>
      <c r="DE202" s="5">
        <f>IF($BI202&lt;&gt;"",IF('Capacity summary'!$C$14="Yes",IF(COUNTBLANK('Capacity summary'!$H114:$BG114)&lt;52,IF('Capacity summary'!BB114&lt;&gt;"",IF(LOWER('Capacity summary'!BB114)="x",$BI202*BB202,VALUE('Capacity summary'!BB114)),0),BB202*$BI202),BB202*$BI202),0)</f>
        <v>0</v>
      </c>
      <c r="DF202" s="5">
        <f>IF($BI202&lt;&gt;"",IF('Capacity summary'!$C$14="Yes",IF(COUNTBLANK('Capacity summary'!$H114:$BG114)&lt;52,IF('Capacity summary'!BC114&lt;&gt;"",IF(LOWER('Capacity summary'!BC114)="x",$BI202*BC202,VALUE('Capacity summary'!BC114)),0),BC202*$BI202),BC202*$BI202),0)</f>
        <v>0</v>
      </c>
      <c r="DG202" s="5">
        <f>IF($BI202&lt;&gt;"",IF('Capacity summary'!$C$14="Yes",IF(COUNTBLANK('Capacity summary'!$H114:$BG114)&lt;52,IF('Capacity summary'!BD114&lt;&gt;"",IF(LOWER('Capacity summary'!BD114)="x",$BI202*BD202,VALUE('Capacity summary'!BD114)),0),BD202*$BI202),BD202*$BI202),0)</f>
        <v>0</v>
      </c>
      <c r="DH202" s="5">
        <f>IF($BI202&lt;&gt;"",IF('Capacity summary'!$C$14="Yes",IF(COUNTBLANK('Capacity summary'!$H114:$BG114)&lt;52,IF('Capacity summary'!BE114&lt;&gt;"",IF(LOWER('Capacity summary'!BE114)="x",$BI202*BE202,VALUE('Capacity summary'!BE114)),0),BE202*$BI202),BE202*$BI202),0)</f>
        <v>0</v>
      </c>
      <c r="DI202" s="5">
        <f>IF($BI202&lt;&gt;"",IF('Capacity summary'!$C$14="Yes",IF(COUNTBLANK('Capacity summary'!$H114:$BG114)&lt;52,IF('Capacity summary'!BF114&lt;&gt;"",IF(LOWER('Capacity summary'!BF114)="x",$BI202*BF202,VALUE('Capacity summary'!BF114)),0),BF202*$BI202),BF202*$BI202),0)</f>
        <v>0</v>
      </c>
      <c r="DJ202" s="5">
        <f>IF($BI202&lt;&gt;"",IF('Capacity summary'!$C$14="Yes",IF(COUNTBLANK('Capacity summary'!$H114:$BG114)&lt;52,IF('Capacity summary'!BG114&lt;&gt;"",IF(LOWER('Capacity summary'!BG114)="x",$BI202*BG202,VALUE('Capacity summary'!BG114)),0),BG202*$BI202),BG202*$BI202),0)</f>
        <v>0</v>
      </c>
      <c r="DK202" s="391">
        <f t="shared" si="10"/>
        <v>0</v>
      </c>
      <c r="DL202" s="5">
        <f t="shared" si="11"/>
        <v>0</v>
      </c>
    </row>
    <row r="203" spans="3:116" x14ac:dyDescent="0.2">
      <c r="C203" s="67" t="str">
        <f>ROW(A92)&amp;". "&amp;Capacity!N108</f>
        <v xml:space="preserve">92. </v>
      </c>
      <c r="D203" s="67">
        <f>'Capacity setup'!C209</f>
        <v>0</v>
      </c>
      <c r="E203" s="67">
        <f>'Capacity setup'!D209</f>
        <v>0</v>
      </c>
      <c r="F203" s="67">
        <f>'Capacity setup'!E209</f>
        <v>0</v>
      </c>
      <c r="H203" s="67">
        <f ca="1">IF(LOWER(Capacity!$V108)="x",IF(AND(SUMIF(Capacity_Resource,$D203,'Critical resources (hide)'!U$6:U$105)+SUMIF(Capacity_Resource,$E203,'Critical resources (hide)'!U$6:U$105)+SUMIF(Capacity_Resource,$F203,'Critical resources (hide)'!U$6:U$105)&gt;0,$E$1=2),0,1),0)</f>
        <v>1</v>
      </c>
      <c r="I203" s="67">
        <f ca="1">IF(LOWER(Capacity!$V108)="x",IF(AND(SUMIF(Capacity_Resource,$D203,'Critical resources (hide)'!V$6:V$105)+SUMIF(Capacity_Resource,$E203,'Critical resources (hide)'!V$6:V$105)+SUMIF(Capacity_Resource,$F203,'Critical resources (hide)'!V$6:V$105)&gt;0,$E$1=2),0,1),0)</f>
        <v>1</v>
      </c>
      <c r="J203" s="67">
        <f ca="1">IF(LOWER(Capacity!$V108)="x",IF(AND(SUMIF(Capacity_Resource,$D203,'Critical resources (hide)'!W$6:W$105)+SUMIF(Capacity_Resource,$E203,'Critical resources (hide)'!W$6:W$105)+SUMIF(Capacity_Resource,$F203,'Critical resources (hide)'!W$6:W$105)&gt;0,$E$1=2),0,1),0)</f>
        <v>1</v>
      </c>
      <c r="K203" s="67">
        <f ca="1">IF(LOWER(Capacity!$V108)="x",IF(AND(SUMIF(Capacity_Resource,$D203,'Critical resources (hide)'!X$6:X$105)+SUMIF(Capacity_Resource,$E203,'Critical resources (hide)'!X$6:X$105)+SUMIF(Capacity_Resource,$F203,'Critical resources (hide)'!X$6:X$105)&gt;0,$E$1=2),0,1),0)</f>
        <v>1</v>
      </c>
      <c r="L203" s="67">
        <f ca="1">IF(LOWER(Capacity!$V108)="x",IF(AND(SUMIF(Capacity_Resource,$D203,'Critical resources (hide)'!Y$6:Y$105)+SUMIF(Capacity_Resource,$E203,'Critical resources (hide)'!Y$6:Y$105)+SUMIF(Capacity_Resource,$F203,'Critical resources (hide)'!Y$6:Y$105)&gt;0,$E$1=2),0,1),0)</f>
        <v>1</v>
      </c>
      <c r="M203" s="67">
        <f ca="1">IF(LOWER(Capacity!$V108)="x",IF(AND(SUMIF(Capacity_Resource,$D203,'Critical resources (hide)'!Z$6:Z$105)+SUMIF(Capacity_Resource,$E203,'Critical resources (hide)'!Z$6:Z$105)+SUMIF(Capacity_Resource,$F203,'Critical resources (hide)'!Z$6:Z$105)&gt;0,$E$1=2),0,1),0)</f>
        <v>1</v>
      </c>
      <c r="N203" s="67">
        <f ca="1">IF(LOWER(Capacity!$V108)="x",IF(AND(SUMIF(Capacity_Resource,$D203,'Critical resources (hide)'!AA$6:AA$105)+SUMIF(Capacity_Resource,$E203,'Critical resources (hide)'!AA$6:AA$105)+SUMIF(Capacity_Resource,$F203,'Critical resources (hide)'!AA$6:AA$105)&gt;0,$E$1=2),0,1),0)</f>
        <v>1</v>
      </c>
      <c r="O203" s="67">
        <f ca="1">IF(LOWER(Capacity!$V108)="x",IF(AND(SUMIF(Capacity_Resource,$D203,'Critical resources (hide)'!AB$6:AB$105)+SUMIF(Capacity_Resource,$E203,'Critical resources (hide)'!AB$6:AB$105)+SUMIF(Capacity_Resource,$F203,'Critical resources (hide)'!AB$6:AB$105)&gt;0,$E$1=2),0,1),0)</f>
        <v>1</v>
      </c>
      <c r="P203" s="67">
        <f ca="1">IF(LOWER(Capacity!$V108)="x",IF(AND(SUMIF(Capacity_Resource,$D203,'Critical resources (hide)'!AC$6:AC$105)+SUMIF(Capacity_Resource,$E203,'Critical resources (hide)'!AC$6:AC$105)+SUMIF(Capacity_Resource,$F203,'Critical resources (hide)'!AC$6:AC$105)&gt;0,$E$1=2),0,1),0)</f>
        <v>1</v>
      </c>
      <c r="Q203" s="67">
        <f ca="1">IF(LOWER(Capacity!$V108)="x",IF(AND(SUMIF(Capacity_Resource,$D203,'Critical resources (hide)'!AD$6:AD$105)+SUMIF(Capacity_Resource,$E203,'Critical resources (hide)'!AD$6:AD$105)+SUMIF(Capacity_Resource,$F203,'Critical resources (hide)'!AD$6:AD$105)&gt;0,$E$1=2),0,1),0)</f>
        <v>1</v>
      </c>
      <c r="R203" s="67">
        <f ca="1">IF(LOWER(Capacity!$V108)="x",IF(AND(SUMIF(Capacity_Resource,$D203,'Critical resources (hide)'!AE$6:AE$105)+SUMIF(Capacity_Resource,$E203,'Critical resources (hide)'!AE$6:AE$105)+SUMIF(Capacity_Resource,$F203,'Critical resources (hide)'!AE$6:AE$105)&gt;0,$E$1=2),0,1),0)</f>
        <v>1</v>
      </c>
      <c r="S203" s="67">
        <f ca="1">IF(LOWER(Capacity!$V108)="x",IF(AND(SUMIF(Capacity_Resource,$D203,'Critical resources (hide)'!AF$6:AF$105)+SUMIF(Capacity_Resource,$E203,'Critical resources (hide)'!AF$6:AF$105)+SUMIF(Capacity_Resource,$F203,'Critical resources (hide)'!AF$6:AF$105)&gt;0,$E$1=2),0,1),0)</f>
        <v>1</v>
      </c>
      <c r="T203" s="67">
        <f ca="1">IF(LOWER(Capacity!$V108)="x",IF(AND(SUMIF(Capacity_Resource,$D203,'Critical resources (hide)'!AG$6:AG$105)+SUMIF(Capacity_Resource,$E203,'Critical resources (hide)'!AG$6:AG$105)+SUMIF(Capacity_Resource,$F203,'Critical resources (hide)'!AG$6:AG$105)&gt;0,$E$1=2),0,1),0)</f>
        <v>1</v>
      </c>
      <c r="U203" s="67">
        <f ca="1">IF(LOWER(Capacity!$V108)="x",IF(AND(SUMIF(Capacity_Resource,$D203,'Critical resources (hide)'!AH$6:AH$105)+SUMIF(Capacity_Resource,$E203,'Critical resources (hide)'!AH$6:AH$105)+SUMIF(Capacity_Resource,$F203,'Critical resources (hide)'!AH$6:AH$105)&gt;0,$E$1=2),0,1),0)</f>
        <v>1</v>
      </c>
      <c r="V203" s="67">
        <f ca="1">IF(LOWER(Capacity!$V108)="x",IF(AND(SUMIF(Capacity_Resource,$D203,'Critical resources (hide)'!AI$6:AI$105)+SUMIF(Capacity_Resource,$E203,'Critical resources (hide)'!AI$6:AI$105)+SUMIF(Capacity_Resource,$F203,'Critical resources (hide)'!AI$6:AI$105)&gt;0,$E$1=2),0,1),0)</f>
        <v>1</v>
      </c>
      <c r="W203" s="67">
        <f ca="1">IF(LOWER(Capacity!$V108)="x",IF(AND(SUMIF(Capacity_Resource,$D203,'Critical resources (hide)'!AJ$6:AJ$105)+SUMIF(Capacity_Resource,$E203,'Critical resources (hide)'!AJ$6:AJ$105)+SUMIF(Capacity_Resource,$F203,'Critical resources (hide)'!AJ$6:AJ$105)&gt;0,$E$1=2),0,1),0)</f>
        <v>1</v>
      </c>
      <c r="X203" s="67">
        <f ca="1">IF(LOWER(Capacity!$V108)="x",IF(AND(SUMIF(Capacity_Resource,$D203,'Critical resources (hide)'!AK$6:AK$105)+SUMIF(Capacity_Resource,$E203,'Critical resources (hide)'!AK$6:AK$105)+SUMIF(Capacity_Resource,$F203,'Critical resources (hide)'!AK$6:AK$105)&gt;0,$E$1=2),0,1),0)</f>
        <v>1</v>
      </c>
      <c r="Y203" s="67">
        <f ca="1">IF(LOWER(Capacity!$V108)="x",IF(AND(SUMIF(Capacity_Resource,$D203,'Critical resources (hide)'!AL$6:AL$105)+SUMIF(Capacity_Resource,$E203,'Critical resources (hide)'!AL$6:AL$105)+SUMIF(Capacity_Resource,$F203,'Critical resources (hide)'!AL$6:AL$105)&gt;0,$E$1=2),0,1),0)</f>
        <v>1</v>
      </c>
      <c r="Z203" s="67">
        <f ca="1">IF(LOWER(Capacity!$V108)="x",IF(AND(SUMIF(Capacity_Resource,$D203,'Critical resources (hide)'!AM$6:AM$105)+SUMIF(Capacity_Resource,$E203,'Critical resources (hide)'!AM$6:AM$105)+SUMIF(Capacity_Resource,$F203,'Critical resources (hide)'!AM$6:AM$105)&gt;0,$E$1=2),0,1),0)</f>
        <v>1</v>
      </c>
      <c r="AA203" s="67">
        <f ca="1">IF(LOWER(Capacity!$V108)="x",IF(AND(SUMIF(Capacity_Resource,$D203,'Critical resources (hide)'!AN$6:AN$105)+SUMIF(Capacity_Resource,$E203,'Critical resources (hide)'!AN$6:AN$105)+SUMIF(Capacity_Resource,$F203,'Critical resources (hide)'!AN$6:AN$105)&gt;0,$E$1=2),0,1),0)</f>
        <v>1</v>
      </c>
      <c r="AB203" s="67">
        <f ca="1">IF(LOWER(Capacity!$V108)="x",IF(AND(SUMIF(Capacity_Resource,$D203,'Critical resources (hide)'!AO$6:AO$105)+SUMIF(Capacity_Resource,$E203,'Critical resources (hide)'!AO$6:AO$105)+SUMIF(Capacity_Resource,$F203,'Critical resources (hide)'!AO$6:AO$105)&gt;0,$E$1=2),0,1),0)</f>
        <v>1</v>
      </c>
      <c r="AC203" s="67">
        <f ca="1">IF(LOWER(Capacity!$V108)="x",IF(AND(SUMIF(Capacity_Resource,$D203,'Critical resources (hide)'!AP$6:AP$105)+SUMIF(Capacity_Resource,$E203,'Critical resources (hide)'!AP$6:AP$105)+SUMIF(Capacity_Resource,$F203,'Critical resources (hide)'!AP$6:AP$105)&gt;0,$E$1=2),0,1),0)</f>
        <v>1</v>
      </c>
      <c r="AD203" s="67">
        <f ca="1">IF(LOWER(Capacity!$V108)="x",IF(AND(SUMIF(Capacity_Resource,$D203,'Critical resources (hide)'!AQ$6:AQ$105)+SUMIF(Capacity_Resource,$E203,'Critical resources (hide)'!AQ$6:AQ$105)+SUMIF(Capacity_Resource,$F203,'Critical resources (hide)'!AQ$6:AQ$105)&gt;0,$E$1=2),0,1),0)</f>
        <v>1</v>
      </c>
      <c r="AE203" s="67">
        <f ca="1">IF(LOWER(Capacity!$V108)="x",IF(AND(SUMIF(Capacity_Resource,$D203,'Critical resources (hide)'!AR$6:AR$105)+SUMIF(Capacity_Resource,$E203,'Critical resources (hide)'!AR$6:AR$105)+SUMIF(Capacity_Resource,$F203,'Critical resources (hide)'!AR$6:AR$105)&gt;0,$E$1=2),0,1),0)</f>
        <v>1</v>
      </c>
      <c r="AF203" s="67">
        <f ca="1">IF(LOWER(Capacity!$V108)="x",IF(AND(SUMIF(Capacity_Resource,$D203,'Critical resources (hide)'!AS$6:AS$105)+SUMIF(Capacity_Resource,$E203,'Critical resources (hide)'!AS$6:AS$105)+SUMIF(Capacity_Resource,$F203,'Critical resources (hide)'!AS$6:AS$105)&gt;0,$E$1=2),0,1),0)</f>
        <v>1</v>
      </c>
      <c r="AG203" s="67">
        <f ca="1">IF(LOWER(Capacity!$V108)="x",IF(AND(SUMIF(Capacity_Resource,$D203,'Critical resources (hide)'!AT$6:AT$105)+SUMIF(Capacity_Resource,$E203,'Critical resources (hide)'!AT$6:AT$105)+SUMIF(Capacity_Resource,$F203,'Critical resources (hide)'!AT$6:AT$105)&gt;0,$E$1=2),0,1),0)</f>
        <v>1</v>
      </c>
      <c r="AH203" s="67">
        <f ca="1">IF(LOWER(Capacity!$V108)="x",IF(AND(SUMIF(Capacity_Resource,$D203,'Critical resources (hide)'!AU$6:AU$105)+SUMIF(Capacity_Resource,$E203,'Critical resources (hide)'!AU$6:AU$105)+SUMIF(Capacity_Resource,$F203,'Critical resources (hide)'!AU$6:AU$105)&gt;0,$E$1=2),0,1),0)</f>
        <v>1</v>
      </c>
      <c r="AI203" s="67">
        <f ca="1">IF(LOWER(Capacity!$V108)="x",IF(AND(SUMIF(Capacity_Resource,$D203,'Critical resources (hide)'!AV$6:AV$105)+SUMIF(Capacity_Resource,$E203,'Critical resources (hide)'!AV$6:AV$105)+SUMIF(Capacity_Resource,$F203,'Critical resources (hide)'!AV$6:AV$105)&gt;0,$E$1=2),0,1),0)</f>
        <v>1</v>
      </c>
      <c r="AJ203" s="67">
        <f ca="1">IF(LOWER(Capacity!$V108)="x",IF(AND(SUMIF(Capacity_Resource,$D203,'Critical resources (hide)'!AW$6:AW$105)+SUMIF(Capacity_Resource,$E203,'Critical resources (hide)'!AW$6:AW$105)+SUMIF(Capacity_Resource,$F203,'Critical resources (hide)'!AW$6:AW$105)&gt;0,$E$1=2),0,1),0)</f>
        <v>1</v>
      </c>
      <c r="AK203" s="67">
        <f ca="1">IF(LOWER(Capacity!$V108)="x",IF(AND(SUMIF(Capacity_Resource,$D203,'Critical resources (hide)'!AX$6:AX$105)+SUMIF(Capacity_Resource,$E203,'Critical resources (hide)'!AX$6:AX$105)+SUMIF(Capacity_Resource,$F203,'Critical resources (hide)'!AX$6:AX$105)&gt;0,$E$1=2),0,1),0)</f>
        <v>1</v>
      </c>
      <c r="AL203" s="67">
        <f ca="1">IF(LOWER(Capacity!$V108)="x",IF(AND(SUMIF(Capacity_Resource,$D203,'Critical resources (hide)'!AY$6:AY$105)+SUMIF(Capacity_Resource,$E203,'Critical resources (hide)'!AY$6:AY$105)+SUMIF(Capacity_Resource,$F203,'Critical resources (hide)'!AY$6:AY$105)&gt;0,$E$1=2),0,1),0)</f>
        <v>1</v>
      </c>
      <c r="AM203" s="67">
        <f ca="1">IF(LOWER(Capacity!$V108)="x",IF(AND(SUMIF(Capacity_Resource,$D203,'Critical resources (hide)'!AZ$6:AZ$105)+SUMIF(Capacity_Resource,$E203,'Critical resources (hide)'!AZ$6:AZ$105)+SUMIF(Capacity_Resource,$F203,'Critical resources (hide)'!AZ$6:AZ$105)&gt;0,$E$1=2),0,1),0)</f>
        <v>1</v>
      </c>
      <c r="AN203" s="67">
        <f ca="1">IF(LOWER(Capacity!$V108)="x",IF(AND(SUMIF(Capacity_Resource,$D203,'Critical resources (hide)'!BA$6:BA$105)+SUMIF(Capacity_Resource,$E203,'Critical resources (hide)'!BA$6:BA$105)+SUMIF(Capacity_Resource,$F203,'Critical resources (hide)'!BA$6:BA$105)&gt;0,$E$1=2),0,1),0)</f>
        <v>1</v>
      </c>
      <c r="AO203" s="67">
        <f ca="1">IF(LOWER(Capacity!$V108)="x",IF(AND(SUMIF(Capacity_Resource,$D203,'Critical resources (hide)'!BB$6:BB$105)+SUMIF(Capacity_Resource,$E203,'Critical resources (hide)'!BB$6:BB$105)+SUMIF(Capacity_Resource,$F203,'Critical resources (hide)'!BB$6:BB$105)&gt;0,$E$1=2),0,1),0)</f>
        <v>1</v>
      </c>
      <c r="AP203" s="67">
        <f ca="1">IF(LOWER(Capacity!$V108)="x",IF(AND(SUMIF(Capacity_Resource,$D203,'Critical resources (hide)'!BC$6:BC$105)+SUMIF(Capacity_Resource,$E203,'Critical resources (hide)'!BC$6:BC$105)+SUMIF(Capacity_Resource,$F203,'Critical resources (hide)'!BC$6:BC$105)&gt;0,$E$1=2),0,1),0)</f>
        <v>1</v>
      </c>
      <c r="AQ203" s="67">
        <f ca="1">IF(LOWER(Capacity!$V108)="x",IF(AND(SUMIF(Capacity_Resource,$D203,'Critical resources (hide)'!BD$6:BD$105)+SUMIF(Capacity_Resource,$E203,'Critical resources (hide)'!BD$6:BD$105)+SUMIF(Capacity_Resource,$F203,'Critical resources (hide)'!BD$6:BD$105)&gt;0,$E$1=2),0,1),0)</f>
        <v>1</v>
      </c>
      <c r="AR203" s="67">
        <f ca="1">IF(LOWER(Capacity!$V108)="x",IF(AND(SUMIF(Capacity_Resource,$D203,'Critical resources (hide)'!BE$6:BE$105)+SUMIF(Capacity_Resource,$E203,'Critical resources (hide)'!BE$6:BE$105)+SUMIF(Capacity_Resource,$F203,'Critical resources (hide)'!BE$6:BE$105)&gt;0,$E$1=2),0,1),0)</f>
        <v>1</v>
      </c>
      <c r="AS203" s="67">
        <f ca="1">IF(LOWER(Capacity!$V108)="x",IF(AND(SUMIF(Capacity_Resource,$D203,'Critical resources (hide)'!BF$6:BF$105)+SUMIF(Capacity_Resource,$E203,'Critical resources (hide)'!BF$6:BF$105)+SUMIF(Capacity_Resource,$F203,'Critical resources (hide)'!BF$6:BF$105)&gt;0,$E$1=2),0,1),0)</f>
        <v>1</v>
      </c>
      <c r="AT203" s="67">
        <f ca="1">IF(LOWER(Capacity!$V108)="x",IF(AND(SUMIF(Capacity_Resource,$D203,'Critical resources (hide)'!BG$6:BG$105)+SUMIF(Capacity_Resource,$E203,'Critical resources (hide)'!BG$6:BG$105)+SUMIF(Capacity_Resource,$F203,'Critical resources (hide)'!BG$6:BG$105)&gt;0,$E$1=2),0,1),0)</f>
        <v>1</v>
      </c>
      <c r="AU203" s="67">
        <f ca="1">IF(LOWER(Capacity!$V108)="x",IF(AND(SUMIF(Capacity_Resource,$D203,'Critical resources (hide)'!BH$6:BH$105)+SUMIF(Capacity_Resource,$E203,'Critical resources (hide)'!BH$6:BH$105)+SUMIF(Capacity_Resource,$F203,'Critical resources (hide)'!BH$6:BH$105)&gt;0,$E$1=2),0,1),0)</f>
        <v>1</v>
      </c>
      <c r="AV203" s="67">
        <f ca="1">IF(LOWER(Capacity!$V108)="x",IF(AND(SUMIF(Capacity_Resource,$D203,'Critical resources (hide)'!BI$6:BI$105)+SUMIF(Capacity_Resource,$E203,'Critical resources (hide)'!BI$6:BI$105)+SUMIF(Capacity_Resource,$F203,'Critical resources (hide)'!BI$6:BI$105)&gt;0,$E$1=2),0,1),0)</f>
        <v>1</v>
      </c>
      <c r="AW203" s="67">
        <f ca="1">IF(LOWER(Capacity!$V108)="x",IF(AND(SUMIF(Capacity_Resource,$D203,'Critical resources (hide)'!BJ$6:BJ$105)+SUMIF(Capacity_Resource,$E203,'Critical resources (hide)'!BJ$6:BJ$105)+SUMIF(Capacity_Resource,$F203,'Critical resources (hide)'!BJ$6:BJ$105)&gt;0,$E$1=2),0,1),0)</f>
        <v>1</v>
      </c>
      <c r="AX203" s="67">
        <f ca="1">IF(LOWER(Capacity!$V108)="x",IF(AND(SUMIF(Capacity_Resource,$D203,'Critical resources (hide)'!BK$6:BK$105)+SUMIF(Capacity_Resource,$E203,'Critical resources (hide)'!BK$6:BK$105)+SUMIF(Capacity_Resource,$F203,'Critical resources (hide)'!BK$6:BK$105)&gt;0,$E$1=2),0,1),0)</f>
        <v>1</v>
      </c>
      <c r="AY203" s="67">
        <f ca="1">IF(LOWER(Capacity!$V108)="x",IF(AND(SUMIF(Capacity_Resource,$D203,'Critical resources (hide)'!BL$6:BL$105)+SUMIF(Capacity_Resource,$E203,'Critical resources (hide)'!BL$6:BL$105)+SUMIF(Capacity_Resource,$F203,'Critical resources (hide)'!BL$6:BL$105)&gt;0,$E$1=2),0,1),0)</f>
        <v>1</v>
      </c>
      <c r="AZ203" s="67">
        <f ca="1">IF(LOWER(Capacity!$V108)="x",IF(AND(SUMIF(Capacity_Resource,$D203,'Critical resources (hide)'!BM$6:BM$105)+SUMIF(Capacity_Resource,$E203,'Critical resources (hide)'!BM$6:BM$105)+SUMIF(Capacity_Resource,$F203,'Critical resources (hide)'!BM$6:BM$105)&gt;0,$E$1=2),0,1),0)</f>
        <v>1</v>
      </c>
      <c r="BA203" s="67">
        <f ca="1">IF(LOWER(Capacity!$V108)="x",IF(AND(SUMIF(Capacity_Resource,$D203,'Critical resources (hide)'!BN$6:BN$105)+SUMIF(Capacity_Resource,$E203,'Critical resources (hide)'!BN$6:BN$105)+SUMIF(Capacity_Resource,$F203,'Critical resources (hide)'!BN$6:BN$105)&gt;0,$E$1=2),0,1),0)</f>
        <v>1</v>
      </c>
      <c r="BB203" s="67">
        <f ca="1">IF(LOWER(Capacity!$V108)="x",IF(AND(SUMIF(Capacity_Resource,$D203,'Critical resources (hide)'!BO$6:BO$105)+SUMIF(Capacity_Resource,$E203,'Critical resources (hide)'!BO$6:BO$105)+SUMIF(Capacity_Resource,$F203,'Critical resources (hide)'!BO$6:BO$105)&gt;0,$E$1=2),0,1),0)</f>
        <v>1</v>
      </c>
      <c r="BC203" s="67">
        <f ca="1">IF(LOWER(Capacity!$V108)="x",IF(AND(SUMIF(Capacity_Resource,$D203,'Critical resources (hide)'!BP$6:BP$105)+SUMIF(Capacity_Resource,$E203,'Critical resources (hide)'!BP$6:BP$105)+SUMIF(Capacity_Resource,$F203,'Critical resources (hide)'!BP$6:BP$105)&gt;0,$E$1=2),0,1),0)</f>
        <v>1</v>
      </c>
      <c r="BD203" s="67">
        <f ca="1">IF(LOWER(Capacity!$V108)="x",IF(AND(SUMIF(Capacity_Resource,$D203,'Critical resources (hide)'!BQ$6:BQ$105)+SUMIF(Capacity_Resource,$E203,'Critical resources (hide)'!BQ$6:BQ$105)+SUMIF(Capacity_Resource,$F203,'Critical resources (hide)'!BQ$6:BQ$105)&gt;0,$E$1=2),0,1),0)</f>
        <v>1</v>
      </c>
      <c r="BE203" s="67">
        <f ca="1">IF(LOWER(Capacity!$V108)="x",IF(AND(SUMIF(Capacity_Resource,$D203,'Critical resources (hide)'!BR$6:BR$105)+SUMIF(Capacity_Resource,$E203,'Critical resources (hide)'!BR$6:BR$105)+SUMIF(Capacity_Resource,$F203,'Critical resources (hide)'!BR$6:BR$105)&gt;0,$E$1=2),0,1),0)</f>
        <v>1</v>
      </c>
      <c r="BF203" s="67">
        <f ca="1">IF(LOWER(Capacity!$V108)="x",IF(AND(SUMIF(Capacity_Resource,$D203,'Critical resources (hide)'!BS$6:BS$105)+SUMIF(Capacity_Resource,$E203,'Critical resources (hide)'!BS$6:BS$105)+SUMIF(Capacity_Resource,$F203,'Critical resources (hide)'!BS$6:BS$105)&gt;0,$E$1=2),0,1),0)</f>
        <v>1</v>
      </c>
      <c r="BG203" s="67">
        <f ca="1">IF(LOWER(Capacity!$V108)="x",IF(AND(SUMIF(Capacity_Resource,$D203,'Critical resources (hide)'!BT$6:BT$105)+SUMIF(Capacity_Resource,$E203,'Critical resources (hide)'!BT$6:BT$105)+SUMIF(Capacity_Resource,$F203,'Critical resources (hide)'!BT$6:BT$105)&gt;0,$E$1=2),0,1),0)</f>
        <v>1</v>
      </c>
      <c r="BH203" s="67">
        <f>IF(ROW(A92)&lt;=Capacity!$M$16,IF('Capacity summary'!$C$14="No",SUM(H203:BG203),'Capacity summary'!$E115),0)</f>
        <v>0</v>
      </c>
      <c r="BI203" s="67" t="str">
        <f>IF(BH203&gt;0,IF(BH203&lt;Capacity!Q108,Capacity!R108,Capacity!T108/'Capacity calculation (hide)'!BH203),"")</f>
        <v/>
      </c>
      <c r="BJ203" s="5"/>
      <c r="BK203" s="5">
        <f>IF($BI203&lt;&gt;"",IF('Capacity summary'!$C$14="Yes",IF(COUNTBLANK('Capacity summary'!$H115:$BG115)&lt;52,IF('Capacity summary'!H115&lt;&gt;"",IF(LOWER('Capacity summary'!H115)="x",$BI203*H203,VALUE('Capacity summary'!H115)),0),H203*$BI203),H203*$BI203),0)</f>
        <v>0</v>
      </c>
      <c r="BL203" s="5">
        <f>IF($BI203&lt;&gt;"",IF('Capacity summary'!$C$14="Yes",IF(COUNTBLANK('Capacity summary'!$H115:$BG115)&lt;52,IF('Capacity summary'!I115&lt;&gt;"",IF(LOWER('Capacity summary'!I115)="x",$BI203*I203,VALUE('Capacity summary'!I115)),0),I203*$BI203),I203*$BI203),0)</f>
        <v>0</v>
      </c>
      <c r="BM203" s="5">
        <f>IF($BI203&lt;&gt;"",IF('Capacity summary'!$C$14="Yes",IF(COUNTBLANK('Capacity summary'!$H115:$BG115)&lt;52,IF('Capacity summary'!J115&lt;&gt;"",IF(LOWER('Capacity summary'!J115)="x",$BI203*J203,VALUE('Capacity summary'!J115)),0),J203*$BI203),J203*$BI203),0)</f>
        <v>0</v>
      </c>
      <c r="BN203" s="5">
        <f>IF($BI203&lt;&gt;"",IF('Capacity summary'!$C$14="Yes",IF(COUNTBLANK('Capacity summary'!$H115:$BG115)&lt;52,IF('Capacity summary'!K115&lt;&gt;"",IF(LOWER('Capacity summary'!K115)="x",$BI203*K203,VALUE('Capacity summary'!K115)),0),K203*$BI203),K203*$BI203),0)</f>
        <v>0</v>
      </c>
      <c r="BO203" s="5">
        <f>IF($BI203&lt;&gt;"",IF('Capacity summary'!$C$14="Yes",IF(COUNTBLANK('Capacity summary'!$H115:$BG115)&lt;52,IF('Capacity summary'!L115&lt;&gt;"",IF(LOWER('Capacity summary'!L115)="x",$BI203*L203,VALUE('Capacity summary'!L115)),0),L203*$BI203),L203*$BI203),0)</f>
        <v>0</v>
      </c>
      <c r="BP203" s="5">
        <f>IF($BI203&lt;&gt;"",IF('Capacity summary'!$C$14="Yes",IF(COUNTBLANK('Capacity summary'!$H115:$BG115)&lt;52,IF('Capacity summary'!M115&lt;&gt;"",IF(LOWER('Capacity summary'!M115)="x",$BI203*M203,VALUE('Capacity summary'!M115)),0),M203*$BI203),M203*$BI203),0)</f>
        <v>0</v>
      </c>
      <c r="BQ203" s="5">
        <f>IF($BI203&lt;&gt;"",IF('Capacity summary'!$C$14="Yes",IF(COUNTBLANK('Capacity summary'!$H115:$BG115)&lt;52,IF('Capacity summary'!N115&lt;&gt;"",IF(LOWER('Capacity summary'!N115)="x",$BI203*N203,VALUE('Capacity summary'!N115)),0),N203*$BI203),N203*$BI203),0)</f>
        <v>0</v>
      </c>
      <c r="BR203" s="5">
        <f>IF($BI203&lt;&gt;"",IF('Capacity summary'!$C$14="Yes",IF(COUNTBLANK('Capacity summary'!$H115:$BG115)&lt;52,IF('Capacity summary'!O115&lt;&gt;"",IF(LOWER('Capacity summary'!O115)="x",$BI203*O203,VALUE('Capacity summary'!O115)),0),O203*$BI203),O203*$BI203),0)</f>
        <v>0</v>
      </c>
      <c r="BS203" s="5">
        <f>IF($BI203&lt;&gt;"",IF('Capacity summary'!$C$14="Yes",IF(COUNTBLANK('Capacity summary'!$H115:$BG115)&lt;52,IF('Capacity summary'!P115&lt;&gt;"",IF(LOWER('Capacity summary'!P115)="x",$BI203*P203,VALUE('Capacity summary'!P115)),0),P203*$BI203),P203*$BI203),0)</f>
        <v>0</v>
      </c>
      <c r="BT203" s="5">
        <f>IF($BI203&lt;&gt;"",IF('Capacity summary'!$C$14="Yes",IF(COUNTBLANK('Capacity summary'!$H115:$BG115)&lt;52,IF('Capacity summary'!Q115&lt;&gt;"",IF(LOWER('Capacity summary'!Q115)="x",$BI203*Q203,VALUE('Capacity summary'!Q115)),0),Q203*$BI203),Q203*$BI203),0)</f>
        <v>0</v>
      </c>
      <c r="BU203" s="5">
        <f>IF($BI203&lt;&gt;"",IF('Capacity summary'!$C$14="Yes",IF(COUNTBLANK('Capacity summary'!$H115:$BG115)&lt;52,IF('Capacity summary'!R115&lt;&gt;"",IF(LOWER('Capacity summary'!R115)="x",$BI203*R203,VALUE('Capacity summary'!R115)),0),R203*$BI203),R203*$BI203),0)</f>
        <v>0</v>
      </c>
      <c r="BV203" s="5">
        <f>IF($BI203&lt;&gt;"",IF('Capacity summary'!$C$14="Yes",IF(COUNTBLANK('Capacity summary'!$H115:$BG115)&lt;52,IF('Capacity summary'!S115&lt;&gt;"",IF(LOWER('Capacity summary'!S115)="x",$BI203*S203,VALUE('Capacity summary'!S115)),0),S203*$BI203),S203*$BI203),0)</f>
        <v>0</v>
      </c>
      <c r="BW203" s="5">
        <f>IF($BI203&lt;&gt;"",IF('Capacity summary'!$C$14="Yes",IF(COUNTBLANK('Capacity summary'!$H115:$BG115)&lt;52,IF('Capacity summary'!T115&lt;&gt;"",IF(LOWER('Capacity summary'!T115)="x",$BI203*T203,VALUE('Capacity summary'!T115)),0),T203*$BI203),T203*$BI203),0)</f>
        <v>0</v>
      </c>
      <c r="BX203" s="5">
        <f>IF($BI203&lt;&gt;"",IF('Capacity summary'!$C$14="Yes",IF(COUNTBLANK('Capacity summary'!$H115:$BG115)&lt;52,IF('Capacity summary'!U115&lt;&gt;"",IF(LOWER('Capacity summary'!U115)="x",$BI203*U203,VALUE('Capacity summary'!U115)),0),U203*$BI203),U203*$BI203),0)</f>
        <v>0</v>
      </c>
      <c r="BY203" s="5">
        <f>IF($BI203&lt;&gt;"",IF('Capacity summary'!$C$14="Yes",IF(COUNTBLANK('Capacity summary'!$H115:$BG115)&lt;52,IF('Capacity summary'!V115&lt;&gt;"",IF(LOWER('Capacity summary'!V115)="x",$BI203*V203,VALUE('Capacity summary'!V115)),0),V203*$BI203),V203*$BI203),0)</f>
        <v>0</v>
      </c>
      <c r="BZ203" s="5">
        <f>IF($BI203&lt;&gt;"",IF('Capacity summary'!$C$14="Yes",IF(COUNTBLANK('Capacity summary'!$H115:$BG115)&lt;52,IF('Capacity summary'!W115&lt;&gt;"",IF(LOWER('Capacity summary'!W115)="x",$BI203*W203,VALUE('Capacity summary'!W115)),0),W203*$BI203),W203*$BI203),0)</f>
        <v>0</v>
      </c>
      <c r="CA203" s="5">
        <f>IF($BI203&lt;&gt;"",IF('Capacity summary'!$C$14="Yes",IF(COUNTBLANK('Capacity summary'!$H115:$BG115)&lt;52,IF('Capacity summary'!X115&lt;&gt;"",IF(LOWER('Capacity summary'!X115)="x",$BI203*X203,VALUE('Capacity summary'!X115)),0),X203*$BI203),X203*$BI203),0)</f>
        <v>0</v>
      </c>
      <c r="CB203" s="5">
        <f>IF($BI203&lt;&gt;"",IF('Capacity summary'!$C$14="Yes",IF(COUNTBLANK('Capacity summary'!$H115:$BG115)&lt;52,IF('Capacity summary'!Y115&lt;&gt;"",IF(LOWER('Capacity summary'!Y115)="x",$BI203*Y203,VALUE('Capacity summary'!Y115)),0),Y203*$BI203),Y203*$BI203),0)</f>
        <v>0</v>
      </c>
      <c r="CC203" s="5">
        <f>IF($BI203&lt;&gt;"",IF('Capacity summary'!$C$14="Yes",IF(COUNTBLANK('Capacity summary'!$H115:$BG115)&lt;52,IF('Capacity summary'!Z115&lt;&gt;"",IF(LOWER('Capacity summary'!Z115)="x",$BI203*Z203,VALUE('Capacity summary'!Z115)),0),Z203*$BI203),Z203*$BI203),0)</f>
        <v>0</v>
      </c>
      <c r="CD203" s="5">
        <f>IF($BI203&lt;&gt;"",IF('Capacity summary'!$C$14="Yes",IF(COUNTBLANK('Capacity summary'!$H115:$BG115)&lt;52,IF('Capacity summary'!AA115&lt;&gt;"",IF(LOWER('Capacity summary'!AA115)="x",$BI203*AA203,VALUE('Capacity summary'!AA115)),0),AA203*$BI203),AA203*$BI203),0)</f>
        <v>0</v>
      </c>
      <c r="CE203" s="5">
        <f>IF($BI203&lt;&gt;"",IF('Capacity summary'!$C$14="Yes",IF(COUNTBLANK('Capacity summary'!$H115:$BG115)&lt;52,IF('Capacity summary'!AB115&lt;&gt;"",IF(LOWER('Capacity summary'!AB115)="x",$BI203*AB203,VALUE('Capacity summary'!AB115)),0),AB203*$BI203),AB203*$BI203),0)</f>
        <v>0</v>
      </c>
      <c r="CF203" s="5">
        <f>IF($BI203&lt;&gt;"",IF('Capacity summary'!$C$14="Yes",IF(COUNTBLANK('Capacity summary'!$H115:$BG115)&lt;52,IF('Capacity summary'!AC115&lt;&gt;"",IF(LOWER('Capacity summary'!AC115)="x",$BI203*AC203,VALUE('Capacity summary'!AC115)),0),AC203*$BI203),AC203*$BI203),0)</f>
        <v>0</v>
      </c>
      <c r="CG203" s="5">
        <f>IF($BI203&lt;&gt;"",IF('Capacity summary'!$C$14="Yes",IF(COUNTBLANK('Capacity summary'!$H115:$BG115)&lt;52,IF('Capacity summary'!AD115&lt;&gt;"",IF(LOWER('Capacity summary'!AD115)="x",$BI203*AD203,VALUE('Capacity summary'!AD115)),0),AD203*$BI203),AD203*$BI203),0)</f>
        <v>0</v>
      </c>
      <c r="CH203" s="5">
        <f>IF($BI203&lt;&gt;"",IF('Capacity summary'!$C$14="Yes",IF(COUNTBLANK('Capacity summary'!$H115:$BG115)&lt;52,IF('Capacity summary'!AE115&lt;&gt;"",IF(LOWER('Capacity summary'!AE115)="x",$BI203*AE203,VALUE('Capacity summary'!AE115)),0),AE203*$BI203),AE203*$BI203),0)</f>
        <v>0</v>
      </c>
      <c r="CI203" s="5">
        <f>IF($BI203&lt;&gt;"",IF('Capacity summary'!$C$14="Yes",IF(COUNTBLANK('Capacity summary'!$H115:$BG115)&lt;52,IF('Capacity summary'!AF115&lt;&gt;"",IF(LOWER('Capacity summary'!AF115)="x",$BI203*AF203,VALUE('Capacity summary'!AF115)),0),AF203*$BI203),AF203*$BI203),0)</f>
        <v>0</v>
      </c>
      <c r="CJ203" s="5">
        <f>IF($BI203&lt;&gt;"",IF('Capacity summary'!$C$14="Yes",IF(COUNTBLANK('Capacity summary'!$H115:$BG115)&lt;52,IF('Capacity summary'!AG115&lt;&gt;"",IF(LOWER('Capacity summary'!AG115)="x",$BI203*AG203,VALUE('Capacity summary'!AG115)),0),AG203*$BI203),AG203*$BI203),0)</f>
        <v>0</v>
      </c>
      <c r="CK203" s="5">
        <f>IF($BI203&lt;&gt;"",IF('Capacity summary'!$C$14="Yes",IF(COUNTBLANK('Capacity summary'!$H115:$BG115)&lt;52,IF('Capacity summary'!AH115&lt;&gt;"",IF(LOWER('Capacity summary'!AH115)="x",$BI203*AH203,VALUE('Capacity summary'!AH115)),0),AH203*$BI203),AH203*$BI203),0)</f>
        <v>0</v>
      </c>
      <c r="CL203" s="5">
        <f>IF($BI203&lt;&gt;"",IF('Capacity summary'!$C$14="Yes",IF(COUNTBLANK('Capacity summary'!$H115:$BG115)&lt;52,IF('Capacity summary'!AI115&lt;&gt;"",IF(LOWER('Capacity summary'!AI115)="x",$BI203*AI203,VALUE('Capacity summary'!AI115)),0),AI203*$BI203),AI203*$BI203),0)</f>
        <v>0</v>
      </c>
      <c r="CM203" s="5">
        <f>IF($BI203&lt;&gt;"",IF('Capacity summary'!$C$14="Yes",IF(COUNTBLANK('Capacity summary'!$H115:$BG115)&lt;52,IF('Capacity summary'!AJ115&lt;&gt;"",IF(LOWER('Capacity summary'!AJ115)="x",$BI203*AJ203,VALUE('Capacity summary'!AJ115)),0),AJ203*$BI203),AJ203*$BI203),0)</f>
        <v>0</v>
      </c>
      <c r="CN203" s="5">
        <f>IF($BI203&lt;&gt;"",IF('Capacity summary'!$C$14="Yes",IF(COUNTBLANK('Capacity summary'!$H115:$BG115)&lt;52,IF('Capacity summary'!AK115&lt;&gt;"",IF(LOWER('Capacity summary'!AK115)="x",$BI203*AK203,VALUE('Capacity summary'!AK115)),0),AK203*$BI203),AK203*$BI203),0)</f>
        <v>0</v>
      </c>
      <c r="CO203" s="5">
        <f>IF($BI203&lt;&gt;"",IF('Capacity summary'!$C$14="Yes",IF(COUNTBLANK('Capacity summary'!$H115:$BG115)&lt;52,IF('Capacity summary'!AL115&lt;&gt;"",IF(LOWER('Capacity summary'!AL115)="x",$BI203*AL203,VALUE('Capacity summary'!AL115)),0),AL203*$BI203),AL203*$BI203),0)</f>
        <v>0</v>
      </c>
      <c r="CP203" s="5">
        <f>IF($BI203&lt;&gt;"",IF('Capacity summary'!$C$14="Yes",IF(COUNTBLANK('Capacity summary'!$H115:$BG115)&lt;52,IF('Capacity summary'!AM115&lt;&gt;"",IF(LOWER('Capacity summary'!AM115)="x",$BI203*AM203,VALUE('Capacity summary'!AM115)),0),AM203*$BI203),AM203*$BI203),0)</f>
        <v>0</v>
      </c>
      <c r="CQ203" s="5">
        <f>IF($BI203&lt;&gt;"",IF('Capacity summary'!$C$14="Yes",IF(COUNTBLANK('Capacity summary'!$H115:$BG115)&lt;52,IF('Capacity summary'!AN115&lt;&gt;"",IF(LOWER('Capacity summary'!AN115)="x",$BI203*AN203,VALUE('Capacity summary'!AN115)),0),AN203*$BI203),AN203*$BI203),0)</f>
        <v>0</v>
      </c>
      <c r="CR203" s="5">
        <f>IF($BI203&lt;&gt;"",IF('Capacity summary'!$C$14="Yes",IF(COUNTBLANK('Capacity summary'!$H115:$BG115)&lt;52,IF('Capacity summary'!AO115&lt;&gt;"",IF(LOWER('Capacity summary'!AO115)="x",$BI203*AO203,VALUE('Capacity summary'!AO115)),0),AO203*$BI203),AO203*$BI203),0)</f>
        <v>0</v>
      </c>
      <c r="CS203" s="5">
        <f>IF($BI203&lt;&gt;"",IF('Capacity summary'!$C$14="Yes",IF(COUNTBLANK('Capacity summary'!$H115:$BG115)&lt;52,IF('Capacity summary'!AP115&lt;&gt;"",IF(LOWER('Capacity summary'!AP115)="x",$BI203*AP203,VALUE('Capacity summary'!AP115)),0),AP203*$BI203),AP203*$BI203),0)</f>
        <v>0</v>
      </c>
      <c r="CT203" s="5">
        <f>IF($BI203&lt;&gt;"",IF('Capacity summary'!$C$14="Yes",IF(COUNTBLANK('Capacity summary'!$H115:$BG115)&lt;52,IF('Capacity summary'!AQ115&lt;&gt;"",IF(LOWER('Capacity summary'!AQ115)="x",$BI203*AQ203,VALUE('Capacity summary'!AQ115)),0),AQ203*$BI203),AQ203*$BI203),0)</f>
        <v>0</v>
      </c>
      <c r="CU203" s="5">
        <f>IF($BI203&lt;&gt;"",IF('Capacity summary'!$C$14="Yes",IF(COUNTBLANK('Capacity summary'!$H115:$BG115)&lt;52,IF('Capacity summary'!AR115&lt;&gt;"",IF(LOWER('Capacity summary'!AR115)="x",$BI203*AR203,VALUE('Capacity summary'!AR115)),0),AR203*$BI203),AR203*$BI203),0)</f>
        <v>0</v>
      </c>
      <c r="CV203" s="5">
        <f>IF($BI203&lt;&gt;"",IF('Capacity summary'!$C$14="Yes",IF(COUNTBLANK('Capacity summary'!$H115:$BG115)&lt;52,IF('Capacity summary'!AS115&lt;&gt;"",IF(LOWER('Capacity summary'!AS115)="x",$BI203*AS203,VALUE('Capacity summary'!AS115)),0),AS203*$BI203),AS203*$BI203),0)</f>
        <v>0</v>
      </c>
      <c r="CW203" s="5">
        <f>IF($BI203&lt;&gt;"",IF('Capacity summary'!$C$14="Yes",IF(COUNTBLANK('Capacity summary'!$H115:$BG115)&lt;52,IF('Capacity summary'!AT115&lt;&gt;"",IF(LOWER('Capacity summary'!AT115)="x",$BI203*AT203,VALUE('Capacity summary'!AT115)),0),AT203*$BI203),AT203*$BI203),0)</f>
        <v>0</v>
      </c>
      <c r="CX203" s="5">
        <f>IF($BI203&lt;&gt;"",IF('Capacity summary'!$C$14="Yes",IF(COUNTBLANK('Capacity summary'!$H115:$BG115)&lt;52,IF('Capacity summary'!AU115&lt;&gt;"",IF(LOWER('Capacity summary'!AU115)="x",$BI203*AU203,VALUE('Capacity summary'!AU115)),0),AU203*$BI203),AU203*$BI203),0)</f>
        <v>0</v>
      </c>
      <c r="CY203" s="5">
        <f>IF($BI203&lt;&gt;"",IF('Capacity summary'!$C$14="Yes",IF(COUNTBLANK('Capacity summary'!$H115:$BG115)&lt;52,IF('Capacity summary'!AV115&lt;&gt;"",IF(LOWER('Capacity summary'!AV115)="x",$BI203*AV203,VALUE('Capacity summary'!AV115)),0),AV203*$BI203),AV203*$BI203),0)</f>
        <v>0</v>
      </c>
      <c r="CZ203" s="5">
        <f>IF($BI203&lt;&gt;"",IF('Capacity summary'!$C$14="Yes",IF(COUNTBLANK('Capacity summary'!$H115:$BG115)&lt;52,IF('Capacity summary'!AW115&lt;&gt;"",IF(LOWER('Capacity summary'!AW115)="x",$BI203*AW203,VALUE('Capacity summary'!AW115)),0),AW203*$BI203),AW203*$BI203),0)</f>
        <v>0</v>
      </c>
      <c r="DA203" s="5">
        <f>IF($BI203&lt;&gt;"",IF('Capacity summary'!$C$14="Yes",IF(COUNTBLANK('Capacity summary'!$H115:$BG115)&lt;52,IF('Capacity summary'!AX115&lt;&gt;"",IF(LOWER('Capacity summary'!AX115)="x",$BI203*AX203,VALUE('Capacity summary'!AX115)),0),AX203*$BI203),AX203*$BI203),0)</f>
        <v>0</v>
      </c>
      <c r="DB203" s="5">
        <f>IF($BI203&lt;&gt;"",IF('Capacity summary'!$C$14="Yes",IF(COUNTBLANK('Capacity summary'!$H115:$BG115)&lt;52,IF('Capacity summary'!AY115&lt;&gt;"",IF(LOWER('Capacity summary'!AY115)="x",$BI203*AY203,VALUE('Capacity summary'!AY115)),0),AY203*$BI203),AY203*$BI203),0)</f>
        <v>0</v>
      </c>
      <c r="DC203" s="5">
        <f>IF($BI203&lt;&gt;"",IF('Capacity summary'!$C$14="Yes",IF(COUNTBLANK('Capacity summary'!$H115:$BG115)&lt;52,IF('Capacity summary'!AZ115&lt;&gt;"",IF(LOWER('Capacity summary'!AZ115)="x",$BI203*AZ203,VALUE('Capacity summary'!AZ115)),0),AZ203*$BI203),AZ203*$BI203),0)</f>
        <v>0</v>
      </c>
      <c r="DD203" s="5">
        <f>IF($BI203&lt;&gt;"",IF('Capacity summary'!$C$14="Yes",IF(COUNTBLANK('Capacity summary'!$H115:$BG115)&lt;52,IF('Capacity summary'!BA115&lt;&gt;"",IF(LOWER('Capacity summary'!BA115)="x",$BI203*BA203,VALUE('Capacity summary'!BA115)),0),BA203*$BI203),BA203*$BI203),0)</f>
        <v>0</v>
      </c>
      <c r="DE203" s="5">
        <f>IF($BI203&lt;&gt;"",IF('Capacity summary'!$C$14="Yes",IF(COUNTBLANK('Capacity summary'!$H115:$BG115)&lt;52,IF('Capacity summary'!BB115&lt;&gt;"",IF(LOWER('Capacity summary'!BB115)="x",$BI203*BB203,VALUE('Capacity summary'!BB115)),0),BB203*$BI203),BB203*$BI203),0)</f>
        <v>0</v>
      </c>
      <c r="DF203" s="5">
        <f>IF($BI203&lt;&gt;"",IF('Capacity summary'!$C$14="Yes",IF(COUNTBLANK('Capacity summary'!$H115:$BG115)&lt;52,IF('Capacity summary'!BC115&lt;&gt;"",IF(LOWER('Capacity summary'!BC115)="x",$BI203*BC203,VALUE('Capacity summary'!BC115)),0),BC203*$BI203),BC203*$BI203),0)</f>
        <v>0</v>
      </c>
      <c r="DG203" s="5">
        <f>IF($BI203&lt;&gt;"",IF('Capacity summary'!$C$14="Yes",IF(COUNTBLANK('Capacity summary'!$H115:$BG115)&lt;52,IF('Capacity summary'!BD115&lt;&gt;"",IF(LOWER('Capacity summary'!BD115)="x",$BI203*BD203,VALUE('Capacity summary'!BD115)),0),BD203*$BI203),BD203*$BI203),0)</f>
        <v>0</v>
      </c>
      <c r="DH203" s="5">
        <f>IF($BI203&lt;&gt;"",IF('Capacity summary'!$C$14="Yes",IF(COUNTBLANK('Capacity summary'!$H115:$BG115)&lt;52,IF('Capacity summary'!BE115&lt;&gt;"",IF(LOWER('Capacity summary'!BE115)="x",$BI203*BE203,VALUE('Capacity summary'!BE115)),0),BE203*$BI203),BE203*$BI203),0)</f>
        <v>0</v>
      </c>
      <c r="DI203" s="5">
        <f>IF($BI203&lt;&gt;"",IF('Capacity summary'!$C$14="Yes",IF(COUNTBLANK('Capacity summary'!$H115:$BG115)&lt;52,IF('Capacity summary'!BF115&lt;&gt;"",IF(LOWER('Capacity summary'!BF115)="x",$BI203*BF203,VALUE('Capacity summary'!BF115)),0),BF203*$BI203),BF203*$BI203),0)</f>
        <v>0</v>
      </c>
      <c r="DJ203" s="5">
        <f>IF($BI203&lt;&gt;"",IF('Capacity summary'!$C$14="Yes",IF(COUNTBLANK('Capacity summary'!$H115:$BG115)&lt;52,IF('Capacity summary'!BG115&lt;&gt;"",IF(LOWER('Capacity summary'!BG115)="x",$BI203*BG203,VALUE('Capacity summary'!BG115)),0),BG203*$BI203),BG203*$BI203),0)</f>
        <v>0</v>
      </c>
      <c r="DK203" s="391">
        <f t="shared" si="10"/>
        <v>0</v>
      </c>
      <c r="DL203" s="5">
        <f t="shared" si="11"/>
        <v>0</v>
      </c>
    </row>
    <row r="204" spans="3:116" x14ac:dyDescent="0.2">
      <c r="C204" s="67" t="str">
        <f>ROW(A93)&amp;". "&amp;Capacity!N109</f>
        <v xml:space="preserve">93. </v>
      </c>
      <c r="D204" s="67">
        <f>'Capacity setup'!C210</f>
        <v>0</v>
      </c>
      <c r="E204" s="67">
        <f>'Capacity setup'!D210</f>
        <v>0</v>
      </c>
      <c r="F204" s="67">
        <f>'Capacity setup'!E210</f>
        <v>0</v>
      </c>
      <c r="H204" s="67">
        <f ca="1">IF(LOWER(Capacity!$V109)="x",IF(AND(SUMIF(Capacity_Resource,$D204,'Critical resources (hide)'!U$6:U$105)+SUMIF(Capacity_Resource,$E204,'Critical resources (hide)'!U$6:U$105)+SUMIF(Capacity_Resource,$F204,'Critical resources (hide)'!U$6:U$105)&gt;0,$E$1=2),0,1),0)</f>
        <v>1</v>
      </c>
      <c r="I204" s="67">
        <f ca="1">IF(LOWER(Capacity!$V109)="x",IF(AND(SUMIF(Capacity_Resource,$D204,'Critical resources (hide)'!V$6:V$105)+SUMIF(Capacity_Resource,$E204,'Critical resources (hide)'!V$6:V$105)+SUMIF(Capacity_Resource,$F204,'Critical resources (hide)'!V$6:V$105)&gt;0,$E$1=2),0,1),0)</f>
        <v>1</v>
      </c>
      <c r="J204" s="67">
        <f ca="1">IF(LOWER(Capacity!$V109)="x",IF(AND(SUMIF(Capacity_Resource,$D204,'Critical resources (hide)'!W$6:W$105)+SUMIF(Capacity_Resource,$E204,'Critical resources (hide)'!W$6:W$105)+SUMIF(Capacity_Resource,$F204,'Critical resources (hide)'!W$6:W$105)&gt;0,$E$1=2),0,1),0)</f>
        <v>1</v>
      </c>
      <c r="K204" s="67">
        <f ca="1">IF(LOWER(Capacity!$V109)="x",IF(AND(SUMIF(Capacity_Resource,$D204,'Critical resources (hide)'!X$6:X$105)+SUMIF(Capacity_Resource,$E204,'Critical resources (hide)'!X$6:X$105)+SUMIF(Capacity_Resource,$F204,'Critical resources (hide)'!X$6:X$105)&gt;0,$E$1=2),0,1),0)</f>
        <v>1</v>
      </c>
      <c r="L204" s="67">
        <f ca="1">IF(LOWER(Capacity!$V109)="x",IF(AND(SUMIF(Capacity_Resource,$D204,'Critical resources (hide)'!Y$6:Y$105)+SUMIF(Capacity_Resource,$E204,'Critical resources (hide)'!Y$6:Y$105)+SUMIF(Capacity_Resource,$F204,'Critical resources (hide)'!Y$6:Y$105)&gt;0,$E$1=2),0,1),0)</f>
        <v>1</v>
      </c>
      <c r="M204" s="67">
        <f ca="1">IF(LOWER(Capacity!$V109)="x",IF(AND(SUMIF(Capacity_Resource,$D204,'Critical resources (hide)'!Z$6:Z$105)+SUMIF(Capacity_Resource,$E204,'Critical resources (hide)'!Z$6:Z$105)+SUMIF(Capacity_Resource,$F204,'Critical resources (hide)'!Z$6:Z$105)&gt;0,$E$1=2),0,1),0)</f>
        <v>1</v>
      </c>
      <c r="N204" s="67">
        <f ca="1">IF(LOWER(Capacity!$V109)="x",IF(AND(SUMIF(Capacity_Resource,$D204,'Critical resources (hide)'!AA$6:AA$105)+SUMIF(Capacity_Resource,$E204,'Critical resources (hide)'!AA$6:AA$105)+SUMIF(Capacity_Resource,$F204,'Critical resources (hide)'!AA$6:AA$105)&gt;0,$E$1=2),0,1),0)</f>
        <v>1</v>
      </c>
      <c r="O204" s="67">
        <f ca="1">IF(LOWER(Capacity!$V109)="x",IF(AND(SUMIF(Capacity_Resource,$D204,'Critical resources (hide)'!AB$6:AB$105)+SUMIF(Capacity_Resource,$E204,'Critical resources (hide)'!AB$6:AB$105)+SUMIF(Capacity_Resource,$F204,'Critical resources (hide)'!AB$6:AB$105)&gt;0,$E$1=2),0,1),0)</f>
        <v>1</v>
      </c>
      <c r="P204" s="67">
        <f ca="1">IF(LOWER(Capacity!$V109)="x",IF(AND(SUMIF(Capacity_Resource,$D204,'Critical resources (hide)'!AC$6:AC$105)+SUMIF(Capacity_Resource,$E204,'Critical resources (hide)'!AC$6:AC$105)+SUMIF(Capacity_Resource,$F204,'Critical resources (hide)'!AC$6:AC$105)&gt;0,$E$1=2),0,1),0)</f>
        <v>1</v>
      </c>
      <c r="Q204" s="67">
        <f ca="1">IF(LOWER(Capacity!$V109)="x",IF(AND(SUMIF(Capacity_Resource,$D204,'Critical resources (hide)'!AD$6:AD$105)+SUMIF(Capacity_Resource,$E204,'Critical resources (hide)'!AD$6:AD$105)+SUMIF(Capacity_Resource,$F204,'Critical resources (hide)'!AD$6:AD$105)&gt;0,$E$1=2),0,1),0)</f>
        <v>1</v>
      </c>
      <c r="R204" s="67">
        <f ca="1">IF(LOWER(Capacity!$V109)="x",IF(AND(SUMIF(Capacity_Resource,$D204,'Critical resources (hide)'!AE$6:AE$105)+SUMIF(Capacity_Resource,$E204,'Critical resources (hide)'!AE$6:AE$105)+SUMIF(Capacity_Resource,$F204,'Critical resources (hide)'!AE$6:AE$105)&gt;0,$E$1=2),0,1),0)</f>
        <v>1</v>
      </c>
      <c r="S204" s="67">
        <f ca="1">IF(LOWER(Capacity!$V109)="x",IF(AND(SUMIF(Capacity_Resource,$D204,'Critical resources (hide)'!AF$6:AF$105)+SUMIF(Capacity_Resource,$E204,'Critical resources (hide)'!AF$6:AF$105)+SUMIF(Capacity_Resource,$F204,'Critical resources (hide)'!AF$6:AF$105)&gt;0,$E$1=2),0,1),0)</f>
        <v>1</v>
      </c>
      <c r="T204" s="67">
        <f ca="1">IF(LOWER(Capacity!$V109)="x",IF(AND(SUMIF(Capacity_Resource,$D204,'Critical resources (hide)'!AG$6:AG$105)+SUMIF(Capacity_Resource,$E204,'Critical resources (hide)'!AG$6:AG$105)+SUMIF(Capacity_Resource,$F204,'Critical resources (hide)'!AG$6:AG$105)&gt;0,$E$1=2),0,1),0)</f>
        <v>1</v>
      </c>
      <c r="U204" s="67">
        <f ca="1">IF(LOWER(Capacity!$V109)="x",IF(AND(SUMIF(Capacity_Resource,$D204,'Critical resources (hide)'!AH$6:AH$105)+SUMIF(Capacity_Resource,$E204,'Critical resources (hide)'!AH$6:AH$105)+SUMIF(Capacity_Resource,$F204,'Critical resources (hide)'!AH$6:AH$105)&gt;0,$E$1=2),0,1),0)</f>
        <v>1</v>
      </c>
      <c r="V204" s="67">
        <f ca="1">IF(LOWER(Capacity!$V109)="x",IF(AND(SUMIF(Capacity_Resource,$D204,'Critical resources (hide)'!AI$6:AI$105)+SUMIF(Capacity_Resource,$E204,'Critical resources (hide)'!AI$6:AI$105)+SUMIF(Capacity_Resource,$F204,'Critical resources (hide)'!AI$6:AI$105)&gt;0,$E$1=2),0,1),0)</f>
        <v>1</v>
      </c>
      <c r="W204" s="67">
        <f ca="1">IF(LOWER(Capacity!$V109)="x",IF(AND(SUMIF(Capacity_Resource,$D204,'Critical resources (hide)'!AJ$6:AJ$105)+SUMIF(Capacity_Resource,$E204,'Critical resources (hide)'!AJ$6:AJ$105)+SUMIF(Capacity_Resource,$F204,'Critical resources (hide)'!AJ$6:AJ$105)&gt;0,$E$1=2),0,1),0)</f>
        <v>1</v>
      </c>
      <c r="X204" s="67">
        <f ca="1">IF(LOWER(Capacity!$V109)="x",IF(AND(SUMIF(Capacity_Resource,$D204,'Critical resources (hide)'!AK$6:AK$105)+SUMIF(Capacity_Resource,$E204,'Critical resources (hide)'!AK$6:AK$105)+SUMIF(Capacity_Resource,$F204,'Critical resources (hide)'!AK$6:AK$105)&gt;0,$E$1=2),0,1),0)</f>
        <v>1</v>
      </c>
      <c r="Y204" s="67">
        <f ca="1">IF(LOWER(Capacity!$V109)="x",IF(AND(SUMIF(Capacity_Resource,$D204,'Critical resources (hide)'!AL$6:AL$105)+SUMIF(Capacity_Resource,$E204,'Critical resources (hide)'!AL$6:AL$105)+SUMIF(Capacity_Resource,$F204,'Critical resources (hide)'!AL$6:AL$105)&gt;0,$E$1=2),0,1),0)</f>
        <v>1</v>
      </c>
      <c r="Z204" s="67">
        <f ca="1">IF(LOWER(Capacity!$V109)="x",IF(AND(SUMIF(Capacity_Resource,$D204,'Critical resources (hide)'!AM$6:AM$105)+SUMIF(Capacity_Resource,$E204,'Critical resources (hide)'!AM$6:AM$105)+SUMIF(Capacity_Resource,$F204,'Critical resources (hide)'!AM$6:AM$105)&gt;0,$E$1=2),0,1),0)</f>
        <v>1</v>
      </c>
      <c r="AA204" s="67">
        <f ca="1">IF(LOWER(Capacity!$V109)="x",IF(AND(SUMIF(Capacity_Resource,$D204,'Critical resources (hide)'!AN$6:AN$105)+SUMIF(Capacity_Resource,$E204,'Critical resources (hide)'!AN$6:AN$105)+SUMIF(Capacity_Resource,$F204,'Critical resources (hide)'!AN$6:AN$105)&gt;0,$E$1=2),0,1),0)</f>
        <v>1</v>
      </c>
      <c r="AB204" s="67">
        <f ca="1">IF(LOWER(Capacity!$V109)="x",IF(AND(SUMIF(Capacity_Resource,$D204,'Critical resources (hide)'!AO$6:AO$105)+SUMIF(Capacity_Resource,$E204,'Critical resources (hide)'!AO$6:AO$105)+SUMIF(Capacity_Resource,$F204,'Critical resources (hide)'!AO$6:AO$105)&gt;0,$E$1=2),0,1),0)</f>
        <v>1</v>
      </c>
      <c r="AC204" s="67">
        <f ca="1">IF(LOWER(Capacity!$V109)="x",IF(AND(SUMIF(Capacity_Resource,$D204,'Critical resources (hide)'!AP$6:AP$105)+SUMIF(Capacity_Resource,$E204,'Critical resources (hide)'!AP$6:AP$105)+SUMIF(Capacity_Resource,$F204,'Critical resources (hide)'!AP$6:AP$105)&gt;0,$E$1=2),0,1),0)</f>
        <v>1</v>
      </c>
      <c r="AD204" s="67">
        <f ca="1">IF(LOWER(Capacity!$V109)="x",IF(AND(SUMIF(Capacity_Resource,$D204,'Critical resources (hide)'!AQ$6:AQ$105)+SUMIF(Capacity_Resource,$E204,'Critical resources (hide)'!AQ$6:AQ$105)+SUMIF(Capacity_Resource,$F204,'Critical resources (hide)'!AQ$6:AQ$105)&gt;0,$E$1=2),0,1),0)</f>
        <v>1</v>
      </c>
      <c r="AE204" s="67">
        <f ca="1">IF(LOWER(Capacity!$V109)="x",IF(AND(SUMIF(Capacity_Resource,$D204,'Critical resources (hide)'!AR$6:AR$105)+SUMIF(Capacity_Resource,$E204,'Critical resources (hide)'!AR$6:AR$105)+SUMIF(Capacity_Resource,$F204,'Critical resources (hide)'!AR$6:AR$105)&gt;0,$E$1=2),0,1),0)</f>
        <v>1</v>
      </c>
      <c r="AF204" s="67">
        <f ca="1">IF(LOWER(Capacity!$V109)="x",IF(AND(SUMIF(Capacity_Resource,$D204,'Critical resources (hide)'!AS$6:AS$105)+SUMIF(Capacity_Resource,$E204,'Critical resources (hide)'!AS$6:AS$105)+SUMIF(Capacity_Resource,$F204,'Critical resources (hide)'!AS$6:AS$105)&gt;0,$E$1=2),0,1),0)</f>
        <v>1</v>
      </c>
      <c r="AG204" s="67">
        <f ca="1">IF(LOWER(Capacity!$V109)="x",IF(AND(SUMIF(Capacity_Resource,$D204,'Critical resources (hide)'!AT$6:AT$105)+SUMIF(Capacity_Resource,$E204,'Critical resources (hide)'!AT$6:AT$105)+SUMIF(Capacity_Resource,$F204,'Critical resources (hide)'!AT$6:AT$105)&gt;0,$E$1=2),0,1),0)</f>
        <v>1</v>
      </c>
      <c r="AH204" s="67">
        <f ca="1">IF(LOWER(Capacity!$V109)="x",IF(AND(SUMIF(Capacity_Resource,$D204,'Critical resources (hide)'!AU$6:AU$105)+SUMIF(Capacity_Resource,$E204,'Critical resources (hide)'!AU$6:AU$105)+SUMIF(Capacity_Resource,$F204,'Critical resources (hide)'!AU$6:AU$105)&gt;0,$E$1=2),0,1),0)</f>
        <v>1</v>
      </c>
      <c r="AI204" s="67">
        <f ca="1">IF(LOWER(Capacity!$V109)="x",IF(AND(SUMIF(Capacity_Resource,$D204,'Critical resources (hide)'!AV$6:AV$105)+SUMIF(Capacity_Resource,$E204,'Critical resources (hide)'!AV$6:AV$105)+SUMIF(Capacity_Resource,$F204,'Critical resources (hide)'!AV$6:AV$105)&gt;0,$E$1=2),0,1),0)</f>
        <v>1</v>
      </c>
      <c r="AJ204" s="67">
        <f ca="1">IF(LOWER(Capacity!$V109)="x",IF(AND(SUMIF(Capacity_Resource,$D204,'Critical resources (hide)'!AW$6:AW$105)+SUMIF(Capacity_Resource,$E204,'Critical resources (hide)'!AW$6:AW$105)+SUMIF(Capacity_Resource,$F204,'Critical resources (hide)'!AW$6:AW$105)&gt;0,$E$1=2),0,1),0)</f>
        <v>1</v>
      </c>
      <c r="AK204" s="67">
        <f ca="1">IF(LOWER(Capacity!$V109)="x",IF(AND(SUMIF(Capacity_Resource,$D204,'Critical resources (hide)'!AX$6:AX$105)+SUMIF(Capacity_Resource,$E204,'Critical resources (hide)'!AX$6:AX$105)+SUMIF(Capacity_Resource,$F204,'Critical resources (hide)'!AX$6:AX$105)&gt;0,$E$1=2),0,1),0)</f>
        <v>1</v>
      </c>
      <c r="AL204" s="67">
        <f ca="1">IF(LOWER(Capacity!$V109)="x",IF(AND(SUMIF(Capacity_Resource,$D204,'Critical resources (hide)'!AY$6:AY$105)+SUMIF(Capacity_Resource,$E204,'Critical resources (hide)'!AY$6:AY$105)+SUMIF(Capacity_Resource,$F204,'Critical resources (hide)'!AY$6:AY$105)&gt;0,$E$1=2),0,1),0)</f>
        <v>1</v>
      </c>
      <c r="AM204" s="67">
        <f ca="1">IF(LOWER(Capacity!$V109)="x",IF(AND(SUMIF(Capacity_Resource,$D204,'Critical resources (hide)'!AZ$6:AZ$105)+SUMIF(Capacity_Resource,$E204,'Critical resources (hide)'!AZ$6:AZ$105)+SUMIF(Capacity_Resource,$F204,'Critical resources (hide)'!AZ$6:AZ$105)&gt;0,$E$1=2),0,1),0)</f>
        <v>1</v>
      </c>
      <c r="AN204" s="67">
        <f ca="1">IF(LOWER(Capacity!$V109)="x",IF(AND(SUMIF(Capacity_Resource,$D204,'Critical resources (hide)'!BA$6:BA$105)+SUMIF(Capacity_Resource,$E204,'Critical resources (hide)'!BA$6:BA$105)+SUMIF(Capacity_Resource,$F204,'Critical resources (hide)'!BA$6:BA$105)&gt;0,$E$1=2),0,1),0)</f>
        <v>1</v>
      </c>
      <c r="AO204" s="67">
        <f ca="1">IF(LOWER(Capacity!$V109)="x",IF(AND(SUMIF(Capacity_Resource,$D204,'Critical resources (hide)'!BB$6:BB$105)+SUMIF(Capacity_Resource,$E204,'Critical resources (hide)'!BB$6:BB$105)+SUMIF(Capacity_Resource,$F204,'Critical resources (hide)'!BB$6:BB$105)&gt;0,$E$1=2),0,1),0)</f>
        <v>1</v>
      </c>
      <c r="AP204" s="67">
        <f ca="1">IF(LOWER(Capacity!$V109)="x",IF(AND(SUMIF(Capacity_Resource,$D204,'Critical resources (hide)'!BC$6:BC$105)+SUMIF(Capacity_Resource,$E204,'Critical resources (hide)'!BC$6:BC$105)+SUMIF(Capacity_Resource,$F204,'Critical resources (hide)'!BC$6:BC$105)&gt;0,$E$1=2),0,1),0)</f>
        <v>1</v>
      </c>
      <c r="AQ204" s="67">
        <f ca="1">IF(LOWER(Capacity!$V109)="x",IF(AND(SUMIF(Capacity_Resource,$D204,'Critical resources (hide)'!BD$6:BD$105)+SUMIF(Capacity_Resource,$E204,'Critical resources (hide)'!BD$6:BD$105)+SUMIF(Capacity_Resource,$F204,'Critical resources (hide)'!BD$6:BD$105)&gt;0,$E$1=2),0,1),0)</f>
        <v>1</v>
      </c>
      <c r="AR204" s="67">
        <f ca="1">IF(LOWER(Capacity!$V109)="x",IF(AND(SUMIF(Capacity_Resource,$D204,'Critical resources (hide)'!BE$6:BE$105)+SUMIF(Capacity_Resource,$E204,'Critical resources (hide)'!BE$6:BE$105)+SUMIF(Capacity_Resource,$F204,'Critical resources (hide)'!BE$6:BE$105)&gt;0,$E$1=2),0,1),0)</f>
        <v>1</v>
      </c>
      <c r="AS204" s="67">
        <f ca="1">IF(LOWER(Capacity!$V109)="x",IF(AND(SUMIF(Capacity_Resource,$D204,'Critical resources (hide)'!BF$6:BF$105)+SUMIF(Capacity_Resource,$E204,'Critical resources (hide)'!BF$6:BF$105)+SUMIF(Capacity_Resource,$F204,'Critical resources (hide)'!BF$6:BF$105)&gt;0,$E$1=2),0,1),0)</f>
        <v>1</v>
      </c>
      <c r="AT204" s="67">
        <f ca="1">IF(LOWER(Capacity!$V109)="x",IF(AND(SUMIF(Capacity_Resource,$D204,'Critical resources (hide)'!BG$6:BG$105)+SUMIF(Capacity_Resource,$E204,'Critical resources (hide)'!BG$6:BG$105)+SUMIF(Capacity_Resource,$F204,'Critical resources (hide)'!BG$6:BG$105)&gt;0,$E$1=2),0,1),0)</f>
        <v>1</v>
      </c>
      <c r="AU204" s="67">
        <f ca="1">IF(LOWER(Capacity!$V109)="x",IF(AND(SUMIF(Capacity_Resource,$D204,'Critical resources (hide)'!BH$6:BH$105)+SUMIF(Capacity_Resource,$E204,'Critical resources (hide)'!BH$6:BH$105)+SUMIF(Capacity_Resource,$F204,'Critical resources (hide)'!BH$6:BH$105)&gt;0,$E$1=2),0,1),0)</f>
        <v>1</v>
      </c>
      <c r="AV204" s="67">
        <f ca="1">IF(LOWER(Capacity!$V109)="x",IF(AND(SUMIF(Capacity_Resource,$D204,'Critical resources (hide)'!BI$6:BI$105)+SUMIF(Capacity_Resource,$E204,'Critical resources (hide)'!BI$6:BI$105)+SUMIF(Capacity_Resource,$F204,'Critical resources (hide)'!BI$6:BI$105)&gt;0,$E$1=2),0,1),0)</f>
        <v>1</v>
      </c>
      <c r="AW204" s="67">
        <f ca="1">IF(LOWER(Capacity!$V109)="x",IF(AND(SUMIF(Capacity_Resource,$D204,'Critical resources (hide)'!BJ$6:BJ$105)+SUMIF(Capacity_Resource,$E204,'Critical resources (hide)'!BJ$6:BJ$105)+SUMIF(Capacity_Resource,$F204,'Critical resources (hide)'!BJ$6:BJ$105)&gt;0,$E$1=2),0,1),0)</f>
        <v>1</v>
      </c>
      <c r="AX204" s="67">
        <f ca="1">IF(LOWER(Capacity!$V109)="x",IF(AND(SUMIF(Capacity_Resource,$D204,'Critical resources (hide)'!BK$6:BK$105)+SUMIF(Capacity_Resource,$E204,'Critical resources (hide)'!BK$6:BK$105)+SUMIF(Capacity_Resource,$F204,'Critical resources (hide)'!BK$6:BK$105)&gt;0,$E$1=2),0,1),0)</f>
        <v>1</v>
      </c>
      <c r="AY204" s="67">
        <f ca="1">IF(LOWER(Capacity!$V109)="x",IF(AND(SUMIF(Capacity_Resource,$D204,'Critical resources (hide)'!BL$6:BL$105)+SUMIF(Capacity_Resource,$E204,'Critical resources (hide)'!BL$6:BL$105)+SUMIF(Capacity_Resource,$F204,'Critical resources (hide)'!BL$6:BL$105)&gt;0,$E$1=2),0,1),0)</f>
        <v>1</v>
      </c>
      <c r="AZ204" s="67">
        <f ca="1">IF(LOWER(Capacity!$V109)="x",IF(AND(SUMIF(Capacity_Resource,$D204,'Critical resources (hide)'!BM$6:BM$105)+SUMIF(Capacity_Resource,$E204,'Critical resources (hide)'!BM$6:BM$105)+SUMIF(Capacity_Resource,$F204,'Critical resources (hide)'!BM$6:BM$105)&gt;0,$E$1=2),0,1),0)</f>
        <v>1</v>
      </c>
      <c r="BA204" s="67">
        <f ca="1">IF(LOWER(Capacity!$V109)="x",IF(AND(SUMIF(Capacity_Resource,$D204,'Critical resources (hide)'!BN$6:BN$105)+SUMIF(Capacity_Resource,$E204,'Critical resources (hide)'!BN$6:BN$105)+SUMIF(Capacity_Resource,$F204,'Critical resources (hide)'!BN$6:BN$105)&gt;0,$E$1=2),0,1),0)</f>
        <v>1</v>
      </c>
      <c r="BB204" s="67">
        <f ca="1">IF(LOWER(Capacity!$V109)="x",IF(AND(SUMIF(Capacity_Resource,$D204,'Critical resources (hide)'!BO$6:BO$105)+SUMIF(Capacity_Resource,$E204,'Critical resources (hide)'!BO$6:BO$105)+SUMIF(Capacity_Resource,$F204,'Critical resources (hide)'!BO$6:BO$105)&gt;0,$E$1=2),0,1),0)</f>
        <v>1</v>
      </c>
      <c r="BC204" s="67">
        <f ca="1">IF(LOWER(Capacity!$V109)="x",IF(AND(SUMIF(Capacity_Resource,$D204,'Critical resources (hide)'!BP$6:BP$105)+SUMIF(Capacity_Resource,$E204,'Critical resources (hide)'!BP$6:BP$105)+SUMIF(Capacity_Resource,$F204,'Critical resources (hide)'!BP$6:BP$105)&gt;0,$E$1=2),0,1),0)</f>
        <v>1</v>
      </c>
      <c r="BD204" s="67">
        <f ca="1">IF(LOWER(Capacity!$V109)="x",IF(AND(SUMIF(Capacity_Resource,$D204,'Critical resources (hide)'!BQ$6:BQ$105)+SUMIF(Capacity_Resource,$E204,'Critical resources (hide)'!BQ$6:BQ$105)+SUMIF(Capacity_Resource,$F204,'Critical resources (hide)'!BQ$6:BQ$105)&gt;0,$E$1=2),0,1),0)</f>
        <v>1</v>
      </c>
      <c r="BE204" s="67">
        <f ca="1">IF(LOWER(Capacity!$V109)="x",IF(AND(SUMIF(Capacity_Resource,$D204,'Critical resources (hide)'!BR$6:BR$105)+SUMIF(Capacity_Resource,$E204,'Critical resources (hide)'!BR$6:BR$105)+SUMIF(Capacity_Resource,$F204,'Critical resources (hide)'!BR$6:BR$105)&gt;0,$E$1=2),0,1),0)</f>
        <v>1</v>
      </c>
      <c r="BF204" s="67">
        <f ca="1">IF(LOWER(Capacity!$V109)="x",IF(AND(SUMIF(Capacity_Resource,$D204,'Critical resources (hide)'!BS$6:BS$105)+SUMIF(Capacity_Resource,$E204,'Critical resources (hide)'!BS$6:BS$105)+SUMIF(Capacity_Resource,$F204,'Critical resources (hide)'!BS$6:BS$105)&gt;0,$E$1=2),0,1),0)</f>
        <v>1</v>
      </c>
      <c r="BG204" s="67">
        <f ca="1">IF(LOWER(Capacity!$V109)="x",IF(AND(SUMIF(Capacity_Resource,$D204,'Critical resources (hide)'!BT$6:BT$105)+SUMIF(Capacity_Resource,$E204,'Critical resources (hide)'!BT$6:BT$105)+SUMIF(Capacity_Resource,$F204,'Critical resources (hide)'!BT$6:BT$105)&gt;0,$E$1=2),0,1),0)</f>
        <v>1</v>
      </c>
      <c r="BH204" s="67">
        <f>IF(ROW(A93)&lt;=Capacity!$M$16,IF('Capacity summary'!$C$14="No",SUM(H204:BG204),'Capacity summary'!$E116),0)</f>
        <v>0</v>
      </c>
      <c r="BI204" s="67" t="str">
        <f>IF(BH204&gt;0,IF(BH204&lt;Capacity!Q109,Capacity!R109,Capacity!T109/'Capacity calculation (hide)'!BH204),"")</f>
        <v/>
      </c>
      <c r="BJ204" s="5"/>
      <c r="BK204" s="5">
        <f>IF($BI204&lt;&gt;"",IF('Capacity summary'!$C$14="Yes",IF(COUNTBLANK('Capacity summary'!$H116:$BG116)&lt;52,IF('Capacity summary'!H116&lt;&gt;"",IF(LOWER('Capacity summary'!H116)="x",$BI204*H204,VALUE('Capacity summary'!H116)),0),H204*$BI204),H204*$BI204),0)</f>
        <v>0</v>
      </c>
      <c r="BL204" s="5">
        <f>IF($BI204&lt;&gt;"",IF('Capacity summary'!$C$14="Yes",IF(COUNTBLANK('Capacity summary'!$H116:$BG116)&lt;52,IF('Capacity summary'!I116&lt;&gt;"",IF(LOWER('Capacity summary'!I116)="x",$BI204*I204,VALUE('Capacity summary'!I116)),0),I204*$BI204),I204*$BI204),0)</f>
        <v>0</v>
      </c>
      <c r="BM204" s="5">
        <f>IF($BI204&lt;&gt;"",IF('Capacity summary'!$C$14="Yes",IF(COUNTBLANK('Capacity summary'!$H116:$BG116)&lt;52,IF('Capacity summary'!J116&lt;&gt;"",IF(LOWER('Capacity summary'!J116)="x",$BI204*J204,VALUE('Capacity summary'!J116)),0),J204*$BI204),J204*$BI204),0)</f>
        <v>0</v>
      </c>
      <c r="BN204" s="5">
        <f>IF($BI204&lt;&gt;"",IF('Capacity summary'!$C$14="Yes",IF(COUNTBLANK('Capacity summary'!$H116:$BG116)&lt;52,IF('Capacity summary'!K116&lt;&gt;"",IF(LOWER('Capacity summary'!K116)="x",$BI204*K204,VALUE('Capacity summary'!K116)),0),K204*$BI204),K204*$BI204),0)</f>
        <v>0</v>
      </c>
      <c r="BO204" s="5">
        <f>IF($BI204&lt;&gt;"",IF('Capacity summary'!$C$14="Yes",IF(COUNTBLANK('Capacity summary'!$H116:$BG116)&lt;52,IF('Capacity summary'!L116&lt;&gt;"",IF(LOWER('Capacity summary'!L116)="x",$BI204*L204,VALUE('Capacity summary'!L116)),0),L204*$BI204),L204*$BI204),0)</f>
        <v>0</v>
      </c>
      <c r="BP204" s="5">
        <f>IF($BI204&lt;&gt;"",IF('Capacity summary'!$C$14="Yes",IF(COUNTBLANK('Capacity summary'!$H116:$BG116)&lt;52,IF('Capacity summary'!M116&lt;&gt;"",IF(LOWER('Capacity summary'!M116)="x",$BI204*M204,VALUE('Capacity summary'!M116)),0),M204*$BI204),M204*$BI204),0)</f>
        <v>0</v>
      </c>
      <c r="BQ204" s="5">
        <f>IF($BI204&lt;&gt;"",IF('Capacity summary'!$C$14="Yes",IF(COUNTBLANK('Capacity summary'!$H116:$BG116)&lt;52,IF('Capacity summary'!N116&lt;&gt;"",IF(LOWER('Capacity summary'!N116)="x",$BI204*N204,VALUE('Capacity summary'!N116)),0),N204*$BI204),N204*$BI204),0)</f>
        <v>0</v>
      </c>
      <c r="BR204" s="5">
        <f>IF($BI204&lt;&gt;"",IF('Capacity summary'!$C$14="Yes",IF(COUNTBLANK('Capacity summary'!$H116:$BG116)&lt;52,IF('Capacity summary'!O116&lt;&gt;"",IF(LOWER('Capacity summary'!O116)="x",$BI204*O204,VALUE('Capacity summary'!O116)),0),O204*$BI204),O204*$BI204),0)</f>
        <v>0</v>
      </c>
      <c r="BS204" s="5">
        <f>IF($BI204&lt;&gt;"",IF('Capacity summary'!$C$14="Yes",IF(COUNTBLANK('Capacity summary'!$H116:$BG116)&lt;52,IF('Capacity summary'!P116&lt;&gt;"",IF(LOWER('Capacity summary'!P116)="x",$BI204*P204,VALUE('Capacity summary'!P116)),0),P204*$BI204),P204*$BI204),0)</f>
        <v>0</v>
      </c>
      <c r="BT204" s="5">
        <f>IF($BI204&lt;&gt;"",IF('Capacity summary'!$C$14="Yes",IF(COUNTBLANK('Capacity summary'!$H116:$BG116)&lt;52,IF('Capacity summary'!Q116&lt;&gt;"",IF(LOWER('Capacity summary'!Q116)="x",$BI204*Q204,VALUE('Capacity summary'!Q116)),0),Q204*$BI204),Q204*$BI204),0)</f>
        <v>0</v>
      </c>
      <c r="BU204" s="5">
        <f>IF($BI204&lt;&gt;"",IF('Capacity summary'!$C$14="Yes",IF(COUNTBLANK('Capacity summary'!$H116:$BG116)&lt;52,IF('Capacity summary'!R116&lt;&gt;"",IF(LOWER('Capacity summary'!R116)="x",$BI204*R204,VALUE('Capacity summary'!R116)),0),R204*$BI204),R204*$BI204),0)</f>
        <v>0</v>
      </c>
      <c r="BV204" s="5">
        <f>IF($BI204&lt;&gt;"",IF('Capacity summary'!$C$14="Yes",IF(COUNTBLANK('Capacity summary'!$H116:$BG116)&lt;52,IF('Capacity summary'!S116&lt;&gt;"",IF(LOWER('Capacity summary'!S116)="x",$BI204*S204,VALUE('Capacity summary'!S116)),0),S204*$BI204),S204*$BI204),0)</f>
        <v>0</v>
      </c>
      <c r="BW204" s="5">
        <f>IF($BI204&lt;&gt;"",IF('Capacity summary'!$C$14="Yes",IF(COUNTBLANK('Capacity summary'!$H116:$BG116)&lt;52,IF('Capacity summary'!T116&lt;&gt;"",IF(LOWER('Capacity summary'!T116)="x",$BI204*T204,VALUE('Capacity summary'!T116)),0),T204*$BI204),T204*$BI204),0)</f>
        <v>0</v>
      </c>
      <c r="BX204" s="5">
        <f>IF($BI204&lt;&gt;"",IF('Capacity summary'!$C$14="Yes",IF(COUNTBLANK('Capacity summary'!$H116:$BG116)&lt;52,IF('Capacity summary'!U116&lt;&gt;"",IF(LOWER('Capacity summary'!U116)="x",$BI204*U204,VALUE('Capacity summary'!U116)),0),U204*$BI204),U204*$BI204),0)</f>
        <v>0</v>
      </c>
      <c r="BY204" s="5">
        <f>IF($BI204&lt;&gt;"",IF('Capacity summary'!$C$14="Yes",IF(COUNTBLANK('Capacity summary'!$H116:$BG116)&lt;52,IF('Capacity summary'!V116&lt;&gt;"",IF(LOWER('Capacity summary'!V116)="x",$BI204*V204,VALUE('Capacity summary'!V116)),0),V204*$BI204),V204*$BI204),0)</f>
        <v>0</v>
      </c>
      <c r="BZ204" s="5">
        <f>IF($BI204&lt;&gt;"",IF('Capacity summary'!$C$14="Yes",IF(COUNTBLANK('Capacity summary'!$H116:$BG116)&lt;52,IF('Capacity summary'!W116&lt;&gt;"",IF(LOWER('Capacity summary'!W116)="x",$BI204*W204,VALUE('Capacity summary'!W116)),0),W204*$BI204),W204*$BI204),0)</f>
        <v>0</v>
      </c>
      <c r="CA204" s="5">
        <f>IF($BI204&lt;&gt;"",IF('Capacity summary'!$C$14="Yes",IF(COUNTBLANK('Capacity summary'!$H116:$BG116)&lt;52,IF('Capacity summary'!X116&lt;&gt;"",IF(LOWER('Capacity summary'!X116)="x",$BI204*X204,VALUE('Capacity summary'!X116)),0),X204*$BI204),X204*$BI204),0)</f>
        <v>0</v>
      </c>
      <c r="CB204" s="5">
        <f>IF($BI204&lt;&gt;"",IF('Capacity summary'!$C$14="Yes",IF(COUNTBLANK('Capacity summary'!$H116:$BG116)&lt;52,IF('Capacity summary'!Y116&lt;&gt;"",IF(LOWER('Capacity summary'!Y116)="x",$BI204*Y204,VALUE('Capacity summary'!Y116)),0),Y204*$BI204),Y204*$BI204),0)</f>
        <v>0</v>
      </c>
      <c r="CC204" s="5">
        <f>IF($BI204&lt;&gt;"",IF('Capacity summary'!$C$14="Yes",IF(COUNTBLANK('Capacity summary'!$H116:$BG116)&lt;52,IF('Capacity summary'!Z116&lt;&gt;"",IF(LOWER('Capacity summary'!Z116)="x",$BI204*Z204,VALUE('Capacity summary'!Z116)),0),Z204*$BI204),Z204*$BI204),0)</f>
        <v>0</v>
      </c>
      <c r="CD204" s="5">
        <f>IF($BI204&lt;&gt;"",IF('Capacity summary'!$C$14="Yes",IF(COUNTBLANK('Capacity summary'!$H116:$BG116)&lt;52,IF('Capacity summary'!AA116&lt;&gt;"",IF(LOWER('Capacity summary'!AA116)="x",$BI204*AA204,VALUE('Capacity summary'!AA116)),0),AA204*$BI204),AA204*$BI204),0)</f>
        <v>0</v>
      </c>
      <c r="CE204" s="5">
        <f>IF($BI204&lt;&gt;"",IF('Capacity summary'!$C$14="Yes",IF(COUNTBLANK('Capacity summary'!$H116:$BG116)&lt;52,IF('Capacity summary'!AB116&lt;&gt;"",IF(LOWER('Capacity summary'!AB116)="x",$BI204*AB204,VALUE('Capacity summary'!AB116)),0),AB204*$BI204),AB204*$BI204),0)</f>
        <v>0</v>
      </c>
      <c r="CF204" s="5">
        <f>IF($BI204&lt;&gt;"",IF('Capacity summary'!$C$14="Yes",IF(COUNTBLANK('Capacity summary'!$H116:$BG116)&lt;52,IF('Capacity summary'!AC116&lt;&gt;"",IF(LOWER('Capacity summary'!AC116)="x",$BI204*AC204,VALUE('Capacity summary'!AC116)),0),AC204*$BI204),AC204*$BI204),0)</f>
        <v>0</v>
      </c>
      <c r="CG204" s="5">
        <f>IF($BI204&lt;&gt;"",IF('Capacity summary'!$C$14="Yes",IF(COUNTBLANK('Capacity summary'!$H116:$BG116)&lt;52,IF('Capacity summary'!AD116&lt;&gt;"",IF(LOWER('Capacity summary'!AD116)="x",$BI204*AD204,VALUE('Capacity summary'!AD116)),0),AD204*$BI204),AD204*$BI204),0)</f>
        <v>0</v>
      </c>
      <c r="CH204" s="5">
        <f>IF($BI204&lt;&gt;"",IF('Capacity summary'!$C$14="Yes",IF(COUNTBLANK('Capacity summary'!$H116:$BG116)&lt;52,IF('Capacity summary'!AE116&lt;&gt;"",IF(LOWER('Capacity summary'!AE116)="x",$BI204*AE204,VALUE('Capacity summary'!AE116)),0),AE204*$BI204),AE204*$BI204),0)</f>
        <v>0</v>
      </c>
      <c r="CI204" s="5">
        <f>IF($BI204&lt;&gt;"",IF('Capacity summary'!$C$14="Yes",IF(COUNTBLANK('Capacity summary'!$H116:$BG116)&lt;52,IF('Capacity summary'!AF116&lt;&gt;"",IF(LOWER('Capacity summary'!AF116)="x",$BI204*AF204,VALUE('Capacity summary'!AF116)),0),AF204*$BI204),AF204*$BI204),0)</f>
        <v>0</v>
      </c>
      <c r="CJ204" s="5">
        <f>IF($BI204&lt;&gt;"",IF('Capacity summary'!$C$14="Yes",IF(COUNTBLANK('Capacity summary'!$H116:$BG116)&lt;52,IF('Capacity summary'!AG116&lt;&gt;"",IF(LOWER('Capacity summary'!AG116)="x",$BI204*AG204,VALUE('Capacity summary'!AG116)),0),AG204*$BI204),AG204*$BI204),0)</f>
        <v>0</v>
      </c>
      <c r="CK204" s="5">
        <f>IF($BI204&lt;&gt;"",IF('Capacity summary'!$C$14="Yes",IF(COUNTBLANK('Capacity summary'!$H116:$BG116)&lt;52,IF('Capacity summary'!AH116&lt;&gt;"",IF(LOWER('Capacity summary'!AH116)="x",$BI204*AH204,VALUE('Capacity summary'!AH116)),0),AH204*$BI204),AH204*$BI204),0)</f>
        <v>0</v>
      </c>
      <c r="CL204" s="5">
        <f>IF($BI204&lt;&gt;"",IF('Capacity summary'!$C$14="Yes",IF(COUNTBLANK('Capacity summary'!$H116:$BG116)&lt;52,IF('Capacity summary'!AI116&lt;&gt;"",IF(LOWER('Capacity summary'!AI116)="x",$BI204*AI204,VALUE('Capacity summary'!AI116)),0),AI204*$BI204),AI204*$BI204),0)</f>
        <v>0</v>
      </c>
      <c r="CM204" s="5">
        <f>IF($BI204&lt;&gt;"",IF('Capacity summary'!$C$14="Yes",IF(COUNTBLANK('Capacity summary'!$H116:$BG116)&lt;52,IF('Capacity summary'!AJ116&lt;&gt;"",IF(LOWER('Capacity summary'!AJ116)="x",$BI204*AJ204,VALUE('Capacity summary'!AJ116)),0),AJ204*$BI204),AJ204*$BI204),0)</f>
        <v>0</v>
      </c>
      <c r="CN204" s="5">
        <f>IF($BI204&lt;&gt;"",IF('Capacity summary'!$C$14="Yes",IF(COUNTBLANK('Capacity summary'!$H116:$BG116)&lt;52,IF('Capacity summary'!AK116&lt;&gt;"",IF(LOWER('Capacity summary'!AK116)="x",$BI204*AK204,VALUE('Capacity summary'!AK116)),0),AK204*$BI204),AK204*$BI204),0)</f>
        <v>0</v>
      </c>
      <c r="CO204" s="5">
        <f>IF($BI204&lt;&gt;"",IF('Capacity summary'!$C$14="Yes",IF(COUNTBLANK('Capacity summary'!$H116:$BG116)&lt;52,IF('Capacity summary'!AL116&lt;&gt;"",IF(LOWER('Capacity summary'!AL116)="x",$BI204*AL204,VALUE('Capacity summary'!AL116)),0),AL204*$BI204),AL204*$BI204),0)</f>
        <v>0</v>
      </c>
      <c r="CP204" s="5">
        <f>IF($BI204&lt;&gt;"",IF('Capacity summary'!$C$14="Yes",IF(COUNTBLANK('Capacity summary'!$H116:$BG116)&lt;52,IF('Capacity summary'!AM116&lt;&gt;"",IF(LOWER('Capacity summary'!AM116)="x",$BI204*AM204,VALUE('Capacity summary'!AM116)),0),AM204*$BI204),AM204*$BI204),0)</f>
        <v>0</v>
      </c>
      <c r="CQ204" s="5">
        <f>IF($BI204&lt;&gt;"",IF('Capacity summary'!$C$14="Yes",IF(COUNTBLANK('Capacity summary'!$H116:$BG116)&lt;52,IF('Capacity summary'!AN116&lt;&gt;"",IF(LOWER('Capacity summary'!AN116)="x",$BI204*AN204,VALUE('Capacity summary'!AN116)),0),AN204*$BI204),AN204*$BI204),0)</f>
        <v>0</v>
      </c>
      <c r="CR204" s="5">
        <f>IF($BI204&lt;&gt;"",IF('Capacity summary'!$C$14="Yes",IF(COUNTBLANK('Capacity summary'!$H116:$BG116)&lt;52,IF('Capacity summary'!AO116&lt;&gt;"",IF(LOWER('Capacity summary'!AO116)="x",$BI204*AO204,VALUE('Capacity summary'!AO116)),0),AO204*$BI204),AO204*$BI204),0)</f>
        <v>0</v>
      </c>
      <c r="CS204" s="5">
        <f>IF($BI204&lt;&gt;"",IF('Capacity summary'!$C$14="Yes",IF(COUNTBLANK('Capacity summary'!$H116:$BG116)&lt;52,IF('Capacity summary'!AP116&lt;&gt;"",IF(LOWER('Capacity summary'!AP116)="x",$BI204*AP204,VALUE('Capacity summary'!AP116)),0),AP204*$BI204),AP204*$BI204),0)</f>
        <v>0</v>
      </c>
      <c r="CT204" s="5">
        <f>IF($BI204&lt;&gt;"",IF('Capacity summary'!$C$14="Yes",IF(COUNTBLANK('Capacity summary'!$H116:$BG116)&lt;52,IF('Capacity summary'!AQ116&lt;&gt;"",IF(LOWER('Capacity summary'!AQ116)="x",$BI204*AQ204,VALUE('Capacity summary'!AQ116)),0),AQ204*$BI204),AQ204*$BI204),0)</f>
        <v>0</v>
      </c>
      <c r="CU204" s="5">
        <f>IF($BI204&lt;&gt;"",IF('Capacity summary'!$C$14="Yes",IF(COUNTBLANK('Capacity summary'!$H116:$BG116)&lt;52,IF('Capacity summary'!AR116&lt;&gt;"",IF(LOWER('Capacity summary'!AR116)="x",$BI204*AR204,VALUE('Capacity summary'!AR116)),0),AR204*$BI204),AR204*$BI204),0)</f>
        <v>0</v>
      </c>
      <c r="CV204" s="5">
        <f>IF($BI204&lt;&gt;"",IF('Capacity summary'!$C$14="Yes",IF(COUNTBLANK('Capacity summary'!$H116:$BG116)&lt;52,IF('Capacity summary'!AS116&lt;&gt;"",IF(LOWER('Capacity summary'!AS116)="x",$BI204*AS204,VALUE('Capacity summary'!AS116)),0),AS204*$BI204),AS204*$BI204),0)</f>
        <v>0</v>
      </c>
      <c r="CW204" s="5">
        <f>IF($BI204&lt;&gt;"",IF('Capacity summary'!$C$14="Yes",IF(COUNTBLANK('Capacity summary'!$H116:$BG116)&lt;52,IF('Capacity summary'!AT116&lt;&gt;"",IF(LOWER('Capacity summary'!AT116)="x",$BI204*AT204,VALUE('Capacity summary'!AT116)),0),AT204*$BI204),AT204*$BI204),0)</f>
        <v>0</v>
      </c>
      <c r="CX204" s="5">
        <f>IF($BI204&lt;&gt;"",IF('Capacity summary'!$C$14="Yes",IF(COUNTBLANK('Capacity summary'!$H116:$BG116)&lt;52,IF('Capacity summary'!AU116&lt;&gt;"",IF(LOWER('Capacity summary'!AU116)="x",$BI204*AU204,VALUE('Capacity summary'!AU116)),0),AU204*$BI204),AU204*$BI204),0)</f>
        <v>0</v>
      </c>
      <c r="CY204" s="5">
        <f>IF($BI204&lt;&gt;"",IF('Capacity summary'!$C$14="Yes",IF(COUNTBLANK('Capacity summary'!$H116:$BG116)&lt;52,IF('Capacity summary'!AV116&lt;&gt;"",IF(LOWER('Capacity summary'!AV116)="x",$BI204*AV204,VALUE('Capacity summary'!AV116)),0),AV204*$BI204),AV204*$BI204),0)</f>
        <v>0</v>
      </c>
      <c r="CZ204" s="5">
        <f>IF($BI204&lt;&gt;"",IF('Capacity summary'!$C$14="Yes",IF(COUNTBLANK('Capacity summary'!$H116:$BG116)&lt;52,IF('Capacity summary'!AW116&lt;&gt;"",IF(LOWER('Capacity summary'!AW116)="x",$BI204*AW204,VALUE('Capacity summary'!AW116)),0),AW204*$BI204),AW204*$BI204),0)</f>
        <v>0</v>
      </c>
      <c r="DA204" s="5">
        <f>IF($BI204&lt;&gt;"",IF('Capacity summary'!$C$14="Yes",IF(COUNTBLANK('Capacity summary'!$H116:$BG116)&lt;52,IF('Capacity summary'!AX116&lt;&gt;"",IF(LOWER('Capacity summary'!AX116)="x",$BI204*AX204,VALUE('Capacity summary'!AX116)),0),AX204*$BI204),AX204*$BI204),0)</f>
        <v>0</v>
      </c>
      <c r="DB204" s="5">
        <f>IF($BI204&lt;&gt;"",IF('Capacity summary'!$C$14="Yes",IF(COUNTBLANK('Capacity summary'!$H116:$BG116)&lt;52,IF('Capacity summary'!AY116&lt;&gt;"",IF(LOWER('Capacity summary'!AY116)="x",$BI204*AY204,VALUE('Capacity summary'!AY116)),0),AY204*$BI204),AY204*$BI204),0)</f>
        <v>0</v>
      </c>
      <c r="DC204" s="5">
        <f>IF($BI204&lt;&gt;"",IF('Capacity summary'!$C$14="Yes",IF(COUNTBLANK('Capacity summary'!$H116:$BG116)&lt;52,IF('Capacity summary'!AZ116&lt;&gt;"",IF(LOWER('Capacity summary'!AZ116)="x",$BI204*AZ204,VALUE('Capacity summary'!AZ116)),0),AZ204*$BI204),AZ204*$BI204),0)</f>
        <v>0</v>
      </c>
      <c r="DD204" s="5">
        <f>IF($BI204&lt;&gt;"",IF('Capacity summary'!$C$14="Yes",IF(COUNTBLANK('Capacity summary'!$H116:$BG116)&lt;52,IF('Capacity summary'!BA116&lt;&gt;"",IF(LOWER('Capacity summary'!BA116)="x",$BI204*BA204,VALUE('Capacity summary'!BA116)),0),BA204*$BI204),BA204*$BI204),0)</f>
        <v>0</v>
      </c>
      <c r="DE204" s="5">
        <f>IF($BI204&lt;&gt;"",IF('Capacity summary'!$C$14="Yes",IF(COUNTBLANK('Capacity summary'!$H116:$BG116)&lt;52,IF('Capacity summary'!BB116&lt;&gt;"",IF(LOWER('Capacity summary'!BB116)="x",$BI204*BB204,VALUE('Capacity summary'!BB116)),0),BB204*$BI204),BB204*$BI204),0)</f>
        <v>0</v>
      </c>
      <c r="DF204" s="5">
        <f>IF($BI204&lt;&gt;"",IF('Capacity summary'!$C$14="Yes",IF(COUNTBLANK('Capacity summary'!$H116:$BG116)&lt;52,IF('Capacity summary'!BC116&lt;&gt;"",IF(LOWER('Capacity summary'!BC116)="x",$BI204*BC204,VALUE('Capacity summary'!BC116)),0),BC204*$BI204),BC204*$BI204),0)</f>
        <v>0</v>
      </c>
      <c r="DG204" s="5">
        <f>IF($BI204&lt;&gt;"",IF('Capacity summary'!$C$14="Yes",IF(COUNTBLANK('Capacity summary'!$H116:$BG116)&lt;52,IF('Capacity summary'!BD116&lt;&gt;"",IF(LOWER('Capacity summary'!BD116)="x",$BI204*BD204,VALUE('Capacity summary'!BD116)),0),BD204*$BI204),BD204*$BI204),0)</f>
        <v>0</v>
      </c>
      <c r="DH204" s="5">
        <f>IF($BI204&lt;&gt;"",IF('Capacity summary'!$C$14="Yes",IF(COUNTBLANK('Capacity summary'!$H116:$BG116)&lt;52,IF('Capacity summary'!BE116&lt;&gt;"",IF(LOWER('Capacity summary'!BE116)="x",$BI204*BE204,VALUE('Capacity summary'!BE116)),0),BE204*$BI204),BE204*$BI204),0)</f>
        <v>0</v>
      </c>
      <c r="DI204" s="5">
        <f>IF($BI204&lt;&gt;"",IF('Capacity summary'!$C$14="Yes",IF(COUNTBLANK('Capacity summary'!$H116:$BG116)&lt;52,IF('Capacity summary'!BF116&lt;&gt;"",IF(LOWER('Capacity summary'!BF116)="x",$BI204*BF204,VALUE('Capacity summary'!BF116)),0),BF204*$BI204),BF204*$BI204),0)</f>
        <v>0</v>
      </c>
      <c r="DJ204" s="5">
        <f>IF($BI204&lt;&gt;"",IF('Capacity summary'!$C$14="Yes",IF(COUNTBLANK('Capacity summary'!$H116:$BG116)&lt;52,IF('Capacity summary'!BG116&lt;&gt;"",IF(LOWER('Capacity summary'!BG116)="x",$BI204*BG204,VALUE('Capacity summary'!BG116)),0),BG204*$BI204),BG204*$BI204),0)</f>
        <v>0</v>
      </c>
      <c r="DK204" s="391">
        <f t="shared" si="10"/>
        <v>0</v>
      </c>
      <c r="DL204" s="5">
        <f t="shared" si="11"/>
        <v>0</v>
      </c>
    </row>
    <row r="205" spans="3:116" x14ac:dyDescent="0.2">
      <c r="C205" s="67" t="str">
        <f>ROW(A94)&amp;". "&amp;Capacity!N110</f>
        <v xml:space="preserve">94. </v>
      </c>
      <c r="D205" s="67">
        <f>'Capacity setup'!C211</f>
        <v>0</v>
      </c>
      <c r="E205" s="67">
        <f>'Capacity setup'!D211</f>
        <v>0</v>
      </c>
      <c r="F205" s="67">
        <f>'Capacity setup'!E211</f>
        <v>0</v>
      </c>
      <c r="H205" s="67">
        <f ca="1">IF(LOWER(Capacity!$V110)="x",IF(AND(SUMIF(Capacity_Resource,$D205,'Critical resources (hide)'!U$6:U$105)+SUMIF(Capacity_Resource,$E205,'Critical resources (hide)'!U$6:U$105)+SUMIF(Capacity_Resource,$F205,'Critical resources (hide)'!U$6:U$105)&gt;0,$E$1=2),0,1),0)</f>
        <v>1</v>
      </c>
      <c r="I205" s="67">
        <f ca="1">IF(LOWER(Capacity!$V110)="x",IF(AND(SUMIF(Capacity_Resource,$D205,'Critical resources (hide)'!V$6:V$105)+SUMIF(Capacity_Resource,$E205,'Critical resources (hide)'!V$6:V$105)+SUMIF(Capacity_Resource,$F205,'Critical resources (hide)'!V$6:V$105)&gt;0,$E$1=2),0,1),0)</f>
        <v>1</v>
      </c>
      <c r="J205" s="67">
        <f ca="1">IF(LOWER(Capacity!$V110)="x",IF(AND(SUMIF(Capacity_Resource,$D205,'Critical resources (hide)'!W$6:W$105)+SUMIF(Capacity_Resource,$E205,'Critical resources (hide)'!W$6:W$105)+SUMIF(Capacity_Resource,$F205,'Critical resources (hide)'!W$6:W$105)&gt;0,$E$1=2),0,1),0)</f>
        <v>1</v>
      </c>
      <c r="K205" s="67">
        <f ca="1">IF(LOWER(Capacity!$V110)="x",IF(AND(SUMIF(Capacity_Resource,$D205,'Critical resources (hide)'!X$6:X$105)+SUMIF(Capacity_Resource,$E205,'Critical resources (hide)'!X$6:X$105)+SUMIF(Capacity_Resource,$F205,'Critical resources (hide)'!X$6:X$105)&gt;0,$E$1=2),0,1),0)</f>
        <v>1</v>
      </c>
      <c r="L205" s="67">
        <f ca="1">IF(LOWER(Capacity!$V110)="x",IF(AND(SUMIF(Capacity_Resource,$D205,'Critical resources (hide)'!Y$6:Y$105)+SUMIF(Capacity_Resource,$E205,'Critical resources (hide)'!Y$6:Y$105)+SUMIF(Capacity_Resource,$F205,'Critical resources (hide)'!Y$6:Y$105)&gt;0,$E$1=2),0,1),0)</f>
        <v>1</v>
      </c>
      <c r="M205" s="67">
        <f ca="1">IF(LOWER(Capacity!$V110)="x",IF(AND(SUMIF(Capacity_Resource,$D205,'Critical resources (hide)'!Z$6:Z$105)+SUMIF(Capacity_Resource,$E205,'Critical resources (hide)'!Z$6:Z$105)+SUMIF(Capacity_Resource,$F205,'Critical resources (hide)'!Z$6:Z$105)&gt;0,$E$1=2),0,1),0)</f>
        <v>1</v>
      </c>
      <c r="N205" s="67">
        <f ca="1">IF(LOWER(Capacity!$V110)="x",IF(AND(SUMIF(Capacity_Resource,$D205,'Critical resources (hide)'!AA$6:AA$105)+SUMIF(Capacity_Resource,$E205,'Critical resources (hide)'!AA$6:AA$105)+SUMIF(Capacity_Resource,$F205,'Critical resources (hide)'!AA$6:AA$105)&gt;0,$E$1=2),0,1),0)</f>
        <v>1</v>
      </c>
      <c r="O205" s="67">
        <f ca="1">IF(LOWER(Capacity!$V110)="x",IF(AND(SUMIF(Capacity_Resource,$D205,'Critical resources (hide)'!AB$6:AB$105)+SUMIF(Capacity_Resource,$E205,'Critical resources (hide)'!AB$6:AB$105)+SUMIF(Capacity_Resource,$F205,'Critical resources (hide)'!AB$6:AB$105)&gt;0,$E$1=2),0,1),0)</f>
        <v>1</v>
      </c>
      <c r="P205" s="67">
        <f ca="1">IF(LOWER(Capacity!$V110)="x",IF(AND(SUMIF(Capacity_Resource,$D205,'Critical resources (hide)'!AC$6:AC$105)+SUMIF(Capacity_Resource,$E205,'Critical resources (hide)'!AC$6:AC$105)+SUMIF(Capacity_Resource,$F205,'Critical resources (hide)'!AC$6:AC$105)&gt;0,$E$1=2),0,1),0)</f>
        <v>1</v>
      </c>
      <c r="Q205" s="67">
        <f ca="1">IF(LOWER(Capacity!$V110)="x",IF(AND(SUMIF(Capacity_Resource,$D205,'Critical resources (hide)'!AD$6:AD$105)+SUMIF(Capacity_Resource,$E205,'Critical resources (hide)'!AD$6:AD$105)+SUMIF(Capacity_Resource,$F205,'Critical resources (hide)'!AD$6:AD$105)&gt;0,$E$1=2),0,1),0)</f>
        <v>1</v>
      </c>
      <c r="R205" s="67">
        <f ca="1">IF(LOWER(Capacity!$V110)="x",IF(AND(SUMIF(Capacity_Resource,$D205,'Critical resources (hide)'!AE$6:AE$105)+SUMIF(Capacity_Resource,$E205,'Critical resources (hide)'!AE$6:AE$105)+SUMIF(Capacity_Resource,$F205,'Critical resources (hide)'!AE$6:AE$105)&gt;0,$E$1=2),0,1),0)</f>
        <v>1</v>
      </c>
      <c r="S205" s="67">
        <f ca="1">IF(LOWER(Capacity!$V110)="x",IF(AND(SUMIF(Capacity_Resource,$D205,'Critical resources (hide)'!AF$6:AF$105)+SUMIF(Capacity_Resource,$E205,'Critical resources (hide)'!AF$6:AF$105)+SUMIF(Capacity_Resource,$F205,'Critical resources (hide)'!AF$6:AF$105)&gt;0,$E$1=2),0,1),0)</f>
        <v>1</v>
      </c>
      <c r="T205" s="67">
        <f ca="1">IF(LOWER(Capacity!$V110)="x",IF(AND(SUMIF(Capacity_Resource,$D205,'Critical resources (hide)'!AG$6:AG$105)+SUMIF(Capacity_Resource,$E205,'Critical resources (hide)'!AG$6:AG$105)+SUMIF(Capacity_Resource,$F205,'Critical resources (hide)'!AG$6:AG$105)&gt;0,$E$1=2),0,1),0)</f>
        <v>1</v>
      </c>
      <c r="U205" s="67">
        <f ca="1">IF(LOWER(Capacity!$V110)="x",IF(AND(SUMIF(Capacity_Resource,$D205,'Critical resources (hide)'!AH$6:AH$105)+SUMIF(Capacity_Resource,$E205,'Critical resources (hide)'!AH$6:AH$105)+SUMIF(Capacity_Resource,$F205,'Critical resources (hide)'!AH$6:AH$105)&gt;0,$E$1=2),0,1),0)</f>
        <v>1</v>
      </c>
      <c r="V205" s="67">
        <f ca="1">IF(LOWER(Capacity!$V110)="x",IF(AND(SUMIF(Capacity_Resource,$D205,'Critical resources (hide)'!AI$6:AI$105)+SUMIF(Capacity_Resource,$E205,'Critical resources (hide)'!AI$6:AI$105)+SUMIF(Capacity_Resource,$F205,'Critical resources (hide)'!AI$6:AI$105)&gt;0,$E$1=2),0,1),0)</f>
        <v>1</v>
      </c>
      <c r="W205" s="67">
        <f ca="1">IF(LOWER(Capacity!$V110)="x",IF(AND(SUMIF(Capacity_Resource,$D205,'Critical resources (hide)'!AJ$6:AJ$105)+SUMIF(Capacity_Resource,$E205,'Critical resources (hide)'!AJ$6:AJ$105)+SUMIF(Capacity_Resource,$F205,'Critical resources (hide)'!AJ$6:AJ$105)&gt;0,$E$1=2),0,1),0)</f>
        <v>1</v>
      </c>
      <c r="X205" s="67">
        <f ca="1">IF(LOWER(Capacity!$V110)="x",IF(AND(SUMIF(Capacity_Resource,$D205,'Critical resources (hide)'!AK$6:AK$105)+SUMIF(Capacity_Resource,$E205,'Critical resources (hide)'!AK$6:AK$105)+SUMIF(Capacity_Resource,$F205,'Critical resources (hide)'!AK$6:AK$105)&gt;0,$E$1=2),0,1),0)</f>
        <v>1</v>
      </c>
      <c r="Y205" s="67">
        <f ca="1">IF(LOWER(Capacity!$V110)="x",IF(AND(SUMIF(Capacity_Resource,$D205,'Critical resources (hide)'!AL$6:AL$105)+SUMIF(Capacity_Resource,$E205,'Critical resources (hide)'!AL$6:AL$105)+SUMIF(Capacity_Resource,$F205,'Critical resources (hide)'!AL$6:AL$105)&gt;0,$E$1=2),0,1),0)</f>
        <v>1</v>
      </c>
      <c r="Z205" s="67">
        <f ca="1">IF(LOWER(Capacity!$V110)="x",IF(AND(SUMIF(Capacity_Resource,$D205,'Critical resources (hide)'!AM$6:AM$105)+SUMIF(Capacity_Resource,$E205,'Critical resources (hide)'!AM$6:AM$105)+SUMIF(Capacity_Resource,$F205,'Critical resources (hide)'!AM$6:AM$105)&gt;0,$E$1=2),0,1),0)</f>
        <v>1</v>
      </c>
      <c r="AA205" s="67">
        <f ca="1">IF(LOWER(Capacity!$V110)="x",IF(AND(SUMIF(Capacity_Resource,$D205,'Critical resources (hide)'!AN$6:AN$105)+SUMIF(Capacity_Resource,$E205,'Critical resources (hide)'!AN$6:AN$105)+SUMIF(Capacity_Resource,$F205,'Critical resources (hide)'!AN$6:AN$105)&gt;0,$E$1=2),0,1),0)</f>
        <v>1</v>
      </c>
      <c r="AB205" s="67">
        <f ca="1">IF(LOWER(Capacity!$V110)="x",IF(AND(SUMIF(Capacity_Resource,$D205,'Critical resources (hide)'!AO$6:AO$105)+SUMIF(Capacity_Resource,$E205,'Critical resources (hide)'!AO$6:AO$105)+SUMIF(Capacity_Resource,$F205,'Critical resources (hide)'!AO$6:AO$105)&gt;0,$E$1=2),0,1),0)</f>
        <v>1</v>
      </c>
      <c r="AC205" s="67">
        <f ca="1">IF(LOWER(Capacity!$V110)="x",IF(AND(SUMIF(Capacity_Resource,$D205,'Critical resources (hide)'!AP$6:AP$105)+SUMIF(Capacity_Resource,$E205,'Critical resources (hide)'!AP$6:AP$105)+SUMIF(Capacity_Resource,$F205,'Critical resources (hide)'!AP$6:AP$105)&gt;0,$E$1=2),0,1),0)</f>
        <v>1</v>
      </c>
      <c r="AD205" s="67">
        <f ca="1">IF(LOWER(Capacity!$V110)="x",IF(AND(SUMIF(Capacity_Resource,$D205,'Critical resources (hide)'!AQ$6:AQ$105)+SUMIF(Capacity_Resource,$E205,'Critical resources (hide)'!AQ$6:AQ$105)+SUMIF(Capacity_Resource,$F205,'Critical resources (hide)'!AQ$6:AQ$105)&gt;0,$E$1=2),0,1),0)</f>
        <v>1</v>
      </c>
      <c r="AE205" s="67">
        <f ca="1">IF(LOWER(Capacity!$V110)="x",IF(AND(SUMIF(Capacity_Resource,$D205,'Critical resources (hide)'!AR$6:AR$105)+SUMIF(Capacity_Resource,$E205,'Critical resources (hide)'!AR$6:AR$105)+SUMIF(Capacity_Resource,$F205,'Critical resources (hide)'!AR$6:AR$105)&gt;0,$E$1=2),0,1),0)</f>
        <v>1</v>
      </c>
      <c r="AF205" s="67">
        <f ca="1">IF(LOWER(Capacity!$V110)="x",IF(AND(SUMIF(Capacity_Resource,$D205,'Critical resources (hide)'!AS$6:AS$105)+SUMIF(Capacity_Resource,$E205,'Critical resources (hide)'!AS$6:AS$105)+SUMIF(Capacity_Resource,$F205,'Critical resources (hide)'!AS$6:AS$105)&gt;0,$E$1=2),0,1),0)</f>
        <v>1</v>
      </c>
      <c r="AG205" s="67">
        <f ca="1">IF(LOWER(Capacity!$V110)="x",IF(AND(SUMIF(Capacity_Resource,$D205,'Critical resources (hide)'!AT$6:AT$105)+SUMIF(Capacity_Resource,$E205,'Critical resources (hide)'!AT$6:AT$105)+SUMIF(Capacity_Resource,$F205,'Critical resources (hide)'!AT$6:AT$105)&gt;0,$E$1=2),0,1),0)</f>
        <v>1</v>
      </c>
      <c r="AH205" s="67">
        <f ca="1">IF(LOWER(Capacity!$V110)="x",IF(AND(SUMIF(Capacity_Resource,$D205,'Critical resources (hide)'!AU$6:AU$105)+SUMIF(Capacity_Resource,$E205,'Critical resources (hide)'!AU$6:AU$105)+SUMIF(Capacity_Resource,$F205,'Critical resources (hide)'!AU$6:AU$105)&gt;0,$E$1=2),0,1),0)</f>
        <v>1</v>
      </c>
      <c r="AI205" s="67">
        <f ca="1">IF(LOWER(Capacity!$V110)="x",IF(AND(SUMIF(Capacity_Resource,$D205,'Critical resources (hide)'!AV$6:AV$105)+SUMIF(Capacity_Resource,$E205,'Critical resources (hide)'!AV$6:AV$105)+SUMIF(Capacity_Resource,$F205,'Critical resources (hide)'!AV$6:AV$105)&gt;0,$E$1=2),0,1),0)</f>
        <v>1</v>
      </c>
      <c r="AJ205" s="67">
        <f ca="1">IF(LOWER(Capacity!$V110)="x",IF(AND(SUMIF(Capacity_Resource,$D205,'Critical resources (hide)'!AW$6:AW$105)+SUMIF(Capacity_Resource,$E205,'Critical resources (hide)'!AW$6:AW$105)+SUMIF(Capacity_Resource,$F205,'Critical resources (hide)'!AW$6:AW$105)&gt;0,$E$1=2),0,1),0)</f>
        <v>1</v>
      </c>
      <c r="AK205" s="67">
        <f ca="1">IF(LOWER(Capacity!$V110)="x",IF(AND(SUMIF(Capacity_Resource,$D205,'Critical resources (hide)'!AX$6:AX$105)+SUMIF(Capacity_Resource,$E205,'Critical resources (hide)'!AX$6:AX$105)+SUMIF(Capacity_Resource,$F205,'Critical resources (hide)'!AX$6:AX$105)&gt;0,$E$1=2),0,1),0)</f>
        <v>1</v>
      </c>
      <c r="AL205" s="67">
        <f ca="1">IF(LOWER(Capacity!$V110)="x",IF(AND(SUMIF(Capacity_Resource,$D205,'Critical resources (hide)'!AY$6:AY$105)+SUMIF(Capacity_Resource,$E205,'Critical resources (hide)'!AY$6:AY$105)+SUMIF(Capacity_Resource,$F205,'Critical resources (hide)'!AY$6:AY$105)&gt;0,$E$1=2),0,1),0)</f>
        <v>1</v>
      </c>
      <c r="AM205" s="67">
        <f ca="1">IF(LOWER(Capacity!$V110)="x",IF(AND(SUMIF(Capacity_Resource,$D205,'Critical resources (hide)'!AZ$6:AZ$105)+SUMIF(Capacity_Resource,$E205,'Critical resources (hide)'!AZ$6:AZ$105)+SUMIF(Capacity_Resource,$F205,'Critical resources (hide)'!AZ$6:AZ$105)&gt;0,$E$1=2),0,1),0)</f>
        <v>1</v>
      </c>
      <c r="AN205" s="67">
        <f ca="1">IF(LOWER(Capacity!$V110)="x",IF(AND(SUMIF(Capacity_Resource,$D205,'Critical resources (hide)'!BA$6:BA$105)+SUMIF(Capacity_Resource,$E205,'Critical resources (hide)'!BA$6:BA$105)+SUMIF(Capacity_Resource,$F205,'Critical resources (hide)'!BA$6:BA$105)&gt;0,$E$1=2),0,1),0)</f>
        <v>1</v>
      </c>
      <c r="AO205" s="67">
        <f ca="1">IF(LOWER(Capacity!$V110)="x",IF(AND(SUMIF(Capacity_Resource,$D205,'Critical resources (hide)'!BB$6:BB$105)+SUMIF(Capacity_Resource,$E205,'Critical resources (hide)'!BB$6:BB$105)+SUMIF(Capacity_Resource,$F205,'Critical resources (hide)'!BB$6:BB$105)&gt;0,$E$1=2),0,1),0)</f>
        <v>1</v>
      </c>
      <c r="AP205" s="67">
        <f ca="1">IF(LOWER(Capacity!$V110)="x",IF(AND(SUMIF(Capacity_Resource,$D205,'Critical resources (hide)'!BC$6:BC$105)+SUMIF(Capacity_Resource,$E205,'Critical resources (hide)'!BC$6:BC$105)+SUMIF(Capacity_Resource,$F205,'Critical resources (hide)'!BC$6:BC$105)&gt;0,$E$1=2),0,1),0)</f>
        <v>1</v>
      </c>
      <c r="AQ205" s="67">
        <f ca="1">IF(LOWER(Capacity!$V110)="x",IF(AND(SUMIF(Capacity_Resource,$D205,'Critical resources (hide)'!BD$6:BD$105)+SUMIF(Capacity_Resource,$E205,'Critical resources (hide)'!BD$6:BD$105)+SUMIF(Capacity_Resource,$F205,'Critical resources (hide)'!BD$6:BD$105)&gt;0,$E$1=2),0,1),0)</f>
        <v>1</v>
      </c>
      <c r="AR205" s="67">
        <f ca="1">IF(LOWER(Capacity!$V110)="x",IF(AND(SUMIF(Capacity_Resource,$D205,'Critical resources (hide)'!BE$6:BE$105)+SUMIF(Capacity_Resource,$E205,'Critical resources (hide)'!BE$6:BE$105)+SUMIF(Capacity_Resource,$F205,'Critical resources (hide)'!BE$6:BE$105)&gt;0,$E$1=2),0,1),0)</f>
        <v>1</v>
      </c>
      <c r="AS205" s="67">
        <f ca="1">IF(LOWER(Capacity!$V110)="x",IF(AND(SUMIF(Capacity_Resource,$D205,'Critical resources (hide)'!BF$6:BF$105)+SUMIF(Capacity_Resource,$E205,'Critical resources (hide)'!BF$6:BF$105)+SUMIF(Capacity_Resource,$F205,'Critical resources (hide)'!BF$6:BF$105)&gt;0,$E$1=2),0,1),0)</f>
        <v>1</v>
      </c>
      <c r="AT205" s="67">
        <f ca="1">IF(LOWER(Capacity!$V110)="x",IF(AND(SUMIF(Capacity_Resource,$D205,'Critical resources (hide)'!BG$6:BG$105)+SUMIF(Capacity_Resource,$E205,'Critical resources (hide)'!BG$6:BG$105)+SUMIF(Capacity_Resource,$F205,'Critical resources (hide)'!BG$6:BG$105)&gt;0,$E$1=2),0,1),0)</f>
        <v>1</v>
      </c>
      <c r="AU205" s="67">
        <f ca="1">IF(LOWER(Capacity!$V110)="x",IF(AND(SUMIF(Capacity_Resource,$D205,'Critical resources (hide)'!BH$6:BH$105)+SUMIF(Capacity_Resource,$E205,'Critical resources (hide)'!BH$6:BH$105)+SUMIF(Capacity_Resource,$F205,'Critical resources (hide)'!BH$6:BH$105)&gt;0,$E$1=2),0,1),0)</f>
        <v>1</v>
      </c>
      <c r="AV205" s="67">
        <f ca="1">IF(LOWER(Capacity!$V110)="x",IF(AND(SUMIF(Capacity_Resource,$D205,'Critical resources (hide)'!BI$6:BI$105)+SUMIF(Capacity_Resource,$E205,'Critical resources (hide)'!BI$6:BI$105)+SUMIF(Capacity_Resource,$F205,'Critical resources (hide)'!BI$6:BI$105)&gt;0,$E$1=2),0,1),0)</f>
        <v>1</v>
      </c>
      <c r="AW205" s="67">
        <f ca="1">IF(LOWER(Capacity!$V110)="x",IF(AND(SUMIF(Capacity_Resource,$D205,'Critical resources (hide)'!BJ$6:BJ$105)+SUMIF(Capacity_Resource,$E205,'Critical resources (hide)'!BJ$6:BJ$105)+SUMIF(Capacity_Resource,$F205,'Critical resources (hide)'!BJ$6:BJ$105)&gt;0,$E$1=2),0,1),0)</f>
        <v>1</v>
      </c>
      <c r="AX205" s="67">
        <f ca="1">IF(LOWER(Capacity!$V110)="x",IF(AND(SUMIF(Capacity_Resource,$D205,'Critical resources (hide)'!BK$6:BK$105)+SUMIF(Capacity_Resource,$E205,'Critical resources (hide)'!BK$6:BK$105)+SUMIF(Capacity_Resource,$F205,'Critical resources (hide)'!BK$6:BK$105)&gt;0,$E$1=2),0,1),0)</f>
        <v>1</v>
      </c>
      <c r="AY205" s="67">
        <f ca="1">IF(LOWER(Capacity!$V110)="x",IF(AND(SUMIF(Capacity_Resource,$D205,'Critical resources (hide)'!BL$6:BL$105)+SUMIF(Capacity_Resource,$E205,'Critical resources (hide)'!BL$6:BL$105)+SUMIF(Capacity_Resource,$F205,'Critical resources (hide)'!BL$6:BL$105)&gt;0,$E$1=2),0,1),0)</f>
        <v>1</v>
      </c>
      <c r="AZ205" s="67">
        <f ca="1">IF(LOWER(Capacity!$V110)="x",IF(AND(SUMIF(Capacity_Resource,$D205,'Critical resources (hide)'!BM$6:BM$105)+SUMIF(Capacity_Resource,$E205,'Critical resources (hide)'!BM$6:BM$105)+SUMIF(Capacity_Resource,$F205,'Critical resources (hide)'!BM$6:BM$105)&gt;0,$E$1=2),0,1),0)</f>
        <v>1</v>
      </c>
      <c r="BA205" s="67">
        <f ca="1">IF(LOWER(Capacity!$V110)="x",IF(AND(SUMIF(Capacity_Resource,$D205,'Critical resources (hide)'!BN$6:BN$105)+SUMIF(Capacity_Resource,$E205,'Critical resources (hide)'!BN$6:BN$105)+SUMIF(Capacity_Resource,$F205,'Critical resources (hide)'!BN$6:BN$105)&gt;0,$E$1=2),0,1),0)</f>
        <v>1</v>
      </c>
      <c r="BB205" s="67">
        <f ca="1">IF(LOWER(Capacity!$V110)="x",IF(AND(SUMIF(Capacity_Resource,$D205,'Critical resources (hide)'!BO$6:BO$105)+SUMIF(Capacity_Resource,$E205,'Critical resources (hide)'!BO$6:BO$105)+SUMIF(Capacity_Resource,$F205,'Critical resources (hide)'!BO$6:BO$105)&gt;0,$E$1=2),0,1),0)</f>
        <v>1</v>
      </c>
      <c r="BC205" s="67">
        <f ca="1">IF(LOWER(Capacity!$V110)="x",IF(AND(SUMIF(Capacity_Resource,$D205,'Critical resources (hide)'!BP$6:BP$105)+SUMIF(Capacity_Resource,$E205,'Critical resources (hide)'!BP$6:BP$105)+SUMIF(Capacity_Resource,$F205,'Critical resources (hide)'!BP$6:BP$105)&gt;0,$E$1=2),0,1),0)</f>
        <v>1</v>
      </c>
      <c r="BD205" s="67">
        <f ca="1">IF(LOWER(Capacity!$V110)="x",IF(AND(SUMIF(Capacity_Resource,$D205,'Critical resources (hide)'!BQ$6:BQ$105)+SUMIF(Capacity_Resource,$E205,'Critical resources (hide)'!BQ$6:BQ$105)+SUMIF(Capacity_Resource,$F205,'Critical resources (hide)'!BQ$6:BQ$105)&gt;0,$E$1=2),0,1),0)</f>
        <v>1</v>
      </c>
      <c r="BE205" s="67">
        <f ca="1">IF(LOWER(Capacity!$V110)="x",IF(AND(SUMIF(Capacity_Resource,$D205,'Critical resources (hide)'!BR$6:BR$105)+SUMIF(Capacity_Resource,$E205,'Critical resources (hide)'!BR$6:BR$105)+SUMIF(Capacity_Resource,$F205,'Critical resources (hide)'!BR$6:BR$105)&gt;0,$E$1=2),0,1),0)</f>
        <v>1</v>
      </c>
      <c r="BF205" s="67">
        <f ca="1">IF(LOWER(Capacity!$V110)="x",IF(AND(SUMIF(Capacity_Resource,$D205,'Critical resources (hide)'!BS$6:BS$105)+SUMIF(Capacity_Resource,$E205,'Critical resources (hide)'!BS$6:BS$105)+SUMIF(Capacity_Resource,$F205,'Critical resources (hide)'!BS$6:BS$105)&gt;0,$E$1=2),0,1),0)</f>
        <v>1</v>
      </c>
      <c r="BG205" s="67">
        <f ca="1">IF(LOWER(Capacity!$V110)="x",IF(AND(SUMIF(Capacity_Resource,$D205,'Critical resources (hide)'!BT$6:BT$105)+SUMIF(Capacity_Resource,$E205,'Critical resources (hide)'!BT$6:BT$105)+SUMIF(Capacity_Resource,$F205,'Critical resources (hide)'!BT$6:BT$105)&gt;0,$E$1=2),0,1),0)</f>
        <v>1</v>
      </c>
      <c r="BH205" s="67">
        <f>IF(ROW(A94)&lt;=Capacity!$M$16,IF('Capacity summary'!$C$14="No",SUM(H205:BG205),'Capacity summary'!$E117),0)</f>
        <v>0</v>
      </c>
      <c r="BI205" s="67" t="str">
        <f>IF(BH205&gt;0,IF(BH205&lt;Capacity!Q110,Capacity!R110,Capacity!T110/'Capacity calculation (hide)'!BH205),"")</f>
        <v/>
      </c>
      <c r="BJ205" s="5"/>
      <c r="BK205" s="5">
        <f>IF($BI205&lt;&gt;"",IF('Capacity summary'!$C$14="Yes",IF(COUNTBLANK('Capacity summary'!$H117:$BG117)&lt;52,IF('Capacity summary'!H117&lt;&gt;"",IF(LOWER('Capacity summary'!H117)="x",$BI205*H205,VALUE('Capacity summary'!H117)),0),H205*$BI205),H205*$BI205),0)</f>
        <v>0</v>
      </c>
      <c r="BL205" s="5">
        <f>IF($BI205&lt;&gt;"",IF('Capacity summary'!$C$14="Yes",IF(COUNTBLANK('Capacity summary'!$H117:$BG117)&lt;52,IF('Capacity summary'!I117&lt;&gt;"",IF(LOWER('Capacity summary'!I117)="x",$BI205*I205,VALUE('Capacity summary'!I117)),0),I205*$BI205),I205*$BI205),0)</f>
        <v>0</v>
      </c>
      <c r="BM205" s="5">
        <f>IF($BI205&lt;&gt;"",IF('Capacity summary'!$C$14="Yes",IF(COUNTBLANK('Capacity summary'!$H117:$BG117)&lt;52,IF('Capacity summary'!J117&lt;&gt;"",IF(LOWER('Capacity summary'!J117)="x",$BI205*J205,VALUE('Capacity summary'!J117)),0),J205*$BI205),J205*$BI205),0)</f>
        <v>0</v>
      </c>
      <c r="BN205" s="5">
        <f>IF($BI205&lt;&gt;"",IF('Capacity summary'!$C$14="Yes",IF(COUNTBLANK('Capacity summary'!$H117:$BG117)&lt;52,IF('Capacity summary'!K117&lt;&gt;"",IF(LOWER('Capacity summary'!K117)="x",$BI205*K205,VALUE('Capacity summary'!K117)),0),K205*$BI205),K205*$BI205),0)</f>
        <v>0</v>
      </c>
      <c r="BO205" s="5">
        <f>IF($BI205&lt;&gt;"",IF('Capacity summary'!$C$14="Yes",IF(COUNTBLANK('Capacity summary'!$H117:$BG117)&lt;52,IF('Capacity summary'!L117&lt;&gt;"",IF(LOWER('Capacity summary'!L117)="x",$BI205*L205,VALUE('Capacity summary'!L117)),0),L205*$BI205),L205*$BI205),0)</f>
        <v>0</v>
      </c>
      <c r="BP205" s="5">
        <f>IF($BI205&lt;&gt;"",IF('Capacity summary'!$C$14="Yes",IF(COUNTBLANK('Capacity summary'!$H117:$BG117)&lt;52,IF('Capacity summary'!M117&lt;&gt;"",IF(LOWER('Capacity summary'!M117)="x",$BI205*M205,VALUE('Capacity summary'!M117)),0),M205*$BI205),M205*$BI205),0)</f>
        <v>0</v>
      </c>
      <c r="BQ205" s="5">
        <f>IF($BI205&lt;&gt;"",IF('Capacity summary'!$C$14="Yes",IF(COUNTBLANK('Capacity summary'!$H117:$BG117)&lt;52,IF('Capacity summary'!N117&lt;&gt;"",IF(LOWER('Capacity summary'!N117)="x",$BI205*N205,VALUE('Capacity summary'!N117)),0),N205*$BI205),N205*$BI205),0)</f>
        <v>0</v>
      </c>
      <c r="BR205" s="5">
        <f>IF($BI205&lt;&gt;"",IF('Capacity summary'!$C$14="Yes",IF(COUNTBLANK('Capacity summary'!$H117:$BG117)&lt;52,IF('Capacity summary'!O117&lt;&gt;"",IF(LOWER('Capacity summary'!O117)="x",$BI205*O205,VALUE('Capacity summary'!O117)),0),O205*$BI205),O205*$BI205),0)</f>
        <v>0</v>
      </c>
      <c r="BS205" s="5">
        <f>IF($BI205&lt;&gt;"",IF('Capacity summary'!$C$14="Yes",IF(COUNTBLANK('Capacity summary'!$H117:$BG117)&lt;52,IF('Capacity summary'!P117&lt;&gt;"",IF(LOWER('Capacity summary'!P117)="x",$BI205*P205,VALUE('Capacity summary'!P117)),0),P205*$BI205),P205*$BI205),0)</f>
        <v>0</v>
      </c>
      <c r="BT205" s="5">
        <f>IF($BI205&lt;&gt;"",IF('Capacity summary'!$C$14="Yes",IF(COUNTBLANK('Capacity summary'!$H117:$BG117)&lt;52,IF('Capacity summary'!Q117&lt;&gt;"",IF(LOWER('Capacity summary'!Q117)="x",$BI205*Q205,VALUE('Capacity summary'!Q117)),0),Q205*$BI205),Q205*$BI205),0)</f>
        <v>0</v>
      </c>
      <c r="BU205" s="5">
        <f>IF($BI205&lt;&gt;"",IF('Capacity summary'!$C$14="Yes",IF(COUNTBLANK('Capacity summary'!$H117:$BG117)&lt;52,IF('Capacity summary'!R117&lt;&gt;"",IF(LOWER('Capacity summary'!R117)="x",$BI205*R205,VALUE('Capacity summary'!R117)),0),R205*$BI205),R205*$BI205),0)</f>
        <v>0</v>
      </c>
      <c r="BV205" s="5">
        <f>IF($BI205&lt;&gt;"",IF('Capacity summary'!$C$14="Yes",IF(COUNTBLANK('Capacity summary'!$H117:$BG117)&lt;52,IF('Capacity summary'!S117&lt;&gt;"",IF(LOWER('Capacity summary'!S117)="x",$BI205*S205,VALUE('Capacity summary'!S117)),0),S205*$BI205),S205*$BI205),0)</f>
        <v>0</v>
      </c>
      <c r="BW205" s="5">
        <f>IF($BI205&lt;&gt;"",IF('Capacity summary'!$C$14="Yes",IF(COUNTBLANK('Capacity summary'!$H117:$BG117)&lt;52,IF('Capacity summary'!T117&lt;&gt;"",IF(LOWER('Capacity summary'!T117)="x",$BI205*T205,VALUE('Capacity summary'!T117)),0),T205*$BI205),T205*$BI205),0)</f>
        <v>0</v>
      </c>
      <c r="BX205" s="5">
        <f>IF($BI205&lt;&gt;"",IF('Capacity summary'!$C$14="Yes",IF(COUNTBLANK('Capacity summary'!$H117:$BG117)&lt;52,IF('Capacity summary'!U117&lt;&gt;"",IF(LOWER('Capacity summary'!U117)="x",$BI205*U205,VALUE('Capacity summary'!U117)),0),U205*$BI205),U205*$BI205),0)</f>
        <v>0</v>
      </c>
      <c r="BY205" s="5">
        <f>IF($BI205&lt;&gt;"",IF('Capacity summary'!$C$14="Yes",IF(COUNTBLANK('Capacity summary'!$H117:$BG117)&lt;52,IF('Capacity summary'!V117&lt;&gt;"",IF(LOWER('Capacity summary'!V117)="x",$BI205*V205,VALUE('Capacity summary'!V117)),0),V205*$BI205),V205*$BI205),0)</f>
        <v>0</v>
      </c>
      <c r="BZ205" s="5">
        <f>IF($BI205&lt;&gt;"",IF('Capacity summary'!$C$14="Yes",IF(COUNTBLANK('Capacity summary'!$H117:$BG117)&lt;52,IF('Capacity summary'!W117&lt;&gt;"",IF(LOWER('Capacity summary'!W117)="x",$BI205*W205,VALUE('Capacity summary'!W117)),0),W205*$BI205),W205*$BI205),0)</f>
        <v>0</v>
      </c>
      <c r="CA205" s="5">
        <f>IF($BI205&lt;&gt;"",IF('Capacity summary'!$C$14="Yes",IF(COUNTBLANK('Capacity summary'!$H117:$BG117)&lt;52,IF('Capacity summary'!X117&lt;&gt;"",IF(LOWER('Capacity summary'!X117)="x",$BI205*X205,VALUE('Capacity summary'!X117)),0),X205*$BI205),X205*$BI205),0)</f>
        <v>0</v>
      </c>
      <c r="CB205" s="5">
        <f>IF($BI205&lt;&gt;"",IF('Capacity summary'!$C$14="Yes",IF(COUNTBLANK('Capacity summary'!$H117:$BG117)&lt;52,IF('Capacity summary'!Y117&lt;&gt;"",IF(LOWER('Capacity summary'!Y117)="x",$BI205*Y205,VALUE('Capacity summary'!Y117)),0),Y205*$BI205),Y205*$BI205),0)</f>
        <v>0</v>
      </c>
      <c r="CC205" s="5">
        <f>IF($BI205&lt;&gt;"",IF('Capacity summary'!$C$14="Yes",IF(COUNTBLANK('Capacity summary'!$H117:$BG117)&lt;52,IF('Capacity summary'!Z117&lt;&gt;"",IF(LOWER('Capacity summary'!Z117)="x",$BI205*Z205,VALUE('Capacity summary'!Z117)),0),Z205*$BI205),Z205*$BI205),0)</f>
        <v>0</v>
      </c>
      <c r="CD205" s="5">
        <f>IF($BI205&lt;&gt;"",IF('Capacity summary'!$C$14="Yes",IF(COUNTBLANK('Capacity summary'!$H117:$BG117)&lt;52,IF('Capacity summary'!AA117&lt;&gt;"",IF(LOWER('Capacity summary'!AA117)="x",$BI205*AA205,VALUE('Capacity summary'!AA117)),0),AA205*$BI205),AA205*$BI205),0)</f>
        <v>0</v>
      </c>
      <c r="CE205" s="5">
        <f>IF($BI205&lt;&gt;"",IF('Capacity summary'!$C$14="Yes",IF(COUNTBLANK('Capacity summary'!$H117:$BG117)&lt;52,IF('Capacity summary'!AB117&lt;&gt;"",IF(LOWER('Capacity summary'!AB117)="x",$BI205*AB205,VALUE('Capacity summary'!AB117)),0),AB205*$BI205),AB205*$BI205),0)</f>
        <v>0</v>
      </c>
      <c r="CF205" s="5">
        <f>IF($BI205&lt;&gt;"",IF('Capacity summary'!$C$14="Yes",IF(COUNTBLANK('Capacity summary'!$H117:$BG117)&lt;52,IF('Capacity summary'!AC117&lt;&gt;"",IF(LOWER('Capacity summary'!AC117)="x",$BI205*AC205,VALUE('Capacity summary'!AC117)),0),AC205*$BI205),AC205*$BI205),0)</f>
        <v>0</v>
      </c>
      <c r="CG205" s="5">
        <f>IF($BI205&lt;&gt;"",IF('Capacity summary'!$C$14="Yes",IF(COUNTBLANK('Capacity summary'!$H117:$BG117)&lt;52,IF('Capacity summary'!AD117&lt;&gt;"",IF(LOWER('Capacity summary'!AD117)="x",$BI205*AD205,VALUE('Capacity summary'!AD117)),0),AD205*$BI205),AD205*$BI205),0)</f>
        <v>0</v>
      </c>
      <c r="CH205" s="5">
        <f>IF($BI205&lt;&gt;"",IF('Capacity summary'!$C$14="Yes",IF(COUNTBLANK('Capacity summary'!$H117:$BG117)&lt;52,IF('Capacity summary'!AE117&lt;&gt;"",IF(LOWER('Capacity summary'!AE117)="x",$BI205*AE205,VALUE('Capacity summary'!AE117)),0),AE205*$BI205),AE205*$BI205),0)</f>
        <v>0</v>
      </c>
      <c r="CI205" s="5">
        <f>IF($BI205&lt;&gt;"",IF('Capacity summary'!$C$14="Yes",IF(COUNTBLANK('Capacity summary'!$H117:$BG117)&lt;52,IF('Capacity summary'!AF117&lt;&gt;"",IF(LOWER('Capacity summary'!AF117)="x",$BI205*AF205,VALUE('Capacity summary'!AF117)),0),AF205*$BI205),AF205*$BI205),0)</f>
        <v>0</v>
      </c>
      <c r="CJ205" s="5">
        <f>IF($BI205&lt;&gt;"",IF('Capacity summary'!$C$14="Yes",IF(COUNTBLANK('Capacity summary'!$H117:$BG117)&lt;52,IF('Capacity summary'!AG117&lt;&gt;"",IF(LOWER('Capacity summary'!AG117)="x",$BI205*AG205,VALUE('Capacity summary'!AG117)),0),AG205*$BI205),AG205*$BI205),0)</f>
        <v>0</v>
      </c>
      <c r="CK205" s="5">
        <f>IF($BI205&lt;&gt;"",IF('Capacity summary'!$C$14="Yes",IF(COUNTBLANK('Capacity summary'!$H117:$BG117)&lt;52,IF('Capacity summary'!AH117&lt;&gt;"",IF(LOWER('Capacity summary'!AH117)="x",$BI205*AH205,VALUE('Capacity summary'!AH117)),0),AH205*$BI205),AH205*$BI205),0)</f>
        <v>0</v>
      </c>
      <c r="CL205" s="5">
        <f>IF($BI205&lt;&gt;"",IF('Capacity summary'!$C$14="Yes",IF(COUNTBLANK('Capacity summary'!$H117:$BG117)&lt;52,IF('Capacity summary'!AI117&lt;&gt;"",IF(LOWER('Capacity summary'!AI117)="x",$BI205*AI205,VALUE('Capacity summary'!AI117)),0),AI205*$BI205),AI205*$BI205),0)</f>
        <v>0</v>
      </c>
      <c r="CM205" s="5">
        <f>IF($BI205&lt;&gt;"",IF('Capacity summary'!$C$14="Yes",IF(COUNTBLANK('Capacity summary'!$H117:$BG117)&lt;52,IF('Capacity summary'!AJ117&lt;&gt;"",IF(LOWER('Capacity summary'!AJ117)="x",$BI205*AJ205,VALUE('Capacity summary'!AJ117)),0),AJ205*$BI205),AJ205*$BI205),0)</f>
        <v>0</v>
      </c>
      <c r="CN205" s="5">
        <f>IF($BI205&lt;&gt;"",IF('Capacity summary'!$C$14="Yes",IF(COUNTBLANK('Capacity summary'!$H117:$BG117)&lt;52,IF('Capacity summary'!AK117&lt;&gt;"",IF(LOWER('Capacity summary'!AK117)="x",$BI205*AK205,VALUE('Capacity summary'!AK117)),0),AK205*$BI205),AK205*$BI205),0)</f>
        <v>0</v>
      </c>
      <c r="CO205" s="5">
        <f>IF($BI205&lt;&gt;"",IF('Capacity summary'!$C$14="Yes",IF(COUNTBLANK('Capacity summary'!$H117:$BG117)&lt;52,IF('Capacity summary'!AL117&lt;&gt;"",IF(LOWER('Capacity summary'!AL117)="x",$BI205*AL205,VALUE('Capacity summary'!AL117)),0),AL205*$BI205),AL205*$BI205),0)</f>
        <v>0</v>
      </c>
      <c r="CP205" s="5">
        <f>IF($BI205&lt;&gt;"",IF('Capacity summary'!$C$14="Yes",IF(COUNTBLANK('Capacity summary'!$H117:$BG117)&lt;52,IF('Capacity summary'!AM117&lt;&gt;"",IF(LOWER('Capacity summary'!AM117)="x",$BI205*AM205,VALUE('Capacity summary'!AM117)),0),AM205*$BI205),AM205*$BI205),0)</f>
        <v>0</v>
      </c>
      <c r="CQ205" s="5">
        <f>IF($BI205&lt;&gt;"",IF('Capacity summary'!$C$14="Yes",IF(COUNTBLANK('Capacity summary'!$H117:$BG117)&lt;52,IF('Capacity summary'!AN117&lt;&gt;"",IF(LOWER('Capacity summary'!AN117)="x",$BI205*AN205,VALUE('Capacity summary'!AN117)),0),AN205*$BI205),AN205*$BI205),0)</f>
        <v>0</v>
      </c>
      <c r="CR205" s="5">
        <f>IF($BI205&lt;&gt;"",IF('Capacity summary'!$C$14="Yes",IF(COUNTBLANK('Capacity summary'!$H117:$BG117)&lt;52,IF('Capacity summary'!AO117&lt;&gt;"",IF(LOWER('Capacity summary'!AO117)="x",$BI205*AO205,VALUE('Capacity summary'!AO117)),0),AO205*$BI205),AO205*$BI205),0)</f>
        <v>0</v>
      </c>
      <c r="CS205" s="5">
        <f>IF($BI205&lt;&gt;"",IF('Capacity summary'!$C$14="Yes",IF(COUNTBLANK('Capacity summary'!$H117:$BG117)&lt;52,IF('Capacity summary'!AP117&lt;&gt;"",IF(LOWER('Capacity summary'!AP117)="x",$BI205*AP205,VALUE('Capacity summary'!AP117)),0),AP205*$BI205),AP205*$BI205),0)</f>
        <v>0</v>
      </c>
      <c r="CT205" s="5">
        <f>IF($BI205&lt;&gt;"",IF('Capacity summary'!$C$14="Yes",IF(COUNTBLANK('Capacity summary'!$H117:$BG117)&lt;52,IF('Capacity summary'!AQ117&lt;&gt;"",IF(LOWER('Capacity summary'!AQ117)="x",$BI205*AQ205,VALUE('Capacity summary'!AQ117)),0),AQ205*$BI205),AQ205*$BI205),0)</f>
        <v>0</v>
      </c>
      <c r="CU205" s="5">
        <f>IF($BI205&lt;&gt;"",IF('Capacity summary'!$C$14="Yes",IF(COUNTBLANK('Capacity summary'!$H117:$BG117)&lt;52,IF('Capacity summary'!AR117&lt;&gt;"",IF(LOWER('Capacity summary'!AR117)="x",$BI205*AR205,VALUE('Capacity summary'!AR117)),0),AR205*$BI205),AR205*$BI205),0)</f>
        <v>0</v>
      </c>
      <c r="CV205" s="5">
        <f>IF($BI205&lt;&gt;"",IF('Capacity summary'!$C$14="Yes",IF(COUNTBLANK('Capacity summary'!$H117:$BG117)&lt;52,IF('Capacity summary'!AS117&lt;&gt;"",IF(LOWER('Capacity summary'!AS117)="x",$BI205*AS205,VALUE('Capacity summary'!AS117)),0),AS205*$BI205),AS205*$BI205),0)</f>
        <v>0</v>
      </c>
      <c r="CW205" s="5">
        <f>IF($BI205&lt;&gt;"",IF('Capacity summary'!$C$14="Yes",IF(COUNTBLANK('Capacity summary'!$H117:$BG117)&lt;52,IF('Capacity summary'!AT117&lt;&gt;"",IF(LOWER('Capacity summary'!AT117)="x",$BI205*AT205,VALUE('Capacity summary'!AT117)),0),AT205*$BI205),AT205*$BI205),0)</f>
        <v>0</v>
      </c>
      <c r="CX205" s="5">
        <f>IF($BI205&lt;&gt;"",IF('Capacity summary'!$C$14="Yes",IF(COUNTBLANK('Capacity summary'!$H117:$BG117)&lt;52,IF('Capacity summary'!AU117&lt;&gt;"",IF(LOWER('Capacity summary'!AU117)="x",$BI205*AU205,VALUE('Capacity summary'!AU117)),0),AU205*$BI205),AU205*$BI205),0)</f>
        <v>0</v>
      </c>
      <c r="CY205" s="5">
        <f>IF($BI205&lt;&gt;"",IF('Capacity summary'!$C$14="Yes",IF(COUNTBLANK('Capacity summary'!$H117:$BG117)&lt;52,IF('Capacity summary'!AV117&lt;&gt;"",IF(LOWER('Capacity summary'!AV117)="x",$BI205*AV205,VALUE('Capacity summary'!AV117)),0),AV205*$BI205),AV205*$BI205),0)</f>
        <v>0</v>
      </c>
      <c r="CZ205" s="5">
        <f>IF($BI205&lt;&gt;"",IF('Capacity summary'!$C$14="Yes",IF(COUNTBLANK('Capacity summary'!$H117:$BG117)&lt;52,IF('Capacity summary'!AW117&lt;&gt;"",IF(LOWER('Capacity summary'!AW117)="x",$BI205*AW205,VALUE('Capacity summary'!AW117)),0),AW205*$BI205),AW205*$BI205),0)</f>
        <v>0</v>
      </c>
      <c r="DA205" s="5">
        <f>IF($BI205&lt;&gt;"",IF('Capacity summary'!$C$14="Yes",IF(COUNTBLANK('Capacity summary'!$H117:$BG117)&lt;52,IF('Capacity summary'!AX117&lt;&gt;"",IF(LOWER('Capacity summary'!AX117)="x",$BI205*AX205,VALUE('Capacity summary'!AX117)),0),AX205*$BI205),AX205*$BI205),0)</f>
        <v>0</v>
      </c>
      <c r="DB205" s="5">
        <f>IF($BI205&lt;&gt;"",IF('Capacity summary'!$C$14="Yes",IF(COUNTBLANK('Capacity summary'!$H117:$BG117)&lt;52,IF('Capacity summary'!AY117&lt;&gt;"",IF(LOWER('Capacity summary'!AY117)="x",$BI205*AY205,VALUE('Capacity summary'!AY117)),0),AY205*$BI205),AY205*$BI205),0)</f>
        <v>0</v>
      </c>
      <c r="DC205" s="5">
        <f>IF($BI205&lt;&gt;"",IF('Capacity summary'!$C$14="Yes",IF(COUNTBLANK('Capacity summary'!$H117:$BG117)&lt;52,IF('Capacity summary'!AZ117&lt;&gt;"",IF(LOWER('Capacity summary'!AZ117)="x",$BI205*AZ205,VALUE('Capacity summary'!AZ117)),0),AZ205*$BI205),AZ205*$BI205),0)</f>
        <v>0</v>
      </c>
      <c r="DD205" s="5">
        <f>IF($BI205&lt;&gt;"",IF('Capacity summary'!$C$14="Yes",IF(COUNTBLANK('Capacity summary'!$H117:$BG117)&lt;52,IF('Capacity summary'!BA117&lt;&gt;"",IF(LOWER('Capacity summary'!BA117)="x",$BI205*BA205,VALUE('Capacity summary'!BA117)),0),BA205*$BI205),BA205*$BI205),0)</f>
        <v>0</v>
      </c>
      <c r="DE205" s="5">
        <f>IF($BI205&lt;&gt;"",IF('Capacity summary'!$C$14="Yes",IF(COUNTBLANK('Capacity summary'!$H117:$BG117)&lt;52,IF('Capacity summary'!BB117&lt;&gt;"",IF(LOWER('Capacity summary'!BB117)="x",$BI205*BB205,VALUE('Capacity summary'!BB117)),0),BB205*$BI205),BB205*$BI205),0)</f>
        <v>0</v>
      </c>
      <c r="DF205" s="5">
        <f>IF($BI205&lt;&gt;"",IF('Capacity summary'!$C$14="Yes",IF(COUNTBLANK('Capacity summary'!$H117:$BG117)&lt;52,IF('Capacity summary'!BC117&lt;&gt;"",IF(LOWER('Capacity summary'!BC117)="x",$BI205*BC205,VALUE('Capacity summary'!BC117)),0),BC205*$BI205),BC205*$BI205),0)</f>
        <v>0</v>
      </c>
      <c r="DG205" s="5">
        <f>IF($BI205&lt;&gt;"",IF('Capacity summary'!$C$14="Yes",IF(COUNTBLANK('Capacity summary'!$H117:$BG117)&lt;52,IF('Capacity summary'!BD117&lt;&gt;"",IF(LOWER('Capacity summary'!BD117)="x",$BI205*BD205,VALUE('Capacity summary'!BD117)),0),BD205*$BI205),BD205*$BI205),0)</f>
        <v>0</v>
      </c>
      <c r="DH205" s="5">
        <f>IF($BI205&lt;&gt;"",IF('Capacity summary'!$C$14="Yes",IF(COUNTBLANK('Capacity summary'!$H117:$BG117)&lt;52,IF('Capacity summary'!BE117&lt;&gt;"",IF(LOWER('Capacity summary'!BE117)="x",$BI205*BE205,VALUE('Capacity summary'!BE117)),0),BE205*$BI205),BE205*$BI205),0)</f>
        <v>0</v>
      </c>
      <c r="DI205" s="5">
        <f>IF($BI205&lt;&gt;"",IF('Capacity summary'!$C$14="Yes",IF(COUNTBLANK('Capacity summary'!$H117:$BG117)&lt;52,IF('Capacity summary'!BF117&lt;&gt;"",IF(LOWER('Capacity summary'!BF117)="x",$BI205*BF205,VALUE('Capacity summary'!BF117)),0),BF205*$BI205),BF205*$BI205),0)</f>
        <v>0</v>
      </c>
      <c r="DJ205" s="5">
        <f>IF($BI205&lt;&gt;"",IF('Capacity summary'!$C$14="Yes",IF(COUNTBLANK('Capacity summary'!$H117:$BG117)&lt;52,IF('Capacity summary'!BG117&lt;&gt;"",IF(LOWER('Capacity summary'!BG117)="x",$BI205*BG205,VALUE('Capacity summary'!BG117)),0),BG205*$BI205),BG205*$BI205),0)</f>
        <v>0</v>
      </c>
      <c r="DK205" s="391">
        <f t="shared" si="10"/>
        <v>0</v>
      </c>
      <c r="DL205" s="5">
        <f t="shared" si="11"/>
        <v>0</v>
      </c>
    </row>
    <row r="206" spans="3:116" x14ac:dyDescent="0.2">
      <c r="C206" s="67" t="str">
        <f>ROW(A95)&amp;". "&amp;Capacity!N111</f>
        <v xml:space="preserve">95. </v>
      </c>
      <c r="D206" s="67">
        <f>'Capacity setup'!C212</f>
        <v>0</v>
      </c>
      <c r="E206" s="67">
        <f>'Capacity setup'!D212</f>
        <v>0</v>
      </c>
      <c r="F206" s="67">
        <f>'Capacity setup'!E212</f>
        <v>0</v>
      </c>
      <c r="H206" s="67">
        <f ca="1">IF(LOWER(Capacity!$V111)="x",IF(AND(SUMIF(Capacity_Resource,$D206,'Critical resources (hide)'!U$6:U$105)+SUMIF(Capacity_Resource,$E206,'Critical resources (hide)'!U$6:U$105)+SUMIF(Capacity_Resource,$F206,'Critical resources (hide)'!U$6:U$105)&gt;0,$E$1=2),0,1),0)</f>
        <v>1</v>
      </c>
      <c r="I206" s="67">
        <f ca="1">IF(LOWER(Capacity!$V111)="x",IF(AND(SUMIF(Capacity_Resource,$D206,'Critical resources (hide)'!V$6:V$105)+SUMIF(Capacity_Resource,$E206,'Critical resources (hide)'!V$6:V$105)+SUMIF(Capacity_Resource,$F206,'Critical resources (hide)'!V$6:V$105)&gt;0,$E$1=2),0,1),0)</f>
        <v>1</v>
      </c>
      <c r="J206" s="67">
        <f ca="1">IF(LOWER(Capacity!$V111)="x",IF(AND(SUMIF(Capacity_Resource,$D206,'Critical resources (hide)'!W$6:W$105)+SUMIF(Capacity_Resource,$E206,'Critical resources (hide)'!W$6:W$105)+SUMIF(Capacity_Resource,$F206,'Critical resources (hide)'!W$6:W$105)&gt;0,$E$1=2),0,1),0)</f>
        <v>1</v>
      </c>
      <c r="K206" s="67">
        <f ca="1">IF(LOWER(Capacity!$V111)="x",IF(AND(SUMIF(Capacity_Resource,$D206,'Critical resources (hide)'!X$6:X$105)+SUMIF(Capacity_Resource,$E206,'Critical resources (hide)'!X$6:X$105)+SUMIF(Capacity_Resource,$F206,'Critical resources (hide)'!X$6:X$105)&gt;0,$E$1=2),0,1),0)</f>
        <v>1</v>
      </c>
      <c r="L206" s="67">
        <f ca="1">IF(LOWER(Capacity!$V111)="x",IF(AND(SUMIF(Capacity_Resource,$D206,'Critical resources (hide)'!Y$6:Y$105)+SUMIF(Capacity_Resource,$E206,'Critical resources (hide)'!Y$6:Y$105)+SUMIF(Capacity_Resource,$F206,'Critical resources (hide)'!Y$6:Y$105)&gt;0,$E$1=2),0,1),0)</f>
        <v>1</v>
      </c>
      <c r="M206" s="67">
        <f ca="1">IF(LOWER(Capacity!$V111)="x",IF(AND(SUMIF(Capacity_Resource,$D206,'Critical resources (hide)'!Z$6:Z$105)+SUMIF(Capacity_Resource,$E206,'Critical resources (hide)'!Z$6:Z$105)+SUMIF(Capacity_Resource,$F206,'Critical resources (hide)'!Z$6:Z$105)&gt;0,$E$1=2),0,1),0)</f>
        <v>1</v>
      </c>
      <c r="N206" s="67">
        <f ca="1">IF(LOWER(Capacity!$V111)="x",IF(AND(SUMIF(Capacity_Resource,$D206,'Critical resources (hide)'!AA$6:AA$105)+SUMIF(Capacity_Resource,$E206,'Critical resources (hide)'!AA$6:AA$105)+SUMIF(Capacity_Resource,$F206,'Critical resources (hide)'!AA$6:AA$105)&gt;0,$E$1=2),0,1),0)</f>
        <v>1</v>
      </c>
      <c r="O206" s="67">
        <f ca="1">IF(LOWER(Capacity!$V111)="x",IF(AND(SUMIF(Capacity_Resource,$D206,'Critical resources (hide)'!AB$6:AB$105)+SUMIF(Capacity_Resource,$E206,'Critical resources (hide)'!AB$6:AB$105)+SUMIF(Capacity_Resource,$F206,'Critical resources (hide)'!AB$6:AB$105)&gt;0,$E$1=2),0,1),0)</f>
        <v>1</v>
      </c>
      <c r="P206" s="67">
        <f ca="1">IF(LOWER(Capacity!$V111)="x",IF(AND(SUMIF(Capacity_Resource,$D206,'Critical resources (hide)'!AC$6:AC$105)+SUMIF(Capacity_Resource,$E206,'Critical resources (hide)'!AC$6:AC$105)+SUMIF(Capacity_Resource,$F206,'Critical resources (hide)'!AC$6:AC$105)&gt;0,$E$1=2),0,1),0)</f>
        <v>1</v>
      </c>
      <c r="Q206" s="67">
        <f ca="1">IF(LOWER(Capacity!$V111)="x",IF(AND(SUMIF(Capacity_Resource,$D206,'Critical resources (hide)'!AD$6:AD$105)+SUMIF(Capacity_Resource,$E206,'Critical resources (hide)'!AD$6:AD$105)+SUMIF(Capacity_Resource,$F206,'Critical resources (hide)'!AD$6:AD$105)&gt;0,$E$1=2),0,1),0)</f>
        <v>1</v>
      </c>
      <c r="R206" s="67">
        <f ca="1">IF(LOWER(Capacity!$V111)="x",IF(AND(SUMIF(Capacity_Resource,$D206,'Critical resources (hide)'!AE$6:AE$105)+SUMIF(Capacity_Resource,$E206,'Critical resources (hide)'!AE$6:AE$105)+SUMIF(Capacity_Resource,$F206,'Critical resources (hide)'!AE$6:AE$105)&gt;0,$E$1=2),0,1),0)</f>
        <v>1</v>
      </c>
      <c r="S206" s="67">
        <f ca="1">IF(LOWER(Capacity!$V111)="x",IF(AND(SUMIF(Capacity_Resource,$D206,'Critical resources (hide)'!AF$6:AF$105)+SUMIF(Capacity_Resource,$E206,'Critical resources (hide)'!AF$6:AF$105)+SUMIF(Capacity_Resource,$F206,'Critical resources (hide)'!AF$6:AF$105)&gt;0,$E$1=2),0,1),0)</f>
        <v>1</v>
      </c>
      <c r="T206" s="67">
        <f ca="1">IF(LOWER(Capacity!$V111)="x",IF(AND(SUMIF(Capacity_Resource,$D206,'Critical resources (hide)'!AG$6:AG$105)+SUMIF(Capacity_Resource,$E206,'Critical resources (hide)'!AG$6:AG$105)+SUMIF(Capacity_Resource,$F206,'Critical resources (hide)'!AG$6:AG$105)&gt;0,$E$1=2),0,1),0)</f>
        <v>1</v>
      </c>
      <c r="U206" s="67">
        <f ca="1">IF(LOWER(Capacity!$V111)="x",IF(AND(SUMIF(Capacity_Resource,$D206,'Critical resources (hide)'!AH$6:AH$105)+SUMIF(Capacity_Resource,$E206,'Critical resources (hide)'!AH$6:AH$105)+SUMIF(Capacity_Resource,$F206,'Critical resources (hide)'!AH$6:AH$105)&gt;0,$E$1=2),0,1),0)</f>
        <v>1</v>
      </c>
      <c r="V206" s="67">
        <f ca="1">IF(LOWER(Capacity!$V111)="x",IF(AND(SUMIF(Capacity_Resource,$D206,'Critical resources (hide)'!AI$6:AI$105)+SUMIF(Capacity_Resource,$E206,'Critical resources (hide)'!AI$6:AI$105)+SUMIF(Capacity_Resource,$F206,'Critical resources (hide)'!AI$6:AI$105)&gt;0,$E$1=2),0,1),0)</f>
        <v>1</v>
      </c>
      <c r="W206" s="67">
        <f ca="1">IF(LOWER(Capacity!$V111)="x",IF(AND(SUMIF(Capacity_Resource,$D206,'Critical resources (hide)'!AJ$6:AJ$105)+SUMIF(Capacity_Resource,$E206,'Critical resources (hide)'!AJ$6:AJ$105)+SUMIF(Capacity_Resource,$F206,'Critical resources (hide)'!AJ$6:AJ$105)&gt;0,$E$1=2),0,1),0)</f>
        <v>1</v>
      </c>
      <c r="X206" s="67">
        <f ca="1">IF(LOWER(Capacity!$V111)="x",IF(AND(SUMIF(Capacity_Resource,$D206,'Critical resources (hide)'!AK$6:AK$105)+SUMIF(Capacity_Resource,$E206,'Critical resources (hide)'!AK$6:AK$105)+SUMIF(Capacity_Resource,$F206,'Critical resources (hide)'!AK$6:AK$105)&gt;0,$E$1=2),0,1),0)</f>
        <v>1</v>
      </c>
      <c r="Y206" s="67">
        <f ca="1">IF(LOWER(Capacity!$V111)="x",IF(AND(SUMIF(Capacity_Resource,$D206,'Critical resources (hide)'!AL$6:AL$105)+SUMIF(Capacity_Resource,$E206,'Critical resources (hide)'!AL$6:AL$105)+SUMIF(Capacity_Resource,$F206,'Critical resources (hide)'!AL$6:AL$105)&gt;0,$E$1=2),0,1),0)</f>
        <v>1</v>
      </c>
      <c r="Z206" s="67">
        <f ca="1">IF(LOWER(Capacity!$V111)="x",IF(AND(SUMIF(Capacity_Resource,$D206,'Critical resources (hide)'!AM$6:AM$105)+SUMIF(Capacity_Resource,$E206,'Critical resources (hide)'!AM$6:AM$105)+SUMIF(Capacity_Resource,$F206,'Critical resources (hide)'!AM$6:AM$105)&gt;0,$E$1=2),0,1),0)</f>
        <v>1</v>
      </c>
      <c r="AA206" s="67">
        <f ca="1">IF(LOWER(Capacity!$V111)="x",IF(AND(SUMIF(Capacity_Resource,$D206,'Critical resources (hide)'!AN$6:AN$105)+SUMIF(Capacity_Resource,$E206,'Critical resources (hide)'!AN$6:AN$105)+SUMIF(Capacity_Resource,$F206,'Critical resources (hide)'!AN$6:AN$105)&gt;0,$E$1=2),0,1),0)</f>
        <v>1</v>
      </c>
      <c r="AB206" s="67">
        <f ca="1">IF(LOWER(Capacity!$V111)="x",IF(AND(SUMIF(Capacity_Resource,$D206,'Critical resources (hide)'!AO$6:AO$105)+SUMIF(Capacity_Resource,$E206,'Critical resources (hide)'!AO$6:AO$105)+SUMIF(Capacity_Resource,$F206,'Critical resources (hide)'!AO$6:AO$105)&gt;0,$E$1=2),0,1),0)</f>
        <v>1</v>
      </c>
      <c r="AC206" s="67">
        <f ca="1">IF(LOWER(Capacity!$V111)="x",IF(AND(SUMIF(Capacity_Resource,$D206,'Critical resources (hide)'!AP$6:AP$105)+SUMIF(Capacity_Resource,$E206,'Critical resources (hide)'!AP$6:AP$105)+SUMIF(Capacity_Resource,$F206,'Critical resources (hide)'!AP$6:AP$105)&gt;0,$E$1=2),0,1),0)</f>
        <v>1</v>
      </c>
      <c r="AD206" s="67">
        <f ca="1">IF(LOWER(Capacity!$V111)="x",IF(AND(SUMIF(Capacity_Resource,$D206,'Critical resources (hide)'!AQ$6:AQ$105)+SUMIF(Capacity_Resource,$E206,'Critical resources (hide)'!AQ$6:AQ$105)+SUMIF(Capacity_Resource,$F206,'Critical resources (hide)'!AQ$6:AQ$105)&gt;0,$E$1=2),0,1),0)</f>
        <v>1</v>
      </c>
      <c r="AE206" s="67">
        <f ca="1">IF(LOWER(Capacity!$V111)="x",IF(AND(SUMIF(Capacity_Resource,$D206,'Critical resources (hide)'!AR$6:AR$105)+SUMIF(Capacity_Resource,$E206,'Critical resources (hide)'!AR$6:AR$105)+SUMIF(Capacity_Resource,$F206,'Critical resources (hide)'!AR$6:AR$105)&gt;0,$E$1=2),0,1),0)</f>
        <v>1</v>
      </c>
      <c r="AF206" s="67">
        <f ca="1">IF(LOWER(Capacity!$V111)="x",IF(AND(SUMIF(Capacity_Resource,$D206,'Critical resources (hide)'!AS$6:AS$105)+SUMIF(Capacity_Resource,$E206,'Critical resources (hide)'!AS$6:AS$105)+SUMIF(Capacity_Resource,$F206,'Critical resources (hide)'!AS$6:AS$105)&gt;0,$E$1=2),0,1),0)</f>
        <v>1</v>
      </c>
      <c r="AG206" s="67">
        <f ca="1">IF(LOWER(Capacity!$V111)="x",IF(AND(SUMIF(Capacity_Resource,$D206,'Critical resources (hide)'!AT$6:AT$105)+SUMIF(Capacity_Resource,$E206,'Critical resources (hide)'!AT$6:AT$105)+SUMIF(Capacity_Resource,$F206,'Critical resources (hide)'!AT$6:AT$105)&gt;0,$E$1=2),0,1),0)</f>
        <v>1</v>
      </c>
      <c r="AH206" s="67">
        <f ca="1">IF(LOWER(Capacity!$V111)="x",IF(AND(SUMIF(Capacity_Resource,$D206,'Critical resources (hide)'!AU$6:AU$105)+SUMIF(Capacity_Resource,$E206,'Critical resources (hide)'!AU$6:AU$105)+SUMIF(Capacity_Resource,$F206,'Critical resources (hide)'!AU$6:AU$105)&gt;0,$E$1=2),0,1),0)</f>
        <v>1</v>
      </c>
      <c r="AI206" s="67">
        <f ca="1">IF(LOWER(Capacity!$V111)="x",IF(AND(SUMIF(Capacity_Resource,$D206,'Critical resources (hide)'!AV$6:AV$105)+SUMIF(Capacity_Resource,$E206,'Critical resources (hide)'!AV$6:AV$105)+SUMIF(Capacity_Resource,$F206,'Critical resources (hide)'!AV$6:AV$105)&gt;0,$E$1=2),0,1),0)</f>
        <v>1</v>
      </c>
      <c r="AJ206" s="67">
        <f ca="1">IF(LOWER(Capacity!$V111)="x",IF(AND(SUMIF(Capacity_Resource,$D206,'Critical resources (hide)'!AW$6:AW$105)+SUMIF(Capacity_Resource,$E206,'Critical resources (hide)'!AW$6:AW$105)+SUMIF(Capacity_Resource,$F206,'Critical resources (hide)'!AW$6:AW$105)&gt;0,$E$1=2),0,1),0)</f>
        <v>1</v>
      </c>
      <c r="AK206" s="67">
        <f ca="1">IF(LOWER(Capacity!$V111)="x",IF(AND(SUMIF(Capacity_Resource,$D206,'Critical resources (hide)'!AX$6:AX$105)+SUMIF(Capacity_Resource,$E206,'Critical resources (hide)'!AX$6:AX$105)+SUMIF(Capacity_Resource,$F206,'Critical resources (hide)'!AX$6:AX$105)&gt;0,$E$1=2),0,1),0)</f>
        <v>1</v>
      </c>
      <c r="AL206" s="67">
        <f ca="1">IF(LOWER(Capacity!$V111)="x",IF(AND(SUMIF(Capacity_Resource,$D206,'Critical resources (hide)'!AY$6:AY$105)+SUMIF(Capacity_Resource,$E206,'Critical resources (hide)'!AY$6:AY$105)+SUMIF(Capacity_Resource,$F206,'Critical resources (hide)'!AY$6:AY$105)&gt;0,$E$1=2),0,1),0)</f>
        <v>1</v>
      </c>
      <c r="AM206" s="67">
        <f ca="1">IF(LOWER(Capacity!$V111)="x",IF(AND(SUMIF(Capacity_Resource,$D206,'Critical resources (hide)'!AZ$6:AZ$105)+SUMIF(Capacity_Resource,$E206,'Critical resources (hide)'!AZ$6:AZ$105)+SUMIF(Capacity_Resource,$F206,'Critical resources (hide)'!AZ$6:AZ$105)&gt;0,$E$1=2),0,1),0)</f>
        <v>1</v>
      </c>
      <c r="AN206" s="67">
        <f ca="1">IF(LOWER(Capacity!$V111)="x",IF(AND(SUMIF(Capacity_Resource,$D206,'Critical resources (hide)'!BA$6:BA$105)+SUMIF(Capacity_Resource,$E206,'Critical resources (hide)'!BA$6:BA$105)+SUMIF(Capacity_Resource,$F206,'Critical resources (hide)'!BA$6:BA$105)&gt;0,$E$1=2),0,1),0)</f>
        <v>1</v>
      </c>
      <c r="AO206" s="67">
        <f ca="1">IF(LOWER(Capacity!$V111)="x",IF(AND(SUMIF(Capacity_Resource,$D206,'Critical resources (hide)'!BB$6:BB$105)+SUMIF(Capacity_Resource,$E206,'Critical resources (hide)'!BB$6:BB$105)+SUMIF(Capacity_Resource,$F206,'Critical resources (hide)'!BB$6:BB$105)&gt;0,$E$1=2),0,1),0)</f>
        <v>1</v>
      </c>
      <c r="AP206" s="67">
        <f ca="1">IF(LOWER(Capacity!$V111)="x",IF(AND(SUMIF(Capacity_Resource,$D206,'Critical resources (hide)'!BC$6:BC$105)+SUMIF(Capacity_Resource,$E206,'Critical resources (hide)'!BC$6:BC$105)+SUMIF(Capacity_Resource,$F206,'Critical resources (hide)'!BC$6:BC$105)&gt;0,$E$1=2),0,1),0)</f>
        <v>1</v>
      </c>
      <c r="AQ206" s="67">
        <f ca="1">IF(LOWER(Capacity!$V111)="x",IF(AND(SUMIF(Capacity_Resource,$D206,'Critical resources (hide)'!BD$6:BD$105)+SUMIF(Capacity_Resource,$E206,'Critical resources (hide)'!BD$6:BD$105)+SUMIF(Capacity_Resource,$F206,'Critical resources (hide)'!BD$6:BD$105)&gt;0,$E$1=2),0,1),0)</f>
        <v>1</v>
      </c>
      <c r="AR206" s="67">
        <f ca="1">IF(LOWER(Capacity!$V111)="x",IF(AND(SUMIF(Capacity_Resource,$D206,'Critical resources (hide)'!BE$6:BE$105)+SUMIF(Capacity_Resource,$E206,'Critical resources (hide)'!BE$6:BE$105)+SUMIF(Capacity_Resource,$F206,'Critical resources (hide)'!BE$6:BE$105)&gt;0,$E$1=2),0,1),0)</f>
        <v>1</v>
      </c>
      <c r="AS206" s="67">
        <f ca="1">IF(LOWER(Capacity!$V111)="x",IF(AND(SUMIF(Capacity_Resource,$D206,'Critical resources (hide)'!BF$6:BF$105)+SUMIF(Capacity_Resource,$E206,'Critical resources (hide)'!BF$6:BF$105)+SUMIF(Capacity_Resource,$F206,'Critical resources (hide)'!BF$6:BF$105)&gt;0,$E$1=2),0,1),0)</f>
        <v>1</v>
      </c>
      <c r="AT206" s="67">
        <f ca="1">IF(LOWER(Capacity!$V111)="x",IF(AND(SUMIF(Capacity_Resource,$D206,'Critical resources (hide)'!BG$6:BG$105)+SUMIF(Capacity_Resource,$E206,'Critical resources (hide)'!BG$6:BG$105)+SUMIF(Capacity_Resource,$F206,'Critical resources (hide)'!BG$6:BG$105)&gt;0,$E$1=2),0,1),0)</f>
        <v>1</v>
      </c>
      <c r="AU206" s="67">
        <f ca="1">IF(LOWER(Capacity!$V111)="x",IF(AND(SUMIF(Capacity_Resource,$D206,'Critical resources (hide)'!BH$6:BH$105)+SUMIF(Capacity_Resource,$E206,'Critical resources (hide)'!BH$6:BH$105)+SUMIF(Capacity_Resource,$F206,'Critical resources (hide)'!BH$6:BH$105)&gt;0,$E$1=2),0,1),0)</f>
        <v>1</v>
      </c>
      <c r="AV206" s="67">
        <f ca="1">IF(LOWER(Capacity!$V111)="x",IF(AND(SUMIF(Capacity_Resource,$D206,'Critical resources (hide)'!BI$6:BI$105)+SUMIF(Capacity_Resource,$E206,'Critical resources (hide)'!BI$6:BI$105)+SUMIF(Capacity_Resource,$F206,'Critical resources (hide)'!BI$6:BI$105)&gt;0,$E$1=2),0,1),0)</f>
        <v>1</v>
      </c>
      <c r="AW206" s="67">
        <f ca="1">IF(LOWER(Capacity!$V111)="x",IF(AND(SUMIF(Capacity_Resource,$D206,'Critical resources (hide)'!BJ$6:BJ$105)+SUMIF(Capacity_Resource,$E206,'Critical resources (hide)'!BJ$6:BJ$105)+SUMIF(Capacity_Resource,$F206,'Critical resources (hide)'!BJ$6:BJ$105)&gt;0,$E$1=2),0,1),0)</f>
        <v>1</v>
      </c>
      <c r="AX206" s="67">
        <f ca="1">IF(LOWER(Capacity!$V111)="x",IF(AND(SUMIF(Capacity_Resource,$D206,'Critical resources (hide)'!BK$6:BK$105)+SUMIF(Capacity_Resource,$E206,'Critical resources (hide)'!BK$6:BK$105)+SUMIF(Capacity_Resource,$F206,'Critical resources (hide)'!BK$6:BK$105)&gt;0,$E$1=2),0,1),0)</f>
        <v>1</v>
      </c>
      <c r="AY206" s="67">
        <f ca="1">IF(LOWER(Capacity!$V111)="x",IF(AND(SUMIF(Capacity_Resource,$D206,'Critical resources (hide)'!BL$6:BL$105)+SUMIF(Capacity_Resource,$E206,'Critical resources (hide)'!BL$6:BL$105)+SUMIF(Capacity_Resource,$F206,'Critical resources (hide)'!BL$6:BL$105)&gt;0,$E$1=2),0,1),0)</f>
        <v>1</v>
      </c>
      <c r="AZ206" s="67">
        <f ca="1">IF(LOWER(Capacity!$V111)="x",IF(AND(SUMIF(Capacity_Resource,$D206,'Critical resources (hide)'!BM$6:BM$105)+SUMIF(Capacity_Resource,$E206,'Critical resources (hide)'!BM$6:BM$105)+SUMIF(Capacity_Resource,$F206,'Critical resources (hide)'!BM$6:BM$105)&gt;0,$E$1=2),0,1),0)</f>
        <v>1</v>
      </c>
      <c r="BA206" s="67">
        <f ca="1">IF(LOWER(Capacity!$V111)="x",IF(AND(SUMIF(Capacity_Resource,$D206,'Critical resources (hide)'!BN$6:BN$105)+SUMIF(Capacity_Resource,$E206,'Critical resources (hide)'!BN$6:BN$105)+SUMIF(Capacity_Resource,$F206,'Critical resources (hide)'!BN$6:BN$105)&gt;0,$E$1=2),0,1),0)</f>
        <v>1</v>
      </c>
      <c r="BB206" s="67">
        <f ca="1">IF(LOWER(Capacity!$V111)="x",IF(AND(SUMIF(Capacity_Resource,$D206,'Critical resources (hide)'!BO$6:BO$105)+SUMIF(Capacity_Resource,$E206,'Critical resources (hide)'!BO$6:BO$105)+SUMIF(Capacity_Resource,$F206,'Critical resources (hide)'!BO$6:BO$105)&gt;0,$E$1=2),0,1),0)</f>
        <v>1</v>
      </c>
      <c r="BC206" s="67">
        <f ca="1">IF(LOWER(Capacity!$V111)="x",IF(AND(SUMIF(Capacity_Resource,$D206,'Critical resources (hide)'!BP$6:BP$105)+SUMIF(Capacity_Resource,$E206,'Critical resources (hide)'!BP$6:BP$105)+SUMIF(Capacity_Resource,$F206,'Critical resources (hide)'!BP$6:BP$105)&gt;0,$E$1=2),0,1),0)</f>
        <v>1</v>
      </c>
      <c r="BD206" s="67">
        <f ca="1">IF(LOWER(Capacity!$V111)="x",IF(AND(SUMIF(Capacity_Resource,$D206,'Critical resources (hide)'!BQ$6:BQ$105)+SUMIF(Capacity_Resource,$E206,'Critical resources (hide)'!BQ$6:BQ$105)+SUMIF(Capacity_Resource,$F206,'Critical resources (hide)'!BQ$6:BQ$105)&gt;0,$E$1=2),0,1),0)</f>
        <v>1</v>
      </c>
      <c r="BE206" s="67">
        <f ca="1">IF(LOWER(Capacity!$V111)="x",IF(AND(SUMIF(Capacity_Resource,$D206,'Critical resources (hide)'!BR$6:BR$105)+SUMIF(Capacity_Resource,$E206,'Critical resources (hide)'!BR$6:BR$105)+SUMIF(Capacity_Resource,$F206,'Critical resources (hide)'!BR$6:BR$105)&gt;0,$E$1=2),0,1),0)</f>
        <v>1</v>
      </c>
      <c r="BF206" s="67">
        <f ca="1">IF(LOWER(Capacity!$V111)="x",IF(AND(SUMIF(Capacity_Resource,$D206,'Critical resources (hide)'!BS$6:BS$105)+SUMIF(Capacity_Resource,$E206,'Critical resources (hide)'!BS$6:BS$105)+SUMIF(Capacity_Resource,$F206,'Critical resources (hide)'!BS$6:BS$105)&gt;0,$E$1=2),0,1),0)</f>
        <v>1</v>
      </c>
      <c r="BG206" s="67">
        <f ca="1">IF(LOWER(Capacity!$V111)="x",IF(AND(SUMIF(Capacity_Resource,$D206,'Critical resources (hide)'!BT$6:BT$105)+SUMIF(Capacity_Resource,$E206,'Critical resources (hide)'!BT$6:BT$105)+SUMIF(Capacity_Resource,$F206,'Critical resources (hide)'!BT$6:BT$105)&gt;0,$E$1=2),0,1),0)</f>
        <v>1</v>
      </c>
      <c r="BH206" s="67">
        <f>IF(ROW(A95)&lt;=Capacity!$M$16,IF('Capacity summary'!$C$14="No",SUM(H206:BG206),'Capacity summary'!$E118),0)</f>
        <v>0</v>
      </c>
      <c r="BI206" s="67" t="str">
        <f>IF(BH206&gt;0,IF(BH206&lt;Capacity!Q111,Capacity!R111,Capacity!T111/'Capacity calculation (hide)'!BH206),"")</f>
        <v/>
      </c>
      <c r="BJ206" s="5"/>
      <c r="BK206" s="5">
        <f>IF($BI206&lt;&gt;"",IF('Capacity summary'!$C$14="Yes",IF(COUNTBLANK('Capacity summary'!$H118:$BG118)&lt;52,IF('Capacity summary'!H118&lt;&gt;"",IF(LOWER('Capacity summary'!H118)="x",$BI206*H206,VALUE('Capacity summary'!H118)),0),H206*$BI206),H206*$BI206),0)</f>
        <v>0</v>
      </c>
      <c r="BL206" s="5">
        <f>IF($BI206&lt;&gt;"",IF('Capacity summary'!$C$14="Yes",IF(COUNTBLANK('Capacity summary'!$H118:$BG118)&lt;52,IF('Capacity summary'!I118&lt;&gt;"",IF(LOWER('Capacity summary'!I118)="x",$BI206*I206,VALUE('Capacity summary'!I118)),0),I206*$BI206),I206*$BI206),0)</f>
        <v>0</v>
      </c>
      <c r="BM206" s="5">
        <f>IF($BI206&lt;&gt;"",IF('Capacity summary'!$C$14="Yes",IF(COUNTBLANK('Capacity summary'!$H118:$BG118)&lt;52,IF('Capacity summary'!J118&lt;&gt;"",IF(LOWER('Capacity summary'!J118)="x",$BI206*J206,VALUE('Capacity summary'!J118)),0),J206*$BI206),J206*$BI206),0)</f>
        <v>0</v>
      </c>
      <c r="BN206" s="5">
        <f>IF($BI206&lt;&gt;"",IF('Capacity summary'!$C$14="Yes",IF(COUNTBLANK('Capacity summary'!$H118:$BG118)&lt;52,IF('Capacity summary'!K118&lt;&gt;"",IF(LOWER('Capacity summary'!K118)="x",$BI206*K206,VALUE('Capacity summary'!K118)),0),K206*$BI206),K206*$BI206),0)</f>
        <v>0</v>
      </c>
      <c r="BO206" s="5">
        <f>IF($BI206&lt;&gt;"",IF('Capacity summary'!$C$14="Yes",IF(COUNTBLANK('Capacity summary'!$H118:$BG118)&lt;52,IF('Capacity summary'!L118&lt;&gt;"",IF(LOWER('Capacity summary'!L118)="x",$BI206*L206,VALUE('Capacity summary'!L118)),0),L206*$BI206),L206*$BI206),0)</f>
        <v>0</v>
      </c>
      <c r="BP206" s="5">
        <f>IF($BI206&lt;&gt;"",IF('Capacity summary'!$C$14="Yes",IF(COUNTBLANK('Capacity summary'!$H118:$BG118)&lt;52,IF('Capacity summary'!M118&lt;&gt;"",IF(LOWER('Capacity summary'!M118)="x",$BI206*M206,VALUE('Capacity summary'!M118)),0),M206*$BI206),M206*$BI206),0)</f>
        <v>0</v>
      </c>
      <c r="BQ206" s="5">
        <f>IF($BI206&lt;&gt;"",IF('Capacity summary'!$C$14="Yes",IF(COUNTBLANK('Capacity summary'!$H118:$BG118)&lt;52,IF('Capacity summary'!N118&lt;&gt;"",IF(LOWER('Capacity summary'!N118)="x",$BI206*N206,VALUE('Capacity summary'!N118)),0),N206*$BI206),N206*$BI206),0)</f>
        <v>0</v>
      </c>
      <c r="BR206" s="5">
        <f>IF($BI206&lt;&gt;"",IF('Capacity summary'!$C$14="Yes",IF(COUNTBLANK('Capacity summary'!$H118:$BG118)&lt;52,IF('Capacity summary'!O118&lt;&gt;"",IF(LOWER('Capacity summary'!O118)="x",$BI206*O206,VALUE('Capacity summary'!O118)),0),O206*$BI206),O206*$BI206),0)</f>
        <v>0</v>
      </c>
      <c r="BS206" s="5">
        <f>IF($BI206&lt;&gt;"",IF('Capacity summary'!$C$14="Yes",IF(COUNTBLANK('Capacity summary'!$H118:$BG118)&lt;52,IF('Capacity summary'!P118&lt;&gt;"",IF(LOWER('Capacity summary'!P118)="x",$BI206*P206,VALUE('Capacity summary'!P118)),0),P206*$BI206),P206*$BI206),0)</f>
        <v>0</v>
      </c>
      <c r="BT206" s="5">
        <f>IF($BI206&lt;&gt;"",IF('Capacity summary'!$C$14="Yes",IF(COUNTBLANK('Capacity summary'!$H118:$BG118)&lt;52,IF('Capacity summary'!Q118&lt;&gt;"",IF(LOWER('Capacity summary'!Q118)="x",$BI206*Q206,VALUE('Capacity summary'!Q118)),0),Q206*$BI206),Q206*$BI206),0)</f>
        <v>0</v>
      </c>
      <c r="BU206" s="5">
        <f>IF($BI206&lt;&gt;"",IF('Capacity summary'!$C$14="Yes",IF(COUNTBLANK('Capacity summary'!$H118:$BG118)&lt;52,IF('Capacity summary'!R118&lt;&gt;"",IF(LOWER('Capacity summary'!R118)="x",$BI206*R206,VALUE('Capacity summary'!R118)),0),R206*$BI206),R206*$BI206),0)</f>
        <v>0</v>
      </c>
      <c r="BV206" s="5">
        <f>IF($BI206&lt;&gt;"",IF('Capacity summary'!$C$14="Yes",IF(COUNTBLANK('Capacity summary'!$H118:$BG118)&lt;52,IF('Capacity summary'!S118&lt;&gt;"",IF(LOWER('Capacity summary'!S118)="x",$BI206*S206,VALUE('Capacity summary'!S118)),0),S206*$BI206),S206*$BI206),0)</f>
        <v>0</v>
      </c>
      <c r="BW206" s="5">
        <f>IF($BI206&lt;&gt;"",IF('Capacity summary'!$C$14="Yes",IF(COUNTBLANK('Capacity summary'!$H118:$BG118)&lt;52,IF('Capacity summary'!T118&lt;&gt;"",IF(LOWER('Capacity summary'!T118)="x",$BI206*T206,VALUE('Capacity summary'!T118)),0),T206*$BI206),T206*$BI206),0)</f>
        <v>0</v>
      </c>
      <c r="BX206" s="5">
        <f>IF($BI206&lt;&gt;"",IF('Capacity summary'!$C$14="Yes",IF(COUNTBLANK('Capacity summary'!$H118:$BG118)&lt;52,IF('Capacity summary'!U118&lt;&gt;"",IF(LOWER('Capacity summary'!U118)="x",$BI206*U206,VALUE('Capacity summary'!U118)),0),U206*$BI206),U206*$BI206),0)</f>
        <v>0</v>
      </c>
      <c r="BY206" s="5">
        <f>IF($BI206&lt;&gt;"",IF('Capacity summary'!$C$14="Yes",IF(COUNTBLANK('Capacity summary'!$H118:$BG118)&lt;52,IF('Capacity summary'!V118&lt;&gt;"",IF(LOWER('Capacity summary'!V118)="x",$BI206*V206,VALUE('Capacity summary'!V118)),0),V206*$BI206),V206*$BI206),0)</f>
        <v>0</v>
      </c>
      <c r="BZ206" s="5">
        <f>IF($BI206&lt;&gt;"",IF('Capacity summary'!$C$14="Yes",IF(COUNTBLANK('Capacity summary'!$H118:$BG118)&lt;52,IF('Capacity summary'!W118&lt;&gt;"",IF(LOWER('Capacity summary'!W118)="x",$BI206*W206,VALUE('Capacity summary'!W118)),0),W206*$BI206),W206*$BI206),0)</f>
        <v>0</v>
      </c>
      <c r="CA206" s="5">
        <f>IF($BI206&lt;&gt;"",IF('Capacity summary'!$C$14="Yes",IF(COUNTBLANK('Capacity summary'!$H118:$BG118)&lt;52,IF('Capacity summary'!X118&lt;&gt;"",IF(LOWER('Capacity summary'!X118)="x",$BI206*X206,VALUE('Capacity summary'!X118)),0),X206*$BI206),X206*$BI206),0)</f>
        <v>0</v>
      </c>
      <c r="CB206" s="5">
        <f>IF($BI206&lt;&gt;"",IF('Capacity summary'!$C$14="Yes",IF(COUNTBLANK('Capacity summary'!$H118:$BG118)&lt;52,IF('Capacity summary'!Y118&lt;&gt;"",IF(LOWER('Capacity summary'!Y118)="x",$BI206*Y206,VALUE('Capacity summary'!Y118)),0),Y206*$BI206),Y206*$BI206),0)</f>
        <v>0</v>
      </c>
      <c r="CC206" s="5">
        <f>IF($BI206&lt;&gt;"",IF('Capacity summary'!$C$14="Yes",IF(COUNTBLANK('Capacity summary'!$H118:$BG118)&lt;52,IF('Capacity summary'!Z118&lt;&gt;"",IF(LOWER('Capacity summary'!Z118)="x",$BI206*Z206,VALUE('Capacity summary'!Z118)),0),Z206*$BI206),Z206*$BI206),0)</f>
        <v>0</v>
      </c>
      <c r="CD206" s="5">
        <f>IF($BI206&lt;&gt;"",IF('Capacity summary'!$C$14="Yes",IF(COUNTBLANK('Capacity summary'!$H118:$BG118)&lt;52,IF('Capacity summary'!AA118&lt;&gt;"",IF(LOWER('Capacity summary'!AA118)="x",$BI206*AA206,VALUE('Capacity summary'!AA118)),0),AA206*$BI206),AA206*$BI206),0)</f>
        <v>0</v>
      </c>
      <c r="CE206" s="5">
        <f>IF($BI206&lt;&gt;"",IF('Capacity summary'!$C$14="Yes",IF(COUNTBLANK('Capacity summary'!$H118:$BG118)&lt;52,IF('Capacity summary'!AB118&lt;&gt;"",IF(LOWER('Capacity summary'!AB118)="x",$BI206*AB206,VALUE('Capacity summary'!AB118)),0),AB206*$BI206),AB206*$BI206),0)</f>
        <v>0</v>
      </c>
      <c r="CF206" s="5">
        <f>IF($BI206&lt;&gt;"",IF('Capacity summary'!$C$14="Yes",IF(COUNTBLANK('Capacity summary'!$H118:$BG118)&lt;52,IF('Capacity summary'!AC118&lt;&gt;"",IF(LOWER('Capacity summary'!AC118)="x",$BI206*AC206,VALUE('Capacity summary'!AC118)),0),AC206*$BI206),AC206*$BI206),0)</f>
        <v>0</v>
      </c>
      <c r="CG206" s="5">
        <f>IF($BI206&lt;&gt;"",IF('Capacity summary'!$C$14="Yes",IF(COUNTBLANK('Capacity summary'!$H118:$BG118)&lt;52,IF('Capacity summary'!AD118&lt;&gt;"",IF(LOWER('Capacity summary'!AD118)="x",$BI206*AD206,VALUE('Capacity summary'!AD118)),0),AD206*$BI206),AD206*$BI206),0)</f>
        <v>0</v>
      </c>
      <c r="CH206" s="5">
        <f>IF($BI206&lt;&gt;"",IF('Capacity summary'!$C$14="Yes",IF(COUNTBLANK('Capacity summary'!$H118:$BG118)&lt;52,IF('Capacity summary'!AE118&lt;&gt;"",IF(LOWER('Capacity summary'!AE118)="x",$BI206*AE206,VALUE('Capacity summary'!AE118)),0),AE206*$BI206),AE206*$BI206),0)</f>
        <v>0</v>
      </c>
      <c r="CI206" s="5">
        <f>IF($BI206&lt;&gt;"",IF('Capacity summary'!$C$14="Yes",IF(COUNTBLANK('Capacity summary'!$H118:$BG118)&lt;52,IF('Capacity summary'!AF118&lt;&gt;"",IF(LOWER('Capacity summary'!AF118)="x",$BI206*AF206,VALUE('Capacity summary'!AF118)),0),AF206*$BI206),AF206*$BI206),0)</f>
        <v>0</v>
      </c>
      <c r="CJ206" s="5">
        <f>IF($BI206&lt;&gt;"",IF('Capacity summary'!$C$14="Yes",IF(COUNTBLANK('Capacity summary'!$H118:$BG118)&lt;52,IF('Capacity summary'!AG118&lt;&gt;"",IF(LOWER('Capacity summary'!AG118)="x",$BI206*AG206,VALUE('Capacity summary'!AG118)),0),AG206*$BI206),AG206*$BI206),0)</f>
        <v>0</v>
      </c>
      <c r="CK206" s="5">
        <f>IF($BI206&lt;&gt;"",IF('Capacity summary'!$C$14="Yes",IF(COUNTBLANK('Capacity summary'!$H118:$BG118)&lt;52,IF('Capacity summary'!AH118&lt;&gt;"",IF(LOWER('Capacity summary'!AH118)="x",$BI206*AH206,VALUE('Capacity summary'!AH118)),0),AH206*$BI206),AH206*$BI206),0)</f>
        <v>0</v>
      </c>
      <c r="CL206" s="5">
        <f>IF($BI206&lt;&gt;"",IF('Capacity summary'!$C$14="Yes",IF(COUNTBLANK('Capacity summary'!$H118:$BG118)&lt;52,IF('Capacity summary'!AI118&lt;&gt;"",IF(LOWER('Capacity summary'!AI118)="x",$BI206*AI206,VALUE('Capacity summary'!AI118)),0),AI206*$BI206),AI206*$BI206),0)</f>
        <v>0</v>
      </c>
      <c r="CM206" s="5">
        <f>IF($BI206&lt;&gt;"",IF('Capacity summary'!$C$14="Yes",IF(COUNTBLANK('Capacity summary'!$H118:$BG118)&lt;52,IF('Capacity summary'!AJ118&lt;&gt;"",IF(LOWER('Capacity summary'!AJ118)="x",$BI206*AJ206,VALUE('Capacity summary'!AJ118)),0),AJ206*$BI206),AJ206*$BI206),0)</f>
        <v>0</v>
      </c>
      <c r="CN206" s="5">
        <f>IF($BI206&lt;&gt;"",IF('Capacity summary'!$C$14="Yes",IF(COUNTBLANK('Capacity summary'!$H118:$BG118)&lt;52,IF('Capacity summary'!AK118&lt;&gt;"",IF(LOWER('Capacity summary'!AK118)="x",$BI206*AK206,VALUE('Capacity summary'!AK118)),0),AK206*$BI206),AK206*$BI206),0)</f>
        <v>0</v>
      </c>
      <c r="CO206" s="5">
        <f>IF($BI206&lt;&gt;"",IF('Capacity summary'!$C$14="Yes",IF(COUNTBLANK('Capacity summary'!$H118:$BG118)&lt;52,IF('Capacity summary'!AL118&lt;&gt;"",IF(LOWER('Capacity summary'!AL118)="x",$BI206*AL206,VALUE('Capacity summary'!AL118)),0),AL206*$BI206),AL206*$BI206),0)</f>
        <v>0</v>
      </c>
      <c r="CP206" s="5">
        <f>IF($BI206&lt;&gt;"",IF('Capacity summary'!$C$14="Yes",IF(COUNTBLANK('Capacity summary'!$H118:$BG118)&lt;52,IF('Capacity summary'!AM118&lt;&gt;"",IF(LOWER('Capacity summary'!AM118)="x",$BI206*AM206,VALUE('Capacity summary'!AM118)),0),AM206*$BI206),AM206*$BI206),0)</f>
        <v>0</v>
      </c>
      <c r="CQ206" s="5">
        <f>IF($BI206&lt;&gt;"",IF('Capacity summary'!$C$14="Yes",IF(COUNTBLANK('Capacity summary'!$H118:$BG118)&lt;52,IF('Capacity summary'!AN118&lt;&gt;"",IF(LOWER('Capacity summary'!AN118)="x",$BI206*AN206,VALUE('Capacity summary'!AN118)),0),AN206*$BI206),AN206*$BI206),0)</f>
        <v>0</v>
      </c>
      <c r="CR206" s="5">
        <f>IF($BI206&lt;&gt;"",IF('Capacity summary'!$C$14="Yes",IF(COUNTBLANK('Capacity summary'!$H118:$BG118)&lt;52,IF('Capacity summary'!AO118&lt;&gt;"",IF(LOWER('Capacity summary'!AO118)="x",$BI206*AO206,VALUE('Capacity summary'!AO118)),0),AO206*$BI206),AO206*$BI206),0)</f>
        <v>0</v>
      </c>
      <c r="CS206" s="5">
        <f>IF($BI206&lt;&gt;"",IF('Capacity summary'!$C$14="Yes",IF(COUNTBLANK('Capacity summary'!$H118:$BG118)&lt;52,IF('Capacity summary'!AP118&lt;&gt;"",IF(LOWER('Capacity summary'!AP118)="x",$BI206*AP206,VALUE('Capacity summary'!AP118)),0),AP206*$BI206),AP206*$BI206),0)</f>
        <v>0</v>
      </c>
      <c r="CT206" s="5">
        <f>IF($BI206&lt;&gt;"",IF('Capacity summary'!$C$14="Yes",IF(COUNTBLANK('Capacity summary'!$H118:$BG118)&lt;52,IF('Capacity summary'!AQ118&lt;&gt;"",IF(LOWER('Capacity summary'!AQ118)="x",$BI206*AQ206,VALUE('Capacity summary'!AQ118)),0),AQ206*$BI206),AQ206*$BI206),0)</f>
        <v>0</v>
      </c>
      <c r="CU206" s="5">
        <f>IF($BI206&lt;&gt;"",IF('Capacity summary'!$C$14="Yes",IF(COUNTBLANK('Capacity summary'!$H118:$BG118)&lt;52,IF('Capacity summary'!AR118&lt;&gt;"",IF(LOWER('Capacity summary'!AR118)="x",$BI206*AR206,VALUE('Capacity summary'!AR118)),0),AR206*$BI206),AR206*$BI206),0)</f>
        <v>0</v>
      </c>
      <c r="CV206" s="5">
        <f>IF($BI206&lt;&gt;"",IF('Capacity summary'!$C$14="Yes",IF(COUNTBLANK('Capacity summary'!$H118:$BG118)&lt;52,IF('Capacity summary'!AS118&lt;&gt;"",IF(LOWER('Capacity summary'!AS118)="x",$BI206*AS206,VALUE('Capacity summary'!AS118)),0),AS206*$BI206),AS206*$BI206),0)</f>
        <v>0</v>
      </c>
      <c r="CW206" s="5">
        <f>IF($BI206&lt;&gt;"",IF('Capacity summary'!$C$14="Yes",IF(COUNTBLANK('Capacity summary'!$H118:$BG118)&lt;52,IF('Capacity summary'!AT118&lt;&gt;"",IF(LOWER('Capacity summary'!AT118)="x",$BI206*AT206,VALUE('Capacity summary'!AT118)),0),AT206*$BI206),AT206*$BI206),0)</f>
        <v>0</v>
      </c>
      <c r="CX206" s="5">
        <f>IF($BI206&lt;&gt;"",IF('Capacity summary'!$C$14="Yes",IF(COUNTBLANK('Capacity summary'!$H118:$BG118)&lt;52,IF('Capacity summary'!AU118&lt;&gt;"",IF(LOWER('Capacity summary'!AU118)="x",$BI206*AU206,VALUE('Capacity summary'!AU118)),0),AU206*$BI206),AU206*$BI206),0)</f>
        <v>0</v>
      </c>
      <c r="CY206" s="5">
        <f>IF($BI206&lt;&gt;"",IF('Capacity summary'!$C$14="Yes",IF(COUNTBLANK('Capacity summary'!$H118:$BG118)&lt;52,IF('Capacity summary'!AV118&lt;&gt;"",IF(LOWER('Capacity summary'!AV118)="x",$BI206*AV206,VALUE('Capacity summary'!AV118)),0),AV206*$BI206),AV206*$BI206),0)</f>
        <v>0</v>
      </c>
      <c r="CZ206" s="5">
        <f>IF($BI206&lt;&gt;"",IF('Capacity summary'!$C$14="Yes",IF(COUNTBLANK('Capacity summary'!$H118:$BG118)&lt;52,IF('Capacity summary'!AW118&lt;&gt;"",IF(LOWER('Capacity summary'!AW118)="x",$BI206*AW206,VALUE('Capacity summary'!AW118)),0),AW206*$BI206),AW206*$BI206),0)</f>
        <v>0</v>
      </c>
      <c r="DA206" s="5">
        <f>IF($BI206&lt;&gt;"",IF('Capacity summary'!$C$14="Yes",IF(COUNTBLANK('Capacity summary'!$H118:$BG118)&lt;52,IF('Capacity summary'!AX118&lt;&gt;"",IF(LOWER('Capacity summary'!AX118)="x",$BI206*AX206,VALUE('Capacity summary'!AX118)),0),AX206*$BI206),AX206*$BI206),0)</f>
        <v>0</v>
      </c>
      <c r="DB206" s="5">
        <f>IF($BI206&lt;&gt;"",IF('Capacity summary'!$C$14="Yes",IF(COUNTBLANK('Capacity summary'!$H118:$BG118)&lt;52,IF('Capacity summary'!AY118&lt;&gt;"",IF(LOWER('Capacity summary'!AY118)="x",$BI206*AY206,VALUE('Capacity summary'!AY118)),0),AY206*$BI206),AY206*$BI206),0)</f>
        <v>0</v>
      </c>
      <c r="DC206" s="5">
        <f>IF($BI206&lt;&gt;"",IF('Capacity summary'!$C$14="Yes",IF(COUNTBLANK('Capacity summary'!$H118:$BG118)&lt;52,IF('Capacity summary'!AZ118&lt;&gt;"",IF(LOWER('Capacity summary'!AZ118)="x",$BI206*AZ206,VALUE('Capacity summary'!AZ118)),0),AZ206*$BI206),AZ206*$BI206),0)</f>
        <v>0</v>
      </c>
      <c r="DD206" s="5">
        <f>IF($BI206&lt;&gt;"",IF('Capacity summary'!$C$14="Yes",IF(COUNTBLANK('Capacity summary'!$H118:$BG118)&lt;52,IF('Capacity summary'!BA118&lt;&gt;"",IF(LOWER('Capacity summary'!BA118)="x",$BI206*BA206,VALUE('Capacity summary'!BA118)),0),BA206*$BI206),BA206*$BI206),0)</f>
        <v>0</v>
      </c>
      <c r="DE206" s="5">
        <f>IF($BI206&lt;&gt;"",IF('Capacity summary'!$C$14="Yes",IF(COUNTBLANK('Capacity summary'!$H118:$BG118)&lt;52,IF('Capacity summary'!BB118&lt;&gt;"",IF(LOWER('Capacity summary'!BB118)="x",$BI206*BB206,VALUE('Capacity summary'!BB118)),0),BB206*$BI206),BB206*$BI206),0)</f>
        <v>0</v>
      </c>
      <c r="DF206" s="5">
        <f>IF($BI206&lt;&gt;"",IF('Capacity summary'!$C$14="Yes",IF(COUNTBLANK('Capacity summary'!$H118:$BG118)&lt;52,IF('Capacity summary'!BC118&lt;&gt;"",IF(LOWER('Capacity summary'!BC118)="x",$BI206*BC206,VALUE('Capacity summary'!BC118)),0),BC206*$BI206),BC206*$BI206),0)</f>
        <v>0</v>
      </c>
      <c r="DG206" s="5">
        <f>IF($BI206&lt;&gt;"",IF('Capacity summary'!$C$14="Yes",IF(COUNTBLANK('Capacity summary'!$H118:$BG118)&lt;52,IF('Capacity summary'!BD118&lt;&gt;"",IF(LOWER('Capacity summary'!BD118)="x",$BI206*BD206,VALUE('Capacity summary'!BD118)),0),BD206*$BI206),BD206*$BI206),0)</f>
        <v>0</v>
      </c>
      <c r="DH206" s="5">
        <f>IF($BI206&lt;&gt;"",IF('Capacity summary'!$C$14="Yes",IF(COUNTBLANK('Capacity summary'!$H118:$BG118)&lt;52,IF('Capacity summary'!BE118&lt;&gt;"",IF(LOWER('Capacity summary'!BE118)="x",$BI206*BE206,VALUE('Capacity summary'!BE118)),0),BE206*$BI206),BE206*$BI206),0)</f>
        <v>0</v>
      </c>
      <c r="DI206" s="5">
        <f>IF($BI206&lt;&gt;"",IF('Capacity summary'!$C$14="Yes",IF(COUNTBLANK('Capacity summary'!$H118:$BG118)&lt;52,IF('Capacity summary'!BF118&lt;&gt;"",IF(LOWER('Capacity summary'!BF118)="x",$BI206*BF206,VALUE('Capacity summary'!BF118)),0),BF206*$BI206),BF206*$BI206),0)</f>
        <v>0</v>
      </c>
      <c r="DJ206" s="5">
        <f>IF($BI206&lt;&gt;"",IF('Capacity summary'!$C$14="Yes",IF(COUNTBLANK('Capacity summary'!$H118:$BG118)&lt;52,IF('Capacity summary'!BG118&lt;&gt;"",IF(LOWER('Capacity summary'!BG118)="x",$BI206*BG206,VALUE('Capacity summary'!BG118)),0),BG206*$BI206),BG206*$BI206),0)</f>
        <v>0</v>
      </c>
      <c r="DK206" s="391">
        <f t="shared" si="10"/>
        <v>0</v>
      </c>
      <c r="DL206" s="5">
        <f t="shared" si="11"/>
        <v>0</v>
      </c>
    </row>
    <row r="207" spans="3:116" x14ac:dyDescent="0.2">
      <c r="C207" s="67" t="str">
        <f>ROW(A96)&amp;". "&amp;Capacity!N112</f>
        <v xml:space="preserve">96. </v>
      </c>
      <c r="D207" s="67">
        <f>'Capacity setup'!C213</f>
        <v>0</v>
      </c>
      <c r="E207" s="67">
        <f>'Capacity setup'!D213</f>
        <v>0</v>
      </c>
      <c r="F207" s="67">
        <f>'Capacity setup'!E213</f>
        <v>0</v>
      </c>
      <c r="H207" s="67">
        <f ca="1">IF(LOWER(Capacity!$V112)="x",IF(AND(SUMIF(Capacity_Resource,$D207,'Critical resources (hide)'!U$6:U$105)+SUMIF(Capacity_Resource,$E207,'Critical resources (hide)'!U$6:U$105)+SUMIF(Capacity_Resource,$F207,'Critical resources (hide)'!U$6:U$105)&gt;0,$E$1=2),0,1),0)</f>
        <v>1</v>
      </c>
      <c r="I207" s="67">
        <f ca="1">IF(LOWER(Capacity!$V112)="x",IF(AND(SUMIF(Capacity_Resource,$D207,'Critical resources (hide)'!V$6:V$105)+SUMIF(Capacity_Resource,$E207,'Critical resources (hide)'!V$6:V$105)+SUMIF(Capacity_Resource,$F207,'Critical resources (hide)'!V$6:V$105)&gt;0,$E$1=2),0,1),0)</f>
        <v>1</v>
      </c>
      <c r="J207" s="67">
        <f ca="1">IF(LOWER(Capacity!$V112)="x",IF(AND(SUMIF(Capacity_Resource,$D207,'Critical resources (hide)'!W$6:W$105)+SUMIF(Capacity_Resource,$E207,'Critical resources (hide)'!W$6:W$105)+SUMIF(Capacity_Resource,$F207,'Critical resources (hide)'!W$6:W$105)&gt;0,$E$1=2),0,1),0)</f>
        <v>1</v>
      </c>
      <c r="K207" s="67">
        <f ca="1">IF(LOWER(Capacity!$V112)="x",IF(AND(SUMIF(Capacity_Resource,$D207,'Critical resources (hide)'!X$6:X$105)+SUMIF(Capacity_Resource,$E207,'Critical resources (hide)'!X$6:X$105)+SUMIF(Capacity_Resource,$F207,'Critical resources (hide)'!X$6:X$105)&gt;0,$E$1=2),0,1),0)</f>
        <v>1</v>
      </c>
      <c r="L207" s="67">
        <f ca="1">IF(LOWER(Capacity!$V112)="x",IF(AND(SUMIF(Capacity_Resource,$D207,'Critical resources (hide)'!Y$6:Y$105)+SUMIF(Capacity_Resource,$E207,'Critical resources (hide)'!Y$6:Y$105)+SUMIF(Capacity_Resource,$F207,'Critical resources (hide)'!Y$6:Y$105)&gt;0,$E$1=2),0,1),0)</f>
        <v>1</v>
      </c>
      <c r="M207" s="67">
        <f ca="1">IF(LOWER(Capacity!$V112)="x",IF(AND(SUMIF(Capacity_Resource,$D207,'Critical resources (hide)'!Z$6:Z$105)+SUMIF(Capacity_Resource,$E207,'Critical resources (hide)'!Z$6:Z$105)+SUMIF(Capacity_Resource,$F207,'Critical resources (hide)'!Z$6:Z$105)&gt;0,$E$1=2),0,1),0)</f>
        <v>1</v>
      </c>
      <c r="N207" s="67">
        <f ca="1">IF(LOWER(Capacity!$V112)="x",IF(AND(SUMIF(Capacity_Resource,$D207,'Critical resources (hide)'!AA$6:AA$105)+SUMIF(Capacity_Resource,$E207,'Critical resources (hide)'!AA$6:AA$105)+SUMIF(Capacity_Resource,$F207,'Critical resources (hide)'!AA$6:AA$105)&gt;0,$E$1=2),0,1),0)</f>
        <v>1</v>
      </c>
      <c r="O207" s="67">
        <f ca="1">IF(LOWER(Capacity!$V112)="x",IF(AND(SUMIF(Capacity_Resource,$D207,'Critical resources (hide)'!AB$6:AB$105)+SUMIF(Capacity_Resource,$E207,'Critical resources (hide)'!AB$6:AB$105)+SUMIF(Capacity_Resource,$F207,'Critical resources (hide)'!AB$6:AB$105)&gt;0,$E$1=2),0,1),0)</f>
        <v>1</v>
      </c>
      <c r="P207" s="67">
        <f ca="1">IF(LOWER(Capacity!$V112)="x",IF(AND(SUMIF(Capacity_Resource,$D207,'Critical resources (hide)'!AC$6:AC$105)+SUMIF(Capacity_Resource,$E207,'Critical resources (hide)'!AC$6:AC$105)+SUMIF(Capacity_Resource,$F207,'Critical resources (hide)'!AC$6:AC$105)&gt;0,$E$1=2),0,1),0)</f>
        <v>1</v>
      </c>
      <c r="Q207" s="67">
        <f ca="1">IF(LOWER(Capacity!$V112)="x",IF(AND(SUMIF(Capacity_Resource,$D207,'Critical resources (hide)'!AD$6:AD$105)+SUMIF(Capacity_Resource,$E207,'Critical resources (hide)'!AD$6:AD$105)+SUMIF(Capacity_Resource,$F207,'Critical resources (hide)'!AD$6:AD$105)&gt;0,$E$1=2),0,1),0)</f>
        <v>1</v>
      </c>
      <c r="R207" s="67">
        <f ca="1">IF(LOWER(Capacity!$V112)="x",IF(AND(SUMIF(Capacity_Resource,$D207,'Critical resources (hide)'!AE$6:AE$105)+SUMIF(Capacity_Resource,$E207,'Critical resources (hide)'!AE$6:AE$105)+SUMIF(Capacity_Resource,$F207,'Critical resources (hide)'!AE$6:AE$105)&gt;0,$E$1=2),0,1),0)</f>
        <v>1</v>
      </c>
      <c r="S207" s="67">
        <f ca="1">IF(LOWER(Capacity!$V112)="x",IF(AND(SUMIF(Capacity_Resource,$D207,'Critical resources (hide)'!AF$6:AF$105)+SUMIF(Capacity_Resource,$E207,'Critical resources (hide)'!AF$6:AF$105)+SUMIF(Capacity_Resource,$F207,'Critical resources (hide)'!AF$6:AF$105)&gt;0,$E$1=2),0,1),0)</f>
        <v>1</v>
      </c>
      <c r="T207" s="67">
        <f ca="1">IF(LOWER(Capacity!$V112)="x",IF(AND(SUMIF(Capacity_Resource,$D207,'Critical resources (hide)'!AG$6:AG$105)+SUMIF(Capacity_Resource,$E207,'Critical resources (hide)'!AG$6:AG$105)+SUMIF(Capacity_Resource,$F207,'Critical resources (hide)'!AG$6:AG$105)&gt;0,$E$1=2),0,1),0)</f>
        <v>1</v>
      </c>
      <c r="U207" s="67">
        <f ca="1">IF(LOWER(Capacity!$V112)="x",IF(AND(SUMIF(Capacity_Resource,$D207,'Critical resources (hide)'!AH$6:AH$105)+SUMIF(Capacity_Resource,$E207,'Critical resources (hide)'!AH$6:AH$105)+SUMIF(Capacity_Resource,$F207,'Critical resources (hide)'!AH$6:AH$105)&gt;0,$E$1=2),0,1),0)</f>
        <v>1</v>
      </c>
      <c r="V207" s="67">
        <f ca="1">IF(LOWER(Capacity!$V112)="x",IF(AND(SUMIF(Capacity_Resource,$D207,'Critical resources (hide)'!AI$6:AI$105)+SUMIF(Capacity_Resource,$E207,'Critical resources (hide)'!AI$6:AI$105)+SUMIF(Capacity_Resource,$F207,'Critical resources (hide)'!AI$6:AI$105)&gt;0,$E$1=2),0,1),0)</f>
        <v>1</v>
      </c>
      <c r="W207" s="67">
        <f ca="1">IF(LOWER(Capacity!$V112)="x",IF(AND(SUMIF(Capacity_Resource,$D207,'Critical resources (hide)'!AJ$6:AJ$105)+SUMIF(Capacity_Resource,$E207,'Critical resources (hide)'!AJ$6:AJ$105)+SUMIF(Capacity_Resource,$F207,'Critical resources (hide)'!AJ$6:AJ$105)&gt;0,$E$1=2),0,1),0)</f>
        <v>1</v>
      </c>
      <c r="X207" s="67">
        <f ca="1">IF(LOWER(Capacity!$V112)="x",IF(AND(SUMIF(Capacity_Resource,$D207,'Critical resources (hide)'!AK$6:AK$105)+SUMIF(Capacity_Resource,$E207,'Critical resources (hide)'!AK$6:AK$105)+SUMIF(Capacity_Resource,$F207,'Critical resources (hide)'!AK$6:AK$105)&gt;0,$E$1=2),0,1),0)</f>
        <v>1</v>
      </c>
      <c r="Y207" s="67">
        <f ca="1">IF(LOWER(Capacity!$V112)="x",IF(AND(SUMIF(Capacity_Resource,$D207,'Critical resources (hide)'!AL$6:AL$105)+SUMIF(Capacity_Resource,$E207,'Critical resources (hide)'!AL$6:AL$105)+SUMIF(Capacity_Resource,$F207,'Critical resources (hide)'!AL$6:AL$105)&gt;0,$E$1=2),0,1),0)</f>
        <v>1</v>
      </c>
      <c r="Z207" s="67">
        <f ca="1">IF(LOWER(Capacity!$V112)="x",IF(AND(SUMIF(Capacity_Resource,$D207,'Critical resources (hide)'!AM$6:AM$105)+SUMIF(Capacity_Resource,$E207,'Critical resources (hide)'!AM$6:AM$105)+SUMIF(Capacity_Resource,$F207,'Critical resources (hide)'!AM$6:AM$105)&gt;0,$E$1=2),0,1),0)</f>
        <v>1</v>
      </c>
      <c r="AA207" s="67">
        <f ca="1">IF(LOWER(Capacity!$V112)="x",IF(AND(SUMIF(Capacity_Resource,$D207,'Critical resources (hide)'!AN$6:AN$105)+SUMIF(Capacity_Resource,$E207,'Critical resources (hide)'!AN$6:AN$105)+SUMIF(Capacity_Resource,$F207,'Critical resources (hide)'!AN$6:AN$105)&gt;0,$E$1=2),0,1),0)</f>
        <v>1</v>
      </c>
      <c r="AB207" s="67">
        <f ca="1">IF(LOWER(Capacity!$V112)="x",IF(AND(SUMIF(Capacity_Resource,$D207,'Critical resources (hide)'!AO$6:AO$105)+SUMIF(Capacity_Resource,$E207,'Critical resources (hide)'!AO$6:AO$105)+SUMIF(Capacity_Resource,$F207,'Critical resources (hide)'!AO$6:AO$105)&gt;0,$E$1=2),0,1),0)</f>
        <v>1</v>
      </c>
      <c r="AC207" s="67">
        <f ca="1">IF(LOWER(Capacity!$V112)="x",IF(AND(SUMIF(Capacity_Resource,$D207,'Critical resources (hide)'!AP$6:AP$105)+SUMIF(Capacity_Resource,$E207,'Critical resources (hide)'!AP$6:AP$105)+SUMIF(Capacity_Resource,$F207,'Critical resources (hide)'!AP$6:AP$105)&gt;0,$E$1=2),0,1),0)</f>
        <v>1</v>
      </c>
      <c r="AD207" s="67">
        <f ca="1">IF(LOWER(Capacity!$V112)="x",IF(AND(SUMIF(Capacity_Resource,$D207,'Critical resources (hide)'!AQ$6:AQ$105)+SUMIF(Capacity_Resource,$E207,'Critical resources (hide)'!AQ$6:AQ$105)+SUMIF(Capacity_Resource,$F207,'Critical resources (hide)'!AQ$6:AQ$105)&gt;0,$E$1=2),0,1),0)</f>
        <v>1</v>
      </c>
      <c r="AE207" s="67">
        <f ca="1">IF(LOWER(Capacity!$V112)="x",IF(AND(SUMIF(Capacity_Resource,$D207,'Critical resources (hide)'!AR$6:AR$105)+SUMIF(Capacity_Resource,$E207,'Critical resources (hide)'!AR$6:AR$105)+SUMIF(Capacity_Resource,$F207,'Critical resources (hide)'!AR$6:AR$105)&gt;0,$E$1=2),0,1),0)</f>
        <v>1</v>
      </c>
      <c r="AF207" s="67">
        <f ca="1">IF(LOWER(Capacity!$V112)="x",IF(AND(SUMIF(Capacity_Resource,$D207,'Critical resources (hide)'!AS$6:AS$105)+SUMIF(Capacity_Resource,$E207,'Critical resources (hide)'!AS$6:AS$105)+SUMIF(Capacity_Resource,$F207,'Critical resources (hide)'!AS$6:AS$105)&gt;0,$E$1=2),0,1),0)</f>
        <v>1</v>
      </c>
      <c r="AG207" s="67">
        <f ca="1">IF(LOWER(Capacity!$V112)="x",IF(AND(SUMIF(Capacity_Resource,$D207,'Critical resources (hide)'!AT$6:AT$105)+SUMIF(Capacity_Resource,$E207,'Critical resources (hide)'!AT$6:AT$105)+SUMIF(Capacity_Resource,$F207,'Critical resources (hide)'!AT$6:AT$105)&gt;0,$E$1=2),0,1),0)</f>
        <v>1</v>
      </c>
      <c r="AH207" s="67">
        <f ca="1">IF(LOWER(Capacity!$V112)="x",IF(AND(SUMIF(Capacity_Resource,$D207,'Critical resources (hide)'!AU$6:AU$105)+SUMIF(Capacity_Resource,$E207,'Critical resources (hide)'!AU$6:AU$105)+SUMIF(Capacity_Resource,$F207,'Critical resources (hide)'!AU$6:AU$105)&gt;0,$E$1=2),0,1),0)</f>
        <v>1</v>
      </c>
      <c r="AI207" s="67">
        <f ca="1">IF(LOWER(Capacity!$V112)="x",IF(AND(SUMIF(Capacity_Resource,$D207,'Critical resources (hide)'!AV$6:AV$105)+SUMIF(Capacity_Resource,$E207,'Critical resources (hide)'!AV$6:AV$105)+SUMIF(Capacity_Resource,$F207,'Critical resources (hide)'!AV$6:AV$105)&gt;0,$E$1=2),0,1),0)</f>
        <v>1</v>
      </c>
      <c r="AJ207" s="67">
        <f ca="1">IF(LOWER(Capacity!$V112)="x",IF(AND(SUMIF(Capacity_Resource,$D207,'Critical resources (hide)'!AW$6:AW$105)+SUMIF(Capacity_Resource,$E207,'Critical resources (hide)'!AW$6:AW$105)+SUMIF(Capacity_Resource,$F207,'Critical resources (hide)'!AW$6:AW$105)&gt;0,$E$1=2),0,1),0)</f>
        <v>1</v>
      </c>
      <c r="AK207" s="67">
        <f ca="1">IF(LOWER(Capacity!$V112)="x",IF(AND(SUMIF(Capacity_Resource,$D207,'Critical resources (hide)'!AX$6:AX$105)+SUMIF(Capacity_Resource,$E207,'Critical resources (hide)'!AX$6:AX$105)+SUMIF(Capacity_Resource,$F207,'Critical resources (hide)'!AX$6:AX$105)&gt;0,$E$1=2),0,1),0)</f>
        <v>1</v>
      </c>
      <c r="AL207" s="67">
        <f ca="1">IF(LOWER(Capacity!$V112)="x",IF(AND(SUMIF(Capacity_Resource,$D207,'Critical resources (hide)'!AY$6:AY$105)+SUMIF(Capacity_Resource,$E207,'Critical resources (hide)'!AY$6:AY$105)+SUMIF(Capacity_Resource,$F207,'Critical resources (hide)'!AY$6:AY$105)&gt;0,$E$1=2),0,1),0)</f>
        <v>1</v>
      </c>
      <c r="AM207" s="67">
        <f ca="1">IF(LOWER(Capacity!$V112)="x",IF(AND(SUMIF(Capacity_Resource,$D207,'Critical resources (hide)'!AZ$6:AZ$105)+SUMIF(Capacity_Resource,$E207,'Critical resources (hide)'!AZ$6:AZ$105)+SUMIF(Capacity_Resource,$F207,'Critical resources (hide)'!AZ$6:AZ$105)&gt;0,$E$1=2),0,1),0)</f>
        <v>1</v>
      </c>
      <c r="AN207" s="67">
        <f ca="1">IF(LOWER(Capacity!$V112)="x",IF(AND(SUMIF(Capacity_Resource,$D207,'Critical resources (hide)'!BA$6:BA$105)+SUMIF(Capacity_Resource,$E207,'Critical resources (hide)'!BA$6:BA$105)+SUMIF(Capacity_Resource,$F207,'Critical resources (hide)'!BA$6:BA$105)&gt;0,$E$1=2),0,1),0)</f>
        <v>1</v>
      </c>
      <c r="AO207" s="67">
        <f ca="1">IF(LOWER(Capacity!$V112)="x",IF(AND(SUMIF(Capacity_Resource,$D207,'Critical resources (hide)'!BB$6:BB$105)+SUMIF(Capacity_Resource,$E207,'Critical resources (hide)'!BB$6:BB$105)+SUMIF(Capacity_Resource,$F207,'Critical resources (hide)'!BB$6:BB$105)&gt;0,$E$1=2),0,1),0)</f>
        <v>1</v>
      </c>
      <c r="AP207" s="67">
        <f ca="1">IF(LOWER(Capacity!$V112)="x",IF(AND(SUMIF(Capacity_Resource,$D207,'Critical resources (hide)'!BC$6:BC$105)+SUMIF(Capacity_Resource,$E207,'Critical resources (hide)'!BC$6:BC$105)+SUMIF(Capacity_Resource,$F207,'Critical resources (hide)'!BC$6:BC$105)&gt;0,$E$1=2),0,1),0)</f>
        <v>1</v>
      </c>
      <c r="AQ207" s="67">
        <f ca="1">IF(LOWER(Capacity!$V112)="x",IF(AND(SUMIF(Capacity_Resource,$D207,'Critical resources (hide)'!BD$6:BD$105)+SUMIF(Capacity_Resource,$E207,'Critical resources (hide)'!BD$6:BD$105)+SUMIF(Capacity_Resource,$F207,'Critical resources (hide)'!BD$6:BD$105)&gt;0,$E$1=2),0,1),0)</f>
        <v>1</v>
      </c>
      <c r="AR207" s="67">
        <f ca="1">IF(LOWER(Capacity!$V112)="x",IF(AND(SUMIF(Capacity_Resource,$D207,'Critical resources (hide)'!BE$6:BE$105)+SUMIF(Capacity_Resource,$E207,'Critical resources (hide)'!BE$6:BE$105)+SUMIF(Capacity_Resource,$F207,'Critical resources (hide)'!BE$6:BE$105)&gt;0,$E$1=2),0,1),0)</f>
        <v>1</v>
      </c>
      <c r="AS207" s="67">
        <f ca="1">IF(LOWER(Capacity!$V112)="x",IF(AND(SUMIF(Capacity_Resource,$D207,'Critical resources (hide)'!BF$6:BF$105)+SUMIF(Capacity_Resource,$E207,'Critical resources (hide)'!BF$6:BF$105)+SUMIF(Capacity_Resource,$F207,'Critical resources (hide)'!BF$6:BF$105)&gt;0,$E$1=2),0,1),0)</f>
        <v>1</v>
      </c>
      <c r="AT207" s="67">
        <f ca="1">IF(LOWER(Capacity!$V112)="x",IF(AND(SUMIF(Capacity_Resource,$D207,'Critical resources (hide)'!BG$6:BG$105)+SUMIF(Capacity_Resource,$E207,'Critical resources (hide)'!BG$6:BG$105)+SUMIF(Capacity_Resource,$F207,'Critical resources (hide)'!BG$6:BG$105)&gt;0,$E$1=2),0,1),0)</f>
        <v>1</v>
      </c>
      <c r="AU207" s="67">
        <f ca="1">IF(LOWER(Capacity!$V112)="x",IF(AND(SUMIF(Capacity_Resource,$D207,'Critical resources (hide)'!BH$6:BH$105)+SUMIF(Capacity_Resource,$E207,'Critical resources (hide)'!BH$6:BH$105)+SUMIF(Capacity_Resource,$F207,'Critical resources (hide)'!BH$6:BH$105)&gt;0,$E$1=2),0,1),0)</f>
        <v>1</v>
      </c>
      <c r="AV207" s="67">
        <f ca="1">IF(LOWER(Capacity!$V112)="x",IF(AND(SUMIF(Capacity_Resource,$D207,'Critical resources (hide)'!BI$6:BI$105)+SUMIF(Capacity_Resource,$E207,'Critical resources (hide)'!BI$6:BI$105)+SUMIF(Capacity_Resource,$F207,'Critical resources (hide)'!BI$6:BI$105)&gt;0,$E$1=2),0,1),0)</f>
        <v>1</v>
      </c>
      <c r="AW207" s="67">
        <f ca="1">IF(LOWER(Capacity!$V112)="x",IF(AND(SUMIF(Capacity_Resource,$D207,'Critical resources (hide)'!BJ$6:BJ$105)+SUMIF(Capacity_Resource,$E207,'Critical resources (hide)'!BJ$6:BJ$105)+SUMIF(Capacity_Resource,$F207,'Critical resources (hide)'!BJ$6:BJ$105)&gt;0,$E$1=2),0,1),0)</f>
        <v>1</v>
      </c>
      <c r="AX207" s="67">
        <f ca="1">IF(LOWER(Capacity!$V112)="x",IF(AND(SUMIF(Capacity_Resource,$D207,'Critical resources (hide)'!BK$6:BK$105)+SUMIF(Capacity_Resource,$E207,'Critical resources (hide)'!BK$6:BK$105)+SUMIF(Capacity_Resource,$F207,'Critical resources (hide)'!BK$6:BK$105)&gt;0,$E$1=2),0,1),0)</f>
        <v>1</v>
      </c>
      <c r="AY207" s="67">
        <f ca="1">IF(LOWER(Capacity!$V112)="x",IF(AND(SUMIF(Capacity_Resource,$D207,'Critical resources (hide)'!BL$6:BL$105)+SUMIF(Capacity_Resource,$E207,'Critical resources (hide)'!BL$6:BL$105)+SUMIF(Capacity_Resource,$F207,'Critical resources (hide)'!BL$6:BL$105)&gt;0,$E$1=2),0,1),0)</f>
        <v>1</v>
      </c>
      <c r="AZ207" s="67">
        <f ca="1">IF(LOWER(Capacity!$V112)="x",IF(AND(SUMIF(Capacity_Resource,$D207,'Critical resources (hide)'!BM$6:BM$105)+SUMIF(Capacity_Resource,$E207,'Critical resources (hide)'!BM$6:BM$105)+SUMIF(Capacity_Resource,$F207,'Critical resources (hide)'!BM$6:BM$105)&gt;0,$E$1=2),0,1),0)</f>
        <v>1</v>
      </c>
      <c r="BA207" s="67">
        <f ca="1">IF(LOWER(Capacity!$V112)="x",IF(AND(SUMIF(Capacity_Resource,$D207,'Critical resources (hide)'!BN$6:BN$105)+SUMIF(Capacity_Resource,$E207,'Critical resources (hide)'!BN$6:BN$105)+SUMIF(Capacity_Resource,$F207,'Critical resources (hide)'!BN$6:BN$105)&gt;0,$E$1=2),0,1),0)</f>
        <v>1</v>
      </c>
      <c r="BB207" s="67">
        <f ca="1">IF(LOWER(Capacity!$V112)="x",IF(AND(SUMIF(Capacity_Resource,$D207,'Critical resources (hide)'!BO$6:BO$105)+SUMIF(Capacity_Resource,$E207,'Critical resources (hide)'!BO$6:BO$105)+SUMIF(Capacity_Resource,$F207,'Critical resources (hide)'!BO$6:BO$105)&gt;0,$E$1=2),0,1),0)</f>
        <v>1</v>
      </c>
      <c r="BC207" s="67">
        <f ca="1">IF(LOWER(Capacity!$V112)="x",IF(AND(SUMIF(Capacity_Resource,$D207,'Critical resources (hide)'!BP$6:BP$105)+SUMIF(Capacity_Resource,$E207,'Critical resources (hide)'!BP$6:BP$105)+SUMIF(Capacity_Resource,$F207,'Critical resources (hide)'!BP$6:BP$105)&gt;0,$E$1=2),0,1),0)</f>
        <v>1</v>
      </c>
      <c r="BD207" s="67">
        <f ca="1">IF(LOWER(Capacity!$V112)="x",IF(AND(SUMIF(Capacity_Resource,$D207,'Critical resources (hide)'!BQ$6:BQ$105)+SUMIF(Capacity_Resource,$E207,'Critical resources (hide)'!BQ$6:BQ$105)+SUMIF(Capacity_Resource,$F207,'Critical resources (hide)'!BQ$6:BQ$105)&gt;0,$E$1=2),0,1),0)</f>
        <v>1</v>
      </c>
      <c r="BE207" s="67">
        <f ca="1">IF(LOWER(Capacity!$V112)="x",IF(AND(SUMIF(Capacity_Resource,$D207,'Critical resources (hide)'!BR$6:BR$105)+SUMIF(Capacity_Resource,$E207,'Critical resources (hide)'!BR$6:BR$105)+SUMIF(Capacity_Resource,$F207,'Critical resources (hide)'!BR$6:BR$105)&gt;0,$E$1=2),0,1),0)</f>
        <v>1</v>
      </c>
      <c r="BF207" s="67">
        <f ca="1">IF(LOWER(Capacity!$V112)="x",IF(AND(SUMIF(Capacity_Resource,$D207,'Critical resources (hide)'!BS$6:BS$105)+SUMIF(Capacity_Resource,$E207,'Critical resources (hide)'!BS$6:BS$105)+SUMIF(Capacity_Resource,$F207,'Critical resources (hide)'!BS$6:BS$105)&gt;0,$E$1=2),0,1),0)</f>
        <v>1</v>
      </c>
      <c r="BG207" s="67">
        <f ca="1">IF(LOWER(Capacity!$V112)="x",IF(AND(SUMIF(Capacity_Resource,$D207,'Critical resources (hide)'!BT$6:BT$105)+SUMIF(Capacity_Resource,$E207,'Critical resources (hide)'!BT$6:BT$105)+SUMIF(Capacity_Resource,$F207,'Critical resources (hide)'!BT$6:BT$105)&gt;0,$E$1=2),0,1),0)</f>
        <v>1</v>
      </c>
      <c r="BH207" s="67">
        <f>IF(ROW(A96)&lt;=Capacity!$M$16,IF('Capacity summary'!$C$14="No",SUM(H207:BG207),'Capacity summary'!$E119),0)</f>
        <v>0</v>
      </c>
      <c r="BI207" s="67" t="str">
        <f>IF(BH207&gt;0,IF(BH207&lt;Capacity!Q112,Capacity!R112,Capacity!T112/'Capacity calculation (hide)'!BH207),"")</f>
        <v/>
      </c>
      <c r="BJ207" s="5"/>
      <c r="BK207" s="5">
        <f>IF($BI207&lt;&gt;"",IF('Capacity summary'!$C$14="Yes",IF(COUNTBLANK('Capacity summary'!$H119:$BG119)&lt;52,IF('Capacity summary'!H119&lt;&gt;"",IF(LOWER('Capacity summary'!H119)="x",$BI207*H207,VALUE('Capacity summary'!H119)),0),H207*$BI207),H207*$BI207),0)</f>
        <v>0</v>
      </c>
      <c r="BL207" s="5">
        <f>IF($BI207&lt;&gt;"",IF('Capacity summary'!$C$14="Yes",IF(COUNTBLANK('Capacity summary'!$H119:$BG119)&lt;52,IF('Capacity summary'!I119&lt;&gt;"",IF(LOWER('Capacity summary'!I119)="x",$BI207*I207,VALUE('Capacity summary'!I119)),0),I207*$BI207),I207*$BI207),0)</f>
        <v>0</v>
      </c>
      <c r="BM207" s="5">
        <f>IF($BI207&lt;&gt;"",IF('Capacity summary'!$C$14="Yes",IF(COUNTBLANK('Capacity summary'!$H119:$BG119)&lt;52,IF('Capacity summary'!J119&lt;&gt;"",IF(LOWER('Capacity summary'!J119)="x",$BI207*J207,VALUE('Capacity summary'!J119)),0),J207*$BI207),J207*$BI207),0)</f>
        <v>0</v>
      </c>
      <c r="BN207" s="5">
        <f>IF($BI207&lt;&gt;"",IF('Capacity summary'!$C$14="Yes",IF(COUNTBLANK('Capacity summary'!$H119:$BG119)&lt;52,IF('Capacity summary'!K119&lt;&gt;"",IF(LOWER('Capacity summary'!K119)="x",$BI207*K207,VALUE('Capacity summary'!K119)),0),K207*$BI207),K207*$BI207),0)</f>
        <v>0</v>
      </c>
      <c r="BO207" s="5">
        <f>IF($BI207&lt;&gt;"",IF('Capacity summary'!$C$14="Yes",IF(COUNTBLANK('Capacity summary'!$H119:$BG119)&lt;52,IF('Capacity summary'!L119&lt;&gt;"",IF(LOWER('Capacity summary'!L119)="x",$BI207*L207,VALUE('Capacity summary'!L119)),0),L207*$BI207),L207*$BI207),0)</f>
        <v>0</v>
      </c>
      <c r="BP207" s="5">
        <f>IF($BI207&lt;&gt;"",IF('Capacity summary'!$C$14="Yes",IF(COUNTBLANK('Capacity summary'!$H119:$BG119)&lt;52,IF('Capacity summary'!M119&lt;&gt;"",IF(LOWER('Capacity summary'!M119)="x",$BI207*M207,VALUE('Capacity summary'!M119)),0),M207*$BI207),M207*$BI207),0)</f>
        <v>0</v>
      </c>
      <c r="BQ207" s="5">
        <f>IF($BI207&lt;&gt;"",IF('Capacity summary'!$C$14="Yes",IF(COUNTBLANK('Capacity summary'!$H119:$BG119)&lt;52,IF('Capacity summary'!N119&lt;&gt;"",IF(LOWER('Capacity summary'!N119)="x",$BI207*N207,VALUE('Capacity summary'!N119)),0),N207*$BI207),N207*$BI207),0)</f>
        <v>0</v>
      </c>
      <c r="BR207" s="5">
        <f>IF($BI207&lt;&gt;"",IF('Capacity summary'!$C$14="Yes",IF(COUNTBLANK('Capacity summary'!$H119:$BG119)&lt;52,IF('Capacity summary'!O119&lt;&gt;"",IF(LOWER('Capacity summary'!O119)="x",$BI207*O207,VALUE('Capacity summary'!O119)),0),O207*$BI207),O207*$BI207),0)</f>
        <v>0</v>
      </c>
      <c r="BS207" s="5">
        <f>IF($BI207&lt;&gt;"",IF('Capacity summary'!$C$14="Yes",IF(COUNTBLANK('Capacity summary'!$H119:$BG119)&lt;52,IF('Capacity summary'!P119&lt;&gt;"",IF(LOWER('Capacity summary'!P119)="x",$BI207*P207,VALUE('Capacity summary'!P119)),0),P207*$BI207),P207*$BI207),0)</f>
        <v>0</v>
      </c>
      <c r="BT207" s="5">
        <f>IF($BI207&lt;&gt;"",IF('Capacity summary'!$C$14="Yes",IF(COUNTBLANK('Capacity summary'!$H119:$BG119)&lt;52,IF('Capacity summary'!Q119&lt;&gt;"",IF(LOWER('Capacity summary'!Q119)="x",$BI207*Q207,VALUE('Capacity summary'!Q119)),0),Q207*$BI207),Q207*$BI207),0)</f>
        <v>0</v>
      </c>
      <c r="BU207" s="5">
        <f>IF($BI207&lt;&gt;"",IF('Capacity summary'!$C$14="Yes",IF(COUNTBLANK('Capacity summary'!$H119:$BG119)&lt;52,IF('Capacity summary'!R119&lt;&gt;"",IF(LOWER('Capacity summary'!R119)="x",$BI207*R207,VALUE('Capacity summary'!R119)),0),R207*$BI207),R207*$BI207),0)</f>
        <v>0</v>
      </c>
      <c r="BV207" s="5">
        <f>IF($BI207&lt;&gt;"",IF('Capacity summary'!$C$14="Yes",IF(COUNTBLANK('Capacity summary'!$H119:$BG119)&lt;52,IF('Capacity summary'!S119&lt;&gt;"",IF(LOWER('Capacity summary'!S119)="x",$BI207*S207,VALUE('Capacity summary'!S119)),0),S207*$BI207),S207*$BI207),0)</f>
        <v>0</v>
      </c>
      <c r="BW207" s="5">
        <f>IF($BI207&lt;&gt;"",IF('Capacity summary'!$C$14="Yes",IF(COUNTBLANK('Capacity summary'!$H119:$BG119)&lt;52,IF('Capacity summary'!T119&lt;&gt;"",IF(LOWER('Capacity summary'!T119)="x",$BI207*T207,VALUE('Capacity summary'!T119)),0),T207*$BI207),T207*$BI207),0)</f>
        <v>0</v>
      </c>
      <c r="BX207" s="5">
        <f>IF($BI207&lt;&gt;"",IF('Capacity summary'!$C$14="Yes",IF(COUNTBLANK('Capacity summary'!$H119:$BG119)&lt;52,IF('Capacity summary'!U119&lt;&gt;"",IF(LOWER('Capacity summary'!U119)="x",$BI207*U207,VALUE('Capacity summary'!U119)),0),U207*$BI207),U207*$BI207),0)</f>
        <v>0</v>
      </c>
      <c r="BY207" s="5">
        <f>IF($BI207&lt;&gt;"",IF('Capacity summary'!$C$14="Yes",IF(COUNTBLANK('Capacity summary'!$H119:$BG119)&lt;52,IF('Capacity summary'!V119&lt;&gt;"",IF(LOWER('Capacity summary'!V119)="x",$BI207*V207,VALUE('Capacity summary'!V119)),0),V207*$BI207),V207*$BI207),0)</f>
        <v>0</v>
      </c>
      <c r="BZ207" s="5">
        <f>IF($BI207&lt;&gt;"",IF('Capacity summary'!$C$14="Yes",IF(COUNTBLANK('Capacity summary'!$H119:$BG119)&lt;52,IF('Capacity summary'!W119&lt;&gt;"",IF(LOWER('Capacity summary'!W119)="x",$BI207*W207,VALUE('Capacity summary'!W119)),0),W207*$BI207),W207*$BI207),0)</f>
        <v>0</v>
      </c>
      <c r="CA207" s="5">
        <f>IF($BI207&lt;&gt;"",IF('Capacity summary'!$C$14="Yes",IF(COUNTBLANK('Capacity summary'!$H119:$BG119)&lt;52,IF('Capacity summary'!X119&lt;&gt;"",IF(LOWER('Capacity summary'!X119)="x",$BI207*X207,VALUE('Capacity summary'!X119)),0),X207*$BI207),X207*$BI207),0)</f>
        <v>0</v>
      </c>
      <c r="CB207" s="5">
        <f>IF($BI207&lt;&gt;"",IF('Capacity summary'!$C$14="Yes",IF(COUNTBLANK('Capacity summary'!$H119:$BG119)&lt;52,IF('Capacity summary'!Y119&lt;&gt;"",IF(LOWER('Capacity summary'!Y119)="x",$BI207*Y207,VALUE('Capacity summary'!Y119)),0),Y207*$BI207),Y207*$BI207),0)</f>
        <v>0</v>
      </c>
      <c r="CC207" s="5">
        <f>IF($BI207&lt;&gt;"",IF('Capacity summary'!$C$14="Yes",IF(COUNTBLANK('Capacity summary'!$H119:$BG119)&lt;52,IF('Capacity summary'!Z119&lt;&gt;"",IF(LOWER('Capacity summary'!Z119)="x",$BI207*Z207,VALUE('Capacity summary'!Z119)),0),Z207*$BI207),Z207*$BI207),0)</f>
        <v>0</v>
      </c>
      <c r="CD207" s="5">
        <f>IF($BI207&lt;&gt;"",IF('Capacity summary'!$C$14="Yes",IF(COUNTBLANK('Capacity summary'!$H119:$BG119)&lt;52,IF('Capacity summary'!AA119&lt;&gt;"",IF(LOWER('Capacity summary'!AA119)="x",$BI207*AA207,VALUE('Capacity summary'!AA119)),0),AA207*$BI207),AA207*$BI207),0)</f>
        <v>0</v>
      </c>
      <c r="CE207" s="5">
        <f>IF($BI207&lt;&gt;"",IF('Capacity summary'!$C$14="Yes",IF(COUNTBLANK('Capacity summary'!$H119:$BG119)&lt;52,IF('Capacity summary'!AB119&lt;&gt;"",IF(LOWER('Capacity summary'!AB119)="x",$BI207*AB207,VALUE('Capacity summary'!AB119)),0),AB207*$BI207),AB207*$BI207),0)</f>
        <v>0</v>
      </c>
      <c r="CF207" s="5">
        <f>IF($BI207&lt;&gt;"",IF('Capacity summary'!$C$14="Yes",IF(COUNTBLANK('Capacity summary'!$H119:$BG119)&lt;52,IF('Capacity summary'!AC119&lt;&gt;"",IF(LOWER('Capacity summary'!AC119)="x",$BI207*AC207,VALUE('Capacity summary'!AC119)),0),AC207*$BI207),AC207*$BI207),0)</f>
        <v>0</v>
      </c>
      <c r="CG207" s="5">
        <f>IF($BI207&lt;&gt;"",IF('Capacity summary'!$C$14="Yes",IF(COUNTBLANK('Capacity summary'!$H119:$BG119)&lt;52,IF('Capacity summary'!AD119&lt;&gt;"",IF(LOWER('Capacity summary'!AD119)="x",$BI207*AD207,VALUE('Capacity summary'!AD119)),0),AD207*$BI207),AD207*$BI207),0)</f>
        <v>0</v>
      </c>
      <c r="CH207" s="5">
        <f>IF($BI207&lt;&gt;"",IF('Capacity summary'!$C$14="Yes",IF(COUNTBLANK('Capacity summary'!$H119:$BG119)&lt;52,IF('Capacity summary'!AE119&lt;&gt;"",IF(LOWER('Capacity summary'!AE119)="x",$BI207*AE207,VALUE('Capacity summary'!AE119)),0),AE207*$BI207),AE207*$BI207),0)</f>
        <v>0</v>
      </c>
      <c r="CI207" s="5">
        <f>IF($BI207&lt;&gt;"",IF('Capacity summary'!$C$14="Yes",IF(COUNTBLANK('Capacity summary'!$H119:$BG119)&lt;52,IF('Capacity summary'!AF119&lt;&gt;"",IF(LOWER('Capacity summary'!AF119)="x",$BI207*AF207,VALUE('Capacity summary'!AF119)),0),AF207*$BI207),AF207*$BI207),0)</f>
        <v>0</v>
      </c>
      <c r="CJ207" s="5">
        <f>IF($BI207&lt;&gt;"",IF('Capacity summary'!$C$14="Yes",IF(COUNTBLANK('Capacity summary'!$H119:$BG119)&lt;52,IF('Capacity summary'!AG119&lt;&gt;"",IF(LOWER('Capacity summary'!AG119)="x",$BI207*AG207,VALUE('Capacity summary'!AG119)),0),AG207*$BI207),AG207*$BI207),0)</f>
        <v>0</v>
      </c>
      <c r="CK207" s="5">
        <f>IF($BI207&lt;&gt;"",IF('Capacity summary'!$C$14="Yes",IF(COUNTBLANK('Capacity summary'!$H119:$BG119)&lt;52,IF('Capacity summary'!AH119&lt;&gt;"",IF(LOWER('Capacity summary'!AH119)="x",$BI207*AH207,VALUE('Capacity summary'!AH119)),0),AH207*$BI207),AH207*$BI207),0)</f>
        <v>0</v>
      </c>
      <c r="CL207" s="5">
        <f>IF($BI207&lt;&gt;"",IF('Capacity summary'!$C$14="Yes",IF(COUNTBLANK('Capacity summary'!$H119:$BG119)&lt;52,IF('Capacity summary'!AI119&lt;&gt;"",IF(LOWER('Capacity summary'!AI119)="x",$BI207*AI207,VALUE('Capacity summary'!AI119)),0),AI207*$BI207),AI207*$BI207),0)</f>
        <v>0</v>
      </c>
      <c r="CM207" s="5">
        <f>IF($BI207&lt;&gt;"",IF('Capacity summary'!$C$14="Yes",IF(COUNTBLANK('Capacity summary'!$H119:$BG119)&lt;52,IF('Capacity summary'!AJ119&lt;&gt;"",IF(LOWER('Capacity summary'!AJ119)="x",$BI207*AJ207,VALUE('Capacity summary'!AJ119)),0),AJ207*$BI207),AJ207*$BI207),0)</f>
        <v>0</v>
      </c>
      <c r="CN207" s="5">
        <f>IF($BI207&lt;&gt;"",IF('Capacity summary'!$C$14="Yes",IF(COUNTBLANK('Capacity summary'!$H119:$BG119)&lt;52,IF('Capacity summary'!AK119&lt;&gt;"",IF(LOWER('Capacity summary'!AK119)="x",$BI207*AK207,VALUE('Capacity summary'!AK119)),0),AK207*$BI207),AK207*$BI207),0)</f>
        <v>0</v>
      </c>
      <c r="CO207" s="5">
        <f>IF($BI207&lt;&gt;"",IF('Capacity summary'!$C$14="Yes",IF(COUNTBLANK('Capacity summary'!$H119:$BG119)&lt;52,IF('Capacity summary'!AL119&lt;&gt;"",IF(LOWER('Capacity summary'!AL119)="x",$BI207*AL207,VALUE('Capacity summary'!AL119)),0),AL207*$BI207),AL207*$BI207),0)</f>
        <v>0</v>
      </c>
      <c r="CP207" s="5">
        <f>IF($BI207&lt;&gt;"",IF('Capacity summary'!$C$14="Yes",IF(COUNTBLANK('Capacity summary'!$H119:$BG119)&lt;52,IF('Capacity summary'!AM119&lt;&gt;"",IF(LOWER('Capacity summary'!AM119)="x",$BI207*AM207,VALUE('Capacity summary'!AM119)),0),AM207*$BI207),AM207*$BI207),0)</f>
        <v>0</v>
      </c>
      <c r="CQ207" s="5">
        <f>IF($BI207&lt;&gt;"",IF('Capacity summary'!$C$14="Yes",IF(COUNTBLANK('Capacity summary'!$H119:$BG119)&lt;52,IF('Capacity summary'!AN119&lt;&gt;"",IF(LOWER('Capacity summary'!AN119)="x",$BI207*AN207,VALUE('Capacity summary'!AN119)),0),AN207*$BI207),AN207*$BI207),0)</f>
        <v>0</v>
      </c>
      <c r="CR207" s="5">
        <f>IF($BI207&lt;&gt;"",IF('Capacity summary'!$C$14="Yes",IF(COUNTBLANK('Capacity summary'!$H119:$BG119)&lt;52,IF('Capacity summary'!AO119&lt;&gt;"",IF(LOWER('Capacity summary'!AO119)="x",$BI207*AO207,VALUE('Capacity summary'!AO119)),0),AO207*$BI207),AO207*$BI207),0)</f>
        <v>0</v>
      </c>
      <c r="CS207" s="5">
        <f>IF($BI207&lt;&gt;"",IF('Capacity summary'!$C$14="Yes",IF(COUNTBLANK('Capacity summary'!$H119:$BG119)&lt;52,IF('Capacity summary'!AP119&lt;&gt;"",IF(LOWER('Capacity summary'!AP119)="x",$BI207*AP207,VALUE('Capacity summary'!AP119)),0),AP207*$BI207),AP207*$BI207),0)</f>
        <v>0</v>
      </c>
      <c r="CT207" s="5">
        <f>IF($BI207&lt;&gt;"",IF('Capacity summary'!$C$14="Yes",IF(COUNTBLANK('Capacity summary'!$H119:$BG119)&lt;52,IF('Capacity summary'!AQ119&lt;&gt;"",IF(LOWER('Capacity summary'!AQ119)="x",$BI207*AQ207,VALUE('Capacity summary'!AQ119)),0),AQ207*$BI207),AQ207*$BI207),0)</f>
        <v>0</v>
      </c>
      <c r="CU207" s="5">
        <f>IF($BI207&lt;&gt;"",IF('Capacity summary'!$C$14="Yes",IF(COUNTBLANK('Capacity summary'!$H119:$BG119)&lt;52,IF('Capacity summary'!AR119&lt;&gt;"",IF(LOWER('Capacity summary'!AR119)="x",$BI207*AR207,VALUE('Capacity summary'!AR119)),0),AR207*$BI207),AR207*$BI207),0)</f>
        <v>0</v>
      </c>
      <c r="CV207" s="5">
        <f>IF($BI207&lt;&gt;"",IF('Capacity summary'!$C$14="Yes",IF(COUNTBLANK('Capacity summary'!$H119:$BG119)&lt;52,IF('Capacity summary'!AS119&lt;&gt;"",IF(LOWER('Capacity summary'!AS119)="x",$BI207*AS207,VALUE('Capacity summary'!AS119)),0),AS207*$BI207),AS207*$BI207),0)</f>
        <v>0</v>
      </c>
      <c r="CW207" s="5">
        <f>IF($BI207&lt;&gt;"",IF('Capacity summary'!$C$14="Yes",IF(COUNTBLANK('Capacity summary'!$H119:$BG119)&lt;52,IF('Capacity summary'!AT119&lt;&gt;"",IF(LOWER('Capacity summary'!AT119)="x",$BI207*AT207,VALUE('Capacity summary'!AT119)),0),AT207*$BI207),AT207*$BI207),0)</f>
        <v>0</v>
      </c>
      <c r="CX207" s="5">
        <f>IF($BI207&lt;&gt;"",IF('Capacity summary'!$C$14="Yes",IF(COUNTBLANK('Capacity summary'!$H119:$BG119)&lt;52,IF('Capacity summary'!AU119&lt;&gt;"",IF(LOWER('Capacity summary'!AU119)="x",$BI207*AU207,VALUE('Capacity summary'!AU119)),0),AU207*$BI207),AU207*$BI207),0)</f>
        <v>0</v>
      </c>
      <c r="CY207" s="5">
        <f>IF($BI207&lt;&gt;"",IF('Capacity summary'!$C$14="Yes",IF(COUNTBLANK('Capacity summary'!$H119:$BG119)&lt;52,IF('Capacity summary'!AV119&lt;&gt;"",IF(LOWER('Capacity summary'!AV119)="x",$BI207*AV207,VALUE('Capacity summary'!AV119)),0),AV207*$BI207),AV207*$BI207),0)</f>
        <v>0</v>
      </c>
      <c r="CZ207" s="5">
        <f>IF($BI207&lt;&gt;"",IF('Capacity summary'!$C$14="Yes",IF(COUNTBLANK('Capacity summary'!$H119:$BG119)&lt;52,IF('Capacity summary'!AW119&lt;&gt;"",IF(LOWER('Capacity summary'!AW119)="x",$BI207*AW207,VALUE('Capacity summary'!AW119)),0),AW207*$BI207),AW207*$BI207),0)</f>
        <v>0</v>
      </c>
      <c r="DA207" s="5">
        <f>IF($BI207&lt;&gt;"",IF('Capacity summary'!$C$14="Yes",IF(COUNTBLANK('Capacity summary'!$H119:$BG119)&lt;52,IF('Capacity summary'!AX119&lt;&gt;"",IF(LOWER('Capacity summary'!AX119)="x",$BI207*AX207,VALUE('Capacity summary'!AX119)),0),AX207*$BI207),AX207*$BI207),0)</f>
        <v>0</v>
      </c>
      <c r="DB207" s="5">
        <f>IF($BI207&lt;&gt;"",IF('Capacity summary'!$C$14="Yes",IF(COUNTBLANK('Capacity summary'!$H119:$BG119)&lt;52,IF('Capacity summary'!AY119&lt;&gt;"",IF(LOWER('Capacity summary'!AY119)="x",$BI207*AY207,VALUE('Capacity summary'!AY119)),0),AY207*$BI207),AY207*$BI207),0)</f>
        <v>0</v>
      </c>
      <c r="DC207" s="5">
        <f>IF($BI207&lt;&gt;"",IF('Capacity summary'!$C$14="Yes",IF(COUNTBLANK('Capacity summary'!$H119:$BG119)&lt;52,IF('Capacity summary'!AZ119&lt;&gt;"",IF(LOWER('Capacity summary'!AZ119)="x",$BI207*AZ207,VALUE('Capacity summary'!AZ119)),0),AZ207*$BI207),AZ207*$BI207),0)</f>
        <v>0</v>
      </c>
      <c r="DD207" s="5">
        <f>IF($BI207&lt;&gt;"",IF('Capacity summary'!$C$14="Yes",IF(COUNTBLANK('Capacity summary'!$H119:$BG119)&lt;52,IF('Capacity summary'!BA119&lt;&gt;"",IF(LOWER('Capacity summary'!BA119)="x",$BI207*BA207,VALUE('Capacity summary'!BA119)),0),BA207*$BI207),BA207*$BI207),0)</f>
        <v>0</v>
      </c>
      <c r="DE207" s="5">
        <f>IF($BI207&lt;&gt;"",IF('Capacity summary'!$C$14="Yes",IF(COUNTBLANK('Capacity summary'!$H119:$BG119)&lt;52,IF('Capacity summary'!BB119&lt;&gt;"",IF(LOWER('Capacity summary'!BB119)="x",$BI207*BB207,VALUE('Capacity summary'!BB119)),0),BB207*$BI207),BB207*$BI207),0)</f>
        <v>0</v>
      </c>
      <c r="DF207" s="5">
        <f>IF($BI207&lt;&gt;"",IF('Capacity summary'!$C$14="Yes",IF(COUNTBLANK('Capacity summary'!$H119:$BG119)&lt;52,IF('Capacity summary'!BC119&lt;&gt;"",IF(LOWER('Capacity summary'!BC119)="x",$BI207*BC207,VALUE('Capacity summary'!BC119)),0),BC207*$BI207),BC207*$BI207),0)</f>
        <v>0</v>
      </c>
      <c r="DG207" s="5">
        <f>IF($BI207&lt;&gt;"",IF('Capacity summary'!$C$14="Yes",IF(COUNTBLANK('Capacity summary'!$H119:$BG119)&lt;52,IF('Capacity summary'!BD119&lt;&gt;"",IF(LOWER('Capacity summary'!BD119)="x",$BI207*BD207,VALUE('Capacity summary'!BD119)),0),BD207*$BI207),BD207*$BI207),0)</f>
        <v>0</v>
      </c>
      <c r="DH207" s="5">
        <f>IF($BI207&lt;&gt;"",IF('Capacity summary'!$C$14="Yes",IF(COUNTBLANK('Capacity summary'!$H119:$BG119)&lt;52,IF('Capacity summary'!BE119&lt;&gt;"",IF(LOWER('Capacity summary'!BE119)="x",$BI207*BE207,VALUE('Capacity summary'!BE119)),0),BE207*$BI207),BE207*$BI207),0)</f>
        <v>0</v>
      </c>
      <c r="DI207" s="5">
        <f>IF($BI207&lt;&gt;"",IF('Capacity summary'!$C$14="Yes",IF(COUNTBLANK('Capacity summary'!$H119:$BG119)&lt;52,IF('Capacity summary'!BF119&lt;&gt;"",IF(LOWER('Capacity summary'!BF119)="x",$BI207*BF207,VALUE('Capacity summary'!BF119)),0),BF207*$BI207),BF207*$BI207),0)</f>
        <v>0</v>
      </c>
      <c r="DJ207" s="5">
        <f>IF($BI207&lt;&gt;"",IF('Capacity summary'!$C$14="Yes",IF(COUNTBLANK('Capacity summary'!$H119:$BG119)&lt;52,IF('Capacity summary'!BG119&lt;&gt;"",IF(LOWER('Capacity summary'!BG119)="x",$BI207*BG207,VALUE('Capacity summary'!BG119)),0),BG207*$BI207),BG207*$BI207),0)</f>
        <v>0</v>
      </c>
      <c r="DK207" s="391">
        <f t="shared" si="10"/>
        <v>0</v>
      </c>
      <c r="DL207" s="5">
        <f t="shared" si="11"/>
        <v>0</v>
      </c>
    </row>
    <row r="208" spans="3:116" x14ac:dyDescent="0.2">
      <c r="C208" s="67" t="str">
        <f>ROW(A97)&amp;". "&amp;Capacity!N113</f>
        <v xml:space="preserve">97. </v>
      </c>
      <c r="D208" s="67">
        <f>'Capacity setup'!C214</f>
        <v>0</v>
      </c>
      <c r="E208" s="67">
        <f>'Capacity setup'!D214</f>
        <v>0</v>
      </c>
      <c r="F208" s="67">
        <f>'Capacity setup'!E214</f>
        <v>0</v>
      </c>
      <c r="H208" s="67">
        <f ca="1">IF(LOWER(Capacity!$V113)="x",IF(AND(SUMIF(Capacity_Resource,$D208,'Critical resources (hide)'!U$6:U$105)+SUMIF(Capacity_Resource,$E208,'Critical resources (hide)'!U$6:U$105)+SUMIF(Capacity_Resource,$F208,'Critical resources (hide)'!U$6:U$105)&gt;0,$E$1=2),0,1),0)</f>
        <v>1</v>
      </c>
      <c r="I208" s="67">
        <f ca="1">IF(LOWER(Capacity!$V113)="x",IF(AND(SUMIF(Capacity_Resource,$D208,'Critical resources (hide)'!V$6:V$105)+SUMIF(Capacity_Resource,$E208,'Critical resources (hide)'!V$6:V$105)+SUMIF(Capacity_Resource,$F208,'Critical resources (hide)'!V$6:V$105)&gt;0,$E$1=2),0,1),0)</f>
        <v>1</v>
      </c>
      <c r="J208" s="67">
        <f ca="1">IF(LOWER(Capacity!$V113)="x",IF(AND(SUMIF(Capacity_Resource,$D208,'Critical resources (hide)'!W$6:W$105)+SUMIF(Capacity_Resource,$E208,'Critical resources (hide)'!W$6:W$105)+SUMIF(Capacity_Resource,$F208,'Critical resources (hide)'!W$6:W$105)&gt;0,$E$1=2),0,1),0)</f>
        <v>1</v>
      </c>
      <c r="K208" s="67">
        <f ca="1">IF(LOWER(Capacity!$V113)="x",IF(AND(SUMIF(Capacity_Resource,$D208,'Critical resources (hide)'!X$6:X$105)+SUMIF(Capacity_Resource,$E208,'Critical resources (hide)'!X$6:X$105)+SUMIF(Capacity_Resource,$F208,'Critical resources (hide)'!X$6:X$105)&gt;0,$E$1=2),0,1),0)</f>
        <v>1</v>
      </c>
      <c r="L208" s="67">
        <f ca="1">IF(LOWER(Capacity!$V113)="x",IF(AND(SUMIF(Capacity_Resource,$D208,'Critical resources (hide)'!Y$6:Y$105)+SUMIF(Capacity_Resource,$E208,'Critical resources (hide)'!Y$6:Y$105)+SUMIF(Capacity_Resource,$F208,'Critical resources (hide)'!Y$6:Y$105)&gt;0,$E$1=2),0,1),0)</f>
        <v>1</v>
      </c>
      <c r="M208" s="67">
        <f ca="1">IF(LOWER(Capacity!$V113)="x",IF(AND(SUMIF(Capacity_Resource,$D208,'Critical resources (hide)'!Z$6:Z$105)+SUMIF(Capacity_Resource,$E208,'Critical resources (hide)'!Z$6:Z$105)+SUMIF(Capacity_Resource,$F208,'Critical resources (hide)'!Z$6:Z$105)&gt;0,$E$1=2),0,1),0)</f>
        <v>1</v>
      </c>
      <c r="N208" s="67">
        <f ca="1">IF(LOWER(Capacity!$V113)="x",IF(AND(SUMIF(Capacity_Resource,$D208,'Critical resources (hide)'!AA$6:AA$105)+SUMIF(Capacity_Resource,$E208,'Critical resources (hide)'!AA$6:AA$105)+SUMIF(Capacity_Resource,$F208,'Critical resources (hide)'!AA$6:AA$105)&gt;0,$E$1=2),0,1),0)</f>
        <v>1</v>
      </c>
      <c r="O208" s="67">
        <f ca="1">IF(LOWER(Capacity!$V113)="x",IF(AND(SUMIF(Capacity_Resource,$D208,'Critical resources (hide)'!AB$6:AB$105)+SUMIF(Capacity_Resource,$E208,'Critical resources (hide)'!AB$6:AB$105)+SUMIF(Capacity_Resource,$F208,'Critical resources (hide)'!AB$6:AB$105)&gt;0,$E$1=2),0,1),0)</f>
        <v>1</v>
      </c>
      <c r="P208" s="67">
        <f ca="1">IF(LOWER(Capacity!$V113)="x",IF(AND(SUMIF(Capacity_Resource,$D208,'Critical resources (hide)'!AC$6:AC$105)+SUMIF(Capacity_Resource,$E208,'Critical resources (hide)'!AC$6:AC$105)+SUMIF(Capacity_Resource,$F208,'Critical resources (hide)'!AC$6:AC$105)&gt;0,$E$1=2),0,1),0)</f>
        <v>1</v>
      </c>
      <c r="Q208" s="67">
        <f ca="1">IF(LOWER(Capacity!$V113)="x",IF(AND(SUMIF(Capacity_Resource,$D208,'Critical resources (hide)'!AD$6:AD$105)+SUMIF(Capacity_Resource,$E208,'Critical resources (hide)'!AD$6:AD$105)+SUMIF(Capacity_Resource,$F208,'Critical resources (hide)'!AD$6:AD$105)&gt;0,$E$1=2),0,1),0)</f>
        <v>1</v>
      </c>
      <c r="R208" s="67">
        <f ca="1">IF(LOWER(Capacity!$V113)="x",IF(AND(SUMIF(Capacity_Resource,$D208,'Critical resources (hide)'!AE$6:AE$105)+SUMIF(Capacity_Resource,$E208,'Critical resources (hide)'!AE$6:AE$105)+SUMIF(Capacity_Resource,$F208,'Critical resources (hide)'!AE$6:AE$105)&gt;0,$E$1=2),0,1),0)</f>
        <v>1</v>
      </c>
      <c r="S208" s="67">
        <f ca="1">IF(LOWER(Capacity!$V113)="x",IF(AND(SUMIF(Capacity_Resource,$D208,'Critical resources (hide)'!AF$6:AF$105)+SUMIF(Capacity_Resource,$E208,'Critical resources (hide)'!AF$6:AF$105)+SUMIF(Capacity_Resource,$F208,'Critical resources (hide)'!AF$6:AF$105)&gt;0,$E$1=2),0,1),0)</f>
        <v>1</v>
      </c>
      <c r="T208" s="67">
        <f ca="1">IF(LOWER(Capacity!$V113)="x",IF(AND(SUMIF(Capacity_Resource,$D208,'Critical resources (hide)'!AG$6:AG$105)+SUMIF(Capacity_Resource,$E208,'Critical resources (hide)'!AG$6:AG$105)+SUMIF(Capacity_Resource,$F208,'Critical resources (hide)'!AG$6:AG$105)&gt;0,$E$1=2),0,1),0)</f>
        <v>1</v>
      </c>
      <c r="U208" s="67">
        <f ca="1">IF(LOWER(Capacity!$V113)="x",IF(AND(SUMIF(Capacity_Resource,$D208,'Critical resources (hide)'!AH$6:AH$105)+SUMIF(Capacity_Resource,$E208,'Critical resources (hide)'!AH$6:AH$105)+SUMIF(Capacity_Resource,$F208,'Critical resources (hide)'!AH$6:AH$105)&gt;0,$E$1=2),0,1),0)</f>
        <v>1</v>
      </c>
      <c r="V208" s="67">
        <f ca="1">IF(LOWER(Capacity!$V113)="x",IF(AND(SUMIF(Capacity_Resource,$D208,'Critical resources (hide)'!AI$6:AI$105)+SUMIF(Capacity_Resource,$E208,'Critical resources (hide)'!AI$6:AI$105)+SUMIF(Capacity_Resource,$F208,'Critical resources (hide)'!AI$6:AI$105)&gt;0,$E$1=2),0,1),0)</f>
        <v>1</v>
      </c>
      <c r="W208" s="67">
        <f ca="1">IF(LOWER(Capacity!$V113)="x",IF(AND(SUMIF(Capacity_Resource,$D208,'Critical resources (hide)'!AJ$6:AJ$105)+SUMIF(Capacity_Resource,$E208,'Critical resources (hide)'!AJ$6:AJ$105)+SUMIF(Capacity_Resource,$F208,'Critical resources (hide)'!AJ$6:AJ$105)&gt;0,$E$1=2),0,1),0)</f>
        <v>1</v>
      </c>
      <c r="X208" s="67">
        <f ca="1">IF(LOWER(Capacity!$V113)="x",IF(AND(SUMIF(Capacity_Resource,$D208,'Critical resources (hide)'!AK$6:AK$105)+SUMIF(Capacity_Resource,$E208,'Critical resources (hide)'!AK$6:AK$105)+SUMIF(Capacity_Resource,$F208,'Critical resources (hide)'!AK$6:AK$105)&gt;0,$E$1=2),0,1),0)</f>
        <v>1</v>
      </c>
      <c r="Y208" s="67">
        <f ca="1">IF(LOWER(Capacity!$V113)="x",IF(AND(SUMIF(Capacity_Resource,$D208,'Critical resources (hide)'!AL$6:AL$105)+SUMIF(Capacity_Resource,$E208,'Critical resources (hide)'!AL$6:AL$105)+SUMIF(Capacity_Resource,$F208,'Critical resources (hide)'!AL$6:AL$105)&gt;0,$E$1=2),0,1),0)</f>
        <v>1</v>
      </c>
      <c r="Z208" s="67">
        <f ca="1">IF(LOWER(Capacity!$V113)="x",IF(AND(SUMIF(Capacity_Resource,$D208,'Critical resources (hide)'!AM$6:AM$105)+SUMIF(Capacity_Resource,$E208,'Critical resources (hide)'!AM$6:AM$105)+SUMIF(Capacity_Resource,$F208,'Critical resources (hide)'!AM$6:AM$105)&gt;0,$E$1=2),0,1),0)</f>
        <v>1</v>
      </c>
      <c r="AA208" s="67">
        <f ca="1">IF(LOWER(Capacity!$V113)="x",IF(AND(SUMIF(Capacity_Resource,$D208,'Critical resources (hide)'!AN$6:AN$105)+SUMIF(Capacity_Resource,$E208,'Critical resources (hide)'!AN$6:AN$105)+SUMIF(Capacity_Resource,$F208,'Critical resources (hide)'!AN$6:AN$105)&gt;0,$E$1=2),0,1),0)</f>
        <v>1</v>
      </c>
      <c r="AB208" s="67">
        <f ca="1">IF(LOWER(Capacity!$V113)="x",IF(AND(SUMIF(Capacity_Resource,$D208,'Critical resources (hide)'!AO$6:AO$105)+SUMIF(Capacity_Resource,$E208,'Critical resources (hide)'!AO$6:AO$105)+SUMIF(Capacity_Resource,$F208,'Critical resources (hide)'!AO$6:AO$105)&gt;0,$E$1=2),0,1),0)</f>
        <v>1</v>
      </c>
      <c r="AC208" s="67">
        <f ca="1">IF(LOWER(Capacity!$V113)="x",IF(AND(SUMIF(Capacity_Resource,$D208,'Critical resources (hide)'!AP$6:AP$105)+SUMIF(Capacity_Resource,$E208,'Critical resources (hide)'!AP$6:AP$105)+SUMIF(Capacity_Resource,$F208,'Critical resources (hide)'!AP$6:AP$105)&gt;0,$E$1=2),0,1),0)</f>
        <v>1</v>
      </c>
      <c r="AD208" s="67">
        <f ca="1">IF(LOWER(Capacity!$V113)="x",IF(AND(SUMIF(Capacity_Resource,$D208,'Critical resources (hide)'!AQ$6:AQ$105)+SUMIF(Capacity_Resource,$E208,'Critical resources (hide)'!AQ$6:AQ$105)+SUMIF(Capacity_Resource,$F208,'Critical resources (hide)'!AQ$6:AQ$105)&gt;0,$E$1=2),0,1),0)</f>
        <v>1</v>
      </c>
      <c r="AE208" s="67">
        <f ca="1">IF(LOWER(Capacity!$V113)="x",IF(AND(SUMIF(Capacity_Resource,$D208,'Critical resources (hide)'!AR$6:AR$105)+SUMIF(Capacity_Resource,$E208,'Critical resources (hide)'!AR$6:AR$105)+SUMIF(Capacity_Resource,$F208,'Critical resources (hide)'!AR$6:AR$105)&gt;0,$E$1=2),0,1),0)</f>
        <v>1</v>
      </c>
      <c r="AF208" s="67">
        <f ca="1">IF(LOWER(Capacity!$V113)="x",IF(AND(SUMIF(Capacity_Resource,$D208,'Critical resources (hide)'!AS$6:AS$105)+SUMIF(Capacity_Resource,$E208,'Critical resources (hide)'!AS$6:AS$105)+SUMIF(Capacity_Resource,$F208,'Critical resources (hide)'!AS$6:AS$105)&gt;0,$E$1=2),0,1),0)</f>
        <v>1</v>
      </c>
      <c r="AG208" s="67">
        <f ca="1">IF(LOWER(Capacity!$V113)="x",IF(AND(SUMIF(Capacity_Resource,$D208,'Critical resources (hide)'!AT$6:AT$105)+SUMIF(Capacity_Resource,$E208,'Critical resources (hide)'!AT$6:AT$105)+SUMIF(Capacity_Resource,$F208,'Critical resources (hide)'!AT$6:AT$105)&gt;0,$E$1=2),0,1),0)</f>
        <v>1</v>
      </c>
      <c r="AH208" s="67">
        <f ca="1">IF(LOWER(Capacity!$V113)="x",IF(AND(SUMIF(Capacity_Resource,$D208,'Critical resources (hide)'!AU$6:AU$105)+SUMIF(Capacity_Resource,$E208,'Critical resources (hide)'!AU$6:AU$105)+SUMIF(Capacity_Resource,$F208,'Critical resources (hide)'!AU$6:AU$105)&gt;0,$E$1=2),0,1),0)</f>
        <v>1</v>
      </c>
      <c r="AI208" s="67">
        <f ca="1">IF(LOWER(Capacity!$V113)="x",IF(AND(SUMIF(Capacity_Resource,$D208,'Critical resources (hide)'!AV$6:AV$105)+SUMIF(Capacity_Resource,$E208,'Critical resources (hide)'!AV$6:AV$105)+SUMIF(Capacity_Resource,$F208,'Critical resources (hide)'!AV$6:AV$105)&gt;0,$E$1=2),0,1),0)</f>
        <v>1</v>
      </c>
      <c r="AJ208" s="67">
        <f ca="1">IF(LOWER(Capacity!$V113)="x",IF(AND(SUMIF(Capacity_Resource,$D208,'Critical resources (hide)'!AW$6:AW$105)+SUMIF(Capacity_Resource,$E208,'Critical resources (hide)'!AW$6:AW$105)+SUMIF(Capacity_Resource,$F208,'Critical resources (hide)'!AW$6:AW$105)&gt;0,$E$1=2),0,1),0)</f>
        <v>1</v>
      </c>
      <c r="AK208" s="67">
        <f ca="1">IF(LOWER(Capacity!$V113)="x",IF(AND(SUMIF(Capacity_Resource,$D208,'Critical resources (hide)'!AX$6:AX$105)+SUMIF(Capacity_Resource,$E208,'Critical resources (hide)'!AX$6:AX$105)+SUMIF(Capacity_Resource,$F208,'Critical resources (hide)'!AX$6:AX$105)&gt;0,$E$1=2),0,1),0)</f>
        <v>1</v>
      </c>
      <c r="AL208" s="67">
        <f ca="1">IF(LOWER(Capacity!$V113)="x",IF(AND(SUMIF(Capacity_Resource,$D208,'Critical resources (hide)'!AY$6:AY$105)+SUMIF(Capacity_Resource,$E208,'Critical resources (hide)'!AY$6:AY$105)+SUMIF(Capacity_Resource,$F208,'Critical resources (hide)'!AY$6:AY$105)&gt;0,$E$1=2),0,1),0)</f>
        <v>1</v>
      </c>
      <c r="AM208" s="67">
        <f ca="1">IF(LOWER(Capacity!$V113)="x",IF(AND(SUMIF(Capacity_Resource,$D208,'Critical resources (hide)'!AZ$6:AZ$105)+SUMIF(Capacity_Resource,$E208,'Critical resources (hide)'!AZ$6:AZ$105)+SUMIF(Capacity_Resource,$F208,'Critical resources (hide)'!AZ$6:AZ$105)&gt;0,$E$1=2),0,1),0)</f>
        <v>1</v>
      </c>
      <c r="AN208" s="67">
        <f ca="1">IF(LOWER(Capacity!$V113)="x",IF(AND(SUMIF(Capacity_Resource,$D208,'Critical resources (hide)'!BA$6:BA$105)+SUMIF(Capacity_Resource,$E208,'Critical resources (hide)'!BA$6:BA$105)+SUMIF(Capacity_Resource,$F208,'Critical resources (hide)'!BA$6:BA$105)&gt;0,$E$1=2),0,1),0)</f>
        <v>1</v>
      </c>
      <c r="AO208" s="67">
        <f ca="1">IF(LOWER(Capacity!$V113)="x",IF(AND(SUMIF(Capacity_Resource,$D208,'Critical resources (hide)'!BB$6:BB$105)+SUMIF(Capacity_Resource,$E208,'Critical resources (hide)'!BB$6:BB$105)+SUMIF(Capacity_Resource,$F208,'Critical resources (hide)'!BB$6:BB$105)&gt;0,$E$1=2),0,1),0)</f>
        <v>1</v>
      </c>
      <c r="AP208" s="67">
        <f ca="1">IF(LOWER(Capacity!$V113)="x",IF(AND(SUMIF(Capacity_Resource,$D208,'Critical resources (hide)'!BC$6:BC$105)+SUMIF(Capacity_Resource,$E208,'Critical resources (hide)'!BC$6:BC$105)+SUMIF(Capacity_Resource,$F208,'Critical resources (hide)'!BC$6:BC$105)&gt;0,$E$1=2),0,1),0)</f>
        <v>1</v>
      </c>
      <c r="AQ208" s="67">
        <f ca="1">IF(LOWER(Capacity!$V113)="x",IF(AND(SUMIF(Capacity_Resource,$D208,'Critical resources (hide)'!BD$6:BD$105)+SUMIF(Capacity_Resource,$E208,'Critical resources (hide)'!BD$6:BD$105)+SUMIF(Capacity_Resource,$F208,'Critical resources (hide)'!BD$6:BD$105)&gt;0,$E$1=2),0,1),0)</f>
        <v>1</v>
      </c>
      <c r="AR208" s="67">
        <f ca="1">IF(LOWER(Capacity!$V113)="x",IF(AND(SUMIF(Capacity_Resource,$D208,'Critical resources (hide)'!BE$6:BE$105)+SUMIF(Capacity_Resource,$E208,'Critical resources (hide)'!BE$6:BE$105)+SUMIF(Capacity_Resource,$F208,'Critical resources (hide)'!BE$6:BE$105)&gt;0,$E$1=2),0,1),0)</f>
        <v>1</v>
      </c>
      <c r="AS208" s="67">
        <f ca="1">IF(LOWER(Capacity!$V113)="x",IF(AND(SUMIF(Capacity_Resource,$D208,'Critical resources (hide)'!BF$6:BF$105)+SUMIF(Capacity_Resource,$E208,'Critical resources (hide)'!BF$6:BF$105)+SUMIF(Capacity_Resource,$F208,'Critical resources (hide)'!BF$6:BF$105)&gt;0,$E$1=2),0,1),0)</f>
        <v>1</v>
      </c>
      <c r="AT208" s="67">
        <f ca="1">IF(LOWER(Capacity!$V113)="x",IF(AND(SUMIF(Capacity_Resource,$D208,'Critical resources (hide)'!BG$6:BG$105)+SUMIF(Capacity_Resource,$E208,'Critical resources (hide)'!BG$6:BG$105)+SUMIF(Capacity_Resource,$F208,'Critical resources (hide)'!BG$6:BG$105)&gt;0,$E$1=2),0,1),0)</f>
        <v>1</v>
      </c>
      <c r="AU208" s="67">
        <f ca="1">IF(LOWER(Capacity!$V113)="x",IF(AND(SUMIF(Capacity_Resource,$D208,'Critical resources (hide)'!BH$6:BH$105)+SUMIF(Capacity_Resource,$E208,'Critical resources (hide)'!BH$6:BH$105)+SUMIF(Capacity_Resource,$F208,'Critical resources (hide)'!BH$6:BH$105)&gt;0,$E$1=2),0,1),0)</f>
        <v>1</v>
      </c>
      <c r="AV208" s="67">
        <f ca="1">IF(LOWER(Capacity!$V113)="x",IF(AND(SUMIF(Capacity_Resource,$D208,'Critical resources (hide)'!BI$6:BI$105)+SUMIF(Capacity_Resource,$E208,'Critical resources (hide)'!BI$6:BI$105)+SUMIF(Capacity_Resource,$F208,'Critical resources (hide)'!BI$6:BI$105)&gt;0,$E$1=2),0,1),0)</f>
        <v>1</v>
      </c>
      <c r="AW208" s="67">
        <f ca="1">IF(LOWER(Capacity!$V113)="x",IF(AND(SUMIF(Capacity_Resource,$D208,'Critical resources (hide)'!BJ$6:BJ$105)+SUMIF(Capacity_Resource,$E208,'Critical resources (hide)'!BJ$6:BJ$105)+SUMIF(Capacity_Resource,$F208,'Critical resources (hide)'!BJ$6:BJ$105)&gt;0,$E$1=2),0,1),0)</f>
        <v>1</v>
      </c>
      <c r="AX208" s="67">
        <f ca="1">IF(LOWER(Capacity!$V113)="x",IF(AND(SUMIF(Capacity_Resource,$D208,'Critical resources (hide)'!BK$6:BK$105)+SUMIF(Capacity_Resource,$E208,'Critical resources (hide)'!BK$6:BK$105)+SUMIF(Capacity_Resource,$F208,'Critical resources (hide)'!BK$6:BK$105)&gt;0,$E$1=2),0,1),0)</f>
        <v>1</v>
      </c>
      <c r="AY208" s="67">
        <f ca="1">IF(LOWER(Capacity!$V113)="x",IF(AND(SUMIF(Capacity_Resource,$D208,'Critical resources (hide)'!BL$6:BL$105)+SUMIF(Capacity_Resource,$E208,'Critical resources (hide)'!BL$6:BL$105)+SUMIF(Capacity_Resource,$F208,'Critical resources (hide)'!BL$6:BL$105)&gt;0,$E$1=2),0,1),0)</f>
        <v>1</v>
      </c>
      <c r="AZ208" s="67">
        <f ca="1">IF(LOWER(Capacity!$V113)="x",IF(AND(SUMIF(Capacity_Resource,$D208,'Critical resources (hide)'!BM$6:BM$105)+SUMIF(Capacity_Resource,$E208,'Critical resources (hide)'!BM$6:BM$105)+SUMIF(Capacity_Resource,$F208,'Critical resources (hide)'!BM$6:BM$105)&gt;0,$E$1=2),0,1),0)</f>
        <v>1</v>
      </c>
      <c r="BA208" s="67">
        <f ca="1">IF(LOWER(Capacity!$V113)="x",IF(AND(SUMIF(Capacity_Resource,$D208,'Critical resources (hide)'!BN$6:BN$105)+SUMIF(Capacity_Resource,$E208,'Critical resources (hide)'!BN$6:BN$105)+SUMIF(Capacity_Resource,$F208,'Critical resources (hide)'!BN$6:BN$105)&gt;0,$E$1=2),0,1),0)</f>
        <v>1</v>
      </c>
      <c r="BB208" s="67">
        <f ca="1">IF(LOWER(Capacity!$V113)="x",IF(AND(SUMIF(Capacity_Resource,$D208,'Critical resources (hide)'!BO$6:BO$105)+SUMIF(Capacity_Resource,$E208,'Critical resources (hide)'!BO$6:BO$105)+SUMIF(Capacity_Resource,$F208,'Critical resources (hide)'!BO$6:BO$105)&gt;0,$E$1=2),0,1),0)</f>
        <v>1</v>
      </c>
      <c r="BC208" s="67">
        <f ca="1">IF(LOWER(Capacity!$V113)="x",IF(AND(SUMIF(Capacity_Resource,$D208,'Critical resources (hide)'!BP$6:BP$105)+SUMIF(Capacity_Resource,$E208,'Critical resources (hide)'!BP$6:BP$105)+SUMIF(Capacity_Resource,$F208,'Critical resources (hide)'!BP$6:BP$105)&gt;0,$E$1=2),0,1),0)</f>
        <v>1</v>
      </c>
      <c r="BD208" s="67">
        <f ca="1">IF(LOWER(Capacity!$V113)="x",IF(AND(SUMIF(Capacity_Resource,$D208,'Critical resources (hide)'!BQ$6:BQ$105)+SUMIF(Capacity_Resource,$E208,'Critical resources (hide)'!BQ$6:BQ$105)+SUMIF(Capacity_Resource,$F208,'Critical resources (hide)'!BQ$6:BQ$105)&gt;0,$E$1=2),0,1),0)</f>
        <v>1</v>
      </c>
      <c r="BE208" s="67">
        <f ca="1">IF(LOWER(Capacity!$V113)="x",IF(AND(SUMIF(Capacity_Resource,$D208,'Critical resources (hide)'!BR$6:BR$105)+SUMIF(Capacity_Resource,$E208,'Critical resources (hide)'!BR$6:BR$105)+SUMIF(Capacity_Resource,$F208,'Critical resources (hide)'!BR$6:BR$105)&gt;0,$E$1=2),0,1),0)</f>
        <v>1</v>
      </c>
      <c r="BF208" s="67">
        <f ca="1">IF(LOWER(Capacity!$V113)="x",IF(AND(SUMIF(Capacity_Resource,$D208,'Critical resources (hide)'!BS$6:BS$105)+SUMIF(Capacity_Resource,$E208,'Critical resources (hide)'!BS$6:BS$105)+SUMIF(Capacity_Resource,$F208,'Critical resources (hide)'!BS$6:BS$105)&gt;0,$E$1=2),0,1),0)</f>
        <v>1</v>
      </c>
      <c r="BG208" s="67">
        <f ca="1">IF(LOWER(Capacity!$V113)="x",IF(AND(SUMIF(Capacity_Resource,$D208,'Critical resources (hide)'!BT$6:BT$105)+SUMIF(Capacity_Resource,$E208,'Critical resources (hide)'!BT$6:BT$105)+SUMIF(Capacity_Resource,$F208,'Critical resources (hide)'!BT$6:BT$105)&gt;0,$E$1=2),0,1),0)</f>
        <v>1</v>
      </c>
      <c r="BH208" s="67">
        <f>IF(ROW(A97)&lt;=Capacity!$M$16,IF('Capacity summary'!$C$14="No",SUM(H208:BG208),'Capacity summary'!$E120),0)</f>
        <v>0</v>
      </c>
      <c r="BI208" s="67" t="str">
        <f>IF(BH208&gt;0,IF(BH208&lt;Capacity!Q113,Capacity!R113,Capacity!T113/'Capacity calculation (hide)'!BH208),"")</f>
        <v/>
      </c>
      <c r="BJ208" s="5"/>
      <c r="BK208" s="5">
        <f>IF($BI208&lt;&gt;"",IF('Capacity summary'!$C$14="Yes",IF(COUNTBLANK('Capacity summary'!$H120:$BG120)&lt;52,IF('Capacity summary'!H120&lt;&gt;"",IF(LOWER('Capacity summary'!H120)="x",$BI208*H208,VALUE('Capacity summary'!H120)),0),H208*$BI208),H208*$BI208),0)</f>
        <v>0</v>
      </c>
      <c r="BL208" s="5">
        <f>IF($BI208&lt;&gt;"",IF('Capacity summary'!$C$14="Yes",IF(COUNTBLANK('Capacity summary'!$H120:$BG120)&lt;52,IF('Capacity summary'!I120&lt;&gt;"",IF(LOWER('Capacity summary'!I120)="x",$BI208*I208,VALUE('Capacity summary'!I120)),0),I208*$BI208),I208*$BI208),0)</f>
        <v>0</v>
      </c>
      <c r="BM208" s="5">
        <f>IF($BI208&lt;&gt;"",IF('Capacity summary'!$C$14="Yes",IF(COUNTBLANK('Capacity summary'!$H120:$BG120)&lt;52,IF('Capacity summary'!J120&lt;&gt;"",IF(LOWER('Capacity summary'!J120)="x",$BI208*J208,VALUE('Capacity summary'!J120)),0),J208*$BI208),J208*$BI208),0)</f>
        <v>0</v>
      </c>
      <c r="BN208" s="5">
        <f>IF($BI208&lt;&gt;"",IF('Capacity summary'!$C$14="Yes",IF(COUNTBLANK('Capacity summary'!$H120:$BG120)&lt;52,IF('Capacity summary'!K120&lt;&gt;"",IF(LOWER('Capacity summary'!K120)="x",$BI208*K208,VALUE('Capacity summary'!K120)),0),K208*$BI208),K208*$BI208),0)</f>
        <v>0</v>
      </c>
      <c r="BO208" s="5">
        <f>IF($BI208&lt;&gt;"",IF('Capacity summary'!$C$14="Yes",IF(COUNTBLANK('Capacity summary'!$H120:$BG120)&lt;52,IF('Capacity summary'!L120&lt;&gt;"",IF(LOWER('Capacity summary'!L120)="x",$BI208*L208,VALUE('Capacity summary'!L120)),0),L208*$BI208),L208*$BI208),0)</f>
        <v>0</v>
      </c>
      <c r="BP208" s="5">
        <f>IF($BI208&lt;&gt;"",IF('Capacity summary'!$C$14="Yes",IF(COUNTBLANK('Capacity summary'!$H120:$BG120)&lt;52,IF('Capacity summary'!M120&lt;&gt;"",IF(LOWER('Capacity summary'!M120)="x",$BI208*M208,VALUE('Capacity summary'!M120)),0),M208*$BI208),M208*$BI208),0)</f>
        <v>0</v>
      </c>
      <c r="BQ208" s="5">
        <f>IF($BI208&lt;&gt;"",IF('Capacity summary'!$C$14="Yes",IF(COUNTBLANK('Capacity summary'!$H120:$BG120)&lt;52,IF('Capacity summary'!N120&lt;&gt;"",IF(LOWER('Capacity summary'!N120)="x",$BI208*N208,VALUE('Capacity summary'!N120)),0),N208*$BI208),N208*$BI208),0)</f>
        <v>0</v>
      </c>
      <c r="BR208" s="5">
        <f>IF($BI208&lt;&gt;"",IF('Capacity summary'!$C$14="Yes",IF(COUNTBLANK('Capacity summary'!$H120:$BG120)&lt;52,IF('Capacity summary'!O120&lt;&gt;"",IF(LOWER('Capacity summary'!O120)="x",$BI208*O208,VALUE('Capacity summary'!O120)),0),O208*$BI208),O208*$BI208),0)</f>
        <v>0</v>
      </c>
      <c r="BS208" s="5">
        <f>IF($BI208&lt;&gt;"",IF('Capacity summary'!$C$14="Yes",IF(COUNTBLANK('Capacity summary'!$H120:$BG120)&lt;52,IF('Capacity summary'!P120&lt;&gt;"",IF(LOWER('Capacity summary'!P120)="x",$BI208*P208,VALUE('Capacity summary'!P120)),0),P208*$BI208),P208*$BI208),0)</f>
        <v>0</v>
      </c>
      <c r="BT208" s="5">
        <f>IF($BI208&lt;&gt;"",IF('Capacity summary'!$C$14="Yes",IF(COUNTBLANK('Capacity summary'!$H120:$BG120)&lt;52,IF('Capacity summary'!Q120&lt;&gt;"",IF(LOWER('Capacity summary'!Q120)="x",$BI208*Q208,VALUE('Capacity summary'!Q120)),0),Q208*$BI208),Q208*$BI208),0)</f>
        <v>0</v>
      </c>
      <c r="BU208" s="5">
        <f>IF($BI208&lt;&gt;"",IF('Capacity summary'!$C$14="Yes",IF(COUNTBLANK('Capacity summary'!$H120:$BG120)&lt;52,IF('Capacity summary'!R120&lt;&gt;"",IF(LOWER('Capacity summary'!R120)="x",$BI208*R208,VALUE('Capacity summary'!R120)),0),R208*$BI208),R208*$BI208),0)</f>
        <v>0</v>
      </c>
      <c r="BV208" s="5">
        <f>IF($BI208&lt;&gt;"",IF('Capacity summary'!$C$14="Yes",IF(COUNTBLANK('Capacity summary'!$H120:$BG120)&lt;52,IF('Capacity summary'!S120&lt;&gt;"",IF(LOWER('Capacity summary'!S120)="x",$BI208*S208,VALUE('Capacity summary'!S120)),0),S208*$BI208),S208*$BI208),0)</f>
        <v>0</v>
      </c>
      <c r="BW208" s="5">
        <f>IF($BI208&lt;&gt;"",IF('Capacity summary'!$C$14="Yes",IF(COUNTBLANK('Capacity summary'!$H120:$BG120)&lt;52,IF('Capacity summary'!T120&lt;&gt;"",IF(LOWER('Capacity summary'!T120)="x",$BI208*T208,VALUE('Capacity summary'!T120)),0),T208*$BI208),T208*$BI208),0)</f>
        <v>0</v>
      </c>
      <c r="BX208" s="5">
        <f>IF($BI208&lt;&gt;"",IF('Capacity summary'!$C$14="Yes",IF(COUNTBLANK('Capacity summary'!$H120:$BG120)&lt;52,IF('Capacity summary'!U120&lt;&gt;"",IF(LOWER('Capacity summary'!U120)="x",$BI208*U208,VALUE('Capacity summary'!U120)),0),U208*$BI208),U208*$BI208),0)</f>
        <v>0</v>
      </c>
      <c r="BY208" s="5">
        <f>IF($BI208&lt;&gt;"",IF('Capacity summary'!$C$14="Yes",IF(COUNTBLANK('Capacity summary'!$H120:$BG120)&lt;52,IF('Capacity summary'!V120&lt;&gt;"",IF(LOWER('Capacity summary'!V120)="x",$BI208*V208,VALUE('Capacity summary'!V120)),0),V208*$BI208),V208*$BI208),0)</f>
        <v>0</v>
      </c>
      <c r="BZ208" s="5">
        <f>IF($BI208&lt;&gt;"",IF('Capacity summary'!$C$14="Yes",IF(COUNTBLANK('Capacity summary'!$H120:$BG120)&lt;52,IF('Capacity summary'!W120&lt;&gt;"",IF(LOWER('Capacity summary'!W120)="x",$BI208*W208,VALUE('Capacity summary'!W120)),0),W208*$BI208),W208*$BI208),0)</f>
        <v>0</v>
      </c>
      <c r="CA208" s="5">
        <f>IF($BI208&lt;&gt;"",IF('Capacity summary'!$C$14="Yes",IF(COUNTBLANK('Capacity summary'!$H120:$BG120)&lt;52,IF('Capacity summary'!X120&lt;&gt;"",IF(LOWER('Capacity summary'!X120)="x",$BI208*X208,VALUE('Capacity summary'!X120)),0),X208*$BI208),X208*$BI208),0)</f>
        <v>0</v>
      </c>
      <c r="CB208" s="5">
        <f>IF($BI208&lt;&gt;"",IF('Capacity summary'!$C$14="Yes",IF(COUNTBLANK('Capacity summary'!$H120:$BG120)&lt;52,IF('Capacity summary'!Y120&lt;&gt;"",IF(LOWER('Capacity summary'!Y120)="x",$BI208*Y208,VALUE('Capacity summary'!Y120)),0),Y208*$BI208),Y208*$BI208),0)</f>
        <v>0</v>
      </c>
      <c r="CC208" s="5">
        <f>IF($BI208&lt;&gt;"",IF('Capacity summary'!$C$14="Yes",IF(COUNTBLANK('Capacity summary'!$H120:$BG120)&lt;52,IF('Capacity summary'!Z120&lt;&gt;"",IF(LOWER('Capacity summary'!Z120)="x",$BI208*Z208,VALUE('Capacity summary'!Z120)),0),Z208*$BI208),Z208*$BI208),0)</f>
        <v>0</v>
      </c>
      <c r="CD208" s="5">
        <f>IF($BI208&lt;&gt;"",IF('Capacity summary'!$C$14="Yes",IF(COUNTBLANK('Capacity summary'!$H120:$BG120)&lt;52,IF('Capacity summary'!AA120&lt;&gt;"",IF(LOWER('Capacity summary'!AA120)="x",$BI208*AA208,VALUE('Capacity summary'!AA120)),0),AA208*$BI208),AA208*$BI208),0)</f>
        <v>0</v>
      </c>
      <c r="CE208" s="5">
        <f>IF($BI208&lt;&gt;"",IF('Capacity summary'!$C$14="Yes",IF(COUNTBLANK('Capacity summary'!$H120:$BG120)&lt;52,IF('Capacity summary'!AB120&lt;&gt;"",IF(LOWER('Capacity summary'!AB120)="x",$BI208*AB208,VALUE('Capacity summary'!AB120)),0),AB208*$BI208),AB208*$BI208),0)</f>
        <v>0</v>
      </c>
      <c r="CF208" s="5">
        <f>IF($BI208&lt;&gt;"",IF('Capacity summary'!$C$14="Yes",IF(COUNTBLANK('Capacity summary'!$H120:$BG120)&lt;52,IF('Capacity summary'!AC120&lt;&gt;"",IF(LOWER('Capacity summary'!AC120)="x",$BI208*AC208,VALUE('Capacity summary'!AC120)),0),AC208*$BI208),AC208*$BI208),0)</f>
        <v>0</v>
      </c>
      <c r="CG208" s="5">
        <f>IF($BI208&lt;&gt;"",IF('Capacity summary'!$C$14="Yes",IF(COUNTBLANK('Capacity summary'!$H120:$BG120)&lt;52,IF('Capacity summary'!AD120&lt;&gt;"",IF(LOWER('Capacity summary'!AD120)="x",$BI208*AD208,VALUE('Capacity summary'!AD120)),0),AD208*$BI208),AD208*$BI208),0)</f>
        <v>0</v>
      </c>
      <c r="CH208" s="5">
        <f>IF($BI208&lt;&gt;"",IF('Capacity summary'!$C$14="Yes",IF(COUNTBLANK('Capacity summary'!$H120:$BG120)&lt;52,IF('Capacity summary'!AE120&lt;&gt;"",IF(LOWER('Capacity summary'!AE120)="x",$BI208*AE208,VALUE('Capacity summary'!AE120)),0),AE208*$BI208),AE208*$BI208),0)</f>
        <v>0</v>
      </c>
      <c r="CI208" s="5">
        <f>IF($BI208&lt;&gt;"",IF('Capacity summary'!$C$14="Yes",IF(COUNTBLANK('Capacity summary'!$H120:$BG120)&lt;52,IF('Capacity summary'!AF120&lt;&gt;"",IF(LOWER('Capacity summary'!AF120)="x",$BI208*AF208,VALUE('Capacity summary'!AF120)),0),AF208*$BI208),AF208*$BI208),0)</f>
        <v>0</v>
      </c>
      <c r="CJ208" s="5">
        <f>IF($BI208&lt;&gt;"",IF('Capacity summary'!$C$14="Yes",IF(COUNTBLANK('Capacity summary'!$H120:$BG120)&lt;52,IF('Capacity summary'!AG120&lt;&gt;"",IF(LOWER('Capacity summary'!AG120)="x",$BI208*AG208,VALUE('Capacity summary'!AG120)),0),AG208*$BI208),AG208*$BI208),0)</f>
        <v>0</v>
      </c>
      <c r="CK208" s="5">
        <f>IF($BI208&lt;&gt;"",IF('Capacity summary'!$C$14="Yes",IF(COUNTBLANK('Capacity summary'!$H120:$BG120)&lt;52,IF('Capacity summary'!AH120&lt;&gt;"",IF(LOWER('Capacity summary'!AH120)="x",$BI208*AH208,VALUE('Capacity summary'!AH120)),0),AH208*$BI208),AH208*$BI208),0)</f>
        <v>0</v>
      </c>
      <c r="CL208" s="5">
        <f>IF($BI208&lt;&gt;"",IF('Capacity summary'!$C$14="Yes",IF(COUNTBLANK('Capacity summary'!$H120:$BG120)&lt;52,IF('Capacity summary'!AI120&lt;&gt;"",IF(LOWER('Capacity summary'!AI120)="x",$BI208*AI208,VALUE('Capacity summary'!AI120)),0),AI208*$BI208),AI208*$BI208),0)</f>
        <v>0</v>
      </c>
      <c r="CM208" s="5">
        <f>IF($BI208&lt;&gt;"",IF('Capacity summary'!$C$14="Yes",IF(COUNTBLANK('Capacity summary'!$H120:$BG120)&lt;52,IF('Capacity summary'!AJ120&lt;&gt;"",IF(LOWER('Capacity summary'!AJ120)="x",$BI208*AJ208,VALUE('Capacity summary'!AJ120)),0),AJ208*$BI208),AJ208*$BI208),0)</f>
        <v>0</v>
      </c>
      <c r="CN208" s="5">
        <f>IF($BI208&lt;&gt;"",IF('Capacity summary'!$C$14="Yes",IF(COUNTBLANK('Capacity summary'!$H120:$BG120)&lt;52,IF('Capacity summary'!AK120&lt;&gt;"",IF(LOWER('Capacity summary'!AK120)="x",$BI208*AK208,VALUE('Capacity summary'!AK120)),0),AK208*$BI208),AK208*$BI208),0)</f>
        <v>0</v>
      </c>
      <c r="CO208" s="5">
        <f>IF($BI208&lt;&gt;"",IF('Capacity summary'!$C$14="Yes",IF(COUNTBLANK('Capacity summary'!$H120:$BG120)&lt;52,IF('Capacity summary'!AL120&lt;&gt;"",IF(LOWER('Capacity summary'!AL120)="x",$BI208*AL208,VALUE('Capacity summary'!AL120)),0),AL208*$BI208),AL208*$BI208),0)</f>
        <v>0</v>
      </c>
      <c r="CP208" s="5">
        <f>IF($BI208&lt;&gt;"",IF('Capacity summary'!$C$14="Yes",IF(COUNTBLANK('Capacity summary'!$H120:$BG120)&lt;52,IF('Capacity summary'!AM120&lt;&gt;"",IF(LOWER('Capacity summary'!AM120)="x",$BI208*AM208,VALUE('Capacity summary'!AM120)),0),AM208*$BI208),AM208*$BI208),0)</f>
        <v>0</v>
      </c>
      <c r="CQ208" s="5">
        <f>IF($BI208&lt;&gt;"",IF('Capacity summary'!$C$14="Yes",IF(COUNTBLANK('Capacity summary'!$H120:$BG120)&lt;52,IF('Capacity summary'!AN120&lt;&gt;"",IF(LOWER('Capacity summary'!AN120)="x",$BI208*AN208,VALUE('Capacity summary'!AN120)),0),AN208*$BI208),AN208*$BI208),0)</f>
        <v>0</v>
      </c>
      <c r="CR208" s="5">
        <f>IF($BI208&lt;&gt;"",IF('Capacity summary'!$C$14="Yes",IF(COUNTBLANK('Capacity summary'!$H120:$BG120)&lt;52,IF('Capacity summary'!AO120&lt;&gt;"",IF(LOWER('Capacity summary'!AO120)="x",$BI208*AO208,VALUE('Capacity summary'!AO120)),0),AO208*$BI208),AO208*$BI208),0)</f>
        <v>0</v>
      </c>
      <c r="CS208" s="5">
        <f>IF($BI208&lt;&gt;"",IF('Capacity summary'!$C$14="Yes",IF(COUNTBLANK('Capacity summary'!$H120:$BG120)&lt;52,IF('Capacity summary'!AP120&lt;&gt;"",IF(LOWER('Capacity summary'!AP120)="x",$BI208*AP208,VALUE('Capacity summary'!AP120)),0),AP208*$BI208),AP208*$BI208),0)</f>
        <v>0</v>
      </c>
      <c r="CT208" s="5">
        <f>IF($BI208&lt;&gt;"",IF('Capacity summary'!$C$14="Yes",IF(COUNTBLANK('Capacity summary'!$H120:$BG120)&lt;52,IF('Capacity summary'!AQ120&lt;&gt;"",IF(LOWER('Capacity summary'!AQ120)="x",$BI208*AQ208,VALUE('Capacity summary'!AQ120)),0),AQ208*$BI208),AQ208*$BI208),0)</f>
        <v>0</v>
      </c>
      <c r="CU208" s="5">
        <f>IF($BI208&lt;&gt;"",IF('Capacity summary'!$C$14="Yes",IF(COUNTBLANK('Capacity summary'!$H120:$BG120)&lt;52,IF('Capacity summary'!AR120&lt;&gt;"",IF(LOWER('Capacity summary'!AR120)="x",$BI208*AR208,VALUE('Capacity summary'!AR120)),0),AR208*$BI208),AR208*$BI208),0)</f>
        <v>0</v>
      </c>
      <c r="CV208" s="5">
        <f>IF($BI208&lt;&gt;"",IF('Capacity summary'!$C$14="Yes",IF(COUNTBLANK('Capacity summary'!$H120:$BG120)&lt;52,IF('Capacity summary'!AS120&lt;&gt;"",IF(LOWER('Capacity summary'!AS120)="x",$BI208*AS208,VALUE('Capacity summary'!AS120)),0),AS208*$BI208),AS208*$BI208),0)</f>
        <v>0</v>
      </c>
      <c r="CW208" s="5">
        <f>IF($BI208&lt;&gt;"",IF('Capacity summary'!$C$14="Yes",IF(COUNTBLANK('Capacity summary'!$H120:$BG120)&lt;52,IF('Capacity summary'!AT120&lt;&gt;"",IF(LOWER('Capacity summary'!AT120)="x",$BI208*AT208,VALUE('Capacity summary'!AT120)),0),AT208*$BI208),AT208*$BI208),0)</f>
        <v>0</v>
      </c>
      <c r="CX208" s="5">
        <f>IF($BI208&lt;&gt;"",IF('Capacity summary'!$C$14="Yes",IF(COUNTBLANK('Capacity summary'!$H120:$BG120)&lt;52,IF('Capacity summary'!AU120&lt;&gt;"",IF(LOWER('Capacity summary'!AU120)="x",$BI208*AU208,VALUE('Capacity summary'!AU120)),0),AU208*$BI208),AU208*$BI208),0)</f>
        <v>0</v>
      </c>
      <c r="CY208" s="5">
        <f>IF($BI208&lt;&gt;"",IF('Capacity summary'!$C$14="Yes",IF(COUNTBLANK('Capacity summary'!$H120:$BG120)&lt;52,IF('Capacity summary'!AV120&lt;&gt;"",IF(LOWER('Capacity summary'!AV120)="x",$BI208*AV208,VALUE('Capacity summary'!AV120)),0),AV208*$BI208),AV208*$BI208),0)</f>
        <v>0</v>
      </c>
      <c r="CZ208" s="5">
        <f>IF($BI208&lt;&gt;"",IF('Capacity summary'!$C$14="Yes",IF(COUNTBLANK('Capacity summary'!$H120:$BG120)&lt;52,IF('Capacity summary'!AW120&lt;&gt;"",IF(LOWER('Capacity summary'!AW120)="x",$BI208*AW208,VALUE('Capacity summary'!AW120)),0),AW208*$BI208),AW208*$BI208),0)</f>
        <v>0</v>
      </c>
      <c r="DA208" s="5">
        <f>IF($BI208&lt;&gt;"",IF('Capacity summary'!$C$14="Yes",IF(COUNTBLANK('Capacity summary'!$H120:$BG120)&lt;52,IF('Capacity summary'!AX120&lt;&gt;"",IF(LOWER('Capacity summary'!AX120)="x",$BI208*AX208,VALUE('Capacity summary'!AX120)),0),AX208*$BI208),AX208*$BI208),0)</f>
        <v>0</v>
      </c>
      <c r="DB208" s="5">
        <f>IF($BI208&lt;&gt;"",IF('Capacity summary'!$C$14="Yes",IF(COUNTBLANK('Capacity summary'!$H120:$BG120)&lt;52,IF('Capacity summary'!AY120&lt;&gt;"",IF(LOWER('Capacity summary'!AY120)="x",$BI208*AY208,VALUE('Capacity summary'!AY120)),0),AY208*$BI208),AY208*$BI208),0)</f>
        <v>0</v>
      </c>
      <c r="DC208" s="5">
        <f>IF($BI208&lt;&gt;"",IF('Capacity summary'!$C$14="Yes",IF(COUNTBLANK('Capacity summary'!$H120:$BG120)&lt;52,IF('Capacity summary'!AZ120&lt;&gt;"",IF(LOWER('Capacity summary'!AZ120)="x",$BI208*AZ208,VALUE('Capacity summary'!AZ120)),0),AZ208*$BI208),AZ208*$BI208),0)</f>
        <v>0</v>
      </c>
      <c r="DD208" s="5">
        <f>IF($BI208&lt;&gt;"",IF('Capacity summary'!$C$14="Yes",IF(COUNTBLANK('Capacity summary'!$H120:$BG120)&lt;52,IF('Capacity summary'!BA120&lt;&gt;"",IF(LOWER('Capacity summary'!BA120)="x",$BI208*BA208,VALUE('Capacity summary'!BA120)),0),BA208*$BI208),BA208*$BI208),0)</f>
        <v>0</v>
      </c>
      <c r="DE208" s="5">
        <f>IF($BI208&lt;&gt;"",IF('Capacity summary'!$C$14="Yes",IF(COUNTBLANK('Capacity summary'!$H120:$BG120)&lt;52,IF('Capacity summary'!BB120&lt;&gt;"",IF(LOWER('Capacity summary'!BB120)="x",$BI208*BB208,VALUE('Capacity summary'!BB120)),0),BB208*$BI208),BB208*$BI208),0)</f>
        <v>0</v>
      </c>
      <c r="DF208" s="5">
        <f>IF($BI208&lt;&gt;"",IF('Capacity summary'!$C$14="Yes",IF(COUNTBLANK('Capacity summary'!$H120:$BG120)&lt;52,IF('Capacity summary'!BC120&lt;&gt;"",IF(LOWER('Capacity summary'!BC120)="x",$BI208*BC208,VALUE('Capacity summary'!BC120)),0),BC208*$BI208),BC208*$BI208),0)</f>
        <v>0</v>
      </c>
      <c r="DG208" s="5">
        <f>IF($BI208&lt;&gt;"",IF('Capacity summary'!$C$14="Yes",IF(COUNTBLANK('Capacity summary'!$H120:$BG120)&lt;52,IF('Capacity summary'!BD120&lt;&gt;"",IF(LOWER('Capacity summary'!BD120)="x",$BI208*BD208,VALUE('Capacity summary'!BD120)),0),BD208*$BI208),BD208*$BI208),0)</f>
        <v>0</v>
      </c>
      <c r="DH208" s="5">
        <f>IF($BI208&lt;&gt;"",IF('Capacity summary'!$C$14="Yes",IF(COUNTBLANK('Capacity summary'!$H120:$BG120)&lt;52,IF('Capacity summary'!BE120&lt;&gt;"",IF(LOWER('Capacity summary'!BE120)="x",$BI208*BE208,VALUE('Capacity summary'!BE120)),0),BE208*$BI208),BE208*$BI208),0)</f>
        <v>0</v>
      </c>
      <c r="DI208" s="5">
        <f>IF($BI208&lt;&gt;"",IF('Capacity summary'!$C$14="Yes",IF(COUNTBLANK('Capacity summary'!$H120:$BG120)&lt;52,IF('Capacity summary'!BF120&lt;&gt;"",IF(LOWER('Capacity summary'!BF120)="x",$BI208*BF208,VALUE('Capacity summary'!BF120)),0),BF208*$BI208),BF208*$BI208),0)</f>
        <v>0</v>
      </c>
      <c r="DJ208" s="5">
        <f>IF($BI208&lt;&gt;"",IF('Capacity summary'!$C$14="Yes",IF(COUNTBLANK('Capacity summary'!$H120:$BG120)&lt;52,IF('Capacity summary'!BG120&lt;&gt;"",IF(LOWER('Capacity summary'!BG120)="x",$BI208*BG208,VALUE('Capacity summary'!BG120)),0),BG208*$BI208),BG208*$BI208),0)</f>
        <v>0</v>
      </c>
      <c r="DK208" s="391">
        <f t="shared" si="10"/>
        <v>0</v>
      </c>
      <c r="DL208" s="5">
        <f t="shared" si="11"/>
        <v>0</v>
      </c>
    </row>
    <row r="209" spans="2:116" x14ac:dyDescent="0.2">
      <c r="C209" s="67" t="str">
        <f>ROW(A98)&amp;". "&amp;Capacity!N114</f>
        <v xml:space="preserve">98. </v>
      </c>
      <c r="D209" s="67">
        <f>'Capacity setup'!C215</f>
        <v>0</v>
      </c>
      <c r="E209" s="67">
        <f>'Capacity setup'!D215</f>
        <v>0</v>
      </c>
      <c r="F209" s="67">
        <f>'Capacity setup'!E215</f>
        <v>0</v>
      </c>
      <c r="H209" s="67">
        <f ca="1">IF(LOWER(Capacity!$V114)="x",IF(AND(SUMIF(Capacity_Resource,$D209,'Critical resources (hide)'!U$6:U$105)+SUMIF(Capacity_Resource,$E209,'Critical resources (hide)'!U$6:U$105)+SUMIF(Capacity_Resource,$F209,'Critical resources (hide)'!U$6:U$105)&gt;0,$E$1=2),0,1),0)</f>
        <v>1</v>
      </c>
      <c r="I209" s="67">
        <f ca="1">IF(LOWER(Capacity!$V114)="x",IF(AND(SUMIF(Capacity_Resource,$D209,'Critical resources (hide)'!V$6:V$105)+SUMIF(Capacity_Resource,$E209,'Critical resources (hide)'!V$6:V$105)+SUMIF(Capacity_Resource,$F209,'Critical resources (hide)'!V$6:V$105)&gt;0,$E$1=2),0,1),0)</f>
        <v>1</v>
      </c>
      <c r="J209" s="67">
        <f ca="1">IF(LOWER(Capacity!$V114)="x",IF(AND(SUMIF(Capacity_Resource,$D209,'Critical resources (hide)'!W$6:W$105)+SUMIF(Capacity_Resource,$E209,'Critical resources (hide)'!W$6:W$105)+SUMIF(Capacity_Resource,$F209,'Critical resources (hide)'!W$6:W$105)&gt;0,$E$1=2),0,1),0)</f>
        <v>1</v>
      </c>
      <c r="K209" s="67">
        <f ca="1">IF(LOWER(Capacity!$V114)="x",IF(AND(SUMIF(Capacity_Resource,$D209,'Critical resources (hide)'!X$6:X$105)+SUMIF(Capacity_Resource,$E209,'Critical resources (hide)'!X$6:X$105)+SUMIF(Capacity_Resource,$F209,'Critical resources (hide)'!X$6:X$105)&gt;0,$E$1=2),0,1),0)</f>
        <v>1</v>
      </c>
      <c r="L209" s="67">
        <f ca="1">IF(LOWER(Capacity!$V114)="x",IF(AND(SUMIF(Capacity_Resource,$D209,'Critical resources (hide)'!Y$6:Y$105)+SUMIF(Capacity_Resource,$E209,'Critical resources (hide)'!Y$6:Y$105)+SUMIF(Capacity_Resource,$F209,'Critical resources (hide)'!Y$6:Y$105)&gt;0,$E$1=2),0,1),0)</f>
        <v>1</v>
      </c>
      <c r="M209" s="67">
        <f ca="1">IF(LOWER(Capacity!$V114)="x",IF(AND(SUMIF(Capacity_Resource,$D209,'Critical resources (hide)'!Z$6:Z$105)+SUMIF(Capacity_Resource,$E209,'Critical resources (hide)'!Z$6:Z$105)+SUMIF(Capacity_Resource,$F209,'Critical resources (hide)'!Z$6:Z$105)&gt;0,$E$1=2),0,1),0)</f>
        <v>1</v>
      </c>
      <c r="N209" s="67">
        <f ca="1">IF(LOWER(Capacity!$V114)="x",IF(AND(SUMIF(Capacity_Resource,$D209,'Critical resources (hide)'!AA$6:AA$105)+SUMIF(Capacity_Resource,$E209,'Critical resources (hide)'!AA$6:AA$105)+SUMIF(Capacity_Resource,$F209,'Critical resources (hide)'!AA$6:AA$105)&gt;0,$E$1=2),0,1),0)</f>
        <v>1</v>
      </c>
      <c r="O209" s="67">
        <f ca="1">IF(LOWER(Capacity!$V114)="x",IF(AND(SUMIF(Capacity_Resource,$D209,'Critical resources (hide)'!AB$6:AB$105)+SUMIF(Capacity_Resource,$E209,'Critical resources (hide)'!AB$6:AB$105)+SUMIF(Capacity_Resource,$F209,'Critical resources (hide)'!AB$6:AB$105)&gt;0,$E$1=2),0,1),0)</f>
        <v>1</v>
      </c>
      <c r="P209" s="67">
        <f ca="1">IF(LOWER(Capacity!$V114)="x",IF(AND(SUMIF(Capacity_Resource,$D209,'Critical resources (hide)'!AC$6:AC$105)+SUMIF(Capacity_Resource,$E209,'Critical resources (hide)'!AC$6:AC$105)+SUMIF(Capacity_Resource,$F209,'Critical resources (hide)'!AC$6:AC$105)&gt;0,$E$1=2),0,1),0)</f>
        <v>1</v>
      </c>
      <c r="Q209" s="67">
        <f ca="1">IF(LOWER(Capacity!$V114)="x",IF(AND(SUMIF(Capacity_Resource,$D209,'Critical resources (hide)'!AD$6:AD$105)+SUMIF(Capacity_Resource,$E209,'Critical resources (hide)'!AD$6:AD$105)+SUMIF(Capacity_Resource,$F209,'Critical resources (hide)'!AD$6:AD$105)&gt;0,$E$1=2),0,1),0)</f>
        <v>1</v>
      </c>
      <c r="R209" s="67">
        <f ca="1">IF(LOWER(Capacity!$V114)="x",IF(AND(SUMIF(Capacity_Resource,$D209,'Critical resources (hide)'!AE$6:AE$105)+SUMIF(Capacity_Resource,$E209,'Critical resources (hide)'!AE$6:AE$105)+SUMIF(Capacity_Resource,$F209,'Critical resources (hide)'!AE$6:AE$105)&gt;0,$E$1=2),0,1),0)</f>
        <v>1</v>
      </c>
      <c r="S209" s="67">
        <f ca="1">IF(LOWER(Capacity!$V114)="x",IF(AND(SUMIF(Capacity_Resource,$D209,'Critical resources (hide)'!AF$6:AF$105)+SUMIF(Capacity_Resource,$E209,'Critical resources (hide)'!AF$6:AF$105)+SUMIF(Capacity_Resource,$F209,'Critical resources (hide)'!AF$6:AF$105)&gt;0,$E$1=2),0,1),0)</f>
        <v>1</v>
      </c>
      <c r="T209" s="67">
        <f ca="1">IF(LOWER(Capacity!$V114)="x",IF(AND(SUMIF(Capacity_Resource,$D209,'Critical resources (hide)'!AG$6:AG$105)+SUMIF(Capacity_Resource,$E209,'Critical resources (hide)'!AG$6:AG$105)+SUMIF(Capacity_Resource,$F209,'Critical resources (hide)'!AG$6:AG$105)&gt;0,$E$1=2),0,1),0)</f>
        <v>1</v>
      </c>
      <c r="U209" s="67">
        <f ca="1">IF(LOWER(Capacity!$V114)="x",IF(AND(SUMIF(Capacity_Resource,$D209,'Critical resources (hide)'!AH$6:AH$105)+SUMIF(Capacity_Resource,$E209,'Critical resources (hide)'!AH$6:AH$105)+SUMIF(Capacity_Resource,$F209,'Critical resources (hide)'!AH$6:AH$105)&gt;0,$E$1=2),0,1),0)</f>
        <v>1</v>
      </c>
      <c r="V209" s="67">
        <f ca="1">IF(LOWER(Capacity!$V114)="x",IF(AND(SUMIF(Capacity_Resource,$D209,'Critical resources (hide)'!AI$6:AI$105)+SUMIF(Capacity_Resource,$E209,'Critical resources (hide)'!AI$6:AI$105)+SUMIF(Capacity_Resource,$F209,'Critical resources (hide)'!AI$6:AI$105)&gt;0,$E$1=2),0,1),0)</f>
        <v>1</v>
      </c>
      <c r="W209" s="67">
        <f ca="1">IF(LOWER(Capacity!$V114)="x",IF(AND(SUMIF(Capacity_Resource,$D209,'Critical resources (hide)'!AJ$6:AJ$105)+SUMIF(Capacity_Resource,$E209,'Critical resources (hide)'!AJ$6:AJ$105)+SUMIF(Capacity_Resource,$F209,'Critical resources (hide)'!AJ$6:AJ$105)&gt;0,$E$1=2),0,1),0)</f>
        <v>1</v>
      </c>
      <c r="X209" s="67">
        <f ca="1">IF(LOWER(Capacity!$V114)="x",IF(AND(SUMIF(Capacity_Resource,$D209,'Critical resources (hide)'!AK$6:AK$105)+SUMIF(Capacity_Resource,$E209,'Critical resources (hide)'!AK$6:AK$105)+SUMIF(Capacity_Resource,$F209,'Critical resources (hide)'!AK$6:AK$105)&gt;0,$E$1=2),0,1),0)</f>
        <v>1</v>
      </c>
      <c r="Y209" s="67">
        <f ca="1">IF(LOWER(Capacity!$V114)="x",IF(AND(SUMIF(Capacity_Resource,$D209,'Critical resources (hide)'!AL$6:AL$105)+SUMIF(Capacity_Resource,$E209,'Critical resources (hide)'!AL$6:AL$105)+SUMIF(Capacity_Resource,$F209,'Critical resources (hide)'!AL$6:AL$105)&gt;0,$E$1=2),0,1),0)</f>
        <v>1</v>
      </c>
      <c r="Z209" s="67">
        <f ca="1">IF(LOWER(Capacity!$V114)="x",IF(AND(SUMIF(Capacity_Resource,$D209,'Critical resources (hide)'!AM$6:AM$105)+SUMIF(Capacity_Resource,$E209,'Critical resources (hide)'!AM$6:AM$105)+SUMIF(Capacity_Resource,$F209,'Critical resources (hide)'!AM$6:AM$105)&gt;0,$E$1=2),0,1),0)</f>
        <v>1</v>
      </c>
      <c r="AA209" s="67">
        <f ca="1">IF(LOWER(Capacity!$V114)="x",IF(AND(SUMIF(Capacity_Resource,$D209,'Critical resources (hide)'!AN$6:AN$105)+SUMIF(Capacity_Resource,$E209,'Critical resources (hide)'!AN$6:AN$105)+SUMIF(Capacity_Resource,$F209,'Critical resources (hide)'!AN$6:AN$105)&gt;0,$E$1=2),0,1),0)</f>
        <v>1</v>
      </c>
      <c r="AB209" s="67">
        <f ca="1">IF(LOWER(Capacity!$V114)="x",IF(AND(SUMIF(Capacity_Resource,$D209,'Critical resources (hide)'!AO$6:AO$105)+SUMIF(Capacity_Resource,$E209,'Critical resources (hide)'!AO$6:AO$105)+SUMIF(Capacity_Resource,$F209,'Critical resources (hide)'!AO$6:AO$105)&gt;0,$E$1=2),0,1),0)</f>
        <v>1</v>
      </c>
      <c r="AC209" s="67">
        <f ca="1">IF(LOWER(Capacity!$V114)="x",IF(AND(SUMIF(Capacity_Resource,$D209,'Critical resources (hide)'!AP$6:AP$105)+SUMIF(Capacity_Resource,$E209,'Critical resources (hide)'!AP$6:AP$105)+SUMIF(Capacity_Resource,$F209,'Critical resources (hide)'!AP$6:AP$105)&gt;0,$E$1=2),0,1),0)</f>
        <v>1</v>
      </c>
      <c r="AD209" s="67">
        <f ca="1">IF(LOWER(Capacity!$V114)="x",IF(AND(SUMIF(Capacity_Resource,$D209,'Critical resources (hide)'!AQ$6:AQ$105)+SUMIF(Capacity_Resource,$E209,'Critical resources (hide)'!AQ$6:AQ$105)+SUMIF(Capacity_Resource,$F209,'Critical resources (hide)'!AQ$6:AQ$105)&gt;0,$E$1=2),0,1),0)</f>
        <v>1</v>
      </c>
      <c r="AE209" s="67">
        <f ca="1">IF(LOWER(Capacity!$V114)="x",IF(AND(SUMIF(Capacity_Resource,$D209,'Critical resources (hide)'!AR$6:AR$105)+SUMIF(Capacity_Resource,$E209,'Critical resources (hide)'!AR$6:AR$105)+SUMIF(Capacity_Resource,$F209,'Critical resources (hide)'!AR$6:AR$105)&gt;0,$E$1=2),0,1),0)</f>
        <v>1</v>
      </c>
      <c r="AF209" s="67">
        <f ca="1">IF(LOWER(Capacity!$V114)="x",IF(AND(SUMIF(Capacity_Resource,$D209,'Critical resources (hide)'!AS$6:AS$105)+SUMIF(Capacity_Resource,$E209,'Critical resources (hide)'!AS$6:AS$105)+SUMIF(Capacity_Resource,$F209,'Critical resources (hide)'!AS$6:AS$105)&gt;0,$E$1=2),0,1),0)</f>
        <v>1</v>
      </c>
      <c r="AG209" s="67">
        <f ca="1">IF(LOWER(Capacity!$V114)="x",IF(AND(SUMIF(Capacity_Resource,$D209,'Critical resources (hide)'!AT$6:AT$105)+SUMIF(Capacity_Resource,$E209,'Critical resources (hide)'!AT$6:AT$105)+SUMIF(Capacity_Resource,$F209,'Critical resources (hide)'!AT$6:AT$105)&gt;0,$E$1=2),0,1),0)</f>
        <v>1</v>
      </c>
      <c r="AH209" s="67">
        <f ca="1">IF(LOWER(Capacity!$V114)="x",IF(AND(SUMIF(Capacity_Resource,$D209,'Critical resources (hide)'!AU$6:AU$105)+SUMIF(Capacity_Resource,$E209,'Critical resources (hide)'!AU$6:AU$105)+SUMIF(Capacity_Resource,$F209,'Critical resources (hide)'!AU$6:AU$105)&gt;0,$E$1=2),0,1),0)</f>
        <v>1</v>
      </c>
      <c r="AI209" s="67">
        <f ca="1">IF(LOWER(Capacity!$V114)="x",IF(AND(SUMIF(Capacity_Resource,$D209,'Critical resources (hide)'!AV$6:AV$105)+SUMIF(Capacity_Resource,$E209,'Critical resources (hide)'!AV$6:AV$105)+SUMIF(Capacity_Resource,$F209,'Critical resources (hide)'!AV$6:AV$105)&gt;0,$E$1=2),0,1),0)</f>
        <v>1</v>
      </c>
      <c r="AJ209" s="67">
        <f ca="1">IF(LOWER(Capacity!$V114)="x",IF(AND(SUMIF(Capacity_Resource,$D209,'Critical resources (hide)'!AW$6:AW$105)+SUMIF(Capacity_Resource,$E209,'Critical resources (hide)'!AW$6:AW$105)+SUMIF(Capacity_Resource,$F209,'Critical resources (hide)'!AW$6:AW$105)&gt;0,$E$1=2),0,1),0)</f>
        <v>1</v>
      </c>
      <c r="AK209" s="67">
        <f ca="1">IF(LOWER(Capacity!$V114)="x",IF(AND(SUMIF(Capacity_Resource,$D209,'Critical resources (hide)'!AX$6:AX$105)+SUMIF(Capacity_Resource,$E209,'Critical resources (hide)'!AX$6:AX$105)+SUMIF(Capacity_Resource,$F209,'Critical resources (hide)'!AX$6:AX$105)&gt;0,$E$1=2),0,1),0)</f>
        <v>1</v>
      </c>
      <c r="AL209" s="67">
        <f ca="1">IF(LOWER(Capacity!$V114)="x",IF(AND(SUMIF(Capacity_Resource,$D209,'Critical resources (hide)'!AY$6:AY$105)+SUMIF(Capacity_Resource,$E209,'Critical resources (hide)'!AY$6:AY$105)+SUMIF(Capacity_Resource,$F209,'Critical resources (hide)'!AY$6:AY$105)&gt;0,$E$1=2),0,1),0)</f>
        <v>1</v>
      </c>
      <c r="AM209" s="67">
        <f ca="1">IF(LOWER(Capacity!$V114)="x",IF(AND(SUMIF(Capacity_Resource,$D209,'Critical resources (hide)'!AZ$6:AZ$105)+SUMIF(Capacity_Resource,$E209,'Critical resources (hide)'!AZ$6:AZ$105)+SUMIF(Capacity_Resource,$F209,'Critical resources (hide)'!AZ$6:AZ$105)&gt;0,$E$1=2),0,1),0)</f>
        <v>1</v>
      </c>
      <c r="AN209" s="67">
        <f ca="1">IF(LOWER(Capacity!$V114)="x",IF(AND(SUMIF(Capacity_Resource,$D209,'Critical resources (hide)'!BA$6:BA$105)+SUMIF(Capacity_Resource,$E209,'Critical resources (hide)'!BA$6:BA$105)+SUMIF(Capacity_Resource,$F209,'Critical resources (hide)'!BA$6:BA$105)&gt;0,$E$1=2),0,1),0)</f>
        <v>1</v>
      </c>
      <c r="AO209" s="67">
        <f ca="1">IF(LOWER(Capacity!$V114)="x",IF(AND(SUMIF(Capacity_Resource,$D209,'Critical resources (hide)'!BB$6:BB$105)+SUMIF(Capacity_Resource,$E209,'Critical resources (hide)'!BB$6:BB$105)+SUMIF(Capacity_Resource,$F209,'Critical resources (hide)'!BB$6:BB$105)&gt;0,$E$1=2),0,1),0)</f>
        <v>1</v>
      </c>
      <c r="AP209" s="67">
        <f ca="1">IF(LOWER(Capacity!$V114)="x",IF(AND(SUMIF(Capacity_Resource,$D209,'Critical resources (hide)'!BC$6:BC$105)+SUMIF(Capacity_Resource,$E209,'Critical resources (hide)'!BC$6:BC$105)+SUMIF(Capacity_Resource,$F209,'Critical resources (hide)'!BC$6:BC$105)&gt;0,$E$1=2),0,1),0)</f>
        <v>1</v>
      </c>
      <c r="AQ209" s="67">
        <f ca="1">IF(LOWER(Capacity!$V114)="x",IF(AND(SUMIF(Capacity_Resource,$D209,'Critical resources (hide)'!BD$6:BD$105)+SUMIF(Capacity_Resource,$E209,'Critical resources (hide)'!BD$6:BD$105)+SUMIF(Capacity_Resource,$F209,'Critical resources (hide)'!BD$6:BD$105)&gt;0,$E$1=2),0,1),0)</f>
        <v>1</v>
      </c>
      <c r="AR209" s="67">
        <f ca="1">IF(LOWER(Capacity!$V114)="x",IF(AND(SUMIF(Capacity_Resource,$D209,'Critical resources (hide)'!BE$6:BE$105)+SUMIF(Capacity_Resource,$E209,'Critical resources (hide)'!BE$6:BE$105)+SUMIF(Capacity_Resource,$F209,'Critical resources (hide)'!BE$6:BE$105)&gt;0,$E$1=2),0,1),0)</f>
        <v>1</v>
      </c>
      <c r="AS209" s="67">
        <f ca="1">IF(LOWER(Capacity!$V114)="x",IF(AND(SUMIF(Capacity_Resource,$D209,'Critical resources (hide)'!BF$6:BF$105)+SUMIF(Capacity_Resource,$E209,'Critical resources (hide)'!BF$6:BF$105)+SUMIF(Capacity_Resource,$F209,'Critical resources (hide)'!BF$6:BF$105)&gt;0,$E$1=2),0,1),0)</f>
        <v>1</v>
      </c>
      <c r="AT209" s="67">
        <f ca="1">IF(LOWER(Capacity!$V114)="x",IF(AND(SUMIF(Capacity_Resource,$D209,'Critical resources (hide)'!BG$6:BG$105)+SUMIF(Capacity_Resource,$E209,'Critical resources (hide)'!BG$6:BG$105)+SUMIF(Capacity_Resource,$F209,'Critical resources (hide)'!BG$6:BG$105)&gt;0,$E$1=2),0,1),0)</f>
        <v>1</v>
      </c>
      <c r="AU209" s="67">
        <f ca="1">IF(LOWER(Capacity!$V114)="x",IF(AND(SUMIF(Capacity_Resource,$D209,'Critical resources (hide)'!BH$6:BH$105)+SUMIF(Capacity_Resource,$E209,'Critical resources (hide)'!BH$6:BH$105)+SUMIF(Capacity_Resource,$F209,'Critical resources (hide)'!BH$6:BH$105)&gt;0,$E$1=2),0,1),0)</f>
        <v>1</v>
      </c>
      <c r="AV209" s="67">
        <f ca="1">IF(LOWER(Capacity!$V114)="x",IF(AND(SUMIF(Capacity_Resource,$D209,'Critical resources (hide)'!BI$6:BI$105)+SUMIF(Capacity_Resource,$E209,'Critical resources (hide)'!BI$6:BI$105)+SUMIF(Capacity_Resource,$F209,'Critical resources (hide)'!BI$6:BI$105)&gt;0,$E$1=2),0,1),0)</f>
        <v>1</v>
      </c>
      <c r="AW209" s="67">
        <f ca="1">IF(LOWER(Capacity!$V114)="x",IF(AND(SUMIF(Capacity_Resource,$D209,'Critical resources (hide)'!BJ$6:BJ$105)+SUMIF(Capacity_Resource,$E209,'Critical resources (hide)'!BJ$6:BJ$105)+SUMIF(Capacity_Resource,$F209,'Critical resources (hide)'!BJ$6:BJ$105)&gt;0,$E$1=2),0,1),0)</f>
        <v>1</v>
      </c>
      <c r="AX209" s="67">
        <f ca="1">IF(LOWER(Capacity!$V114)="x",IF(AND(SUMIF(Capacity_Resource,$D209,'Critical resources (hide)'!BK$6:BK$105)+SUMIF(Capacity_Resource,$E209,'Critical resources (hide)'!BK$6:BK$105)+SUMIF(Capacity_Resource,$F209,'Critical resources (hide)'!BK$6:BK$105)&gt;0,$E$1=2),0,1),0)</f>
        <v>1</v>
      </c>
      <c r="AY209" s="67">
        <f ca="1">IF(LOWER(Capacity!$V114)="x",IF(AND(SUMIF(Capacity_Resource,$D209,'Critical resources (hide)'!BL$6:BL$105)+SUMIF(Capacity_Resource,$E209,'Critical resources (hide)'!BL$6:BL$105)+SUMIF(Capacity_Resource,$F209,'Critical resources (hide)'!BL$6:BL$105)&gt;0,$E$1=2),0,1),0)</f>
        <v>1</v>
      </c>
      <c r="AZ209" s="67">
        <f ca="1">IF(LOWER(Capacity!$V114)="x",IF(AND(SUMIF(Capacity_Resource,$D209,'Critical resources (hide)'!BM$6:BM$105)+SUMIF(Capacity_Resource,$E209,'Critical resources (hide)'!BM$6:BM$105)+SUMIF(Capacity_Resource,$F209,'Critical resources (hide)'!BM$6:BM$105)&gt;0,$E$1=2),0,1),0)</f>
        <v>1</v>
      </c>
      <c r="BA209" s="67">
        <f ca="1">IF(LOWER(Capacity!$V114)="x",IF(AND(SUMIF(Capacity_Resource,$D209,'Critical resources (hide)'!BN$6:BN$105)+SUMIF(Capacity_Resource,$E209,'Critical resources (hide)'!BN$6:BN$105)+SUMIF(Capacity_Resource,$F209,'Critical resources (hide)'!BN$6:BN$105)&gt;0,$E$1=2),0,1),0)</f>
        <v>1</v>
      </c>
      <c r="BB209" s="67">
        <f ca="1">IF(LOWER(Capacity!$V114)="x",IF(AND(SUMIF(Capacity_Resource,$D209,'Critical resources (hide)'!BO$6:BO$105)+SUMIF(Capacity_Resource,$E209,'Critical resources (hide)'!BO$6:BO$105)+SUMIF(Capacity_Resource,$F209,'Critical resources (hide)'!BO$6:BO$105)&gt;0,$E$1=2),0,1),0)</f>
        <v>1</v>
      </c>
      <c r="BC209" s="67">
        <f ca="1">IF(LOWER(Capacity!$V114)="x",IF(AND(SUMIF(Capacity_Resource,$D209,'Critical resources (hide)'!BP$6:BP$105)+SUMIF(Capacity_Resource,$E209,'Critical resources (hide)'!BP$6:BP$105)+SUMIF(Capacity_Resource,$F209,'Critical resources (hide)'!BP$6:BP$105)&gt;0,$E$1=2),0,1),0)</f>
        <v>1</v>
      </c>
      <c r="BD209" s="67">
        <f ca="1">IF(LOWER(Capacity!$V114)="x",IF(AND(SUMIF(Capacity_Resource,$D209,'Critical resources (hide)'!BQ$6:BQ$105)+SUMIF(Capacity_Resource,$E209,'Critical resources (hide)'!BQ$6:BQ$105)+SUMIF(Capacity_Resource,$F209,'Critical resources (hide)'!BQ$6:BQ$105)&gt;0,$E$1=2),0,1),0)</f>
        <v>1</v>
      </c>
      <c r="BE209" s="67">
        <f ca="1">IF(LOWER(Capacity!$V114)="x",IF(AND(SUMIF(Capacity_Resource,$D209,'Critical resources (hide)'!BR$6:BR$105)+SUMIF(Capacity_Resource,$E209,'Critical resources (hide)'!BR$6:BR$105)+SUMIF(Capacity_Resource,$F209,'Critical resources (hide)'!BR$6:BR$105)&gt;0,$E$1=2),0,1),0)</f>
        <v>1</v>
      </c>
      <c r="BF209" s="67">
        <f ca="1">IF(LOWER(Capacity!$V114)="x",IF(AND(SUMIF(Capacity_Resource,$D209,'Critical resources (hide)'!BS$6:BS$105)+SUMIF(Capacity_Resource,$E209,'Critical resources (hide)'!BS$6:BS$105)+SUMIF(Capacity_Resource,$F209,'Critical resources (hide)'!BS$6:BS$105)&gt;0,$E$1=2),0,1),0)</f>
        <v>1</v>
      </c>
      <c r="BG209" s="67">
        <f ca="1">IF(LOWER(Capacity!$V114)="x",IF(AND(SUMIF(Capacity_Resource,$D209,'Critical resources (hide)'!BT$6:BT$105)+SUMIF(Capacity_Resource,$E209,'Critical resources (hide)'!BT$6:BT$105)+SUMIF(Capacity_Resource,$F209,'Critical resources (hide)'!BT$6:BT$105)&gt;0,$E$1=2),0,1),0)</f>
        <v>1</v>
      </c>
      <c r="BH209" s="67">
        <f>IF(ROW(A98)&lt;=Capacity!$M$16,IF('Capacity summary'!$C$14="No",SUM(H209:BG209),'Capacity summary'!$E121),0)</f>
        <v>0</v>
      </c>
      <c r="BI209" s="67" t="str">
        <f>IF(BH209&gt;0,IF(BH209&lt;Capacity!Q114,Capacity!R114,Capacity!T114/'Capacity calculation (hide)'!BH209),"")</f>
        <v/>
      </c>
      <c r="BJ209" s="5"/>
      <c r="BK209" s="5">
        <f>IF($BI209&lt;&gt;"",IF('Capacity summary'!$C$14="Yes",IF(COUNTBLANK('Capacity summary'!$H121:$BG121)&lt;52,IF('Capacity summary'!H121&lt;&gt;"",IF(LOWER('Capacity summary'!H121)="x",$BI209*H209,VALUE('Capacity summary'!H121)),0),H209*$BI209),H209*$BI209),0)</f>
        <v>0</v>
      </c>
      <c r="BL209" s="5">
        <f>IF($BI209&lt;&gt;"",IF('Capacity summary'!$C$14="Yes",IF(COUNTBLANK('Capacity summary'!$H121:$BG121)&lt;52,IF('Capacity summary'!I121&lt;&gt;"",IF(LOWER('Capacity summary'!I121)="x",$BI209*I209,VALUE('Capacity summary'!I121)),0),I209*$BI209),I209*$BI209),0)</f>
        <v>0</v>
      </c>
      <c r="BM209" s="5">
        <f>IF($BI209&lt;&gt;"",IF('Capacity summary'!$C$14="Yes",IF(COUNTBLANK('Capacity summary'!$H121:$BG121)&lt;52,IF('Capacity summary'!J121&lt;&gt;"",IF(LOWER('Capacity summary'!J121)="x",$BI209*J209,VALUE('Capacity summary'!J121)),0),J209*$BI209),J209*$BI209),0)</f>
        <v>0</v>
      </c>
      <c r="BN209" s="5">
        <f>IF($BI209&lt;&gt;"",IF('Capacity summary'!$C$14="Yes",IF(COUNTBLANK('Capacity summary'!$H121:$BG121)&lt;52,IF('Capacity summary'!K121&lt;&gt;"",IF(LOWER('Capacity summary'!K121)="x",$BI209*K209,VALUE('Capacity summary'!K121)),0),K209*$BI209),K209*$BI209),0)</f>
        <v>0</v>
      </c>
      <c r="BO209" s="5">
        <f>IF($BI209&lt;&gt;"",IF('Capacity summary'!$C$14="Yes",IF(COUNTBLANK('Capacity summary'!$H121:$BG121)&lt;52,IF('Capacity summary'!L121&lt;&gt;"",IF(LOWER('Capacity summary'!L121)="x",$BI209*L209,VALUE('Capacity summary'!L121)),0),L209*$BI209),L209*$BI209),0)</f>
        <v>0</v>
      </c>
      <c r="BP209" s="5">
        <f>IF($BI209&lt;&gt;"",IF('Capacity summary'!$C$14="Yes",IF(COUNTBLANK('Capacity summary'!$H121:$BG121)&lt;52,IF('Capacity summary'!M121&lt;&gt;"",IF(LOWER('Capacity summary'!M121)="x",$BI209*M209,VALUE('Capacity summary'!M121)),0),M209*$BI209),M209*$BI209),0)</f>
        <v>0</v>
      </c>
      <c r="BQ209" s="5">
        <f>IF($BI209&lt;&gt;"",IF('Capacity summary'!$C$14="Yes",IF(COUNTBLANK('Capacity summary'!$H121:$BG121)&lt;52,IF('Capacity summary'!N121&lt;&gt;"",IF(LOWER('Capacity summary'!N121)="x",$BI209*N209,VALUE('Capacity summary'!N121)),0),N209*$BI209),N209*$BI209),0)</f>
        <v>0</v>
      </c>
      <c r="BR209" s="5">
        <f>IF($BI209&lt;&gt;"",IF('Capacity summary'!$C$14="Yes",IF(COUNTBLANK('Capacity summary'!$H121:$BG121)&lt;52,IF('Capacity summary'!O121&lt;&gt;"",IF(LOWER('Capacity summary'!O121)="x",$BI209*O209,VALUE('Capacity summary'!O121)),0),O209*$BI209),O209*$BI209),0)</f>
        <v>0</v>
      </c>
      <c r="BS209" s="5">
        <f>IF($BI209&lt;&gt;"",IF('Capacity summary'!$C$14="Yes",IF(COUNTBLANK('Capacity summary'!$H121:$BG121)&lt;52,IF('Capacity summary'!P121&lt;&gt;"",IF(LOWER('Capacity summary'!P121)="x",$BI209*P209,VALUE('Capacity summary'!P121)),0),P209*$BI209),P209*$BI209),0)</f>
        <v>0</v>
      </c>
      <c r="BT209" s="5">
        <f>IF($BI209&lt;&gt;"",IF('Capacity summary'!$C$14="Yes",IF(COUNTBLANK('Capacity summary'!$H121:$BG121)&lt;52,IF('Capacity summary'!Q121&lt;&gt;"",IF(LOWER('Capacity summary'!Q121)="x",$BI209*Q209,VALUE('Capacity summary'!Q121)),0),Q209*$BI209),Q209*$BI209),0)</f>
        <v>0</v>
      </c>
      <c r="BU209" s="5">
        <f>IF($BI209&lt;&gt;"",IF('Capacity summary'!$C$14="Yes",IF(COUNTBLANK('Capacity summary'!$H121:$BG121)&lt;52,IF('Capacity summary'!R121&lt;&gt;"",IF(LOWER('Capacity summary'!R121)="x",$BI209*R209,VALUE('Capacity summary'!R121)),0),R209*$BI209),R209*$BI209),0)</f>
        <v>0</v>
      </c>
      <c r="BV209" s="5">
        <f>IF($BI209&lt;&gt;"",IF('Capacity summary'!$C$14="Yes",IF(COUNTBLANK('Capacity summary'!$H121:$BG121)&lt;52,IF('Capacity summary'!S121&lt;&gt;"",IF(LOWER('Capacity summary'!S121)="x",$BI209*S209,VALUE('Capacity summary'!S121)),0),S209*$BI209),S209*$BI209),0)</f>
        <v>0</v>
      </c>
      <c r="BW209" s="5">
        <f>IF($BI209&lt;&gt;"",IF('Capacity summary'!$C$14="Yes",IF(COUNTBLANK('Capacity summary'!$H121:$BG121)&lt;52,IF('Capacity summary'!T121&lt;&gt;"",IF(LOWER('Capacity summary'!T121)="x",$BI209*T209,VALUE('Capacity summary'!T121)),0),T209*$BI209),T209*$BI209),0)</f>
        <v>0</v>
      </c>
      <c r="BX209" s="5">
        <f>IF($BI209&lt;&gt;"",IF('Capacity summary'!$C$14="Yes",IF(COUNTBLANK('Capacity summary'!$H121:$BG121)&lt;52,IF('Capacity summary'!U121&lt;&gt;"",IF(LOWER('Capacity summary'!U121)="x",$BI209*U209,VALUE('Capacity summary'!U121)),0),U209*$BI209),U209*$BI209),0)</f>
        <v>0</v>
      </c>
      <c r="BY209" s="5">
        <f>IF($BI209&lt;&gt;"",IF('Capacity summary'!$C$14="Yes",IF(COUNTBLANK('Capacity summary'!$H121:$BG121)&lt;52,IF('Capacity summary'!V121&lt;&gt;"",IF(LOWER('Capacity summary'!V121)="x",$BI209*V209,VALUE('Capacity summary'!V121)),0),V209*$BI209),V209*$BI209),0)</f>
        <v>0</v>
      </c>
      <c r="BZ209" s="5">
        <f>IF($BI209&lt;&gt;"",IF('Capacity summary'!$C$14="Yes",IF(COUNTBLANK('Capacity summary'!$H121:$BG121)&lt;52,IF('Capacity summary'!W121&lt;&gt;"",IF(LOWER('Capacity summary'!W121)="x",$BI209*W209,VALUE('Capacity summary'!W121)),0),W209*$BI209),W209*$BI209),0)</f>
        <v>0</v>
      </c>
      <c r="CA209" s="5">
        <f>IF($BI209&lt;&gt;"",IF('Capacity summary'!$C$14="Yes",IF(COUNTBLANK('Capacity summary'!$H121:$BG121)&lt;52,IF('Capacity summary'!X121&lt;&gt;"",IF(LOWER('Capacity summary'!X121)="x",$BI209*X209,VALUE('Capacity summary'!X121)),0),X209*$BI209),X209*$BI209),0)</f>
        <v>0</v>
      </c>
      <c r="CB209" s="5">
        <f>IF($BI209&lt;&gt;"",IF('Capacity summary'!$C$14="Yes",IF(COUNTBLANK('Capacity summary'!$H121:$BG121)&lt;52,IF('Capacity summary'!Y121&lt;&gt;"",IF(LOWER('Capacity summary'!Y121)="x",$BI209*Y209,VALUE('Capacity summary'!Y121)),0),Y209*$BI209),Y209*$BI209),0)</f>
        <v>0</v>
      </c>
      <c r="CC209" s="5">
        <f>IF($BI209&lt;&gt;"",IF('Capacity summary'!$C$14="Yes",IF(COUNTBLANK('Capacity summary'!$H121:$BG121)&lt;52,IF('Capacity summary'!Z121&lt;&gt;"",IF(LOWER('Capacity summary'!Z121)="x",$BI209*Z209,VALUE('Capacity summary'!Z121)),0),Z209*$BI209),Z209*$BI209),0)</f>
        <v>0</v>
      </c>
      <c r="CD209" s="5">
        <f>IF($BI209&lt;&gt;"",IF('Capacity summary'!$C$14="Yes",IF(COUNTBLANK('Capacity summary'!$H121:$BG121)&lt;52,IF('Capacity summary'!AA121&lt;&gt;"",IF(LOWER('Capacity summary'!AA121)="x",$BI209*AA209,VALUE('Capacity summary'!AA121)),0),AA209*$BI209),AA209*$BI209),0)</f>
        <v>0</v>
      </c>
      <c r="CE209" s="5">
        <f>IF($BI209&lt;&gt;"",IF('Capacity summary'!$C$14="Yes",IF(COUNTBLANK('Capacity summary'!$H121:$BG121)&lt;52,IF('Capacity summary'!AB121&lt;&gt;"",IF(LOWER('Capacity summary'!AB121)="x",$BI209*AB209,VALUE('Capacity summary'!AB121)),0),AB209*$BI209),AB209*$BI209),0)</f>
        <v>0</v>
      </c>
      <c r="CF209" s="5">
        <f>IF($BI209&lt;&gt;"",IF('Capacity summary'!$C$14="Yes",IF(COUNTBLANK('Capacity summary'!$H121:$BG121)&lt;52,IF('Capacity summary'!AC121&lt;&gt;"",IF(LOWER('Capacity summary'!AC121)="x",$BI209*AC209,VALUE('Capacity summary'!AC121)),0),AC209*$BI209),AC209*$BI209),0)</f>
        <v>0</v>
      </c>
      <c r="CG209" s="5">
        <f>IF($BI209&lt;&gt;"",IF('Capacity summary'!$C$14="Yes",IF(COUNTBLANK('Capacity summary'!$H121:$BG121)&lt;52,IF('Capacity summary'!AD121&lt;&gt;"",IF(LOWER('Capacity summary'!AD121)="x",$BI209*AD209,VALUE('Capacity summary'!AD121)),0),AD209*$BI209),AD209*$BI209),0)</f>
        <v>0</v>
      </c>
      <c r="CH209" s="5">
        <f>IF($BI209&lt;&gt;"",IF('Capacity summary'!$C$14="Yes",IF(COUNTBLANK('Capacity summary'!$H121:$BG121)&lt;52,IF('Capacity summary'!AE121&lt;&gt;"",IF(LOWER('Capacity summary'!AE121)="x",$BI209*AE209,VALUE('Capacity summary'!AE121)),0),AE209*$BI209),AE209*$BI209),0)</f>
        <v>0</v>
      </c>
      <c r="CI209" s="5">
        <f>IF($BI209&lt;&gt;"",IF('Capacity summary'!$C$14="Yes",IF(COUNTBLANK('Capacity summary'!$H121:$BG121)&lt;52,IF('Capacity summary'!AF121&lt;&gt;"",IF(LOWER('Capacity summary'!AF121)="x",$BI209*AF209,VALUE('Capacity summary'!AF121)),0),AF209*$BI209),AF209*$BI209),0)</f>
        <v>0</v>
      </c>
      <c r="CJ209" s="5">
        <f>IF($BI209&lt;&gt;"",IF('Capacity summary'!$C$14="Yes",IF(COUNTBLANK('Capacity summary'!$H121:$BG121)&lt;52,IF('Capacity summary'!AG121&lt;&gt;"",IF(LOWER('Capacity summary'!AG121)="x",$BI209*AG209,VALUE('Capacity summary'!AG121)),0),AG209*$BI209),AG209*$BI209),0)</f>
        <v>0</v>
      </c>
      <c r="CK209" s="5">
        <f>IF($BI209&lt;&gt;"",IF('Capacity summary'!$C$14="Yes",IF(COUNTBLANK('Capacity summary'!$H121:$BG121)&lt;52,IF('Capacity summary'!AH121&lt;&gt;"",IF(LOWER('Capacity summary'!AH121)="x",$BI209*AH209,VALUE('Capacity summary'!AH121)),0),AH209*$BI209),AH209*$BI209),0)</f>
        <v>0</v>
      </c>
      <c r="CL209" s="5">
        <f>IF($BI209&lt;&gt;"",IF('Capacity summary'!$C$14="Yes",IF(COUNTBLANK('Capacity summary'!$H121:$BG121)&lt;52,IF('Capacity summary'!AI121&lt;&gt;"",IF(LOWER('Capacity summary'!AI121)="x",$BI209*AI209,VALUE('Capacity summary'!AI121)),0),AI209*$BI209),AI209*$BI209),0)</f>
        <v>0</v>
      </c>
      <c r="CM209" s="5">
        <f>IF($BI209&lt;&gt;"",IF('Capacity summary'!$C$14="Yes",IF(COUNTBLANK('Capacity summary'!$H121:$BG121)&lt;52,IF('Capacity summary'!AJ121&lt;&gt;"",IF(LOWER('Capacity summary'!AJ121)="x",$BI209*AJ209,VALUE('Capacity summary'!AJ121)),0),AJ209*$BI209),AJ209*$BI209),0)</f>
        <v>0</v>
      </c>
      <c r="CN209" s="5">
        <f>IF($BI209&lt;&gt;"",IF('Capacity summary'!$C$14="Yes",IF(COUNTBLANK('Capacity summary'!$H121:$BG121)&lt;52,IF('Capacity summary'!AK121&lt;&gt;"",IF(LOWER('Capacity summary'!AK121)="x",$BI209*AK209,VALUE('Capacity summary'!AK121)),0),AK209*$BI209),AK209*$BI209),0)</f>
        <v>0</v>
      </c>
      <c r="CO209" s="5">
        <f>IF($BI209&lt;&gt;"",IF('Capacity summary'!$C$14="Yes",IF(COUNTBLANK('Capacity summary'!$H121:$BG121)&lt;52,IF('Capacity summary'!AL121&lt;&gt;"",IF(LOWER('Capacity summary'!AL121)="x",$BI209*AL209,VALUE('Capacity summary'!AL121)),0),AL209*$BI209),AL209*$BI209),0)</f>
        <v>0</v>
      </c>
      <c r="CP209" s="5">
        <f>IF($BI209&lt;&gt;"",IF('Capacity summary'!$C$14="Yes",IF(COUNTBLANK('Capacity summary'!$H121:$BG121)&lt;52,IF('Capacity summary'!AM121&lt;&gt;"",IF(LOWER('Capacity summary'!AM121)="x",$BI209*AM209,VALUE('Capacity summary'!AM121)),0),AM209*$BI209),AM209*$BI209),0)</f>
        <v>0</v>
      </c>
      <c r="CQ209" s="5">
        <f>IF($BI209&lt;&gt;"",IF('Capacity summary'!$C$14="Yes",IF(COUNTBLANK('Capacity summary'!$H121:$BG121)&lt;52,IF('Capacity summary'!AN121&lt;&gt;"",IF(LOWER('Capacity summary'!AN121)="x",$BI209*AN209,VALUE('Capacity summary'!AN121)),0),AN209*$BI209),AN209*$BI209),0)</f>
        <v>0</v>
      </c>
      <c r="CR209" s="5">
        <f>IF($BI209&lt;&gt;"",IF('Capacity summary'!$C$14="Yes",IF(COUNTBLANK('Capacity summary'!$H121:$BG121)&lt;52,IF('Capacity summary'!AO121&lt;&gt;"",IF(LOWER('Capacity summary'!AO121)="x",$BI209*AO209,VALUE('Capacity summary'!AO121)),0),AO209*$BI209),AO209*$BI209),0)</f>
        <v>0</v>
      </c>
      <c r="CS209" s="5">
        <f>IF($BI209&lt;&gt;"",IF('Capacity summary'!$C$14="Yes",IF(COUNTBLANK('Capacity summary'!$H121:$BG121)&lt;52,IF('Capacity summary'!AP121&lt;&gt;"",IF(LOWER('Capacity summary'!AP121)="x",$BI209*AP209,VALUE('Capacity summary'!AP121)),0),AP209*$BI209),AP209*$BI209),0)</f>
        <v>0</v>
      </c>
      <c r="CT209" s="5">
        <f>IF($BI209&lt;&gt;"",IF('Capacity summary'!$C$14="Yes",IF(COUNTBLANK('Capacity summary'!$H121:$BG121)&lt;52,IF('Capacity summary'!AQ121&lt;&gt;"",IF(LOWER('Capacity summary'!AQ121)="x",$BI209*AQ209,VALUE('Capacity summary'!AQ121)),0),AQ209*$BI209),AQ209*$BI209),0)</f>
        <v>0</v>
      </c>
      <c r="CU209" s="5">
        <f>IF($BI209&lt;&gt;"",IF('Capacity summary'!$C$14="Yes",IF(COUNTBLANK('Capacity summary'!$H121:$BG121)&lt;52,IF('Capacity summary'!AR121&lt;&gt;"",IF(LOWER('Capacity summary'!AR121)="x",$BI209*AR209,VALUE('Capacity summary'!AR121)),0),AR209*$BI209),AR209*$BI209),0)</f>
        <v>0</v>
      </c>
      <c r="CV209" s="5">
        <f>IF($BI209&lt;&gt;"",IF('Capacity summary'!$C$14="Yes",IF(COUNTBLANK('Capacity summary'!$H121:$BG121)&lt;52,IF('Capacity summary'!AS121&lt;&gt;"",IF(LOWER('Capacity summary'!AS121)="x",$BI209*AS209,VALUE('Capacity summary'!AS121)),0),AS209*$BI209),AS209*$BI209),0)</f>
        <v>0</v>
      </c>
      <c r="CW209" s="5">
        <f>IF($BI209&lt;&gt;"",IF('Capacity summary'!$C$14="Yes",IF(COUNTBLANK('Capacity summary'!$H121:$BG121)&lt;52,IF('Capacity summary'!AT121&lt;&gt;"",IF(LOWER('Capacity summary'!AT121)="x",$BI209*AT209,VALUE('Capacity summary'!AT121)),0),AT209*$BI209),AT209*$BI209),0)</f>
        <v>0</v>
      </c>
      <c r="CX209" s="5">
        <f>IF($BI209&lt;&gt;"",IF('Capacity summary'!$C$14="Yes",IF(COUNTBLANK('Capacity summary'!$H121:$BG121)&lt;52,IF('Capacity summary'!AU121&lt;&gt;"",IF(LOWER('Capacity summary'!AU121)="x",$BI209*AU209,VALUE('Capacity summary'!AU121)),0),AU209*$BI209),AU209*$BI209),0)</f>
        <v>0</v>
      </c>
      <c r="CY209" s="5">
        <f>IF($BI209&lt;&gt;"",IF('Capacity summary'!$C$14="Yes",IF(COUNTBLANK('Capacity summary'!$H121:$BG121)&lt;52,IF('Capacity summary'!AV121&lt;&gt;"",IF(LOWER('Capacity summary'!AV121)="x",$BI209*AV209,VALUE('Capacity summary'!AV121)),0),AV209*$BI209),AV209*$BI209),0)</f>
        <v>0</v>
      </c>
      <c r="CZ209" s="5">
        <f>IF($BI209&lt;&gt;"",IF('Capacity summary'!$C$14="Yes",IF(COUNTBLANK('Capacity summary'!$H121:$BG121)&lt;52,IF('Capacity summary'!AW121&lt;&gt;"",IF(LOWER('Capacity summary'!AW121)="x",$BI209*AW209,VALUE('Capacity summary'!AW121)),0),AW209*$BI209),AW209*$BI209),0)</f>
        <v>0</v>
      </c>
      <c r="DA209" s="5">
        <f>IF($BI209&lt;&gt;"",IF('Capacity summary'!$C$14="Yes",IF(COUNTBLANK('Capacity summary'!$H121:$BG121)&lt;52,IF('Capacity summary'!AX121&lt;&gt;"",IF(LOWER('Capacity summary'!AX121)="x",$BI209*AX209,VALUE('Capacity summary'!AX121)),0),AX209*$BI209),AX209*$BI209),0)</f>
        <v>0</v>
      </c>
      <c r="DB209" s="5">
        <f>IF($BI209&lt;&gt;"",IF('Capacity summary'!$C$14="Yes",IF(COUNTBLANK('Capacity summary'!$H121:$BG121)&lt;52,IF('Capacity summary'!AY121&lt;&gt;"",IF(LOWER('Capacity summary'!AY121)="x",$BI209*AY209,VALUE('Capacity summary'!AY121)),0),AY209*$BI209),AY209*$BI209),0)</f>
        <v>0</v>
      </c>
      <c r="DC209" s="5">
        <f>IF($BI209&lt;&gt;"",IF('Capacity summary'!$C$14="Yes",IF(COUNTBLANK('Capacity summary'!$H121:$BG121)&lt;52,IF('Capacity summary'!AZ121&lt;&gt;"",IF(LOWER('Capacity summary'!AZ121)="x",$BI209*AZ209,VALUE('Capacity summary'!AZ121)),0),AZ209*$BI209),AZ209*$BI209),0)</f>
        <v>0</v>
      </c>
      <c r="DD209" s="5">
        <f>IF($BI209&lt;&gt;"",IF('Capacity summary'!$C$14="Yes",IF(COUNTBLANK('Capacity summary'!$H121:$BG121)&lt;52,IF('Capacity summary'!BA121&lt;&gt;"",IF(LOWER('Capacity summary'!BA121)="x",$BI209*BA209,VALUE('Capacity summary'!BA121)),0),BA209*$BI209),BA209*$BI209),0)</f>
        <v>0</v>
      </c>
      <c r="DE209" s="5">
        <f>IF($BI209&lt;&gt;"",IF('Capacity summary'!$C$14="Yes",IF(COUNTBLANK('Capacity summary'!$H121:$BG121)&lt;52,IF('Capacity summary'!BB121&lt;&gt;"",IF(LOWER('Capacity summary'!BB121)="x",$BI209*BB209,VALUE('Capacity summary'!BB121)),0),BB209*$BI209),BB209*$BI209),0)</f>
        <v>0</v>
      </c>
      <c r="DF209" s="5">
        <f>IF($BI209&lt;&gt;"",IF('Capacity summary'!$C$14="Yes",IF(COUNTBLANK('Capacity summary'!$H121:$BG121)&lt;52,IF('Capacity summary'!BC121&lt;&gt;"",IF(LOWER('Capacity summary'!BC121)="x",$BI209*BC209,VALUE('Capacity summary'!BC121)),0),BC209*$BI209),BC209*$BI209),0)</f>
        <v>0</v>
      </c>
      <c r="DG209" s="5">
        <f>IF($BI209&lt;&gt;"",IF('Capacity summary'!$C$14="Yes",IF(COUNTBLANK('Capacity summary'!$H121:$BG121)&lt;52,IF('Capacity summary'!BD121&lt;&gt;"",IF(LOWER('Capacity summary'!BD121)="x",$BI209*BD209,VALUE('Capacity summary'!BD121)),0),BD209*$BI209),BD209*$BI209),0)</f>
        <v>0</v>
      </c>
      <c r="DH209" s="5">
        <f>IF($BI209&lt;&gt;"",IF('Capacity summary'!$C$14="Yes",IF(COUNTBLANK('Capacity summary'!$H121:$BG121)&lt;52,IF('Capacity summary'!BE121&lt;&gt;"",IF(LOWER('Capacity summary'!BE121)="x",$BI209*BE209,VALUE('Capacity summary'!BE121)),0),BE209*$BI209),BE209*$BI209),0)</f>
        <v>0</v>
      </c>
      <c r="DI209" s="5">
        <f>IF($BI209&lt;&gt;"",IF('Capacity summary'!$C$14="Yes",IF(COUNTBLANK('Capacity summary'!$H121:$BG121)&lt;52,IF('Capacity summary'!BF121&lt;&gt;"",IF(LOWER('Capacity summary'!BF121)="x",$BI209*BF209,VALUE('Capacity summary'!BF121)),0),BF209*$BI209),BF209*$BI209),0)</f>
        <v>0</v>
      </c>
      <c r="DJ209" s="5">
        <f>IF($BI209&lt;&gt;"",IF('Capacity summary'!$C$14="Yes",IF(COUNTBLANK('Capacity summary'!$H121:$BG121)&lt;52,IF('Capacity summary'!BG121&lt;&gt;"",IF(LOWER('Capacity summary'!BG121)="x",$BI209*BG209,VALUE('Capacity summary'!BG121)),0),BG209*$BI209),BG209*$BI209),0)</f>
        <v>0</v>
      </c>
      <c r="DK209" s="391">
        <f t="shared" si="10"/>
        <v>0</v>
      </c>
      <c r="DL209" s="5">
        <f t="shared" si="11"/>
        <v>0</v>
      </c>
    </row>
    <row r="210" spans="2:116" x14ac:dyDescent="0.2">
      <c r="C210" s="67" t="str">
        <f>ROW(A99)&amp;". "&amp;Capacity!N115</f>
        <v xml:space="preserve">99. </v>
      </c>
      <c r="D210" s="67">
        <f>'Capacity setup'!C216</f>
        <v>0</v>
      </c>
      <c r="E210" s="67">
        <f>'Capacity setup'!D216</f>
        <v>0</v>
      </c>
      <c r="F210" s="67">
        <f>'Capacity setup'!E216</f>
        <v>0</v>
      </c>
      <c r="H210" s="67">
        <f ca="1">IF(LOWER(Capacity!$V115)="x",IF(AND(SUMIF(Capacity_Resource,$D210,'Critical resources (hide)'!U$6:U$105)+SUMIF(Capacity_Resource,$E210,'Critical resources (hide)'!U$6:U$105)+SUMIF(Capacity_Resource,$F210,'Critical resources (hide)'!U$6:U$105)&gt;0,$E$1=2),0,1),0)</f>
        <v>1</v>
      </c>
      <c r="I210" s="67">
        <f ca="1">IF(LOWER(Capacity!$V115)="x",IF(AND(SUMIF(Capacity_Resource,$D210,'Critical resources (hide)'!V$6:V$105)+SUMIF(Capacity_Resource,$E210,'Critical resources (hide)'!V$6:V$105)+SUMIF(Capacity_Resource,$F210,'Critical resources (hide)'!V$6:V$105)&gt;0,$E$1=2),0,1),0)</f>
        <v>1</v>
      </c>
      <c r="J210" s="67">
        <f ca="1">IF(LOWER(Capacity!$V115)="x",IF(AND(SUMIF(Capacity_Resource,$D210,'Critical resources (hide)'!W$6:W$105)+SUMIF(Capacity_Resource,$E210,'Critical resources (hide)'!W$6:W$105)+SUMIF(Capacity_Resource,$F210,'Critical resources (hide)'!W$6:W$105)&gt;0,$E$1=2),0,1),0)</f>
        <v>1</v>
      </c>
      <c r="K210" s="67">
        <f ca="1">IF(LOWER(Capacity!$V115)="x",IF(AND(SUMIF(Capacity_Resource,$D210,'Critical resources (hide)'!X$6:X$105)+SUMIF(Capacity_Resource,$E210,'Critical resources (hide)'!X$6:X$105)+SUMIF(Capacity_Resource,$F210,'Critical resources (hide)'!X$6:X$105)&gt;0,$E$1=2),0,1),0)</f>
        <v>1</v>
      </c>
      <c r="L210" s="67">
        <f ca="1">IF(LOWER(Capacity!$V115)="x",IF(AND(SUMIF(Capacity_Resource,$D210,'Critical resources (hide)'!Y$6:Y$105)+SUMIF(Capacity_Resource,$E210,'Critical resources (hide)'!Y$6:Y$105)+SUMIF(Capacity_Resource,$F210,'Critical resources (hide)'!Y$6:Y$105)&gt;0,$E$1=2),0,1),0)</f>
        <v>1</v>
      </c>
      <c r="M210" s="67">
        <f ca="1">IF(LOWER(Capacity!$V115)="x",IF(AND(SUMIF(Capacity_Resource,$D210,'Critical resources (hide)'!Z$6:Z$105)+SUMIF(Capacity_Resource,$E210,'Critical resources (hide)'!Z$6:Z$105)+SUMIF(Capacity_Resource,$F210,'Critical resources (hide)'!Z$6:Z$105)&gt;0,$E$1=2),0,1),0)</f>
        <v>1</v>
      </c>
      <c r="N210" s="67">
        <f ca="1">IF(LOWER(Capacity!$V115)="x",IF(AND(SUMIF(Capacity_Resource,$D210,'Critical resources (hide)'!AA$6:AA$105)+SUMIF(Capacity_Resource,$E210,'Critical resources (hide)'!AA$6:AA$105)+SUMIF(Capacity_Resource,$F210,'Critical resources (hide)'!AA$6:AA$105)&gt;0,$E$1=2),0,1),0)</f>
        <v>1</v>
      </c>
      <c r="O210" s="67">
        <f ca="1">IF(LOWER(Capacity!$V115)="x",IF(AND(SUMIF(Capacity_Resource,$D210,'Critical resources (hide)'!AB$6:AB$105)+SUMIF(Capacity_Resource,$E210,'Critical resources (hide)'!AB$6:AB$105)+SUMIF(Capacity_Resource,$F210,'Critical resources (hide)'!AB$6:AB$105)&gt;0,$E$1=2),0,1),0)</f>
        <v>1</v>
      </c>
      <c r="P210" s="67">
        <f ca="1">IF(LOWER(Capacity!$V115)="x",IF(AND(SUMIF(Capacity_Resource,$D210,'Critical resources (hide)'!AC$6:AC$105)+SUMIF(Capacity_Resource,$E210,'Critical resources (hide)'!AC$6:AC$105)+SUMIF(Capacity_Resource,$F210,'Critical resources (hide)'!AC$6:AC$105)&gt;0,$E$1=2),0,1),0)</f>
        <v>1</v>
      </c>
      <c r="Q210" s="67">
        <f ca="1">IF(LOWER(Capacity!$V115)="x",IF(AND(SUMIF(Capacity_Resource,$D210,'Critical resources (hide)'!AD$6:AD$105)+SUMIF(Capacity_Resource,$E210,'Critical resources (hide)'!AD$6:AD$105)+SUMIF(Capacity_Resource,$F210,'Critical resources (hide)'!AD$6:AD$105)&gt;0,$E$1=2),0,1),0)</f>
        <v>1</v>
      </c>
      <c r="R210" s="67">
        <f ca="1">IF(LOWER(Capacity!$V115)="x",IF(AND(SUMIF(Capacity_Resource,$D210,'Critical resources (hide)'!AE$6:AE$105)+SUMIF(Capacity_Resource,$E210,'Critical resources (hide)'!AE$6:AE$105)+SUMIF(Capacity_Resource,$F210,'Critical resources (hide)'!AE$6:AE$105)&gt;0,$E$1=2),0,1),0)</f>
        <v>1</v>
      </c>
      <c r="S210" s="67">
        <f ca="1">IF(LOWER(Capacity!$V115)="x",IF(AND(SUMIF(Capacity_Resource,$D210,'Critical resources (hide)'!AF$6:AF$105)+SUMIF(Capacity_Resource,$E210,'Critical resources (hide)'!AF$6:AF$105)+SUMIF(Capacity_Resource,$F210,'Critical resources (hide)'!AF$6:AF$105)&gt;0,$E$1=2),0,1),0)</f>
        <v>1</v>
      </c>
      <c r="T210" s="67">
        <f ca="1">IF(LOWER(Capacity!$V115)="x",IF(AND(SUMIF(Capacity_Resource,$D210,'Critical resources (hide)'!AG$6:AG$105)+SUMIF(Capacity_Resource,$E210,'Critical resources (hide)'!AG$6:AG$105)+SUMIF(Capacity_Resource,$F210,'Critical resources (hide)'!AG$6:AG$105)&gt;0,$E$1=2),0,1),0)</f>
        <v>1</v>
      </c>
      <c r="U210" s="67">
        <f ca="1">IF(LOWER(Capacity!$V115)="x",IF(AND(SUMIF(Capacity_Resource,$D210,'Critical resources (hide)'!AH$6:AH$105)+SUMIF(Capacity_Resource,$E210,'Critical resources (hide)'!AH$6:AH$105)+SUMIF(Capacity_Resource,$F210,'Critical resources (hide)'!AH$6:AH$105)&gt;0,$E$1=2),0,1),0)</f>
        <v>1</v>
      </c>
      <c r="V210" s="67">
        <f ca="1">IF(LOWER(Capacity!$V115)="x",IF(AND(SUMIF(Capacity_Resource,$D210,'Critical resources (hide)'!AI$6:AI$105)+SUMIF(Capacity_Resource,$E210,'Critical resources (hide)'!AI$6:AI$105)+SUMIF(Capacity_Resource,$F210,'Critical resources (hide)'!AI$6:AI$105)&gt;0,$E$1=2),0,1),0)</f>
        <v>1</v>
      </c>
      <c r="W210" s="67">
        <f ca="1">IF(LOWER(Capacity!$V115)="x",IF(AND(SUMIF(Capacity_Resource,$D210,'Critical resources (hide)'!AJ$6:AJ$105)+SUMIF(Capacity_Resource,$E210,'Critical resources (hide)'!AJ$6:AJ$105)+SUMIF(Capacity_Resource,$F210,'Critical resources (hide)'!AJ$6:AJ$105)&gt;0,$E$1=2),0,1),0)</f>
        <v>1</v>
      </c>
      <c r="X210" s="67">
        <f ca="1">IF(LOWER(Capacity!$V115)="x",IF(AND(SUMIF(Capacity_Resource,$D210,'Critical resources (hide)'!AK$6:AK$105)+SUMIF(Capacity_Resource,$E210,'Critical resources (hide)'!AK$6:AK$105)+SUMIF(Capacity_Resource,$F210,'Critical resources (hide)'!AK$6:AK$105)&gt;0,$E$1=2),0,1),0)</f>
        <v>1</v>
      </c>
      <c r="Y210" s="67">
        <f ca="1">IF(LOWER(Capacity!$V115)="x",IF(AND(SUMIF(Capacity_Resource,$D210,'Critical resources (hide)'!AL$6:AL$105)+SUMIF(Capacity_Resource,$E210,'Critical resources (hide)'!AL$6:AL$105)+SUMIF(Capacity_Resource,$F210,'Critical resources (hide)'!AL$6:AL$105)&gt;0,$E$1=2),0,1),0)</f>
        <v>1</v>
      </c>
      <c r="Z210" s="67">
        <f ca="1">IF(LOWER(Capacity!$V115)="x",IF(AND(SUMIF(Capacity_Resource,$D210,'Critical resources (hide)'!AM$6:AM$105)+SUMIF(Capacity_Resource,$E210,'Critical resources (hide)'!AM$6:AM$105)+SUMIF(Capacity_Resource,$F210,'Critical resources (hide)'!AM$6:AM$105)&gt;0,$E$1=2),0,1),0)</f>
        <v>1</v>
      </c>
      <c r="AA210" s="67">
        <f ca="1">IF(LOWER(Capacity!$V115)="x",IF(AND(SUMIF(Capacity_Resource,$D210,'Critical resources (hide)'!AN$6:AN$105)+SUMIF(Capacity_Resource,$E210,'Critical resources (hide)'!AN$6:AN$105)+SUMIF(Capacity_Resource,$F210,'Critical resources (hide)'!AN$6:AN$105)&gt;0,$E$1=2),0,1),0)</f>
        <v>1</v>
      </c>
      <c r="AB210" s="67">
        <f ca="1">IF(LOWER(Capacity!$V115)="x",IF(AND(SUMIF(Capacity_Resource,$D210,'Critical resources (hide)'!AO$6:AO$105)+SUMIF(Capacity_Resource,$E210,'Critical resources (hide)'!AO$6:AO$105)+SUMIF(Capacity_Resource,$F210,'Critical resources (hide)'!AO$6:AO$105)&gt;0,$E$1=2),0,1),0)</f>
        <v>1</v>
      </c>
      <c r="AC210" s="67">
        <f ca="1">IF(LOWER(Capacity!$V115)="x",IF(AND(SUMIF(Capacity_Resource,$D210,'Critical resources (hide)'!AP$6:AP$105)+SUMIF(Capacity_Resource,$E210,'Critical resources (hide)'!AP$6:AP$105)+SUMIF(Capacity_Resource,$F210,'Critical resources (hide)'!AP$6:AP$105)&gt;0,$E$1=2),0,1),0)</f>
        <v>1</v>
      </c>
      <c r="AD210" s="67">
        <f ca="1">IF(LOWER(Capacity!$V115)="x",IF(AND(SUMIF(Capacity_Resource,$D210,'Critical resources (hide)'!AQ$6:AQ$105)+SUMIF(Capacity_Resource,$E210,'Critical resources (hide)'!AQ$6:AQ$105)+SUMIF(Capacity_Resource,$F210,'Critical resources (hide)'!AQ$6:AQ$105)&gt;0,$E$1=2),0,1),0)</f>
        <v>1</v>
      </c>
      <c r="AE210" s="67">
        <f ca="1">IF(LOWER(Capacity!$V115)="x",IF(AND(SUMIF(Capacity_Resource,$D210,'Critical resources (hide)'!AR$6:AR$105)+SUMIF(Capacity_Resource,$E210,'Critical resources (hide)'!AR$6:AR$105)+SUMIF(Capacity_Resource,$F210,'Critical resources (hide)'!AR$6:AR$105)&gt;0,$E$1=2),0,1),0)</f>
        <v>1</v>
      </c>
      <c r="AF210" s="67">
        <f ca="1">IF(LOWER(Capacity!$V115)="x",IF(AND(SUMIF(Capacity_Resource,$D210,'Critical resources (hide)'!AS$6:AS$105)+SUMIF(Capacity_Resource,$E210,'Critical resources (hide)'!AS$6:AS$105)+SUMIF(Capacity_Resource,$F210,'Critical resources (hide)'!AS$6:AS$105)&gt;0,$E$1=2),0,1),0)</f>
        <v>1</v>
      </c>
      <c r="AG210" s="67">
        <f ca="1">IF(LOWER(Capacity!$V115)="x",IF(AND(SUMIF(Capacity_Resource,$D210,'Critical resources (hide)'!AT$6:AT$105)+SUMIF(Capacity_Resource,$E210,'Critical resources (hide)'!AT$6:AT$105)+SUMIF(Capacity_Resource,$F210,'Critical resources (hide)'!AT$6:AT$105)&gt;0,$E$1=2),0,1),0)</f>
        <v>1</v>
      </c>
      <c r="AH210" s="67">
        <f ca="1">IF(LOWER(Capacity!$V115)="x",IF(AND(SUMIF(Capacity_Resource,$D210,'Critical resources (hide)'!AU$6:AU$105)+SUMIF(Capacity_Resource,$E210,'Critical resources (hide)'!AU$6:AU$105)+SUMIF(Capacity_Resource,$F210,'Critical resources (hide)'!AU$6:AU$105)&gt;0,$E$1=2),0,1),0)</f>
        <v>1</v>
      </c>
      <c r="AI210" s="67">
        <f ca="1">IF(LOWER(Capacity!$V115)="x",IF(AND(SUMIF(Capacity_Resource,$D210,'Critical resources (hide)'!AV$6:AV$105)+SUMIF(Capacity_Resource,$E210,'Critical resources (hide)'!AV$6:AV$105)+SUMIF(Capacity_Resource,$F210,'Critical resources (hide)'!AV$6:AV$105)&gt;0,$E$1=2),0,1),0)</f>
        <v>1</v>
      </c>
      <c r="AJ210" s="67">
        <f ca="1">IF(LOWER(Capacity!$V115)="x",IF(AND(SUMIF(Capacity_Resource,$D210,'Critical resources (hide)'!AW$6:AW$105)+SUMIF(Capacity_Resource,$E210,'Critical resources (hide)'!AW$6:AW$105)+SUMIF(Capacity_Resource,$F210,'Critical resources (hide)'!AW$6:AW$105)&gt;0,$E$1=2),0,1),0)</f>
        <v>1</v>
      </c>
      <c r="AK210" s="67">
        <f ca="1">IF(LOWER(Capacity!$V115)="x",IF(AND(SUMIF(Capacity_Resource,$D210,'Critical resources (hide)'!AX$6:AX$105)+SUMIF(Capacity_Resource,$E210,'Critical resources (hide)'!AX$6:AX$105)+SUMIF(Capacity_Resource,$F210,'Critical resources (hide)'!AX$6:AX$105)&gt;0,$E$1=2),0,1),0)</f>
        <v>1</v>
      </c>
      <c r="AL210" s="67">
        <f ca="1">IF(LOWER(Capacity!$V115)="x",IF(AND(SUMIF(Capacity_Resource,$D210,'Critical resources (hide)'!AY$6:AY$105)+SUMIF(Capacity_Resource,$E210,'Critical resources (hide)'!AY$6:AY$105)+SUMIF(Capacity_Resource,$F210,'Critical resources (hide)'!AY$6:AY$105)&gt;0,$E$1=2),0,1),0)</f>
        <v>1</v>
      </c>
      <c r="AM210" s="67">
        <f ca="1">IF(LOWER(Capacity!$V115)="x",IF(AND(SUMIF(Capacity_Resource,$D210,'Critical resources (hide)'!AZ$6:AZ$105)+SUMIF(Capacity_Resource,$E210,'Critical resources (hide)'!AZ$6:AZ$105)+SUMIF(Capacity_Resource,$F210,'Critical resources (hide)'!AZ$6:AZ$105)&gt;0,$E$1=2),0,1),0)</f>
        <v>1</v>
      </c>
      <c r="AN210" s="67">
        <f ca="1">IF(LOWER(Capacity!$V115)="x",IF(AND(SUMIF(Capacity_Resource,$D210,'Critical resources (hide)'!BA$6:BA$105)+SUMIF(Capacity_Resource,$E210,'Critical resources (hide)'!BA$6:BA$105)+SUMIF(Capacity_Resource,$F210,'Critical resources (hide)'!BA$6:BA$105)&gt;0,$E$1=2),0,1),0)</f>
        <v>1</v>
      </c>
      <c r="AO210" s="67">
        <f ca="1">IF(LOWER(Capacity!$V115)="x",IF(AND(SUMIF(Capacity_Resource,$D210,'Critical resources (hide)'!BB$6:BB$105)+SUMIF(Capacity_Resource,$E210,'Critical resources (hide)'!BB$6:BB$105)+SUMIF(Capacity_Resource,$F210,'Critical resources (hide)'!BB$6:BB$105)&gt;0,$E$1=2),0,1),0)</f>
        <v>1</v>
      </c>
      <c r="AP210" s="67">
        <f ca="1">IF(LOWER(Capacity!$V115)="x",IF(AND(SUMIF(Capacity_Resource,$D210,'Critical resources (hide)'!BC$6:BC$105)+SUMIF(Capacity_Resource,$E210,'Critical resources (hide)'!BC$6:BC$105)+SUMIF(Capacity_Resource,$F210,'Critical resources (hide)'!BC$6:BC$105)&gt;0,$E$1=2),0,1),0)</f>
        <v>1</v>
      </c>
      <c r="AQ210" s="67">
        <f ca="1">IF(LOWER(Capacity!$V115)="x",IF(AND(SUMIF(Capacity_Resource,$D210,'Critical resources (hide)'!BD$6:BD$105)+SUMIF(Capacity_Resource,$E210,'Critical resources (hide)'!BD$6:BD$105)+SUMIF(Capacity_Resource,$F210,'Critical resources (hide)'!BD$6:BD$105)&gt;0,$E$1=2),0,1),0)</f>
        <v>1</v>
      </c>
      <c r="AR210" s="67">
        <f ca="1">IF(LOWER(Capacity!$V115)="x",IF(AND(SUMIF(Capacity_Resource,$D210,'Critical resources (hide)'!BE$6:BE$105)+SUMIF(Capacity_Resource,$E210,'Critical resources (hide)'!BE$6:BE$105)+SUMIF(Capacity_Resource,$F210,'Critical resources (hide)'!BE$6:BE$105)&gt;0,$E$1=2),0,1),0)</f>
        <v>1</v>
      </c>
      <c r="AS210" s="67">
        <f ca="1">IF(LOWER(Capacity!$V115)="x",IF(AND(SUMIF(Capacity_Resource,$D210,'Critical resources (hide)'!BF$6:BF$105)+SUMIF(Capacity_Resource,$E210,'Critical resources (hide)'!BF$6:BF$105)+SUMIF(Capacity_Resource,$F210,'Critical resources (hide)'!BF$6:BF$105)&gt;0,$E$1=2),0,1),0)</f>
        <v>1</v>
      </c>
      <c r="AT210" s="67">
        <f ca="1">IF(LOWER(Capacity!$V115)="x",IF(AND(SUMIF(Capacity_Resource,$D210,'Critical resources (hide)'!BG$6:BG$105)+SUMIF(Capacity_Resource,$E210,'Critical resources (hide)'!BG$6:BG$105)+SUMIF(Capacity_Resource,$F210,'Critical resources (hide)'!BG$6:BG$105)&gt;0,$E$1=2),0,1),0)</f>
        <v>1</v>
      </c>
      <c r="AU210" s="67">
        <f ca="1">IF(LOWER(Capacity!$V115)="x",IF(AND(SUMIF(Capacity_Resource,$D210,'Critical resources (hide)'!BH$6:BH$105)+SUMIF(Capacity_Resource,$E210,'Critical resources (hide)'!BH$6:BH$105)+SUMIF(Capacity_Resource,$F210,'Critical resources (hide)'!BH$6:BH$105)&gt;0,$E$1=2),0,1),0)</f>
        <v>1</v>
      </c>
      <c r="AV210" s="67">
        <f ca="1">IF(LOWER(Capacity!$V115)="x",IF(AND(SUMIF(Capacity_Resource,$D210,'Critical resources (hide)'!BI$6:BI$105)+SUMIF(Capacity_Resource,$E210,'Critical resources (hide)'!BI$6:BI$105)+SUMIF(Capacity_Resource,$F210,'Critical resources (hide)'!BI$6:BI$105)&gt;0,$E$1=2),0,1),0)</f>
        <v>1</v>
      </c>
      <c r="AW210" s="67">
        <f ca="1">IF(LOWER(Capacity!$V115)="x",IF(AND(SUMIF(Capacity_Resource,$D210,'Critical resources (hide)'!BJ$6:BJ$105)+SUMIF(Capacity_Resource,$E210,'Critical resources (hide)'!BJ$6:BJ$105)+SUMIF(Capacity_Resource,$F210,'Critical resources (hide)'!BJ$6:BJ$105)&gt;0,$E$1=2),0,1),0)</f>
        <v>1</v>
      </c>
      <c r="AX210" s="67">
        <f ca="1">IF(LOWER(Capacity!$V115)="x",IF(AND(SUMIF(Capacity_Resource,$D210,'Critical resources (hide)'!BK$6:BK$105)+SUMIF(Capacity_Resource,$E210,'Critical resources (hide)'!BK$6:BK$105)+SUMIF(Capacity_Resource,$F210,'Critical resources (hide)'!BK$6:BK$105)&gt;0,$E$1=2),0,1),0)</f>
        <v>1</v>
      </c>
      <c r="AY210" s="67">
        <f ca="1">IF(LOWER(Capacity!$V115)="x",IF(AND(SUMIF(Capacity_Resource,$D210,'Critical resources (hide)'!BL$6:BL$105)+SUMIF(Capacity_Resource,$E210,'Critical resources (hide)'!BL$6:BL$105)+SUMIF(Capacity_Resource,$F210,'Critical resources (hide)'!BL$6:BL$105)&gt;0,$E$1=2),0,1),0)</f>
        <v>1</v>
      </c>
      <c r="AZ210" s="67">
        <f ca="1">IF(LOWER(Capacity!$V115)="x",IF(AND(SUMIF(Capacity_Resource,$D210,'Critical resources (hide)'!BM$6:BM$105)+SUMIF(Capacity_Resource,$E210,'Critical resources (hide)'!BM$6:BM$105)+SUMIF(Capacity_Resource,$F210,'Critical resources (hide)'!BM$6:BM$105)&gt;0,$E$1=2),0,1),0)</f>
        <v>1</v>
      </c>
      <c r="BA210" s="67">
        <f ca="1">IF(LOWER(Capacity!$V115)="x",IF(AND(SUMIF(Capacity_Resource,$D210,'Critical resources (hide)'!BN$6:BN$105)+SUMIF(Capacity_Resource,$E210,'Critical resources (hide)'!BN$6:BN$105)+SUMIF(Capacity_Resource,$F210,'Critical resources (hide)'!BN$6:BN$105)&gt;0,$E$1=2),0,1),0)</f>
        <v>1</v>
      </c>
      <c r="BB210" s="67">
        <f ca="1">IF(LOWER(Capacity!$V115)="x",IF(AND(SUMIF(Capacity_Resource,$D210,'Critical resources (hide)'!BO$6:BO$105)+SUMIF(Capacity_Resource,$E210,'Critical resources (hide)'!BO$6:BO$105)+SUMIF(Capacity_Resource,$F210,'Critical resources (hide)'!BO$6:BO$105)&gt;0,$E$1=2),0,1),0)</f>
        <v>1</v>
      </c>
      <c r="BC210" s="67">
        <f ca="1">IF(LOWER(Capacity!$V115)="x",IF(AND(SUMIF(Capacity_Resource,$D210,'Critical resources (hide)'!BP$6:BP$105)+SUMIF(Capacity_Resource,$E210,'Critical resources (hide)'!BP$6:BP$105)+SUMIF(Capacity_Resource,$F210,'Critical resources (hide)'!BP$6:BP$105)&gt;0,$E$1=2),0,1),0)</f>
        <v>1</v>
      </c>
      <c r="BD210" s="67">
        <f ca="1">IF(LOWER(Capacity!$V115)="x",IF(AND(SUMIF(Capacity_Resource,$D210,'Critical resources (hide)'!BQ$6:BQ$105)+SUMIF(Capacity_Resource,$E210,'Critical resources (hide)'!BQ$6:BQ$105)+SUMIF(Capacity_Resource,$F210,'Critical resources (hide)'!BQ$6:BQ$105)&gt;0,$E$1=2),0,1),0)</f>
        <v>1</v>
      </c>
      <c r="BE210" s="67">
        <f ca="1">IF(LOWER(Capacity!$V115)="x",IF(AND(SUMIF(Capacity_Resource,$D210,'Critical resources (hide)'!BR$6:BR$105)+SUMIF(Capacity_Resource,$E210,'Critical resources (hide)'!BR$6:BR$105)+SUMIF(Capacity_Resource,$F210,'Critical resources (hide)'!BR$6:BR$105)&gt;0,$E$1=2),0,1),0)</f>
        <v>1</v>
      </c>
      <c r="BF210" s="67">
        <f ca="1">IF(LOWER(Capacity!$V115)="x",IF(AND(SUMIF(Capacity_Resource,$D210,'Critical resources (hide)'!BS$6:BS$105)+SUMIF(Capacity_Resource,$E210,'Critical resources (hide)'!BS$6:BS$105)+SUMIF(Capacity_Resource,$F210,'Critical resources (hide)'!BS$6:BS$105)&gt;0,$E$1=2),0,1),0)</f>
        <v>1</v>
      </c>
      <c r="BG210" s="67">
        <f ca="1">IF(LOWER(Capacity!$V115)="x",IF(AND(SUMIF(Capacity_Resource,$D210,'Critical resources (hide)'!BT$6:BT$105)+SUMIF(Capacity_Resource,$E210,'Critical resources (hide)'!BT$6:BT$105)+SUMIF(Capacity_Resource,$F210,'Critical resources (hide)'!BT$6:BT$105)&gt;0,$E$1=2),0,1),0)</f>
        <v>1</v>
      </c>
      <c r="BH210" s="67">
        <f>IF(ROW(A99)&lt;=Capacity!$M$16,IF('Capacity summary'!$C$14="No",SUM(H210:BG210),'Capacity summary'!$E122),0)</f>
        <v>0</v>
      </c>
      <c r="BI210" s="67" t="str">
        <f>IF(BH210&gt;0,IF(BH210&lt;Capacity!Q115,Capacity!R115,Capacity!T115/'Capacity calculation (hide)'!BH210),"")</f>
        <v/>
      </c>
      <c r="BJ210" s="5"/>
      <c r="BK210" s="5">
        <f>IF($BI210&lt;&gt;"",IF('Capacity summary'!$C$14="Yes",IF(COUNTBLANK('Capacity summary'!$H122:$BG122)&lt;52,IF('Capacity summary'!H122&lt;&gt;"",IF(LOWER('Capacity summary'!H122)="x",$BI210*H210,VALUE('Capacity summary'!H122)),0),H210*$BI210),H210*$BI210),0)</f>
        <v>0</v>
      </c>
      <c r="BL210" s="5">
        <f>IF($BI210&lt;&gt;"",IF('Capacity summary'!$C$14="Yes",IF(COUNTBLANK('Capacity summary'!$H122:$BG122)&lt;52,IF('Capacity summary'!I122&lt;&gt;"",IF(LOWER('Capacity summary'!I122)="x",$BI210*I210,VALUE('Capacity summary'!I122)),0),I210*$BI210),I210*$BI210),0)</f>
        <v>0</v>
      </c>
      <c r="BM210" s="5">
        <f>IF($BI210&lt;&gt;"",IF('Capacity summary'!$C$14="Yes",IF(COUNTBLANK('Capacity summary'!$H122:$BG122)&lt;52,IF('Capacity summary'!J122&lt;&gt;"",IF(LOWER('Capacity summary'!J122)="x",$BI210*J210,VALUE('Capacity summary'!J122)),0),J210*$BI210),J210*$BI210),0)</f>
        <v>0</v>
      </c>
      <c r="BN210" s="5">
        <f>IF($BI210&lt;&gt;"",IF('Capacity summary'!$C$14="Yes",IF(COUNTBLANK('Capacity summary'!$H122:$BG122)&lt;52,IF('Capacity summary'!K122&lt;&gt;"",IF(LOWER('Capacity summary'!K122)="x",$BI210*K210,VALUE('Capacity summary'!K122)),0),K210*$BI210),K210*$BI210),0)</f>
        <v>0</v>
      </c>
      <c r="BO210" s="5">
        <f>IF($BI210&lt;&gt;"",IF('Capacity summary'!$C$14="Yes",IF(COUNTBLANK('Capacity summary'!$H122:$BG122)&lt;52,IF('Capacity summary'!L122&lt;&gt;"",IF(LOWER('Capacity summary'!L122)="x",$BI210*L210,VALUE('Capacity summary'!L122)),0),L210*$BI210),L210*$BI210),0)</f>
        <v>0</v>
      </c>
      <c r="BP210" s="5">
        <f>IF($BI210&lt;&gt;"",IF('Capacity summary'!$C$14="Yes",IF(COUNTBLANK('Capacity summary'!$H122:$BG122)&lt;52,IF('Capacity summary'!M122&lt;&gt;"",IF(LOWER('Capacity summary'!M122)="x",$BI210*M210,VALUE('Capacity summary'!M122)),0),M210*$BI210),M210*$BI210),0)</f>
        <v>0</v>
      </c>
      <c r="BQ210" s="5">
        <f>IF($BI210&lt;&gt;"",IF('Capacity summary'!$C$14="Yes",IF(COUNTBLANK('Capacity summary'!$H122:$BG122)&lt;52,IF('Capacity summary'!N122&lt;&gt;"",IF(LOWER('Capacity summary'!N122)="x",$BI210*N210,VALUE('Capacity summary'!N122)),0),N210*$BI210),N210*$BI210),0)</f>
        <v>0</v>
      </c>
      <c r="BR210" s="5">
        <f>IF($BI210&lt;&gt;"",IF('Capacity summary'!$C$14="Yes",IF(COUNTBLANK('Capacity summary'!$H122:$BG122)&lt;52,IF('Capacity summary'!O122&lt;&gt;"",IF(LOWER('Capacity summary'!O122)="x",$BI210*O210,VALUE('Capacity summary'!O122)),0),O210*$BI210),O210*$BI210),0)</f>
        <v>0</v>
      </c>
      <c r="BS210" s="5">
        <f>IF($BI210&lt;&gt;"",IF('Capacity summary'!$C$14="Yes",IF(COUNTBLANK('Capacity summary'!$H122:$BG122)&lt;52,IF('Capacity summary'!P122&lt;&gt;"",IF(LOWER('Capacity summary'!P122)="x",$BI210*P210,VALUE('Capacity summary'!P122)),0),P210*$BI210),P210*$BI210),0)</f>
        <v>0</v>
      </c>
      <c r="BT210" s="5">
        <f>IF($BI210&lt;&gt;"",IF('Capacity summary'!$C$14="Yes",IF(COUNTBLANK('Capacity summary'!$H122:$BG122)&lt;52,IF('Capacity summary'!Q122&lt;&gt;"",IF(LOWER('Capacity summary'!Q122)="x",$BI210*Q210,VALUE('Capacity summary'!Q122)),0),Q210*$BI210),Q210*$BI210),0)</f>
        <v>0</v>
      </c>
      <c r="BU210" s="5">
        <f>IF($BI210&lt;&gt;"",IF('Capacity summary'!$C$14="Yes",IF(COUNTBLANK('Capacity summary'!$H122:$BG122)&lt;52,IF('Capacity summary'!R122&lt;&gt;"",IF(LOWER('Capacity summary'!R122)="x",$BI210*R210,VALUE('Capacity summary'!R122)),0),R210*$BI210),R210*$BI210),0)</f>
        <v>0</v>
      </c>
      <c r="BV210" s="5">
        <f>IF($BI210&lt;&gt;"",IF('Capacity summary'!$C$14="Yes",IF(COUNTBLANK('Capacity summary'!$H122:$BG122)&lt;52,IF('Capacity summary'!S122&lt;&gt;"",IF(LOWER('Capacity summary'!S122)="x",$BI210*S210,VALUE('Capacity summary'!S122)),0),S210*$BI210),S210*$BI210),0)</f>
        <v>0</v>
      </c>
      <c r="BW210" s="5">
        <f>IF($BI210&lt;&gt;"",IF('Capacity summary'!$C$14="Yes",IF(COUNTBLANK('Capacity summary'!$H122:$BG122)&lt;52,IF('Capacity summary'!T122&lt;&gt;"",IF(LOWER('Capacity summary'!T122)="x",$BI210*T210,VALUE('Capacity summary'!T122)),0),T210*$BI210),T210*$BI210),0)</f>
        <v>0</v>
      </c>
      <c r="BX210" s="5">
        <f>IF($BI210&lt;&gt;"",IF('Capacity summary'!$C$14="Yes",IF(COUNTBLANK('Capacity summary'!$H122:$BG122)&lt;52,IF('Capacity summary'!U122&lt;&gt;"",IF(LOWER('Capacity summary'!U122)="x",$BI210*U210,VALUE('Capacity summary'!U122)),0),U210*$BI210),U210*$BI210),0)</f>
        <v>0</v>
      </c>
      <c r="BY210" s="5">
        <f>IF($BI210&lt;&gt;"",IF('Capacity summary'!$C$14="Yes",IF(COUNTBLANK('Capacity summary'!$H122:$BG122)&lt;52,IF('Capacity summary'!V122&lt;&gt;"",IF(LOWER('Capacity summary'!V122)="x",$BI210*V210,VALUE('Capacity summary'!V122)),0),V210*$BI210),V210*$BI210),0)</f>
        <v>0</v>
      </c>
      <c r="BZ210" s="5">
        <f>IF($BI210&lt;&gt;"",IF('Capacity summary'!$C$14="Yes",IF(COUNTBLANK('Capacity summary'!$H122:$BG122)&lt;52,IF('Capacity summary'!W122&lt;&gt;"",IF(LOWER('Capacity summary'!W122)="x",$BI210*W210,VALUE('Capacity summary'!W122)),0),W210*$BI210),W210*$BI210),0)</f>
        <v>0</v>
      </c>
      <c r="CA210" s="5">
        <f>IF($BI210&lt;&gt;"",IF('Capacity summary'!$C$14="Yes",IF(COUNTBLANK('Capacity summary'!$H122:$BG122)&lt;52,IF('Capacity summary'!X122&lt;&gt;"",IF(LOWER('Capacity summary'!X122)="x",$BI210*X210,VALUE('Capacity summary'!X122)),0),X210*$BI210),X210*$BI210),0)</f>
        <v>0</v>
      </c>
      <c r="CB210" s="5">
        <f>IF($BI210&lt;&gt;"",IF('Capacity summary'!$C$14="Yes",IF(COUNTBLANK('Capacity summary'!$H122:$BG122)&lt;52,IF('Capacity summary'!Y122&lt;&gt;"",IF(LOWER('Capacity summary'!Y122)="x",$BI210*Y210,VALUE('Capacity summary'!Y122)),0),Y210*$BI210),Y210*$BI210),0)</f>
        <v>0</v>
      </c>
      <c r="CC210" s="5">
        <f>IF($BI210&lt;&gt;"",IF('Capacity summary'!$C$14="Yes",IF(COUNTBLANK('Capacity summary'!$H122:$BG122)&lt;52,IF('Capacity summary'!Z122&lt;&gt;"",IF(LOWER('Capacity summary'!Z122)="x",$BI210*Z210,VALUE('Capacity summary'!Z122)),0),Z210*$BI210),Z210*$BI210),0)</f>
        <v>0</v>
      </c>
      <c r="CD210" s="5">
        <f>IF($BI210&lt;&gt;"",IF('Capacity summary'!$C$14="Yes",IF(COUNTBLANK('Capacity summary'!$H122:$BG122)&lt;52,IF('Capacity summary'!AA122&lt;&gt;"",IF(LOWER('Capacity summary'!AA122)="x",$BI210*AA210,VALUE('Capacity summary'!AA122)),0),AA210*$BI210),AA210*$BI210),0)</f>
        <v>0</v>
      </c>
      <c r="CE210" s="5">
        <f>IF($BI210&lt;&gt;"",IF('Capacity summary'!$C$14="Yes",IF(COUNTBLANK('Capacity summary'!$H122:$BG122)&lt;52,IF('Capacity summary'!AB122&lt;&gt;"",IF(LOWER('Capacity summary'!AB122)="x",$BI210*AB210,VALUE('Capacity summary'!AB122)),0),AB210*$BI210),AB210*$BI210),0)</f>
        <v>0</v>
      </c>
      <c r="CF210" s="5">
        <f>IF($BI210&lt;&gt;"",IF('Capacity summary'!$C$14="Yes",IF(COUNTBLANK('Capacity summary'!$H122:$BG122)&lt;52,IF('Capacity summary'!AC122&lt;&gt;"",IF(LOWER('Capacity summary'!AC122)="x",$BI210*AC210,VALUE('Capacity summary'!AC122)),0),AC210*$BI210),AC210*$BI210),0)</f>
        <v>0</v>
      </c>
      <c r="CG210" s="5">
        <f>IF($BI210&lt;&gt;"",IF('Capacity summary'!$C$14="Yes",IF(COUNTBLANK('Capacity summary'!$H122:$BG122)&lt;52,IF('Capacity summary'!AD122&lt;&gt;"",IF(LOWER('Capacity summary'!AD122)="x",$BI210*AD210,VALUE('Capacity summary'!AD122)),0),AD210*$BI210),AD210*$BI210),0)</f>
        <v>0</v>
      </c>
      <c r="CH210" s="5">
        <f>IF($BI210&lt;&gt;"",IF('Capacity summary'!$C$14="Yes",IF(COUNTBLANK('Capacity summary'!$H122:$BG122)&lt;52,IF('Capacity summary'!AE122&lt;&gt;"",IF(LOWER('Capacity summary'!AE122)="x",$BI210*AE210,VALUE('Capacity summary'!AE122)),0),AE210*$BI210),AE210*$BI210),0)</f>
        <v>0</v>
      </c>
      <c r="CI210" s="5">
        <f>IF($BI210&lt;&gt;"",IF('Capacity summary'!$C$14="Yes",IF(COUNTBLANK('Capacity summary'!$H122:$BG122)&lt;52,IF('Capacity summary'!AF122&lt;&gt;"",IF(LOWER('Capacity summary'!AF122)="x",$BI210*AF210,VALUE('Capacity summary'!AF122)),0),AF210*$BI210),AF210*$BI210),0)</f>
        <v>0</v>
      </c>
      <c r="CJ210" s="5">
        <f>IF($BI210&lt;&gt;"",IF('Capacity summary'!$C$14="Yes",IF(COUNTBLANK('Capacity summary'!$H122:$BG122)&lt;52,IF('Capacity summary'!AG122&lt;&gt;"",IF(LOWER('Capacity summary'!AG122)="x",$BI210*AG210,VALUE('Capacity summary'!AG122)),0),AG210*$BI210),AG210*$BI210),0)</f>
        <v>0</v>
      </c>
      <c r="CK210" s="5">
        <f>IF($BI210&lt;&gt;"",IF('Capacity summary'!$C$14="Yes",IF(COUNTBLANK('Capacity summary'!$H122:$BG122)&lt;52,IF('Capacity summary'!AH122&lt;&gt;"",IF(LOWER('Capacity summary'!AH122)="x",$BI210*AH210,VALUE('Capacity summary'!AH122)),0),AH210*$BI210),AH210*$BI210),0)</f>
        <v>0</v>
      </c>
      <c r="CL210" s="5">
        <f>IF($BI210&lt;&gt;"",IF('Capacity summary'!$C$14="Yes",IF(COUNTBLANK('Capacity summary'!$H122:$BG122)&lt;52,IF('Capacity summary'!AI122&lt;&gt;"",IF(LOWER('Capacity summary'!AI122)="x",$BI210*AI210,VALUE('Capacity summary'!AI122)),0),AI210*$BI210),AI210*$BI210),0)</f>
        <v>0</v>
      </c>
      <c r="CM210" s="5">
        <f>IF($BI210&lt;&gt;"",IF('Capacity summary'!$C$14="Yes",IF(COUNTBLANK('Capacity summary'!$H122:$BG122)&lt;52,IF('Capacity summary'!AJ122&lt;&gt;"",IF(LOWER('Capacity summary'!AJ122)="x",$BI210*AJ210,VALUE('Capacity summary'!AJ122)),0),AJ210*$BI210),AJ210*$BI210),0)</f>
        <v>0</v>
      </c>
      <c r="CN210" s="5">
        <f>IF($BI210&lt;&gt;"",IF('Capacity summary'!$C$14="Yes",IF(COUNTBLANK('Capacity summary'!$H122:$BG122)&lt;52,IF('Capacity summary'!AK122&lt;&gt;"",IF(LOWER('Capacity summary'!AK122)="x",$BI210*AK210,VALUE('Capacity summary'!AK122)),0),AK210*$BI210),AK210*$BI210),0)</f>
        <v>0</v>
      </c>
      <c r="CO210" s="5">
        <f>IF($BI210&lt;&gt;"",IF('Capacity summary'!$C$14="Yes",IF(COUNTBLANK('Capacity summary'!$H122:$BG122)&lt;52,IF('Capacity summary'!AL122&lt;&gt;"",IF(LOWER('Capacity summary'!AL122)="x",$BI210*AL210,VALUE('Capacity summary'!AL122)),0),AL210*$BI210),AL210*$BI210),0)</f>
        <v>0</v>
      </c>
      <c r="CP210" s="5">
        <f>IF($BI210&lt;&gt;"",IF('Capacity summary'!$C$14="Yes",IF(COUNTBLANK('Capacity summary'!$H122:$BG122)&lt;52,IF('Capacity summary'!AM122&lt;&gt;"",IF(LOWER('Capacity summary'!AM122)="x",$BI210*AM210,VALUE('Capacity summary'!AM122)),0),AM210*$BI210),AM210*$BI210),0)</f>
        <v>0</v>
      </c>
      <c r="CQ210" s="5">
        <f>IF($BI210&lt;&gt;"",IF('Capacity summary'!$C$14="Yes",IF(COUNTBLANK('Capacity summary'!$H122:$BG122)&lt;52,IF('Capacity summary'!AN122&lt;&gt;"",IF(LOWER('Capacity summary'!AN122)="x",$BI210*AN210,VALUE('Capacity summary'!AN122)),0),AN210*$BI210),AN210*$BI210),0)</f>
        <v>0</v>
      </c>
      <c r="CR210" s="5">
        <f>IF($BI210&lt;&gt;"",IF('Capacity summary'!$C$14="Yes",IF(COUNTBLANK('Capacity summary'!$H122:$BG122)&lt;52,IF('Capacity summary'!AO122&lt;&gt;"",IF(LOWER('Capacity summary'!AO122)="x",$BI210*AO210,VALUE('Capacity summary'!AO122)),0),AO210*$BI210),AO210*$BI210),0)</f>
        <v>0</v>
      </c>
      <c r="CS210" s="5">
        <f>IF($BI210&lt;&gt;"",IF('Capacity summary'!$C$14="Yes",IF(COUNTBLANK('Capacity summary'!$H122:$BG122)&lt;52,IF('Capacity summary'!AP122&lt;&gt;"",IF(LOWER('Capacity summary'!AP122)="x",$BI210*AP210,VALUE('Capacity summary'!AP122)),0),AP210*$BI210),AP210*$BI210),0)</f>
        <v>0</v>
      </c>
      <c r="CT210" s="5">
        <f>IF($BI210&lt;&gt;"",IF('Capacity summary'!$C$14="Yes",IF(COUNTBLANK('Capacity summary'!$H122:$BG122)&lt;52,IF('Capacity summary'!AQ122&lt;&gt;"",IF(LOWER('Capacity summary'!AQ122)="x",$BI210*AQ210,VALUE('Capacity summary'!AQ122)),0),AQ210*$BI210),AQ210*$BI210),0)</f>
        <v>0</v>
      </c>
      <c r="CU210" s="5">
        <f>IF($BI210&lt;&gt;"",IF('Capacity summary'!$C$14="Yes",IF(COUNTBLANK('Capacity summary'!$H122:$BG122)&lt;52,IF('Capacity summary'!AR122&lt;&gt;"",IF(LOWER('Capacity summary'!AR122)="x",$BI210*AR210,VALUE('Capacity summary'!AR122)),0),AR210*$BI210),AR210*$BI210),0)</f>
        <v>0</v>
      </c>
      <c r="CV210" s="5">
        <f>IF($BI210&lt;&gt;"",IF('Capacity summary'!$C$14="Yes",IF(COUNTBLANK('Capacity summary'!$H122:$BG122)&lt;52,IF('Capacity summary'!AS122&lt;&gt;"",IF(LOWER('Capacity summary'!AS122)="x",$BI210*AS210,VALUE('Capacity summary'!AS122)),0),AS210*$BI210),AS210*$BI210),0)</f>
        <v>0</v>
      </c>
      <c r="CW210" s="5">
        <f>IF($BI210&lt;&gt;"",IF('Capacity summary'!$C$14="Yes",IF(COUNTBLANK('Capacity summary'!$H122:$BG122)&lt;52,IF('Capacity summary'!AT122&lt;&gt;"",IF(LOWER('Capacity summary'!AT122)="x",$BI210*AT210,VALUE('Capacity summary'!AT122)),0),AT210*$BI210),AT210*$BI210),0)</f>
        <v>0</v>
      </c>
      <c r="CX210" s="5">
        <f>IF($BI210&lt;&gt;"",IF('Capacity summary'!$C$14="Yes",IF(COUNTBLANK('Capacity summary'!$H122:$BG122)&lt;52,IF('Capacity summary'!AU122&lt;&gt;"",IF(LOWER('Capacity summary'!AU122)="x",$BI210*AU210,VALUE('Capacity summary'!AU122)),0),AU210*$BI210),AU210*$BI210),0)</f>
        <v>0</v>
      </c>
      <c r="CY210" s="5">
        <f>IF($BI210&lt;&gt;"",IF('Capacity summary'!$C$14="Yes",IF(COUNTBLANK('Capacity summary'!$H122:$BG122)&lt;52,IF('Capacity summary'!AV122&lt;&gt;"",IF(LOWER('Capacity summary'!AV122)="x",$BI210*AV210,VALUE('Capacity summary'!AV122)),0),AV210*$BI210),AV210*$BI210),0)</f>
        <v>0</v>
      </c>
      <c r="CZ210" s="5">
        <f>IF($BI210&lt;&gt;"",IF('Capacity summary'!$C$14="Yes",IF(COUNTBLANK('Capacity summary'!$H122:$BG122)&lt;52,IF('Capacity summary'!AW122&lt;&gt;"",IF(LOWER('Capacity summary'!AW122)="x",$BI210*AW210,VALUE('Capacity summary'!AW122)),0),AW210*$BI210),AW210*$BI210),0)</f>
        <v>0</v>
      </c>
      <c r="DA210" s="5">
        <f>IF($BI210&lt;&gt;"",IF('Capacity summary'!$C$14="Yes",IF(COUNTBLANK('Capacity summary'!$H122:$BG122)&lt;52,IF('Capacity summary'!AX122&lt;&gt;"",IF(LOWER('Capacity summary'!AX122)="x",$BI210*AX210,VALUE('Capacity summary'!AX122)),0),AX210*$BI210),AX210*$BI210),0)</f>
        <v>0</v>
      </c>
      <c r="DB210" s="5">
        <f>IF($BI210&lt;&gt;"",IF('Capacity summary'!$C$14="Yes",IF(COUNTBLANK('Capacity summary'!$H122:$BG122)&lt;52,IF('Capacity summary'!AY122&lt;&gt;"",IF(LOWER('Capacity summary'!AY122)="x",$BI210*AY210,VALUE('Capacity summary'!AY122)),0),AY210*$BI210),AY210*$BI210),0)</f>
        <v>0</v>
      </c>
      <c r="DC210" s="5">
        <f>IF($BI210&lt;&gt;"",IF('Capacity summary'!$C$14="Yes",IF(COUNTBLANK('Capacity summary'!$H122:$BG122)&lt;52,IF('Capacity summary'!AZ122&lt;&gt;"",IF(LOWER('Capacity summary'!AZ122)="x",$BI210*AZ210,VALUE('Capacity summary'!AZ122)),0),AZ210*$BI210),AZ210*$BI210),0)</f>
        <v>0</v>
      </c>
      <c r="DD210" s="5">
        <f>IF($BI210&lt;&gt;"",IF('Capacity summary'!$C$14="Yes",IF(COUNTBLANK('Capacity summary'!$H122:$BG122)&lt;52,IF('Capacity summary'!BA122&lt;&gt;"",IF(LOWER('Capacity summary'!BA122)="x",$BI210*BA210,VALUE('Capacity summary'!BA122)),0),BA210*$BI210),BA210*$BI210),0)</f>
        <v>0</v>
      </c>
      <c r="DE210" s="5">
        <f>IF($BI210&lt;&gt;"",IF('Capacity summary'!$C$14="Yes",IF(COUNTBLANK('Capacity summary'!$H122:$BG122)&lt;52,IF('Capacity summary'!BB122&lt;&gt;"",IF(LOWER('Capacity summary'!BB122)="x",$BI210*BB210,VALUE('Capacity summary'!BB122)),0),BB210*$BI210),BB210*$BI210),0)</f>
        <v>0</v>
      </c>
      <c r="DF210" s="5">
        <f>IF($BI210&lt;&gt;"",IF('Capacity summary'!$C$14="Yes",IF(COUNTBLANK('Capacity summary'!$H122:$BG122)&lt;52,IF('Capacity summary'!BC122&lt;&gt;"",IF(LOWER('Capacity summary'!BC122)="x",$BI210*BC210,VALUE('Capacity summary'!BC122)),0),BC210*$BI210),BC210*$BI210),0)</f>
        <v>0</v>
      </c>
      <c r="DG210" s="5">
        <f>IF($BI210&lt;&gt;"",IF('Capacity summary'!$C$14="Yes",IF(COUNTBLANK('Capacity summary'!$H122:$BG122)&lt;52,IF('Capacity summary'!BD122&lt;&gt;"",IF(LOWER('Capacity summary'!BD122)="x",$BI210*BD210,VALUE('Capacity summary'!BD122)),0),BD210*$BI210),BD210*$BI210),0)</f>
        <v>0</v>
      </c>
      <c r="DH210" s="5">
        <f>IF($BI210&lt;&gt;"",IF('Capacity summary'!$C$14="Yes",IF(COUNTBLANK('Capacity summary'!$H122:$BG122)&lt;52,IF('Capacity summary'!BE122&lt;&gt;"",IF(LOWER('Capacity summary'!BE122)="x",$BI210*BE210,VALUE('Capacity summary'!BE122)),0),BE210*$BI210),BE210*$BI210),0)</f>
        <v>0</v>
      </c>
      <c r="DI210" s="5">
        <f>IF($BI210&lt;&gt;"",IF('Capacity summary'!$C$14="Yes",IF(COUNTBLANK('Capacity summary'!$H122:$BG122)&lt;52,IF('Capacity summary'!BF122&lt;&gt;"",IF(LOWER('Capacity summary'!BF122)="x",$BI210*BF210,VALUE('Capacity summary'!BF122)),0),BF210*$BI210),BF210*$BI210),0)</f>
        <v>0</v>
      </c>
      <c r="DJ210" s="5">
        <f>IF($BI210&lt;&gt;"",IF('Capacity summary'!$C$14="Yes",IF(COUNTBLANK('Capacity summary'!$H122:$BG122)&lt;52,IF('Capacity summary'!BG122&lt;&gt;"",IF(LOWER('Capacity summary'!BG122)="x",$BI210*BG210,VALUE('Capacity summary'!BG122)),0),BG210*$BI210),BG210*$BI210),0)</f>
        <v>0</v>
      </c>
      <c r="DK210" s="391">
        <f t="shared" si="10"/>
        <v>0</v>
      </c>
      <c r="DL210" s="5">
        <f t="shared" si="11"/>
        <v>0</v>
      </c>
    </row>
    <row r="211" spans="2:116" x14ac:dyDescent="0.2">
      <c r="C211" s="67" t="str">
        <f>ROW(A100)&amp;". "&amp;Capacity!N116</f>
        <v xml:space="preserve">100. </v>
      </c>
      <c r="D211" s="67">
        <f>'Capacity setup'!C217</f>
        <v>0</v>
      </c>
      <c r="E211" s="67">
        <f>'Capacity setup'!D217</f>
        <v>0</v>
      </c>
      <c r="F211" s="67">
        <f>'Capacity setup'!E217</f>
        <v>0</v>
      </c>
      <c r="H211" s="67">
        <f ca="1">IF(LOWER(Capacity!$V116)="x",IF(AND(SUMIF(Capacity_Resource,$D211,'Critical resources (hide)'!U$6:U$105)+SUMIF(Capacity_Resource,$E211,'Critical resources (hide)'!U$6:U$105)+SUMIF(Capacity_Resource,$F211,'Critical resources (hide)'!U$6:U$105)&gt;0,$E$1=2),0,1),0)</f>
        <v>1</v>
      </c>
      <c r="I211" s="67">
        <f ca="1">IF(LOWER(Capacity!$V116)="x",IF(AND(SUMIF(Capacity_Resource,$D211,'Critical resources (hide)'!V$6:V$105)+SUMIF(Capacity_Resource,$E211,'Critical resources (hide)'!V$6:V$105)+SUMIF(Capacity_Resource,$F211,'Critical resources (hide)'!V$6:V$105)&gt;0,$E$1=2),0,1),0)</f>
        <v>1</v>
      </c>
      <c r="J211" s="67">
        <f ca="1">IF(LOWER(Capacity!$V116)="x",IF(AND(SUMIF(Capacity_Resource,$D211,'Critical resources (hide)'!W$6:W$105)+SUMIF(Capacity_Resource,$E211,'Critical resources (hide)'!W$6:W$105)+SUMIF(Capacity_Resource,$F211,'Critical resources (hide)'!W$6:W$105)&gt;0,$E$1=2),0,1),0)</f>
        <v>1</v>
      </c>
      <c r="K211" s="67">
        <f ca="1">IF(LOWER(Capacity!$V116)="x",IF(AND(SUMIF(Capacity_Resource,$D211,'Critical resources (hide)'!X$6:X$105)+SUMIF(Capacity_Resource,$E211,'Critical resources (hide)'!X$6:X$105)+SUMIF(Capacity_Resource,$F211,'Critical resources (hide)'!X$6:X$105)&gt;0,$E$1=2),0,1),0)</f>
        <v>1</v>
      </c>
      <c r="L211" s="67">
        <f ca="1">IF(LOWER(Capacity!$V116)="x",IF(AND(SUMIF(Capacity_Resource,$D211,'Critical resources (hide)'!Y$6:Y$105)+SUMIF(Capacity_Resource,$E211,'Critical resources (hide)'!Y$6:Y$105)+SUMIF(Capacity_Resource,$F211,'Critical resources (hide)'!Y$6:Y$105)&gt;0,$E$1=2),0,1),0)</f>
        <v>1</v>
      </c>
      <c r="M211" s="67">
        <f ca="1">IF(LOWER(Capacity!$V116)="x",IF(AND(SUMIF(Capacity_Resource,$D211,'Critical resources (hide)'!Z$6:Z$105)+SUMIF(Capacity_Resource,$E211,'Critical resources (hide)'!Z$6:Z$105)+SUMIF(Capacity_Resource,$F211,'Critical resources (hide)'!Z$6:Z$105)&gt;0,$E$1=2),0,1),0)</f>
        <v>1</v>
      </c>
      <c r="N211" s="67">
        <f ca="1">IF(LOWER(Capacity!$V116)="x",IF(AND(SUMIF(Capacity_Resource,$D211,'Critical resources (hide)'!AA$6:AA$105)+SUMIF(Capacity_Resource,$E211,'Critical resources (hide)'!AA$6:AA$105)+SUMIF(Capacity_Resource,$F211,'Critical resources (hide)'!AA$6:AA$105)&gt;0,$E$1=2),0,1),0)</f>
        <v>1</v>
      </c>
      <c r="O211" s="67">
        <f ca="1">IF(LOWER(Capacity!$V116)="x",IF(AND(SUMIF(Capacity_Resource,$D211,'Critical resources (hide)'!AB$6:AB$105)+SUMIF(Capacity_Resource,$E211,'Critical resources (hide)'!AB$6:AB$105)+SUMIF(Capacity_Resource,$F211,'Critical resources (hide)'!AB$6:AB$105)&gt;0,$E$1=2),0,1),0)</f>
        <v>1</v>
      </c>
      <c r="P211" s="67">
        <f ca="1">IF(LOWER(Capacity!$V116)="x",IF(AND(SUMIF(Capacity_Resource,$D211,'Critical resources (hide)'!AC$6:AC$105)+SUMIF(Capacity_Resource,$E211,'Critical resources (hide)'!AC$6:AC$105)+SUMIF(Capacity_Resource,$F211,'Critical resources (hide)'!AC$6:AC$105)&gt;0,$E$1=2),0,1),0)</f>
        <v>1</v>
      </c>
      <c r="Q211" s="67">
        <f ca="1">IF(LOWER(Capacity!$V116)="x",IF(AND(SUMIF(Capacity_Resource,$D211,'Critical resources (hide)'!AD$6:AD$105)+SUMIF(Capacity_Resource,$E211,'Critical resources (hide)'!AD$6:AD$105)+SUMIF(Capacity_Resource,$F211,'Critical resources (hide)'!AD$6:AD$105)&gt;0,$E$1=2),0,1),0)</f>
        <v>1</v>
      </c>
      <c r="R211" s="67">
        <f ca="1">IF(LOWER(Capacity!$V116)="x",IF(AND(SUMIF(Capacity_Resource,$D211,'Critical resources (hide)'!AE$6:AE$105)+SUMIF(Capacity_Resource,$E211,'Critical resources (hide)'!AE$6:AE$105)+SUMIF(Capacity_Resource,$F211,'Critical resources (hide)'!AE$6:AE$105)&gt;0,$E$1=2),0,1),0)</f>
        <v>1</v>
      </c>
      <c r="S211" s="67">
        <f ca="1">IF(LOWER(Capacity!$V116)="x",IF(AND(SUMIF(Capacity_Resource,$D211,'Critical resources (hide)'!AF$6:AF$105)+SUMIF(Capacity_Resource,$E211,'Critical resources (hide)'!AF$6:AF$105)+SUMIF(Capacity_Resource,$F211,'Critical resources (hide)'!AF$6:AF$105)&gt;0,$E$1=2),0,1),0)</f>
        <v>1</v>
      </c>
      <c r="T211" s="67">
        <f ca="1">IF(LOWER(Capacity!$V116)="x",IF(AND(SUMIF(Capacity_Resource,$D211,'Critical resources (hide)'!AG$6:AG$105)+SUMIF(Capacity_Resource,$E211,'Critical resources (hide)'!AG$6:AG$105)+SUMIF(Capacity_Resource,$F211,'Critical resources (hide)'!AG$6:AG$105)&gt;0,$E$1=2),0,1),0)</f>
        <v>1</v>
      </c>
      <c r="U211" s="67">
        <f ca="1">IF(LOWER(Capacity!$V116)="x",IF(AND(SUMIF(Capacity_Resource,$D211,'Critical resources (hide)'!AH$6:AH$105)+SUMIF(Capacity_Resource,$E211,'Critical resources (hide)'!AH$6:AH$105)+SUMIF(Capacity_Resource,$F211,'Critical resources (hide)'!AH$6:AH$105)&gt;0,$E$1=2),0,1),0)</f>
        <v>1</v>
      </c>
      <c r="V211" s="67">
        <f ca="1">IF(LOWER(Capacity!$V116)="x",IF(AND(SUMIF(Capacity_Resource,$D211,'Critical resources (hide)'!AI$6:AI$105)+SUMIF(Capacity_Resource,$E211,'Critical resources (hide)'!AI$6:AI$105)+SUMIF(Capacity_Resource,$F211,'Critical resources (hide)'!AI$6:AI$105)&gt;0,$E$1=2),0,1),0)</f>
        <v>1</v>
      </c>
      <c r="W211" s="67">
        <f ca="1">IF(LOWER(Capacity!$V116)="x",IF(AND(SUMIF(Capacity_Resource,$D211,'Critical resources (hide)'!AJ$6:AJ$105)+SUMIF(Capacity_Resource,$E211,'Critical resources (hide)'!AJ$6:AJ$105)+SUMIF(Capacity_Resource,$F211,'Critical resources (hide)'!AJ$6:AJ$105)&gt;0,$E$1=2),0,1),0)</f>
        <v>1</v>
      </c>
      <c r="X211" s="67">
        <f ca="1">IF(LOWER(Capacity!$V116)="x",IF(AND(SUMIF(Capacity_Resource,$D211,'Critical resources (hide)'!AK$6:AK$105)+SUMIF(Capacity_Resource,$E211,'Critical resources (hide)'!AK$6:AK$105)+SUMIF(Capacity_Resource,$F211,'Critical resources (hide)'!AK$6:AK$105)&gt;0,$E$1=2),0,1),0)</f>
        <v>1</v>
      </c>
      <c r="Y211" s="67">
        <f ca="1">IF(LOWER(Capacity!$V116)="x",IF(AND(SUMIF(Capacity_Resource,$D211,'Critical resources (hide)'!AL$6:AL$105)+SUMIF(Capacity_Resource,$E211,'Critical resources (hide)'!AL$6:AL$105)+SUMIF(Capacity_Resource,$F211,'Critical resources (hide)'!AL$6:AL$105)&gt;0,$E$1=2),0,1),0)</f>
        <v>1</v>
      </c>
      <c r="Z211" s="67">
        <f ca="1">IF(LOWER(Capacity!$V116)="x",IF(AND(SUMIF(Capacity_Resource,$D211,'Critical resources (hide)'!AM$6:AM$105)+SUMIF(Capacity_Resource,$E211,'Critical resources (hide)'!AM$6:AM$105)+SUMIF(Capacity_Resource,$F211,'Critical resources (hide)'!AM$6:AM$105)&gt;0,$E$1=2),0,1),0)</f>
        <v>1</v>
      </c>
      <c r="AA211" s="67">
        <f ca="1">IF(LOWER(Capacity!$V116)="x",IF(AND(SUMIF(Capacity_Resource,$D211,'Critical resources (hide)'!AN$6:AN$105)+SUMIF(Capacity_Resource,$E211,'Critical resources (hide)'!AN$6:AN$105)+SUMIF(Capacity_Resource,$F211,'Critical resources (hide)'!AN$6:AN$105)&gt;0,$E$1=2),0,1),0)</f>
        <v>1</v>
      </c>
      <c r="AB211" s="67">
        <f ca="1">IF(LOWER(Capacity!$V116)="x",IF(AND(SUMIF(Capacity_Resource,$D211,'Critical resources (hide)'!AO$6:AO$105)+SUMIF(Capacity_Resource,$E211,'Critical resources (hide)'!AO$6:AO$105)+SUMIF(Capacity_Resource,$F211,'Critical resources (hide)'!AO$6:AO$105)&gt;0,$E$1=2),0,1),0)</f>
        <v>1</v>
      </c>
      <c r="AC211" s="67">
        <f ca="1">IF(LOWER(Capacity!$V116)="x",IF(AND(SUMIF(Capacity_Resource,$D211,'Critical resources (hide)'!AP$6:AP$105)+SUMIF(Capacity_Resource,$E211,'Critical resources (hide)'!AP$6:AP$105)+SUMIF(Capacity_Resource,$F211,'Critical resources (hide)'!AP$6:AP$105)&gt;0,$E$1=2),0,1),0)</f>
        <v>1</v>
      </c>
      <c r="AD211" s="67">
        <f ca="1">IF(LOWER(Capacity!$V116)="x",IF(AND(SUMIF(Capacity_Resource,$D211,'Critical resources (hide)'!AQ$6:AQ$105)+SUMIF(Capacity_Resource,$E211,'Critical resources (hide)'!AQ$6:AQ$105)+SUMIF(Capacity_Resource,$F211,'Critical resources (hide)'!AQ$6:AQ$105)&gt;0,$E$1=2),0,1),0)</f>
        <v>1</v>
      </c>
      <c r="AE211" s="67">
        <f ca="1">IF(LOWER(Capacity!$V116)="x",IF(AND(SUMIF(Capacity_Resource,$D211,'Critical resources (hide)'!AR$6:AR$105)+SUMIF(Capacity_Resource,$E211,'Critical resources (hide)'!AR$6:AR$105)+SUMIF(Capacity_Resource,$F211,'Critical resources (hide)'!AR$6:AR$105)&gt;0,$E$1=2),0,1),0)</f>
        <v>1</v>
      </c>
      <c r="AF211" s="67">
        <f ca="1">IF(LOWER(Capacity!$V116)="x",IF(AND(SUMIF(Capacity_Resource,$D211,'Critical resources (hide)'!AS$6:AS$105)+SUMIF(Capacity_Resource,$E211,'Critical resources (hide)'!AS$6:AS$105)+SUMIF(Capacity_Resource,$F211,'Critical resources (hide)'!AS$6:AS$105)&gt;0,$E$1=2),0,1),0)</f>
        <v>1</v>
      </c>
      <c r="AG211" s="67">
        <f ca="1">IF(LOWER(Capacity!$V116)="x",IF(AND(SUMIF(Capacity_Resource,$D211,'Critical resources (hide)'!AT$6:AT$105)+SUMIF(Capacity_Resource,$E211,'Critical resources (hide)'!AT$6:AT$105)+SUMIF(Capacity_Resource,$F211,'Critical resources (hide)'!AT$6:AT$105)&gt;0,$E$1=2),0,1),0)</f>
        <v>1</v>
      </c>
      <c r="AH211" s="67">
        <f ca="1">IF(LOWER(Capacity!$V116)="x",IF(AND(SUMIF(Capacity_Resource,$D211,'Critical resources (hide)'!AU$6:AU$105)+SUMIF(Capacity_Resource,$E211,'Critical resources (hide)'!AU$6:AU$105)+SUMIF(Capacity_Resource,$F211,'Critical resources (hide)'!AU$6:AU$105)&gt;0,$E$1=2),0,1),0)</f>
        <v>1</v>
      </c>
      <c r="AI211" s="67">
        <f ca="1">IF(LOWER(Capacity!$V116)="x",IF(AND(SUMIF(Capacity_Resource,$D211,'Critical resources (hide)'!AV$6:AV$105)+SUMIF(Capacity_Resource,$E211,'Critical resources (hide)'!AV$6:AV$105)+SUMIF(Capacity_Resource,$F211,'Critical resources (hide)'!AV$6:AV$105)&gt;0,$E$1=2),0,1),0)</f>
        <v>1</v>
      </c>
      <c r="AJ211" s="67">
        <f ca="1">IF(LOWER(Capacity!$V116)="x",IF(AND(SUMIF(Capacity_Resource,$D211,'Critical resources (hide)'!AW$6:AW$105)+SUMIF(Capacity_Resource,$E211,'Critical resources (hide)'!AW$6:AW$105)+SUMIF(Capacity_Resource,$F211,'Critical resources (hide)'!AW$6:AW$105)&gt;0,$E$1=2),0,1),0)</f>
        <v>1</v>
      </c>
      <c r="AK211" s="67">
        <f ca="1">IF(LOWER(Capacity!$V116)="x",IF(AND(SUMIF(Capacity_Resource,$D211,'Critical resources (hide)'!AX$6:AX$105)+SUMIF(Capacity_Resource,$E211,'Critical resources (hide)'!AX$6:AX$105)+SUMIF(Capacity_Resource,$F211,'Critical resources (hide)'!AX$6:AX$105)&gt;0,$E$1=2),0,1),0)</f>
        <v>1</v>
      </c>
      <c r="AL211" s="67">
        <f ca="1">IF(LOWER(Capacity!$V116)="x",IF(AND(SUMIF(Capacity_Resource,$D211,'Critical resources (hide)'!AY$6:AY$105)+SUMIF(Capacity_Resource,$E211,'Critical resources (hide)'!AY$6:AY$105)+SUMIF(Capacity_Resource,$F211,'Critical resources (hide)'!AY$6:AY$105)&gt;0,$E$1=2),0,1),0)</f>
        <v>1</v>
      </c>
      <c r="AM211" s="67">
        <f ca="1">IF(LOWER(Capacity!$V116)="x",IF(AND(SUMIF(Capacity_Resource,$D211,'Critical resources (hide)'!AZ$6:AZ$105)+SUMIF(Capacity_Resource,$E211,'Critical resources (hide)'!AZ$6:AZ$105)+SUMIF(Capacity_Resource,$F211,'Critical resources (hide)'!AZ$6:AZ$105)&gt;0,$E$1=2),0,1),0)</f>
        <v>1</v>
      </c>
      <c r="AN211" s="67">
        <f ca="1">IF(LOWER(Capacity!$V116)="x",IF(AND(SUMIF(Capacity_Resource,$D211,'Critical resources (hide)'!BA$6:BA$105)+SUMIF(Capacity_Resource,$E211,'Critical resources (hide)'!BA$6:BA$105)+SUMIF(Capacity_Resource,$F211,'Critical resources (hide)'!BA$6:BA$105)&gt;0,$E$1=2),0,1),0)</f>
        <v>1</v>
      </c>
      <c r="AO211" s="67">
        <f ca="1">IF(LOWER(Capacity!$V116)="x",IF(AND(SUMIF(Capacity_Resource,$D211,'Critical resources (hide)'!BB$6:BB$105)+SUMIF(Capacity_Resource,$E211,'Critical resources (hide)'!BB$6:BB$105)+SUMIF(Capacity_Resource,$F211,'Critical resources (hide)'!BB$6:BB$105)&gt;0,$E$1=2),0,1),0)</f>
        <v>1</v>
      </c>
      <c r="AP211" s="67">
        <f ca="1">IF(LOWER(Capacity!$V116)="x",IF(AND(SUMIF(Capacity_Resource,$D211,'Critical resources (hide)'!BC$6:BC$105)+SUMIF(Capacity_Resource,$E211,'Critical resources (hide)'!BC$6:BC$105)+SUMIF(Capacity_Resource,$F211,'Critical resources (hide)'!BC$6:BC$105)&gt;0,$E$1=2),0,1),0)</f>
        <v>1</v>
      </c>
      <c r="AQ211" s="67">
        <f ca="1">IF(LOWER(Capacity!$V116)="x",IF(AND(SUMIF(Capacity_Resource,$D211,'Critical resources (hide)'!BD$6:BD$105)+SUMIF(Capacity_Resource,$E211,'Critical resources (hide)'!BD$6:BD$105)+SUMIF(Capacity_Resource,$F211,'Critical resources (hide)'!BD$6:BD$105)&gt;0,$E$1=2),0,1),0)</f>
        <v>1</v>
      </c>
      <c r="AR211" s="67">
        <f ca="1">IF(LOWER(Capacity!$V116)="x",IF(AND(SUMIF(Capacity_Resource,$D211,'Critical resources (hide)'!BE$6:BE$105)+SUMIF(Capacity_Resource,$E211,'Critical resources (hide)'!BE$6:BE$105)+SUMIF(Capacity_Resource,$F211,'Critical resources (hide)'!BE$6:BE$105)&gt;0,$E$1=2),0,1),0)</f>
        <v>1</v>
      </c>
      <c r="AS211" s="67">
        <f ca="1">IF(LOWER(Capacity!$V116)="x",IF(AND(SUMIF(Capacity_Resource,$D211,'Critical resources (hide)'!BF$6:BF$105)+SUMIF(Capacity_Resource,$E211,'Critical resources (hide)'!BF$6:BF$105)+SUMIF(Capacity_Resource,$F211,'Critical resources (hide)'!BF$6:BF$105)&gt;0,$E$1=2),0,1),0)</f>
        <v>1</v>
      </c>
      <c r="AT211" s="67">
        <f ca="1">IF(LOWER(Capacity!$V116)="x",IF(AND(SUMIF(Capacity_Resource,$D211,'Critical resources (hide)'!BG$6:BG$105)+SUMIF(Capacity_Resource,$E211,'Critical resources (hide)'!BG$6:BG$105)+SUMIF(Capacity_Resource,$F211,'Critical resources (hide)'!BG$6:BG$105)&gt;0,$E$1=2),0,1),0)</f>
        <v>1</v>
      </c>
      <c r="AU211" s="67">
        <f ca="1">IF(LOWER(Capacity!$V116)="x",IF(AND(SUMIF(Capacity_Resource,$D211,'Critical resources (hide)'!BH$6:BH$105)+SUMIF(Capacity_Resource,$E211,'Critical resources (hide)'!BH$6:BH$105)+SUMIF(Capacity_Resource,$F211,'Critical resources (hide)'!BH$6:BH$105)&gt;0,$E$1=2),0,1),0)</f>
        <v>1</v>
      </c>
      <c r="AV211" s="67">
        <f ca="1">IF(LOWER(Capacity!$V116)="x",IF(AND(SUMIF(Capacity_Resource,$D211,'Critical resources (hide)'!BI$6:BI$105)+SUMIF(Capacity_Resource,$E211,'Critical resources (hide)'!BI$6:BI$105)+SUMIF(Capacity_Resource,$F211,'Critical resources (hide)'!BI$6:BI$105)&gt;0,$E$1=2),0,1),0)</f>
        <v>1</v>
      </c>
      <c r="AW211" s="67">
        <f ca="1">IF(LOWER(Capacity!$V116)="x",IF(AND(SUMIF(Capacity_Resource,$D211,'Critical resources (hide)'!BJ$6:BJ$105)+SUMIF(Capacity_Resource,$E211,'Critical resources (hide)'!BJ$6:BJ$105)+SUMIF(Capacity_Resource,$F211,'Critical resources (hide)'!BJ$6:BJ$105)&gt;0,$E$1=2),0,1),0)</f>
        <v>1</v>
      </c>
      <c r="AX211" s="67">
        <f ca="1">IF(LOWER(Capacity!$V116)="x",IF(AND(SUMIF(Capacity_Resource,$D211,'Critical resources (hide)'!BK$6:BK$105)+SUMIF(Capacity_Resource,$E211,'Critical resources (hide)'!BK$6:BK$105)+SUMIF(Capacity_Resource,$F211,'Critical resources (hide)'!BK$6:BK$105)&gt;0,$E$1=2),0,1),0)</f>
        <v>1</v>
      </c>
      <c r="AY211" s="67">
        <f ca="1">IF(LOWER(Capacity!$V116)="x",IF(AND(SUMIF(Capacity_Resource,$D211,'Critical resources (hide)'!BL$6:BL$105)+SUMIF(Capacity_Resource,$E211,'Critical resources (hide)'!BL$6:BL$105)+SUMIF(Capacity_Resource,$F211,'Critical resources (hide)'!BL$6:BL$105)&gt;0,$E$1=2),0,1),0)</f>
        <v>1</v>
      </c>
      <c r="AZ211" s="67">
        <f ca="1">IF(LOWER(Capacity!$V116)="x",IF(AND(SUMIF(Capacity_Resource,$D211,'Critical resources (hide)'!BM$6:BM$105)+SUMIF(Capacity_Resource,$E211,'Critical resources (hide)'!BM$6:BM$105)+SUMIF(Capacity_Resource,$F211,'Critical resources (hide)'!BM$6:BM$105)&gt;0,$E$1=2),0,1),0)</f>
        <v>1</v>
      </c>
      <c r="BA211" s="67">
        <f ca="1">IF(LOWER(Capacity!$V116)="x",IF(AND(SUMIF(Capacity_Resource,$D211,'Critical resources (hide)'!BN$6:BN$105)+SUMIF(Capacity_Resource,$E211,'Critical resources (hide)'!BN$6:BN$105)+SUMIF(Capacity_Resource,$F211,'Critical resources (hide)'!BN$6:BN$105)&gt;0,$E$1=2),0,1),0)</f>
        <v>1</v>
      </c>
      <c r="BB211" s="67">
        <f ca="1">IF(LOWER(Capacity!$V116)="x",IF(AND(SUMIF(Capacity_Resource,$D211,'Critical resources (hide)'!BO$6:BO$105)+SUMIF(Capacity_Resource,$E211,'Critical resources (hide)'!BO$6:BO$105)+SUMIF(Capacity_Resource,$F211,'Critical resources (hide)'!BO$6:BO$105)&gt;0,$E$1=2),0,1),0)</f>
        <v>1</v>
      </c>
      <c r="BC211" s="67">
        <f ca="1">IF(LOWER(Capacity!$V116)="x",IF(AND(SUMIF(Capacity_Resource,$D211,'Critical resources (hide)'!BP$6:BP$105)+SUMIF(Capacity_Resource,$E211,'Critical resources (hide)'!BP$6:BP$105)+SUMIF(Capacity_Resource,$F211,'Critical resources (hide)'!BP$6:BP$105)&gt;0,$E$1=2),0,1),0)</f>
        <v>1</v>
      </c>
      <c r="BD211" s="67">
        <f ca="1">IF(LOWER(Capacity!$V116)="x",IF(AND(SUMIF(Capacity_Resource,$D211,'Critical resources (hide)'!BQ$6:BQ$105)+SUMIF(Capacity_Resource,$E211,'Critical resources (hide)'!BQ$6:BQ$105)+SUMIF(Capacity_Resource,$F211,'Critical resources (hide)'!BQ$6:BQ$105)&gt;0,$E$1=2),0,1),0)</f>
        <v>1</v>
      </c>
      <c r="BE211" s="67">
        <f ca="1">IF(LOWER(Capacity!$V116)="x",IF(AND(SUMIF(Capacity_Resource,$D211,'Critical resources (hide)'!BR$6:BR$105)+SUMIF(Capacity_Resource,$E211,'Critical resources (hide)'!BR$6:BR$105)+SUMIF(Capacity_Resource,$F211,'Critical resources (hide)'!BR$6:BR$105)&gt;0,$E$1=2),0,1),0)</f>
        <v>1</v>
      </c>
      <c r="BF211" s="67">
        <f ca="1">IF(LOWER(Capacity!$V116)="x",IF(AND(SUMIF(Capacity_Resource,$D211,'Critical resources (hide)'!BS$6:BS$105)+SUMIF(Capacity_Resource,$E211,'Critical resources (hide)'!BS$6:BS$105)+SUMIF(Capacity_Resource,$F211,'Critical resources (hide)'!BS$6:BS$105)&gt;0,$E$1=2),0,1),0)</f>
        <v>1</v>
      </c>
      <c r="BG211" s="67">
        <f ca="1">IF(LOWER(Capacity!$V116)="x",IF(AND(SUMIF(Capacity_Resource,$D211,'Critical resources (hide)'!BT$6:BT$105)+SUMIF(Capacity_Resource,$E211,'Critical resources (hide)'!BT$6:BT$105)+SUMIF(Capacity_Resource,$F211,'Critical resources (hide)'!BT$6:BT$105)&gt;0,$E$1=2),0,1),0)</f>
        <v>1</v>
      </c>
      <c r="BH211" s="67">
        <f>IF(ROW(A100)&lt;=Capacity!$M$16,IF('Capacity summary'!$C$14="No",SUM(H211:BG211),'Capacity summary'!$E123),0)</f>
        <v>0</v>
      </c>
      <c r="BI211" s="67" t="str">
        <f>IF(BH211&gt;0,IF(BH211&lt;Capacity!Q116,Capacity!R116,Capacity!T116/'Capacity calculation (hide)'!BH211),"")</f>
        <v/>
      </c>
      <c r="BJ211" s="5"/>
      <c r="BK211" s="5">
        <f>IF($BI211&lt;&gt;"",IF('Capacity summary'!$C$14="Yes",IF(COUNTBLANK('Capacity summary'!$H123:$BG123)&lt;52,IF('Capacity summary'!H123&lt;&gt;"",IF(LOWER('Capacity summary'!H123)="x",$BI211*H211,VALUE('Capacity summary'!H123)),0),H211*$BI211),H211*$BI211),0)</f>
        <v>0</v>
      </c>
      <c r="BL211" s="5">
        <f>IF($BI211&lt;&gt;"",IF('Capacity summary'!$C$14="Yes",IF(COUNTBLANK('Capacity summary'!$H123:$BG123)&lt;52,IF('Capacity summary'!I123&lt;&gt;"",IF(LOWER('Capacity summary'!I123)="x",$BI211*I211,VALUE('Capacity summary'!I123)),0),I211*$BI211),I211*$BI211),0)</f>
        <v>0</v>
      </c>
      <c r="BM211" s="5">
        <f>IF($BI211&lt;&gt;"",IF('Capacity summary'!$C$14="Yes",IF(COUNTBLANK('Capacity summary'!$H123:$BG123)&lt;52,IF('Capacity summary'!J123&lt;&gt;"",IF(LOWER('Capacity summary'!J123)="x",$BI211*J211,VALUE('Capacity summary'!J123)),0),J211*$BI211),J211*$BI211),0)</f>
        <v>0</v>
      </c>
      <c r="BN211" s="5">
        <f>IF($BI211&lt;&gt;"",IF('Capacity summary'!$C$14="Yes",IF(COUNTBLANK('Capacity summary'!$H123:$BG123)&lt;52,IF('Capacity summary'!K123&lt;&gt;"",IF(LOWER('Capacity summary'!K123)="x",$BI211*K211,VALUE('Capacity summary'!K123)),0),K211*$BI211),K211*$BI211),0)</f>
        <v>0</v>
      </c>
      <c r="BO211" s="5">
        <f>IF($BI211&lt;&gt;"",IF('Capacity summary'!$C$14="Yes",IF(COUNTBLANK('Capacity summary'!$H123:$BG123)&lt;52,IF('Capacity summary'!L123&lt;&gt;"",IF(LOWER('Capacity summary'!L123)="x",$BI211*L211,VALUE('Capacity summary'!L123)),0),L211*$BI211),L211*$BI211),0)</f>
        <v>0</v>
      </c>
      <c r="BP211" s="5">
        <f>IF($BI211&lt;&gt;"",IF('Capacity summary'!$C$14="Yes",IF(COUNTBLANK('Capacity summary'!$H123:$BG123)&lt;52,IF('Capacity summary'!M123&lt;&gt;"",IF(LOWER('Capacity summary'!M123)="x",$BI211*M211,VALUE('Capacity summary'!M123)),0),M211*$BI211),M211*$BI211),0)</f>
        <v>0</v>
      </c>
      <c r="BQ211" s="5">
        <f>IF($BI211&lt;&gt;"",IF('Capacity summary'!$C$14="Yes",IF(COUNTBLANK('Capacity summary'!$H123:$BG123)&lt;52,IF('Capacity summary'!N123&lt;&gt;"",IF(LOWER('Capacity summary'!N123)="x",$BI211*N211,VALUE('Capacity summary'!N123)),0),N211*$BI211),N211*$BI211),0)</f>
        <v>0</v>
      </c>
      <c r="BR211" s="5">
        <f>IF($BI211&lt;&gt;"",IF('Capacity summary'!$C$14="Yes",IF(COUNTBLANK('Capacity summary'!$H123:$BG123)&lt;52,IF('Capacity summary'!O123&lt;&gt;"",IF(LOWER('Capacity summary'!O123)="x",$BI211*O211,VALUE('Capacity summary'!O123)),0),O211*$BI211),O211*$BI211),0)</f>
        <v>0</v>
      </c>
      <c r="BS211" s="5">
        <f>IF($BI211&lt;&gt;"",IF('Capacity summary'!$C$14="Yes",IF(COUNTBLANK('Capacity summary'!$H123:$BG123)&lt;52,IF('Capacity summary'!P123&lt;&gt;"",IF(LOWER('Capacity summary'!P123)="x",$BI211*P211,VALUE('Capacity summary'!P123)),0),P211*$BI211),P211*$BI211),0)</f>
        <v>0</v>
      </c>
      <c r="BT211" s="5">
        <f>IF($BI211&lt;&gt;"",IF('Capacity summary'!$C$14="Yes",IF(COUNTBLANK('Capacity summary'!$H123:$BG123)&lt;52,IF('Capacity summary'!Q123&lt;&gt;"",IF(LOWER('Capacity summary'!Q123)="x",$BI211*Q211,VALUE('Capacity summary'!Q123)),0),Q211*$BI211),Q211*$BI211),0)</f>
        <v>0</v>
      </c>
      <c r="BU211" s="5">
        <f>IF($BI211&lt;&gt;"",IF('Capacity summary'!$C$14="Yes",IF(COUNTBLANK('Capacity summary'!$H123:$BG123)&lt;52,IF('Capacity summary'!R123&lt;&gt;"",IF(LOWER('Capacity summary'!R123)="x",$BI211*R211,VALUE('Capacity summary'!R123)),0),R211*$BI211),R211*$BI211),0)</f>
        <v>0</v>
      </c>
      <c r="BV211" s="5">
        <f>IF($BI211&lt;&gt;"",IF('Capacity summary'!$C$14="Yes",IF(COUNTBLANK('Capacity summary'!$H123:$BG123)&lt;52,IF('Capacity summary'!S123&lt;&gt;"",IF(LOWER('Capacity summary'!S123)="x",$BI211*S211,VALUE('Capacity summary'!S123)),0),S211*$BI211),S211*$BI211),0)</f>
        <v>0</v>
      </c>
      <c r="BW211" s="5">
        <f>IF($BI211&lt;&gt;"",IF('Capacity summary'!$C$14="Yes",IF(COUNTBLANK('Capacity summary'!$H123:$BG123)&lt;52,IF('Capacity summary'!T123&lt;&gt;"",IF(LOWER('Capacity summary'!T123)="x",$BI211*T211,VALUE('Capacity summary'!T123)),0),T211*$BI211),T211*$BI211),0)</f>
        <v>0</v>
      </c>
      <c r="BX211" s="5">
        <f>IF($BI211&lt;&gt;"",IF('Capacity summary'!$C$14="Yes",IF(COUNTBLANK('Capacity summary'!$H123:$BG123)&lt;52,IF('Capacity summary'!U123&lt;&gt;"",IF(LOWER('Capacity summary'!U123)="x",$BI211*U211,VALUE('Capacity summary'!U123)),0),U211*$BI211),U211*$BI211),0)</f>
        <v>0</v>
      </c>
      <c r="BY211" s="5">
        <f>IF($BI211&lt;&gt;"",IF('Capacity summary'!$C$14="Yes",IF(COUNTBLANK('Capacity summary'!$H123:$BG123)&lt;52,IF('Capacity summary'!V123&lt;&gt;"",IF(LOWER('Capacity summary'!V123)="x",$BI211*V211,VALUE('Capacity summary'!V123)),0),V211*$BI211),V211*$BI211),0)</f>
        <v>0</v>
      </c>
      <c r="BZ211" s="5">
        <f>IF($BI211&lt;&gt;"",IF('Capacity summary'!$C$14="Yes",IF(COUNTBLANK('Capacity summary'!$H123:$BG123)&lt;52,IF('Capacity summary'!W123&lt;&gt;"",IF(LOWER('Capacity summary'!W123)="x",$BI211*W211,VALUE('Capacity summary'!W123)),0),W211*$BI211),W211*$BI211),0)</f>
        <v>0</v>
      </c>
      <c r="CA211" s="5">
        <f>IF($BI211&lt;&gt;"",IF('Capacity summary'!$C$14="Yes",IF(COUNTBLANK('Capacity summary'!$H123:$BG123)&lt;52,IF('Capacity summary'!X123&lt;&gt;"",IF(LOWER('Capacity summary'!X123)="x",$BI211*X211,VALUE('Capacity summary'!X123)),0),X211*$BI211),X211*$BI211),0)</f>
        <v>0</v>
      </c>
      <c r="CB211" s="5">
        <f>IF($BI211&lt;&gt;"",IF('Capacity summary'!$C$14="Yes",IF(COUNTBLANK('Capacity summary'!$H123:$BG123)&lt;52,IF('Capacity summary'!Y123&lt;&gt;"",IF(LOWER('Capacity summary'!Y123)="x",$BI211*Y211,VALUE('Capacity summary'!Y123)),0),Y211*$BI211),Y211*$BI211),0)</f>
        <v>0</v>
      </c>
      <c r="CC211" s="5">
        <f>IF($BI211&lt;&gt;"",IF('Capacity summary'!$C$14="Yes",IF(COUNTBLANK('Capacity summary'!$H123:$BG123)&lt;52,IF('Capacity summary'!Z123&lt;&gt;"",IF(LOWER('Capacity summary'!Z123)="x",$BI211*Z211,VALUE('Capacity summary'!Z123)),0),Z211*$BI211),Z211*$BI211),0)</f>
        <v>0</v>
      </c>
      <c r="CD211" s="5">
        <f>IF($BI211&lt;&gt;"",IF('Capacity summary'!$C$14="Yes",IF(COUNTBLANK('Capacity summary'!$H123:$BG123)&lt;52,IF('Capacity summary'!AA123&lt;&gt;"",IF(LOWER('Capacity summary'!AA123)="x",$BI211*AA211,VALUE('Capacity summary'!AA123)),0),AA211*$BI211),AA211*$BI211),0)</f>
        <v>0</v>
      </c>
      <c r="CE211" s="5">
        <f>IF($BI211&lt;&gt;"",IF('Capacity summary'!$C$14="Yes",IF(COUNTBLANK('Capacity summary'!$H123:$BG123)&lt;52,IF('Capacity summary'!AB123&lt;&gt;"",IF(LOWER('Capacity summary'!AB123)="x",$BI211*AB211,VALUE('Capacity summary'!AB123)),0),AB211*$BI211),AB211*$BI211),0)</f>
        <v>0</v>
      </c>
      <c r="CF211" s="5">
        <f>IF($BI211&lt;&gt;"",IF('Capacity summary'!$C$14="Yes",IF(COUNTBLANK('Capacity summary'!$H123:$BG123)&lt;52,IF('Capacity summary'!AC123&lt;&gt;"",IF(LOWER('Capacity summary'!AC123)="x",$BI211*AC211,VALUE('Capacity summary'!AC123)),0),AC211*$BI211),AC211*$BI211),0)</f>
        <v>0</v>
      </c>
      <c r="CG211" s="5">
        <f>IF($BI211&lt;&gt;"",IF('Capacity summary'!$C$14="Yes",IF(COUNTBLANK('Capacity summary'!$H123:$BG123)&lt;52,IF('Capacity summary'!AD123&lt;&gt;"",IF(LOWER('Capacity summary'!AD123)="x",$BI211*AD211,VALUE('Capacity summary'!AD123)),0),AD211*$BI211),AD211*$BI211),0)</f>
        <v>0</v>
      </c>
      <c r="CH211" s="5">
        <f>IF($BI211&lt;&gt;"",IF('Capacity summary'!$C$14="Yes",IF(COUNTBLANK('Capacity summary'!$H123:$BG123)&lt;52,IF('Capacity summary'!AE123&lt;&gt;"",IF(LOWER('Capacity summary'!AE123)="x",$BI211*AE211,VALUE('Capacity summary'!AE123)),0),AE211*$BI211),AE211*$BI211),0)</f>
        <v>0</v>
      </c>
      <c r="CI211" s="5">
        <f>IF($BI211&lt;&gt;"",IF('Capacity summary'!$C$14="Yes",IF(COUNTBLANK('Capacity summary'!$H123:$BG123)&lt;52,IF('Capacity summary'!AF123&lt;&gt;"",IF(LOWER('Capacity summary'!AF123)="x",$BI211*AF211,VALUE('Capacity summary'!AF123)),0),AF211*$BI211),AF211*$BI211),0)</f>
        <v>0</v>
      </c>
      <c r="CJ211" s="5">
        <f>IF($BI211&lt;&gt;"",IF('Capacity summary'!$C$14="Yes",IF(COUNTBLANK('Capacity summary'!$H123:$BG123)&lt;52,IF('Capacity summary'!AG123&lt;&gt;"",IF(LOWER('Capacity summary'!AG123)="x",$BI211*AG211,VALUE('Capacity summary'!AG123)),0),AG211*$BI211),AG211*$BI211),0)</f>
        <v>0</v>
      </c>
      <c r="CK211" s="5">
        <f>IF($BI211&lt;&gt;"",IF('Capacity summary'!$C$14="Yes",IF(COUNTBLANK('Capacity summary'!$H123:$BG123)&lt;52,IF('Capacity summary'!AH123&lt;&gt;"",IF(LOWER('Capacity summary'!AH123)="x",$BI211*AH211,VALUE('Capacity summary'!AH123)),0),AH211*$BI211),AH211*$BI211),0)</f>
        <v>0</v>
      </c>
      <c r="CL211" s="5">
        <f>IF($BI211&lt;&gt;"",IF('Capacity summary'!$C$14="Yes",IF(COUNTBLANK('Capacity summary'!$H123:$BG123)&lt;52,IF('Capacity summary'!AI123&lt;&gt;"",IF(LOWER('Capacity summary'!AI123)="x",$BI211*AI211,VALUE('Capacity summary'!AI123)),0),AI211*$BI211),AI211*$BI211),0)</f>
        <v>0</v>
      </c>
      <c r="CM211" s="5">
        <f>IF($BI211&lt;&gt;"",IF('Capacity summary'!$C$14="Yes",IF(COUNTBLANK('Capacity summary'!$H123:$BG123)&lt;52,IF('Capacity summary'!AJ123&lt;&gt;"",IF(LOWER('Capacity summary'!AJ123)="x",$BI211*AJ211,VALUE('Capacity summary'!AJ123)),0),AJ211*$BI211),AJ211*$BI211),0)</f>
        <v>0</v>
      </c>
      <c r="CN211" s="5">
        <f>IF($BI211&lt;&gt;"",IF('Capacity summary'!$C$14="Yes",IF(COUNTBLANK('Capacity summary'!$H123:$BG123)&lt;52,IF('Capacity summary'!AK123&lt;&gt;"",IF(LOWER('Capacity summary'!AK123)="x",$BI211*AK211,VALUE('Capacity summary'!AK123)),0),AK211*$BI211),AK211*$BI211),0)</f>
        <v>0</v>
      </c>
      <c r="CO211" s="5">
        <f>IF($BI211&lt;&gt;"",IF('Capacity summary'!$C$14="Yes",IF(COUNTBLANK('Capacity summary'!$H123:$BG123)&lt;52,IF('Capacity summary'!AL123&lt;&gt;"",IF(LOWER('Capacity summary'!AL123)="x",$BI211*AL211,VALUE('Capacity summary'!AL123)),0),AL211*$BI211),AL211*$BI211),0)</f>
        <v>0</v>
      </c>
      <c r="CP211" s="5">
        <f>IF($BI211&lt;&gt;"",IF('Capacity summary'!$C$14="Yes",IF(COUNTBLANK('Capacity summary'!$H123:$BG123)&lt;52,IF('Capacity summary'!AM123&lt;&gt;"",IF(LOWER('Capacity summary'!AM123)="x",$BI211*AM211,VALUE('Capacity summary'!AM123)),0),AM211*$BI211),AM211*$BI211),0)</f>
        <v>0</v>
      </c>
      <c r="CQ211" s="5">
        <f>IF($BI211&lt;&gt;"",IF('Capacity summary'!$C$14="Yes",IF(COUNTBLANK('Capacity summary'!$H123:$BG123)&lt;52,IF('Capacity summary'!AN123&lt;&gt;"",IF(LOWER('Capacity summary'!AN123)="x",$BI211*AN211,VALUE('Capacity summary'!AN123)),0),AN211*$BI211),AN211*$BI211),0)</f>
        <v>0</v>
      </c>
      <c r="CR211" s="5">
        <f>IF($BI211&lt;&gt;"",IF('Capacity summary'!$C$14="Yes",IF(COUNTBLANK('Capacity summary'!$H123:$BG123)&lt;52,IF('Capacity summary'!AO123&lt;&gt;"",IF(LOWER('Capacity summary'!AO123)="x",$BI211*AO211,VALUE('Capacity summary'!AO123)),0),AO211*$BI211),AO211*$BI211),0)</f>
        <v>0</v>
      </c>
      <c r="CS211" s="5">
        <f>IF($BI211&lt;&gt;"",IF('Capacity summary'!$C$14="Yes",IF(COUNTBLANK('Capacity summary'!$H123:$BG123)&lt;52,IF('Capacity summary'!AP123&lt;&gt;"",IF(LOWER('Capacity summary'!AP123)="x",$BI211*AP211,VALUE('Capacity summary'!AP123)),0),AP211*$BI211),AP211*$BI211),0)</f>
        <v>0</v>
      </c>
      <c r="CT211" s="5">
        <f>IF($BI211&lt;&gt;"",IF('Capacity summary'!$C$14="Yes",IF(COUNTBLANK('Capacity summary'!$H123:$BG123)&lt;52,IF('Capacity summary'!AQ123&lt;&gt;"",IF(LOWER('Capacity summary'!AQ123)="x",$BI211*AQ211,VALUE('Capacity summary'!AQ123)),0),AQ211*$BI211),AQ211*$BI211),0)</f>
        <v>0</v>
      </c>
      <c r="CU211" s="5">
        <f>IF($BI211&lt;&gt;"",IF('Capacity summary'!$C$14="Yes",IF(COUNTBLANK('Capacity summary'!$H123:$BG123)&lt;52,IF('Capacity summary'!AR123&lt;&gt;"",IF(LOWER('Capacity summary'!AR123)="x",$BI211*AR211,VALUE('Capacity summary'!AR123)),0),AR211*$BI211),AR211*$BI211),0)</f>
        <v>0</v>
      </c>
      <c r="CV211" s="5">
        <f>IF($BI211&lt;&gt;"",IF('Capacity summary'!$C$14="Yes",IF(COUNTBLANK('Capacity summary'!$H123:$BG123)&lt;52,IF('Capacity summary'!AS123&lt;&gt;"",IF(LOWER('Capacity summary'!AS123)="x",$BI211*AS211,VALUE('Capacity summary'!AS123)),0),AS211*$BI211),AS211*$BI211),0)</f>
        <v>0</v>
      </c>
      <c r="CW211" s="5">
        <f>IF($BI211&lt;&gt;"",IF('Capacity summary'!$C$14="Yes",IF(COUNTBLANK('Capacity summary'!$H123:$BG123)&lt;52,IF('Capacity summary'!AT123&lt;&gt;"",IF(LOWER('Capacity summary'!AT123)="x",$BI211*AT211,VALUE('Capacity summary'!AT123)),0),AT211*$BI211),AT211*$BI211),0)</f>
        <v>0</v>
      </c>
      <c r="CX211" s="5">
        <f>IF($BI211&lt;&gt;"",IF('Capacity summary'!$C$14="Yes",IF(COUNTBLANK('Capacity summary'!$H123:$BG123)&lt;52,IF('Capacity summary'!AU123&lt;&gt;"",IF(LOWER('Capacity summary'!AU123)="x",$BI211*AU211,VALUE('Capacity summary'!AU123)),0),AU211*$BI211),AU211*$BI211),0)</f>
        <v>0</v>
      </c>
      <c r="CY211" s="5">
        <f>IF($BI211&lt;&gt;"",IF('Capacity summary'!$C$14="Yes",IF(COUNTBLANK('Capacity summary'!$H123:$BG123)&lt;52,IF('Capacity summary'!AV123&lt;&gt;"",IF(LOWER('Capacity summary'!AV123)="x",$BI211*AV211,VALUE('Capacity summary'!AV123)),0),AV211*$BI211),AV211*$BI211),0)</f>
        <v>0</v>
      </c>
      <c r="CZ211" s="5">
        <f>IF($BI211&lt;&gt;"",IF('Capacity summary'!$C$14="Yes",IF(COUNTBLANK('Capacity summary'!$H123:$BG123)&lt;52,IF('Capacity summary'!AW123&lt;&gt;"",IF(LOWER('Capacity summary'!AW123)="x",$BI211*AW211,VALUE('Capacity summary'!AW123)),0),AW211*$BI211),AW211*$BI211),0)</f>
        <v>0</v>
      </c>
      <c r="DA211" s="5">
        <f>IF($BI211&lt;&gt;"",IF('Capacity summary'!$C$14="Yes",IF(COUNTBLANK('Capacity summary'!$H123:$BG123)&lt;52,IF('Capacity summary'!AX123&lt;&gt;"",IF(LOWER('Capacity summary'!AX123)="x",$BI211*AX211,VALUE('Capacity summary'!AX123)),0),AX211*$BI211),AX211*$BI211),0)</f>
        <v>0</v>
      </c>
      <c r="DB211" s="5">
        <f>IF($BI211&lt;&gt;"",IF('Capacity summary'!$C$14="Yes",IF(COUNTBLANK('Capacity summary'!$H123:$BG123)&lt;52,IF('Capacity summary'!AY123&lt;&gt;"",IF(LOWER('Capacity summary'!AY123)="x",$BI211*AY211,VALUE('Capacity summary'!AY123)),0),AY211*$BI211),AY211*$BI211),0)</f>
        <v>0</v>
      </c>
      <c r="DC211" s="5">
        <f>IF($BI211&lt;&gt;"",IF('Capacity summary'!$C$14="Yes",IF(COUNTBLANK('Capacity summary'!$H123:$BG123)&lt;52,IF('Capacity summary'!AZ123&lt;&gt;"",IF(LOWER('Capacity summary'!AZ123)="x",$BI211*AZ211,VALUE('Capacity summary'!AZ123)),0),AZ211*$BI211),AZ211*$BI211),0)</f>
        <v>0</v>
      </c>
      <c r="DD211" s="5">
        <f>IF($BI211&lt;&gt;"",IF('Capacity summary'!$C$14="Yes",IF(COUNTBLANK('Capacity summary'!$H123:$BG123)&lt;52,IF('Capacity summary'!BA123&lt;&gt;"",IF(LOWER('Capacity summary'!BA123)="x",$BI211*BA211,VALUE('Capacity summary'!BA123)),0),BA211*$BI211),BA211*$BI211),0)</f>
        <v>0</v>
      </c>
      <c r="DE211" s="5">
        <f>IF($BI211&lt;&gt;"",IF('Capacity summary'!$C$14="Yes",IF(COUNTBLANK('Capacity summary'!$H123:$BG123)&lt;52,IF('Capacity summary'!BB123&lt;&gt;"",IF(LOWER('Capacity summary'!BB123)="x",$BI211*BB211,VALUE('Capacity summary'!BB123)),0),BB211*$BI211),BB211*$BI211),0)</f>
        <v>0</v>
      </c>
      <c r="DF211" s="5">
        <f>IF($BI211&lt;&gt;"",IF('Capacity summary'!$C$14="Yes",IF(COUNTBLANK('Capacity summary'!$H123:$BG123)&lt;52,IF('Capacity summary'!BC123&lt;&gt;"",IF(LOWER('Capacity summary'!BC123)="x",$BI211*BC211,VALUE('Capacity summary'!BC123)),0),BC211*$BI211),BC211*$BI211),0)</f>
        <v>0</v>
      </c>
      <c r="DG211" s="5">
        <f>IF($BI211&lt;&gt;"",IF('Capacity summary'!$C$14="Yes",IF(COUNTBLANK('Capacity summary'!$H123:$BG123)&lt;52,IF('Capacity summary'!BD123&lt;&gt;"",IF(LOWER('Capacity summary'!BD123)="x",$BI211*BD211,VALUE('Capacity summary'!BD123)),0),BD211*$BI211),BD211*$BI211),0)</f>
        <v>0</v>
      </c>
      <c r="DH211" s="5">
        <f>IF($BI211&lt;&gt;"",IF('Capacity summary'!$C$14="Yes",IF(COUNTBLANK('Capacity summary'!$H123:$BG123)&lt;52,IF('Capacity summary'!BE123&lt;&gt;"",IF(LOWER('Capacity summary'!BE123)="x",$BI211*BE211,VALUE('Capacity summary'!BE123)),0),BE211*$BI211),BE211*$BI211),0)</f>
        <v>0</v>
      </c>
      <c r="DI211" s="5">
        <f>IF($BI211&lt;&gt;"",IF('Capacity summary'!$C$14="Yes",IF(COUNTBLANK('Capacity summary'!$H123:$BG123)&lt;52,IF('Capacity summary'!BF123&lt;&gt;"",IF(LOWER('Capacity summary'!BF123)="x",$BI211*BF211,VALUE('Capacity summary'!BF123)),0),BF211*$BI211),BF211*$BI211),0)</f>
        <v>0</v>
      </c>
      <c r="DJ211" s="5">
        <f>IF($BI211&lt;&gt;"",IF('Capacity summary'!$C$14="Yes",IF(COUNTBLANK('Capacity summary'!$H123:$BG123)&lt;52,IF('Capacity summary'!BG123&lt;&gt;"",IF(LOWER('Capacity summary'!BG123)="x",$BI211*BG211,VALUE('Capacity summary'!BG123)),0),BG211*$BI211),BG211*$BI211),0)</f>
        <v>0</v>
      </c>
      <c r="DK211" s="391">
        <f t="shared" si="10"/>
        <v>0</v>
      </c>
      <c r="DL211" s="5">
        <f t="shared" si="11"/>
        <v>0</v>
      </c>
    </row>
    <row r="212" spans="2:116" x14ac:dyDescent="0.2">
      <c r="B212" s="67"/>
    </row>
    <row r="213" spans="2:116" x14ac:dyDescent="0.2">
      <c r="B213" s="67"/>
    </row>
    <row r="214" spans="2:116" ht="15" x14ac:dyDescent="0.25">
      <c r="B214" s="67"/>
      <c r="BI214" s="305" t="s">
        <v>1113</v>
      </c>
      <c r="BK214">
        <f>SUMIFS(BK$112:BK$211,Capacity!$V$17:$V$116,"X")</f>
        <v>0</v>
      </c>
      <c r="BL214" s="67">
        <f>SUMIFS(BL$112:BL$211,Capacity!$V$17:$V$116,"X")</f>
        <v>0</v>
      </c>
      <c r="BM214" s="67">
        <f>SUMIFS(BM$112:BM$211,Capacity!$V$17:$V$116,"X")</f>
        <v>0</v>
      </c>
      <c r="BN214" s="67">
        <f>SUMIFS(BN$112:BN$211,Capacity!$V$17:$V$116,"X")</f>
        <v>0</v>
      </c>
      <c r="BO214" s="67">
        <f>SUMIFS(BO$112:BO$211,Capacity!$V$17:$V$116,"X")</f>
        <v>0</v>
      </c>
      <c r="BP214" s="67">
        <f>SUMIFS(BP$112:BP$211,Capacity!$V$17:$V$116,"X")</f>
        <v>0</v>
      </c>
      <c r="BQ214" s="67">
        <f>SUMIFS(BQ$112:BQ$211,Capacity!$V$17:$V$116,"X")</f>
        <v>0</v>
      </c>
      <c r="BR214" s="67">
        <f>SUMIFS(BR$112:BR$211,Capacity!$V$17:$V$116,"X")</f>
        <v>0</v>
      </c>
      <c r="BS214" s="67">
        <f>SUMIFS(BS$112:BS$211,Capacity!$V$17:$V$116,"X")</f>
        <v>0</v>
      </c>
      <c r="BT214" s="67">
        <f>SUMIFS(BT$112:BT$211,Capacity!$V$17:$V$116,"X")</f>
        <v>0</v>
      </c>
      <c r="BU214" s="67">
        <f>SUMIFS(BU$112:BU$211,Capacity!$V$17:$V$116,"X")</f>
        <v>0</v>
      </c>
      <c r="BV214" s="67">
        <f>SUMIFS(BV$112:BV$211,Capacity!$V$17:$V$116,"X")</f>
        <v>0</v>
      </c>
      <c r="BW214" s="67">
        <f>SUMIFS(BW$112:BW$211,Capacity!$V$17:$V$116,"X")</f>
        <v>0</v>
      </c>
      <c r="BX214" s="67">
        <f>SUMIFS(BX$112:BX$211,Capacity!$V$17:$V$116,"X")</f>
        <v>0</v>
      </c>
      <c r="BY214" s="67">
        <f>SUMIFS(BY$112:BY$211,Capacity!$V$17:$V$116,"X")</f>
        <v>0</v>
      </c>
      <c r="BZ214" s="67">
        <f>SUMIFS(BZ$112:BZ$211,Capacity!$V$17:$V$116,"X")</f>
        <v>0</v>
      </c>
      <c r="CA214" s="67">
        <f>SUMIFS(CA$112:CA$211,Capacity!$V$17:$V$116,"X")</f>
        <v>0</v>
      </c>
      <c r="CB214" s="67">
        <f>SUMIFS(CB$112:CB$211,Capacity!$V$17:$V$116,"X")</f>
        <v>0</v>
      </c>
      <c r="CC214" s="67">
        <f>SUMIFS(CC$112:CC$211,Capacity!$V$17:$V$116,"X")</f>
        <v>0</v>
      </c>
      <c r="CD214" s="67">
        <f>SUMIFS(CD$112:CD$211,Capacity!$V$17:$V$116,"X")</f>
        <v>0</v>
      </c>
      <c r="CE214" s="67">
        <f>SUMIFS(CE$112:CE$211,Capacity!$V$17:$V$116,"X")</f>
        <v>0</v>
      </c>
      <c r="CF214" s="67">
        <f>SUMIFS(CF$112:CF$211,Capacity!$V$17:$V$116,"X")</f>
        <v>0</v>
      </c>
      <c r="CG214" s="67">
        <f>SUMIFS(CG$112:CG$211,Capacity!$V$17:$V$116,"X")</f>
        <v>0</v>
      </c>
      <c r="CH214" s="67">
        <f>SUMIFS(CH$112:CH$211,Capacity!$V$17:$V$116,"X")</f>
        <v>0</v>
      </c>
      <c r="CI214" s="67">
        <f>SUMIFS(CI$112:CI$211,Capacity!$V$17:$V$116,"X")</f>
        <v>0</v>
      </c>
      <c r="CJ214" s="67">
        <f>SUMIFS(CJ$112:CJ$211,Capacity!$V$17:$V$116,"X")</f>
        <v>0</v>
      </c>
      <c r="CK214" s="67">
        <f>SUMIFS(CK$112:CK$211,Capacity!$V$17:$V$116,"X")</f>
        <v>0</v>
      </c>
      <c r="CL214" s="67">
        <f>SUMIFS(CL$112:CL$211,Capacity!$V$17:$V$116,"X")</f>
        <v>0</v>
      </c>
      <c r="CM214" s="67">
        <f>SUMIFS(CM$112:CM$211,Capacity!$V$17:$V$116,"X")</f>
        <v>0</v>
      </c>
      <c r="CN214" s="67">
        <f>SUMIFS(CN$112:CN$211,Capacity!$V$17:$V$116,"X")</f>
        <v>0</v>
      </c>
      <c r="CO214" s="67">
        <f>SUMIFS(CO$112:CO$211,Capacity!$V$17:$V$116,"X")</f>
        <v>0</v>
      </c>
      <c r="CP214" s="67">
        <f>SUMIFS(CP$112:CP$211,Capacity!$V$17:$V$116,"X")</f>
        <v>0</v>
      </c>
      <c r="CQ214" s="67">
        <f>SUMIFS(CQ$112:CQ$211,Capacity!$V$17:$V$116,"X")</f>
        <v>0</v>
      </c>
      <c r="CR214" s="67">
        <f>SUMIFS(CR$112:CR$211,Capacity!$V$17:$V$116,"X")</f>
        <v>0</v>
      </c>
      <c r="CS214" s="67">
        <f>SUMIFS(CS$112:CS$211,Capacity!$V$17:$V$116,"X")</f>
        <v>0</v>
      </c>
      <c r="CT214" s="67">
        <f>SUMIFS(CT$112:CT$211,Capacity!$V$17:$V$116,"X")</f>
        <v>0</v>
      </c>
      <c r="CU214" s="67">
        <f>SUMIFS(CU$112:CU$211,Capacity!$V$17:$V$116,"X")</f>
        <v>0</v>
      </c>
      <c r="CV214" s="67">
        <f>SUMIFS(CV$112:CV$211,Capacity!$V$17:$V$116,"X")</f>
        <v>0</v>
      </c>
      <c r="CW214" s="67">
        <f>SUMIFS(CW$112:CW$211,Capacity!$V$17:$V$116,"X")</f>
        <v>0</v>
      </c>
      <c r="CX214" s="67">
        <f>SUMIFS(CX$112:CX$211,Capacity!$V$17:$V$116,"X")</f>
        <v>0</v>
      </c>
      <c r="CY214" s="67">
        <f>SUMIFS(CY$112:CY$211,Capacity!$V$17:$V$116,"X")</f>
        <v>0</v>
      </c>
      <c r="CZ214" s="67">
        <f>SUMIFS(CZ$112:CZ$211,Capacity!$V$17:$V$116,"X")</f>
        <v>0</v>
      </c>
      <c r="DA214" s="67">
        <f>SUMIFS(DA$112:DA$211,Capacity!$V$17:$V$116,"X")</f>
        <v>0</v>
      </c>
      <c r="DB214" s="67">
        <f>SUMIFS(DB$112:DB$211,Capacity!$V$17:$V$116,"X")</f>
        <v>0</v>
      </c>
      <c r="DC214" s="67">
        <f>SUMIFS(DC$112:DC$211,Capacity!$V$17:$V$116,"X")</f>
        <v>0</v>
      </c>
      <c r="DD214" s="67">
        <f>SUMIFS(DD$112:DD$211,Capacity!$V$17:$V$116,"X")</f>
        <v>0</v>
      </c>
      <c r="DE214" s="67">
        <f>SUMIFS(DE$112:DE$211,Capacity!$V$17:$V$116,"X")</f>
        <v>0</v>
      </c>
      <c r="DF214" s="67">
        <f>SUMIFS(DF$112:DF$211,Capacity!$V$17:$V$116,"X")</f>
        <v>0</v>
      </c>
      <c r="DG214" s="67">
        <f>SUMIFS(DG$112:DG$211,Capacity!$V$17:$V$116,"X")</f>
        <v>0</v>
      </c>
      <c r="DH214" s="67">
        <f>SUMIFS(DH$112:DH$211,Capacity!$V$17:$V$116,"X")</f>
        <v>0</v>
      </c>
      <c r="DI214" s="67">
        <f>SUMIFS(DI$112:DI$211,Capacity!$V$17:$V$116,"X")</f>
        <v>0</v>
      </c>
      <c r="DJ214" s="67">
        <f>SUMIFS(DJ$112:DJ$211,Capacity!$V$17:$V$116,"X")</f>
        <v>0</v>
      </c>
      <c r="DK214" s="67">
        <f>SUMIFS(DK$112:DK$211,Capacity!$V$17:$V$116,"X")</f>
        <v>0</v>
      </c>
      <c r="DL214" s="67">
        <f>SUMIFS(DL$112:DL$211,Capacity!$V$17:$V$116,"X")</f>
        <v>0</v>
      </c>
    </row>
    <row r="215" spans="2:116" x14ac:dyDescent="0.2">
      <c r="B215" s="67"/>
    </row>
    <row r="216" spans="2:116" x14ac:dyDescent="0.2">
      <c r="B216" s="67"/>
    </row>
    <row r="217" spans="2:116" x14ac:dyDescent="0.2">
      <c r="B217" s="67"/>
    </row>
    <row r="218" spans="2:116" x14ac:dyDescent="0.2">
      <c r="B218" s="67"/>
    </row>
    <row r="219" spans="2:116" x14ac:dyDescent="0.2">
      <c r="B219" s="67"/>
    </row>
    <row r="220" spans="2:116" x14ac:dyDescent="0.2">
      <c r="B220" s="67"/>
    </row>
  </sheetData>
  <pageMargins left="0.7" right="0.7" top="0.75" bottom="0.75" header="0.3" footer="0.3"/>
  <pageSetup paperSize="9" orientation="portrait" verticalDpi="0"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O96"/>
  <sheetViews>
    <sheetView showGridLines="0" showRowColHeaders="0" zoomScaleNormal="100" workbookViewId="0">
      <selection activeCell="I27" sqref="I27:I28"/>
    </sheetView>
  </sheetViews>
  <sheetFormatPr defaultRowHeight="14.25" x14ac:dyDescent="0.2"/>
  <cols>
    <col min="1" max="1" width="16.125" customWidth="1"/>
    <col min="2" max="2" width="13.125" customWidth="1"/>
    <col min="3" max="4" width="11.125" customWidth="1"/>
    <col min="5" max="6" width="19.75" customWidth="1"/>
    <col min="7" max="10" width="9.125" customWidth="1"/>
  </cols>
  <sheetData>
    <row r="1" spans="1:15" x14ac:dyDescent="0.2">
      <c r="B1" s="67"/>
    </row>
    <row r="2" spans="1:15" x14ac:dyDescent="0.2">
      <c r="A2" t="s">
        <v>310</v>
      </c>
      <c r="C2" s="407" t="s">
        <v>87</v>
      </c>
      <c r="D2" s="409"/>
      <c r="F2" s="240" t="str">
        <f ca="1">"On aggregate, 1 patient = "&amp;TEXT('Demand background (hide)'!$BN$16,"#.#")&amp;" "&amp;Setup!$I$17</f>
        <v>On aggregate, 1 patient = 1. Minutes</v>
      </c>
    </row>
    <row r="3" spans="1:15" x14ac:dyDescent="0.2">
      <c r="A3" t="s">
        <v>328</v>
      </c>
      <c r="C3" s="438">
        <v>52</v>
      </c>
      <c r="D3" s="439"/>
      <c r="F3" s="347" t="s">
        <v>326</v>
      </c>
    </row>
    <row r="4" spans="1:15" x14ac:dyDescent="0.2">
      <c r="A4" t="s">
        <v>14</v>
      </c>
      <c r="C4" s="407" t="s">
        <v>19</v>
      </c>
      <c r="D4" s="409"/>
    </row>
    <row r="5" spans="1:15" x14ac:dyDescent="0.2">
      <c r="K5" s="72"/>
    </row>
    <row r="6" spans="1:15" ht="14.65" customHeight="1" thickBot="1" x14ac:dyDescent="0.3">
      <c r="A6" s="102" t="s">
        <v>309</v>
      </c>
      <c r="B6" s="103"/>
      <c r="C6" s="103"/>
      <c r="D6" s="9"/>
      <c r="E6" s="456" t="s">
        <v>346</v>
      </c>
      <c r="F6" s="456"/>
      <c r="G6" s="63" t="s">
        <v>87</v>
      </c>
      <c r="H6" s="9" t="s">
        <v>88</v>
      </c>
      <c r="I6" s="9"/>
      <c r="K6" s="72"/>
    </row>
    <row r="7" spans="1:15" ht="15" thickBot="1" x14ac:dyDescent="0.25">
      <c r="A7" s="10"/>
      <c r="B7" s="11"/>
      <c r="C7" s="11"/>
      <c r="D7" s="9"/>
      <c r="E7" s="457" t="s">
        <v>214</v>
      </c>
      <c r="F7" s="449"/>
      <c r="G7" s="442"/>
      <c r="H7" s="452">
        <f ca="1">'Parameters calculator (hide)'!B25</f>
        <v>0</v>
      </c>
      <c r="I7" s="9"/>
    </row>
    <row r="8" spans="1:15" ht="15" thickBot="1" x14ac:dyDescent="0.25">
      <c r="A8" s="11"/>
      <c r="B8" s="11"/>
      <c r="C8" s="11"/>
      <c r="D8" s="12"/>
      <c r="E8" s="13"/>
      <c r="F8" s="14"/>
      <c r="G8" s="443"/>
      <c r="H8" s="453"/>
      <c r="I8" s="9"/>
    </row>
    <row r="9" spans="1:15" ht="15" thickBot="1" x14ac:dyDescent="0.25">
      <c r="A9" s="85" t="s">
        <v>338</v>
      </c>
      <c r="B9" s="444" t="str">
        <f ca="1">TEXT('Parameters calculator (hide)'!B19,"#,#")</f>
        <v/>
      </c>
      <c r="C9" s="11"/>
      <c r="D9" s="12"/>
      <c r="E9" s="9"/>
      <c r="F9" s="9"/>
      <c r="G9" s="9"/>
      <c r="H9" s="9"/>
      <c r="I9" s="9"/>
    </row>
    <row r="10" spans="1:15" ht="15" thickBot="1" x14ac:dyDescent="0.25">
      <c r="A10" s="242" t="str">
        <f>"("&amp;$C$4&amp;")"</f>
        <v>(Patients)</v>
      </c>
      <c r="B10" s="445"/>
      <c r="C10" s="15"/>
      <c r="D10" s="16"/>
      <c r="E10" s="446" t="s">
        <v>348</v>
      </c>
      <c r="F10" s="447"/>
      <c r="G10" s="63" t="s">
        <v>87</v>
      </c>
      <c r="H10" s="9" t="s">
        <v>88</v>
      </c>
      <c r="I10" s="9"/>
      <c r="K10" s="5"/>
    </row>
    <row r="11" spans="1:15" ht="15.75" thickBot="1" x14ac:dyDescent="0.25">
      <c r="A11" s="91" t="str">
        <f>IF(LEFT(Demand!C8,1)="H","Based on selected baseline period in SPC sheet","Based on baseline forecast demand")</f>
        <v>Based on selected baseline period in SPC sheet</v>
      </c>
      <c r="B11" s="11"/>
      <c r="C11" s="17"/>
      <c r="D11" s="12"/>
      <c r="E11" s="448" t="s">
        <v>89</v>
      </c>
      <c r="F11" s="449"/>
      <c r="G11" s="450"/>
      <c r="H11" s="452">
        <f ca="1">'Parameters calculator (hide)'!C25</f>
        <v>0</v>
      </c>
      <c r="I11" s="9"/>
      <c r="O11" s="371"/>
    </row>
    <row r="12" spans="1:15" ht="15" thickBot="1" x14ac:dyDescent="0.25">
      <c r="A12" s="91" t="str">
        <f ca="1">"normalised to "&amp;TEXT('Parameters calculator (hide)'!$B$18,"#")&amp;" wks"</f>
        <v>normalised to 52 wks</v>
      </c>
      <c r="B12" s="11"/>
      <c r="C12" s="17"/>
      <c r="D12" s="9"/>
      <c r="E12" s="18"/>
      <c r="F12" s="14"/>
      <c r="G12" s="451"/>
      <c r="H12" s="453"/>
      <c r="I12" s="9"/>
    </row>
    <row r="13" spans="1:15" x14ac:dyDescent="0.2">
      <c r="A13" s="10" t="s">
        <v>90</v>
      </c>
      <c r="B13" s="11"/>
      <c r="C13" s="17"/>
      <c r="D13" s="19" t="s">
        <v>91</v>
      </c>
      <c r="E13" s="9"/>
      <c r="F13" s="9"/>
      <c r="G13" s="9"/>
      <c r="H13" s="9"/>
      <c r="I13" s="9"/>
    </row>
    <row r="14" spans="1:15" ht="15" thickBot="1" x14ac:dyDescent="0.25">
      <c r="B14" s="20"/>
      <c r="C14" s="21"/>
      <c r="D14" s="20"/>
      <c r="E14" s="20"/>
      <c r="F14" s="20"/>
      <c r="G14" s="20"/>
      <c r="H14" s="20"/>
      <c r="I14" s="20"/>
      <c r="J14" s="20"/>
      <c r="K14" s="20"/>
      <c r="L14" s="20"/>
    </row>
    <row r="15" spans="1:15" ht="15" thickBot="1" x14ac:dyDescent="0.25">
      <c r="B15" s="93"/>
      <c r="C15" s="454" t="s">
        <v>373</v>
      </c>
      <c r="D15" s="455"/>
      <c r="E15" s="20"/>
      <c r="F15" s="458" t="s">
        <v>399</v>
      </c>
      <c r="G15" s="458"/>
      <c r="H15" s="20"/>
      <c r="I15" s="64" t="s">
        <v>87</v>
      </c>
      <c r="J15" s="20" t="s">
        <v>88</v>
      </c>
      <c r="K15" s="20"/>
      <c r="L15" s="20"/>
    </row>
    <row r="16" spans="1:15" ht="15" thickBot="1" x14ac:dyDescent="0.25">
      <c r="B16" s="20"/>
      <c r="C16" s="459" t="e">
        <f ca="1">IF(B9-H7-H11+J16&lt;0, 0, B9-H7-H11+J16)</f>
        <v>#VALUE!</v>
      </c>
      <c r="D16" s="460"/>
      <c r="E16" s="20"/>
      <c r="F16" s="20" t="s">
        <v>92</v>
      </c>
      <c r="G16" s="20"/>
      <c r="H16" s="20"/>
      <c r="I16" s="463">
        <f>'Parameters calculator (hide)'!$H$24</f>
        <v>1</v>
      </c>
      <c r="J16" s="465">
        <f ca="1">'Parameters calculator (hide)'!H25</f>
        <v>0</v>
      </c>
      <c r="K16" s="20"/>
      <c r="L16" s="20"/>
    </row>
    <row r="17" spans="1:13" ht="15" thickBot="1" x14ac:dyDescent="0.25">
      <c r="B17" s="20"/>
      <c r="C17" s="461"/>
      <c r="D17" s="462"/>
      <c r="E17" s="22"/>
      <c r="F17" s="23"/>
      <c r="G17" s="23"/>
      <c r="H17" s="23"/>
      <c r="I17" s="464"/>
      <c r="J17" s="466"/>
      <c r="K17" s="24"/>
      <c r="L17" s="20"/>
    </row>
    <row r="18" spans="1:13" x14ac:dyDescent="0.2">
      <c r="B18" s="90" t="s">
        <v>374</v>
      </c>
      <c r="C18" s="20"/>
      <c r="D18" s="22"/>
      <c r="E18" s="20"/>
      <c r="F18" s="20"/>
      <c r="G18" s="20"/>
      <c r="H18" s="25"/>
      <c r="I18" s="25"/>
      <c r="J18" s="25"/>
      <c r="K18" s="26"/>
      <c r="L18" s="20"/>
    </row>
    <row r="19" spans="1:13" x14ac:dyDescent="0.2">
      <c r="B19" s="90" t="s">
        <v>375</v>
      </c>
      <c r="C19" s="20"/>
      <c r="D19" s="27"/>
      <c r="E19" s="20"/>
      <c r="F19" s="20"/>
      <c r="G19" s="20"/>
      <c r="H19" s="25"/>
      <c r="I19" s="25"/>
      <c r="J19" s="25"/>
      <c r="K19" s="26"/>
      <c r="L19" s="20"/>
    </row>
    <row r="20" spans="1:13" ht="15" thickBot="1" x14ac:dyDescent="0.25">
      <c r="B20" s="90"/>
      <c r="C20" s="20"/>
      <c r="D20" s="27"/>
      <c r="E20" s="467" t="s">
        <v>347</v>
      </c>
      <c r="F20" s="467"/>
      <c r="G20" s="64" t="s">
        <v>87</v>
      </c>
      <c r="H20" s="25" t="s">
        <v>88</v>
      </c>
      <c r="I20" s="25"/>
      <c r="J20" s="25"/>
      <c r="K20" s="26"/>
      <c r="L20" s="20"/>
    </row>
    <row r="21" spans="1:13" ht="15" thickBot="1" x14ac:dyDescent="0.25">
      <c r="B21" s="20"/>
      <c r="C21" s="20"/>
      <c r="D21" s="28"/>
      <c r="E21" s="468" t="s">
        <v>93</v>
      </c>
      <c r="F21" s="469"/>
      <c r="G21" s="442"/>
      <c r="H21" s="452">
        <f ca="1">'Parameters calculator (hide)'!E25</f>
        <v>0</v>
      </c>
      <c r="I21" s="29"/>
      <c r="J21" s="29"/>
      <c r="K21" s="21"/>
      <c r="L21" s="20"/>
    </row>
    <row r="22" spans="1:13" ht="15" thickBot="1" x14ac:dyDescent="0.25">
      <c r="B22" s="90"/>
      <c r="C22" s="26"/>
      <c r="D22" s="23"/>
      <c r="E22" s="23"/>
      <c r="F22" s="24"/>
      <c r="G22" s="443"/>
      <c r="H22" s="453"/>
      <c r="I22" s="24"/>
      <c r="J22" s="20"/>
      <c r="K22" s="20"/>
      <c r="L22" s="20"/>
    </row>
    <row r="23" spans="1:13" x14ac:dyDescent="0.2">
      <c r="B23" s="30" t="s">
        <v>94</v>
      </c>
      <c r="C23" s="26"/>
      <c r="D23" s="20"/>
      <c r="E23" s="20"/>
      <c r="F23" s="20"/>
      <c r="G23" s="20"/>
      <c r="H23" s="25"/>
      <c r="I23" s="26"/>
      <c r="J23" s="20"/>
      <c r="K23" s="20"/>
      <c r="L23" s="20"/>
    </row>
    <row r="24" spans="1:13" x14ac:dyDescent="0.2">
      <c r="A24" s="31"/>
      <c r="B24" s="31"/>
      <c r="C24" s="32"/>
      <c r="D24" s="31"/>
      <c r="E24" s="31"/>
      <c r="F24" s="31"/>
      <c r="G24" s="31"/>
      <c r="H24" s="31"/>
      <c r="I24" s="32"/>
      <c r="J24" s="31"/>
      <c r="K24" s="31"/>
    </row>
    <row r="25" spans="1:13" ht="14.65" customHeight="1" thickBot="1" x14ac:dyDescent="0.25">
      <c r="A25" s="437" t="s">
        <v>372</v>
      </c>
      <c r="B25" s="31"/>
      <c r="C25" s="32"/>
      <c r="D25" s="31"/>
      <c r="E25" s="31"/>
      <c r="F25" s="31"/>
      <c r="G25" s="31"/>
      <c r="H25" s="31"/>
      <c r="I25" s="32"/>
      <c r="J25" s="31"/>
      <c r="K25" s="31"/>
    </row>
    <row r="26" spans="1:13" ht="15" thickBot="1" x14ac:dyDescent="0.25">
      <c r="A26" s="437"/>
      <c r="B26" s="440">
        <f ca="1">'Parameters calculator (hide)'!B27</f>
        <v>0</v>
      </c>
      <c r="C26" s="33"/>
      <c r="D26" s="31"/>
      <c r="E26" s="31"/>
      <c r="F26" s="31"/>
      <c r="G26" s="92"/>
      <c r="H26" s="31"/>
      <c r="I26" s="32" t="s">
        <v>87</v>
      </c>
      <c r="J26" s="31" t="s">
        <v>88</v>
      </c>
      <c r="K26" s="31"/>
    </row>
    <row r="27" spans="1:13" ht="15" thickBot="1" x14ac:dyDescent="0.25">
      <c r="A27" s="243" t="str">
        <f>"("&amp;$C$4&amp;")"</f>
        <v>(Patients)</v>
      </c>
      <c r="B27" s="441"/>
      <c r="C27" s="31"/>
      <c r="D27" s="31"/>
      <c r="E27" s="31"/>
      <c r="F27" s="83" t="s">
        <v>400</v>
      </c>
      <c r="G27" s="92"/>
      <c r="H27" s="31"/>
      <c r="I27" s="442"/>
      <c r="J27" s="452">
        <f ca="1">'Parameters calculator (hide)'!F25</f>
        <v>0</v>
      </c>
      <c r="K27" s="31"/>
    </row>
    <row r="28" spans="1:13" ht="15" thickBot="1" x14ac:dyDescent="0.25">
      <c r="A28" s="83"/>
      <c r="B28" s="31"/>
      <c r="C28" s="31"/>
      <c r="D28" s="31"/>
      <c r="E28" s="31"/>
      <c r="F28" s="31" t="s">
        <v>95</v>
      </c>
      <c r="G28" s="31"/>
      <c r="H28" s="31"/>
      <c r="I28" s="443"/>
      <c r="J28" s="453"/>
      <c r="K28" s="31"/>
    </row>
    <row r="29" spans="1:13" x14ac:dyDescent="0.2">
      <c r="A29" s="34" t="s">
        <v>96</v>
      </c>
      <c r="B29" s="31"/>
      <c r="C29" s="31"/>
      <c r="D29" s="31"/>
      <c r="E29" s="31"/>
      <c r="F29" s="31"/>
      <c r="G29" s="31"/>
      <c r="H29" s="31"/>
      <c r="I29" s="31"/>
      <c r="J29" s="31"/>
      <c r="K29" s="31"/>
    </row>
    <row r="30" spans="1:13" ht="15" thickBot="1" x14ac:dyDescent="0.25"/>
    <row r="31" spans="1:13" ht="15" thickBot="1" x14ac:dyDescent="0.25">
      <c r="A31" t="s">
        <v>371</v>
      </c>
      <c r="F31" s="212"/>
    </row>
    <row r="32" spans="1:13" ht="14.25" customHeight="1" x14ac:dyDescent="0.2">
      <c r="A32" t="s">
        <v>509</v>
      </c>
      <c r="B32" s="1"/>
      <c r="C32" s="1"/>
      <c r="D32" s="1"/>
      <c r="E32" s="1"/>
      <c r="F32" s="241" t="str">
        <f>'Parameters calculator (hide)'!E45</f>
        <v/>
      </c>
      <c r="G32" s="1"/>
      <c r="H32" s="149" t="str">
        <f>IF(F31&lt;&gt;"",IF(ABS(1-(F32/B9))&gt;0.05,"There appears to be some inconsistencies in your figures.",""),"")</f>
        <v/>
      </c>
      <c r="I32" s="149"/>
      <c r="J32" s="149"/>
      <c r="K32" s="149"/>
      <c r="L32" s="149"/>
      <c r="M32" s="149"/>
    </row>
    <row r="33" spans="1:8" ht="15" x14ac:dyDescent="0.25">
      <c r="A33" s="2"/>
      <c r="H33" s="150" t="str">
        <f>IF(H32&lt;&gt;"","Please recheck your figures.","")</f>
        <v/>
      </c>
    </row>
    <row r="36" spans="1:8" ht="15" x14ac:dyDescent="0.25">
      <c r="A36" s="2"/>
      <c r="C36" s="5"/>
    </row>
    <row r="37" spans="1:8" x14ac:dyDescent="0.2">
      <c r="C37" s="5"/>
    </row>
    <row r="42" spans="1:8" x14ac:dyDescent="0.2">
      <c r="B42" s="67"/>
    </row>
    <row r="43" spans="1:8" x14ac:dyDescent="0.2">
      <c r="B43" s="67"/>
    </row>
    <row r="44" spans="1:8" x14ac:dyDescent="0.2">
      <c r="B44" s="67"/>
    </row>
    <row r="45" spans="1:8" x14ac:dyDescent="0.2">
      <c r="B45" s="67"/>
    </row>
    <row r="46" spans="1:8" x14ac:dyDescent="0.2">
      <c r="B46" s="67"/>
    </row>
    <row r="47" spans="1:8" x14ac:dyDescent="0.2">
      <c r="B47" s="67"/>
    </row>
    <row r="48" spans="1:8"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7"/>
    </row>
    <row r="71" spans="2:2" x14ac:dyDescent="0.2">
      <c r="B71" s="67"/>
    </row>
    <row r="72" spans="2:2" x14ac:dyDescent="0.2">
      <c r="B72" s="67"/>
    </row>
    <row r="73" spans="2:2" x14ac:dyDescent="0.2">
      <c r="B73" s="67"/>
    </row>
    <row r="74" spans="2:2" x14ac:dyDescent="0.2">
      <c r="B74" s="67"/>
    </row>
    <row r="75" spans="2:2" x14ac:dyDescent="0.2">
      <c r="B75" s="67"/>
    </row>
    <row r="76" spans="2:2" x14ac:dyDescent="0.2">
      <c r="B76" s="67"/>
    </row>
    <row r="77" spans="2:2" x14ac:dyDescent="0.2">
      <c r="B77" s="67"/>
    </row>
    <row r="78" spans="2:2" x14ac:dyDescent="0.2">
      <c r="B78" s="67"/>
    </row>
    <row r="79" spans="2:2" x14ac:dyDescent="0.2">
      <c r="B79" s="67"/>
    </row>
    <row r="80" spans="2:2" x14ac:dyDescent="0.2">
      <c r="B80" s="67"/>
    </row>
    <row r="81" spans="1:2" x14ac:dyDescent="0.2">
      <c r="B81" s="67"/>
    </row>
    <row r="82" spans="1:2" x14ac:dyDescent="0.2">
      <c r="B82" s="67"/>
    </row>
    <row r="83" spans="1:2" x14ac:dyDescent="0.2">
      <c r="A83" s="67"/>
      <c r="B83" s="67"/>
    </row>
    <row r="84" spans="1:2" x14ac:dyDescent="0.2">
      <c r="A84" s="67"/>
      <c r="B84" s="67"/>
    </row>
    <row r="85" spans="1:2" x14ac:dyDescent="0.2">
      <c r="A85" s="67"/>
      <c r="B85" s="67"/>
    </row>
    <row r="86" spans="1:2" x14ac:dyDescent="0.2">
      <c r="A86" s="67"/>
      <c r="B86" s="67"/>
    </row>
    <row r="87" spans="1:2" x14ac:dyDescent="0.2">
      <c r="B87" s="67"/>
    </row>
    <row r="88" spans="1:2" x14ac:dyDescent="0.2">
      <c r="A88" s="67"/>
      <c r="B88" s="67"/>
    </row>
    <row r="89" spans="1:2" x14ac:dyDescent="0.2">
      <c r="A89" s="67"/>
      <c r="B89" s="67"/>
    </row>
    <row r="90" spans="1:2" x14ac:dyDescent="0.2">
      <c r="A90" s="67"/>
      <c r="B90" s="67"/>
    </row>
    <row r="91" spans="1:2" x14ac:dyDescent="0.2">
      <c r="A91" s="67"/>
      <c r="B91" s="67"/>
    </row>
    <row r="92" spans="1:2" x14ac:dyDescent="0.2">
      <c r="B92" s="67"/>
    </row>
    <row r="93" spans="1:2" x14ac:dyDescent="0.2">
      <c r="B93" s="67"/>
    </row>
    <row r="94" spans="1:2" x14ac:dyDescent="0.2">
      <c r="B94" s="67"/>
    </row>
    <row r="95" spans="1:2" x14ac:dyDescent="0.2">
      <c r="B95" s="67"/>
    </row>
    <row r="96" spans="1:2" x14ac:dyDescent="0.2">
      <c r="B96" s="67"/>
    </row>
  </sheetData>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28575</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981075</xdr:colOff>
                    <xdr:row>3</xdr:row>
                    <xdr:rowOff>0</xdr:rowOff>
                  </from>
                  <to>
                    <xdr:col>6</xdr:col>
                    <xdr:colOff>0</xdr:colOff>
                    <xdr:row>4</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xm:sqref>
        </x14:dataValidation>
        <x14:dataValidation type="list" allowBlank="1" showInputMessage="1" showErrorMessage="1" xr:uid="{00000000-0002-0000-1200-000002000000}">
          <x14:formula1>
            <xm:f>'Control sheet (hide)'!$AI$2:$AI$35</xm:f>
          </x14:formula1>
          <xm:sqref>C3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A4" sqref="A4"/>
    </sheetView>
  </sheetViews>
  <sheetFormatPr defaultRowHeight="14.25" x14ac:dyDescent="0.2"/>
  <cols>
    <col min="1" max="1" width="32.125" customWidth="1"/>
    <col min="2" max="9" width="10.625" customWidth="1"/>
  </cols>
  <sheetData>
    <row r="1" spans="1:7" ht="15" x14ac:dyDescent="0.25">
      <c r="A1" s="102" t="s">
        <v>323</v>
      </c>
      <c r="B1" s="103"/>
      <c r="C1" s="103"/>
      <c r="D1" s="103"/>
      <c r="E1" s="103"/>
      <c r="F1" s="103"/>
      <c r="G1" s="103"/>
    </row>
    <row r="3" spans="1:7" x14ac:dyDescent="0.2">
      <c r="A3" t="s">
        <v>321</v>
      </c>
    </row>
    <row r="4" spans="1:7" s="67" customFormat="1" ht="15" x14ac:dyDescent="0.25">
      <c r="A4" s="213">
        <v>52</v>
      </c>
      <c r="B4"/>
    </row>
    <row r="5" spans="1:7" s="67" customFormat="1" x14ac:dyDescent="0.2"/>
    <row r="6" spans="1:7" s="67" customFormat="1" x14ac:dyDescent="0.2"/>
    <row r="7" spans="1:7" s="67" customFormat="1" x14ac:dyDescent="0.2"/>
    <row r="8" spans="1:7" ht="15" x14ac:dyDescent="0.25">
      <c r="A8" s="89" t="s">
        <v>102</v>
      </c>
      <c r="B8" s="97" t="s">
        <v>75</v>
      </c>
      <c r="C8" s="97" t="s">
        <v>311</v>
      </c>
      <c r="D8" s="96"/>
      <c r="E8" s="98" t="s">
        <v>99</v>
      </c>
      <c r="F8" s="96"/>
      <c r="G8" s="99" t="s">
        <v>312</v>
      </c>
    </row>
    <row r="9" spans="1:7" x14ac:dyDescent="0.2">
      <c r="A9" s="86" t="str">
        <f>IF(Setup!C27&lt;&gt;"",Setup!C27,"Modality "&amp;ROW(A1))</f>
        <v>Test name 1</v>
      </c>
      <c r="B9" s="214"/>
      <c r="C9" s="214"/>
      <c r="E9" s="214"/>
      <c r="G9" s="214"/>
    </row>
    <row r="10" spans="1:7" hidden="1" x14ac:dyDescent="0.2">
      <c r="A10" s="86" t="str">
        <f>IF(Setup!C28&lt;&gt;"",Setup!C28,"Modality "&amp;ROW(A2))</f>
        <v>Test name 2</v>
      </c>
      <c r="B10" s="214"/>
      <c r="C10" s="214"/>
      <c r="E10" s="214"/>
      <c r="G10" s="214"/>
    </row>
    <row r="11" spans="1:7" hidden="1" x14ac:dyDescent="0.2">
      <c r="A11" s="86" t="str">
        <f>IF(Setup!C29&lt;&gt;"",Setup!C29,"Modality "&amp;ROW(A3))</f>
        <v>Another modality</v>
      </c>
      <c r="B11" s="214"/>
      <c r="C11" s="214"/>
      <c r="E11" s="214"/>
      <c r="G11" s="214"/>
    </row>
    <row r="12" spans="1:7" hidden="1" x14ac:dyDescent="0.2">
      <c r="A12" s="86" t="str">
        <f>IF(Setup!C30&lt;&gt;"",Setup!C30,"Modality "&amp;ROW(A8))</f>
        <v>Modality 4</v>
      </c>
      <c r="B12" s="214"/>
      <c r="C12" s="214"/>
      <c r="E12" s="214"/>
      <c r="G12" s="214"/>
    </row>
    <row r="13" spans="1:7" hidden="1" x14ac:dyDescent="0.2">
      <c r="A13" s="86" t="str">
        <f>IF(Setup!C31&lt;&gt;"",Setup!C31,"Modality "&amp;ROW(A9))</f>
        <v>Modality 5</v>
      </c>
      <c r="B13" s="214"/>
      <c r="C13" s="214"/>
      <c r="E13" s="214"/>
      <c r="G13" s="214"/>
    </row>
    <row r="14" spans="1:7" hidden="1" x14ac:dyDescent="0.2">
      <c r="A14" s="86" t="str">
        <f>IF(Setup!C32&lt;&gt;"",Setup!C32,"Modality "&amp;ROW(A10))</f>
        <v>Modality 6</v>
      </c>
      <c r="B14" s="214"/>
      <c r="C14" s="214"/>
      <c r="E14" s="214"/>
      <c r="G14" s="214"/>
    </row>
    <row r="15" spans="1:7" hidden="1" x14ac:dyDescent="0.2">
      <c r="A15" s="86" t="str">
        <f>IF(Setup!C33&lt;&gt;"",Setup!C33,"Modality "&amp;ROW(A11))</f>
        <v>Modality 7</v>
      </c>
      <c r="B15" s="214"/>
      <c r="C15" s="214"/>
      <c r="E15" s="214"/>
      <c r="G15" s="214"/>
    </row>
    <row r="16" spans="1:7" hidden="1" x14ac:dyDescent="0.2">
      <c r="A16" s="86" t="str">
        <f>IF(Setup!C34&lt;&gt;"",Setup!C34,"Modality "&amp;ROW(A12))</f>
        <v>Modality 8</v>
      </c>
      <c r="B16" s="214"/>
      <c r="C16" s="214"/>
      <c r="E16" s="214"/>
      <c r="G16" s="214"/>
    </row>
    <row r="17" spans="1:7" hidden="1" x14ac:dyDescent="0.2">
      <c r="A17" s="86" t="str">
        <f>IF(Setup!C35&lt;&gt;"",Setup!C35,"Modality "&amp;ROW(A13))</f>
        <v>Modality 9</v>
      </c>
      <c r="B17" s="214"/>
      <c r="C17" s="214"/>
      <c r="E17" s="214"/>
      <c r="G17" s="214"/>
    </row>
    <row r="18" spans="1:7" hidden="1" x14ac:dyDescent="0.2">
      <c r="A18" s="86" t="str">
        <f>IF(Setup!C36&lt;&gt;"",Setup!C36,"Modality "&amp;ROW(A14))</f>
        <v>Modality 10</v>
      </c>
      <c r="B18" s="214"/>
      <c r="C18" s="214"/>
      <c r="E18" s="214"/>
      <c r="G18" s="214"/>
    </row>
    <row r="19" spans="1:7" x14ac:dyDescent="0.2">
      <c r="A19" s="67"/>
    </row>
    <row r="20" spans="1:7" s="67" customFormat="1" ht="15" x14ac:dyDescent="0.25">
      <c r="B20" s="96" t="s">
        <v>19</v>
      </c>
      <c r="C20" s="96" t="str">
        <f>Setup!I17</f>
        <v>Minutes</v>
      </c>
    </row>
    <row r="21" spans="1:7" s="67" customFormat="1" x14ac:dyDescent="0.2">
      <c r="A21" s="67" t="s">
        <v>395</v>
      </c>
      <c r="B21" s="95">
        <f ca="1">'Parameters calculator (hide)'!B19</f>
        <v>0</v>
      </c>
      <c r="C21" s="95">
        <f ca="1">'Parameters calculator (hide)'!B19*'Parameters calculator (hide)'!E18</f>
        <v>0</v>
      </c>
    </row>
    <row r="22" spans="1:7" s="67" customFormat="1" x14ac:dyDescent="0.2">
      <c r="A22" s="67" t="s">
        <v>396</v>
      </c>
      <c r="B22" s="69"/>
      <c r="C22" s="69"/>
    </row>
    <row r="23" spans="1:7" s="67" customFormat="1" x14ac:dyDescent="0.2"/>
    <row r="24" spans="1:7" s="67" customFormat="1" x14ac:dyDescent="0.2"/>
    <row r="25" spans="1:7" ht="15" x14ac:dyDescent="0.25">
      <c r="A25" s="88" t="str">
        <f>"Summed and translated to "&amp;Setup!$I$17</f>
        <v>Summed and translated to Minutes</v>
      </c>
      <c r="B25" s="69">
        <f ca="1">'Parameters calculator (hide)'!C15</f>
        <v>0</v>
      </c>
      <c r="C25" s="95">
        <f ca="1">'Parameters calculator (hide)'!E15</f>
        <v>0</v>
      </c>
      <c r="E25" s="95">
        <f ca="1">'Parameters calculator (hide)'!G15</f>
        <v>0</v>
      </c>
      <c r="G25" s="69">
        <f ca="1">'Parameters calculator (hide)'!I15</f>
        <v>0</v>
      </c>
    </row>
    <row r="26" spans="1:7" ht="15" x14ac:dyDescent="0.25">
      <c r="A26" s="88" t="s">
        <v>322</v>
      </c>
      <c r="B26" s="94" t="e">
        <f ca="1">'Parameters calculator (hide)'!C16</f>
        <v>#DIV/0!</v>
      </c>
      <c r="C26" s="94" t="e">
        <f ca="1">'Parameters calculator (hide)'!E16</f>
        <v>#DIV/0!</v>
      </c>
      <c r="E26" s="94" t="e">
        <f ca="1">'Parameters calculator (hide)'!G16</f>
        <v>#DIV/0!</v>
      </c>
      <c r="G26" s="94">
        <f ca="1">'Parameters calculator (hide)'!I16</f>
        <v>0</v>
      </c>
    </row>
    <row r="27" spans="1:7" x14ac:dyDescent="0.2">
      <c r="A27" s="67"/>
      <c r="B27" s="67"/>
      <c r="C27" s="67"/>
      <c r="D27" s="67"/>
      <c r="E27" s="67"/>
      <c r="F27" s="67"/>
      <c r="G27" s="67"/>
    </row>
    <row r="28" spans="1:7" x14ac:dyDescent="0.2">
      <c r="A28" s="67"/>
      <c r="B28" s="67"/>
      <c r="C28" s="67"/>
      <c r="D28" s="67"/>
      <c r="E28" s="67"/>
      <c r="F28" s="67"/>
      <c r="G28" s="67"/>
    </row>
    <row r="29" spans="1:7" x14ac:dyDescent="0.2">
      <c r="A29" t="s">
        <v>397</v>
      </c>
    </row>
  </sheetData>
  <sheetProtection algorithmName="SHA-512" hashValue="pq/bBtSxOzJZJQQYmpds38xl7SI29d9TK19Q1Yk75JhTZ8BmqSWQ3HIBLd9N54EbN+wEM+4sFhYOGWk6rxlhZg==" saltValue="EBI6Emv77KVKPtvC1pJ9dg=="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46" workbookViewId="0">
      <selection activeCell="I69" sqref="I69"/>
    </sheetView>
  </sheetViews>
  <sheetFormatPr defaultRowHeight="14.25" x14ac:dyDescent="0.2"/>
  <cols>
    <col min="1" max="1" width="15.75" customWidth="1"/>
    <col min="3" max="3" width="11" bestFit="1" customWidth="1"/>
    <col min="5" max="5" width="17.25" customWidth="1"/>
  </cols>
  <sheetData>
    <row r="1" spans="1:9" x14ac:dyDescent="0.2">
      <c r="A1" t="s">
        <v>404</v>
      </c>
    </row>
    <row r="3" spans="1:9" x14ac:dyDescent="0.2">
      <c r="B3" t="s">
        <v>75</v>
      </c>
      <c r="D3" t="s">
        <v>98</v>
      </c>
      <c r="F3" t="s">
        <v>99</v>
      </c>
      <c r="H3" t="s">
        <v>100</v>
      </c>
    </row>
    <row r="4" spans="1:9" x14ac:dyDescent="0.2">
      <c r="A4" t="s">
        <v>102</v>
      </c>
      <c r="B4" t="s">
        <v>19</v>
      </c>
      <c r="C4" t="s">
        <v>313</v>
      </c>
      <c r="D4" s="67" t="s">
        <v>19</v>
      </c>
      <c r="E4" s="67" t="s">
        <v>313</v>
      </c>
      <c r="F4" s="67" t="s">
        <v>19</v>
      </c>
      <c r="G4" s="67" t="s">
        <v>313</v>
      </c>
      <c r="H4" s="67" t="s">
        <v>19</v>
      </c>
      <c r="I4" s="67" t="s">
        <v>313</v>
      </c>
    </row>
    <row r="5" spans="1:9" x14ac:dyDescent="0.2">
      <c r="A5">
        <v>1</v>
      </c>
      <c r="B5">
        <f>'Parameters calculator'!B9</f>
        <v>0</v>
      </c>
      <c r="C5">
        <f ca="1">B5*OFFSET('Demand background (hide)'!$N$2,0,ROW(A1)-1,1,1)</f>
        <v>0</v>
      </c>
      <c r="D5">
        <f>'Parameters calculator'!C9</f>
        <v>0</v>
      </c>
      <c r="E5" s="67">
        <f ca="1">D5*OFFSET('Demand background (hide)'!$N$2,0,ROW(E1)-1,1,1)</f>
        <v>0</v>
      </c>
      <c r="F5">
        <f>'Parameters calculator'!E9</f>
        <v>0</v>
      </c>
      <c r="G5" s="67">
        <f ca="1">F5*OFFSET('Demand background (hide)'!$N$2,0,ROW(G1)-1,1,1)</f>
        <v>0</v>
      </c>
      <c r="H5">
        <f>'Parameters calculator'!G9</f>
        <v>0</v>
      </c>
      <c r="I5" s="67">
        <f ca="1">H5*OFFSET('Demand background (hide)'!$N$2,0,ROW(I1)-1,1,1)</f>
        <v>0</v>
      </c>
    </row>
    <row r="6" spans="1:9" x14ac:dyDescent="0.2">
      <c r="A6">
        <v>2</v>
      </c>
      <c r="B6" s="67">
        <f>'Parameters calculator'!B10</f>
        <v>0</v>
      </c>
      <c r="C6" s="67">
        <f ca="1">B6*OFFSET('Demand background (hide)'!$N$2,0,ROW(A2)-1,1,1)</f>
        <v>0</v>
      </c>
      <c r="D6" s="67">
        <f>'Parameters calculator'!C10</f>
        <v>0</v>
      </c>
      <c r="E6" s="67">
        <f ca="1">D6*OFFSET('Demand background (hide)'!$N$2,0,ROW(E2)-1,1,1)</f>
        <v>0</v>
      </c>
      <c r="F6" s="67">
        <f>'Parameters calculator'!E10</f>
        <v>0</v>
      </c>
      <c r="G6" s="67">
        <f ca="1">F6*OFFSET('Demand background (hide)'!$N$2,0,ROW(G2)-1,1,1)</f>
        <v>0</v>
      </c>
      <c r="H6" s="67">
        <f>'Parameters calculator'!G10</f>
        <v>0</v>
      </c>
      <c r="I6" s="67">
        <f ca="1">H6*OFFSET('Demand background (hide)'!$N$2,0,ROW(I2)-1,1,1)</f>
        <v>0</v>
      </c>
    </row>
    <row r="7" spans="1:9" x14ac:dyDescent="0.2">
      <c r="A7">
        <v>3</v>
      </c>
      <c r="B7" s="67">
        <f>'Parameters calculator'!B11</f>
        <v>0</v>
      </c>
      <c r="C7" s="67">
        <f ca="1">B7*OFFSET('Demand background (hide)'!$N$2,0,ROW(A3)-1,1,1)</f>
        <v>0</v>
      </c>
      <c r="D7" s="67">
        <f>'Parameters calculator'!C11</f>
        <v>0</v>
      </c>
      <c r="E7" s="67">
        <f ca="1">D7*OFFSET('Demand background (hide)'!$N$2,0,ROW(E3)-1,1,1)</f>
        <v>0</v>
      </c>
      <c r="F7" s="67">
        <f>'Parameters calculator'!E11</f>
        <v>0</v>
      </c>
      <c r="G7" s="67">
        <f ca="1">F7*OFFSET('Demand background (hide)'!$N$2,0,ROW(E3)-1,1,1)</f>
        <v>0</v>
      </c>
      <c r="H7" s="67">
        <f>'Parameters calculator'!G11</f>
        <v>0</v>
      </c>
      <c r="I7" s="67">
        <f ca="1">H7*OFFSET('Demand background (hide)'!$N$2,0,ROW(G3)-1,1,1)</f>
        <v>0</v>
      </c>
    </row>
    <row r="8" spans="1:9" x14ac:dyDescent="0.2">
      <c r="A8">
        <v>4</v>
      </c>
      <c r="B8" s="67">
        <f>'Parameters calculator'!B12</f>
        <v>0</v>
      </c>
      <c r="C8" s="67">
        <f ca="1">B8*OFFSET('Demand background (hide)'!$N$2,0,ROW(A4)-1,1,1)</f>
        <v>0</v>
      </c>
      <c r="D8" s="67">
        <f>'Parameters calculator'!C12</f>
        <v>0</v>
      </c>
      <c r="E8" s="67">
        <f ca="1">D8*OFFSET('Demand background (hide)'!$N$2,0,ROW(E4)-1,1,1)</f>
        <v>0</v>
      </c>
      <c r="F8" s="67">
        <f>'Parameters calculator'!E12</f>
        <v>0</v>
      </c>
      <c r="G8" s="67">
        <f ca="1">F8*OFFSET('Demand background (hide)'!$N$2,0,ROW(E4)-1,1,1)</f>
        <v>0</v>
      </c>
      <c r="H8" s="67">
        <f>'Parameters calculator'!G12</f>
        <v>0</v>
      </c>
      <c r="I8" s="67">
        <f ca="1">H8*OFFSET('Demand background (hide)'!$N$2,0,ROW(G4)-1,1,1)</f>
        <v>0</v>
      </c>
    </row>
    <row r="9" spans="1:9" x14ac:dyDescent="0.2">
      <c r="A9">
        <v>5</v>
      </c>
      <c r="B9" s="67">
        <f>'Parameters calculator'!B13</f>
        <v>0</v>
      </c>
      <c r="C9" s="67">
        <f ca="1">B9*OFFSET('Demand background (hide)'!$N$2,0,ROW(A5)-1,1,1)</f>
        <v>0</v>
      </c>
      <c r="D9" s="67">
        <f>'Parameters calculator'!C13</f>
        <v>0</v>
      </c>
      <c r="E9" s="67">
        <f ca="1">D9*OFFSET('Demand background (hide)'!$N$2,0,ROW(E5)-1,1,1)</f>
        <v>0</v>
      </c>
      <c r="F9" s="67">
        <f>'Parameters calculator'!E13</f>
        <v>0</v>
      </c>
      <c r="G9" s="67">
        <f ca="1">F9*OFFSET('Demand background (hide)'!$N$2,0,ROW(E5)-1,1,1)</f>
        <v>0</v>
      </c>
      <c r="H9" s="67">
        <f>'Parameters calculator'!G13</f>
        <v>0</v>
      </c>
      <c r="I9" s="67">
        <f ca="1">H9*OFFSET('Demand background (hide)'!$N$2,0,ROW(G5)-1,1,1)</f>
        <v>0</v>
      </c>
    </row>
    <row r="10" spans="1:9" x14ac:dyDescent="0.2">
      <c r="A10">
        <v>6</v>
      </c>
      <c r="B10" s="67">
        <f>'Parameters calculator'!B14</f>
        <v>0</v>
      </c>
      <c r="C10" s="67">
        <f ca="1">B10*OFFSET('Demand background (hide)'!$N$2,0,ROW(A6)-1,1,1)</f>
        <v>0</v>
      </c>
      <c r="D10" s="67">
        <f>'Parameters calculator'!C14</f>
        <v>0</v>
      </c>
      <c r="E10" s="67">
        <f ca="1">D10*OFFSET('Demand background (hide)'!$N$2,0,ROW(E6)-1,1,1)</f>
        <v>0</v>
      </c>
      <c r="F10" s="67">
        <f>'Parameters calculator'!E14</f>
        <v>0</v>
      </c>
      <c r="G10" s="67">
        <f ca="1">F10*OFFSET('Demand background (hide)'!$N$2,0,ROW(E6)-1,1,1)</f>
        <v>0</v>
      </c>
      <c r="H10" s="67">
        <f>'Parameters calculator'!G14</f>
        <v>0</v>
      </c>
      <c r="I10" s="67">
        <f ca="1">H10*OFFSET('Demand background (hide)'!$N$2,0,ROW(G6)-1,1,1)</f>
        <v>0</v>
      </c>
    </row>
    <row r="11" spans="1:9" x14ac:dyDescent="0.2">
      <c r="A11">
        <v>7</v>
      </c>
      <c r="B11" s="67">
        <f>'Parameters calculator'!B15</f>
        <v>0</v>
      </c>
      <c r="C11" s="67">
        <f ca="1">B11*OFFSET('Demand background (hide)'!$N$2,0,ROW(A7)-1,1,1)</f>
        <v>0</v>
      </c>
      <c r="D11" s="67">
        <f>'Parameters calculator'!C15</f>
        <v>0</v>
      </c>
      <c r="E11" s="67">
        <f ca="1">D11*OFFSET('Demand background (hide)'!$N$2,0,ROW(E7)-1,1,1)</f>
        <v>0</v>
      </c>
      <c r="F11" s="67">
        <f>'Parameters calculator'!E15</f>
        <v>0</v>
      </c>
      <c r="G11" s="67">
        <f ca="1">F11*OFFSET('Demand background (hide)'!$N$2,0,ROW(E7)-1,1,1)</f>
        <v>0</v>
      </c>
      <c r="H11" s="67">
        <f>'Parameters calculator'!G15</f>
        <v>0</v>
      </c>
      <c r="I11" s="67">
        <f ca="1">H11*OFFSET('Demand background (hide)'!$N$2,0,ROW(G7)-1,1,1)</f>
        <v>0</v>
      </c>
    </row>
    <row r="12" spans="1:9" x14ac:dyDescent="0.2">
      <c r="A12">
        <v>8</v>
      </c>
      <c r="B12" s="67">
        <f>'Parameters calculator'!B16</f>
        <v>0</v>
      </c>
      <c r="C12" s="67">
        <f ca="1">B12*OFFSET('Demand background (hide)'!$N$2,0,ROW(A8)-1,1,1)</f>
        <v>0</v>
      </c>
      <c r="D12" s="67">
        <f>'Parameters calculator'!C16</f>
        <v>0</v>
      </c>
      <c r="E12" s="67">
        <f ca="1">D12*OFFSET('Demand background (hide)'!$N$2,0,ROW(E8)-1,1,1)</f>
        <v>0</v>
      </c>
      <c r="F12" s="67">
        <f>'Parameters calculator'!E16</f>
        <v>0</v>
      </c>
      <c r="G12" s="67">
        <f ca="1">F12*OFFSET('Demand background (hide)'!$N$2,0,ROW(E8)-1,1,1)</f>
        <v>0</v>
      </c>
      <c r="H12" s="67">
        <f>'Parameters calculator'!G16</f>
        <v>0</v>
      </c>
      <c r="I12" s="67">
        <f ca="1">H12*OFFSET('Demand background (hide)'!$N$2,0,ROW(G8)-1,1,1)</f>
        <v>0</v>
      </c>
    </row>
    <row r="13" spans="1:9" x14ac:dyDescent="0.2">
      <c r="A13">
        <v>9</v>
      </c>
      <c r="B13" s="67">
        <f>'Parameters calculator'!B17</f>
        <v>0</v>
      </c>
      <c r="C13" s="67">
        <f ca="1">B13*OFFSET('Demand background (hide)'!$N$2,0,ROW(A9)-1,1,1)</f>
        <v>0</v>
      </c>
      <c r="D13" s="67">
        <f>'Parameters calculator'!C17</f>
        <v>0</v>
      </c>
      <c r="E13" s="67">
        <f ca="1">D13*OFFSET('Demand background (hide)'!$N$2,0,ROW(E9)-1,1,1)</f>
        <v>0</v>
      </c>
      <c r="F13" s="67">
        <f>'Parameters calculator'!E17</f>
        <v>0</v>
      </c>
      <c r="G13" s="67">
        <f ca="1">F13*OFFSET('Demand background (hide)'!$N$2,0,ROW(E9)-1,1,1)</f>
        <v>0</v>
      </c>
      <c r="H13" s="67">
        <f>'Parameters calculator'!G17</f>
        <v>0</v>
      </c>
      <c r="I13" s="67">
        <f ca="1">H13*OFFSET('Demand background (hide)'!$N$2,0,ROW(G9)-1,1,1)</f>
        <v>0</v>
      </c>
    </row>
    <row r="14" spans="1:9" x14ac:dyDescent="0.2">
      <c r="A14">
        <v>10</v>
      </c>
      <c r="B14" s="67">
        <f>'Parameters calculator'!B18</f>
        <v>0</v>
      </c>
      <c r="C14" s="67">
        <f ca="1">B14*OFFSET('Demand background (hide)'!$N$2,0,ROW(A10)-1,1,1)</f>
        <v>0</v>
      </c>
      <c r="D14" s="67">
        <f>'Parameters calculator'!C18</f>
        <v>0</v>
      </c>
      <c r="E14" s="67">
        <f ca="1">D14*OFFSET('Demand background (hide)'!$N$2,0,ROW(E10)-1,1,1)</f>
        <v>0</v>
      </c>
      <c r="F14" s="67">
        <f>'Parameters calculator'!E18</f>
        <v>0</v>
      </c>
      <c r="G14" s="67">
        <f ca="1">F14*OFFSET('Demand background (hide)'!$N$2,0,ROW(E10)-1,1,1)</f>
        <v>0</v>
      </c>
      <c r="H14" s="67">
        <f>'Parameters calculator'!G18</f>
        <v>0</v>
      </c>
      <c r="I14" s="67">
        <f ca="1">H14*OFFSET('Demand background (hide)'!$N$2,0,ROW(G10)-1,1,1)</f>
        <v>0</v>
      </c>
    </row>
    <row r="15" spans="1:9" x14ac:dyDescent="0.2">
      <c r="A15" t="s">
        <v>314</v>
      </c>
      <c r="C15" s="5">
        <f ca="1">SUM(OFFSET(C$5,0,0,Num_Modalities,1))</f>
        <v>0</v>
      </c>
      <c r="D15" s="5"/>
      <c r="E15" s="5">
        <f ca="1">SUM(OFFSET(E$5,0,0,Num_Modalities,1))</f>
        <v>0</v>
      </c>
      <c r="F15" s="5"/>
      <c r="G15" s="5">
        <f ca="1">SUM(OFFSET(G$5,0,0,Num_Modalities,1))</f>
        <v>0</v>
      </c>
      <c r="H15" s="5"/>
      <c r="I15" s="5">
        <f ca="1">SUM(OFFSET(I$5,0,0,Num_Modalities,1))</f>
        <v>0</v>
      </c>
    </row>
    <row r="16" spans="1:9" x14ac:dyDescent="0.2">
      <c r="A16" t="s">
        <v>345</v>
      </c>
      <c r="C16" s="84" t="e">
        <f ca="1">C15/'Parameters calculator'!$C$21</f>
        <v>#DIV/0!</v>
      </c>
      <c r="E16" s="84" t="e">
        <f ca="1">E15/('Parameters calculator'!$C$21-C15)</f>
        <v>#DIV/0!</v>
      </c>
      <c r="G16" s="84" t="e">
        <f ca="1">G15/('Parameters calculator'!$C$21-C15)</f>
        <v>#DIV/0!</v>
      </c>
      <c r="I16" s="84">
        <f ca="1">IF(G15=0,0,I15/G15)</f>
        <v>0</v>
      </c>
    </row>
    <row r="17" spans="1:13" s="67" customFormat="1" x14ac:dyDescent="0.2"/>
    <row r="18" spans="1:13" s="67" customFormat="1" x14ac:dyDescent="0.2">
      <c r="A18" s="67" t="s">
        <v>147</v>
      </c>
      <c r="B18" s="67">
        <f ca="1">IF(LEFT(INDIRECT(H18),4)="Base",MAX('SPC background (hide)'!$I$5:$I$11),INDIRECT(H18))</f>
        <v>52</v>
      </c>
      <c r="D18" s="67" t="s">
        <v>212</v>
      </c>
      <c r="E18" s="5">
        <f ca="1">'Demand background (hide)'!BN16</f>
        <v>1</v>
      </c>
      <c r="G18" s="67" t="s">
        <v>394</v>
      </c>
      <c r="H18" s="51" t="s">
        <v>501</v>
      </c>
    </row>
    <row r="19" spans="1:13" x14ac:dyDescent="0.2">
      <c r="A19" t="s">
        <v>329</v>
      </c>
      <c r="B19">
        <f ca="1">'Demand background (hide)'!$BM$18*'Parameters calculator (hide)'!$B$18*IF(OR(Parameters!C4="Patients",B34=1),1/E18,1)</f>
        <v>0</v>
      </c>
    </row>
    <row r="20" spans="1:13" x14ac:dyDescent="0.2">
      <c r="B20" t="s">
        <v>75</v>
      </c>
      <c r="C20" t="s">
        <v>336</v>
      </c>
      <c r="E20" t="s">
        <v>99</v>
      </c>
      <c r="F20" t="s">
        <v>337</v>
      </c>
      <c r="H20" t="s">
        <v>101</v>
      </c>
    </row>
    <row r="21" spans="1:13" s="67" customFormat="1" x14ac:dyDescent="0.2">
      <c r="A21" s="67" t="s">
        <v>334</v>
      </c>
      <c r="B21" s="84">
        <f>Parameters!$G$7</f>
        <v>0</v>
      </c>
      <c r="C21" s="84">
        <f>Parameters!$G$11</f>
        <v>0</v>
      </c>
      <c r="D21" s="47"/>
      <c r="E21" s="84">
        <f>Parameters!$G$21</f>
        <v>0</v>
      </c>
      <c r="F21" s="84">
        <f>Parameters!$I$27</f>
        <v>0</v>
      </c>
      <c r="G21" s="47"/>
      <c r="H21" s="84">
        <f>1-F21</f>
        <v>1</v>
      </c>
      <c r="M21" s="67" t="s">
        <v>393</v>
      </c>
    </row>
    <row r="22" spans="1:13" s="67" customFormat="1" x14ac:dyDescent="0.2">
      <c r="A22" s="67" t="s">
        <v>335</v>
      </c>
      <c r="B22" s="5">
        <f ca="1">Parameters!$H$7</f>
        <v>0</v>
      </c>
      <c r="C22" s="5">
        <f ca="1">Parameters!$H$11</f>
        <v>0</v>
      </c>
      <c r="E22" s="5">
        <f ca="1">Parameters!$H$21</f>
        <v>0</v>
      </c>
      <c r="F22" s="5">
        <f ca="1">Parameters!$J$27</f>
        <v>0</v>
      </c>
      <c r="H22" s="5">
        <f ca="1">E22-F22</f>
        <v>0</v>
      </c>
    </row>
    <row r="23" spans="1:13" s="67" customFormat="1" x14ac:dyDescent="0.2"/>
    <row r="24" spans="1:13" x14ac:dyDescent="0.2">
      <c r="A24" s="67" t="s">
        <v>332</v>
      </c>
      <c r="B24" s="84" t="e">
        <f ca="1">IF($B$34=2,IFERROR(B22/B19,NA()),C16)</f>
        <v>#N/A</v>
      </c>
      <c r="C24" s="84" t="e">
        <f ca="1">IF($B$34=2,IFERROR(C22/(B19-B22),NA()),E16)</f>
        <v>#N/A</v>
      </c>
      <c r="D24" s="47"/>
      <c r="E24" s="84" t="e">
        <f ca="1">IF($B$34=2,IFERROR(E22/(B19-B22),NA()),G16)</f>
        <v>#N/A</v>
      </c>
      <c r="F24" s="84">
        <f ca="1">IF($B$34=2,IF(E22=0,0,IFERROR(F22/E22,NA())),I16)</f>
        <v>0</v>
      </c>
      <c r="G24" s="47"/>
      <c r="H24" s="84">
        <f>IF(Parameters!$C$2="%",'Parameters calculator (hide)'!$H$21,1-F24)</f>
        <v>1</v>
      </c>
    </row>
    <row r="25" spans="1:13" x14ac:dyDescent="0.2">
      <c r="A25" t="s">
        <v>333</v>
      </c>
      <c r="B25" s="5">
        <f ca="1">IFERROR(B19*B21,NA())</f>
        <v>0</v>
      </c>
      <c r="C25" s="5">
        <f ca="1">IFERROR((B19*(1-B21)*C21),NA())</f>
        <v>0</v>
      </c>
      <c r="D25" s="67"/>
      <c r="E25" s="5">
        <f ca="1">IFERROR(B19*(1-B21)*E21,NA())</f>
        <v>0</v>
      </c>
      <c r="F25" s="5">
        <f ca="1">IFERROR(E25*F21,NA())</f>
        <v>0</v>
      </c>
      <c r="G25" s="67"/>
      <c r="H25" s="5">
        <f ca="1">E25-F25</f>
        <v>0</v>
      </c>
    </row>
    <row r="27" spans="1:13" x14ac:dyDescent="0.2">
      <c r="A27" t="s">
        <v>340</v>
      </c>
      <c r="B27">
        <f ca="1">IF(Parameters!$C$2="Volume",B19-B22-C22+H22-E22,B19-B25-C25+H25-E25)</f>
        <v>0</v>
      </c>
      <c r="M27" t="s">
        <v>315</v>
      </c>
    </row>
    <row r="28" spans="1:13" x14ac:dyDescent="0.2">
      <c r="M28" t="s">
        <v>316</v>
      </c>
    </row>
    <row r="29" spans="1:13" x14ac:dyDescent="0.2">
      <c r="A29" t="s">
        <v>342</v>
      </c>
      <c r="B29" t="s">
        <v>378</v>
      </c>
      <c r="C29" t="s">
        <v>379</v>
      </c>
      <c r="D29" t="s">
        <v>376</v>
      </c>
      <c r="E29" t="s">
        <v>377</v>
      </c>
      <c r="F29" t="s">
        <v>343</v>
      </c>
      <c r="G29" t="s">
        <v>344</v>
      </c>
      <c r="I29" t="s">
        <v>350</v>
      </c>
      <c r="J29" t="s">
        <v>349</v>
      </c>
      <c r="M29" t="s">
        <v>317</v>
      </c>
    </row>
    <row r="30" spans="1:13" x14ac:dyDescent="0.2">
      <c r="A30" t="s">
        <v>75</v>
      </c>
      <c r="B30" t="s">
        <v>380</v>
      </c>
      <c r="C30" t="s">
        <v>384</v>
      </c>
      <c r="D30" s="51" t="s">
        <v>359</v>
      </c>
      <c r="E30" s="51" t="s">
        <v>363</v>
      </c>
      <c r="F30" s="51" t="s">
        <v>359</v>
      </c>
      <c r="G30" s="51" t="s">
        <v>367</v>
      </c>
      <c r="I30" t="s">
        <v>351</v>
      </c>
      <c r="J30" t="s">
        <v>355</v>
      </c>
      <c r="M30" t="s">
        <v>318</v>
      </c>
    </row>
    <row r="31" spans="1:13" x14ac:dyDescent="0.2">
      <c r="A31" t="s">
        <v>336</v>
      </c>
      <c r="B31" t="s">
        <v>381</v>
      </c>
      <c r="C31" t="s">
        <v>385</v>
      </c>
      <c r="D31" s="51" t="s">
        <v>360</v>
      </c>
      <c r="E31" s="51" t="s">
        <v>364</v>
      </c>
      <c r="F31" s="51" t="s">
        <v>360</v>
      </c>
      <c r="G31" s="51" t="s">
        <v>368</v>
      </c>
      <c r="I31" t="s">
        <v>352</v>
      </c>
      <c r="J31" s="67" t="s">
        <v>356</v>
      </c>
      <c r="M31" t="s">
        <v>319</v>
      </c>
    </row>
    <row r="32" spans="1:13" x14ac:dyDescent="0.2">
      <c r="A32" t="s">
        <v>99</v>
      </c>
      <c r="B32" t="s">
        <v>382</v>
      </c>
      <c r="C32" t="s">
        <v>386</v>
      </c>
      <c r="D32" s="51" t="s">
        <v>361</v>
      </c>
      <c r="E32" s="51" t="s">
        <v>365</v>
      </c>
      <c r="F32" s="51" t="s">
        <v>361</v>
      </c>
      <c r="G32" s="51" t="s">
        <v>369</v>
      </c>
      <c r="I32" t="s">
        <v>353</v>
      </c>
      <c r="J32" s="67" t="s">
        <v>357</v>
      </c>
      <c r="M32" t="s">
        <v>320</v>
      </c>
    </row>
    <row r="33" spans="1:13" x14ac:dyDescent="0.2">
      <c r="A33" t="s">
        <v>337</v>
      </c>
      <c r="B33" t="s">
        <v>383</v>
      </c>
      <c r="C33" t="s">
        <v>387</v>
      </c>
      <c r="D33" s="51" t="s">
        <v>362</v>
      </c>
      <c r="E33" s="51" t="s">
        <v>366</v>
      </c>
      <c r="F33" s="51" t="s">
        <v>362</v>
      </c>
      <c r="G33" s="51" t="s">
        <v>370</v>
      </c>
      <c r="I33" t="s">
        <v>354</v>
      </c>
      <c r="J33" s="67" t="s">
        <v>358</v>
      </c>
      <c r="M33" t="s">
        <v>341</v>
      </c>
    </row>
    <row r="34" spans="1:13" x14ac:dyDescent="0.2">
      <c r="A34" t="s">
        <v>331</v>
      </c>
      <c r="B34">
        <v>2</v>
      </c>
      <c r="C34">
        <v>2</v>
      </c>
    </row>
    <row r="37" spans="1:13" x14ac:dyDescent="0.2">
      <c r="A37" s="51" t="s">
        <v>398</v>
      </c>
      <c r="B37" s="67"/>
    </row>
    <row r="38" spans="1:13" x14ac:dyDescent="0.2">
      <c r="A38" t="s">
        <v>410</v>
      </c>
    </row>
    <row r="40" spans="1:13" x14ac:dyDescent="0.2">
      <c r="E40" t="s">
        <v>507</v>
      </c>
    </row>
    <row r="41" spans="1:13" x14ac:dyDescent="0.2">
      <c r="A41" t="s">
        <v>405</v>
      </c>
      <c r="E41" t="s">
        <v>505</v>
      </c>
      <c r="G41" t="s">
        <v>502</v>
      </c>
      <c r="H41" t="s">
        <v>506</v>
      </c>
    </row>
    <row r="42" spans="1:13" x14ac:dyDescent="0.2">
      <c r="B42" t="s">
        <v>87</v>
      </c>
      <c r="E42" s="146">
        <f>Parameters!F31</f>
        <v>0</v>
      </c>
    </row>
    <row r="43" spans="1:13" x14ac:dyDescent="0.2">
      <c r="A43" t="s">
        <v>75</v>
      </c>
      <c r="B43" s="100" t="e">
        <f ca="1">IF(B34=1,C16,B24)</f>
        <v>#N/A</v>
      </c>
      <c r="C43" s="146" t="e">
        <f ca="1">(1-B43)</f>
        <v>#N/A</v>
      </c>
      <c r="E43" s="148"/>
      <c r="G43" s="146"/>
    </row>
    <row r="44" spans="1:13" x14ac:dyDescent="0.2">
      <c r="A44" t="s">
        <v>336</v>
      </c>
      <c r="B44" s="100" t="e">
        <f ca="1">IF(B34=1,E16,C24)</f>
        <v>#N/A</v>
      </c>
      <c r="C44" s="146" t="e">
        <f ca="1">B44</f>
        <v>#N/A</v>
      </c>
      <c r="E44" s="146" t="s">
        <v>508</v>
      </c>
      <c r="G44" s="146"/>
      <c r="H44" s="67"/>
    </row>
    <row r="45" spans="1:13" x14ac:dyDescent="0.2">
      <c r="A45" t="s">
        <v>99</v>
      </c>
      <c r="B45" s="100" t="e">
        <f ca="1">IF(B34=1,G16,E24)</f>
        <v>#N/A</v>
      </c>
      <c r="C45" s="146"/>
      <c r="E45" s="146" t="str">
        <f>IF(E42&gt;0,E42/(1-C44-(B45*B46))/C43,"")</f>
        <v/>
      </c>
      <c r="G45" s="146"/>
      <c r="H45" s="67"/>
    </row>
    <row r="46" spans="1:13" x14ac:dyDescent="0.2">
      <c r="A46" t="s">
        <v>337</v>
      </c>
      <c r="B46" s="100">
        <f ca="1">IF(B34=1,I16,F24)</f>
        <v>0</v>
      </c>
      <c r="C46" s="146" t="e">
        <f ca="1">B46*B45</f>
        <v>#N/A</v>
      </c>
      <c r="E46" s="146"/>
      <c r="G46" s="146"/>
      <c r="H46" s="67"/>
    </row>
    <row r="47" spans="1:13" x14ac:dyDescent="0.2">
      <c r="A47" t="s">
        <v>406</v>
      </c>
      <c r="B47" s="100">
        <f ca="1">IF(B34=1,1-I16,1-F24)</f>
        <v>1</v>
      </c>
      <c r="C47" s="146" t="e">
        <f ca="1">B47*B45</f>
        <v>#N/A</v>
      </c>
      <c r="D47" s="36"/>
      <c r="E47" s="146"/>
      <c r="F47" s="146"/>
      <c r="G47" s="146"/>
      <c r="H47" s="67"/>
    </row>
    <row r="51" spans="1:14" x14ac:dyDescent="0.2">
      <c r="A51" t="s">
        <v>407</v>
      </c>
      <c r="E51" t="s">
        <v>877</v>
      </c>
      <c r="F51" t="s">
        <v>413</v>
      </c>
      <c r="L51" t="s">
        <v>420</v>
      </c>
    </row>
    <row r="53" spans="1:14" x14ac:dyDescent="0.2">
      <c r="A53" t="s">
        <v>408</v>
      </c>
      <c r="B53" t="s">
        <v>148</v>
      </c>
      <c r="C53" t="s">
        <v>149</v>
      </c>
      <c r="D53" t="s">
        <v>883</v>
      </c>
      <c r="F53" t="s">
        <v>414</v>
      </c>
      <c r="G53" t="s">
        <v>423</v>
      </c>
      <c r="L53" t="s">
        <v>148</v>
      </c>
      <c r="M53" t="s">
        <v>149</v>
      </c>
    </row>
    <row r="54" spans="1:14" s="67" customFormat="1" x14ac:dyDescent="0.2">
      <c r="A54"/>
      <c r="B54"/>
      <c r="C54"/>
      <c r="E54" s="5"/>
      <c r="F54" s="5"/>
    </row>
    <row r="55" spans="1:14" s="67" customFormat="1" x14ac:dyDescent="0.2">
      <c r="A55" s="67" t="str">
        <f>Setup!B24</f>
        <v>Routine</v>
      </c>
      <c r="B55" s="67">
        <f>Pathway!B8/IF(Pathway!$E8="Weeks",1,7)</f>
        <v>2</v>
      </c>
      <c r="C55" s="67">
        <f>Pathway!C8/IF(Pathway!$E8="Weeks",1,7)</f>
        <v>6</v>
      </c>
      <c r="D55" s="67">
        <f>Pathway!D8/IF(Pathway!$E8="Weeks",1,7)</f>
        <v>0</v>
      </c>
      <c r="E55" s="67" t="str">
        <f ca="1">IF(AND(Pathway!$H$5="Override",Pathway!$I$6=""),Pathway!H8,Pathway!G8)</f>
        <v/>
      </c>
      <c r="F55" s="5" t="e">
        <f ca="1">('Demand background (hide)'!$BM$18*E55*(B55+((C55-B55)/2)))</f>
        <v>#VALUE!</v>
      </c>
      <c r="G55" s="67" t="e">
        <f ca="1">$C$47*E55*D55*'Demand background (hide)'!$BM$18</f>
        <v>#N/A</v>
      </c>
      <c r="L55" s="67">
        <f t="shared" ref="L55:L57" si="0">B55</f>
        <v>2</v>
      </c>
      <c r="M55" s="67">
        <f t="shared" ref="M55:M57" si="1">C55-B55</f>
        <v>4</v>
      </c>
      <c r="N55" s="67">
        <f>D55</f>
        <v>0</v>
      </c>
    </row>
    <row r="56" spans="1:14" s="67" customFormat="1" x14ac:dyDescent="0.2">
      <c r="A56" s="67" t="str">
        <f>Setup!B23</f>
        <v>Urgent</v>
      </c>
      <c r="B56" s="67">
        <f>Pathway!B7/IF(Pathway!$E7="Weeks",1,7)</f>
        <v>0</v>
      </c>
      <c r="C56" s="67">
        <f>Pathway!C7/IF(Pathway!$E7="Weeks",1,7)</f>
        <v>2</v>
      </c>
      <c r="D56" s="67">
        <f>Pathway!D7/IF(Pathway!$E7="Weeks",1,7)</f>
        <v>0</v>
      </c>
      <c r="E56" s="67" t="str">
        <f ca="1">IF(AND(Pathway!$H$5="Override",Pathway!$I$6=""),Pathway!H7,Pathway!G7)</f>
        <v/>
      </c>
      <c r="F56" s="5" t="e">
        <f ca="1">('Demand background (hide)'!$BM$18*E56*(B56+((C56-B56)/2)))</f>
        <v>#VALUE!</v>
      </c>
      <c r="G56" s="67" t="e">
        <f ca="1">$C$47*E56*D56* 'Demand background (hide)'!$BM$18</f>
        <v>#N/A</v>
      </c>
      <c r="L56" s="67">
        <f t="shared" si="0"/>
        <v>0</v>
      </c>
      <c r="M56" s="67">
        <f t="shared" si="1"/>
        <v>2</v>
      </c>
      <c r="N56" s="67">
        <f t="shared" ref="N56:N57" si="2">D56</f>
        <v>0</v>
      </c>
    </row>
    <row r="57" spans="1:14" x14ac:dyDescent="0.2">
      <c r="A57" t="str">
        <f>Setup!B22</f>
        <v>2WW</v>
      </c>
      <c r="B57">
        <f>Pathway!B6/IF(Pathway!$E6="Weeks",1,7)</f>
        <v>0</v>
      </c>
      <c r="C57" s="67">
        <f>Pathway!C6/IF(Pathway!$E6="Weeks",1,7)</f>
        <v>0</v>
      </c>
      <c r="D57" s="67">
        <f>Pathway!D6/IF(Pathway!$E6="Weeks",1,7)</f>
        <v>0</v>
      </c>
      <c r="E57" s="67" t="str">
        <f ca="1">IF(AND(Pathway!$H$5="Override",Pathway!$I$6=""),Pathway!H6,Pathway!G6)</f>
        <v/>
      </c>
      <c r="F57" s="5" t="e">
        <f ca="1">('Demand background (hide)'!$BM$18*E57*(B57+((C57-B57)/2)))</f>
        <v>#VALUE!</v>
      </c>
      <c r="G57" s="67" t="e">
        <f ca="1">$C$47*E57*D57*'Demand background (hide)'!$BM$18</f>
        <v>#N/A</v>
      </c>
      <c r="L57" s="67">
        <f t="shared" si="0"/>
        <v>0</v>
      </c>
      <c r="M57" s="67">
        <f t="shared" si="1"/>
        <v>0</v>
      </c>
      <c r="N57" s="67">
        <f t="shared" si="2"/>
        <v>0</v>
      </c>
    </row>
    <row r="61" spans="1:14" x14ac:dyDescent="0.2">
      <c r="F61" s="5"/>
      <c r="H61" t="s">
        <v>165</v>
      </c>
      <c r="I61" t="s">
        <v>166</v>
      </c>
    </row>
    <row r="62" spans="1:14" x14ac:dyDescent="0.2">
      <c r="A62" t="s">
        <v>415</v>
      </c>
      <c r="F62" s="5" t="e">
        <f ca="1">SUM(F55:G57)</f>
        <v>#VALUE!</v>
      </c>
      <c r="H62" s="5" t="e">
        <f ca="1">F62*0.95</f>
        <v>#VALUE!</v>
      </c>
      <c r="I62" s="5" t="e">
        <f ca="1">F62*1.05</f>
        <v>#VALUE!</v>
      </c>
    </row>
    <row r="63" spans="1:14" x14ac:dyDescent="0.2">
      <c r="A63" t="s">
        <v>416</v>
      </c>
      <c r="F63" s="5" t="e">
        <f ca="1">F62/E18</f>
        <v>#VALUE!</v>
      </c>
      <c r="H63" s="5" t="e">
        <f ca="1">F63*0.95</f>
        <v>#VALUE!</v>
      </c>
      <c r="I63" s="5" t="e">
        <f ca="1">F63*1.05</f>
        <v>#VALUE!</v>
      </c>
    </row>
    <row r="65" spans="1:10" x14ac:dyDescent="0.2">
      <c r="G65" t="str">
        <f>"Waiting list position ("&amp;LOWER(Summary!$C$8)&amp;")"</f>
        <v>Waiting list position (patients)</v>
      </c>
    </row>
    <row r="66" spans="1:10" x14ac:dyDescent="0.2">
      <c r="A66" t="s">
        <v>417</v>
      </c>
      <c r="G66" t="s">
        <v>430</v>
      </c>
      <c r="H66" s="5" t="e">
        <f ca="1">IF(Summary!$C$8&lt;&gt;"Patients",H62,H63)</f>
        <v>#VALUE!</v>
      </c>
      <c r="I66" s="5" t="e">
        <f ca="1">IF(Summary!$C$8&lt;&gt;"Patients",I62,I63)</f>
        <v>#VALUE!</v>
      </c>
      <c r="J66" s="5" t="e">
        <f ca="1">I66-H66</f>
        <v>#VALUE!</v>
      </c>
    </row>
    <row r="67" spans="1:10" x14ac:dyDescent="0.2">
      <c r="B67" t="s">
        <v>429</v>
      </c>
      <c r="C67" t="s">
        <v>313</v>
      </c>
      <c r="G67" t="s">
        <v>431</v>
      </c>
      <c r="H67" s="5">
        <f ca="1">IF(Summary!$C$8&lt;&gt;"Patients",C79,B79)</f>
        <v>30</v>
      </c>
    </row>
    <row r="68" spans="1:10" x14ac:dyDescent="0.2">
      <c r="A68" t="str">
        <f>Setup!C27</f>
        <v>Test name 1</v>
      </c>
      <c r="B68" s="5">
        <f>IF(ROW(A1)&lt;=Num_Modalities,Setup!G27,0)</f>
        <v>30</v>
      </c>
      <c r="C68" s="5">
        <f ca="1">Setup!G27*'Demand background (hide)'!BN6</f>
        <v>900</v>
      </c>
      <c r="D68" s="67"/>
      <c r="I68" s="5"/>
    </row>
    <row r="69" spans="1:10" x14ac:dyDescent="0.2">
      <c r="A69" s="67" t="str">
        <f>Setup!C28</f>
        <v>Test name 2</v>
      </c>
      <c r="B69" s="5">
        <f>IF(ROW(A2)&lt;=Num_Modalities,Setup!G28,0)</f>
        <v>0</v>
      </c>
      <c r="C69" s="5">
        <f ca="1">Setup!G28*'Demand background (hide)'!BN7</f>
        <v>1200</v>
      </c>
      <c r="D69" s="67"/>
      <c r="G69" t="s">
        <v>307</v>
      </c>
      <c r="H69" t="e">
        <f ca="1">IF(H67&gt;I66,ROUND(H67-I66,0),0)&amp;" - "&amp;IF(H67&gt;H66,ROUND(H67-H66,0),0)</f>
        <v>#VALUE!</v>
      </c>
    </row>
    <row r="70" spans="1:10" x14ac:dyDescent="0.2">
      <c r="A70" s="67" t="str">
        <f>Setup!C29</f>
        <v>Another modality</v>
      </c>
      <c r="B70" s="5">
        <f>IF(ROW(A3)&lt;=Num_Modalities,Setup!G29,0)</f>
        <v>0</v>
      </c>
      <c r="C70" s="5">
        <f ca="1">Setup!G29*'Demand background (hide)'!BN8</f>
        <v>20</v>
      </c>
      <c r="D70" s="67"/>
    </row>
    <row r="71" spans="1:10" x14ac:dyDescent="0.2">
      <c r="A71" s="67" t="str">
        <f>Setup!C30</f>
        <v>Modality 4</v>
      </c>
      <c r="B71" s="5">
        <f>IF(ROW(A4)&lt;=Num_Modalities,Setup!G30,0)</f>
        <v>0</v>
      </c>
      <c r="C71" s="5">
        <f ca="1">B71*'Demand background (hide)'!BN9</f>
        <v>0</v>
      </c>
      <c r="D71" s="67"/>
      <c r="H71" s="5" t="e">
        <f ca="1">H67-H66</f>
        <v>#VALUE!</v>
      </c>
      <c r="I71" s="5" t="e">
        <f ca="1">H67-I66</f>
        <v>#VALUE!</v>
      </c>
    </row>
    <row r="72" spans="1:10" x14ac:dyDescent="0.2">
      <c r="A72" s="67" t="str">
        <f>Setup!C31</f>
        <v>Modality 5</v>
      </c>
      <c r="B72" s="5">
        <f>IF(ROW(A5)&lt;=Num_Modalities,Setup!G31,0)</f>
        <v>0</v>
      </c>
      <c r="C72" s="5">
        <f ca="1">B72*'Demand background (hide)'!BN10</f>
        <v>0</v>
      </c>
      <c r="D72" s="67"/>
    </row>
    <row r="73" spans="1:10" x14ac:dyDescent="0.2">
      <c r="A73" s="67" t="str">
        <f>Setup!C32</f>
        <v>Modality 6</v>
      </c>
      <c r="B73" s="5">
        <f>IF(ROW(A6)&lt;=Num_Modalities,Setup!G32,0)</f>
        <v>0</v>
      </c>
      <c r="C73" s="5">
        <f ca="1">B73*'Demand background (hide)'!BN11</f>
        <v>0</v>
      </c>
      <c r="D73" s="67"/>
    </row>
    <row r="74" spans="1:10" x14ac:dyDescent="0.2">
      <c r="A74" s="67" t="str">
        <f>Setup!C33</f>
        <v>Modality 7</v>
      </c>
      <c r="B74" s="5">
        <f>IF(ROW(A7)&lt;=Num_Modalities,Setup!G33,0)</f>
        <v>0</v>
      </c>
      <c r="C74" s="5">
        <f ca="1">B74*'Demand background (hide)'!BN12</f>
        <v>0</v>
      </c>
      <c r="D74" s="67"/>
    </row>
    <row r="75" spans="1:10" x14ac:dyDescent="0.2">
      <c r="A75" s="67" t="str">
        <f>Setup!C34</f>
        <v>Modality 8</v>
      </c>
      <c r="B75" s="5">
        <f>IF(ROW(A8)&lt;=Num_Modalities,Setup!G34,0)</f>
        <v>0</v>
      </c>
      <c r="C75" s="5">
        <f ca="1">B75*'Demand background (hide)'!BN13</f>
        <v>0</v>
      </c>
      <c r="D75" s="67"/>
    </row>
    <row r="76" spans="1:10" x14ac:dyDescent="0.2">
      <c r="A76" s="67" t="str">
        <f>Setup!C35</f>
        <v>Modality 9</v>
      </c>
      <c r="B76" s="5">
        <f>IF(ROW(A9)&lt;=Num_Modalities,Setup!G35,0)</f>
        <v>0</v>
      </c>
      <c r="C76" s="5">
        <f ca="1">B76*'Demand background (hide)'!BN14</f>
        <v>0</v>
      </c>
      <c r="D76" s="67"/>
    </row>
    <row r="77" spans="1:10" x14ac:dyDescent="0.2">
      <c r="A77" s="67" t="str">
        <f>Setup!C36</f>
        <v>Modality 10</v>
      </c>
      <c r="B77" s="5">
        <f>IF(ROW(A10)&lt;=Num_Modalities,Setup!G36,0)</f>
        <v>0</v>
      </c>
      <c r="C77" s="5">
        <f ca="1">B77*'Demand background (hide)'!BN15</f>
        <v>0</v>
      </c>
      <c r="D77" s="67"/>
    </row>
    <row r="78" spans="1:10" x14ac:dyDescent="0.2">
      <c r="A78" s="67"/>
    </row>
    <row r="79" spans="1:10" x14ac:dyDescent="0.2">
      <c r="A79" s="67" t="s">
        <v>57</v>
      </c>
      <c r="B79" s="5">
        <f ca="1">SUM(OFFSET($B$68,0,0,Num_Modalities,1))</f>
        <v>30</v>
      </c>
      <c r="C79" s="5">
        <f ca="1">SUM(OFFSET($C$68,0,0,Num_Modalities,1))</f>
        <v>900</v>
      </c>
    </row>
    <row r="80" spans="1:10" x14ac:dyDescent="0.2">
      <c r="A80" s="67"/>
    </row>
  </sheetData>
  <pageMargins left="0.7" right="0.7" top="0.75" bottom="0.75" header="0.3" footer="0.3"/>
  <pageSetup paperSize="9" orientation="portrait" horizontalDpi="90" verticalDpi="90" r:id="rId1"/>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3616D-EA11-41D0-9020-81146D685A92}">
  <sheetPr codeName="Sheet32"/>
  <dimension ref="A1:EA301"/>
  <sheetViews>
    <sheetView topLeftCell="DE1" workbookViewId="0">
      <selection activeCell="DN3" sqref="DN3"/>
    </sheetView>
  </sheetViews>
  <sheetFormatPr defaultRowHeight="14.25" x14ac:dyDescent="0.2"/>
  <cols>
    <col min="7" max="7" width="8.75" style="67"/>
    <col min="13" max="13" width="8.75" style="67"/>
    <col min="65" max="65" width="8.75" style="67"/>
  </cols>
  <sheetData>
    <row r="1" spans="1:131" x14ac:dyDescent="0.2">
      <c r="A1">
        <v>1</v>
      </c>
      <c r="B1" t="s">
        <v>1249</v>
      </c>
      <c r="G1" s="67" t="s">
        <v>1251</v>
      </c>
      <c r="H1" t="s">
        <v>1250</v>
      </c>
      <c r="M1" s="67" t="s">
        <v>1251</v>
      </c>
      <c r="N1" t="s">
        <v>1249</v>
      </c>
      <c r="BN1" t="s">
        <v>1250</v>
      </c>
      <c r="EA1" t="s">
        <v>1280</v>
      </c>
    </row>
    <row r="2" spans="1:131" x14ac:dyDescent="0.2">
      <c r="A2" t="s">
        <v>1295</v>
      </c>
      <c r="B2" t="s">
        <v>1281</v>
      </c>
      <c r="C2" t="s">
        <v>1282</v>
      </c>
      <c r="E2">
        <v>30</v>
      </c>
      <c r="F2">
        <v>7</v>
      </c>
      <c r="G2" t="s">
        <v>1237</v>
      </c>
      <c r="H2" t="s">
        <v>1283</v>
      </c>
      <c r="K2">
        <v>10</v>
      </c>
      <c r="L2">
        <v>5</v>
      </c>
      <c r="M2" t="s">
        <v>1237</v>
      </c>
      <c r="AC2" t="s">
        <v>1237</v>
      </c>
      <c r="AD2" t="s">
        <v>1237</v>
      </c>
      <c r="AE2" t="s">
        <v>1237</v>
      </c>
      <c r="AF2" t="s">
        <v>1237</v>
      </c>
      <c r="AG2" t="s">
        <v>1237</v>
      </c>
      <c r="AH2" t="s">
        <v>1237</v>
      </c>
      <c r="AI2" t="s">
        <v>1237</v>
      </c>
      <c r="AJ2" t="s">
        <v>1237</v>
      </c>
      <c r="AK2" t="s">
        <v>1237</v>
      </c>
      <c r="AL2" t="s">
        <v>1237</v>
      </c>
      <c r="AM2" t="s">
        <v>1237</v>
      </c>
      <c r="AN2" t="s">
        <v>1237</v>
      </c>
      <c r="AO2" t="s">
        <v>1237</v>
      </c>
      <c r="AP2" t="s">
        <v>1237</v>
      </c>
      <c r="AQ2" t="s">
        <v>1237</v>
      </c>
      <c r="AR2" t="s">
        <v>1237</v>
      </c>
      <c r="AS2" t="s">
        <v>1237</v>
      </c>
      <c r="AT2" t="s">
        <v>1237</v>
      </c>
      <c r="AU2" t="s">
        <v>1237</v>
      </c>
      <c r="AV2" t="s">
        <v>1237</v>
      </c>
      <c r="AW2" t="s">
        <v>1237</v>
      </c>
      <c r="AX2" t="s">
        <v>1237</v>
      </c>
      <c r="AY2" t="s">
        <v>1237</v>
      </c>
      <c r="AZ2" t="s">
        <v>1237</v>
      </c>
      <c r="BA2" t="s">
        <v>1237</v>
      </c>
      <c r="BB2" t="s">
        <v>1237</v>
      </c>
      <c r="BC2" t="s">
        <v>1237</v>
      </c>
      <c r="BM2"/>
      <c r="DM2" t="s">
        <v>1237</v>
      </c>
      <c r="DN2" t="s">
        <v>19</v>
      </c>
      <c r="EA2" t="s">
        <v>1295</v>
      </c>
    </row>
    <row r="3" spans="1:131" x14ac:dyDescent="0.2">
      <c r="B3" t="s">
        <v>1284</v>
      </c>
      <c r="C3" t="s">
        <v>1282</v>
      </c>
      <c r="E3">
        <v>30</v>
      </c>
      <c r="F3">
        <v>7</v>
      </c>
      <c r="G3" t="s">
        <v>1237</v>
      </c>
      <c r="H3" t="s">
        <v>1285</v>
      </c>
      <c r="K3">
        <v>12</v>
      </c>
      <c r="L3">
        <v>5</v>
      </c>
      <c r="M3" t="s">
        <v>1237</v>
      </c>
      <c r="Y3" t="s">
        <v>1237</v>
      </c>
      <c r="Z3" t="s">
        <v>1237</v>
      </c>
      <c r="AA3" t="s">
        <v>1237</v>
      </c>
      <c r="AB3" t="s">
        <v>1237</v>
      </c>
      <c r="AC3" t="s">
        <v>1237</v>
      </c>
      <c r="AD3" t="s">
        <v>1237</v>
      </c>
      <c r="AE3" t="s">
        <v>1237</v>
      </c>
      <c r="AF3" t="s">
        <v>1237</v>
      </c>
      <c r="AG3" t="s">
        <v>1237</v>
      </c>
      <c r="AH3" t="s">
        <v>1237</v>
      </c>
      <c r="AI3" t="s">
        <v>1237</v>
      </c>
      <c r="AJ3" t="s">
        <v>1237</v>
      </c>
      <c r="AK3" t="s">
        <v>1237</v>
      </c>
      <c r="AL3" t="s">
        <v>1237</v>
      </c>
      <c r="AM3" t="s">
        <v>1237</v>
      </c>
      <c r="AN3" t="s">
        <v>1237</v>
      </c>
      <c r="AO3" t="s">
        <v>1237</v>
      </c>
      <c r="AP3" t="s">
        <v>1237</v>
      </c>
      <c r="AQ3" t="s">
        <v>1237</v>
      </c>
      <c r="AR3" t="s">
        <v>1237</v>
      </c>
      <c r="AS3" t="s">
        <v>1237</v>
      </c>
      <c r="AT3" t="s">
        <v>1237</v>
      </c>
      <c r="AU3" t="s">
        <v>1237</v>
      </c>
      <c r="AV3" t="s">
        <v>1237</v>
      </c>
      <c r="AW3" t="s">
        <v>1237</v>
      </c>
      <c r="AX3" t="s">
        <v>1237</v>
      </c>
      <c r="AY3" t="s">
        <v>1237</v>
      </c>
      <c r="AZ3" t="s">
        <v>1237</v>
      </c>
      <c r="BA3" t="s">
        <v>1237</v>
      </c>
      <c r="BB3" t="s">
        <v>1237</v>
      </c>
      <c r="BC3" t="s">
        <v>1237</v>
      </c>
      <c r="BM3"/>
    </row>
    <row r="4" spans="1:131" x14ac:dyDescent="0.2">
      <c r="B4" t="s">
        <v>1286</v>
      </c>
      <c r="C4" t="s">
        <v>1287</v>
      </c>
      <c r="E4">
        <v>21</v>
      </c>
      <c r="F4">
        <v>4</v>
      </c>
      <c r="G4" t="s">
        <v>1237</v>
      </c>
      <c r="M4" t="s">
        <v>1237</v>
      </c>
      <c r="T4" t="s">
        <v>1237</v>
      </c>
      <c r="U4" t="s">
        <v>1237</v>
      </c>
      <c r="V4" t="s">
        <v>1237</v>
      </c>
      <c r="W4" t="s">
        <v>1237</v>
      </c>
      <c r="X4" t="s">
        <v>1237</v>
      </c>
      <c r="Y4" t="s">
        <v>1237</v>
      </c>
      <c r="Z4" t="s">
        <v>1237</v>
      </c>
      <c r="AA4" t="s">
        <v>1237</v>
      </c>
      <c r="AB4" t="s">
        <v>1237</v>
      </c>
      <c r="AC4" t="s">
        <v>1237</v>
      </c>
      <c r="AD4" t="s">
        <v>1237</v>
      </c>
      <c r="AE4" t="s">
        <v>1237</v>
      </c>
      <c r="AF4" t="s">
        <v>1237</v>
      </c>
      <c r="AG4" t="s">
        <v>1237</v>
      </c>
      <c r="AH4" t="s">
        <v>1237</v>
      </c>
      <c r="AI4" t="s">
        <v>1237</v>
      </c>
      <c r="AJ4" t="s">
        <v>1237</v>
      </c>
      <c r="AK4" t="s">
        <v>1237</v>
      </c>
      <c r="AL4" t="s">
        <v>1237</v>
      </c>
      <c r="AM4" t="s">
        <v>1237</v>
      </c>
      <c r="AN4" t="s">
        <v>1237</v>
      </c>
      <c r="AO4" t="s">
        <v>1237</v>
      </c>
      <c r="AP4" t="s">
        <v>1237</v>
      </c>
      <c r="AQ4" t="s">
        <v>1237</v>
      </c>
      <c r="AR4" t="s">
        <v>1237</v>
      </c>
      <c r="AS4" t="s">
        <v>1237</v>
      </c>
      <c r="AT4" t="s">
        <v>1237</v>
      </c>
      <c r="AU4" t="s">
        <v>1237</v>
      </c>
      <c r="AV4" t="s">
        <v>1237</v>
      </c>
      <c r="AW4" t="s">
        <v>1237</v>
      </c>
      <c r="AX4" t="s">
        <v>1237</v>
      </c>
      <c r="AY4" t="s">
        <v>1237</v>
      </c>
      <c r="AZ4" t="s">
        <v>1237</v>
      </c>
      <c r="BA4" t="s">
        <v>1237</v>
      </c>
      <c r="BB4" t="s">
        <v>1237</v>
      </c>
      <c r="BC4" t="s">
        <v>1237</v>
      </c>
      <c r="BM4"/>
    </row>
    <row r="5" spans="1:131" x14ac:dyDescent="0.2">
      <c r="B5" t="s">
        <v>1288</v>
      </c>
      <c r="C5" t="s">
        <v>1289</v>
      </c>
      <c r="E5">
        <v>12</v>
      </c>
      <c r="F5">
        <v>4</v>
      </c>
      <c r="G5" t="s">
        <v>1237</v>
      </c>
      <c r="M5" t="s">
        <v>1237</v>
      </c>
      <c r="X5" t="s">
        <v>1237</v>
      </c>
      <c r="AO5">
        <v>0.5407925407925408</v>
      </c>
      <c r="AP5">
        <v>0.5407925407925408</v>
      </c>
      <c r="AQ5">
        <v>0.5407925407925408</v>
      </c>
      <c r="AR5">
        <v>0.5407925407925408</v>
      </c>
      <c r="AS5">
        <v>0.5407925407925408</v>
      </c>
      <c r="AT5">
        <v>0.5407925407925408</v>
      </c>
      <c r="AU5">
        <v>0.5407925407925408</v>
      </c>
      <c r="AV5">
        <v>0.5407925407925408</v>
      </c>
      <c r="AW5">
        <v>0.5407925407925408</v>
      </c>
      <c r="AX5">
        <v>0.5407925407925408</v>
      </c>
      <c r="AY5">
        <v>0.5407925407925408</v>
      </c>
      <c r="AZ5">
        <v>0.5407925407925408</v>
      </c>
      <c r="BA5">
        <v>0.5407925407925408</v>
      </c>
      <c r="BB5">
        <v>0.5407925407925408</v>
      </c>
      <c r="BC5">
        <v>0.5407925407925408</v>
      </c>
      <c r="BM5"/>
    </row>
    <row r="6" spans="1:131" x14ac:dyDescent="0.2">
      <c r="B6" t="s">
        <v>1290</v>
      </c>
      <c r="C6" t="s">
        <v>1291</v>
      </c>
      <c r="E6">
        <v>42</v>
      </c>
      <c r="F6">
        <v>3</v>
      </c>
      <c r="G6" t="s">
        <v>1237</v>
      </c>
      <c r="M6" t="s">
        <v>1237</v>
      </c>
      <c r="N6" t="s">
        <v>1237</v>
      </c>
      <c r="O6" t="s">
        <v>1237</v>
      </c>
      <c r="P6" t="s">
        <v>1237</v>
      </c>
      <c r="Q6" t="s">
        <v>1237</v>
      </c>
      <c r="R6" t="s">
        <v>1237</v>
      </c>
      <c r="S6" t="s">
        <v>1237</v>
      </c>
      <c r="T6" t="s">
        <v>1237</v>
      </c>
      <c r="U6" t="s">
        <v>1237</v>
      </c>
      <c r="V6" t="s">
        <v>1237</v>
      </c>
      <c r="W6" t="s">
        <v>1237</v>
      </c>
      <c r="X6" t="s">
        <v>1237</v>
      </c>
      <c r="Y6" t="s">
        <v>1237</v>
      </c>
      <c r="Z6" t="s">
        <v>1237</v>
      </c>
      <c r="AA6" t="s">
        <v>1237</v>
      </c>
      <c r="AB6" t="s">
        <v>1237</v>
      </c>
      <c r="AC6" t="s">
        <v>1237</v>
      </c>
      <c r="AD6" t="s">
        <v>1237</v>
      </c>
      <c r="AE6" t="s">
        <v>1237</v>
      </c>
      <c r="AF6" t="s">
        <v>1237</v>
      </c>
      <c r="AG6" t="s">
        <v>1237</v>
      </c>
      <c r="AH6" t="s">
        <v>1237</v>
      </c>
      <c r="AI6" t="s">
        <v>1237</v>
      </c>
      <c r="AJ6" t="s">
        <v>1237</v>
      </c>
      <c r="AK6" t="s">
        <v>1237</v>
      </c>
      <c r="AL6" t="s">
        <v>1237</v>
      </c>
      <c r="AM6" t="s">
        <v>1237</v>
      </c>
      <c r="AN6" t="s">
        <v>1237</v>
      </c>
      <c r="AO6" t="s">
        <v>1237</v>
      </c>
      <c r="AP6" t="s">
        <v>1237</v>
      </c>
      <c r="AQ6" t="s">
        <v>1237</v>
      </c>
      <c r="AR6" t="s">
        <v>1237</v>
      </c>
      <c r="BM6"/>
    </row>
    <row r="7" spans="1:131" x14ac:dyDescent="0.2">
      <c r="G7" t="s">
        <v>1237</v>
      </c>
      <c r="M7" t="s">
        <v>1237</v>
      </c>
      <c r="N7">
        <v>0.2163170163170163</v>
      </c>
      <c r="BM7"/>
    </row>
    <row r="8" spans="1:131" x14ac:dyDescent="0.2">
      <c r="G8" t="s">
        <v>1237</v>
      </c>
      <c r="M8" t="s">
        <v>1237</v>
      </c>
      <c r="BM8"/>
    </row>
    <row r="9" spans="1:131" x14ac:dyDescent="0.2">
      <c r="G9" t="s">
        <v>1237</v>
      </c>
      <c r="M9" t="s">
        <v>1237</v>
      </c>
      <c r="BM9"/>
    </row>
    <row r="10" spans="1:131" x14ac:dyDescent="0.2">
      <c r="G10" t="s">
        <v>1237</v>
      </c>
      <c r="M10" t="s">
        <v>1237</v>
      </c>
      <c r="BM10"/>
    </row>
    <row r="11" spans="1:131" x14ac:dyDescent="0.2">
      <c r="G11" t="s">
        <v>1237</v>
      </c>
      <c r="M11" t="s">
        <v>1237</v>
      </c>
      <c r="BM11"/>
    </row>
    <row r="12" spans="1:131" x14ac:dyDescent="0.2">
      <c r="G12" t="s">
        <v>1237</v>
      </c>
      <c r="M12" t="s">
        <v>1237</v>
      </c>
      <c r="BM12"/>
    </row>
    <row r="13" spans="1:131" x14ac:dyDescent="0.2">
      <c r="G13" t="s">
        <v>1237</v>
      </c>
      <c r="M13" t="s">
        <v>1237</v>
      </c>
      <c r="BM13"/>
    </row>
    <row r="14" spans="1:131" x14ac:dyDescent="0.2">
      <c r="G14" t="s">
        <v>1237</v>
      </c>
      <c r="M14" t="s">
        <v>1237</v>
      </c>
      <c r="BM14"/>
    </row>
    <row r="15" spans="1:131" x14ac:dyDescent="0.2">
      <c r="G15" t="s">
        <v>1237</v>
      </c>
      <c r="M15" t="s">
        <v>1237</v>
      </c>
      <c r="BM15"/>
    </row>
    <row r="16" spans="1:131" x14ac:dyDescent="0.2">
      <c r="G16" t="s">
        <v>1237</v>
      </c>
      <c r="M16" t="s">
        <v>1237</v>
      </c>
      <c r="BM16"/>
    </row>
    <row r="17" spans="7:65" x14ac:dyDescent="0.2">
      <c r="G17" t="s">
        <v>1237</v>
      </c>
      <c r="M17" t="s">
        <v>1237</v>
      </c>
      <c r="BM17"/>
    </row>
    <row r="18" spans="7:65" x14ac:dyDescent="0.2">
      <c r="G18" t="s">
        <v>1237</v>
      </c>
      <c r="M18" t="s">
        <v>1237</v>
      </c>
      <c r="BM18"/>
    </row>
    <row r="19" spans="7:65" x14ac:dyDescent="0.2">
      <c r="G19" t="s">
        <v>1237</v>
      </c>
      <c r="M19" t="s">
        <v>1237</v>
      </c>
      <c r="BM19"/>
    </row>
    <row r="20" spans="7:65" x14ac:dyDescent="0.2">
      <c r="G20" t="s">
        <v>1237</v>
      </c>
      <c r="M20" t="s">
        <v>1237</v>
      </c>
      <c r="BM20"/>
    </row>
    <row r="21" spans="7:65" x14ac:dyDescent="0.2">
      <c r="G21" t="s">
        <v>1237</v>
      </c>
      <c r="M21" t="s">
        <v>1237</v>
      </c>
      <c r="BM21"/>
    </row>
    <row r="22" spans="7:65" x14ac:dyDescent="0.2">
      <c r="G22" t="s">
        <v>1237</v>
      </c>
      <c r="M22" t="s">
        <v>1237</v>
      </c>
      <c r="BM22"/>
    </row>
    <row r="23" spans="7:65" x14ac:dyDescent="0.2">
      <c r="G23" t="s">
        <v>1237</v>
      </c>
      <c r="M23" t="s">
        <v>1237</v>
      </c>
      <c r="BM23"/>
    </row>
    <row r="24" spans="7:65" x14ac:dyDescent="0.2">
      <c r="G24" t="s">
        <v>1237</v>
      </c>
      <c r="M24" t="s">
        <v>1237</v>
      </c>
      <c r="BM24"/>
    </row>
    <row r="25" spans="7:65" x14ac:dyDescent="0.2">
      <c r="G25" t="s">
        <v>1237</v>
      </c>
      <c r="M25" t="s">
        <v>1237</v>
      </c>
      <c r="BM25"/>
    </row>
    <row r="26" spans="7:65" x14ac:dyDescent="0.2">
      <c r="G26" t="s">
        <v>1237</v>
      </c>
      <c r="M26" t="s">
        <v>1237</v>
      </c>
      <c r="BM26"/>
    </row>
    <row r="27" spans="7:65" x14ac:dyDescent="0.2">
      <c r="G27" t="s">
        <v>1237</v>
      </c>
      <c r="M27" t="s">
        <v>1237</v>
      </c>
      <c r="BM27"/>
    </row>
    <row r="28" spans="7:65" x14ac:dyDescent="0.2">
      <c r="G28" t="s">
        <v>1237</v>
      </c>
      <c r="M28" t="s">
        <v>1237</v>
      </c>
      <c r="BM28"/>
    </row>
    <row r="29" spans="7:65" x14ac:dyDescent="0.2">
      <c r="G29" t="s">
        <v>1237</v>
      </c>
      <c r="M29" t="s">
        <v>1237</v>
      </c>
      <c r="BM29"/>
    </row>
    <row r="30" spans="7:65" x14ac:dyDescent="0.2">
      <c r="G30" t="s">
        <v>1237</v>
      </c>
      <c r="M30" t="s">
        <v>1237</v>
      </c>
      <c r="BM30"/>
    </row>
    <row r="31" spans="7:65" x14ac:dyDescent="0.2">
      <c r="G31" t="s">
        <v>1237</v>
      </c>
      <c r="M31" t="s">
        <v>1237</v>
      </c>
      <c r="BM31"/>
    </row>
    <row r="32" spans="7:65" x14ac:dyDescent="0.2">
      <c r="G32" t="s">
        <v>1237</v>
      </c>
      <c r="M32" t="s">
        <v>1237</v>
      </c>
      <c r="BM32"/>
    </row>
    <row r="33" spans="7:65" x14ac:dyDescent="0.2">
      <c r="G33" t="s">
        <v>1237</v>
      </c>
      <c r="M33" t="s">
        <v>1237</v>
      </c>
      <c r="BM33"/>
    </row>
    <row r="34" spans="7:65" x14ac:dyDescent="0.2">
      <c r="G34" t="s">
        <v>1237</v>
      </c>
      <c r="M34" t="s">
        <v>1237</v>
      </c>
      <c r="BM34"/>
    </row>
    <row r="35" spans="7:65" x14ac:dyDescent="0.2">
      <c r="G35" t="s">
        <v>1237</v>
      </c>
      <c r="M35" t="s">
        <v>1237</v>
      </c>
      <c r="BM35"/>
    </row>
    <row r="36" spans="7:65" x14ac:dyDescent="0.2">
      <c r="G36" t="s">
        <v>1237</v>
      </c>
      <c r="M36" t="s">
        <v>1237</v>
      </c>
      <c r="BM36"/>
    </row>
    <row r="37" spans="7:65" x14ac:dyDescent="0.2">
      <c r="G37" t="s">
        <v>1237</v>
      </c>
      <c r="M37" t="s">
        <v>1237</v>
      </c>
      <c r="BM37"/>
    </row>
    <row r="38" spans="7:65" x14ac:dyDescent="0.2">
      <c r="G38" t="s">
        <v>1237</v>
      </c>
      <c r="M38" t="s">
        <v>1237</v>
      </c>
      <c r="BM38"/>
    </row>
    <row r="39" spans="7:65" x14ac:dyDescent="0.2">
      <c r="G39" t="s">
        <v>1237</v>
      </c>
      <c r="M39" t="s">
        <v>1237</v>
      </c>
      <c r="BM39"/>
    </row>
    <row r="40" spans="7:65" x14ac:dyDescent="0.2">
      <c r="G40" t="s">
        <v>1237</v>
      </c>
      <c r="M40" t="s">
        <v>1237</v>
      </c>
      <c r="BM40"/>
    </row>
    <row r="41" spans="7:65" x14ac:dyDescent="0.2">
      <c r="G41" t="s">
        <v>1237</v>
      </c>
      <c r="M41" t="s">
        <v>1237</v>
      </c>
      <c r="BM41"/>
    </row>
    <row r="42" spans="7:65" x14ac:dyDescent="0.2">
      <c r="G42" t="s">
        <v>1237</v>
      </c>
      <c r="M42" t="s">
        <v>1237</v>
      </c>
      <c r="BM42"/>
    </row>
    <row r="43" spans="7:65" x14ac:dyDescent="0.2">
      <c r="G43" t="s">
        <v>1237</v>
      </c>
      <c r="M43" t="s">
        <v>1237</v>
      </c>
      <c r="BM43"/>
    </row>
    <row r="44" spans="7:65" x14ac:dyDescent="0.2">
      <c r="G44" t="s">
        <v>1237</v>
      </c>
      <c r="M44" t="s">
        <v>1237</v>
      </c>
      <c r="BM44"/>
    </row>
    <row r="45" spans="7:65" x14ac:dyDescent="0.2">
      <c r="G45" t="s">
        <v>1237</v>
      </c>
      <c r="M45" t="s">
        <v>1237</v>
      </c>
      <c r="BM45"/>
    </row>
    <row r="46" spans="7:65" x14ac:dyDescent="0.2">
      <c r="G46" t="s">
        <v>1237</v>
      </c>
      <c r="M46" t="s">
        <v>1237</v>
      </c>
      <c r="BM46"/>
    </row>
    <row r="47" spans="7:65" x14ac:dyDescent="0.2">
      <c r="G47" t="s">
        <v>1237</v>
      </c>
      <c r="M47" t="s">
        <v>1237</v>
      </c>
      <c r="BM47"/>
    </row>
    <row r="48" spans="7:65" x14ac:dyDescent="0.2">
      <c r="G48" t="s">
        <v>1237</v>
      </c>
      <c r="M48" t="s">
        <v>1237</v>
      </c>
      <c r="BM48"/>
    </row>
    <row r="49" spans="7:65" x14ac:dyDescent="0.2">
      <c r="G49" t="s">
        <v>1237</v>
      </c>
      <c r="M49" t="s">
        <v>1237</v>
      </c>
      <c r="BM49"/>
    </row>
    <row r="50" spans="7:65" x14ac:dyDescent="0.2">
      <c r="G50" t="s">
        <v>1237</v>
      </c>
      <c r="M50" t="s">
        <v>1237</v>
      </c>
      <c r="BM50"/>
    </row>
    <row r="51" spans="7:65" x14ac:dyDescent="0.2">
      <c r="G51" t="s">
        <v>1237</v>
      </c>
      <c r="M51" t="s">
        <v>1237</v>
      </c>
      <c r="BM51"/>
    </row>
    <row r="52" spans="7:65" x14ac:dyDescent="0.2">
      <c r="G52" t="s">
        <v>1237</v>
      </c>
      <c r="M52" t="s">
        <v>1237</v>
      </c>
      <c r="BM52"/>
    </row>
    <row r="53" spans="7:65" x14ac:dyDescent="0.2">
      <c r="G53" t="s">
        <v>1237</v>
      </c>
      <c r="M53" t="s">
        <v>1237</v>
      </c>
      <c r="BM53"/>
    </row>
    <row r="54" spans="7:65" x14ac:dyDescent="0.2">
      <c r="G54" t="s">
        <v>1237</v>
      </c>
      <c r="M54" t="s">
        <v>1237</v>
      </c>
      <c r="BM54"/>
    </row>
    <row r="55" spans="7:65" x14ac:dyDescent="0.2">
      <c r="G55" t="s">
        <v>1237</v>
      </c>
      <c r="M55" t="s">
        <v>1237</v>
      </c>
      <c r="BM55"/>
    </row>
    <row r="56" spans="7:65" x14ac:dyDescent="0.2">
      <c r="G56" t="s">
        <v>1237</v>
      </c>
      <c r="M56" t="s">
        <v>1237</v>
      </c>
      <c r="BM56"/>
    </row>
    <row r="57" spans="7:65" x14ac:dyDescent="0.2">
      <c r="G57" t="s">
        <v>1237</v>
      </c>
      <c r="M57" t="s">
        <v>1237</v>
      </c>
      <c r="BM57"/>
    </row>
    <row r="58" spans="7:65" x14ac:dyDescent="0.2">
      <c r="G58" t="s">
        <v>1237</v>
      </c>
      <c r="M58" t="s">
        <v>1237</v>
      </c>
      <c r="BM58"/>
    </row>
    <row r="59" spans="7:65" x14ac:dyDescent="0.2">
      <c r="G59" t="s">
        <v>1237</v>
      </c>
      <c r="M59" t="s">
        <v>1237</v>
      </c>
      <c r="BM59"/>
    </row>
    <row r="60" spans="7:65" x14ac:dyDescent="0.2">
      <c r="G60" t="s">
        <v>1237</v>
      </c>
      <c r="M60" t="s">
        <v>1237</v>
      </c>
      <c r="BM60"/>
    </row>
    <row r="61" spans="7:65" x14ac:dyDescent="0.2">
      <c r="G61" t="s">
        <v>1237</v>
      </c>
      <c r="M61" t="s">
        <v>1237</v>
      </c>
      <c r="BM61"/>
    </row>
    <row r="62" spans="7:65" x14ac:dyDescent="0.2">
      <c r="G62" t="s">
        <v>1237</v>
      </c>
      <c r="M62" t="s">
        <v>1237</v>
      </c>
      <c r="BM62"/>
    </row>
    <row r="63" spans="7:65" x14ac:dyDescent="0.2">
      <c r="G63" t="s">
        <v>1237</v>
      </c>
      <c r="M63" t="s">
        <v>1237</v>
      </c>
      <c r="BM63"/>
    </row>
    <row r="64" spans="7:65" x14ac:dyDescent="0.2">
      <c r="G64" t="s">
        <v>1237</v>
      </c>
      <c r="M64" t="s">
        <v>1237</v>
      </c>
      <c r="BM64"/>
    </row>
    <row r="65" spans="7:65" x14ac:dyDescent="0.2">
      <c r="G65" t="s">
        <v>1237</v>
      </c>
      <c r="M65" t="s">
        <v>1237</v>
      </c>
      <c r="BM65"/>
    </row>
    <row r="66" spans="7:65" x14ac:dyDescent="0.2">
      <c r="G66" t="s">
        <v>1237</v>
      </c>
      <c r="M66" t="s">
        <v>1237</v>
      </c>
      <c r="BM66"/>
    </row>
    <row r="67" spans="7:65" x14ac:dyDescent="0.2">
      <c r="G67" t="s">
        <v>1237</v>
      </c>
      <c r="M67" t="s">
        <v>1237</v>
      </c>
      <c r="BM67"/>
    </row>
    <row r="68" spans="7:65" x14ac:dyDescent="0.2">
      <c r="G68" t="s">
        <v>1237</v>
      </c>
      <c r="M68" t="s">
        <v>1237</v>
      </c>
      <c r="BM68"/>
    </row>
    <row r="69" spans="7:65" x14ac:dyDescent="0.2">
      <c r="G69" t="s">
        <v>1237</v>
      </c>
      <c r="M69" t="s">
        <v>1237</v>
      </c>
      <c r="BM69"/>
    </row>
    <row r="70" spans="7:65" x14ac:dyDescent="0.2">
      <c r="G70" t="s">
        <v>1237</v>
      </c>
      <c r="M70" t="s">
        <v>1237</v>
      </c>
      <c r="BM70"/>
    </row>
    <row r="71" spans="7:65" x14ac:dyDescent="0.2">
      <c r="G71" t="s">
        <v>1237</v>
      </c>
      <c r="M71" t="s">
        <v>1237</v>
      </c>
      <c r="BM71"/>
    </row>
    <row r="72" spans="7:65" x14ac:dyDescent="0.2">
      <c r="G72" t="s">
        <v>1237</v>
      </c>
      <c r="M72" t="s">
        <v>1237</v>
      </c>
      <c r="BM72"/>
    </row>
    <row r="73" spans="7:65" x14ac:dyDescent="0.2">
      <c r="G73" t="s">
        <v>1237</v>
      </c>
      <c r="M73" t="s">
        <v>1237</v>
      </c>
      <c r="BM73"/>
    </row>
    <row r="74" spans="7:65" x14ac:dyDescent="0.2">
      <c r="G74" t="s">
        <v>1237</v>
      </c>
      <c r="M74" t="s">
        <v>1237</v>
      </c>
      <c r="BM74"/>
    </row>
    <row r="75" spans="7:65" x14ac:dyDescent="0.2">
      <c r="G75" t="s">
        <v>1237</v>
      </c>
      <c r="M75" t="s">
        <v>1237</v>
      </c>
      <c r="BM75"/>
    </row>
    <row r="76" spans="7:65" x14ac:dyDescent="0.2">
      <c r="G76" t="s">
        <v>1237</v>
      </c>
      <c r="M76" t="s">
        <v>1237</v>
      </c>
      <c r="BM76"/>
    </row>
    <row r="77" spans="7:65" x14ac:dyDescent="0.2">
      <c r="G77" t="s">
        <v>1237</v>
      </c>
      <c r="M77" t="s">
        <v>1237</v>
      </c>
      <c r="BM77"/>
    </row>
    <row r="78" spans="7:65" x14ac:dyDescent="0.2">
      <c r="G78" t="s">
        <v>1237</v>
      </c>
      <c r="M78" t="s">
        <v>1237</v>
      </c>
      <c r="BM78"/>
    </row>
    <row r="79" spans="7:65" x14ac:dyDescent="0.2">
      <c r="G79" t="s">
        <v>1237</v>
      </c>
      <c r="M79" t="s">
        <v>1237</v>
      </c>
      <c r="BM79"/>
    </row>
    <row r="80" spans="7:65" x14ac:dyDescent="0.2">
      <c r="G80" t="s">
        <v>1237</v>
      </c>
      <c r="M80" t="s">
        <v>1237</v>
      </c>
      <c r="BM80"/>
    </row>
    <row r="81" spans="7:65" x14ac:dyDescent="0.2">
      <c r="G81" t="s">
        <v>1237</v>
      </c>
      <c r="M81" t="s">
        <v>1237</v>
      </c>
      <c r="BM81"/>
    </row>
    <row r="82" spans="7:65" x14ac:dyDescent="0.2">
      <c r="G82" t="s">
        <v>1237</v>
      </c>
      <c r="M82" t="s">
        <v>1237</v>
      </c>
      <c r="BM82"/>
    </row>
    <row r="83" spans="7:65" x14ac:dyDescent="0.2">
      <c r="G83" t="s">
        <v>1237</v>
      </c>
      <c r="M83" t="s">
        <v>1237</v>
      </c>
      <c r="BM83"/>
    </row>
    <row r="84" spans="7:65" x14ac:dyDescent="0.2">
      <c r="G84" t="s">
        <v>1237</v>
      </c>
      <c r="M84" t="s">
        <v>1237</v>
      </c>
      <c r="BM84"/>
    </row>
    <row r="85" spans="7:65" x14ac:dyDescent="0.2">
      <c r="G85" t="s">
        <v>1237</v>
      </c>
      <c r="M85" t="s">
        <v>1237</v>
      </c>
      <c r="BM85"/>
    </row>
    <row r="86" spans="7:65" x14ac:dyDescent="0.2">
      <c r="G86" t="s">
        <v>1237</v>
      </c>
      <c r="M86" t="s">
        <v>1237</v>
      </c>
      <c r="BM86"/>
    </row>
    <row r="87" spans="7:65" x14ac:dyDescent="0.2">
      <c r="G87" t="s">
        <v>1237</v>
      </c>
      <c r="M87" t="s">
        <v>1237</v>
      </c>
      <c r="BM87"/>
    </row>
    <row r="88" spans="7:65" x14ac:dyDescent="0.2">
      <c r="G88" t="s">
        <v>1237</v>
      </c>
      <c r="M88" t="s">
        <v>1237</v>
      </c>
      <c r="BM88"/>
    </row>
    <row r="89" spans="7:65" x14ac:dyDescent="0.2">
      <c r="G89" t="s">
        <v>1237</v>
      </c>
      <c r="M89" t="s">
        <v>1237</v>
      </c>
      <c r="BM89"/>
    </row>
    <row r="90" spans="7:65" x14ac:dyDescent="0.2">
      <c r="G90" t="s">
        <v>1237</v>
      </c>
      <c r="M90" t="s">
        <v>1237</v>
      </c>
      <c r="BM90"/>
    </row>
    <row r="91" spans="7:65" x14ac:dyDescent="0.2">
      <c r="G91" t="s">
        <v>1237</v>
      </c>
      <c r="M91" t="s">
        <v>1237</v>
      </c>
      <c r="BM91"/>
    </row>
    <row r="92" spans="7:65" x14ac:dyDescent="0.2">
      <c r="G92" t="s">
        <v>1237</v>
      </c>
      <c r="M92" t="s">
        <v>1237</v>
      </c>
      <c r="BM92"/>
    </row>
    <row r="93" spans="7:65" x14ac:dyDescent="0.2">
      <c r="G93" t="s">
        <v>1237</v>
      </c>
      <c r="M93" t="s">
        <v>1237</v>
      </c>
      <c r="BM93"/>
    </row>
    <row r="94" spans="7:65" x14ac:dyDescent="0.2">
      <c r="G94" t="s">
        <v>1237</v>
      </c>
      <c r="M94" t="s">
        <v>1237</v>
      </c>
      <c r="BM94"/>
    </row>
    <row r="95" spans="7:65" x14ac:dyDescent="0.2">
      <c r="G95" t="s">
        <v>1237</v>
      </c>
      <c r="M95" t="s">
        <v>1237</v>
      </c>
      <c r="BM95"/>
    </row>
    <row r="96" spans="7:65" x14ac:dyDescent="0.2">
      <c r="G96" t="s">
        <v>1237</v>
      </c>
      <c r="M96" t="s">
        <v>1237</v>
      </c>
      <c r="BM96"/>
    </row>
    <row r="97" spans="7:65" x14ac:dyDescent="0.2">
      <c r="G97" t="s">
        <v>1237</v>
      </c>
      <c r="M97" t="s">
        <v>1237</v>
      </c>
      <c r="BM97"/>
    </row>
    <row r="98" spans="7:65" x14ac:dyDescent="0.2">
      <c r="G98" t="s">
        <v>1237</v>
      </c>
      <c r="M98" t="s">
        <v>1237</v>
      </c>
      <c r="BM98"/>
    </row>
    <row r="99" spans="7:65" x14ac:dyDescent="0.2">
      <c r="G99" t="s">
        <v>1237</v>
      </c>
      <c r="M99" t="s">
        <v>1237</v>
      </c>
      <c r="BM99"/>
    </row>
    <row r="100" spans="7:65" x14ac:dyDescent="0.2">
      <c r="G100" t="s">
        <v>1237</v>
      </c>
      <c r="M100" t="s">
        <v>1237</v>
      </c>
      <c r="BM100"/>
    </row>
    <row r="101" spans="7:65" x14ac:dyDescent="0.2">
      <c r="G101" t="s">
        <v>1237</v>
      </c>
      <c r="M101" t="s">
        <v>1237</v>
      </c>
      <c r="BM101"/>
    </row>
    <row r="102" spans="7:65" x14ac:dyDescent="0.2">
      <c r="G102"/>
      <c r="M102"/>
      <c r="BM102"/>
    </row>
    <row r="103" spans="7:65" x14ac:dyDescent="0.2">
      <c r="G103"/>
      <c r="M103"/>
      <c r="BM103"/>
    </row>
    <row r="104" spans="7:65" x14ac:dyDescent="0.2">
      <c r="G104"/>
      <c r="M104"/>
      <c r="BM104"/>
    </row>
    <row r="105" spans="7:65" x14ac:dyDescent="0.2">
      <c r="G105"/>
      <c r="M105"/>
      <c r="BM105"/>
    </row>
    <row r="106" spans="7:65" x14ac:dyDescent="0.2">
      <c r="G106"/>
      <c r="M106"/>
      <c r="BM106"/>
    </row>
    <row r="107" spans="7:65" x14ac:dyDescent="0.2">
      <c r="G107"/>
      <c r="M107"/>
      <c r="BM107"/>
    </row>
    <row r="108" spans="7:65" x14ac:dyDescent="0.2">
      <c r="G108"/>
      <c r="M108"/>
      <c r="BM108"/>
    </row>
    <row r="109" spans="7:65" x14ac:dyDescent="0.2">
      <c r="G109"/>
      <c r="M109"/>
      <c r="BM109"/>
    </row>
    <row r="110" spans="7:65" x14ac:dyDescent="0.2">
      <c r="G110"/>
      <c r="M110"/>
      <c r="BM110"/>
    </row>
    <row r="111" spans="7:65" x14ac:dyDescent="0.2">
      <c r="G111"/>
      <c r="M111"/>
      <c r="BM111"/>
    </row>
    <row r="112" spans="7:65" x14ac:dyDescent="0.2">
      <c r="G112"/>
      <c r="M112"/>
      <c r="BM112"/>
    </row>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sheetData>
  <dataConsolidate/>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4.25" x14ac:dyDescent="0.2"/>
  <cols>
    <col min="4" max="4" width="13.75" customWidth="1"/>
    <col min="8" max="8" width="11.625" bestFit="1" customWidth="1"/>
  </cols>
  <sheetData>
    <row r="3" spans="1:13" ht="15" x14ac:dyDescent="0.25">
      <c r="A3" s="239" t="s">
        <v>407</v>
      </c>
      <c r="B3" s="238"/>
      <c r="C3" s="101"/>
      <c r="D3" s="101"/>
      <c r="E3" s="101"/>
      <c r="F3" s="101"/>
      <c r="G3" s="101"/>
      <c r="H3" s="101"/>
      <c r="I3" s="101"/>
      <c r="J3" s="101"/>
      <c r="K3" s="101"/>
      <c r="L3" s="101"/>
      <c r="M3" s="101"/>
    </row>
    <row r="4" spans="1:13" x14ac:dyDescent="0.2">
      <c r="F4" s="82"/>
    </row>
    <row r="5" spans="1:13" ht="30" x14ac:dyDescent="0.2">
      <c r="A5" s="231" t="s">
        <v>408</v>
      </c>
      <c r="B5" s="235" t="s">
        <v>148</v>
      </c>
      <c r="C5" s="236" t="s">
        <v>403</v>
      </c>
      <c r="D5" s="278" t="s">
        <v>882</v>
      </c>
      <c r="E5" s="279" t="s">
        <v>14</v>
      </c>
      <c r="F5" s="147"/>
      <c r="G5" s="237" t="s">
        <v>504</v>
      </c>
      <c r="H5" s="265" t="s">
        <v>875</v>
      </c>
      <c r="J5" s="67"/>
    </row>
    <row r="6" spans="1:13" x14ac:dyDescent="0.2">
      <c r="A6" s="232" t="str">
        <f>Setup!B22</f>
        <v>2WW</v>
      </c>
      <c r="B6" s="154"/>
      <c r="C6" s="154"/>
      <c r="D6" s="277"/>
      <c r="E6" s="160" t="s">
        <v>401</v>
      </c>
      <c r="G6" s="227" t="str">
        <f ca="1">IFERROR('Demand background (hide)'!BJ20,"")</f>
        <v/>
      </c>
      <c r="H6" s="229"/>
      <c r="I6" s="228" t="str">
        <f>IF(AND(H5="Override",SUM(H6:H8)&lt;&gt;1),"Total values must equal 100%, defaulting to calculated value","")</f>
        <v/>
      </c>
      <c r="J6" s="67"/>
    </row>
    <row r="7" spans="1:13" x14ac:dyDescent="0.2">
      <c r="A7" s="233" t="str">
        <f>Setup!B23</f>
        <v>Urgent</v>
      </c>
      <c r="B7" s="154">
        <v>0</v>
      </c>
      <c r="C7" s="154">
        <v>2</v>
      </c>
      <c r="D7" s="277"/>
      <c r="E7" s="160" t="s">
        <v>402</v>
      </c>
      <c r="G7" s="227" t="str">
        <f ca="1">IFERROR('Demand background (hide)'!BK20,"")</f>
        <v/>
      </c>
      <c r="H7" s="230"/>
      <c r="J7" s="67"/>
    </row>
    <row r="8" spans="1:13" x14ac:dyDescent="0.2">
      <c r="A8" s="234" t="str">
        <f>Setup!B24</f>
        <v>Routine</v>
      </c>
      <c r="B8" s="154">
        <v>2</v>
      </c>
      <c r="C8" s="154">
        <v>6</v>
      </c>
      <c r="D8" s="277"/>
      <c r="E8" s="160" t="s">
        <v>402</v>
      </c>
      <c r="G8" s="227" t="str">
        <f ca="1">IFERROR('Demand background (hide)'!BL20,"")</f>
        <v/>
      </c>
      <c r="H8" s="230"/>
      <c r="J8" s="67"/>
    </row>
    <row r="10" spans="1:13" x14ac:dyDescent="0.2">
      <c r="E10" s="67"/>
      <c r="F10" s="67"/>
    </row>
  </sheetData>
  <sheetProtection algorithmName="SHA-512" hashValue="C2nRDmAMEAaYgeh3lCV6OgehBiQM56N5x+qWdfMVzXPIsrHuItxv8PD7H7sQMIQNQNgJqKmkXThwP0zP4xDWrw==" saltValue="/5t2qLCQF5KJwLHF3+SeiA==" spinCount="100000" sheet="1" objects="1" scenarios="1"/>
  <conditionalFormatting sqref="H6:H8">
    <cfRule type="expression" dxfId="11"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zoomScale="102" zoomScaleNormal="100" workbookViewId="0">
      <selection activeCell="B13" sqref="B13"/>
    </sheetView>
  </sheetViews>
  <sheetFormatPr defaultRowHeight="14.25" x14ac:dyDescent="0.2"/>
  <cols>
    <col min="1" max="1" width="1.25" style="67" customWidth="1"/>
    <col min="2" max="2" width="12.25" customWidth="1"/>
    <col min="3" max="3" width="16.25" customWidth="1"/>
    <col min="4" max="4" width="15.875" customWidth="1"/>
    <col min="5" max="5" width="12.75" customWidth="1"/>
    <col min="6" max="6" width="10.25" customWidth="1"/>
    <col min="7" max="7" width="12.125" customWidth="1"/>
    <col min="8" max="17" width="7.75" customWidth="1"/>
    <col min="18" max="18" width="9" customWidth="1"/>
    <col min="19" max="19" width="6.25" customWidth="1"/>
    <col min="20" max="20" width="10.25" customWidth="1"/>
    <col min="59" max="59" width="9" customWidth="1"/>
  </cols>
  <sheetData>
    <row r="1" spans="2:21" ht="15" x14ac:dyDescent="0.25">
      <c r="B1" s="145" t="s">
        <v>249</v>
      </c>
      <c r="C1" s="31"/>
      <c r="D1" s="31"/>
      <c r="E1" s="31"/>
      <c r="F1" s="31"/>
      <c r="G1" s="31"/>
      <c r="H1" s="31"/>
      <c r="I1" s="31"/>
      <c r="J1" s="31"/>
      <c r="K1" s="31"/>
      <c r="L1" s="31"/>
      <c r="M1" s="31"/>
      <c r="N1" s="31"/>
      <c r="O1" s="31"/>
      <c r="P1" s="31"/>
      <c r="Q1" s="31"/>
      <c r="R1" s="31"/>
      <c r="S1" s="31"/>
      <c r="T1" s="31"/>
      <c r="U1" s="31"/>
    </row>
    <row r="2" spans="2:21" ht="15" x14ac:dyDescent="0.25">
      <c r="E2" s="381" t="s">
        <v>1296</v>
      </c>
      <c r="G2" s="374" t="s">
        <v>1297</v>
      </c>
    </row>
    <row r="3" spans="2:21" ht="15" x14ac:dyDescent="0.25">
      <c r="E3" s="381" t="s">
        <v>1262</v>
      </c>
      <c r="G3" s="374" t="s">
        <v>1262</v>
      </c>
      <c r="H3" s="374" t="s">
        <v>1263</v>
      </c>
      <c r="I3" s="374"/>
      <c r="J3" s="374" t="s">
        <v>1264</v>
      </c>
      <c r="K3" s="374"/>
      <c r="L3" s="374" t="s">
        <v>1268</v>
      </c>
      <c r="M3" s="374"/>
      <c r="N3" s="374" t="s">
        <v>1267</v>
      </c>
      <c r="O3" s="374"/>
      <c r="P3" s="374" t="s">
        <v>1269</v>
      </c>
      <c r="R3" s="381"/>
    </row>
    <row r="4" spans="2:21" ht="15" x14ac:dyDescent="0.2">
      <c r="B4" s="470" t="s">
        <v>884</v>
      </c>
      <c r="C4" s="470"/>
      <c r="D4" s="470"/>
      <c r="E4" s="384" t="str">
        <f>Capacity!C12</f>
        <v>[Not Saved]</v>
      </c>
      <c r="F4" s="67"/>
      <c r="G4" s="375" t="str">
        <f>C15</f>
        <v>5% Increase</v>
      </c>
      <c r="H4" s="376">
        <f>Planning!C11</f>
        <v>0.05</v>
      </c>
      <c r="I4" s="375"/>
      <c r="J4" s="377">
        <f>Planning!C15</f>
        <v>0</v>
      </c>
      <c r="K4" s="375"/>
      <c r="L4" s="377">
        <f>Planning!C16</f>
        <v>0</v>
      </c>
      <c r="M4" s="375"/>
      <c r="N4" s="377">
        <f>Planning!C17</f>
        <v>0</v>
      </c>
      <c r="O4" s="375"/>
      <c r="P4" s="377">
        <f>Planning!C18</f>
        <v>0</v>
      </c>
      <c r="Q4" s="375"/>
    </row>
    <row r="6" spans="2:21" ht="15" x14ac:dyDescent="0.25">
      <c r="B6" s="2" t="s">
        <v>304</v>
      </c>
    </row>
    <row r="7" spans="2:21" x14ac:dyDescent="0.2">
      <c r="B7" t="s">
        <v>489</v>
      </c>
      <c r="C7" s="153" t="s">
        <v>421</v>
      </c>
    </row>
    <row r="8" spans="2:21" x14ac:dyDescent="0.2">
      <c r="B8" t="s">
        <v>490</v>
      </c>
      <c r="C8" s="153" t="s">
        <v>19</v>
      </c>
    </row>
    <row r="12" spans="2:21" ht="15" x14ac:dyDescent="0.25">
      <c r="B12" s="324" t="s">
        <v>426</v>
      </c>
      <c r="C12" s="67"/>
    </row>
    <row r="13" spans="2:21" x14ac:dyDescent="0.2">
      <c r="B13" s="387"/>
    </row>
    <row r="14" spans="2:21" ht="15" x14ac:dyDescent="0.25">
      <c r="B14" s="369" t="s">
        <v>1252</v>
      </c>
    </row>
    <row r="15" spans="2:21" s="67" customFormat="1" ht="40.9" customHeight="1" x14ac:dyDescent="0.2">
      <c r="B15" s="373">
        <v>0</v>
      </c>
      <c r="C15" s="373" t="s">
        <v>1293</v>
      </c>
    </row>
    <row r="16" spans="2:21" s="67" customFormat="1" ht="51" customHeight="1" x14ac:dyDescent="0.2">
      <c r="B16" s="372" t="s">
        <v>1261</v>
      </c>
      <c r="C16" s="368"/>
    </row>
    <row r="17" spans="2:16" ht="15" x14ac:dyDescent="0.25">
      <c r="B17" s="370" t="s">
        <v>945</v>
      </c>
    </row>
    <row r="18" spans="2:16" ht="17.649999999999999" customHeight="1" x14ac:dyDescent="0.2">
      <c r="B18" s="329" t="s">
        <v>22</v>
      </c>
    </row>
    <row r="19" spans="2:16" s="82" customFormat="1" ht="15" hidden="1" x14ac:dyDescent="0.25">
      <c r="B19" s="328"/>
    </row>
    <row r="20" spans="2:16" ht="15" hidden="1" x14ac:dyDescent="0.25">
      <c r="B20" s="328"/>
      <c r="C20" s="328"/>
      <c r="D20" s="328"/>
      <c r="E20" s="328"/>
      <c r="F20" s="328"/>
      <c r="G20" s="328"/>
    </row>
    <row r="21" spans="2:16" ht="13.9" hidden="1" customHeight="1" x14ac:dyDescent="0.25">
      <c r="B21" s="328"/>
      <c r="C21" s="328"/>
      <c r="D21" s="328"/>
      <c r="E21" s="328"/>
      <c r="F21" s="328"/>
      <c r="G21" s="328"/>
    </row>
    <row r="22" spans="2:16" hidden="1" x14ac:dyDescent="0.2"/>
    <row r="23" spans="2:16" ht="15" x14ac:dyDescent="0.25">
      <c r="B23" s="2" t="s">
        <v>493</v>
      </c>
    </row>
    <row r="24" spans="2:16" x14ac:dyDescent="0.2">
      <c r="B24" s="161" t="s">
        <v>20</v>
      </c>
      <c r="D24" s="471" t="str">
        <f ca="1">"On aggregate, 1 patient = "&amp;TEXT('Demand background (hide)'!$BN$16,"#.#")&amp;" "&amp;Setup!$I$17</f>
        <v>On aggregate, 1 patient = 1. Minutes</v>
      </c>
      <c r="E24" s="471"/>
      <c r="F24" s="471"/>
      <c r="G24" s="471"/>
      <c r="H24" s="471"/>
      <c r="I24" s="471"/>
      <c r="J24" s="471"/>
      <c r="K24" s="471"/>
      <c r="P24" s="170" t="s">
        <v>500</v>
      </c>
    </row>
    <row r="26" spans="2:16" s="67" customFormat="1" x14ac:dyDescent="0.2"/>
    <row r="27" spans="2:16" s="67" customFormat="1" ht="15" x14ac:dyDescent="0.25">
      <c r="B27" s="474" t="s">
        <v>1272</v>
      </c>
      <c r="C27" s="474"/>
      <c r="D27" s="280" t="s">
        <v>497</v>
      </c>
      <c r="E27" s="280" t="s">
        <v>128</v>
      </c>
    </row>
    <row r="28" spans="2:16" s="67" customFormat="1" x14ac:dyDescent="0.2">
      <c r="B28" s="475" t="s">
        <v>1300</v>
      </c>
      <c r="C28" s="476"/>
      <c r="D28" s="383" t="str">
        <f ca="1">IFERROR('Summary Calculations (hide)'!N70,"")</f>
        <v/>
      </c>
      <c r="E28" s="378" t="s">
        <v>499</v>
      </c>
      <c r="G28" s="228"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7" customFormat="1" x14ac:dyDescent="0.2">
      <c r="B29" s="475" t="s">
        <v>1301</v>
      </c>
      <c r="C29" s="476"/>
      <c r="D29" s="275" t="str">
        <f ca="1">IFERROR('Summary Calculations (hide)'!M70,"")</f>
        <v/>
      </c>
      <c r="E29" s="276" t="s">
        <v>499</v>
      </c>
      <c r="G29" s="274" t="str">
        <f ca="1">IF(D29&lt;&gt;"",IF(SUM(D32:D33)&lt;D29,"You need an additional "&amp;CEILING((D29-SUM(D32:D33)),1)&amp;IF($C$8="Patients"," slots",IF($C$8="Minutes"," minutes"," points"))&amp;" to meet the "&amp;Setup!$I$19&amp;"th percentile of demand. Your waiting list size is likely to increase over time.",""),"")</f>
        <v/>
      </c>
    </row>
    <row r="30" spans="2:16" s="67" customFormat="1" x14ac:dyDescent="0.2">
      <c r="B30" s="477" t="s">
        <v>503</v>
      </c>
      <c r="C30" s="478"/>
      <c r="D30" s="388" t="str">
        <f ca="1">IFERROR('Summary Calculations (hide)'!X70,"")</f>
        <v/>
      </c>
      <c r="E30" s="389" t="str">
        <f ca="1">IFERROR('Summary Calculations (hide)'!X71,"")</f>
        <v/>
      </c>
    </row>
    <row r="31" spans="2:16" s="67" customFormat="1" ht="15" x14ac:dyDescent="0.25">
      <c r="B31" s="144" t="s">
        <v>303</v>
      </c>
      <c r="C31" s="142"/>
    </row>
    <row r="32" spans="2:16" s="67" customFormat="1" x14ac:dyDescent="0.2">
      <c r="B32" s="475" t="s">
        <v>495</v>
      </c>
      <c r="C32" s="476"/>
      <c r="D32" s="275">
        <f ca="1">IFERROR('Summary Calculations (hide)'!R70,"")</f>
        <v>0</v>
      </c>
      <c r="E32" s="275">
        <f ca="1">IFERROR('Summary Calculations (hide)'!R71,"")</f>
        <v>0</v>
      </c>
      <c r="H32" s="5"/>
    </row>
    <row r="33" spans="2:21" s="67" customFormat="1" x14ac:dyDescent="0.2">
      <c r="B33" s="475" t="s">
        <v>496</v>
      </c>
      <c r="C33" s="476"/>
      <c r="D33" s="275" t="str">
        <f ca="1">IFERROR('Summary Calculations (hide)'!S70,"")</f>
        <v/>
      </c>
      <c r="E33" s="275">
        <f ca="1">IFERROR('Summary Calculations (hide)'!S71,"")</f>
        <v>0</v>
      </c>
    </row>
    <row r="34" spans="2:21" s="67" customFormat="1" ht="15" x14ac:dyDescent="0.25">
      <c r="B34" s="144" t="s">
        <v>928</v>
      </c>
    </row>
    <row r="35" spans="2:21" s="67" customFormat="1" x14ac:dyDescent="0.2">
      <c r="B35" s="475" t="s">
        <v>927</v>
      </c>
      <c r="C35" s="476"/>
      <c r="D35" s="275">
        <f>IFERROR('Summary Calculations (hide)'!V70,"")</f>
        <v>0</v>
      </c>
      <c r="E35" s="275">
        <f>IFERROR('Summary Calculations (hide)'!V71,"")</f>
        <v>0</v>
      </c>
    </row>
    <row r="37" spans="2:21" x14ac:dyDescent="0.2">
      <c r="B37" s="31"/>
      <c r="C37" s="31"/>
      <c r="D37" s="31"/>
      <c r="E37" s="31"/>
      <c r="F37" s="31"/>
      <c r="G37" s="31"/>
      <c r="H37" s="31"/>
      <c r="I37" s="31"/>
      <c r="J37" s="31"/>
      <c r="K37" s="31"/>
      <c r="L37" s="31"/>
      <c r="M37" s="31"/>
      <c r="N37" s="31"/>
      <c r="O37" s="31"/>
      <c r="P37" s="31"/>
      <c r="Q37" s="31"/>
      <c r="R37" s="31"/>
      <c r="S37" s="31"/>
      <c r="T37" s="31"/>
      <c r="U37" s="31"/>
    </row>
    <row r="38" spans="2:21" ht="15" x14ac:dyDescent="0.2">
      <c r="B38" s="483" t="str">
        <f>"Current waiting list vs Estimated sustainable waiting list ("&amp;C8&amp;")"</f>
        <v>Current waiting list vs Estimated sustainable waiting list (Patients)</v>
      </c>
      <c r="C38" s="483"/>
      <c r="D38" s="483"/>
      <c r="E38" s="483"/>
      <c r="F38" s="483"/>
      <c r="G38" s="483"/>
      <c r="H38" s="483"/>
    </row>
    <row r="40" spans="2:21" ht="15" x14ac:dyDescent="0.25">
      <c r="B40" s="481" t="s">
        <v>489</v>
      </c>
      <c r="C40" s="482"/>
      <c r="D40" s="407" t="s">
        <v>249</v>
      </c>
      <c r="E40" s="409"/>
    </row>
    <row r="41" spans="2:21" x14ac:dyDescent="0.2">
      <c r="B41" s="345" t="str">
        <f>IF(AND(LEFT(Demand!C8,1)="H",'Demand adjustments for Covid'!F9="No"),"","WL predictions are disabled when forecast demand or Covid adjustments are enabled.")</f>
        <v/>
      </c>
    </row>
    <row r="42" spans="2:21" x14ac:dyDescent="0.2">
      <c r="B42" s="479" t="s">
        <v>1139</v>
      </c>
      <c r="C42" s="480"/>
      <c r="D42" s="330">
        <v>0</v>
      </c>
    </row>
    <row r="43" spans="2:21" x14ac:dyDescent="0.2">
      <c r="B43" s="479" t="s">
        <v>1140</v>
      </c>
      <c r="C43" s="480"/>
      <c r="D43" s="330">
        <v>0</v>
      </c>
    </row>
    <row r="49" spans="2:4" x14ac:dyDescent="0.2">
      <c r="B49" s="137" t="s">
        <v>305</v>
      </c>
      <c r="C49" s="472">
        <f ca="1">'Parameters calculator (hide)'!H67</f>
        <v>30</v>
      </c>
      <c r="D49" s="472"/>
    </row>
    <row r="50" spans="2:4" x14ac:dyDescent="0.2">
      <c r="B50" s="138" t="s">
        <v>306</v>
      </c>
      <c r="C50" s="473" t="str">
        <f ca="1">IFERROR(TEXT('Parameters calculator (hide)'!H66,"#,#")&amp;" - "&amp;TEXT('Parameters calculator (hide)'!I66,"#,#"),"")</f>
        <v/>
      </c>
      <c r="D50" s="473"/>
    </row>
    <row r="53" spans="2:4" x14ac:dyDescent="0.2">
      <c r="B53" s="20" t="s">
        <v>307</v>
      </c>
      <c r="C53" s="473" t="str">
        <f ca="1">IFERROR('Parameters calculator (hide)'!H69,"")</f>
        <v/>
      </c>
      <c r="D53" s="473"/>
    </row>
    <row r="55" spans="2:4" x14ac:dyDescent="0.2">
      <c r="B55" t="s">
        <v>929</v>
      </c>
    </row>
    <row r="57" spans="2:4" x14ac:dyDescent="0.2">
      <c r="B57" t="s">
        <v>930</v>
      </c>
    </row>
    <row r="58" spans="2:4" x14ac:dyDescent="0.2">
      <c r="B58" s="283">
        <v>10</v>
      </c>
      <c r="C58" t="s">
        <v>402</v>
      </c>
    </row>
    <row r="60" spans="2:4" x14ac:dyDescent="0.2">
      <c r="B60" t="s">
        <v>931</v>
      </c>
    </row>
    <row r="61" spans="2:4" x14ac:dyDescent="0.2">
      <c r="B61" s="281"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jS7gsfqDDBj/u/X6eQ353X5d7AlFV+B1V3zJvbe3kudLf31cZQxotwWh1uWexVWFhGiGBp/KlzCce9GXNFJfNA==" saltValue="xMGWI5FPolIu50tij/Prlg==" spinCount="100000" sheet="1" objects="1" scenarios="1"/>
  <mergeCells count="17">
    <mergeCell ref="C53:D53"/>
    <mergeCell ref="B42:C42"/>
    <mergeCell ref="B43:C43"/>
    <mergeCell ref="B40:C40"/>
    <mergeCell ref="B38:H38"/>
    <mergeCell ref="B4:D4"/>
    <mergeCell ref="D40:E40"/>
    <mergeCell ref="D24:K24"/>
    <mergeCell ref="C49:D49"/>
    <mergeCell ref="C50:D50"/>
    <mergeCell ref="B27:C27"/>
    <mergeCell ref="B28:C28"/>
    <mergeCell ref="B29:C29"/>
    <mergeCell ref="B30:C30"/>
    <mergeCell ref="B32:C32"/>
    <mergeCell ref="B33:C33"/>
    <mergeCell ref="B35:C35"/>
  </mergeCells>
  <conditionalFormatting sqref="G2:Q4">
    <cfRule type="expression" dxfId="10" priority="5">
      <formula>IF($B$15=0,TRUE,FALSE)</formula>
    </cfRule>
  </conditionalFormatting>
  <dataValidations count="1">
    <dataValidation type="date" operator="greaterThanOrEqual" allowBlank="1" showInputMessage="1" showErrorMessage="1" sqref="B13" xr:uid="{00000000-0002-0000-1600-000000000000}">
      <formula1>TODAY()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142875</xdr:rowOff>
                  </from>
                  <to>
                    <xdr:col>4</xdr:col>
                    <xdr:colOff>285750</xdr:colOff>
                    <xdr:row>45</xdr:row>
                    <xdr:rowOff>19050</xdr:rowOff>
                  </to>
                </anchor>
              </controlPr>
            </control>
          </mc:Choice>
        </mc:AlternateContent>
        <mc:AlternateContent xmlns:mc="http://schemas.openxmlformats.org/markup-compatibility/2006">
          <mc:Choice Requires="x14">
            <control shapeId="172050" r:id="rId5" name="Button 18">
              <controlPr defaultSize="0" print="0" autoFill="0" autoPict="0" macro="[0]!Import_Summary_Scenario">
                <anchor moveWithCells="1" sizeWithCells="1">
                  <from>
                    <xdr:col>1</xdr:col>
                    <xdr:colOff>28575</xdr:colOff>
                    <xdr:row>14</xdr:row>
                    <xdr:rowOff>19050</xdr:rowOff>
                  </from>
                  <to>
                    <xdr:col>2</xdr:col>
                    <xdr:colOff>0</xdr:colOff>
                    <xdr:row>14</xdr:row>
                    <xdr:rowOff>419100</xdr:rowOff>
                  </to>
                </anchor>
              </controlPr>
            </control>
          </mc:Choice>
        </mc:AlternateContent>
        <mc:AlternateContent xmlns:mc="http://schemas.openxmlformats.org/markup-compatibility/2006">
          <mc:Choice Requires="x14">
            <control shapeId="172051" r:id="rId6" name="Button 19">
              <controlPr defaultSize="0" print="0" autoFill="0" autoPict="0" macro="[0]!reset_summary">
                <anchor moveWithCells="1" sizeWithCells="1">
                  <from>
                    <xdr:col>2</xdr:col>
                    <xdr:colOff>38100</xdr:colOff>
                    <xdr:row>14</xdr:row>
                    <xdr:rowOff>19050</xdr:rowOff>
                  </from>
                  <to>
                    <xdr:col>2</xdr:col>
                    <xdr:colOff>952500</xdr:colOff>
                    <xdr:row>14</xdr:row>
                    <xdr:rowOff>419100</xdr:rowOff>
                  </to>
                </anchor>
              </controlPr>
            </control>
          </mc:Choice>
        </mc:AlternateContent>
        <mc:AlternateContent xmlns:mc="http://schemas.openxmlformats.org/markup-compatibility/2006">
          <mc:Choice Requires="x14">
            <control shapeId="172052" r:id="rId7" name="Button 20">
              <controlPr defaultSize="0" print="0" autoFill="0" autoPict="0" macro="[0]!Import_Capacity">
                <anchor moveWithCells="1" sizeWithCells="1">
                  <from>
                    <xdr:col>1</xdr:col>
                    <xdr:colOff>19050</xdr:colOff>
                    <xdr:row>15</xdr:row>
                    <xdr:rowOff>209550</xdr:rowOff>
                  </from>
                  <to>
                    <xdr:col>2</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9"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8" id="{54B3D961-32B7-4A16-BB8A-835512A91F26}">
            <xm:f>IF(OR(Setup!$I$13="Yes",Setup!$I$15="Yes"),FALSE,TRUE)</xm:f>
            <x14:dxf>
              <font>
                <color theme="0"/>
              </font>
              <border>
                <left/>
                <right/>
                <top/>
                <bottom/>
                <vertical/>
                <horizontal/>
              </border>
            </x14:dxf>
          </x14:cfRule>
          <xm:sqref>B18:B19</xm:sqref>
        </x14:conditionalFormatting>
        <x14:conditionalFormatting xmlns:xm="http://schemas.microsoft.com/office/excel/2006/main">
          <x14:cfRule type="expression" priority="7" id="{91BB2B95-AE33-49E0-9817-F54C46DD482A}">
            <xm:f>IF(OR(Setup!$I$13="Yes",Setup!$I$15="Yes"),FALSE,TRUE)</xm:f>
            <x14:dxf>
              <font>
                <color theme="0"/>
              </font>
              <border>
                <left/>
                <right/>
                <top/>
                <bottom/>
                <vertical/>
                <horizontal/>
              </border>
            </x14:dxf>
          </x14:cfRule>
          <xm:sqref>B17</xm:sqref>
        </x14:conditionalFormatting>
        <x14:conditionalFormatting xmlns:xm="http://schemas.microsoft.com/office/excel/2006/main">
          <x14:cfRule type="expression" priority="4" id="{BEB16611-1774-40E6-B674-07AEDE8F0DB5}">
            <xm:f>IF(OR(Setup!$I$13="Yes",Setup!$I$15="Yes"),FALSE,TRUE)</xm:f>
            <x14:dxf>
              <font>
                <color theme="0"/>
              </font>
              <border>
                <left/>
                <right/>
                <top/>
                <bottom/>
                <vertical/>
                <horizontal/>
              </border>
            </x14:dxf>
          </x14:cfRule>
          <xm:sqref>B20:G21</xm:sqref>
        </x14:conditionalFormatting>
        <x14:conditionalFormatting xmlns:xm="http://schemas.microsoft.com/office/excel/2006/main">
          <x14:cfRule type="expression" priority="3" id="{015F9863-B18A-44F1-BC9B-AC481DE2468D}">
            <xm:f>IF(Capacity!$C$12&lt;&gt;"[Not Saved]",TRUE,FALSE)</xm:f>
            <x14:dxf>
              <font>
                <b val="0"/>
                <i val="0"/>
                <color auto="1"/>
              </font>
              <fill>
                <patternFill>
                  <bgColor theme="0" tint="-0.14996795556505021"/>
                </patternFill>
              </fill>
            </x14:dxf>
          </x14:cfRule>
          <xm:sqref>E4</xm:sqref>
        </x14:conditionalFormatting>
        <x14:conditionalFormatting xmlns:xm="http://schemas.microsoft.com/office/excel/2006/main">
          <x14:cfRule type="expression" priority="1" id="{29957F7C-FD55-4331-B430-1A801BC613AC}">
            <xm:f>IF(Capacity!$C$12="[Not Saved]",TRUE,FALSE)</xm:f>
            <x14:dxf>
              <font>
                <color theme="0"/>
              </font>
              <fill>
                <patternFill patternType="none">
                  <bgColor auto="1"/>
                </patternFill>
              </fill>
            </x14:dxf>
          </x14:cfRule>
          <xm:sqref>E2:E3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1600-000001000000}">
          <x14:formula1>
            <xm:f>IF(AND(LEFT(Demand!$C$8,1)="H",'Demand adjustments for Covid'!$F$9="No"),'Control sheet (hide)'!$H$24:$H$25,'Control sheet (hide)'!$H$24)</xm:f>
          </x14:formula1>
          <xm:sqref>D40</xm:sqref>
        </x14:dataValidation>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40" workbookViewId="0">
      <selection activeCell="B55" sqref="B55"/>
    </sheetView>
  </sheetViews>
  <sheetFormatPr defaultRowHeight="14.25" x14ac:dyDescent="0.2"/>
  <cols>
    <col min="1" max="1" width="32.75" customWidth="1"/>
  </cols>
  <sheetData>
    <row r="28" spans="1:12" x14ac:dyDescent="0.2">
      <c r="A28" t="s">
        <v>885</v>
      </c>
      <c r="J28" t="s">
        <v>938</v>
      </c>
    </row>
    <row r="30" spans="1:12" x14ac:dyDescent="0.2">
      <c r="A30" t="s">
        <v>392</v>
      </c>
      <c r="B30" t="s">
        <v>886</v>
      </c>
      <c r="J30" t="s">
        <v>939</v>
      </c>
      <c r="K30" t="s">
        <v>392</v>
      </c>
      <c r="L30" t="s">
        <v>886</v>
      </c>
    </row>
    <row r="31" spans="1:12" x14ac:dyDescent="0.2">
      <c r="A31" t="s">
        <v>11</v>
      </c>
      <c r="B31" t="s">
        <v>924</v>
      </c>
      <c r="J31" t="s">
        <v>940</v>
      </c>
      <c r="K31" t="s">
        <v>97</v>
      </c>
      <c r="L31" t="s">
        <v>934</v>
      </c>
    </row>
    <row r="32" spans="1:12" x14ac:dyDescent="0.2">
      <c r="A32" t="s">
        <v>51</v>
      </c>
      <c r="B32" t="s">
        <v>887</v>
      </c>
      <c r="J32" t="s">
        <v>942</v>
      </c>
      <c r="K32" t="s">
        <v>389</v>
      </c>
      <c r="L32" t="s">
        <v>935</v>
      </c>
    </row>
    <row r="33" spans="1:12" x14ac:dyDescent="0.2">
      <c r="A33" s="67" t="s">
        <v>51</v>
      </c>
      <c r="B33" t="s">
        <v>888</v>
      </c>
      <c r="J33" t="s">
        <v>941</v>
      </c>
      <c r="K33" t="s">
        <v>391</v>
      </c>
      <c r="L33" t="s">
        <v>936</v>
      </c>
    </row>
    <row r="34" spans="1:12" x14ac:dyDescent="0.2">
      <c r="A34" s="67" t="s">
        <v>51</v>
      </c>
      <c r="B34" t="s">
        <v>889</v>
      </c>
      <c r="J34" t="s">
        <v>943</v>
      </c>
      <c r="K34" t="s">
        <v>391</v>
      </c>
      <c r="L34" t="s">
        <v>937</v>
      </c>
    </row>
    <row r="35" spans="1:12" x14ac:dyDescent="0.2">
      <c r="A35" s="67" t="s">
        <v>51</v>
      </c>
      <c r="B35" t="s">
        <v>890</v>
      </c>
    </row>
    <row r="36" spans="1:12" x14ac:dyDescent="0.2">
      <c r="A36" s="67" t="s">
        <v>51</v>
      </c>
      <c r="B36" t="s">
        <v>891</v>
      </c>
    </row>
    <row r="37" spans="1:12" x14ac:dyDescent="0.2">
      <c r="A37" s="67" t="s">
        <v>51</v>
      </c>
      <c r="B37" t="s">
        <v>892</v>
      </c>
    </row>
    <row r="38" spans="1:12" x14ac:dyDescent="0.2">
      <c r="A38" s="67" t="s">
        <v>51</v>
      </c>
      <c r="B38" t="s">
        <v>893</v>
      </c>
    </row>
    <row r="39" spans="1:12" x14ac:dyDescent="0.2">
      <c r="A39" s="67" t="s">
        <v>51</v>
      </c>
      <c r="B39" t="s">
        <v>894</v>
      </c>
    </row>
    <row r="40" spans="1:12" x14ac:dyDescent="0.2">
      <c r="A40" t="s">
        <v>51</v>
      </c>
      <c r="B40" t="s">
        <v>895</v>
      </c>
    </row>
    <row r="41" spans="1:12" x14ac:dyDescent="0.2">
      <c r="A41" t="s">
        <v>51</v>
      </c>
      <c r="B41" t="s">
        <v>896</v>
      </c>
    </row>
    <row r="42" spans="1:12" x14ac:dyDescent="0.2">
      <c r="A42" t="s">
        <v>97</v>
      </c>
      <c r="B42" t="s">
        <v>897</v>
      </c>
    </row>
    <row r="43" spans="1:12" x14ac:dyDescent="0.2">
      <c r="A43" t="s">
        <v>899</v>
      </c>
      <c r="B43" t="s">
        <v>1172</v>
      </c>
    </row>
    <row r="44" spans="1:12" x14ac:dyDescent="0.2">
      <c r="A44" t="s">
        <v>388</v>
      </c>
      <c r="B44" t="s">
        <v>900</v>
      </c>
    </row>
    <row r="45" spans="1:12" x14ac:dyDescent="0.2">
      <c r="A45" t="s">
        <v>388</v>
      </c>
      <c r="B45" t="s">
        <v>901</v>
      </c>
    </row>
    <row r="46" spans="1:12" x14ac:dyDescent="0.2">
      <c r="A46" t="s">
        <v>388</v>
      </c>
      <c r="B46" t="s">
        <v>385</v>
      </c>
    </row>
    <row r="47" spans="1:12" x14ac:dyDescent="0.2">
      <c r="A47" t="s">
        <v>388</v>
      </c>
      <c r="B47" t="s">
        <v>902</v>
      </c>
    </row>
    <row r="48" spans="1:12" x14ac:dyDescent="0.2">
      <c r="A48" t="s">
        <v>388</v>
      </c>
      <c r="B48" t="s">
        <v>903</v>
      </c>
    </row>
    <row r="49" spans="1:2" x14ac:dyDescent="0.2">
      <c r="A49" t="s">
        <v>389</v>
      </c>
      <c r="B49" t="s">
        <v>897</v>
      </c>
    </row>
    <row r="50" spans="1:2" x14ac:dyDescent="0.2">
      <c r="A50" t="s">
        <v>389</v>
      </c>
      <c r="B50" t="s">
        <v>904</v>
      </c>
    </row>
    <row r="51" spans="1:2" x14ac:dyDescent="0.2">
      <c r="A51" t="s">
        <v>390</v>
      </c>
      <c r="B51" t="s">
        <v>905</v>
      </c>
    </row>
    <row r="52" spans="1:2" x14ac:dyDescent="0.2">
      <c r="A52" t="s">
        <v>390</v>
      </c>
      <c r="B52" t="s">
        <v>906</v>
      </c>
    </row>
    <row r="53" spans="1:2" x14ac:dyDescent="0.2">
      <c r="A53" t="s">
        <v>907</v>
      </c>
      <c r="B53" t="s">
        <v>908</v>
      </c>
    </row>
    <row r="54" spans="1:2" x14ac:dyDescent="0.2">
      <c r="A54" t="s">
        <v>909</v>
      </c>
      <c r="B54" t="s">
        <v>910</v>
      </c>
    </row>
    <row r="55" spans="1:2" x14ac:dyDescent="0.2">
      <c r="A55" t="s">
        <v>391</v>
      </c>
      <c r="B55" t="s">
        <v>911</v>
      </c>
    </row>
    <row r="56" spans="1:2" x14ac:dyDescent="0.2">
      <c r="A56" t="s">
        <v>477</v>
      </c>
      <c r="B56" t="s">
        <v>905</v>
      </c>
    </row>
    <row r="57" spans="1:2" x14ac:dyDescent="0.2">
      <c r="A57" s="67" t="s">
        <v>477</v>
      </c>
      <c r="B57" t="s">
        <v>911</v>
      </c>
    </row>
    <row r="58" spans="1:2" x14ac:dyDescent="0.2">
      <c r="A58" s="67" t="s">
        <v>477</v>
      </c>
      <c r="B58" t="s">
        <v>912</v>
      </c>
    </row>
    <row r="59" spans="1:2" x14ac:dyDescent="0.2">
      <c r="A59" s="67" t="s">
        <v>477</v>
      </c>
      <c r="B59" t="s">
        <v>913</v>
      </c>
    </row>
    <row r="60" spans="1:2" x14ac:dyDescent="0.2">
      <c r="A60" t="s">
        <v>477</v>
      </c>
      <c r="B60" t="s">
        <v>1236</v>
      </c>
    </row>
    <row r="61" spans="1:2" x14ac:dyDescent="0.2">
      <c r="A61" t="s">
        <v>914</v>
      </c>
      <c r="B61" t="s">
        <v>915</v>
      </c>
    </row>
    <row r="62" spans="1:2" x14ac:dyDescent="0.2">
      <c r="A62" t="s">
        <v>914</v>
      </c>
      <c r="B62" t="s">
        <v>916</v>
      </c>
    </row>
    <row r="63" spans="1:2" x14ac:dyDescent="0.2">
      <c r="A63" t="s">
        <v>914</v>
      </c>
      <c r="B63" t="s">
        <v>917</v>
      </c>
    </row>
    <row r="64" spans="1:2" x14ac:dyDescent="0.2">
      <c r="A64" t="s">
        <v>249</v>
      </c>
      <c r="B64" t="s">
        <v>918</v>
      </c>
    </row>
    <row r="65" spans="1:8" x14ac:dyDescent="0.2">
      <c r="A65" t="s">
        <v>510</v>
      </c>
      <c r="B65" t="s">
        <v>922</v>
      </c>
    </row>
    <row r="66" spans="1:8" x14ac:dyDescent="0.2">
      <c r="A66" t="s">
        <v>510</v>
      </c>
      <c r="B66" t="s">
        <v>923</v>
      </c>
    </row>
    <row r="67" spans="1:8" x14ac:dyDescent="0.2">
      <c r="A67" t="s">
        <v>510</v>
      </c>
      <c r="B67" t="s">
        <v>919</v>
      </c>
    </row>
    <row r="68" spans="1:8" x14ac:dyDescent="0.2">
      <c r="A68" t="s">
        <v>510</v>
      </c>
      <c r="B68" t="s">
        <v>920</v>
      </c>
    </row>
    <row r="69" spans="1:8" x14ac:dyDescent="0.2">
      <c r="A69" s="67" t="s">
        <v>510</v>
      </c>
      <c r="B69" t="s">
        <v>921</v>
      </c>
    </row>
    <row r="71" spans="1:8" x14ac:dyDescent="0.2">
      <c r="G71" s="291"/>
    </row>
    <row r="73" spans="1:8" x14ac:dyDescent="0.2">
      <c r="G73" s="67"/>
      <c r="H73" s="67"/>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topLeftCell="A52" workbookViewId="0">
      <selection activeCell="P69" sqref="P69"/>
    </sheetView>
  </sheetViews>
  <sheetFormatPr defaultRowHeight="14.25" x14ac:dyDescent="0.2"/>
  <cols>
    <col min="1" max="1" width="12.25" style="67" customWidth="1"/>
    <col min="3" max="3" width="9" style="67"/>
    <col min="5" max="5" width="9.75" bestFit="1" customWidth="1"/>
    <col min="7" max="7" width="18.5" bestFit="1" customWidth="1"/>
    <col min="8" max="8" width="15.625" bestFit="1" customWidth="1"/>
    <col min="11" max="12" width="9.75" style="67" customWidth="1"/>
    <col min="22" max="22" width="9" hidden="1" customWidth="1"/>
  </cols>
  <sheetData>
    <row r="1" spans="1:24" x14ac:dyDescent="0.2">
      <c r="A1" s="67" t="s">
        <v>487</v>
      </c>
      <c r="D1" t="s">
        <v>419</v>
      </c>
    </row>
    <row r="2" spans="1:24" x14ac:dyDescent="0.2">
      <c r="A2" s="82" t="str">
        <f>"Required vs available capacity by week ("&amp;Summary!$C$8&amp;")"&amp;IF(Summary!B15=1," - "&amp;Summary!C15&amp;" Scenario","")</f>
        <v>Required vs available capacity by week (Patients)</v>
      </c>
    </row>
    <row r="3" spans="1:24" x14ac:dyDescent="0.2">
      <c r="E3" t="s">
        <v>244</v>
      </c>
      <c r="F3" t="s">
        <v>245</v>
      </c>
      <c r="H3" t="s">
        <v>250</v>
      </c>
      <c r="J3" t="s">
        <v>876</v>
      </c>
      <c r="L3" s="67" t="s">
        <v>1155</v>
      </c>
    </row>
    <row r="4" spans="1:24" x14ac:dyDescent="0.2">
      <c r="D4" t="s">
        <v>239</v>
      </c>
      <c r="E4">
        <f>IFERROR('SPC background (hide)'!C4,"")</f>
        <v>99</v>
      </c>
      <c r="F4">
        <f ca="1">'SPC background (hide)'!G5+'Summary Calculations (hide)'!E4-1</f>
        <v>1</v>
      </c>
      <c r="H4" t="s">
        <v>75</v>
      </c>
      <c r="I4" s="100" t="e">
        <f ca="1">'Parameters calculator (hide)'!B43</f>
        <v>#N/A</v>
      </c>
      <c r="J4" t="e">
        <f ca="1">IF(Planning!C15="",'Summary Calculations (hide)'!I4,Planning!C15)</f>
        <v>#N/A</v>
      </c>
      <c r="L4" s="67" t="e">
        <f ca="1">(1-J4)*(1-J5+(J6*J7))</f>
        <v>#N/A</v>
      </c>
    </row>
    <row r="5" spans="1:24" x14ac:dyDescent="0.2">
      <c r="D5" t="s">
        <v>240</v>
      </c>
      <c r="E5" t="str">
        <f ca="1">IFERROR('SPC background (hide)'!D6,"")</f>
        <v/>
      </c>
      <c r="F5" t="e">
        <f ca="1">'SPC background (hide)'!H7+'Summary Calculations (hide)'!E5-1</f>
        <v>#VALUE!</v>
      </c>
      <c r="H5" t="s">
        <v>251</v>
      </c>
      <c r="I5" s="100" t="e">
        <f ca="1">'Parameters calculator (hide)'!B44</f>
        <v>#N/A</v>
      </c>
      <c r="J5" s="67" t="e">
        <f ca="1">IF(Planning!C16="",'Summary Calculations (hide)'!I5,Planning!C16)</f>
        <v>#N/A</v>
      </c>
    </row>
    <row r="6" spans="1:24" x14ac:dyDescent="0.2">
      <c r="D6" t="s">
        <v>241</v>
      </c>
      <c r="E6" t="str">
        <f ca="1">IFERROR('SPC background (hide)'!D8,"")</f>
        <v/>
      </c>
      <c r="F6" t="str">
        <f ca="1">IFERROR('SPC background (hide)'!H9-'Summary Calculations (hide)'!E6-1,"")</f>
        <v/>
      </c>
      <c r="H6" t="s">
        <v>99</v>
      </c>
      <c r="I6" s="100" t="e">
        <f ca="1">'Parameters calculator (hide)'!B45</f>
        <v>#N/A</v>
      </c>
      <c r="J6" s="67" t="e">
        <f ca="1">IF(Planning!C17="",'Summary Calculations (hide)'!I6,Planning!C17)</f>
        <v>#N/A</v>
      </c>
    </row>
    <row r="7" spans="1:24" x14ac:dyDescent="0.2">
      <c r="D7" t="s">
        <v>242</v>
      </c>
      <c r="E7" t="str">
        <f ca="1">IFERROR('SPC background (hide)'!D10,"")</f>
        <v/>
      </c>
      <c r="F7" t="str">
        <f ca="1">IFERROR('SPC background (hide)'!H11-'Summary Calculations (hide)'!E7-1,"")</f>
        <v/>
      </c>
      <c r="H7" t="s">
        <v>418</v>
      </c>
      <c r="I7" s="100">
        <f ca="1">'Parameters calculator (hide)'!B47</f>
        <v>1</v>
      </c>
      <c r="J7" s="67">
        <f ca="1">IF(Planning!C18="",'Summary Calculations (hide)'!I7,1-Planning!C18)</f>
        <v>1</v>
      </c>
    </row>
    <row r="9" spans="1:24" x14ac:dyDescent="0.2">
      <c r="H9" t="s">
        <v>422</v>
      </c>
      <c r="I9" s="5">
        <f ca="1">'Demand background (hide)'!BN16</f>
        <v>1</v>
      </c>
    </row>
    <row r="11" spans="1:24" x14ac:dyDescent="0.2">
      <c r="D11" t="s">
        <v>243</v>
      </c>
      <c r="E11" s="87">
        <f ca="1">IF(Summary!$B$13="",'Critical resources (hide)'!B6,Summary!$B$13)</f>
        <v>44417</v>
      </c>
    </row>
    <row r="12" spans="1:24" x14ac:dyDescent="0.2">
      <c r="E12" s="317"/>
      <c r="P12" t="s">
        <v>411</v>
      </c>
      <c r="R12" t="str">
        <f>"Required vs available capacity ("&amp;LOWER(Summary!$C$8)&amp;")"</f>
        <v>Required vs available capacity (patients)</v>
      </c>
      <c r="X12" t="s">
        <v>498</v>
      </c>
    </row>
    <row r="13" spans="1:24" x14ac:dyDescent="0.2">
      <c r="E13" t="s">
        <v>97</v>
      </c>
      <c r="G13" s="62"/>
      <c r="H13" s="62"/>
      <c r="I13" t="s">
        <v>303</v>
      </c>
      <c r="K13" s="67" t="s">
        <v>409</v>
      </c>
      <c r="M13" t="s">
        <v>302</v>
      </c>
      <c r="P13" s="67" t="s">
        <v>303</v>
      </c>
      <c r="Q13" s="67"/>
      <c r="R13" s="67" t="s">
        <v>409</v>
      </c>
      <c r="S13" s="67"/>
      <c r="T13" s="67" t="s">
        <v>302</v>
      </c>
      <c r="U13" s="67"/>
      <c r="X13" t="s">
        <v>156</v>
      </c>
    </row>
    <row r="14" spans="1:24" x14ac:dyDescent="0.2">
      <c r="A14" s="67" t="s">
        <v>428</v>
      </c>
      <c r="B14" t="s">
        <v>128</v>
      </c>
      <c r="C14" s="67" t="s">
        <v>427</v>
      </c>
      <c r="D14" t="s">
        <v>248</v>
      </c>
      <c r="E14" t="s">
        <v>165</v>
      </c>
      <c r="F14" t="s">
        <v>166</v>
      </c>
      <c r="G14" t="s">
        <v>246</v>
      </c>
      <c r="H14" t="s">
        <v>247</v>
      </c>
      <c r="I14" t="s">
        <v>480</v>
      </c>
      <c r="J14" t="s">
        <v>481</v>
      </c>
      <c r="K14" s="67" t="s">
        <v>480</v>
      </c>
      <c r="L14" s="67" t="s">
        <v>481</v>
      </c>
      <c r="M14" t="s">
        <v>165</v>
      </c>
      <c r="N14" t="s">
        <v>166</v>
      </c>
      <c r="P14" s="67" t="s">
        <v>480</v>
      </c>
      <c r="Q14" s="67" t="s">
        <v>481</v>
      </c>
      <c r="R14" s="67" t="s">
        <v>480</v>
      </c>
      <c r="S14" s="67" t="s">
        <v>481</v>
      </c>
      <c r="T14" s="67" t="s">
        <v>165</v>
      </c>
      <c r="U14" s="67" t="s">
        <v>166</v>
      </c>
      <c r="V14" t="s">
        <v>435</v>
      </c>
    </row>
    <row r="15" spans="1:24" x14ac:dyDescent="0.2">
      <c r="A15" s="87">
        <f ca="1">E11-WEEKDAY(E11,3)</f>
        <v>44417</v>
      </c>
      <c r="B15">
        <f ca="1">YEAR(A15)</f>
        <v>2021</v>
      </c>
      <c r="C15" s="67" t="str">
        <f ca="1">TEXT(A15,"MMM")</f>
        <v>Aug</v>
      </c>
      <c r="D15">
        <f t="shared" ref="D15:D46" ca="1" si="0">WEEKNUM(A15,21)</f>
        <v>32</v>
      </c>
      <c r="E15" s="5" t="e">
        <f ca="1">IF(LEFT(Demand!$C$8,1)="H",VLOOKUP($D15,'SPC background (hide)'!$AG$2:$AS$54,12,0),'Demand background (hide)'!X4)</f>
        <v>#N/A</v>
      </c>
      <c r="F15" s="5" t="e">
        <f ca="1">IF(LEFT(Demand!$C$8,1)="H",VLOOKUP($D15,'SPC background (hide)'!$AG$2:$AS$54,13,0),E15*1.1)</f>
        <v>#N/A</v>
      </c>
      <c r="G15" s="5" t="str">
        <f>IF(Setup!$I$15="Yes",VLOOKUP(D15,'SPC background (hide)'!$AG$2:$AT$54,14,0)/IF(Summary!$C$8="Patients",'Summary Calculations (hide)'!$I$9,1),"")</f>
        <v/>
      </c>
      <c r="H15" t="str">
        <f>IF(Setup!$I$13="Yes",'Planned background (hide)'!$V$23/IF(Summary!$C$8="Patients",'Summary Calculations (hide)'!$I$9,1),"")</f>
        <v/>
      </c>
      <c r="I15" s="5">
        <f ca="1">IFERROR(HLOOKUP(A15,'Capacity calculation (hide)'!$BK$1:$DK$4,4,0),Capacity!$I$15)</f>
        <v>0</v>
      </c>
      <c r="J15" s="5">
        <f ca="1">HLOOKUP(D15,'Capacity calculation (hide)'!$BK$110:$DK$111,2,0)</f>
        <v>0</v>
      </c>
      <c r="K15" s="5">
        <f ca="1">IF(I15-IF(AND(Setup!$I$15="Yes",OR('Demand adjustments for Covid'!$F$9="No",'Demand adjustments for Covid'!$F$20="No")),$G15,0)-IF(Setup!$I$13="Yes",$H15,0)&lt;0,0,I15-IF(AND(Setup!$I$15="Yes",OR('Demand adjustments for Covid'!$F$9="No",'Demand adjustments for Covid'!$F$20="No")),$G15,0)-IF(Setup!$I$13="Yes",$H15,0))</f>
        <v>0</v>
      </c>
      <c r="L15" s="5">
        <f ca="1">J15</f>
        <v>0</v>
      </c>
      <c r="M15" s="5" t="e">
        <f ca="1">(IF('Demand adjustments for Covid'!$F$9="No",E15,SUM('Demand background (hide)'!DS4,'Demand background (hide)'!DV4:DW4))*(1-'Parameters calculator (hide)'!$B$43))*(1-'Parameters calculator (hide)'!$B$44+('Parameters calculator (hide)'!$B$45*'Parameters calculator (hide)'!$B$47))</f>
        <v>#N/A</v>
      </c>
      <c r="N15" s="5" t="e">
        <f ca="1">(IF('Demand adjustments for Covid'!$F$9="No",F15,SUM('Demand background (hide)'!DT4,'Demand background (hide)'!DV4:DW4))*(1-'Parameters calculator (hide)'!$B$43))*(1-'Parameters calculator (hide)'!$B$44+('Parameters calculator (hide)'!$B$45*'Parameters calculator (hide)'!$B$47))</f>
        <v>#N/A</v>
      </c>
      <c r="P15" s="5">
        <f ca="1">I15</f>
        <v>0</v>
      </c>
      <c r="Q15" s="5">
        <f ca="1">J15</f>
        <v>0</v>
      </c>
      <c r="R15" s="5">
        <f ca="1">IF(P15-V15&lt;0,0,P15-V15)</f>
        <v>0</v>
      </c>
      <c r="S15" s="5">
        <f ca="1">IF(R15=0,IF(P15+Q15-V15&lt;0,0,P15+Q15-V15),Q15)</f>
        <v>0</v>
      </c>
      <c r="T15" s="5" t="e">
        <f ca="1">M15/IF(Summary!$C$8&lt;&gt;"Patients",1,$I$9)</f>
        <v>#N/A</v>
      </c>
      <c r="U15" s="5" t="e">
        <f ca="1">((N15-M15)/IF(Summary!$C$8&lt;&gt;"Patients",1,$I$9))</f>
        <v>#N/A</v>
      </c>
      <c r="V15" s="5">
        <f>SUM(G15:H15)</f>
        <v>0</v>
      </c>
      <c r="X15" s="5" t="e">
        <f ca="1">(VLOOKUP(D15,'SPC background (hide)'!$AG$2:$AN$54,8,0)/IF(Summary!$C$8&lt;&gt;"Patients",1,$I$9))*(1-$I$4)*(1-$I$5+($I$6*$I$7))</f>
        <v>#N/A</v>
      </c>
    </row>
    <row r="16" spans="1:24" x14ac:dyDescent="0.2">
      <c r="A16" s="87">
        <f ca="1">A15+7</f>
        <v>44424</v>
      </c>
      <c r="B16" s="67" t="str">
        <f t="shared" ref="B16:B47" ca="1" si="1">IF(YEAR(A16)&lt;&gt;YEAR(A15),YEAR(A16),"")</f>
        <v/>
      </c>
      <c r="C16" s="67" t="str">
        <f t="shared" ref="C16:C47" ca="1" si="2">IF(TEXT(A16,"MMM")&lt;&gt;TEXT(A15,"MMM"),TEXT(A16,"MMM"),"")</f>
        <v/>
      </c>
      <c r="D16" s="67">
        <f t="shared" ca="1" si="0"/>
        <v>33</v>
      </c>
      <c r="E16" s="5" t="e">
        <f ca="1">IF(LEFT(Demand!$C$8,1)="H",VLOOKUP($D16,'SPC background (hide)'!$AG$2:$AS$54,12,0),'Demand background (hide)'!X5)</f>
        <v>#N/A</v>
      </c>
      <c r="F16" s="5" t="e">
        <f ca="1">IF(LEFT(Demand!$C$8,1)="H",VLOOKUP($D16,'SPC background (hide)'!$AG$2:$AS$54,13,0),E16*1.1)</f>
        <v>#N/A</v>
      </c>
      <c r="G16" s="5" t="str">
        <f>IF(Setup!$I$15="Yes",VLOOKUP(D16,'SPC background (hide)'!$AG$2:$AT$54,14,0)/IF(Summary!$C$8="Patients",'Summary Calculations (hide)'!$I$9,1),"")</f>
        <v/>
      </c>
      <c r="H16" s="67" t="str">
        <f>IF(Setup!$I$13="Yes",'Planned background (hide)'!$V$23/IF(Summary!$C$8="Patients",'Summary Calculations (hide)'!$I$9,1),"")</f>
        <v/>
      </c>
      <c r="I16" s="5">
        <f ca="1">IFERROR(HLOOKUP(A16,'Capacity calculation (hide)'!$BK$1:$DK$4,4,0),Capacity!$I$15)</f>
        <v>0</v>
      </c>
      <c r="J16" s="5">
        <f ca="1">HLOOKUP(D16,'Capacity calculation (hide)'!$BK$110:$DK$111,2,0)</f>
        <v>0</v>
      </c>
      <c r="K16" s="5">
        <f ca="1">IF(I16-IF(Setup!$I$15="Yes",$G16,0)-IF(Setup!$I$13="Yes",$H16,0)&lt;0,0,I16-IF(Setup!$I$15="Yes",$G16,0)-IF(Setup!$I$13="Yes",$H16,0))</f>
        <v>0</v>
      </c>
      <c r="L16" s="5">
        <f t="shared" ref="L16:L66" ca="1" si="3">J16</f>
        <v>0</v>
      </c>
      <c r="M16" s="5" t="e">
        <f ca="1">(IF('Demand adjustments for Covid'!$F$9="No",E16,SUM('Demand background (hide)'!DS5,'Demand background (hide)'!DV5:DW5))*(1-'Parameters calculator (hide)'!$B$43))*(1-'Parameters calculator (hide)'!$B$44+('Parameters calculator (hide)'!$B$45*'Parameters calculator (hide)'!$B$47))</f>
        <v>#N/A</v>
      </c>
      <c r="N16" s="5" t="e">
        <f ca="1">(IF('Demand adjustments for Covid'!$F$9="No",F16,SUM('Demand background (hide)'!DT5,'Demand background (hide)'!DV5:DW5))*(1-'Parameters calculator (hide)'!$B$43))*(1-'Parameters calculator (hide)'!$B$44+('Parameters calculator (hide)'!$B$45*'Parameters calculator (hide)'!$B$47))</f>
        <v>#N/A</v>
      </c>
      <c r="P16" s="5">
        <f t="shared" ref="P16:P66" ca="1" si="4">I16</f>
        <v>0</v>
      </c>
      <c r="Q16" s="5">
        <f t="shared" ref="Q16:Q66" ca="1" si="5">J16</f>
        <v>0</v>
      </c>
      <c r="R16" s="5">
        <f t="shared" ref="R16:R66" ca="1" si="6">IF(P16-V16&lt;0,0,P16-V16)</f>
        <v>0</v>
      </c>
      <c r="S16" s="5">
        <f t="shared" ref="S16:S66" ca="1" si="7">IF(R16=0,IF(P16+Q16-V16&lt;0,0,P16+Q16-V16),Q16)</f>
        <v>0</v>
      </c>
      <c r="T16" s="5" t="e">
        <f ca="1">M16/IF(Summary!$C$8&lt;&gt;"Patients",1,$I$9)</f>
        <v>#N/A</v>
      </c>
      <c r="U16" s="5" t="e">
        <f ca="1">((N16-M16)/IF(Summary!$C$8&lt;&gt;"Patients",1,$I$9))</f>
        <v>#N/A</v>
      </c>
      <c r="V16" s="5">
        <f t="shared" ref="V16:V66" si="8">SUM(G16:H16)</f>
        <v>0</v>
      </c>
      <c r="X16" s="5" t="e">
        <f ca="1">(VLOOKUP(D16,'SPC background (hide)'!$AG$2:$AN$54,8,0)/IF(Summary!$C$8&lt;&gt;"Patients",1,$I$9))*(1-$I$4)*(1-$I$5+($I$6*$I$7))</f>
        <v>#N/A</v>
      </c>
    </row>
    <row r="17" spans="1:24" x14ac:dyDescent="0.2">
      <c r="A17" s="87">
        <f t="shared" ref="A17:A67" ca="1" si="9">A16+7</f>
        <v>44431</v>
      </c>
      <c r="B17" s="67" t="str">
        <f t="shared" ca="1" si="1"/>
        <v/>
      </c>
      <c r="C17" s="67" t="str">
        <f t="shared" ca="1" si="2"/>
        <v/>
      </c>
      <c r="D17" s="67">
        <f t="shared" ca="1" si="0"/>
        <v>34</v>
      </c>
      <c r="E17" s="5" t="e">
        <f ca="1">IF(LEFT(Demand!$C$8,1)="H",VLOOKUP($D17,'SPC background (hide)'!$AG$2:$AS$54,12,0),'Demand background (hide)'!X6)</f>
        <v>#N/A</v>
      </c>
      <c r="F17" s="5" t="e">
        <f ca="1">IF(LEFT(Demand!$C$8,1)="H",VLOOKUP($D17,'SPC background (hide)'!$AG$2:$AS$54,13,0),E17*1.1)</f>
        <v>#N/A</v>
      </c>
      <c r="G17" s="5" t="str">
        <f>IF(Setup!$I$15="Yes",VLOOKUP(D17,'SPC background (hide)'!$AG$2:$AT$54,14,0)/IF(Summary!$C$8="Patients",'Summary Calculations (hide)'!$I$9,1),"")</f>
        <v/>
      </c>
      <c r="H17" s="67" t="str">
        <f>IF(Setup!$I$13="Yes",'Planned background (hide)'!$V$23/IF(Summary!$C$8="Patients",'Summary Calculations (hide)'!$I$9,1),"")</f>
        <v/>
      </c>
      <c r="I17" s="5">
        <f ca="1">IFERROR(HLOOKUP(A17,'Capacity calculation (hide)'!$BK$1:$DK$4,4,0),Capacity!$I$15)</f>
        <v>0</v>
      </c>
      <c r="J17" s="5">
        <f ca="1">HLOOKUP(D17,'Capacity calculation (hide)'!$BK$110:$DK$111,2,0)</f>
        <v>0</v>
      </c>
      <c r="K17" s="5">
        <f ca="1">IF(I17-IF(Setup!$I$15="Yes",$G17,0)-IF(Setup!$I$13="Yes",$H17,0)&lt;0,0,I17-IF(Setup!$I$15="Yes",$G17,0)-IF(Setup!$I$13="Yes",$H17,0))</f>
        <v>0</v>
      </c>
      <c r="L17" s="5">
        <f t="shared" ca="1" si="3"/>
        <v>0</v>
      </c>
      <c r="M17" s="5" t="e">
        <f ca="1">(IF('Demand adjustments for Covid'!$F$9="No",E17,SUM('Demand background (hide)'!DS6,'Demand background (hide)'!DV6:DW6))*(1-'Parameters calculator (hide)'!$B$43))*(1-'Parameters calculator (hide)'!$B$44+('Parameters calculator (hide)'!$B$45*'Parameters calculator (hide)'!$B$47))</f>
        <v>#N/A</v>
      </c>
      <c r="N17" s="5" t="e">
        <f ca="1">(IF('Demand adjustments for Covid'!$F$9="No",F17,SUM('Demand background (hide)'!DT6,'Demand background (hide)'!DV6:DW6))*(1-'Parameters calculator (hide)'!$B$43))*(1-'Parameters calculator (hide)'!$B$44+('Parameters calculator (hide)'!$B$45*'Parameters calculator (hide)'!$B$47))</f>
        <v>#N/A</v>
      </c>
      <c r="P17" s="5">
        <f t="shared" ca="1" si="4"/>
        <v>0</v>
      </c>
      <c r="Q17" s="5">
        <f t="shared" ca="1" si="5"/>
        <v>0</v>
      </c>
      <c r="R17" s="5">
        <f t="shared" ca="1" si="6"/>
        <v>0</v>
      </c>
      <c r="S17" s="5">
        <f t="shared" ca="1" si="7"/>
        <v>0</v>
      </c>
      <c r="T17" s="5" t="e">
        <f ca="1">M17/IF(Summary!$C$8&lt;&gt;"Patients",1,$I$9)</f>
        <v>#N/A</v>
      </c>
      <c r="U17" s="5" t="e">
        <f ca="1">((N17-M17)/IF(Summary!$C$8&lt;&gt;"Patients",1,$I$9))</f>
        <v>#N/A</v>
      </c>
      <c r="V17" s="5">
        <f t="shared" si="8"/>
        <v>0</v>
      </c>
      <c r="X17" s="5" t="e">
        <f ca="1">(VLOOKUP(D17,'SPC background (hide)'!$AG$2:$AN$54,8,0)/IF(Summary!$C$8&lt;&gt;"Patients",1,$I$9))*(1-$I$4)*(1-$I$5+($I$6*$I$7))</f>
        <v>#N/A</v>
      </c>
    </row>
    <row r="18" spans="1:24" x14ac:dyDescent="0.2">
      <c r="A18" s="87">
        <f t="shared" ca="1" si="9"/>
        <v>44438</v>
      </c>
      <c r="B18" s="67" t="str">
        <f t="shared" ca="1" si="1"/>
        <v/>
      </c>
      <c r="C18" s="67" t="str">
        <f t="shared" ca="1" si="2"/>
        <v/>
      </c>
      <c r="D18" s="67">
        <f t="shared" ca="1" si="0"/>
        <v>35</v>
      </c>
      <c r="E18" s="5" t="e">
        <f ca="1">IF(LEFT(Demand!$C$8,1)="H",VLOOKUP($D18,'SPC background (hide)'!$AG$2:$AS$54,12,0),'Demand background (hide)'!X7)</f>
        <v>#N/A</v>
      </c>
      <c r="F18" s="5" t="e">
        <f ca="1">IF(LEFT(Demand!$C$8,1)="H",VLOOKUP($D18,'SPC background (hide)'!$AG$2:$AS$54,13,0),E18*1.1)</f>
        <v>#N/A</v>
      </c>
      <c r="G18" s="5" t="str">
        <f>IF(Setup!$I$15="Yes",VLOOKUP(D18,'SPC background (hide)'!$AG$2:$AT$54,14,0)/IF(Summary!$C$8="Patients",'Summary Calculations (hide)'!$I$9,1),"")</f>
        <v/>
      </c>
      <c r="H18" s="67" t="str">
        <f>IF(Setup!$I$13="Yes",'Planned background (hide)'!$V$23/IF(Summary!$C$8="Patients",'Summary Calculations (hide)'!$I$9,1),"")</f>
        <v/>
      </c>
      <c r="I18" s="5">
        <f ca="1">IFERROR(HLOOKUP(A18,'Capacity calculation (hide)'!$BK$1:$DK$4,4,0),Capacity!$I$15)</f>
        <v>0</v>
      </c>
      <c r="J18" s="5">
        <f ca="1">HLOOKUP(D18,'Capacity calculation (hide)'!$BK$110:$DK$111,2,0)</f>
        <v>0</v>
      </c>
      <c r="K18" s="5">
        <f ca="1">IF(I18-IF(Setup!$I$15="Yes",$G18,0)-IF(Setup!$I$13="Yes",$H18,0)&lt;0,0,I18-IF(Setup!$I$15="Yes",$G18,0)-IF(Setup!$I$13="Yes",$H18,0))</f>
        <v>0</v>
      </c>
      <c r="L18" s="5">
        <f t="shared" ca="1" si="3"/>
        <v>0</v>
      </c>
      <c r="M18" s="5" t="e">
        <f ca="1">(IF('Demand adjustments for Covid'!$F$9="No",E18,SUM('Demand background (hide)'!DS7,'Demand background (hide)'!DV7:DW7))*(1-'Parameters calculator (hide)'!$B$43))*(1-'Parameters calculator (hide)'!$B$44+('Parameters calculator (hide)'!$B$45*'Parameters calculator (hide)'!$B$47))</f>
        <v>#N/A</v>
      </c>
      <c r="N18" s="5" t="e">
        <f ca="1">(IF('Demand adjustments for Covid'!$F$9="No",F18,SUM('Demand background (hide)'!DT7,'Demand background (hide)'!DV7:DW7))*(1-'Parameters calculator (hide)'!$B$43))*(1-'Parameters calculator (hide)'!$B$44+('Parameters calculator (hide)'!$B$45*'Parameters calculator (hide)'!$B$47))</f>
        <v>#N/A</v>
      </c>
      <c r="P18" s="5">
        <f t="shared" ca="1" si="4"/>
        <v>0</v>
      </c>
      <c r="Q18" s="5">
        <f t="shared" ca="1" si="5"/>
        <v>0</v>
      </c>
      <c r="R18" s="5">
        <f t="shared" ca="1" si="6"/>
        <v>0</v>
      </c>
      <c r="S18" s="5">
        <f t="shared" ca="1" si="7"/>
        <v>0</v>
      </c>
      <c r="T18" s="5" t="e">
        <f ca="1">M18/IF(Summary!$C$8&lt;&gt;"Patients",1,$I$9)</f>
        <v>#N/A</v>
      </c>
      <c r="U18" s="5" t="e">
        <f ca="1">((N18-M18)/IF(Summary!$C$8&lt;&gt;"Patients",1,$I$9))</f>
        <v>#N/A</v>
      </c>
      <c r="V18" s="5">
        <f t="shared" si="8"/>
        <v>0</v>
      </c>
      <c r="X18" s="5" t="e">
        <f ca="1">(VLOOKUP(D18,'SPC background (hide)'!$AG$2:$AN$54,8,0)/IF(Summary!$C$8&lt;&gt;"Patients",1,$I$9))*(1-$I$4)*(1-$I$5+($I$6*$I$7))</f>
        <v>#N/A</v>
      </c>
    </row>
    <row r="19" spans="1:24" x14ac:dyDescent="0.2">
      <c r="A19" s="87">
        <f t="shared" ca="1" si="9"/>
        <v>44445</v>
      </c>
      <c r="B19" s="67" t="str">
        <f t="shared" ca="1" si="1"/>
        <v/>
      </c>
      <c r="C19" s="67" t="str">
        <f t="shared" ca="1" si="2"/>
        <v>Sep</v>
      </c>
      <c r="D19" s="67">
        <f t="shared" ca="1" si="0"/>
        <v>36</v>
      </c>
      <c r="E19" s="5" t="e">
        <f ca="1">IF(LEFT(Demand!$C$8,1)="H",VLOOKUP($D19,'SPC background (hide)'!$AG$2:$AS$54,12,0),'Demand background (hide)'!X8)</f>
        <v>#N/A</v>
      </c>
      <c r="F19" s="5" t="e">
        <f ca="1">IF(LEFT(Demand!$C$8,1)="H",VLOOKUP($D19,'SPC background (hide)'!$AG$2:$AS$54,13,0),E19*1.1)</f>
        <v>#N/A</v>
      </c>
      <c r="G19" s="5" t="str">
        <f>IF(Setup!$I$15="Yes",VLOOKUP(D19,'SPC background (hide)'!$AG$2:$AT$54,14,0)/IF(Summary!$C$8="Patients",'Summary Calculations (hide)'!$I$9,1),"")</f>
        <v/>
      </c>
      <c r="H19" s="67" t="str">
        <f>IF(Setup!$I$13="Yes",'Planned background (hide)'!$V$23/IF(Summary!$C$8="Patients",'Summary Calculations (hide)'!$I$9,1),"")</f>
        <v/>
      </c>
      <c r="I19" s="5">
        <f ca="1">IFERROR(HLOOKUP(A19,'Capacity calculation (hide)'!$BK$1:$DK$4,4,0),Capacity!$I$15)</f>
        <v>0</v>
      </c>
      <c r="J19" s="5">
        <f ca="1">HLOOKUP(D19,'Capacity calculation (hide)'!$BK$110:$DK$111,2,0)</f>
        <v>0</v>
      </c>
      <c r="K19" s="5">
        <f ca="1">IF(I19-IF(Setup!$I$15="Yes",$G19,0)-IF(Setup!$I$13="Yes",$H19,0)&lt;0,0,I19-IF(Setup!$I$15="Yes",$G19,0)-IF(Setup!$I$13="Yes",$H19,0))</f>
        <v>0</v>
      </c>
      <c r="L19" s="5">
        <f t="shared" ca="1" si="3"/>
        <v>0</v>
      </c>
      <c r="M19" s="5" t="e">
        <f ca="1">(IF('Demand adjustments for Covid'!$F$9="No",E19,SUM('Demand background (hide)'!DS8,'Demand background (hide)'!DV8:DW8))*(1-'Parameters calculator (hide)'!$B$43))*(1-'Parameters calculator (hide)'!$B$44+('Parameters calculator (hide)'!$B$45*'Parameters calculator (hide)'!$B$47))</f>
        <v>#N/A</v>
      </c>
      <c r="N19" s="5" t="e">
        <f ca="1">(IF('Demand adjustments for Covid'!$F$9="No",F19,SUM('Demand background (hide)'!DT8,'Demand background (hide)'!DV8:DW8))*(1-'Parameters calculator (hide)'!$B$43))*(1-'Parameters calculator (hide)'!$B$44+('Parameters calculator (hide)'!$B$45*'Parameters calculator (hide)'!$B$47))</f>
        <v>#N/A</v>
      </c>
      <c r="P19" s="5">
        <f t="shared" ca="1" si="4"/>
        <v>0</v>
      </c>
      <c r="Q19" s="5">
        <f t="shared" ca="1" si="5"/>
        <v>0</v>
      </c>
      <c r="R19" s="5">
        <f t="shared" ca="1" si="6"/>
        <v>0</v>
      </c>
      <c r="S19" s="5">
        <f t="shared" ca="1" si="7"/>
        <v>0</v>
      </c>
      <c r="T19" s="5" t="e">
        <f ca="1">M19/IF(Summary!$C$8&lt;&gt;"Patients",1,$I$9)</f>
        <v>#N/A</v>
      </c>
      <c r="U19" s="5" t="e">
        <f ca="1">((N19-M19)/IF(Summary!$C$8&lt;&gt;"Patients",1,$I$9))</f>
        <v>#N/A</v>
      </c>
      <c r="V19" s="5">
        <f t="shared" si="8"/>
        <v>0</v>
      </c>
      <c r="X19" s="5" t="e">
        <f ca="1">(VLOOKUP(D19,'SPC background (hide)'!$AG$2:$AN$54,8,0)/IF(Summary!$C$8&lt;&gt;"Patients",1,$I$9))*(1-$I$4)*(1-$I$5+($I$6*$I$7))</f>
        <v>#N/A</v>
      </c>
    </row>
    <row r="20" spans="1:24" x14ac:dyDescent="0.2">
      <c r="A20" s="87">
        <f t="shared" ca="1" si="9"/>
        <v>44452</v>
      </c>
      <c r="B20" s="67" t="str">
        <f t="shared" ca="1" si="1"/>
        <v/>
      </c>
      <c r="C20" s="67" t="str">
        <f t="shared" ca="1" si="2"/>
        <v/>
      </c>
      <c r="D20" s="67">
        <f t="shared" ca="1" si="0"/>
        <v>37</v>
      </c>
      <c r="E20" s="5" t="e">
        <f ca="1">IF(LEFT(Demand!$C$8,1)="H",VLOOKUP($D20,'SPC background (hide)'!$AG$2:$AS$54,12,0),'Demand background (hide)'!X9)</f>
        <v>#N/A</v>
      </c>
      <c r="F20" s="5" t="e">
        <f ca="1">IF(LEFT(Demand!$C$8,1)="H",VLOOKUP($D20,'SPC background (hide)'!$AG$2:$AS$54,13,0),E20*1.1)</f>
        <v>#N/A</v>
      </c>
      <c r="G20" s="5" t="str">
        <f>IF(Setup!$I$15="Yes",VLOOKUP(D20,'SPC background (hide)'!$AG$2:$AT$54,14,0)/IF(Summary!$C$8="Patients",'Summary Calculations (hide)'!$I$9,1),"")</f>
        <v/>
      </c>
      <c r="H20" s="67" t="str">
        <f>IF(Setup!$I$13="Yes",'Planned background (hide)'!$V$23/IF(Summary!$C$8="Patients",'Summary Calculations (hide)'!$I$9,1),"")</f>
        <v/>
      </c>
      <c r="I20" s="5">
        <f ca="1">IFERROR(HLOOKUP(A20,'Capacity calculation (hide)'!$BK$1:$DK$4,4,0),Capacity!$I$15)</f>
        <v>0</v>
      </c>
      <c r="J20" s="5">
        <f ca="1">HLOOKUP(D20,'Capacity calculation (hide)'!$BK$110:$DK$111,2,0)</f>
        <v>0</v>
      </c>
      <c r="K20" s="5">
        <f ca="1">IF(I20-IF(Setup!$I$15="Yes",$G20,0)-IF(Setup!$I$13="Yes",$H20,0)&lt;0,0,I20-IF(Setup!$I$15="Yes",$G20,0)-IF(Setup!$I$13="Yes",$H20,0))</f>
        <v>0</v>
      </c>
      <c r="L20" s="5">
        <f t="shared" ca="1" si="3"/>
        <v>0</v>
      </c>
      <c r="M20" s="5" t="e">
        <f ca="1">(IF('Demand adjustments for Covid'!$F$9="No",E20,SUM('Demand background (hide)'!DS9,'Demand background (hide)'!DV9:DW9))*(1-'Parameters calculator (hide)'!$B$43))*(1-'Parameters calculator (hide)'!$B$44+('Parameters calculator (hide)'!$B$45*'Parameters calculator (hide)'!$B$47))</f>
        <v>#N/A</v>
      </c>
      <c r="N20" s="5" t="e">
        <f ca="1">(IF('Demand adjustments for Covid'!$F$9="No",F20,SUM('Demand background (hide)'!DT9,'Demand background (hide)'!DV9:DW9))*(1-'Parameters calculator (hide)'!$B$43))*(1-'Parameters calculator (hide)'!$B$44+('Parameters calculator (hide)'!$B$45*'Parameters calculator (hide)'!$B$47))</f>
        <v>#N/A</v>
      </c>
      <c r="P20" s="5">
        <f t="shared" ca="1" si="4"/>
        <v>0</v>
      </c>
      <c r="Q20" s="5">
        <f t="shared" ca="1" si="5"/>
        <v>0</v>
      </c>
      <c r="R20" s="5">
        <f t="shared" ca="1" si="6"/>
        <v>0</v>
      </c>
      <c r="S20" s="5">
        <f t="shared" ca="1" si="7"/>
        <v>0</v>
      </c>
      <c r="T20" s="5" t="e">
        <f ca="1">M20/IF(Summary!$C$8&lt;&gt;"Patients",1,$I$9)</f>
        <v>#N/A</v>
      </c>
      <c r="U20" s="5" t="e">
        <f ca="1">((N20-M20)/IF(Summary!$C$8&lt;&gt;"Patients",1,$I$9))</f>
        <v>#N/A</v>
      </c>
      <c r="V20" s="5">
        <f t="shared" si="8"/>
        <v>0</v>
      </c>
      <c r="X20" s="5" t="e">
        <f ca="1">(VLOOKUP(D20,'SPC background (hide)'!$AG$2:$AN$54,8,0)/IF(Summary!$C$8&lt;&gt;"Patients",1,$I$9))*(1-$I$4)*(1-$I$5+($I$6*$I$7))</f>
        <v>#N/A</v>
      </c>
    </row>
    <row r="21" spans="1:24" x14ac:dyDescent="0.2">
      <c r="A21" s="87">
        <f t="shared" ca="1" si="9"/>
        <v>44459</v>
      </c>
      <c r="B21" s="67" t="str">
        <f t="shared" ca="1" si="1"/>
        <v/>
      </c>
      <c r="C21" s="67" t="str">
        <f t="shared" ca="1" si="2"/>
        <v/>
      </c>
      <c r="D21" s="67">
        <f t="shared" ca="1" si="0"/>
        <v>38</v>
      </c>
      <c r="E21" s="5" t="e">
        <f ca="1">IF(LEFT(Demand!$C$8,1)="H",VLOOKUP($D21,'SPC background (hide)'!$AG$2:$AS$54,12,0),'Demand background (hide)'!X10)</f>
        <v>#N/A</v>
      </c>
      <c r="F21" s="5" t="e">
        <f ca="1">IF(LEFT(Demand!$C$8,1)="H",VLOOKUP($D21,'SPC background (hide)'!$AG$2:$AS$54,13,0),E21*1.1)</f>
        <v>#N/A</v>
      </c>
      <c r="G21" s="5" t="str">
        <f>IF(Setup!$I$15="Yes",VLOOKUP(D21,'SPC background (hide)'!$AG$2:$AT$54,14,0)/IF(Summary!$C$8="Patients",'Summary Calculations (hide)'!$I$9,1),"")</f>
        <v/>
      </c>
      <c r="H21" s="67" t="str">
        <f>IF(Setup!$I$13="Yes",'Planned background (hide)'!$V$23/IF(Summary!$C$8="Patients",'Summary Calculations (hide)'!$I$9,1),"")</f>
        <v/>
      </c>
      <c r="I21" s="5">
        <f ca="1">IFERROR(HLOOKUP(A21,'Capacity calculation (hide)'!$BK$1:$DK$4,4,0),Capacity!$I$15)</f>
        <v>0</v>
      </c>
      <c r="J21" s="5">
        <f ca="1">HLOOKUP(D21,'Capacity calculation (hide)'!$BK$110:$DK$111,2,0)</f>
        <v>0</v>
      </c>
      <c r="K21" s="5">
        <f ca="1">IF(I21-IF(Setup!$I$15="Yes",$G21,0)-IF(Setup!$I$13="Yes",$H21,0)&lt;0,0,I21-IF(Setup!$I$15="Yes",$G21,0)-IF(Setup!$I$13="Yes",$H21,0))</f>
        <v>0</v>
      </c>
      <c r="L21" s="5">
        <f t="shared" ca="1" si="3"/>
        <v>0</v>
      </c>
      <c r="M21" s="5" t="e">
        <f ca="1">(IF('Demand adjustments for Covid'!$F$9="No",E21,SUM('Demand background (hide)'!DS10,'Demand background (hide)'!DV10:DW10))*(1-'Parameters calculator (hide)'!$B$43))*(1-'Parameters calculator (hide)'!$B$44+('Parameters calculator (hide)'!$B$45*'Parameters calculator (hide)'!$B$47))</f>
        <v>#N/A</v>
      </c>
      <c r="N21" s="5" t="e">
        <f ca="1">(IF('Demand adjustments for Covid'!$F$9="No",F21,SUM('Demand background (hide)'!DT10,'Demand background (hide)'!DV10:DW10))*(1-'Parameters calculator (hide)'!$B$43))*(1-'Parameters calculator (hide)'!$B$44+('Parameters calculator (hide)'!$B$45*'Parameters calculator (hide)'!$B$47))</f>
        <v>#N/A</v>
      </c>
      <c r="P21" s="5">
        <f t="shared" ca="1" si="4"/>
        <v>0</v>
      </c>
      <c r="Q21" s="5">
        <f t="shared" ca="1" si="5"/>
        <v>0</v>
      </c>
      <c r="R21" s="5">
        <f t="shared" ca="1" si="6"/>
        <v>0</v>
      </c>
      <c r="S21" s="5">
        <f t="shared" ca="1" si="7"/>
        <v>0</v>
      </c>
      <c r="T21" s="5" t="e">
        <f ca="1">M21/IF(Summary!$C$8&lt;&gt;"Patients",1,$I$9)</f>
        <v>#N/A</v>
      </c>
      <c r="U21" s="5" t="e">
        <f ca="1">((N21-M21)/IF(Summary!$C$8&lt;&gt;"Patients",1,$I$9))</f>
        <v>#N/A</v>
      </c>
      <c r="V21" s="5">
        <f t="shared" si="8"/>
        <v>0</v>
      </c>
      <c r="X21" s="5" t="e">
        <f ca="1">(VLOOKUP(D21,'SPC background (hide)'!$AG$2:$AN$54,8,0)/IF(Summary!$C$8&lt;&gt;"Patients",1,$I$9))*(1-$I$4)*(1-$I$5+($I$6*$I$7))</f>
        <v>#N/A</v>
      </c>
    </row>
    <row r="22" spans="1:24" x14ac:dyDescent="0.2">
      <c r="A22" s="87">
        <f t="shared" ca="1" si="9"/>
        <v>44466</v>
      </c>
      <c r="B22" s="67" t="str">
        <f t="shared" ca="1" si="1"/>
        <v/>
      </c>
      <c r="C22" s="67" t="str">
        <f t="shared" ca="1" si="2"/>
        <v/>
      </c>
      <c r="D22" s="67">
        <f t="shared" ca="1" si="0"/>
        <v>39</v>
      </c>
      <c r="E22" s="5" t="e">
        <f ca="1">IF(LEFT(Demand!$C$8,1)="H",VLOOKUP($D22,'SPC background (hide)'!$AG$2:$AS$54,12,0),'Demand background (hide)'!X11)</f>
        <v>#N/A</v>
      </c>
      <c r="F22" s="5" t="e">
        <f ca="1">IF(LEFT(Demand!$C$8,1)="H",VLOOKUP($D22,'SPC background (hide)'!$AG$2:$AS$54,13,0),E22*1.1)</f>
        <v>#N/A</v>
      </c>
      <c r="G22" s="5" t="str">
        <f>IF(Setup!$I$15="Yes",VLOOKUP(D22,'SPC background (hide)'!$AG$2:$AT$54,14,0)/IF(Summary!$C$8="Patients",'Summary Calculations (hide)'!$I$9,1),"")</f>
        <v/>
      </c>
      <c r="H22" s="67" t="str">
        <f>IF(Setup!$I$13="Yes",'Planned background (hide)'!$V$23/IF(Summary!$C$8="Patients",'Summary Calculations (hide)'!$I$9,1),"")</f>
        <v/>
      </c>
      <c r="I22" s="5">
        <f ca="1">IFERROR(HLOOKUP(A22,'Capacity calculation (hide)'!$BK$1:$DK$4,4,0),Capacity!$I$15)</f>
        <v>0</v>
      </c>
      <c r="J22" s="5">
        <f ca="1">HLOOKUP(D22,'Capacity calculation (hide)'!$BK$110:$DK$111,2,0)</f>
        <v>0</v>
      </c>
      <c r="K22" s="5">
        <f ca="1">IF(I22-IF(Setup!$I$15="Yes",$G22,0)-IF(Setup!$I$13="Yes",$H22,0)&lt;0,0,I22-IF(Setup!$I$15="Yes",$G22,0)-IF(Setup!$I$13="Yes",$H22,0))</f>
        <v>0</v>
      </c>
      <c r="L22" s="5">
        <f t="shared" ca="1" si="3"/>
        <v>0</v>
      </c>
      <c r="M22" s="5" t="e">
        <f ca="1">(IF('Demand adjustments for Covid'!$F$9="No",E22,SUM('Demand background (hide)'!DS11,'Demand background (hide)'!DV11:DW11))*(1-'Parameters calculator (hide)'!$B$43))*(1-'Parameters calculator (hide)'!$B$44+('Parameters calculator (hide)'!$B$45*'Parameters calculator (hide)'!$B$47))</f>
        <v>#N/A</v>
      </c>
      <c r="N22" s="5" t="e">
        <f ca="1">(IF('Demand adjustments for Covid'!$F$9="No",F22,SUM('Demand background (hide)'!DT11,'Demand background (hide)'!DV11:DW11))*(1-'Parameters calculator (hide)'!$B$43))*(1-'Parameters calculator (hide)'!$B$44+('Parameters calculator (hide)'!$B$45*'Parameters calculator (hide)'!$B$47))</f>
        <v>#N/A</v>
      </c>
      <c r="P22" s="5">
        <f t="shared" ca="1" si="4"/>
        <v>0</v>
      </c>
      <c r="Q22" s="5">
        <f t="shared" ca="1" si="5"/>
        <v>0</v>
      </c>
      <c r="R22" s="5">
        <f t="shared" ca="1" si="6"/>
        <v>0</v>
      </c>
      <c r="S22" s="5">
        <f t="shared" ca="1" si="7"/>
        <v>0</v>
      </c>
      <c r="T22" s="5" t="e">
        <f ca="1">M22/IF(Summary!$C$8&lt;&gt;"Patients",1,$I$9)</f>
        <v>#N/A</v>
      </c>
      <c r="U22" s="5" t="e">
        <f ca="1">((N22-M22)/IF(Summary!$C$8&lt;&gt;"Patients",1,$I$9))</f>
        <v>#N/A</v>
      </c>
      <c r="V22" s="5">
        <f t="shared" si="8"/>
        <v>0</v>
      </c>
      <c r="X22" s="5" t="e">
        <f ca="1">(VLOOKUP(D22,'SPC background (hide)'!$AG$2:$AN$54,8,0)/IF(Summary!$C$8&lt;&gt;"Patients",1,$I$9))*(1-$I$4)*(1-$I$5+($I$6*$I$7))</f>
        <v>#N/A</v>
      </c>
    </row>
    <row r="23" spans="1:24" x14ac:dyDescent="0.2">
      <c r="A23" s="87">
        <f t="shared" ca="1" si="9"/>
        <v>44473</v>
      </c>
      <c r="B23" s="67" t="str">
        <f t="shared" ca="1" si="1"/>
        <v/>
      </c>
      <c r="C23" s="67" t="str">
        <f t="shared" ca="1" si="2"/>
        <v>Oct</v>
      </c>
      <c r="D23" s="67">
        <f t="shared" ca="1" si="0"/>
        <v>40</v>
      </c>
      <c r="E23" s="5" t="e">
        <f ca="1">IF(LEFT(Demand!$C$8,1)="H",VLOOKUP($D23,'SPC background (hide)'!$AG$2:$AS$54,12,0),'Demand background (hide)'!X12)</f>
        <v>#N/A</v>
      </c>
      <c r="F23" s="5" t="e">
        <f ca="1">IF(LEFT(Demand!$C$8,1)="H",VLOOKUP($D23,'SPC background (hide)'!$AG$2:$AS$54,13,0),E23*1.1)</f>
        <v>#N/A</v>
      </c>
      <c r="G23" s="5" t="str">
        <f>IF(Setup!$I$15="Yes",VLOOKUP(D23,'SPC background (hide)'!$AG$2:$AT$54,14,0)/IF(Summary!$C$8="Patients",'Summary Calculations (hide)'!$I$9,1),"")</f>
        <v/>
      </c>
      <c r="H23" s="67" t="str">
        <f>IF(Setup!$I$13="Yes",'Planned background (hide)'!$V$23/IF(Summary!$C$8="Patients",'Summary Calculations (hide)'!$I$9,1),"")</f>
        <v/>
      </c>
      <c r="I23" s="5">
        <f ca="1">IFERROR(HLOOKUP(A23,'Capacity calculation (hide)'!$BK$1:$DK$4,4,0),Capacity!$I$15)</f>
        <v>0</v>
      </c>
      <c r="J23" s="5">
        <f ca="1">HLOOKUP(D23,'Capacity calculation (hide)'!$BK$110:$DK$111,2,0)</f>
        <v>0</v>
      </c>
      <c r="K23" s="5">
        <f ca="1">IF(I23-IF(Setup!$I$15="Yes",$G23,0)-IF(Setup!$I$13="Yes",$H23,0)&lt;0,0,I23-IF(Setup!$I$15="Yes",$G23,0)-IF(Setup!$I$13="Yes",$H23,0))</f>
        <v>0</v>
      </c>
      <c r="L23" s="5">
        <f t="shared" ca="1" si="3"/>
        <v>0</v>
      </c>
      <c r="M23" s="5" t="e">
        <f ca="1">(IF('Demand adjustments for Covid'!$F$9="No",E23,SUM('Demand background (hide)'!DS12,'Demand background (hide)'!DV12:DW12))*(1-'Parameters calculator (hide)'!$B$43))*(1-'Parameters calculator (hide)'!$B$44+('Parameters calculator (hide)'!$B$45*'Parameters calculator (hide)'!$B$47))</f>
        <v>#N/A</v>
      </c>
      <c r="N23" s="5" t="e">
        <f ca="1">(IF('Demand adjustments for Covid'!$F$9="No",F23,SUM('Demand background (hide)'!DT12,'Demand background (hide)'!DV12:DW12))*(1-'Parameters calculator (hide)'!$B$43))*(1-'Parameters calculator (hide)'!$B$44+('Parameters calculator (hide)'!$B$45*'Parameters calculator (hide)'!$B$47))</f>
        <v>#N/A</v>
      </c>
      <c r="P23" s="5">
        <f t="shared" ca="1" si="4"/>
        <v>0</v>
      </c>
      <c r="Q23" s="5">
        <f t="shared" ca="1" si="5"/>
        <v>0</v>
      </c>
      <c r="R23" s="5">
        <f t="shared" ca="1" si="6"/>
        <v>0</v>
      </c>
      <c r="S23" s="5">
        <f t="shared" ca="1" si="7"/>
        <v>0</v>
      </c>
      <c r="T23" s="5" t="e">
        <f ca="1">M23/IF(Summary!$C$8&lt;&gt;"Patients",1,$I$9)</f>
        <v>#N/A</v>
      </c>
      <c r="U23" s="5" t="e">
        <f ca="1">((N23-M23)/IF(Summary!$C$8&lt;&gt;"Patients",1,$I$9))</f>
        <v>#N/A</v>
      </c>
      <c r="V23" s="5">
        <f t="shared" si="8"/>
        <v>0</v>
      </c>
      <c r="X23" s="5" t="e">
        <f ca="1">(VLOOKUP(D23,'SPC background (hide)'!$AG$2:$AN$54,8,0)/IF(Summary!$C$8&lt;&gt;"Patients",1,$I$9))*(1-$I$4)*(1-$I$5+($I$6*$I$7))</f>
        <v>#N/A</v>
      </c>
    </row>
    <row r="24" spans="1:24" x14ac:dyDescent="0.2">
      <c r="A24" s="87">
        <f t="shared" ca="1" si="9"/>
        <v>44480</v>
      </c>
      <c r="B24" s="67" t="str">
        <f t="shared" ca="1" si="1"/>
        <v/>
      </c>
      <c r="C24" s="67" t="str">
        <f t="shared" ca="1" si="2"/>
        <v/>
      </c>
      <c r="D24" s="67">
        <f t="shared" ca="1" si="0"/>
        <v>41</v>
      </c>
      <c r="E24" s="5" t="e">
        <f ca="1">IF(LEFT(Demand!$C$8,1)="H",VLOOKUP($D24,'SPC background (hide)'!$AG$2:$AS$54,12,0),'Demand background (hide)'!X13)</f>
        <v>#N/A</v>
      </c>
      <c r="F24" s="5" t="e">
        <f ca="1">IF(LEFT(Demand!$C$8,1)="H",VLOOKUP($D24,'SPC background (hide)'!$AG$2:$AS$54,13,0),E24*1.1)</f>
        <v>#N/A</v>
      </c>
      <c r="G24" s="5" t="str">
        <f>IF(Setup!$I$15="Yes",VLOOKUP(D24,'SPC background (hide)'!$AG$2:$AT$54,14,0)/IF(Summary!$C$8="Patients",'Summary Calculations (hide)'!$I$9,1),"")</f>
        <v/>
      </c>
      <c r="H24" s="67" t="str">
        <f>IF(Setup!$I$13="Yes",'Planned background (hide)'!$V$23/IF(Summary!$C$8="Patients",'Summary Calculations (hide)'!$I$9,1),"")</f>
        <v/>
      </c>
      <c r="I24" s="5">
        <f ca="1">IFERROR(HLOOKUP(A24,'Capacity calculation (hide)'!$BK$1:$DK$4,4,0),Capacity!$I$15)</f>
        <v>0</v>
      </c>
      <c r="J24" s="5">
        <f ca="1">HLOOKUP(D24,'Capacity calculation (hide)'!$BK$110:$DK$111,2,0)</f>
        <v>0</v>
      </c>
      <c r="K24" s="5">
        <f ca="1">IF(I24-IF(Setup!$I$15="Yes",$G24,0)-IF(Setup!$I$13="Yes",$H24,0)&lt;0,0,I24-IF(Setup!$I$15="Yes",$G24,0)-IF(Setup!$I$13="Yes",$H24,0))</f>
        <v>0</v>
      </c>
      <c r="L24" s="5">
        <f t="shared" ca="1" si="3"/>
        <v>0</v>
      </c>
      <c r="M24" s="5" t="e">
        <f ca="1">(IF('Demand adjustments for Covid'!$F$9="No",E24,SUM('Demand background (hide)'!DS13,'Demand background (hide)'!DV13:DW13))*(1-'Parameters calculator (hide)'!$B$43))*(1-'Parameters calculator (hide)'!$B$44+('Parameters calculator (hide)'!$B$45*'Parameters calculator (hide)'!$B$47))</f>
        <v>#N/A</v>
      </c>
      <c r="N24" s="5" t="e">
        <f ca="1">(IF('Demand adjustments for Covid'!$F$9="No",F24,SUM('Demand background (hide)'!DT13,'Demand background (hide)'!DV13:DW13))*(1-'Parameters calculator (hide)'!$B$43))*(1-'Parameters calculator (hide)'!$B$44+('Parameters calculator (hide)'!$B$45*'Parameters calculator (hide)'!$B$47))</f>
        <v>#N/A</v>
      </c>
      <c r="P24" s="5">
        <f t="shared" ca="1" si="4"/>
        <v>0</v>
      </c>
      <c r="Q24" s="5">
        <f t="shared" ca="1" si="5"/>
        <v>0</v>
      </c>
      <c r="R24" s="5">
        <f t="shared" ca="1" si="6"/>
        <v>0</v>
      </c>
      <c r="S24" s="5">
        <f t="shared" ca="1" si="7"/>
        <v>0</v>
      </c>
      <c r="T24" s="5" t="e">
        <f ca="1">M24/IF(Summary!$C$8&lt;&gt;"Patients",1,$I$9)</f>
        <v>#N/A</v>
      </c>
      <c r="U24" s="5" t="e">
        <f ca="1">((N24-M24)/IF(Summary!$C$8&lt;&gt;"Patients",1,$I$9))</f>
        <v>#N/A</v>
      </c>
      <c r="V24" s="5">
        <f t="shared" si="8"/>
        <v>0</v>
      </c>
      <c r="X24" s="5" t="e">
        <f ca="1">(VLOOKUP(D24,'SPC background (hide)'!$AG$2:$AN$54,8,0)/IF(Summary!$C$8&lt;&gt;"Patients",1,$I$9))*(1-$I$4)*(1-$I$5+($I$6*$I$7))</f>
        <v>#N/A</v>
      </c>
    </row>
    <row r="25" spans="1:24" x14ac:dyDescent="0.2">
      <c r="A25" s="87">
        <f t="shared" ca="1" si="9"/>
        <v>44487</v>
      </c>
      <c r="B25" s="67" t="str">
        <f t="shared" ca="1" si="1"/>
        <v/>
      </c>
      <c r="C25" s="67" t="str">
        <f t="shared" ca="1" si="2"/>
        <v/>
      </c>
      <c r="D25" s="67">
        <f t="shared" ca="1" si="0"/>
        <v>42</v>
      </c>
      <c r="E25" s="5" t="e">
        <f ca="1">IF(LEFT(Demand!$C$8,1)="H",VLOOKUP($D25,'SPC background (hide)'!$AG$2:$AS$54,12,0),'Demand background (hide)'!X14)</f>
        <v>#N/A</v>
      </c>
      <c r="F25" s="5" t="e">
        <f ca="1">IF(LEFT(Demand!$C$8,1)="H",VLOOKUP($D25,'SPC background (hide)'!$AG$2:$AS$54,13,0),E25*1.1)</f>
        <v>#N/A</v>
      </c>
      <c r="G25" s="5" t="str">
        <f>IF(Setup!$I$15="Yes",VLOOKUP(D25,'SPC background (hide)'!$AG$2:$AT$54,14,0)/IF(Summary!$C$8="Patients",'Summary Calculations (hide)'!$I$9,1),"")</f>
        <v/>
      </c>
      <c r="H25" s="67" t="str">
        <f>IF(Setup!$I$13="Yes",'Planned background (hide)'!$V$23/IF(Summary!$C$8="Patients",'Summary Calculations (hide)'!$I$9,1),"")</f>
        <v/>
      </c>
      <c r="I25" s="5">
        <f ca="1">IFERROR(HLOOKUP(A25,'Capacity calculation (hide)'!$BK$1:$DK$4,4,0),Capacity!$I$15)</f>
        <v>0</v>
      </c>
      <c r="J25" s="5">
        <f ca="1">HLOOKUP(D25,'Capacity calculation (hide)'!$BK$110:$DK$111,2,0)</f>
        <v>0</v>
      </c>
      <c r="K25" s="5">
        <f ca="1">IF(I25-IF(Setup!$I$15="Yes",$G25,0)-IF(Setup!$I$13="Yes",$H25,0)&lt;0,0,I25-IF(Setup!$I$15="Yes",$G25,0)-IF(Setup!$I$13="Yes",$H25,0))</f>
        <v>0</v>
      </c>
      <c r="L25" s="5">
        <f t="shared" ca="1" si="3"/>
        <v>0</v>
      </c>
      <c r="M25" s="5" t="e">
        <f ca="1">(IF('Demand adjustments for Covid'!$F$9="No",E25,SUM('Demand background (hide)'!DS14,'Demand background (hide)'!DV14:DW14))*(1-'Parameters calculator (hide)'!$B$43))*(1-'Parameters calculator (hide)'!$B$44+('Parameters calculator (hide)'!$B$45*'Parameters calculator (hide)'!$B$47))</f>
        <v>#N/A</v>
      </c>
      <c r="N25" s="5" t="e">
        <f ca="1">(IF('Demand adjustments for Covid'!$F$9="No",F25,SUM('Demand background (hide)'!DT14,'Demand background (hide)'!DV14:DW14))*(1-'Parameters calculator (hide)'!$B$43))*(1-'Parameters calculator (hide)'!$B$44+('Parameters calculator (hide)'!$B$45*'Parameters calculator (hide)'!$B$47))</f>
        <v>#N/A</v>
      </c>
      <c r="P25" s="5">
        <f t="shared" ca="1" si="4"/>
        <v>0</v>
      </c>
      <c r="Q25" s="5">
        <f t="shared" ca="1" si="5"/>
        <v>0</v>
      </c>
      <c r="R25" s="5">
        <f t="shared" ca="1" si="6"/>
        <v>0</v>
      </c>
      <c r="S25" s="5">
        <f t="shared" ca="1" si="7"/>
        <v>0</v>
      </c>
      <c r="T25" s="5" t="e">
        <f ca="1">M25/IF(Summary!$C$8&lt;&gt;"Patients",1,$I$9)</f>
        <v>#N/A</v>
      </c>
      <c r="U25" s="5" t="e">
        <f ca="1">((N25-M25)/IF(Summary!$C$8&lt;&gt;"Patients",1,$I$9))</f>
        <v>#N/A</v>
      </c>
      <c r="V25" s="5">
        <f t="shared" si="8"/>
        <v>0</v>
      </c>
      <c r="X25" s="5" t="e">
        <f ca="1">(VLOOKUP(D25,'SPC background (hide)'!$AG$2:$AN$54,8,0)/IF(Summary!$C$8&lt;&gt;"Patients",1,$I$9))*(1-$I$4)*(1-$I$5+($I$6*$I$7))</f>
        <v>#N/A</v>
      </c>
    </row>
    <row r="26" spans="1:24" x14ac:dyDescent="0.2">
      <c r="A26" s="87">
        <f t="shared" ca="1" si="9"/>
        <v>44494</v>
      </c>
      <c r="B26" s="67" t="str">
        <f t="shared" ca="1" si="1"/>
        <v/>
      </c>
      <c r="C26" s="67" t="str">
        <f t="shared" ca="1" si="2"/>
        <v/>
      </c>
      <c r="D26" s="67">
        <f t="shared" ca="1" si="0"/>
        <v>43</v>
      </c>
      <c r="E26" s="5" t="e">
        <f ca="1">IF(LEFT(Demand!$C$8,1)="H",VLOOKUP($D26,'SPC background (hide)'!$AG$2:$AS$54,12,0),'Demand background (hide)'!X15)</f>
        <v>#N/A</v>
      </c>
      <c r="F26" s="5" t="e">
        <f ca="1">IF(LEFT(Demand!$C$8,1)="H",VLOOKUP($D26,'SPC background (hide)'!$AG$2:$AS$54,13,0),E26*1.1)</f>
        <v>#N/A</v>
      </c>
      <c r="G26" s="5" t="str">
        <f>IF(Setup!$I$15="Yes",VLOOKUP(D26,'SPC background (hide)'!$AG$2:$AT$54,14,0)/IF(Summary!$C$8="Patients",'Summary Calculations (hide)'!$I$9,1),"")</f>
        <v/>
      </c>
      <c r="H26" s="67" t="str">
        <f>IF(Setup!$I$13="Yes",'Planned background (hide)'!$V$23/IF(Summary!$C$8="Patients",'Summary Calculations (hide)'!$I$9,1),"")</f>
        <v/>
      </c>
      <c r="I26" s="5">
        <f ca="1">IFERROR(HLOOKUP(A26,'Capacity calculation (hide)'!$BK$1:$DK$4,4,0),Capacity!$I$15)</f>
        <v>0</v>
      </c>
      <c r="J26" s="5">
        <f ca="1">HLOOKUP(D26,'Capacity calculation (hide)'!$BK$110:$DK$111,2,0)</f>
        <v>0</v>
      </c>
      <c r="K26" s="5">
        <f ca="1">IF(I26-IF(Setup!$I$15="Yes",$G26,0)-IF(Setup!$I$13="Yes",$H26,0)&lt;0,0,I26-IF(Setup!$I$15="Yes",$G26,0)-IF(Setup!$I$13="Yes",$H26,0))</f>
        <v>0</v>
      </c>
      <c r="L26" s="5">
        <f t="shared" ca="1" si="3"/>
        <v>0</v>
      </c>
      <c r="M26" s="5" t="e">
        <f ca="1">(IF('Demand adjustments for Covid'!$F$9="No",E26,SUM('Demand background (hide)'!DS15,'Demand background (hide)'!DV15:DW15))*(1-'Parameters calculator (hide)'!$B$43))*(1-'Parameters calculator (hide)'!$B$44+('Parameters calculator (hide)'!$B$45*'Parameters calculator (hide)'!$B$47))</f>
        <v>#N/A</v>
      </c>
      <c r="N26" s="5" t="e">
        <f ca="1">(IF('Demand adjustments for Covid'!$F$9="No",F26,SUM('Demand background (hide)'!DT15,'Demand background (hide)'!DV15:DW15))*(1-'Parameters calculator (hide)'!$B$43))*(1-'Parameters calculator (hide)'!$B$44+('Parameters calculator (hide)'!$B$45*'Parameters calculator (hide)'!$B$47))</f>
        <v>#N/A</v>
      </c>
      <c r="P26" s="5">
        <f t="shared" ca="1" si="4"/>
        <v>0</v>
      </c>
      <c r="Q26" s="5">
        <f t="shared" ca="1" si="5"/>
        <v>0</v>
      </c>
      <c r="R26" s="5">
        <f t="shared" ca="1" si="6"/>
        <v>0</v>
      </c>
      <c r="S26" s="5">
        <f t="shared" ca="1" si="7"/>
        <v>0</v>
      </c>
      <c r="T26" s="5" t="e">
        <f ca="1">M26/IF(Summary!$C$8&lt;&gt;"Patients",1,$I$9)</f>
        <v>#N/A</v>
      </c>
      <c r="U26" s="5" t="e">
        <f ca="1">((N26-M26)/IF(Summary!$C$8&lt;&gt;"Patients",1,$I$9))</f>
        <v>#N/A</v>
      </c>
      <c r="V26" s="5">
        <f t="shared" si="8"/>
        <v>0</v>
      </c>
      <c r="X26" s="5" t="e">
        <f ca="1">(VLOOKUP(D26,'SPC background (hide)'!$AG$2:$AN$54,8,0)/IF(Summary!$C$8&lt;&gt;"Patients",1,$I$9))*(1-$I$4)*(1-$I$5+($I$6*$I$7))</f>
        <v>#N/A</v>
      </c>
    </row>
    <row r="27" spans="1:24" x14ac:dyDescent="0.2">
      <c r="A27" s="87">
        <f t="shared" ca="1" si="9"/>
        <v>44501</v>
      </c>
      <c r="B27" s="67" t="str">
        <f t="shared" ca="1" si="1"/>
        <v/>
      </c>
      <c r="C27" s="67" t="str">
        <f t="shared" ca="1" si="2"/>
        <v>Nov</v>
      </c>
      <c r="D27" s="67">
        <f t="shared" ca="1" si="0"/>
        <v>44</v>
      </c>
      <c r="E27" s="5" t="e">
        <f ca="1">IF(LEFT(Demand!$C$8,1)="H",VLOOKUP($D27,'SPC background (hide)'!$AG$2:$AS$54,12,0),'Demand background (hide)'!X16)</f>
        <v>#N/A</v>
      </c>
      <c r="F27" s="5" t="e">
        <f ca="1">IF(LEFT(Demand!$C$8,1)="H",VLOOKUP($D27,'SPC background (hide)'!$AG$2:$AS$54,13,0),E27*1.1)</f>
        <v>#N/A</v>
      </c>
      <c r="G27" s="5" t="str">
        <f>IF(Setup!$I$15="Yes",VLOOKUP(D27,'SPC background (hide)'!$AG$2:$AT$54,14,0)/IF(Summary!$C$8="Patients",'Summary Calculations (hide)'!$I$9,1),"")</f>
        <v/>
      </c>
      <c r="H27" s="67" t="str">
        <f>IF(Setup!$I$13="Yes",'Planned background (hide)'!$V$23/IF(Summary!$C$8="Patients",'Summary Calculations (hide)'!$I$9,1),"")</f>
        <v/>
      </c>
      <c r="I27" s="5">
        <f ca="1">IFERROR(HLOOKUP(A27,'Capacity calculation (hide)'!$BK$1:$DK$4,4,0),Capacity!$I$15)</f>
        <v>0</v>
      </c>
      <c r="J27" s="5">
        <f ca="1">HLOOKUP(D27,'Capacity calculation (hide)'!$BK$110:$DK$111,2,0)</f>
        <v>0</v>
      </c>
      <c r="K27" s="5">
        <f ca="1">IF(I27-IF(Setup!$I$15="Yes",$G27,0)-IF(Setup!$I$13="Yes",$H27,0)&lt;0,0,I27-IF(Setup!$I$15="Yes",$G27,0)-IF(Setup!$I$13="Yes",$H27,0))</f>
        <v>0</v>
      </c>
      <c r="L27" s="5">
        <f t="shared" ca="1" si="3"/>
        <v>0</v>
      </c>
      <c r="M27" s="5" t="e">
        <f ca="1">(IF('Demand adjustments for Covid'!$F$9="No",E27,SUM('Demand background (hide)'!DS16,'Demand background (hide)'!DV16:DW16))*(1-'Parameters calculator (hide)'!$B$43))*(1-'Parameters calculator (hide)'!$B$44+('Parameters calculator (hide)'!$B$45*'Parameters calculator (hide)'!$B$47))</f>
        <v>#N/A</v>
      </c>
      <c r="N27" s="5" t="e">
        <f ca="1">(IF('Demand adjustments for Covid'!$F$9="No",F27,SUM('Demand background (hide)'!DT16,'Demand background (hide)'!DV16:DW16))*(1-'Parameters calculator (hide)'!$B$43))*(1-'Parameters calculator (hide)'!$B$44+('Parameters calculator (hide)'!$B$45*'Parameters calculator (hide)'!$B$47))</f>
        <v>#N/A</v>
      </c>
      <c r="P27" s="5">
        <f t="shared" ca="1" si="4"/>
        <v>0</v>
      </c>
      <c r="Q27" s="5">
        <f t="shared" ca="1" si="5"/>
        <v>0</v>
      </c>
      <c r="R27" s="5">
        <f t="shared" ca="1" si="6"/>
        <v>0</v>
      </c>
      <c r="S27" s="5">
        <f t="shared" ca="1" si="7"/>
        <v>0</v>
      </c>
      <c r="T27" s="5" t="e">
        <f ca="1">M27/IF(Summary!$C$8&lt;&gt;"Patients",1,$I$9)</f>
        <v>#N/A</v>
      </c>
      <c r="U27" s="5" t="e">
        <f ca="1">((N27-M27)/IF(Summary!$C$8&lt;&gt;"Patients",1,$I$9))</f>
        <v>#N/A</v>
      </c>
      <c r="V27" s="5">
        <f t="shared" si="8"/>
        <v>0</v>
      </c>
      <c r="X27" s="5" t="e">
        <f ca="1">(VLOOKUP(D27,'SPC background (hide)'!$AG$2:$AN$54,8,0)/IF(Summary!$C$8&lt;&gt;"Patients",1,$I$9))*(1-$I$4)*(1-$I$5+($I$6*$I$7))</f>
        <v>#N/A</v>
      </c>
    </row>
    <row r="28" spans="1:24" x14ac:dyDescent="0.2">
      <c r="A28" s="87">
        <f t="shared" ca="1" si="9"/>
        <v>44508</v>
      </c>
      <c r="B28" s="67" t="str">
        <f t="shared" ca="1" si="1"/>
        <v/>
      </c>
      <c r="C28" s="67" t="str">
        <f t="shared" ca="1" si="2"/>
        <v/>
      </c>
      <c r="D28" s="67">
        <f t="shared" ca="1" si="0"/>
        <v>45</v>
      </c>
      <c r="E28" s="5" t="e">
        <f ca="1">IF(LEFT(Demand!$C$8,1)="H",VLOOKUP($D28,'SPC background (hide)'!$AG$2:$AS$54,12,0),'Demand background (hide)'!X17)</f>
        <v>#N/A</v>
      </c>
      <c r="F28" s="5" t="e">
        <f ca="1">IF(LEFT(Demand!$C$8,1)="H",VLOOKUP($D28,'SPC background (hide)'!$AG$2:$AS$54,13,0),E28*1.1)</f>
        <v>#N/A</v>
      </c>
      <c r="G28" s="5" t="str">
        <f>IF(Setup!$I$15="Yes",VLOOKUP(D28,'SPC background (hide)'!$AG$2:$AT$54,14,0)/IF(Summary!$C$8="Patients",'Summary Calculations (hide)'!$I$9,1),"")</f>
        <v/>
      </c>
      <c r="H28" s="67" t="str">
        <f>IF(Setup!$I$13="Yes",'Planned background (hide)'!$V$23/IF(Summary!$C$8="Patients",'Summary Calculations (hide)'!$I$9,1),"")</f>
        <v/>
      </c>
      <c r="I28" s="5">
        <f ca="1">IFERROR(HLOOKUP(A28,'Capacity calculation (hide)'!$BK$1:$DK$4,4,0),Capacity!$I$15)</f>
        <v>0</v>
      </c>
      <c r="J28" s="5">
        <f ca="1">HLOOKUP(D28,'Capacity calculation (hide)'!$BK$110:$DK$111,2,0)</f>
        <v>0</v>
      </c>
      <c r="K28" s="5">
        <f ca="1">IF(I28-IF(Setup!$I$15="Yes",$G28,0)-IF(Setup!$I$13="Yes",$H28,0)&lt;0,0,I28-IF(Setup!$I$15="Yes",$G28,0)-IF(Setup!$I$13="Yes",$H28,0))</f>
        <v>0</v>
      </c>
      <c r="L28" s="5">
        <f t="shared" ca="1" si="3"/>
        <v>0</v>
      </c>
      <c r="M28" s="5" t="e">
        <f ca="1">(IF('Demand adjustments for Covid'!$F$9="No",E28,SUM('Demand background (hide)'!DS17,'Demand background (hide)'!DV17:DW17))*(1-'Parameters calculator (hide)'!$B$43))*(1-'Parameters calculator (hide)'!$B$44+('Parameters calculator (hide)'!$B$45*'Parameters calculator (hide)'!$B$47))</f>
        <v>#N/A</v>
      </c>
      <c r="N28" s="5" t="e">
        <f ca="1">(IF('Demand adjustments for Covid'!$F$9="No",F28,SUM('Demand background (hide)'!DT17,'Demand background (hide)'!DV17:DW17))*(1-'Parameters calculator (hide)'!$B$43))*(1-'Parameters calculator (hide)'!$B$44+('Parameters calculator (hide)'!$B$45*'Parameters calculator (hide)'!$B$47))</f>
        <v>#N/A</v>
      </c>
      <c r="P28" s="5">
        <f t="shared" ca="1" si="4"/>
        <v>0</v>
      </c>
      <c r="Q28" s="5">
        <f t="shared" ca="1" si="5"/>
        <v>0</v>
      </c>
      <c r="R28" s="5">
        <f t="shared" ca="1" si="6"/>
        <v>0</v>
      </c>
      <c r="S28" s="5">
        <f t="shared" ca="1" si="7"/>
        <v>0</v>
      </c>
      <c r="T28" s="5" t="e">
        <f ca="1">M28/IF(Summary!$C$8&lt;&gt;"Patients",1,$I$9)</f>
        <v>#N/A</v>
      </c>
      <c r="U28" s="5" t="e">
        <f ca="1">((N28-M28)/IF(Summary!$C$8&lt;&gt;"Patients",1,$I$9))</f>
        <v>#N/A</v>
      </c>
      <c r="V28" s="5">
        <f t="shared" si="8"/>
        <v>0</v>
      </c>
      <c r="X28" s="5" t="e">
        <f ca="1">(VLOOKUP(D28,'SPC background (hide)'!$AG$2:$AN$54,8,0)/IF(Summary!$C$8&lt;&gt;"Patients",1,$I$9))*(1-$I$4)*(1-$I$5+($I$6*$I$7))</f>
        <v>#N/A</v>
      </c>
    </row>
    <row r="29" spans="1:24" x14ac:dyDescent="0.2">
      <c r="A29" s="87">
        <f t="shared" ca="1" si="9"/>
        <v>44515</v>
      </c>
      <c r="B29" s="67" t="str">
        <f t="shared" ca="1" si="1"/>
        <v/>
      </c>
      <c r="C29" s="67" t="str">
        <f t="shared" ca="1" si="2"/>
        <v/>
      </c>
      <c r="D29" s="67">
        <f t="shared" ca="1" si="0"/>
        <v>46</v>
      </c>
      <c r="E29" s="5" t="e">
        <f ca="1">IF(LEFT(Demand!$C$8,1)="H",VLOOKUP($D29,'SPC background (hide)'!$AG$2:$AS$54,12,0),'Demand background (hide)'!X18)</f>
        <v>#N/A</v>
      </c>
      <c r="F29" s="5" t="e">
        <f ca="1">IF(LEFT(Demand!$C$8,1)="H",VLOOKUP($D29,'SPC background (hide)'!$AG$2:$AS$54,13,0),E29*1.1)</f>
        <v>#N/A</v>
      </c>
      <c r="G29" s="5" t="str">
        <f>IF(Setup!$I$15="Yes",VLOOKUP(D29,'SPC background (hide)'!$AG$2:$AT$54,14,0)/IF(Summary!$C$8="Patients",'Summary Calculations (hide)'!$I$9,1),"")</f>
        <v/>
      </c>
      <c r="H29" s="67" t="str">
        <f>IF(Setup!$I$13="Yes",'Planned background (hide)'!$V$23/IF(Summary!$C$8="Patients",'Summary Calculations (hide)'!$I$9,1),"")</f>
        <v/>
      </c>
      <c r="I29" s="5">
        <f ca="1">IFERROR(HLOOKUP(A29,'Capacity calculation (hide)'!$BK$1:$DK$4,4,0),Capacity!$I$15)</f>
        <v>0</v>
      </c>
      <c r="J29" s="5">
        <f ca="1">HLOOKUP(D29,'Capacity calculation (hide)'!$BK$110:$DK$111,2,0)</f>
        <v>0</v>
      </c>
      <c r="K29" s="5">
        <f ca="1">IF(I29-IF(Setup!$I$15="Yes",$G29,0)-IF(Setup!$I$13="Yes",$H29,0)&lt;0,0,I29-IF(Setup!$I$15="Yes",$G29,0)-IF(Setup!$I$13="Yes",$H29,0))</f>
        <v>0</v>
      </c>
      <c r="L29" s="5">
        <f t="shared" ca="1" si="3"/>
        <v>0</v>
      </c>
      <c r="M29" s="5" t="e">
        <f ca="1">(IF('Demand adjustments for Covid'!$F$9="No",E29,SUM('Demand background (hide)'!DS18,'Demand background (hide)'!DV18:DW18))*(1-'Parameters calculator (hide)'!$B$43))*(1-'Parameters calculator (hide)'!$B$44+('Parameters calculator (hide)'!$B$45*'Parameters calculator (hide)'!$B$47))</f>
        <v>#N/A</v>
      </c>
      <c r="N29" s="5" t="e">
        <f ca="1">(IF('Demand adjustments for Covid'!$F$9="No",F29,SUM('Demand background (hide)'!DT18,'Demand background (hide)'!DV18:DW18))*(1-'Parameters calculator (hide)'!$B$43))*(1-'Parameters calculator (hide)'!$B$44+('Parameters calculator (hide)'!$B$45*'Parameters calculator (hide)'!$B$47))</f>
        <v>#N/A</v>
      </c>
      <c r="P29" s="5">
        <f t="shared" ca="1" si="4"/>
        <v>0</v>
      </c>
      <c r="Q29" s="5">
        <f t="shared" ca="1" si="5"/>
        <v>0</v>
      </c>
      <c r="R29" s="5">
        <f t="shared" ca="1" si="6"/>
        <v>0</v>
      </c>
      <c r="S29" s="5">
        <f t="shared" ca="1" si="7"/>
        <v>0</v>
      </c>
      <c r="T29" s="5" t="e">
        <f ca="1">M29/IF(Summary!$C$8&lt;&gt;"Patients",1,$I$9)</f>
        <v>#N/A</v>
      </c>
      <c r="U29" s="5" t="e">
        <f ca="1">((N29-M29)/IF(Summary!$C$8&lt;&gt;"Patients",1,$I$9))</f>
        <v>#N/A</v>
      </c>
      <c r="V29" s="5">
        <f t="shared" si="8"/>
        <v>0</v>
      </c>
      <c r="X29" s="5" t="e">
        <f ca="1">(VLOOKUP(D29,'SPC background (hide)'!$AG$2:$AN$54,8,0)/IF(Summary!$C$8&lt;&gt;"Patients",1,$I$9))*(1-$I$4)*(1-$I$5+($I$6*$I$7))</f>
        <v>#N/A</v>
      </c>
    </row>
    <row r="30" spans="1:24" x14ac:dyDescent="0.2">
      <c r="A30" s="87">
        <f t="shared" ca="1" si="9"/>
        <v>44522</v>
      </c>
      <c r="B30" s="67" t="str">
        <f t="shared" ca="1" si="1"/>
        <v/>
      </c>
      <c r="C30" s="67" t="str">
        <f t="shared" ca="1" si="2"/>
        <v/>
      </c>
      <c r="D30" s="67">
        <f t="shared" ca="1" si="0"/>
        <v>47</v>
      </c>
      <c r="E30" s="5" t="e">
        <f ca="1">IF(LEFT(Demand!$C$8,1)="H",VLOOKUP($D30,'SPC background (hide)'!$AG$2:$AS$54,12,0),'Demand background (hide)'!X19)</f>
        <v>#N/A</v>
      </c>
      <c r="F30" s="5" t="e">
        <f ca="1">IF(LEFT(Demand!$C$8,1)="H",VLOOKUP($D30,'SPC background (hide)'!$AG$2:$AS$54,13,0),E30*1.1)</f>
        <v>#N/A</v>
      </c>
      <c r="G30" s="5" t="str">
        <f>IF(Setup!$I$15="Yes",VLOOKUP(D30,'SPC background (hide)'!$AG$2:$AT$54,14,0)/IF(Summary!$C$8="Patients",'Summary Calculations (hide)'!$I$9,1),"")</f>
        <v/>
      </c>
      <c r="H30" s="67" t="str">
        <f>IF(Setup!$I$13="Yes",'Planned background (hide)'!$V$23/IF(Summary!$C$8="Patients",'Summary Calculations (hide)'!$I$9,1),"")</f>
        <v/>
      </c>
      <c r="I30" s="5">
        <f ca="1">IFERROR(HLOOKUP(A30,'Capacity calculation (hide)'!$BK$1:$DK$4,4,0),Capacity!$I$15)</f>
        <v>0</v>
      </c>
      <c r="J30" s="5">
        <f ca="1">HLOOKUP(D30,'Capacity calculation (hide)'!$BK$110:$DK$111,2,0)</f>
        <v>0</v>
      </c>
      <c r="K30" s="5">
        <f ca="1">IF(I30-IF(Setup!$I$15="Yes",$G30,0)-IF(Setup!$I$13="Yes",$H30,0)&lt;0,0,I30-IF(Setup!$I$15="Yes",$G30,0)-IF(Setup!$I$13="Yes",$H30,0))</f>
        <v>0</v>
      </c>
      <c r="L30" s="5">
        <f t="shared" ca="1" si="3"/>
        <v>0</v>
      </c>
      <c r="M30" s="5" t="e">
        <f ca="1">(IF('Demand adjustments for Covid'!$F$9="No",E30,SUM('Demand background (hide)'!DS19,'Demand background (hide)'!DV19:DW19))*(1-'Parameters calculator (hide)'!$B$43))*(1-'Parameters calculator (hide)'!$B$44+('Parameters calculator (hide)'!$B$45*'Parameters calculator (hide)'!$B$47))</f>
        <v>#N/A</v>
      </c>
      <c r="N30" s="5" t="e">
        <f ca="1">(IF('Demand adjustments for Covid'!$F$9="No",F30,SUM('Demand background (hide)'!DT19,'Demand background (hide)'!DV19:DW19))*(1-'Parameters calculator (hide)'!$B$43))*(1-'Parameters calculator (hide)'!$B$44+('Parameters calculator (hide)'!$B$45*'Parameters calculator (hide)'!$B$47))</f>
        <v>#N/A</v>
      </c>
      <c r="P30" s="5">
        <f t="shared" ca="1" si="4"/>
        <v>0</v>
      </c>
      <c r="Q30" s="5">
        <f t="shared" ca="1" si="5"/>
        <v>0</v>
      </c>
      <c r="R30" s="5">
        <f t="shared" ca="1" si="6"/>
        <v>0</v>
      </c>
      <c r="S30" s="5">
        <f t="shared" ca="1" si="7"/>
        <v>0</v>
      </c>
      <c r="T30" s="5" t="e">
        <f ca="1">M30/IF(Summary!$C$8&lt;&gt;"Patients",1,$I$9)</f>
        <v>#N/A</v>
      </c>
      <c r="U30" s="5" t="e">
        <f ca="1">((N30-M30)/IF(Summary!$C$8&lt;&gt;"Patients",1,$I$9))</f>
        <v>#N/A</v>
      </c>
      <c r="V30" s="5">
        <f t="shared" si="8"/>
        <v>0</v>
      </c>
      <c r="X30" s="5" t="e">
        <f ca="1">(VLOOKUP(D30,'SPC background (hide)'!$AG$2:$AN$54,8,0)/IF(Summary!$C$8&lt;&gt;"Patients",1,$I$9))*(1-$I$4)*(1-$I$5+($I$6*$I$7))</f>
        <v>#N/A</v>
      </c>
    </row>
    <row r="31" spans="1:24" x14ac:dyDescent="0.2">
      <c r="A31" s="87">
        <f t="shared" ca="1" si="9"/>
        <v>44529</v>
      </c>
      <c r="B31" s="67" t="str">
        <f t="shared" ca="1" si="1"/>
        <v/>
      </c>
      <c r="C31" s="67" t="str">
        <f t="shared" ca="1" si="2"/>
        <v/>
      </c>
      <c r="D31" s="67">
        <f t="shared" ca="1" si="0"/>
        <v>48</v>
      </c>
      <c r="E31" s="5" t="e">
        <f ca="1">IF(LEFT(Demand!$C$8,1)="H",VLOOKUP($D31,'SPC background (hide)'!$AG$2:$AS$54,12,0),'Demand background (hide)'!X20)</f>
        <v>#N/A</v>
      </c>
      <c r="F31" s="5" t="e">
        <f ca="1">IF(LEFT(Demand!$C$8,1)="H",VLOOKUP($D31,'SPC background (hide)'!$AG$2:$AS$54,13,0),E31*1.1)</f>
        <v>#N/A</v>
      </c>
      <c r="G31" s="5" t="str">
        <f>IF(Setup!$I$15="Yes",VLOOKUP(D31,'SPC background (hide)'!$AG$2:$AT$54,14,0)/IF(Summary!$C$8="Patients",'Summary Calculations (hide)'!$I$9,1),"")</f>
        <v/>
      </c>
      <c r="H31" s="67" t="str">
        <f>IF(Setup!$I$13="Yes",'Planned background (hide)'!$V$23/IF(Summary!$C$8="Patients",'Summary Calculations (hide)'!$I$9,1),"")</f>
        <v/>
      </c>
      <c r="I31" s="5">
        <f ca="1">IFERROR(HLOOKUP(A31,'Capacity calculation (hide)'!$BK$1:$DK$4,4,0),Capacity!$I$15)</f>
        <v>0</v>
      </c>
      <c r="J31" s="5">
        <f ca="1">HLOOKUP(D31,'Capacity calculation (hide)'!$BK$110:$DK$111,2,0)</f>
        <v>0</v>
      </c>
      <c r="K31" s="5">
        <f ca="1">IF(I31-IF(Setup!$I$15="Yes",$G31,0)-IF(Setup!$I$13="Yes",$H31,0)&lt;0,0,I31-IF(Setup!$I$15="Yes",$G31,0)-IF(Setup!$I$13="Yes",$H31,0))</f>
        <v>0</v>
      </c>
      <c r="L31" s="5">
        <f t="shared" ca="1" si="3"/>
        <v>0</v>
      </c>
      <c r="M31" s="5" t="e">
        <f ca="1">(IF('Demand adjustments for Covid'!$F$9="No",E31,SUM('Demand background (hide)'!DS20,'Demand background (hide)'!DV20:DW20))*(1-'Parameters calculator (hide)'!$B$43))*(1-'Parameters calculator (hide)'!$B$44+('Parameters calculator (hide)'!$B$45*'Parameters calculator (hide)'!$B$47))</f>
        <v>#N/A</v>
      </c>
      <c r="N31" s="5" t="e">
        <f ca="1">(IF('Demand adjustments for Covid'!$F$9="No",F31,SUM('Demand background (hide)'!DT20,'Demand background (hide)'!DV20:DW20))*(1-'Parameters calculator (hide)'!$B$43))*(1-'Parameters calculator (hide)'!$B$44+('Parameters calculator (hide)'!$B$45*'Parameters calculator (hide)'!$B$47))</f>
        <v>#N/A</v>
      </c>
      <c r="P31" s="5">
        <f t="shared" ca="1" si="4"/>
        <v>0</v>
      </c>
      <c r="Q31" s="5">
        <f t="shared" ca="1" si="5"/>
        <v>0</v>
      </c>
      <c r="R31" s="5">
        <f t="shared" ca="1" si="6"/>
        <v>0</v>
      </c>
      <c r="S31" s="5">
        <f t="shared" ca="1" si="7"/>
        <v>0</v>
      </c>
      <c r="T31" s="5" t="e">
        <f ca="1">M31/IF(Summary!$C$8&lt;&gt;"Patients",1,$I$9)</f>
        <v>#N/A</v>
      </c>
      <c r="U31" s="5" t="e">
        <f ca="1">((N31-M31)/IF(Summary!$C$8&lt;&gt;"Patients",1,$I$9))</f>
        <v>#N/A</v>
      </c>
      <c r="V31" s="5">
        <f t="shared" si="8"/>
        <v>0</v>
      </c>
      <c r="X31" s="5" t="e">
        <f ca="1">(VLOOKUP(D31,'SPC background (hide)'!$AG$2:$AN$54,8,0)/IF(Summary!$C$8&lt;&gt;"Patients",1,$I$9))*(1-$I$4)*(1-$I$5+($I$6*$I$7))</f>
        <v>#N/A</v>
      </c>
    </row>
    <row r="32" spans="1:24" x14ac:dyDescent="0.2">
      <c r="A32" s="87">
        <f t="shared" ca="1" si="9"/>
        <v>44536</v>
      </c>
      <c r="B32" s="67" t="str">
        <f t="shared" ca="1" si="1"/>
        <v/>
      </c>
      <c r="C32" s="67" t="str">
        <f t="shared" ca="1" si="2"/>
        <v>Dec</v>
      </c>
      <c r="D32" s="67">
        <f t="shared" ca="1" si="0"/>
        <v>49</v>
      </c>
      <c r="E32" s="5" t="e">
        <f ca="1">IF(LEFT(Demand!$C$8,1)="H",VLOOKUP($D32,'SPC background (hide)'!$AG$2:$AS$54,12,0),'Demand background (hide)'!X21)</f>
        <v>#N/A</v>
      </c>
      <c r="F32" s="5" t="e">
        <f ca="1">IF(LEFT(Demand!$C$8,1)="H",VLOOKUP($D32,'SPC background (hide)'!$AG$2:$AS$54,13,0),E32*1.1)</f>
        <v>#N/A</v>
      </c>
      <c r="G32" s="5" t="str">
        <f>IF(Setup!$I$15="Yes",VLOOKUP(D32,'SPC background (hide)'!$AG$2:$AT$54,14,0)/IF(Summary!$C$8="Patients",'Summary Calculations (hide)'!$I$9,1),"")</f>
        <v/>
      </c>
      <c r="H32" s="67" t="str">
        <f>IF(Setup!$I$13="Yes",'Planned background (hide)'!$V$23/IF(Summary!$C$8="Patients",'Summary Calculations (hide)'!$I$9,1),"")</f>
        <v/>
      </c>
      <c r="I32" s="5">
        <f ca="1">IFERROR(HLOOKUP(A32,'Capacity calculation (hide)'!$BK$1:$DK$4,4,0),Capacity!$I$15)</f>
        <v>0</v>
      </c>
      <c r="J32" s="5">
        <f ca="1">HLOOKUP(D32,'Capacity calculation (hide)'!$BK$110:$DK$111,2,0)</f>
        <v>0</v>
      </c>
      <c r="K32" s="5">
        <f ca="1">IF(I32-IF(Setup!$I$15="Yes",$G32,0)-IF(Setup!$I$13="Yes",$H32,0)&lt;0,0,I32-IF(Setup!$I$15="Yes",$G32,0)-IF(Setup!$I$13="Yes",$H32,0))</f>
        <v>0</v>
      </c>
      <c r="L32" s="5">
        <f t="shared" ca="1" si="3"/>
        <v>0</v>
      </c>
      <c r="M32" s="5" t="e">
        <f ca="1">(IF('Demand adjustments for Covid'!$F$9="No",E32,SUM('Demand background (hide)'!DS21,'Demand background (hide)'!DV21:DW21))*(1-'Parameters calculator (hide)'!$B$43))*(1-'Parameters calculator (hide)'!$B$44+('Parameters calculator (hide)'!$B$45*'Parameters calculator (hide)'!$B$47))</f>
        <v>#N/A</v>
      </c>
      <c r="N32" s="5" t="e">
        <f ca="1">(IF('Demand adjustments for Covid'!$F$9="No",F32,SUM('Demand background (hide)'!DT21,'Demand background (hide)'!DV21:DW21))*(1-'Parameters calculator (hide)'!$B$43))*(1-'Parameters calculator (hide)'!$B$44+('Parameters calculator (hide)'!$B$45*'Parameters calculator (hide)'!$B$47))</f>
        <v>#N/A</v>
      </c>
      <c r="P32" s="5">
        <f t="shared" ca="1" si="4"/>
        <v>0</v>
      </c>
      <c r="Q32" s="5">
        <f t="shared" ca="1" si="5"/>
        <v>0</v>
      </c>
      <c r="R32" s="5">
        <f t="shared" ca="1" si="6"/>
        <v>0</v>
      </c>
      <c r="S32" s="5">
        <f t="shared" ca="1" si="7"/>
        <v>0</v>
      </c>
      <c r="T32" s="5" t="e">
        <f ca="1">M32/IF(Summary!$C$8&lt;&gt;"Patients",1,$I$9)</f>
        <v>#N/A</v>
      </c>
      <c r="U32" s="5" t="e">
        <f ca="1">((N32-M32)/IF(Summary!$C$8&lt;&gt;"Patients",1,$I$9))</f>
        <v>#N/A</v>
      </c>
      <c r="V32" s="5">
        <f t="shared" si="8"/>
        <v>0</v>
      </c>
      <c r="X32" s="5" t="e">
        <f ca="1">(VLOOKUP(D32,'SPC background (hide)'!$AG$2:$AN$54,8,0)/IF(Summary!$C$8&lt;&gt;"Patients",1,$I$9))*(1-$I$4)*(1-$I$5+($I$6*$I$7))</f>
        <v>#N/A</v>
      </c>
    </row>
    <row r="33" spans="1:24" x14ac:dyDescent="0.2">
      <c r="A33" s="87">
        <f t="shared" ca="1" si="9"/>
        <v>44543</v>
      </c>
      <c r="B33" s="67" t="str">
        <f t="shared" ca="1" si="1"/>
        <v/>
      </c>
      <c r="C33" s="67" t="str">
        <f t="shared" ca="1" si="2"/>
        <v/>
      </c>
      <c r="D33" s="67">
        <f t="shared" ca="1" si="0"/>
        <v>50</v>
      </c>
      <c r="E33" s="5" t="e">
        <f ca="1">IF(LEFT(Demand!$C$8,1)="H",VLOOKUP($D33,'SPC background (hide)'!$AG$2:$AS$54,12,0),'Demand background (hide)'!X22)</f>
        <v>#N/A</v>
      </c>
      <c r="F33" s="5" t="e">
        <f ca="1">IF(LEFT(Demand!$C$8,1)="H",VLOOKUP($D33,'SPC background (hide)'!$AG$2:$AS$54,13,0),E33*1.1)</f>
        <v>#N/A</v>
      </c>
      <c r="G33" s="5" t="str">
        <f>IF(Setup!$I$15="Yes",VLOOKUP(D33,'SPC background (hide)'!$AG$2:$AT$54,14,0)/IF(Summary!$C$8="Patients",'Summary Calculations (hide)'!$I$9,1),"")</f>
        <v/>
      </c>
      <c r="H33" s="67" t="str">
        <f>IF(Setup!$I$13="Yes",'Planned background (hide)'!$V$23/IF(Summary!$C$8="Patients",'Summary Calculations (hide)'!$I$9,1),"")</f>
        <v/>
      </c>
      <c r="I33" s="5">
        <f ca="1">IFERROR(HLOOKUP(A33,'Capacity calculation (hide)'!$BK$1:$DK$4,4,0),Capacity!$I$15)</f>
        <v>0</v>
      </c>
      <c r="J33" s="5">
        <f ca="1">HLOOKUP(D33,'Capacity calculation (hide)'!$BK$110:$DK$111,2,0)</f>
        <v>0</v>
      </c>
      <c r="K33" s="5">
        <f ca="1">IF(I33-IF(Setup!$I$15="Yes",$G33,0)-IF(Setup!$I$13="Yes",$H33,0)&lt;0,0,I33-IF(Setup!$I$15="Yes",$G33,0)-IF(Setup!$I$13="Yes",$H33,0))</f>
        <v>0</v>
      </c>
      <c r="L33" s="5">
        <f t="shared" ca="1" si="3"/>
        <v>0</v>
      </c>
      <c r="M33" s="5" t="e">
        <f ca="1">(IF('Demand adjustments for Covid'!$F$9="No",E33,SUM('Demand background (hide)'!DS22,'Demand background (hide)'!DV22:DW22))*(1-'Parameters calculator (hide)'!$B$43))*(1-'Parameters calculator (hide)'!$B$44+('Parameters calculator (hide)'!$B$45*'Parameters calculator (hide)'!$B$47))</f>
        <v>#N/A</v>
      </c>
      <c r="N33" s="5" t="e">
        <f ca="1">(IF('Demand adjustments for Covid'!$F$9="No",F33,SUM('Demand background (hide)'!DT22,'Demand background (hide)'!DV22:DW22))*(1-'Parameters calculator (hide)'!$B$43))*(1-'Parameters calculator (hide)'!$B$44+('Parameters calculator (hide)'!$B$45*'Parameters calculator (hide)'!$B$47))</f>
        <v>#N/A</v>
      </c>
      <c r="P33" s="5">
        <f t="shared" ca="1" si="4"/>
        <v>0</v>
      </c>
      <c r="Q33" s="5">
        <f t="shared" ca="1" si="5"/>
        <v>0</v>
      </c>
      <c r="R33" s="5">
        <f t="shared" ca="1" si="6"/>
        <v>0</v>
      </c>
      <c r="S33" s="5">
        <f t="shared" ca="1" si="7"/>
        <v>0</v>
      </c>
      <c r="T33" s="5" t="e">
        <f ca="1">M33/IF(Summary!$C$8&lt;&gt;"Patients",1,$I$9)</f>
        <v>#N/A</v>
      </c>
      <c r="U33" s="5" t="e">
        <f ca="1">((N33-M33)/IF(Summary!$C$8&lt;&gt;"Patients",1,$I$9))</f>
        <v>#N/A</v>
      </c>
      <c r="V33" s="5">
        <f t="shared" si="8"/>
        <v>0</v>
      </c>
      <c r="X33" s="5" t="e">
        <f ca="1">(VLOOKUP(D33,'SPC background (hide)'!$AG$2:$AN$54,8,0)/IF(Summary!$C$8&lt;&gt;"Patients",1,$I$9))*(1-$I$4)*(1-$I$5+($I$6*$I$7))</f>
        <v>#N/A</v>
      </c>
    </row>
    <row r="34" spans="1:24" x14ac:dyDescent="0.2">
      <c r="A34" s="87">
        <f t="shared" ca="1" si="9"/>
        <v>44550</v>
      </c>
      <c r="B34" s="67" t="str">
        <f t="shared" ca="1" si="1"/>
        <v/>
      </c>
      <c r="C34" s="67" t="str">
        <f t="shared" ca="1" si="2"/>
        <v/>
      </c>
      <c r="D34" s="67">
        <f t="shared" ca="1" si="0"/>
        <v>51</v>
      </c>
      <c r="E34" s="5" t="e">
        <f ca="1">IF(LEFT(Demand!$C$8,1)="H",VLOOKUP($D34,'SPC background (hide)'!$AG$2:$AS$54,12,0),'Demand background (hide)'!X23)</f>
        <v>#N/A</v>
      </c>
      <c r="F34" s="5" t="e">
        <f ca="1">IF(LEFT(Demand!$C$8,1)="H",VLOOKUP($D34,'SPC background (hide)'!$AG$2:$AS$54,13,0),E34*1.1)</f>
        <v>#N/A</v>
      </c>
      <c r="G34" s="5" t="str">
        <f>IF(Setup!$I$15="Yes",VLOOKUP(D34,'SPC background (hide)'!$AG$2:$AT$54,14,0)/IF(Summary!$C$8="Patients",'Summary Calculations (hide)'!$I$9,1),"")</f>
        <v/>
      </c>
      <c r="H34" s="67" t="str">
        <f>IF(Setup!$I$13="Yes",'Planned background (hide)'!$V$23/IF(Summary!$C$8="Patients",'Summary Calculations (hide)'!$I$9,1),"")</f>
        <v/>
      </c>
      <c r="I34" s="5">
        <f ca="1">IFERROR(HLOOKUP(A34,'Capacity calculation (hide)'!$BK$1:$DK$4,4,0),Capacity!$I$15)</f>
        <v>0</v>
      </c>
      <c r="J34" s="5">
        <f ca="1">HLOOKUP(D34,'Capacity calculation (hide)'!$BK$110:$DK$111,2,0)</f>
        <v>0</v>
      </c>
      <c r="K34" s="5">
        <f ca="1">IF(I34-IF(Setup!$I$15="Yes",$G34,0)-IF(Setup!$I$13="Yes",$H34,0)&lt;0,0,I34-IF(Setup!$I$15="Yes",$G34,0)-IF(Setup!$I$13="Yes",$H34,0))</f>
        <v>0</v>
      </c>
      <c r="L34" s="5">
        <f t="shared" ca="1" si="3"/>
        <v>0</v>
      </c>
      <c r="M34" s="5" t="e">
        <f ca="1">(IF('Demand adjustments for Covid'!$F$9="No",E34,SUM('Demand background (hide)'!DS23,'Demand background (hide)'!DV23:DW23))*(1-'Parameters calculator (hide)'!$B$43))*(1-'Parameters calculator (hide)'!$B$44+('Parameters calculator (hide)'!$B$45*'Parameters calculator (hide)'!$B$47))</f>
        <v>#N/A</v>
      </c>
      <c r="N34" s="5" t="e">
        <f ca="1">(IF('Demand adjustments for Covid'!$F$9="No",F34,SUM('Demand background (hide)'!DT23,'Demand background (hide)'!DV23:DW23))*(1-'Parameters calculator (hide)'!$B$43))*(1-'Parameters calculator (hide)'!$B$44+('Parameters calculator (hide)'!$B$45*'Parameters calculator (hide)'!$B$47))</f>
        <v>#N/A</v>
      </c>
      <c r="P34" s="5">
        <f t="shared" ca="1" si="4"/>
        <v>0</v>
      </c>
      <c r="Q34" s="5">
        <f t="shared" ca="1" si="5"/>
        <v>0</v>
      </c>
      <c r="R34" s="5">
        <f t="shared" ca="1" si="6"/>
        <v>0</v>
      </c>
      <c r="S34" s="5">
        <f t="shared" ca="1" si="7"/>
        <v>0</v>
      </c>
      <c r="T34" s="5" t="e">
        <f ca="1">M34/IF(Summary!$C$8&lt;&gt;"Patients",1,$I$9)</f>
        <v>#N/A</v>
      </c>
      <c r="U34" s="5" t="e">
        <f ca="1">((N34-M34)/IF(Summary!$C$8&lt;&gt;"Patients",1,$I$9))</f>
        <v>#N/A</v>
      </c>
      <c r="V34" s="5">
        <f t="shared" si="8"/>
        <v>0</v>
      </c>
      <c r="X34" s="5" t="e">
        <f ca="1">(VLOOKUP(D34,'SPC background (hide)'!$AG$2:$AN$54,8,0)/IF(Summary!$C$8&lt;&gt;"Patients",1,$I$9))*(1-$I$4)*(1-$I$5+($I$6*$I$7))</f>
        <v>#N/A</v>
      </c>
    </row>
    <row r="35" spans="1:24" x14ac:dyDescent="0.2">
      <c r="A35" s="87">
        <f t="shared" ca="1" si="9"/>
        <v>44557</v>
      </c>
      <c r="B35" s="67" t="str">
        <f t="shared" ca="1" si="1"/>
        <v/>
      </c>
      <c r="C35" s="67" t="str">
        <f t="shared" ca="1" si="2"/>
        <v/>
      </c>
      <c r="D35" s="67">
        <f t="shared" ca="1" si="0"/>
        <v>52</v>
      </c>
      <c r="E35" s="5" t="e">
        <f ca="1">IF(LEFT(Demand!$C$8,1)="H",VLOOKUP($D35,'SPC background (hide)'!$AG$2:$AS$54,12,0),'Demand background (hide)'!X24)</f>
        <v>#N/A</v>
      </c>
      <c r="F35" s="5" t="e">
        <f ca="1">IF(LEFT(Demand!$C$8,1)="H",VLOOKUP($D35,'SPC background (hide)'!$AG$2:$AS$54,13,0),E35*1.1)</f>
        <v>#N/A</v>
      </c>
      <c r="G35" s="5" t="str">
        <f>IF(Setup!$I$15="Yes",VLOOKUP(D35,'SPC background (hide)'!$AG$2:$AT$54,14,0)/IF(Summary!$C$8="Patients",'Summary Calculations (hide)'!$I$9,1),"")</f>
        <v/>
      </c>
      <c r="H35" s="67" t="str">
        <f>IF(Setup!$I$13="Yes",'Planned background (hide)'!$V$23/IF(Summary!$C$8="Patients",'Summary Calculations (hide)'!$I$9,1),"")</f>
        <v/>
      </c>
      <c r="I35" s="5">
        <f ca="1">IFERROR(HLOOKUP(A35,'Capacity calculation (hide)'!$BK$1:$DK$4,4,0),Capacity!$I$15)</f>
        <v>0</v>
      </c>
      <c r="J35" s="5">
        <f ca="1">HLOOKUP(D35,'Capacity calculation (hide)'!$BK$110:$DK$111,2,0)</f>
        <v>0</v>
      </c>
      <c r="K35" s="5">
        <f ca="1">IF(I35-IF(Setup!$I$15="Yes",$G35,0)-IF(Setup!$I$13="Yes",$H35,0)&lt;0,0,I35-IF(Setup!$I$15="Yes",$G35,0)-IF(Setup!$I$13="Yes",$H35,0))</f>
        <v>0</v>
      </c>
      <c r="L35" s="5">
        <f t="shared" ca="1" si="3"/>
        <v>0</v>
      </c>
      <c r="M35" s="5" t="e">
        <f ca="1">(IF('Demand adjustments for Covid'!$F$9="No",E35,SUM('Demand background (hide)'!DS24,'Demand background (hide)'!DV24:DW24))*(1-'Parameters calculator (hide)'!$B$43))*(1-'Parameters calculator (hide)'!$B$44+('Parameters calculator (hide)'!$B$45*'Parameters calculator (hide)'!$B$47))</f>
        <v>#N/A</v>
      </c>
      <c r="N35" s="5" t="e">
        <f ca="1">(IF('Demand adjustments for Covid'!$F$9="No",F35,SUM('Demand background (hide)'!DT24,'Demand background (hide)'!DV24:DW24))*(1-'Parameters calculator (hide)'!$B$43))*(1-'Parameters calculator (hide)'!$B$44+('Parameters calculator (hide)'!$B$45*'Parameters calculator (hide)'!$B$47))</f>
        <v>#N/A</v>
      </c>
      <c r="P35" s="5">
        <f t="shared" ca="1" si="4"/>
        <v>0</v>
      </c>
      <c r="Q35" s="5">
        <f t="shared" ca="1" si="5"/>
        <v>0</v>
      </c>
      <c r="R35" s="5">
        <f t="shared" ca="1" si="6"/>
        <v>0</v>
      </c>
      <c r="S35" s="5">
        <f t="shared" ca="1" si="7"/>
        <v>0</v>
      </c>
      <c r="T35" s="5" t="e">
        <f ca="1">M35/IF(Summary!$C$8&lt;&gt;"Patients",1,$I$9)</f>
        <v>#N/A</v>
      </c>
      <c r="U35" s="5" t="e">
        <f ca="1">((N35-M35)/IF(Summary!$C$8&lt;&gt;"Patients",1,$I$9))</f>
        <v>#N/A</v>
      </c>
      <c r="V35" s="5">
        <f t="shared" si="8"/>
        <v>0</v>
      </c>
      <c r="X35" s="5" t="e">
        <f ca="1">(VLOOKUP(D35,'SPC background (hide)'!$AG$2:$AN$54,8,0)/IF(Summary!$C$8&lt;&gt;"Patients",1,$I$9))*(1-$I$4)*(1-$I$5+($I$6*$I$7))</f>
        <v>#N/A</v>
      </c>
    </row>
    <row r="36" spans="1:24" x14ac:dyDescent="0.2">
      <c r="A36" s="87">
        <f t="shared" ca="1" si="9"/>
        <v>44564</v>
      </c>
      <c r="B36" s="67">
        <f t="shared" ca="1" si="1"/>
        <v>2022</v>
      </c>
      <c r="C36" s="67" t="str">
        <f t="shared" ca="1" si="2"/>
        <v>Jan</v>
      </c>
      <c r="D36" s="67">
        <f t="shared" ca="1" si="0"/>
        <v>1</v>
      </c>
      <c r="E36" s="5" t="e">
        <f ca="1">IF(LEFT(Demand!$C$8,1)="H",VLOOKUP($D36,'SPC background (hide)'!$AG$2:$AS$54,12,0),'Demand background (hide)'!X25)</f>
        <v>#N/A</v>
      </c>
      <c r="F36" s="5" t="e">
        <f ca="1">IF(LEFT(Demand!$C$8,1)="H",VLOOKUP($D36,'SPC background (hide)'!$AG$2:$AS$54,13,0),E36*1.1)</f>
        <v>#N/A</v>
      </c>
      <c r="G36" s="5" t="str">
        <f>IF(Setup!$I$15="Yes",VLOOKUP(D36,'SPC background (hide)'!$AG$2:$AT$54,14,0)/IF(Summary!$C$8="Patients",'Summary Calculations (hide)'!$I$9,1),"")</f>
        <v/>
      </c>
      <c r="H36" s="67" t="str">
        <f>IF(Setup!$I$13="Yes",'Planned background (hide)'!$V$23/IF(Summary!$C$8="Patients",'Summary Calculations (hide)'!$I$9,1),"")</f>
        <v/>
      </c>
      <c r="I36" s="5">
        <f ca="1">IFERROR(HLOOKUP(A36,'Capacity calculation (hide)'!$BK$1:$DK$4,4,0),Capacity!$I$15)</f>
        <v>0</v>
      </c>
      <c r="J36" s="5">
        <f ca="1">HLOOKUP(D36,'Capacity calculation (hide)'!$BK$110:$DK$111,2,0)</f>
        <v>0</v>
      </c>
      <c r="K36" s="5">
        <f ca="1">IF(I36-IF(Setup!$I$15="Yes",$G36,0)-IF(Setup!$I$13="Yes",$H36,0)&lt;0,0,I36-IF(Setup!$I$15="Yes",$G36,0)-IF(Setup!$I$13="Yes",$H36,0))</f>
        <v>0</v>
      </c>
      <c r="L36" s="5">
        <f t="shared" ca="1" si="3"/>
        <v>0</v>
      </c>
      <c r="M36" s="5" t="e">
        <f ca="1">(IF('Demand adjustments for Covid'!$F$9="No",E36,SUM('Demand background (hide)'!DS25,'Demand background (hide)'!DV25:DW25))*(1-'Parameters calculator (hide)'!$B$43))*(1-'Parameters calculator (hide)'!$B$44+('Parameters calculator (hide)'!$B$45*'Parameters calculator (hide)'!$B$47))</f>
        <v>#N/A</v>
      </c>
      <c r="N36" s="5" t="e">
        <f ca="1">(IF('Demand adjustments for Covid'!$F$9="No",F36,SUM('Demand background (hide)'!DT25,'Demand background (hide)'!DV25:DW25))*(1-'Parameters calculator (hide)'!$B$43))*(1-'Parameters calculator (hide)'!$B$44+('Parameters calculator (hide)'!$B$45*'Parameters calculator (hide)'!$B$47))</f>
        <v>#N/A</v>
      </c>
      <c r="P36" s="5">
        <f t="shared" ca="1" si="4"/>
        <v>0</v>
      </c>
      <c r="Q36" s="5">
        <f t="shared" ca="1" si="5"/>
        <v>0</v>
      </c>
      <c r="R36" s="5">
        <f t="shared" ca="1" si="6"/>
        <v>0</v>
      </c>
      <c r="S36" s="5">
        <f t="shared" ca="1" si="7"/>
        <v>0</v>
      </c>
      <c r="T36" s="5" t="e">
        <f ca="1">M36/IF(Summary!$C$8&lt;&gt;"Patients",1,$I$9)</f>
        <v>#N/A</v>
      </c>
      <c r="U36" s="5" t="e">
        <f ca="1">((N36-M36)/IF(Summary!$C$8&lt;&gt;"Patients",1,$I$9))</f>
        <v>#N/A</v>
      </c>
      <c r="V36" s="5">
        <f t="shared" si="8"/>
        <v>0</v>
      </c>
      <c r="X36" s="5" t="e">
        <f ca="1">(VLOOKUP(D36,'SPC background (hide)'!$AG$2:$AN$54,8,0)/IF(Summary!$C$8&lt;&gt;"Patients",1,$I$9))*(1-$I$4)*(1-$I$5+($I$6*$I$7))</f>
        <v>#N/A</v>
      </c>
    </row>
    <row r="37" spans="1:24" x14ac:dyDescent="0.2">
      <c r="A37" s="87">
        <f t="shared" ca="1" si="9"/>
        <v>44571</v>
      </c>
      <c r="B37" s="67" t="str">
        <f t="shared" ca="1" si="1"/>
        <v/>
      </c>
      <c r="C37" s="67" t="str">
        <f t="shared" ca="1" si="2"/>
        <v/>
      </c>
      <c r="D37" s="67">
        <f t="shared" ca="1" si="0"/>
        <v>2</v>
      </c>
      <c r="E37" s="5" t="e">
        <f ca="1">IF(LEFT(Demand!$C$8,1)="H",VLOOKUP($D37,'SPC background (hide)'!$AG$2:$AS$54,12,0),'Demand background (hide)'!X26)</f>
        <v>#N/A</v>
      </c>
      <c r="F37" s="5" t="e">
        <f ca="1">IF(LEFT(Demand!$C$8,1)="H",VLOOKUP($D37,'SPC background (hide)'!$AG$2:$AS$54,13,0),E37*1.1)</f>
        <v>#N/A</v>
      </c>
      <c r="G37" s="5" t="str">
        <f>IF(Setup!$I$15="Yes",VLOOKUP(D37,'SPC background (hide)'!$AG$2:$AT$54,14,0)/IF(Summary!$C$8="Patients",'Summary Calculations (hide)'!$I$9,1),"")</f>
        <v/>
      </c>
      <c r="H37" s="67" t="str">
        <f>IF(Setup!$I$13="Yes",'Planned background (hide)'!$V$23/IF(Summary!$C$8="Patients",'Summary Calculations (hide)'!$I$9,1),"")</f>
        <v/>
      </c>
      <c r="I37" s="5">
        <f ca="1">IFERROR(HLOOKUP(A37,'Capacity calculation (hide)'!$BK$1:$DK$4,4,0),Capacity!$I$15)</f>
        <v>0</v>
      </c>
      <c r="J37" s="5">
        <f ca="1">HLOOKUP(D37,'Capacity calculation (hide)'!$BK$110:$DK$111,2,0)</f>
        <v>0</v>
      </c>
      <c r="K37" s="5">
        <f ca="1">IF(I37-IF(Setup!$I$15="Yes",$G37,0)-IF(Setup!$I$13="Yes",$H37,0)&lt;0,0,I37-IF(Setup!$I$15="Yes",$G37,0)-IF(Setup!$I$13="Yes",$H37,0))</f>
        <v>0</v>
      </c>
      <c r="L37" s="5">
        <f t="shared" ca="1" si="3"/>
        <v>0</v>
      </c>
      <c r="M37" s="5" t="e">
        <f ca="1">(IF('Demand adjustments for Covid'!$F$9="No",E37,SUM('Demand background (hide)'!DS26,'Demand background (hide)'!DV26:DW26))*(1-'Parameters calculator (hide)'!$B$43))*(1-'Parameters calculator (hide)'!$B$44+('Parameters calculator (hide)'!$B$45*'Parameters calculator (hide)'!$B$47))</f>
        <v>#N/A</v>
      </c>
      <c r="N37" s="5" t="e">
        <f ca="1">(IF('Demand adjustments for Covid'!$F$9="No",F37,SUM('Demand background (hide)'!DT26,'Demand background (hide)'!DV26:DW26))*(1-'Parameters calculator (hide)'!$B$43))*(1-'Parameters calculator (hide)'!$B$44+('Parameters calculator (hide)'!$B$45*'Parameters calculator (hide)'!$B$47))</f>
        <v>#N/A</v>
      </c>
      <c r="P37" s="5">
        <f t="shared" ca="1" si="4"/>
        <v>0</v>
      </c>
      <c r="Q37" s="5">
        <f t="shared" ca="1" si="5"/>
        <v>0</v>
      </c>
      <c r="R37" s="5">
        <f t="shared" ca="1" si="6"/>
        <v>0</v>
      </c>
      <c r="S37" s="5">
        <f t="shared" ca="1" si="7"/>
        <v>0</v>
      </c>
      <c r="T37" s="5" t="e">
        <f ca="1">M37/IF(Summary!$C$8&lt;&gt;"Patients",1,$I$9)</f>
        <v>#N/A</v>
      </c>
      <c r="U37" s="5" t="e">
        <f ca="1">((N37-M37)/IF(Summary!$C$8&lt;&gt;"Patients",1,$I$9))</f>
        <v>#N/A</v>
      </c>
      <c r="V37" s="5">
        <f t="shared" si="8"/>
        <v>0</v>
      </c>
      <c r="X37" s="5" t="e">
        <f ca="1">(VLOOKUP(D37,'SPC background (hide)'!$AG$2:$AN$54,8,0)/IF(Summary!$C$8&lt;&gt;"Patients",1,$I$9))*(1-$I$4)*(1-$I$5+($I$6*$I$7))</f>
        <v>#N/A</v>
      </c>
    </row>
    <row r="38" spans="1:24" x14ac:dyDescent="0.2">
      <c r="A38" s="87">
        <f t="shared" ca="1" si="9"/>
        <v>44578</v>
      </c>
      <c r="B38" s="67" t="str">
        <f t="shared" ca="1" si="1"/>
        <v/>
      </c>
      <c r="C38" s="67" t="str">
        <f t="shared" ca="1" si="2"/>
        <v/>
      </c>
      <c r="D38" s="67">
        <f t="shared" ca="1" si="0"/>
        <v>3</v>
      </c>
      <c r="E38" s="5" t="e">
        <f ca="1">IF(LEFT(Demand!$C$8,1)="H",VLOOKUP($D38,'SPC background (hide)'!$AG$2:$AS$54,12,0),'Demand background (hide)'!X27)</f>
        <v>#N/A</v>
      </c>
      <c r="F38" s="5" t="e">
        <f ca="1">IF(LEFT(Demand!$C$8,1)="H",VLOOKUP($D38,'SPC background (hide)'!$AG$2:$AS$54,13,0),E38*1.1)</f>
        <v>#N/A</v>
      </c>
      <c r="G38" s="5" t="str">
        <f>IF(Setup!$I$15="Yes",VLOOKUP(D38,'SPC background (hide)'!$AG$2:$AT$54,14,0)/IF(Summary!$C$8="Patients",'Summary Calculations (hide)'!$I$9,1),"")</f>
        <v/>
      </c>
      <c r="H38" s="67" t="str">
        <f>IF(Setup!$I$13="Yes",'Planned background (hide)'!$V$23/IF(Summary!$C$8="Patients",'Summary Calculations (hide)'!$I$9,1),"")</f>
        <v/>
      </c>
      <c r="I38" s="5">
        <f ca="1">IFERROR(HLOOKUP(A38,'Capacity calculation (hide)'!$BK$1:$DK$4,4,0),Capacity!$I$15)</f>
        <v>0</v>
      </c>
      <c r="J38" s="5">
        <f ca="1">HLOOKUP(D38,'Capacity calculation (hide)'!$BK$110:$DK$111,2,0)</f>
        <v>0</v>
      </c>
      <c r="K38" s="5">
        <f ca="1">IF(I38-IF(Setup!$I$15="Yes",$G38,0)-IF(Setup!$I$13="Yes",$H38,0)&lt;0,0,I38-IF(Setup!$I$15="Yes",$G38,0)-IF(Setup!$I$13="Yes",$H38,0))</f>
        <v>0</v>
      </c>
      <c r="L38" s="5">
        <f t="shared" ca="1" si="3"/>
        <v>0</v>
      </c>
      <c r="M38" s="5" t="e">
        <f ca="1">(IF('Demand adjustments for Covid'!$F$9="No",E38,SUM('Demand background (hide)'!DS27,'Demand background (hide)'!DV27:DW27))*(1-'Parameters calculator (hide)'!$B$43))*(1-'Parameters calculator (hide)'!$B$44+('Parameters calculator (hide)'!$B$45*'Parameters calculator (hide)'!$B$47))</f>
        <v>#N/A</v>
      </c>
      <c r="N38" s="5" t="e">
        <f ca="1">(IF('Demand adjustments for Covid'!$F$9="No",F38,SUM('Demand background (hide)'!DT27,'Demand background (hide)'!DV27:DW27))*(1-'Parameters calculator (hide)'!$B$43))*(1-'Parameters calculator (hide)'!$B$44+('Parameters calculator (hide)'!$B$45*'Parameters calculator (hide)'!$B$47))</f>
        <v>#N/A</v>
      </c>
      <c r="P38" s="5">
        <f t="shared" ca="1" si="4"/>
        <v>0</v>
      </c>
      <c r="Q38" s="5">
        <f t="shared" ca="1" si="5"/>
        <v>0</v>
      </c>
      <c r="R38" s="5">
        <f t="shared" ca="1" si="6"/>
        <v>0</v>
      </c>
      <c r="S38" s="5">
        <f t="shared" ca="1" si="7"/>
        <v>0</v>
      </c>
      <c r="T38" s="5" t="e">
        <f ca="1">M38/IF(Summary!$C$8&lt;&gt;"Patients",1,$I$9)</f>
        <v>#N/A</v>
      </c>
      <c r="U38" s="5" t="e">
        <f ca="1">((N38-M38)/IF(Summary!$C$8&lt;&gt;"Patients",1,$I$9))</f>
        <v>#N/A</v>
      </c>
      <c r="V38" s="5">
        <f t="shared" si="8"/>
        <v>0</v>
      </c>
      <c r="X38" s="5" t="e">
        <f ca="1">(VLOOKUP(D38,'SPC background (hide)'!$AG$2:$AN$54,8,0)/IF(Summary!$C$8&lt;&gt;"Patients",1,$I$9))*(1-$I$4)*(1-$I$5+($I$6*$I$7))</f>
        <v>#N/A</v>
      </c>
    </row>
    <row r="39" spans="1:24" x14ac:dyDescent="0.2">
      <c r="A39" s="87">
        <f t="shared" ca="1" si="9"/>
        <v>44585</v>
      </c>
      <c r="B39" s="67" t="str">
        <f t="shared" ca="1" si="1"/>
        <v/>
      </c>
      <c r="C39" s="67" t="str">
        <f t="shared" ca="1" si="2"/>
        <v/>
      </c>
      <c r="D39" s="67">
        <f t="shared" ca="1" si="0"/>
        <v>4</v>
      </c>
      <c r="E39" s="5" t="e">
        <f ca="1">IF(LEFT(Demand!$C$8,1)="H",VLOOKUP($D39,'SPC background (hide)'!$AG$2:$AS$54,12,0),'Demand background (hide)'!X28)</f>
        <v>#N/A</v>
      </c>
      <c r="F39" s="5" t="e">
        <f ca="1">IF(LEFT(Demand!$C$8,1)="H",VLOOKUP($D39,'SPC background (hide)'!$AG$2:$AS$54,13,0),E39*1.1)</f>
        <v>#N/A</v>
      </c>
      <c r="G39" s="5" t="str">
        <f>IF(Setup!$I$15="Yes",VLOOKUP(D39,'SPC background (hide)'!$AG$2:$AT$54,14,0)/IF(Summary!$C$8="Patients",'Summary Calculations (hide)'!$I$9,1),"")</f>
        <v/>
      </c>
      <c r="H39" s="67" t="str">
        <f>IF(Setup!$I$13="Yes",'Planned background (hide)'!$V$23/IF(Summary!$C$8="Patients",'Summary Calculations (hide)'!$I$9,1),"")</f>
        <v/>
      </c>
      <c r="I39" s="5">
        <f ca="1">IFERROR(HLOOKUP(A39,'Capacity calculation (hide)'!$BK$1:$DK$4,4,0),Capacity!$I$15)</f>
        <v>0</v>
      </c>
      <c r="J39" s="5">
        <f ca="1">HLOOKUP(D39,'Capacity calculation (hide)'!$BK$110:$DK$111,2,0)</f>
        <v>0</v>
      </c>
      <c r="K39" s="5">
        <f ca="1">IF(I39-IF(Setup!$I$15="Yes",$G39,0)-IF(Setup!$I$13="Yes",$H39,0)&lt;0,0,I39-IF(Setup!$I$15="Yes",$G39,0)-IF(Setup!$I$13="Yes",$H39,0))</f>
        <v>0</v>
      </c>
      <c r="L39" s="5">
        <f t="shared" ca="1" si="3"/>
        <v>0</v>
      </c>
      <c r="M39" s="5" t="e">
        <f ca="1">(IF('Demand adjustments for Covid'!$F$9="No",E39,SUM('Demand background (hide)'!DS28,'Demand background (hide)'!DV28:DW28))*(1-'Parameters calculator (hide)'!$B$43))*(1-'Parameters calculator (hide)'!$B$44+('Parameters calculator (hide)'!$B$45*'Parameters calculator (hide)'!$B$47))</f>
        <v>#N/A</v>
      </c>
      <c r="N39" s="5" t="e">
        <f ca="1">(IF('Demand adjustments for Covid'!$F$9="No",F39,SUM('Demand background (hide)'!DT28,'Demand background (hide)'!DV28:DW28))*(1-'Parameters calculator (hide)'!$B$43))*(1-'Parameters calculator (hide)'!$B$44+('Parameters calculator (hide)'!$B$45*'Parameters calculator (hide)'!$B$47))</f>
        <v>#N/A</v>
      </c>
      <c r="P39" s="5">
        <f t="shared" ca="1" si="4"/>
        <v>0</v>
      </c>
      <c r="Q39" s="5">
        <f t="shared" ca="1" si="5"/>
        <v>0</v>
      </c>
      <c r="R39" s="5">
        <f t="shared" ca="1" si="6"/>
        <v>0</v>
      </c>
      <c r="S39" s="5">
        <f t="shared" ca="1" si="7"/>
        <v>0</v>
      </c>
      <c r="T39" s="5" t="e">
        <f ca="1">M39/IF(Summary!$C$8&lt;&gt;"Patients",1,$I$9)</f>
        <v>#N/A</v>
      </c>
      <c r="U39" s="5" t="e">
        <f ca="1">((N39-M39)/IF(Summary!$C$8&lt;&gt;"Patients",1,$I$9))</f>
        <v>#N/A</v>
      </c>
      <c r="V39" s="5">
        <f t="shared" si="8"/>
        <v>0</v>
      </c>
      <c r="X39" s="5" t="e">
        <f ca="1">(VLOOKUP(D39,'SPC background (hide)'!$AG$2:$AN$54,8,0)/IF(Summary!$C$8&lt;&gt;"Patients",1,$I$9))*(1-$I$4)*(1-$I$5+($I$6*$I$7))</f>
        <v>#N/A</v>
      </c>
    </row>
    <row r="40" spans="1:24" x14ac:dyDescent="0.2">
      <c r="A40" s="87">
        <f t="shared" ca="1" si="9"/>
        <v>44592</v>
      </c>
      <c r="B40" s="67" t="str">
        <f t="shared" ca="1" si="1"/>
        <v/>
      </c>
      <c r="C40" s="67" t="str">
        <f t="shared" ca="1" si="2"/>
        <v/>
      </c>
      <c r="D40" s="67">
        <f t="shared" ca="1" si="0"/>
        <v>5</v>
      </c>
      <c r="E40" s="5" t="e">
        <f ca="1">IF(LEFT(Demand!$C$8,1)="H",VLOOKUP($D40,'SPC background (hide)'!$AG$2:$AS$54,12,0),'Demand background (hide)'!X29)</f>
        <v>#N/A</v>
      </c>
      <c r="F40" s="5" t="e">
        <f ca="1">IF(LEFT(Demand!$C$8,1)="H",VLOOKUP($D40,'SPC background (hide)'!$AG$2:$AS$54,13,0),E40*1.1)</f>
        <v>#N/A</v>
      </c>
      <c r="G40" s="5" t="str">
        <f>IF(Setup!$I$15="Yes",VLOOKUP(D40,'SPC background (hide)'!$AG$2:$AT$54,14,0)/IF(Summary!$C$8="Patients",'Summary Calculations (hide)'!$I$9,1),"")</f>
        <v/>
      </c>
      <c r="H40" s="67" t="str">
        <f>IF(Setup!$I$13="Yes",'Planned background (hide)'!$V$23/IF(Summary!$C$8="Patients",'Summary Calculations (hide)'!$I$9,1),"")</f>
        <v/>
      </c>
      <c r="I40" s="5">
        <f ca="1">IFERROR(HLOOKUP(A40,'Capacity calculation (hide)'!$BK$1:$DK$4,4,0),Capacity!$I$15)</f>
        <v>0</v>
      </c>
      <c r="J40" s="5">
        <f ca="1">HLOOKUP(D40,'Capacity calculation (hide)'!$BK$110:$DK$111,2,0)</f>
        <v>0</v>
      </c>
      <c r="K40" s="5">
        <f ca="1">IF(I40-IF(Setup!$I$15="Yes",$G40,0)-IF(Setup!$I$13="Yes",$H40,0)&lt;0,0,I40-IF(Setup!$I$15="Yes",$G40,0)-IF(Setup!$I$13="Yes",$H40,0))</f>
        <v>0</v>
      </c>
      <c r="L40" s="5">
        <f t="shared" ca="1" si="3"/>
        <v>0</v>
      </c>
      <c r="M40" s="5" t="e">
        <f ca="1">(IF('Demand adjustments for Covid'!$F$9="No",E40,SUM('Demand background (hide)'!DS29,'Demand background (hide)'!DV29:DW29))*(1-'Parameters calculator (hide)'!$B$43))*(1-'Parameters calculator (hide)'!$B$44+('Parameters calculator (hide)'!$B$45*'Parameters calculator (hide)'!$B$47))</f>
        <v>#N/A</v>
      </c>
      <c r="N40" s="5" t="e">
        <f ca="1">(IF('Demand adjustments for Covid'!$F$9="No",F40,SUM('Demand background (hide)'!DT29,'Demand background (hide)'!DV29:DW29))*(1-'Parameters calculator (hide)'!$B$43))*(1-'Parameters calculator (hide)'!$B$44+('Parameters calculator (hide)'!$B$45*'Parameters calculator (hide)'!$B$47))</f>
        <v>#N/A</v>
      </c>
      <c r="P40" s="5">
        <f t="shared" ca="1" si="4"/>
        <v>0</v>
      </c>
      <c r="Q40" s="5">
        <f t="shared" ca="1" si="5"/>
        <v>0</v>
      </c>
      <c r="R40" s="5">
        <f t="shared" ca="1" si="6"/>
        <v>0</v>
      </c>
      <c r="S40" s="5">
        <f t="shared" ca="1" si="7"/>
        <v>0</v>
      </c>
      <c r="T40" s="5" t="e">
        <f ca="1">M40/IF(Summary!$C$8&lt;&gt;"Patients",1,$I$9)</f>
        <v>#N/A</v>
      </c>
      <c r="U40" s="5" t="e">
        <f ca="1">((N40-M40)/IF(Summary!$C$8&lt;&gt;"Patients",1,$I$9))</f>
        <v>#N/A</v>
      </c>
      <c r="V40" s="5">
        <f t="shared" si="8"/>
        <v>0</v>
      </c>
      <c r="X40" s="5" t="e">
        <f ca="1">(VLOOKUP(D40,'SPC background (hide)'!$AG$2:$AN$54,8,0)/IF(Summary!$C$8&lt;&gt;"Patients",1,$I$9))*(1-$I$4)*(1-$I$5+($I$6*$I$7))</f>
        <v>#N/A</v>
      </c>
    </row>
    <row r="41" spans="1:24" x14ac:dyDescent="0.2">
      <c r="A41" s="87">
        <f t="shared" ca="1" si="9"/>
        <v>44599</v>
      </c>
      <c r="B41" s="67" t="str">
        <f t="shared" ca="1" si="1"/>
        <v/>
      </c>
      <c r="C41" s="67" t="str">
        <f t="shared" ca="1" si="2"/>
        <v>Feb</v>
      </c>
      <c r="D41" s="67">
        <f t="shared" ca="1" si="0"/>
        <v>6</v>
      </c>
      <c r="E41" s="5" t="e">
        <f ca="1">IF(LEFT(Demand!$C$8,1)="H",VLOOKUP($D41,'SPC background (hide)'!$AG$2:$AS$54,12,0),'Demand background (hide)'!X30)</f>
        <v>#N/A</v>
      </c>
      <c r="F41" s="5" t="e">
        <f ca="1">IF(LEFT(Demand!$C$8,1)="H",VLOOKUP($D41,'SPC background (hide)'!$AG$2:$AS$54,13,0),E41*1.1)</f>
        <v>#N/A</v>
      </c>
      <c r="G41" s="5" t="str">
        <f>IF(Setup!$I$15="Yes",VLOOKUP(D41,'SPC background (hide)'!$AG$2:$AT$54,14,0)/IF(Summary!$C$8="Patients",'Summary Calculations (hide)'!$I$9,1),"")</f>
        <v/>
      </c>
      <c r="H41" s="67" t="str">
        <f>IF(Setup!$I$13="Yes",'Planned background (hide)'!$V$23/IF(Summary!$C$8="Patients",'Summary Calculations (hide)'!$I$9,1),"")</f>
        <v/>
      </c>
      <c r="I41" s="5">
        <f ca="1">IFERROR(HLOOKUP(A41,'Capacity calculation (hide)'!$BK$1:$DK$4,4,0),Capacity!$I$15)</f>
        <v>0</v>
      </c>
      <c r="J41" s="5">
        <f ca="1">HLOOKUP(D41,'Capacity calculation (hide)'!$BK$110:$DK$111,2,0)</f>
        <v>0</v>
      </c>
      <c r="K41" s="5">
        <f ca="1">IF(I41-IF(Setup!$I$15="Yes",$G41,0)-IF(Setup!$I$13="Yes",$H41,0)&lt;0,0,I41-IF(Setup!$I$15="Yes",$G41,0)-IF(Setup!$I$13="Yes",$H41,0))</f>
        <v>0</v>
      </c>
      <c r="L41" s="5">
        <f t="shared" ca="1" si="3"/>
        <v>0</v>
      </c>
      <c r="M41" s="5" t="e">
        <f ca="1">(IF('Demand adjustments for Covid'!$F$9="No",E41,SUM('Demand background (hide)'!DS30,'Demand background (hide)'!DV30:DW30))*(1-'Parameters calculator (hide)'!$B$43))*(1-'Parameters calculator (hide)'!$B$44+('Parameters calculator (hide)'!$B$45*'Parameters calculator (hide)'!$B$47))</f>
        <v>#N/A</v>
      </c>
      <c r="N41" s="5" t="e">
        <f ca="1">(IF('Demand adjustments for Covid'!$F$9="No",F41,SUM('Demand background (hide)'!DT30,'Demand background (hide)'!DV30:DW30))*(1-'Parameters calculator (hide)'!$B$43))*(1-'Parameters calculator (hide)'!$B$44+('Parameters calculator (hide)'!$B$45*'Parameters calculator (hide)'!$B$47))</f>
        <v>#N/A</v>
      </c>
      <c r="P41" s="5">
        <f t="shared" ca="1" si="4"/>
        <v>0</v>
      </c>
      <c r="Q41" s="5">
        <f t="shared" ca="1" si="5"/>
        <v>0</v>
      </c>
      <c r="R41" s="5">
        <f t="shared" ca="1" si="6"/>
        <v>0</v>
      </c>
      <c r="S41" s="5">
        <f t="shared" ca="1" si="7"/>
        <v>0</v>
      </c>
      <c r="T41" s="5" t="e">
        <f ca="1">M41/IF(Summary!$C$8&lt;&gt;"Patients",1,$I$9)</f>
        <v>#N/A</v>
      </c>
      <c r="U41" s="5" t="e">
        <f ca="1">((N41-M41)/IF(Summary!$C$8&lt;&gt;"Patients",1,$I$9))</f>
        <v>#N/A</v>
      </c>
      <c r="V41" s="5">
        <f t="shared" si="8"/>
        <v>0</v>
      </c>
      <c r="X41" s="5" t="e">
        <f ca="1">(VLOOKUP(D41,'SPC background (hide)'!$AG$2:$AN$54,8,0)/IF(Summary!$C$8&lt;&gt;"Patients",1,$I$9))*(1-$I$4)*(1-$I$5+($I$6*$I$7))</f>
        <v>#N/A</v>
      </c>
    </row>
    <row r="42" spans="1:24" x14ac:dyDescent="0.2">
      <c r="A42" s="87">
        <f t="shared" ca="1" si="9"/>
        <v>44606</v>
      </c>
      <c r="B42" s="67" t="str">
        <f t="shared" ca="1" si="1"/>
        <v/>
      </c>
      <c r="C42" s="67" t="str">
        <f t="shared" ca="1" si="2"/>
        <v/>
      </c>
      <c r="D42" s="67">
        <f t="shared" ca="1" si="0"/>
        <v>7</v>
      </c>
      <c r="E42" s="5" t="e">
        <f ca="1">IF(LEFT(Demand!$C$8,1)="H",VLOOKUP($D42,'SPC background (hide)'!$AG$2:$AS$54,12,0),'Demand background (hide)'!X31)</f>
        <v>#N/A</v>
      </c>
      <c r="F42" s="5" t="e">
        <f ca="1">IF(LEFT(Demand!$C$8,1)="H",VLOOKUP($D42,'SPC background (hide)'!$AG$2:$AS$54,13,0),E42*1.1)</f>
        <v>#N/A</v>
      </c>
      <c r="G42" s="5" t="str">
        <f>IF(Setup!$I$15="Yes",VLOOKUP(D42,'SPC background (hide)'!$AG$2:$AT$54,14,0)/IF(Summary!$C$8="Patients",'Summary Calculations (hide)'!$I$9,1),"")</f>
        <v/>
      </c>
      <c r="H42" s="67" t="str">
        <f>IF(Setup!$I$13="Yes",'Planned background (hide)'!$V$23/IF(Summary!$C$8="Patients",'Summary Calculations (hide)'!$I$9,1),"")</f>
        <v/>
      </c>
      <c r="I42" s="5">
        <f ca="1">IFERROR(HLOOKUP(A42,'Capacity calculation (hide)'!$BK$1:$DK$4,4,0),Capacity!$I$15)</f>
        <v>0</v>
      </c>
      <c r="J42" s="5">
        <f ca="1">HLOOKUP(D42,'Capacity calculation (hide)'!$BK$110:$DK$111,2,0)</f>
        <v>0</v>
      </c>
      <c r="K42" s="5">
        <f ca="1">IF(I42-IF(Setup!$I$15="Yes",$G42,0)-IF(Setup!$I$13="Yes",$H42,0)&lt;0,0,I42-IF(Setup!$I$15="Yes",$G42,0)-IF(Setup!$I$13="Yes",$H42,0))</f>
        <v>0</v>
      </c>
      <c r="L42" s="5">
        <f t="shared" ca="1" si="3"/>
        <v>0</v>
      </c>
      <c r="M42" s="5" t="e">
        <f ca="1">(IF('Demand adjustments for Covid'!$F$9="No",E42,SUM('Demand background (hide)'!DS31,'Demand background (hide)'!DV31:DW31))*(1-'Parameters calculator (hide)'!$B$43))*(1-'Parameters calculator (hide)'!$B$44+('Parameters calculator (hide)'!$B$45*'Parameters calculator (hide)'!$B$47))</f>
        <v>#N/A</v>
      </c>
      <c r="N42" s="5" t="e">
        <f ca="1">(IF('Demand adjustments for Covid'!$F$9="No",F42,SUM('Demand background (hide)'!DT31,'Demand background (hide)'!DV31:DW31))*(1-'Parameters calculator (hide)'!$B$43))*(1-'Parameters calculator (hide)'!$B$44+('Parameters calculator (hide)'!$B$45*'Parameters calculator (hide)'!$B$47))</f>
        <v>#N/A</v>
      </c>
      <c r="P42" s="5">
        <f t="shared" ca="1" si="4"/>
        <v>0</v>
      </c>
      <c r="Q42" s="5">
        <f t="shared" ca="1" si="5"/>
        <v>0</v>
      </c>
      <c r="R42" s="5">
        <f t="shared" ca="1" si="6"/>
        <v>0</v>
      </c>
      <c r="S42" s="5">
        <f t="shared" ca="1" si="7"/>
        <v>0</v>
      </c>
      <c r="T42" s="5" t="e">
        <f ca="1">M42/IF(Summary!$C$8&lt;&gt;"Patients",1,$I$9)</f>
        <v>#N/A</v>
      </c>
      <c r="U42" s="5" t="e">
        <f ca="1">((N42-M42)/IF(Summary!$C$8&lt;&gt;"Patients",1,$I$9))</f>
        <v>#N/A</v>
      </c>
      <c r="V42" s="5">
        <f t="shared" si="8"/>
        <v>0</v>
      </c>
      <c r="X42" s="5" t="e">
        <f ca="1">(VLOOKUP(D42,'SPC background (hide)'!$AG$2:$AN$54,8,0)/IF(Summary!$C$8&lt;&gt;"Patients",1,$I$9))*(1-$I$4)*(1-$I$5+($I$6*$I$7))</f>
        <v>#N/A</v>
      </c>
    </row>
    <row r="43" spans="1:24" x14ac:dyDescent="0.2">
      <c r="A43" s="87">
        <f t="shared" ca="1" si="9"/>
        <v>44613</v>
      </c>
      <c r="B43" s="67" t="str">
        <f t="shared" ca="1" si="1"/>
        <v/>
      </c>
      <c r="C43" s="67" t="str">
        <f t="shared" ca="1" si="2"/>
        <v/>
      </c>
      <c r="D43" s="67">
        <f t="shared" ca="1" si="0"/>
        <v>8</v>
      </c>
      <c r="E43" s="5" t="e">
        <f ca="1">IF(LEFT(Demand!$C$8,1)="H",VLOOKUP($D43,'SPC background (hide)'!$AG$2:$AS$54,12,0),'Demand background (hide)'!X32)</f>
        <v>#N/A</v>
      </c>
      <c r="F43" s="5" t="e">
        <f ca="1">IF(LEFT(Demand!$C$8,1)="H",VLOOKUP($D43,'SPC background (hide)'!$AG$2:$AS$54,13,0),E43*1.1)</f>
        <v>#N/A</v>
      </c>
      <c r="G43" s="5" t="str">
        <f>IF(Setup!$I$15="Yes",VLOOKUP(D43,'SPC background (hide)'!$AG$2:$AT$54,14,0)/IF(Summary!$C$8="Patients",'Summary Calculations (hide)'!$I$9,1),"")</f>
        <v/>
      </c>
      <c r="H43" s="67" t="str">
        <f>IF(Setup!$I$13="Yes",'Planned background (hide)'!$V$23/IF(Summary!$C$8="Patients",'Summary Calculations (hide)'!$I$9,1),"")</f>
        <v/>
      </c>
      <c r="I43" s="5">
        <f ca="1">IFERROR(HLOOKUP(A43,'Capacity calculation (hide)'!$BK$1:$DK$4,4,0),Capacity!$I$15)</f>
        <v>0</v>
      </c>
      <c r="J43" s="5">
        <f ca="1">HLOOKUP(D43,'Capacity calculation (hide)'!$BK$110:$DK$111,2,0)</f>
        <v>0</v>
      </c>
      <c r="K43" s="5">
        <f ca="1">IF(I43-IF(Setup!$I$15="Yes",$G43,0)-IF(Setup!$I$13="Yes",$H43,0)&lt;0,0,I43-IF(Setup!$I$15="Yes",$G43,0)-IF(Setup!$I$13="Yes",$H43,0))</f>
        <v>0</v>
      </c>
      <c r="L43" s="5">
        <f t="shared" ca="1" si="3"/>
        <v>0</v>
      </c>
      <c r="M43" s="5" t="e">
        <f ca="1">(IF('Demand adjustments for Covid'!$F$9="No",E43,SUM('Demand background (hide)'!DS32,'Demand background (hide)'!DV32:DW32))*(1-'Parameters calculator (hide)'!$B$43))*(1-'Parameters calculator (hide)'!$B$44+('Parameters calculator (hide)'!$B$45*'Parameters calculator (hide)'!$B$47))</f>
        <v>#N/A</v>
      </c>
      <c r="N43" s="5" t="e">
        <f ca="1">(IF('Demand adjustments for Covid'!$F$9="No",F43,SUM('Demand background (hide)'!DT32,'Demand background (hide)'!DV32:DW32))*(1-'Parameters calculator (hide)'!$B$43))*(1-'Parameters calculator (hide)'!$B$44+('Parameters calculator (hide)'!$B$45*'Parameters calculator (hide)'!$B$47))</f>
        <v>#N/A</v>
      </c>
      <c r="P43" s="5">
        <f t="shared" ca="1" si="4"/>
        <v>0</v>
      </c>
      <c r="Q43" s="5">
        <f t="shared" ca="1" si="5"/>
        <v>0</v>
      </c>
      <c r="R43" s="5">
        <f t="shared" ca="1" si="6"/>
        <v>0</v>
      </c>
      <c r="S43" s="5">
        <f t="shared" ca="1" si="7"/>
        <v>0</v>
      </c>
      <c r="T43" s="5" t="e">
        <f ca="1">M43/IF(Summary!$C$8&lt;&gt;"Patients",1,$I$9)</f>
        <v>#N/A</v>
      </c>
      <c r="U43" s="5" t="e">
        <f ca="1">((N43-M43)/IF(Summary!$C$8&lt;&gt;"Patients",1,$I$9))</f>
        <v>#N/A</v>
      </c>
      <c r="V43" s="5">
        <f t="shared" si="8"/>
        <v>0</v>
      </c>
      <c r="X43" s="5" t="e">
        <f ca="1">(VLOOKUP(D43,'SPC background (hide)'!$AG$2:$AN$54,8,0)/IF(Summary!$C$8&lt;&gt;"Patients",1,$I$9))*(1-$I$4)*(1-$I$5+($I$6*$I$7))</f>
        <v>#N/A</v>
      </c>
    </row>
    <row r="44" spans="1:24" x14ac:dyDescent="0.2">
      <c r="A44" s="87">
        <f t="shared" ca="1" si="9"/>
        <v>44620</v>
      </c>
      <c r="B44" s="67" t="str">
        <f t="shared" ca="1" si="1"/>
        <v/>
      </c>
      <c r="C44" s="67" t="str">
        <f t="shared" ca="1" si="2"/>
        <v/>
      </c>
      <c r="D44" s="67">
        <f t="shared" ca="1" si="0"/>
        <v>9</v>
      </c>
      <c r="E44" s="5" t="e">
        <f ca="1">IF(LEFT(Demand!$C$8,1)="H",VLOOKUP($D44,'SPC background (hide)'!$AG$2:$AS$54,12,0),'Demand background (hide)'!X33)</f>
        <v>#N/A</v>
      </c>
      <c r="F44" s="5" t="e">
        <f ca="1">IF(LEFT(Demand!$C$8,1)="H",VLOOKUP($D44,'SPC background (hide)'!$AG$2:$AS$54,13,0),E44*1.1)</f>
        <v>#N/A</v>
      </c>
      <c r="G44" s="5" t="str">
        <f>IF(Setup!$I$15="Yes",VLOOKUP(D44,'SPC background (hide)'!$AG$2:$AT$54,14,0)/IF(Summary!$C$8="Patients",'Summary Calculations (hide)'!$I$9,1),"")</f>
        <v/>
      </c>
      <c r="H44" s="67" t="str">
        <f>IF(Setup!$I$13="Yes",'Planned background (hide)'!$V$23/IF(Summary!$C$8="Patients",'Summary Calculations (hide)'!$I$9,1),"")</f>
        <v/>
      </c>
      <c r="I44" s="5">
        <f ca="1">IFERROR(HLOOKUP(A44,'Capacity calculation (hide)'!$BK$1:$DK$4,4,0),Capacity!$I$15)</f>
        <v>0</v>
      </c>
      <c r="J44" s="5">
        <f ca="1">HLOOKUP(D44,'Capacity calculation (hide)'!$BK$110:$DK$111,2,0)</f>
        <v>0</v>
      </c>
      <c r="K44" s="5">
        <f ca="1">IF(I44-IF(Setup!$I$15="Yes",$G44,0)-IF(Setup!$I$13="Yes",$H44,0)&lt;0,0,I44-IF(Setup!$I$15="Yes",$G44,0)-IF(Setup!$I$13="Yes",$H44,0))</f>
        <v>0</v>
      </c>
      <c r="L44" s="5">
        <f t="shared" ca="1" si="3"/>
        <v>0</v>
      </c>
      <c r="M44" s="5" t="e">
        <f ca="1">(IF('Demand adjustments for Covid'!$F$9="No",E44,SUM('Demand background (hide)'!DS33,'Demand background (hide)'!DV33:DW33))*(1-'Parameters calculator (hide)'!$B$43))*(1-'Parameters calculator (hide)'!$B$44+('Parameters calculator (hide)'!$B$45*'Parameters calculator (hide)'!$B$47))</f>
        <v>#N/A</v>
      </c>
      <c r="N44" s="5" t="e">
        <f ca="1">(IF('Demand adjustments for Covid'!$F$9="No",F44,SUM('Demand background (hide)'!DT33,'Demand background (hide)'!DV33:DW33))*(1-'Parameters calculator (hide)'!$B$43))*(1-'Parameters calculator (hide)'!$B$44+('Parameters calculator (hide)'!$B$45*'Parameters calculator (hide)'!$B$47))</f>
        <v>#N/A</v>
      </c>
      <c r="P44" s="5">
        <f t="shared" ca="1" si="4"/>
        <v>0</v>
      </c>
      <c r="Q44" s="5">
        <f t="shared" ca="1" si="5"/>
        <v>0</v>
      </c>
      <c r="R44" s="5">
        <f t="shared" ca="1" si="6"/>
        <v>0</v>
      </c>
      <c r="S44" s="5">
        <f t="shared" ca="1" si="7"/>
        <v>0</v>
      </c>
      <c r="T44" s="5" t="e">
        <f ca="1">M44/IF(Summary!$C$8&lt;&gt;"Patients",1,$I$9)</f>
        <v>#N/A</v>
      </c>
      <c r="U44" s="5" t="e">
        <f ca="1">((N44-M44)/IF(Summary!$C$8&lt;&gt;"Patients",1,$I$9))</f>
        <v>#N/A</v>
      </c>
      <c r="V44" s="5">
        <f t="shared" si="8"/>
        <v>0</v>
      </c>
      <c r="X44" s="5" t="e">
        <f ca="1">(VLOOKUP(D44,'SPC background (hide)'!$AG$2:$AN$54,8,0)/IF(Summary!$C$8&lt;&gt;"Patients",1,$I$9))*(1-$I$4)*(1-$I$5+($I$6*$I$7))</f>
        <v>#N/A</v>
      </c>
    </row>
    <row r="45" spans="1:24" x14ac:dyDescent="0.2">
      <c r="A45" s="87">
        <f t="shared" ca="1" si="9"/>
        <v>44627</v>
      </c>
      <c r="B45" s="67" t="str">
        <f t="shared" ca="1" si="1"/>
        <v/>
      </c>
      <c r="C45" s="67" t="str">
        <f t="shared" ca="1" si="2"/>
        <v>Mar</v>
      </c>
      <c r="D45" s="67">
        <f t="shared" ca="1" si="0"/>
        <v>10</v>
      </c>
      <c r="E45" s="5" t="e">
        <f ca="1">IF(LEFT(Demand!$C$8,1)="H",VLOOKUP($D45,'SPC background (hide)'!$AG$2:$AS$54,12,0),'Demand background (hide)'!X34)</f>
        <v>#N/A</v>
      </c>
      <c r="F45" s="5" t="e">
        <f ca="1">IF(LEFT(Demand!$C$8,1)="H",VLOOKUP($D45,'SPC background (hide)'!$AG$2:$AS$54,13,0),E45*1.1)</f>
        <v>#N/A</v>
      </c>
      <c r="G45" s="5" t="str">
        <f>IF(Setup!$I$15="Yes",VLOOKUP(D45,'SPC background (hide)'!$AG$2:$AT$54,14,0)/IF(Summary!$C$8="Patients",'Summary Calculations (hide)'!$I$9,1),"")</f>
        <v/>
      </c>
      <c r="H45" s="67" t="str">
        <f>IF(Setup!$I$13="Yes",'Planned background (hide)'!$V$23/IF(Summary!$C$8="Patients",'Summary Calculations (hide)'!$I$9,1),"")</f>
        <v/>
      </c>
      <c r="I45" s="5">
        <f ca="1">IFERROR(HLOOKUP(A45,'Capacity calculation (hide)'!$BK$1:$DK$4,4,0),Capacity!$I$15)</f>
        <v>0</v>
      </c>
      <c r="J45" s="5">
        <f ca="1">HLOOKUP(D45,'Capacity calculation (hide)'!$BK$110:$DK$111,2,0)</f>
        <v>0</v>
      </c>
      <c r="K45" s="5">
        <f ca="1">IF(I45-IF(Setup!$I$15="Yes",$G45,0)-IF(Setup!$I$13="Yes",$H45,0)&lt;0,0,I45-IF(Setup!$I$15="Yes",$G45,0)-IF(Setup!$I$13="Yes",$H45,0))</f>
        <v>0</v>
      </c>
      <c r="L45" s="5">
        <f t="shared" ca="1" si="3"/>
        <v>0</v>
      </c>
      <c r="M45" s="5" t="e">
        <f ca="1">(IF('Demand adjustments for Covid'!$F$9="No",E45,SUM('Demand background (hide)'!DS34,'Demand background (hide)'!DV34:DW34))*(1-'Parameters calculator (hide)'!$B$43))*(1-'Parameters calculator (hide)'!$B$44+('Parameters calculator (hide)'!$B$45*'Parameters calculator (hide)'!$B$47))</f>
        <v>#N/A</v>
      </c>
      <c r="N45" s="5" t="e">
        <f ca="1">(IF('Demand adjustments for Covid'!$F$9="No",F45,SUM('Demand background (hide)'!DT34,'Demand background (hide)'!DV34:DW34))*(1-'Parameters calculator (hide)'!$B$43))*(1-'Parameters calculator (hide)'!$B$44+('Parameters calculator (hide)'!$B$45*'Parameters calculator (hide)'!$B$47))</f>
        <v>#N/A</v>
      </c>
      <c r="P45" s="5">
        <f t="shared" ca="1" si="4"/>
        <v>0</v>
      </c>
      <c r="Q45" s="5">
        <f t="shared" ca="1" si="5"/>
        <v>0</v>
      </c>
      <c r="R45" s="5">
        <f t="shared" ca="1" si="6"/>
        <v>0</v>
      </c>
      <c r="S45" s="5">
        <f t="shared" ca="1" si="7"/>
        <v>0</v>
      </c>
      <c r="T45" s="5" t="e">
        <f ca="1">M45/IF(Summary!$C$8&lt;&gt;"Patients",1,$I$9)</f>
        <v>#N/A</v>
      </c>
      <c r="U45" s="5" t="e">
        <f ca="1">((N45-M45)/IF(Summary!$C$8&lt;&gt;"Patients",1,$I$9))</f>
        <v>#N/A</v>
      </c>
      <c r="V45" s="5">
        <f t="shared" si="8"/>
        <v>0</v>
      </c>
      <c r="X45" s="5" t="e">
        <f ca="1">(VLOOKUP(D45,'SPC background (hide)'!$AG$2:$AN$54,8,0)/IF(Summary!$C$8&lt;&gt;"Patients",1,$I$9))*(1-$I$4)*(1-$I$5+($I$6*$I$7))</f>
        <v>#N/A</v>
      </c>
    </row>
    <row r="46" spans="1:24" x14ac:dyDescent="0.2">
      <c r="A46" s="87">
        <f t="shared" ca="1" si="9"/>
        <v>44634</v>
      </c>
      <c r="B46" s="67" t="str">
        <f t="shared" ca="1" si="1"/>
        <v/>
      </c>
      <c r="C46" s="67" t="str">
        <f t="shared" ca="1" si="2"/>
        <v/>
      </c>
      <c r="D46" s="67">
        <f t="shared" ca="1" si="0"/>
        <v>11</v>
      </c>
      <c r="E46" s="5" t="e">
        <f ca="1">IF(LEFT(Demand!$C$8,1)="H",VLOOKUP($D46,'SPC background (hide)'!$AG$2:$AS$54,12,0),'Demand background (hide)'!X35)</f>
        <v>#N/A</v>
      </c>
      <c r="F46" s="5" t="e">
        <f ca="1">IF(LEFT(Demand!$C$8,1)="H",VLOOKUP($D46,'SPC background (hide)'!$AG$2:$AS$54,13,0),E46*1.1)</f>
        <v>#N/A</v>
      </c>
      <c r="G46" s="5" t="str">
        <f>IF(Setup!$I$15="Yes",VLOOKUP(D46,'SPC background (hide)'!$AG$2:$AT$54,14,0)/IF(Summary!$C$8="Patients",'Summary Calculations (hide)'!$I$9,1),"")</f>
        <v/>
      </c>
      <c r="H46" s="67" t="str">
        <f>IF(Setup!$I$13="Yes",'Planned background (hide)'!$V$23/IF(Summary!$C$8="Patients",'Summary Calculations (hide)'!$I$9,1),"")</f>
        <v/>
      </c>
      <c r="I46" s="5">
        <f ca="1">IFERROR(HLOOKUP(A46,'Capacity calculation (hide)'!$BK$1:$DK$4,4,0),Capacity!$I$15)</f>
        <v>0</v>
      </c>
      <c r="J46" s="5">
        <f ca="1">HLOOKUP(D46,'Capacity calculation (hide)'!$BK$110:$DK$111,2,0)</f>
        <v>0</v>
      </c>
      <c r="K46" s="5">
        <f ca="1">IF(I46-IF(Setup!$I$15="Yes",$G46,0)-IF(Setup!$I$13="Yes",$H46,0)&lt;0,0,I46-IF(Setup!$I$15="Yes",$G46,0)-IF(Setup!$I$13="Yes",$H46,0))</f>
        <v>0</v>
      </c>
      <c r="L46" s="5">
        <f t="shared" ca="1" si="3"/>
        <v>0</v>
      </c>
      <c r="M46" s="5" t="e">
        <f ca="1">(IF('Demand adjustments for Covid'!$F$9="No",E46,SUM('Demand background (hide)'!DS35,'Demand background (hide)'!DV35:DW35))*(1-'Parameters calculator (hide)'!$B$43))*(1-'Parameters calculator (hide)'!$B$44+('Parameters calculator (hide)'!$B$45*'Parameters calculator (hide)'!$B$47))</f>
        <v>#N/A</v>
      </c>
      <c r="N46" s="5" t="e">
        <f ca="1">(IF('Demand adjustments for Covid'!$F$9="No",F46,SUM('Demand background (hide)'!DT35,'Demand background (hide)'!DV35:DW35))*(1-'Parameters calculator (hide)'!$B$43))*(1-'Parameters calculator (hide)'!$B$44+('Parameters calculator (hide)'!$B$45*'Parameters calculator (hide)'!$B$47))</f>
        <v>#N/A</v>
      </c>
      <c r="P46" s="5">
        <f t="shared" ca="1" si="4"/>
        <v>0</v>
      </c>
      <c r="Q46" s="5">
        <f t="shared" ca="1" si="5"/>
        <v>0</v>
      </c>
      <c r="R46" s="5">
        <f t="shared" ca="1" si="6"/>
        <v>0</v>
      </c>
      <c r="S46" s="5">
        <f t="shared" ca="1" si="7"/>
        <v>0</v>
      </c>
      <c r="T46" s="5" t="e">
        <f ca="1">M46/IF(Summary!$C$8&lt;&gt;"Patients",1,$I$9)</f>
        <v>#N/A</v>
      </c>
      <c r="U46" s="5" t="e">
        <f ca="1">((N46-M46)/IF(Summary!$C$8&lt;&gt;"Patients",1,$I$9))</f>
        <v>#N/A</v>
      </c>
      <c r="V46" s="5">
        <f t="shared" si="8"/>
        <v>0</v>
      </c>
      <c r="X46" s="5" t="e">
        <f ca="1">(VLOOKUP(D46,'SPC background (hide)'!$AG$2:$AN$54,8,0)/IF(Summary!$C$8&lt;&gt;"Patients",1,$I$9))*(1-$I$4)*(1-$I$5+($I$6*$I$7))</f>
        <v>#N/A</v>
      </c>
    </row>
    <row r="47" spans="1:24" x14ac:dyDescent="0.2">
      <c r="A47" s="87">
        <f t="shared" ca="1" si="9"/>
        <v>44641</v>
      </c>
      <c r="B47" s="67" t="str">
        <f t="shared" ca="1" si="1"/>
        <v/>
      </c>
      <c r="C47" s="67" t="str">
        <f t="shared" ca="1" si="2"/>
        <v/>
      </c>
      <c r="D47" s="67">
        <f t="shared" ref="D47:D66" ca="1" si="10">WEEKNUM(A47,21)</f>
        <v>12</v>
      </c>
      <c r="E47" s="5" t="e">
        <f ca="1">IF(LEFT(Demand!$C$8,1)="H",VLOOKUP($D47,'SPC background (hide)'!$AG$2:$AS$54,12,0),'Demand background (hide)'!X36)</f>
        <v>#N/A</v>
      </c>
      <c r="F47" s="5" t="e">
        <f ca="1">IF(LEFT(Demand!$C$8,1)="H",VLOOKUP($D47,'SPC background (hide)'!$AG$2:$AS$54,13,0),E47*1.1)</f>
        <v>#N/A</v>
      </c>
      <c r="G47" s="5" t="str">
        <f>IF(Setup!$I$15="Yes",VLOOKUP(D47,'SPC background (hide)'!$AG$2:$AT$54,14,0)/IF(Summary!$C$8="Patients",'Summary Calculations (hide)'!$I$9,1),"")</f>
        <v/>
      </c>
      <c r="H47" s="67" t="str">
        <f>IF(Setup!$I$13="Yes",'Planned background (hide)'!$V$23/IF(Summary!$C$8="Patients",'Summary Calculations (hide)'!$I$9,1),"")</f>
        <v/>
      </c>
      <c r="I47" s="5">
        <f ca="1">IFERROR(HLOOKUP(A47,'Capacity calculation (hide)'!$BK$1:$DK$4,4,0),Capacity!$I$15)</f>
        <v>0</v>
      </c>
      <c r="J47" s="5">
        <f ca="1">HLOOKUP(D47,'Capacity calculation (hide)'!$BK$110:$DK$111,2,0)</f>
        <v>0</v>
      </c>
      <c r="K47" s="5">
        <f ca="1">IF(I47-IF(Setup!$I$15="Yes",$G47,0)-IF(Setup!$I$13="Yes",$H47,0)&lt;0,0,I47-IF(Setup!$I$15="Yes",$G47,0)-IF(Setup!$I$13="Yes",$H47,0))</f>
        <v>0</v>
      </c>
      <c r="L47" s="5">
        <f t="shared" ca="1" si="3"/>
        <v>0</v>
      </c>
      <c r="M47" s="5" t="e">
        <f ca="1">(IF('Demand adjustments for Covid'!$F$9="No",E47,SUM('Demand background (hide)'!DS36,'Demand background (hide)'!DV36:DW36))*(1-'Parameters calculator (hide)'!$B$43))*(1-'Parameters calculator (hide)'!$B$44+('Parameters calculator (hide)'!$B$45*'Parameters calculator (hide)'!$B$47))</f>
        <v>#N/A</v>
      </c>
      <c r="N47" s="5" t="e">
        <f ca="1">(IF('Demand adjustments for Covid'!$F$9="No",F47,SUM('Demand background (hide)'!DT36,'Demand background (hide)'!DV36:DW36))*(1-'Parameters calculator (hide)'!$B$43))*(1-'Parameters calculator (hide)'!$B$44+('Parameters calculator (hide)'!$B$45*'Parameters calculator (hide)'!$B$47))</f>
        <v>#N/A</v>
      </c>
      <c r="P47" s="5">
        <f t="shared" ca="1" si="4"/>
        <v>0</v>
      </c>
      <c r="Q47" s="5">
        <f t="shared" ca="1" si="5"/>
        <v>0</v>
      </c>
      <c r="R47" s="5">
        <f t="shared" ca="1" si="6"/>
        <v>0</v>
      </c>
      <c r="S47" s="5">
        <f t="shared" ca="1" si="7"/>
        <v>0</v>
      </c>
      <c r="T47" s="5" t="e">
        <f ca="1">M47/IF(Summary!$C$8&lt;&gt;"Patients",1,$I$9)</f>
        <v>#N/A</v>
      </c>
      <c r="U47" s="5" t="e">
        <f ca="1">((N47-M47)/IF(Summary!$C$8&lt;&gt;"Patients",1,$I$9))</f>
        <v>#N/A</v>
      </c>
      <c r="V47" s="5">
        <f t="shared" si="8"/>
        <v>0</v>
      </c>
      <c r="X47" s="5" t="e">
        <f ca="1">(VLOOKUP(D47,'SPC background (hide)'!$AG$2:$AN$54,8,0)/IF(Summary!$C$8&lt;&gt;"Patients",1,$I$9))*(1-$I$4)*(1-$I$5+($I$6*$I$7))</f>
        <v>#N/A</v>
      </c>
    </row>
    <row r="48" spans="1:24" x14ac:dyDescent="0.2">
      <c r="A48" s="87">
        <f t="shared" ca="1" si="9"/>
        <v>44648</v>
      </c>
      <c r="B48" s="67" t="str">
        <f t="shared" ref="B48:B67" ca="1" si="11">IF(YEAR(A48)&lt;&gt;YEAR(A47),YEAR(A48),"")</f>
        <v/>
      </c>
      <c r="C48" s="67" t="str">
        <f t="shared" ref="C48:C67" ca="1" si="12">IF(TEXT(A48,"MMM")&lt;&gt;TEXT(A47,"MMM"),TEXT(A48,"MMM"),"")</f>
        <v/>
      </c>
      <c r="D48" s="67">
        <f t="shared" ca="1" si="10"/>
        <v>13</v>
      </c>
      <c r="E48" s="5" t="e">
        <f ca="1">IF(LEFT(Demand!$C$8,1)="H",VLOOKUP($D48,'SPC background (hide)'!$AG$2:$AS$54,12,0),'Demand background (hide)'!X37)</f>
        <v>#N/A</v>
      </c>
      <c r="F48" s="5" t="e">
        <f ca="1">IF(LEFT(Demand!$C$8,1)="H",VLOOKUP($D48,'SPC background (hide)'!$AG$2:$AS$54,13,0),E48*1.1)</f>
        <v>#N/A</v>
      </c>
      <c r="G48" s="5" t="str">
        <f>IF(Setup!$I$15="Yes",VLOOKUP(D48,'SPC background (hide)'!$AG$2:$AT$54,14,0)/IF(Summary!$C$8="Patients",'Summary Calculations (hide)'!$I$9,1),"")</f>
        <v/>
      </c>
      <c r="H48" s="67" t="str">
        <f>IF(Setup!$I$13="Yes",'Planned background (hide)'!$V$23/IF(Summary!$C$8="Patients",'Summary Calculations (hide)'!$I$9,1),"")</f>
        <v/>
      </c>
      <c r="I48" s="5">
        <f ca="1">IFERROR(HLOOKUP(A48,'Capacity calculation (hide)'!$BK$1:$DK$4,4,0),Capacity!$I$15)</f>
        <v>0</v>
      </c>
      <c r="J48" s="5">
        <f ca="1">HLOOKUP(D48,'Capacity calculation (hide)'!$BK$110:$DK$111,2,0)</f>
        <v>0</v>
      </c>
      <c r="K48" s="5">
        <f ca="1">IF(I48-IF(Setup!$I$15="Yes",$G48,0)-IF(Setup!$I$13="Yes",$H48,0)&lt;0,0,I48-IF(Setup!$I$15="Yes",$G48,0)-IF(Setup!$I$13="Yes",$H48,0))</f>
        <v>0</v>
      </c>
      <c r="L48" s="5">
        <f t="shared" ca="1" si="3"/>
        <v>0</v>
      </c>
      <c r="M48" s="5" t="e">
        <f ca="1">(IF('Demand adjustments for Covid'!$F$9="No",E48,SUM('Demand background (hide)'!DS37,'Demand background (hide)'!DV37:DW37))*(1-'Parameters calculator (hide)'!$B$43))*(1-'Parameters calculator (hide)'!$B$44+('Parameters calculator (hide)'!$B$45*'Parameters calculator (hide)'!$B$47))</f>
        <v>#N/A</v>
      </c>
      <c r="N48" s="5" t="e">
        <f ca="1">(IF('Demand adjustments for Covid'!$F$9="No",F48,SUM('Demand background (hide)'!DT37,'Demand background (hide)'!DV37:DW37))*(1-'Parameters calculator (hide)'!$B$43))*(1-'Parameters calculator (hide)'!$B$44+('Parameters calculator (hide)'!$B$45*'Parameters calculator (hide)'!$B$47))</f>
        <v>#N/A</v>
      </c>
      <c r="P48" s="5">
        <f t="shared" ca="1" si="4"/>
        <v>0</v>
      </c>
      <c r="Q48" s="5">
        <f t="shared" ca="1" si="5"/>
        <v>0</v>
      </c>
      <c r="R48" s="5">
        <f t="shared" ca="1" si="6"/>
        <v>0</v>
      </c>
      <c r="S48" s="5">
        <f t="shared" ca="1" si="7"/>
        <v>0</v>
      </c>
      <c r="T48" s="5" t="e">
        <f ca="1">M48/IF(Summary!$C$8&lt;&gt;"Patients",1,$I$9)</f>
        <v>#N/A</v>
      </c>
      <c r="U48" s="5" t="e">
        <f ca="1">((N48-M48)/IF(Summary!$C$8&lt;&gt;"Patients",1,$I$9))</f>
        <v>#N/A</v>
      </c>
      <c r="V48" s="5">
        <f t="shared" si="8"/>
        <v>0</v>
      </c>
      <c r="X48" s="5" t="e">
        <f ca="1">(VLOOKUP(D48,'SPC background (hide)'!$AG$2:$AN$54,8,0)/IF(Summary!$C$8&lt;&gt;"Patients",1,$I$9))*(1-$I$4)*(1-$I$5+($I$6*$I$7))</f>
        <v>#N/A</v>
      </c>
    </row>
    <row r="49" spans="1:24" x14ac:dyDescent="0.2">
      <c r="A49" s="87">
        <f t="shared" ca="1" si="9"/>
        <v>44655</v>
      </c>
      <c r="B49" s="67" t="str">
        <f t="shared" ca="1" si="11"/>
        <v/>
      </c>
      <c r="C49" s="67" t="str">
        <f t="shared" ca="1" si="12"/>
        <v>Apr</v>
      </c>
      <c r="D49" s="67">
        <f t="shared" ca="1" si="10"/>
        <v>14</v>
      </c>
      <c r="E49" s="5" t="e">
        <f ca="1">IF(LEFT(Demand!$C$8,1)="H",VLOOKUP($D49,'SPC background (hide)'!$AG$2:$AS$54,12,0),'Demand background (hide)'!X38)</f>
        <v>#N/A</v>
      </c>
      <c r="F49" s="5" t="e">
        <f ca="1">IF(LEFT(Demand!$C$8,1)="H",VLOOKUP($D49,'SPC background (hide)'!$AG$2:$AS$54,13,0),E49*1.1)</f>
        <v>#N/A</v>
      </c>
      <c r="G49" s="5" t="str">
        <f>IF(Setup!$I$15="Yes",VLOOKUP(D49,'SPC background (hide)'!$AG$2:$AT$54,14,0)/IF(Summary!$C$8="Patients",'Summary Calculations (hide)'!$I$9,1),"")</f>
        <v/>
      </c>
      <c r="H49" s="67" t="str">
        <f>IF(Setup!$I$13="Yes",'Planned background (hide)'!$V$23/IF(Summary!$C$8="Patients",'Summary Calculations (hide)'!$I$9,1),"")</f>
        <v/>
      </c>
      <c r="I49" s="5">
        <f ca="1">IFERROR(HLOOKUP(A49,'Capacity calculation (hide)'!$BK$1:$DK$4,4,0),Capacity!$I$15)</f>
        <v>0</v>
      </c>
      <c r="J49" s="5">
        <f ca="1">HLOOKUP(D49,'Capacity calculation (hide)'!$BK$110:$DK$111,2,0)</f>
        <v>0</v>
      </c>
      <c r="K49" s="5">
        <f ca="1">IF(I49-IF(Setup!$I$15="Yes",$G49,0)-IF(Setup!$I$13="Yes",$H49,0)&lt;0,0,I49-IF(Setup!$I$15="Yes",$G49,0)-IF(Setup!$I$13="Yes",$H49,0))</f>
        <v>0</v>
      </c>
      <c r="L49" s="5">
        <f t="shared" ca="1" si="3"/>
        <v>0</v>
      </c>
      <c r="M49" s="5" t="e">
        <f ca="1">(IF('Demand adjustments for Covid'!$F$9="No",E49,SUM('Demand background (hide)'!DS38,'Demand background (hide)'!DV38:DW38))*(1-'Parameters calculator (hide)'!$B$43))*(1-'Parameters calculator (hide)'!$B$44+('Parameters calculator (hide)'!$B$45*'Parameters calculator (hide)'!$B$47))</f>
        <v>#N/A</v>
      </c>
      <c r="N49" s="5" t="e">
        <f ca="1">(IF('Demand adjustments for Covid'!$F$9="No",F49,SUM('Demand background (hide)'!DT38,'Demand background (hide)'!DV38:DW38))*(1-'Parameters calculator (hide)'!$B$43))*(1-'Parameters calculator (hide)'!$B$44+('Parameters calculator (hide)'!$B$45*'Parameters calculator (hide)'!$B$47))</f>
        <v>#N/A</v>
      </c>
      <c r="P49" s="5">
        <f t="shared" ca="1" si="4"/>
        <v>0</v>
      </c>
      <c r="Q49" s="5">
        <f t="shared" ca="1" si="5"/>
        <v>0</v>
      </c>
      <c r="R49" s="5">
        <f t="shared" ca="1" si="6"/>
        <v>0</v>
      </c>
      <c r="S49" s="5">
        <f t="shared" ca="1" si="7"/>
        <v>0</v>
      </c>
      <c r="T49" s="5" t="e">
        <f ca="1">M49/IF(Summary!$C$8&lt;&gt;"Patients",1,$I$9)</f>
        <v>#N/A</v>
      </c>
      <c r="U49" s="5" t="e">
        <f ca="1">((N49-M49)/IF(Summary!$C$8&lt;&gt;"Patients",1,$I$9))</f>
        <v>#N/A</v>
      </c>
      <c r="V49" s="5">
        <f t="shared" si="8"/>
        <v>0</v>
      </c>
      <c r="X49" s="5" t="e">
        <f ca="1">(VLOOKUP(D49,'SPC background (hide)'!$AG$2:$AN$54,8,0)/IF(Summary!$C$8&lt;&gt;"Patients",1,$I$9))*(1-$I$4)*(1-$I$5+($I$6*$I$7))</f>
        <v>#N/A</v>
      </c>
    </row>
    <row r="50" spans="1:24" x14ac:dyDescent="0.2">
      <c r="A50" s="87">
        <f t="shared" ca="1" si="9"/>
        <v>44662</v>
      </c>
      <c r="B50" s="67" t="str">
        <f t="shared" ca="1" si="11"/>
        <v/>
      </c>
      <c r="C50" s="67" t="str">
        <f t="shared" ca="1" si="12"/>
        <v/>
      </c>
      <c r="D50" s="67">
        <f t="shared" ca="1" si="10"/>
        <v>15</v>
      </c>
      <c r="E50" s="5" t="e">
        <f ca="1">IF(LEFT(Demand!$C$8,1)="H",VLOOKUP($D50,'SPC background (hide)'!$AG$2:$AS$54,12,0),'Demand background (hide)'!X39)</f>
        <v>#N/A</v>
      </c>
      <c r="F50" s="5" t="e">
        <f ca="1">IF(LEFT(Demand!$C$8,1)="H",VLOOKUP($D50,'SPC background (hide)'!$AG$2:$AS$54,13,0),E50*1.1)</f>
        <v>#N/A</v>
      </c>
      <c r="G50" s="5" t="str">
        <f>IF(Setup!$I$15="Yes",VLOOKUP(D50,'SPC background (hide)'!$AG$2:$AT$54,14,0)/IF(Summary!$C$8="Patients",'Summary Calculations (hide)'!$I$9,1),"")</f>
        <v/>
      </c>
      <c r="H50" s="67" t="str">
        <f>IF(Setup!$I$13="Yes",'Planned background (hide)'!$V$23/IF(Summary!$C$8="Patients",'Summary Calculations (hide)'!$I$9,1),"")</f>
        <v/>
      </c>
      <c r="I50" s="5">
        <f ca="1">IFERROR(HLOOKUP(A50,'Capacity calculation (hide)'!$BK$1:$DK$4,4,0),Capacity!$I$15)</f>
        <v>0</v>
      </c>
      <c r="J50" s="5">
        <f ca="1">HLOOKUP(D50,'Capacity calculation (hide)'!$BK$110:$DK$111,2,0)</f>
        <v>0</v>
      </c>
      <c r="K50" s="5">
        <f ca="1">IF(I50-IF(Setup!$I$15="Yes",$G50,0)-IF(Setup!$I$13="Yes",$H50,0)&lt;0,0,I50-IF(Setup!$I$15="Yes",$G50,0)-IF(Setup!$I$13="Yes",$H50,0))</f>
        <v>0</v>
      </c>
      <c r="L50" s="5">
        <f t="shared" ca="1" si="3"/>
        <v>0</v>
      </c>
      <c r="M50" s="5" t="e">
        <f ca="1">(IF('Demand adjustments for Covid'!$F$9="No",E50,SUM('Demand background (hide)'!DS39,'Demand background (hide)'!DV39:DW39))*(1-'Parameters calculator (hide)'!$B$43))*(1-'Parameters calculator (hide)'!$B$44+('Parameters calculator (hide)'!$B$45*'Parameters calculator (hide)'!$B$47))</f>
        <v>#N/A</v>
      </c>
      <c r="N50" s="5" t="e">
        <f ca="1">(IF('Demand adjustments for Covid'!$F$9="No",F50,SUM('Demand background (hide)'!DT39,'Demand background (hide)'!DV39:DW39))*(1-'Parameters calculator (hide)'!$B$43))*(1-'Parameters calculator (hide)'!$B$44+('Parameters calculator (hide)'!$B$45*'Parameters calculator (hide)'!$B$47))</f>
        <v>#N/A</v>
      </c>
      <c r="P50" s="5">
        <f t="shared" ca="1" si="4"/>
        <v>0</v>
      </c>
      <c r="Q50" s="5">
        <f t="shared" ca="1" si="5"/>
        <v>0</v>
      </c>
      <c r="R50" s="5">
        <f t="shared" ca="1" si="6"/>
        <v>0</v>
      </c>
      <c r="S50" s="5">
        <f t="shared" ca="1" si="7"/>
        <v>0</v>
      </c>
      <c r="T50" s="5" t="e">
        <f ca="1">M50/IF(Summary!$C$8&lt;&gt;"Patients",1,$I$9)</f>
        <v>#N/A</v>
      </c>
      <c r="U50" s="5" t="e">
        <f ca="1">((N50-M50)/IF(Summary!$C$8&lt;&gt;"Patients",1,$I$9))</f>
        <v>#N/A</v>
      </c>
      <c r="V50" s="5">
        <f t="shared" si="8"/>
        <v>0</v>
      </c>
      <c r="X50" s="5" t="e">
        <f ca="1">(VLOOKUP(D50,'SPC background (hide)'!$AG$2:$AN$54,8,0)/IF(Summary!$C$8&lt;&gt;"Patients",1,$I$9))*(1-$I$4)*(1-$I$5+($I$6*$I$7))</f>
        <v>#N/A</v>
      </c>
    </row>
    <row r="51" spans="1:24" x14ac:dyDescent="0.2">
      <c r="A51" s="87">
        <f t="shared" ca="1" si="9"/>
        <v>44669</v>
      </c>
      <c r="B51" s="67" t="str">
        <f t="shared" ca="1" si="11"/>
        <v/>
      </c>
      <c r="C51" s="67" t="str">
        <f t="shared" ca="1" si="12"/>
        <v/>
      </c>
      <c r="D51" s="67">
        <f t="shared" ca="1" si="10"/>
        <v>16</v>
      </c>
      <c r="E51" s="5" t="e">
        <f ca="1">IF(LEFT(Demand!$C$8,1)="H",VLOOKUP($D51,'SPC background (hide)'!$AG$2:$AS$54,12,0),'Demand background (hide)'!X40)</f>
        <v>#N/A</v>
      </c>
      <c r="F51" s="5" t="e">
        <f ca="1">IF(LEFT(Demand!$C$8,1)="H",VLOOKUP($D51,'SPC background (hide)'!$AG$2:$AS$54,13,0),E51*1.1)</f>
        <v>#N/A</v>
      </c>
      <c r="G51" s="5" t="str">
        <f>IF(Setup!$I$15="Yes",VLOOKUP(D51,'SPC background (hide)'!$AG$2:$AT$54,14,0)/IF(Summary!$C$8="Patients",'Summary Calculations (hide)'!$I$9,1),"")</f>
        <v/>
      </c>
      <c r="H51" s="67" t="str">
        <f>IF(Setup!$I$13="Yes",'Planned background (hide)'!$V$23/IF(Summary!$C$8="Patients",'Summary Calculations (hide)'!$I$9,1),"")</f>
        <v/>
      </c>
      <c r="I51" s="5">
        <f ca="1">IFERROR(HLOOKUP(A51,'Capacity calculation (hide)'!$BK$1:$DK$4,4,0),Capacity!$I$15)</f>
        <v>0</v>
      </c>
      <c r="J51" s="5">
        <f ca="1">HLOOKUP(D51,'Capacity calculation (hide)'!$BK$110:$DK$111,2,0)</f>
        <v>0</v>
      </c>
      <c r="K51" s="5">
        <f ca="1">IF(I51-IF(Setup!$I$15="Yes",$G51,0)-IF(Setup!$I$13="Yes",$H51,0)&lt;0,0,I51-IF(Setup!$I$15="Yes",$G51,0)-IF(Setup!$I$13="Yes",$H51,0))</f>
        <v>0</v>
      </c>
      <c r="L51" s="5">
        <f t="shared" ca="1" si="3"/>
        <v>0</v>
      </c>
      <c r="M51" s="5" t="e">
        <f ca="1">(IF('Demand adjustments for Covid'!$F$9="No",E51,SUM('Demand background (hide)'!DS40,'Demand background (hide)'!DV40:DW40))*(1-'Parameters calculator (hide)'!$B$43))*(1-'Parameters calculator (hide)'!$B$44+('Parameters calculator (hide)'!$B$45*'Parameters calculator (hide)'!$B$47))</f>
        <v>#N/A</v>
      </c>
      <c r="N51" s="5" t="e">
        <f ca="1">(IF('Demand adjustments for Covid'!$F$9="No",F51,SUM('Demand background (hide)'!DT40,'Demand background (hide)'!DV40:DW40))*(1-'Parameters calculator (hide)'!$B$43))*(1-'Parameters calculator (hide)'!$B$44+('Parameters calculator (hide)'!$B$45*'Parameters calculator (hide)'!$B$47))</f>
        <v>#N/A</v>
      </c>
      <c r="P51" s="5">
        <f t="shared" ca="1" si="4"/>
        <v>0</v>
      </c>
      <c r="Q51" s="5">
        <f t="shared" ca="1" si="5"/>
        <v>0</v>
      </c>
      <c r="R51" s="5">
        <f t="shared" ca="1" si="6"/>
        <v>0</v>
      </c>
      <c r="S51" s="5">
        <f t="shared" ca="1" si="7"/>
        <v>0</v>
      </c>
      <c r="T51" s="5" t="e">
        <f ca="1">M51/IF(Summary!$C$8&lt;&gt;"Patients",1,$I$9)</f>
        <v>#N/A</v>
      </c>
      <c r="U51" s="5" t="e">
        <f ca="1">((N51-M51)/IF(Summary!$C$8&lt;&gt;"Patients",1,$I$9))</f>
        <v>#N/A</v>
      </c>
      <c r="V51" s="5">
        <f t="shared" si="8"/>
        <v>0</v>
      </c>
      <c r="X51" s="5" t="e">
        <f ca="1">(VLOOKUP(D51,'SPC background (hide)'!$AG$2:$AN$54,8,0)/IF(Summary!$C$8&lt;&gt;"Patients",1,$I$9))*(1-$I$4)*(1-$I$5+($I$6*$I$7))</f>
        <v>#N/A</v>
      </c>
    </row>
    <row r="52" spans="1:24" x14ac:dyDescent="0.2">
      <c r="A52" s="87">
        <f t="shared" ca="1" si="9"/>
        <v>44676</v>
      </c>
      <c r="B52" s="67" t="str">
        <f t="shared" ca="1" si="11"/>
        <v/>
      </c>
      <c r="C52" s="67" t="str">
        <f t="shared" ca="1" si="12"/>
        <v/>
      </c>
      <c r="D52" s="67">
        <f t="shared" ca="1" si="10"/>
        <v>17</v>
      </c>
      <c r="E52" s="5" t="e">
        <f ca="1">IF(LEFT(Demand!$C$8,1)="H",VLOOKUP($D52,'SPC background (hide)'!$AG$2:$AS$54,12,0),'Demand background (hide)'!X41)</f>
        <v>#N/A</v>
      </c>
      <c r="F52" s="5" t="e">
        <f ca="1">IF(LEFT(Demand!$C$8,1)="H",VLOOKUP($D52,'SPC background (hide)'!$AG$2:$AS$54,13,0),E52*1.1)</f>
        <v>#N/A</v>
      </c>
      <c r="G52" s="5" t="str">
        <f>IF(Setup!$I$15="Yes",VLOOKUP(D52,'SPC background (hide)'!$AG$2:$AT$54,14,0)/IF(Summary!$C$8="Patients",'Summary Calculations (hide)'!$I$9,1),"")</f>
        <v/>
      </c>
      <c r="H52" s="67" t="str">
        <f>IF(Setup!$I$13="Yes",'Planned background (hide)'!$V$23/IF(Summary!$C$8="Patients",'Summary Calculations (hide)'!$I$9,1),"")</f>
        <v/>
      </c>
      <c r="I52" s="5">
        <f ca="1">IFERROR(HLOOKUP(A52,'Capacity calculation (hide)'!$BK$1:$DK$4,4,0),Capacity!$I$15)</f>
        <v>0</v>
      </c>
      <c r="J52" s="5">
        <f ca="1">HLOOKUP(D52,'Capacity calculation (hide)'!$BK$110:$DK$111,2,0)</f>
        <v>0</v>
      </c>
      <c r="K52" s="5">
        <f ca="1">IF(I52-IF(Setup!$I$15="Yes",$G52,0)-IF(Setup!$I$13="Yes",$H52,0)&lt;0,0,I52-IF(Setup!$I$15="Yes",$G52,0)-IF(Setup!$I$13="Yes",$H52,0))</f>
        <v>0</v>
      </c>
      <c r="L52" s="5">
        <f t="shared" ca="1" si="3"/>
        <v>0</v>
      </c>
      <c r="M52" s="5" t="e">
        <f ca="1">(IF('Demand adjustments for Covid'!$F$9="No",E52,SUM('Demand background (hide)'!DS41,'Demand background (hide)'!DV41:DW41))*(1-'Parameters calculator (hide)'!$B$43))*(1-'Parameters calculator (hide)'!$B$44+('Parameters calculator (hide)'!$B$45*'Parameters calculator (hide)'!$B$47))</f>
        <v>#N/A</v>
      </c>
      <c r="N52" s="5" t="e">
        <f ca="1">(IF('Demand adjustments for Covid'!$F$9="No",F52,SUM('Demand background (hide)'!DT41,'Demand background (hide)'!DV41:DW41))*(1-'Parameters calculator (hide)'!$B$43))*(1-'Parameters calculator (hide)'!$B$44+('Parameters calculator (hide)'!$B$45*'Parameters calculator (hide)'!$B$47))</f>
        <v>#N/A</v>
      </c>
      <c r="P52" s="5">
        <f t="shared" ca="1" si="4"/>
        <v>0</v>
      </c>
      <c r="Q52" s="5">
        <f t="shared" ca="1" si="5"/>
        <v>0</v>
      </c>
      <c r="R52" s="5">
        <f t="shared" ca="1" si="6"/>
        <v>0</v>
      </c>
      <c r="S52" s="5">
        <f t="shared" ca="1" si="7"/>
        <v>0</v>
      </c>
      <c r="T52" s="5" t="e">
        <f ca="1">M52/IF(Summary!$C$8&lt;&gt;"Patients",1,$I$9)</f>
        <v>#N/A</v>
      </c>
      <c r="U52" s="5" t="e">
        <f ca="1">((N52-M52)/IF(Summary!$C$8&lt;&gt;"Patients",1,$I$9))</f>
        <v>#N/A</v>
      </c>
      <c r="V52" s="5">
        <f t="shared" si="8"/>
        <v>0</v>
      </c>
      <c r="X52" s="5" t="e">
        <f ca="1">(VLOOKUP(D52,'SPC background (hide)'!$AG$2:$AN$54,8,0)/IF(Summary!$C$8&lt;&gt;"Patients",1,$I$9))*(1-$I$4)*(1-$I$5+($I$6*$I$7))</f>
        <v>#N/A</v>
      </c>
    </row>
    <row r="53" spans="1:24" x14ac:dyDescent="0.2">
      <c r="A53" s="87">
        <f t="shared" ca="1" si="9"/>
        <v>44683</v>
      </c>
      <c r="B53" s="67" t="str">
        <f t="shared" ca="1" si="11"/>
        <v/>
      </c>
      <c r="C53" s="67" t="str">
        <f t="shared" ca="1" si="12"/>
        <v>May</v>
      </c>
      <c r="D53" s="67">
        <f t="shared" ca="1" si="10"/>
        <v>18</v>
      </c>
      <c r="E53" s="5" t="e">
        <f ca="1">IF(LEFT(Demand!$C$8,1)="H",VLOOKUP($D53,'SPC background (hide)'!$AG$2:$AS$54,12,0),'Demand background (hide)'!X42)</f>
        <v>#N/A</v>
      </c>
      <c r="F53" s="5" t="e">
        <f ca="1">IF(LEFT(Demand!$C$8,1)="H",VLOOKUP($D53,'SPC background (hide)'!$AG$2:$AS$54,13,0),E53*1.1)</f>
        <v>#N/A</v>
      </c>
      <c r="G53" s="5" t="str">
        <f>IF(Setup!$I$15="Yes",VLOOKUP(D53,'SPC background (hide)'!$AG$2:$AT$54,14,0)/IF(Summary!$C$8="Patients",'Summary Calculations (hide)'!$I$9,1),"")</f>
        <v/>
      </c>
      <c r="H53" s="67" t="str">
        <f>IF(Setup!$I$13="Yes",'Planned background (hide)'!$V$23/IF(Summary!$C$8="Patients",'Summary Calculations (hide)'!$I$9,1),"")</f>
        <v/>
      </c>
      <c r="I53" s="5">
        <f ca="1">IFERROR(HLOOKUP(A53,'Capacity calculation (hide)'!$BK$1:$DK$4,4,0),Capacity!$I$15)</f>
        <v>0</v>
      </c>
      <c r="J53" s="5">
        <f ca="1">HLOOKUP(D53,'Capacity calculation (hide)'!$BK$110:$DK$111,2,0)</f>
        <v>0</v>
      </c>
      <c r="K53" s="5">
        <f ca="1">IF(I53-IF(Setup!$I$15="Yes",$G53,0)-IF(Setup!$I$13="Yes",$H53,0)&lt;0,0,I53-IF(Setup!$I$15="Yes",$G53,0)-IF(Setup!$I$13="Yes",$H53,0))</f>
        <v>0</v>
      </c>
      <c r="L53" s="5">
        <f t="shared" ca="1" si="3"/>
        <v>0</v>
      </c>
      <c r="M53" s="5" t="e">
        <f ca="1">(IF('Demand adjustments for Covid'!$F$9="No",E53,SUM('Demand background (hide)'!DS42,'Demand background (hide)'!DV42:DW42))*(1-'Parameters calculator (hide)'!$B$43))*(1-'Parameters calculator (hide)'!$B$44+('Parameters calculator (hide)'!$B$45*'Parameters calculator (hide)'!$B$47))</f>
        <v>#N/A</v>
      </c>
      <c r="N53" s="5" t="e">
        <f ca="1">(IF('Demand adjustments for Covid'!$F$9="No",F53,SUM('Demand background (hide)'!DT42,'Demand background (hide)'!DV42:DW42))*(1-'Parameters calculator (hide)'!$B$43))*(1-'Parameters calculator (hide)'!$B$44+('Parameters calculator (hide)'!$B$45*'Parameters calculator (hide)'!$B$47))</f>
        <v>#N/A</v>
      </c>
      <c r="P53" s="5">
        <f t="shared" ca="1" si="4"/>
        <v>0</v>
      </c>
      <c r="Q53" s="5">
        <f t="shared" ca="1" si="5"/>
        <v>0</v>
      </c>
      <c r="R53" s="5">
        <f t="shared" ca="1" si="6"/>
        <v>0</v>
      </c>
      <c r="S53" s="5">
        <f t="shared" ca="1" si="7"/>
        <v>0</v>
      </c>
      <c r="T53" s="5" t="e">
        <f ca="1">M53/IF(Summary!$C$8&lt;&gt;"Patients",1,$I$9)</f>
        <v>#N/A</v>
      </c>
      <c r="U53" s="5" t="e">
        <f ca="1">((N53-M53)/IF(Summary!$C$8&lt;&gt;"Patients",1,$I$9))</f>
        <v>#N/A</v>
      </c>
      <c r="V53" s="5">
        <f t="shared" si="8"/>
        <v>0</v>
      </c>
      <c r="X53" s="5" t="e">
        <f ca="1">(VLOOKUP(D53,'SPC background (hide)'!$AG$2:$AN$54,8,0)/IF(Summary!$C$8&lt;&gt;"Patients",1,$I$9))*(1-$I$4)*(1-$I$5+($I$6*$I$7))</f>
        <v>#N/A</v>
      </c>
    </row>
    <row r="54" spans="1:24" x14ac:dyDescent="0.2">
      <c r="A54" s="87">
        <f t="shared" ca="1" si="9"/>
        <v>44690</v>
      </c>
      <c r="B54" s="67" t="str">
        <f t="shared" ca="1" si="11"/>
        <v/>
      </c>
      <c r="C54" s="67" t="str">
        <f t="shared" ca="1" si="12"/>
        <v/>
      </c>
      <c r="D54" s="67">
        <f t="shared" ca="1" si="10"/>
        <v>19</v>
      </c>
      <c r="E54" s="5" t="e">
        <f ca="1">IF(LEFT(Demand!$C$8,1)="H",VLOOKUP($D54,'SPC background (hide)'!$AG$2:$AS$54,12,0),'Demand background (hide)'!X43)</f>
        <v>#N/A</v>
      </c>
      <c r="F54" s="5" t="e">
        <f ca="1">IF(LEFT(Demand!$C$8,1)="H",VLOOKUP($D54,'SPC background (hide)'!$AG$2:$AS$54,13,0),E54*1.1)</f>
        <v>#N/A</v>
      </c>
      <c r="G54" s="5" t="str">
        <f>IF(Setup!$I$15="Yes",VLOOKUP(D54,'SPC background (hide)'!$AG$2:$AT$54,14,0)/IF(Summary!$C$8="Patients",'Summary Calculations (hide)'!$I$9,1),"")</f>
        <v/>
      </c>
      <c r="H54" s="67" t="str">
        <f>IF(Setup!$I$13="Yes",'Planned background (hide)'!$V$23/IF(Summary!$C$8="Patients",'Summary Calculations (hide)'!$I$9,1),"")</f>
        <v/>
      </c>
      <c r="I54" s="5">
        <f ca="1">IFERROR(HLOOKUP(A54,'Capacity calculation (hide)'!$BK$1:$DK$4,4,0),Capacity!$I$15)</f>
        <v>0</v>
      </c>
      <c r="J54" s="5">
        <f ca="1">HLOOKUP(D54,'Capacity calculation (hide)'!$BK$110:$DK$111,2,0)</f>
        <v>0</v>
      </c>
      <c r="K54" s="5">
        <f ca="1">IF(I54-IF(Setup!$I$15="Yes",$G54,0)-IF(Setup!$I$13="Yes",$H54,0)&lt;0,0,I54-IF(Setup!$I$15="Yes",$G54,0)-IF(Setup!$I$13="Yes",$H54,0))</f>
        <v>0</v>
      </c>
      <c r="L54" s="5">
        <f t="shared" ca="1" si="3"/>
        <v>0</v>
      </c>
      <c r="M54" s="5" t="e">
        <f ca="1">(IF('Demand adjustments for Covid'!$F$9="No",E54,SUM('Demand background (hide)'!DS43,'Demand background (hide)'!DV43:DW43))*(1-'Parameters calculator (hide)'!$B$43))*(1-'Parameters calculator (hide)'!$B$44+('Parameters calculator (hide)'!$B$45*'Parameters calculator (hide)'!$B$47))</f>
        <v>#N/A</v>
      </c>
      <c r="N54" s="5" t="e">
        <f ca="1">(IF('Demand adjustments for Covid'!$F$9="No",F54,SUM('Demand background (hide)'!DT43,'Demand background (hide)'!DV43:DW43))*(1-'Parameters calculator (hide)'!$B$43))*(1-'Parameters calculator (hide)'!$B$44+('Parameters calculator (hide)'!$B$45*'Parameters calculator (hide)'!$B$47))</f>
        <v>#N/A</v>
      </c>
      <c r="P54" s="5">
        <f t="shared" ca="1" si="4"/>
        <v>0</v>
      </c>
      <c r="Q54" s="5">
        <f t="shared" ca="1" si="5"/>
        <v>0</v>
      </c>
      <c r="R54" s="5">
        <f t="shared" ca="1" si="6"/>
        <v>0</v>
      </c>
      <c r="S54" s="5">
        <f t="shared" ca="1" si="7"/>
        <v>0</v>
      </c>
      <c r="T54" s="5" t="e">
        <f ca="1">M54/IF(Summary!$C$8&lt;&gt;"Patients",1,$I$9)</f>
        <v>#N/A</v>
      </c>
      <c r="U54" s="5" t="e">
        <f ca="1">((N54-M54)/IF(Summary!$C$8&lt;&gt;"Patients",1,$I$9))</f>
        <v>#N/A</v>
      </c>
      <c r="V54" s="5">
        <f t="shared" si="8"/>
        <v>0</v>
      </c>
      <c r="X54" s="5" t="e">
        <f ca="1">(VLOOKUP(D54,'SPC background (hide)'!$AG$2:$AN$54,8,0)/IF(Summary!$C$8&lt;&gt;"Patients",1,$I$9))*(1-$I$4)*(1-$I$5+($I$6*$I$7))</f>
        <v>#N/A</v>
      </c>
    </row>
    <row r="55" spans="1:24" x14ac:dyDescent="0.2">
      <c r="A55" s="87">
        <f t="shared" ca="1" si="9"/>
        <v>44697</v>
      </c>
      <c r="B55" s="67" t="str">
        <f t="shared" ca="1" si="11"/>
        <v/>
      </c>
      <c r="C55" s="67" t="str">
        <f t="shared" ca="1" si="12"/>
        <v/>
      </c>
      <c r="D55" s="67">
        <f t="shared" ca="1" si="10"/>
        <v>20</v>
      </c>
      <c r="E55" s="5" t="e">
        <f ca="1">IF(LEFT(Demand!$C$8,1)="H",VLOOKUP($D55,'SPC background (hide)'!$AG$2:$AS$54,12,0),'Demand background (hide)'!X44)</f>
        <v>#N/A</v>
      </c>
      <c r="F55" s="5" t="e">
        <f ca="1">IF(LEFT(Demand!$C$8,1)="H",VLOOKUP($D55,'SPC background (hide)'!$AG$2:$AS$54,13,0),E55*1.1)</f>
        <v>#N/A</v>
      </c>
      <c r="G55" s="5" t="str">
        <f>IF(Setup!$I$15="Yes",VLOOKUP(D55,'SPC background (hide)'!$AG$2:$AT$54,14,0)/IF(Summary!$C$8="Patients",'Summary Calculations (hide)'!$I$9,1),"")</f>
        <v/>
      </c>
      <c r="H55" s="67" t="str">
        <f>IF(Setup!$I$13="Yes",'Planned background (hide)'!$V$23/IF(Summary!$C$8="Patients",'Summary Calculations (hide)'!$I$9,1),"")</f>
        <v/>
      </c>
      <c r="I55" s="5">
        <f ca="1">IFERROR(HLOOKUP(A55,'Capacity calculation (hide)'!$BK$1:$DK$4,4,0),Capacity!$I$15)</f>
        <v>0</v>
      </c>
      <c r="J55" s="5">
        <f ca="1">HLOOKUP(D55,'Capacity calculation (hide)'!$BK$110:$DK$111,2,0)</f>
        <v>0</v>
      </c>
      <c r="K55" s="5">
        <f ca="1">IF(I55-IF(Setup!$I$15="Yes",$G55,0)-IF(Setup!$I$13="Yes",$H55,0)&lt;0,0,I55-IF(Setup!$I$15="Yes",$G55,0)-IF(Setup!$I$13="Yes",$H55,0))</f>
        <v>0</v>
      </c>
      <c r="L55" s="5">
        <f t="shared" ca="1" si="3"/>
        <v>0</v>
      </c>
      <c r="M55" s="5" t="e">
        <f ca="1">(IF('Demand adjustments for Covid'!$F$9="No",E55,SUM('Demand background (hide)'!DS44,'Demand background (hide)'!DV44:DW44))*(1-'Parameters calculator (hide)'!$B$43))*(1-'Parameters calculator (hide)'!$B$44+('Parameters calculator (hide)'!$B$45*'Parameters calculator (hide)'!$B$47))</f>
        <v>#N/A</v>
      </c>
      <c r="N55" s="5" t="e">
        <f ca="1">(IF('Demand adjustments for Covid'!$F$9="No",F55,SUM('Demand background (hide)'!DT44,'Demand background (hide)'!DV44:DW44))*(1-'Parameters calculator (hide)'!$B$43))*(1-'Parameters calculator (hide)'!$B$44+('Parameters calculator (hide)'!$B$45*'Parameters calculator (hide)'!$B$47))</f>
        <v>#N/A</v>
      </c>
      <c r="P55" s="5">
        <f t="shared" ca="1" si="4"/>
        <v>0</v>
      </c>
      <c r="Q55" s="5">
        <f t="shared" ca="1" si="5"/>
        <v>0</v>
      </c>
      <c r="R55" s="5">
        <f t="shared" ca="1" si="6"/>
        <v>0</v>
      </c>
      <c r="S55" s="5">
        <f t="shared" ca="1" si="7"/>
        <v>0</v>
      </c>
      <c r="T55" s="5" t="e">
        <f ca="1">M55/IF(Summary!$C$8&lt;&gt;"Patients",1,$I$9)</f>
        <v>#N/A</v>
      </c>
      <c r="U55" s="5" t="e">
        <f ca="1">((N55-M55)/IF(Summary!$C$8&lt;&gt;"Patients",1,$I$9))</f>
        <v>#N/A</v>
      </c>
      <c r="V55" s="5">
        <f t="shared" si="8"/>
        <v>0</v>
      </c>
      <c r="X55" s="5" t="e">
        <f ca="1">(VLOOKUP(D55,'SPC background (hide)'!$AG$2:$AN$54,8,0)/IF(Summary!$C$8&lt;&gt;"Patients",1,$I$9))*(1-$I$4)*(1-$I$5+($I$6*$I$7))</f>
        <v>#N/A</v>
      </c>
    </row>
    <row r="56" spans="1:24" x14ac:dyDescent="0.2">
      <c r="A56" s="87">
        <f t="shared" ca="1" si="9"/>
        <v>44704</v>
      </c>
      <c r="B56" s="67" t="str">
        <f t="shared" ca="1" si="11"/>
        <v/>
      </c>
      <c r="C56" s="67" t="str">
        <f t="shared" ca="1" si="12"/>
        <v/>
      </c>
      <c r="D56" s="67">
        <f t="shared" ca="1" si="10"/>
        <v>21</v>
      </c>
      <c r="E56" s="5" t="e">
        <f ca="1">IF(LEFT(Demand!$C$8,1)="H",VLOOKUP($D56,'SPC background (hide)'!$AG$2:$AS$54,12,0),'Demand background (hide)'!X45)</f>
        <v>#N/A</v>
      </c>
      <c r="F56" s="5" t="e">
        <f ca="1">IF(LEFT(Demand!$C$8,1)="H",VLOOKUP($D56,'SPC background (hide)'!$AG$2:$AS$54,13,0),E56*1.1)</f>
        <v>#N/A</v>
      </c>
      <c r="G56" s="5" t="str">
        <f>IF(Setup!$I$15="Yes",VLOOKUP(D56,'SPC background (hide)'!$AG$2:$AT$54,14,0)/IF(Summary!$C$8="Patients",'Summary Calculations (hide)'!$I$9,1),"")</f>
        <v/>
      </c>
      <c r="H56" s="67" t="str">
        <f>IF(Setup!$I$13="Yes",'Planned background (hide)'!$V$23/IF(Summary!$C$8="Patients",'Summary Calculations (hide)'!$I$9,1),"")</f>
        <v/>
      </c>
      <c r="I56" s="5">
        <f ca="1">IFERROR(HLOOKUP(A56,'Capacity calculation (hide)'!$BK$1:$DK$4,4,0),Capacity!$I$15)</f>
        <v>0</v>
      </c>
      <c r="J56" s="5">
        <f ca="1">HLOOKUP(D56,'Capacity calculation (hide)'!$BK$110:$DK$111,2,0)</f>
        <v>0</v>
      </c>
      <c r="K56" s="5">
        <f ca="1">IF(I56-IF(Setup!$I$15="Yes",$G56,0)-IF(Setup!$I$13="Yes",$H56,0)&lt;0,0,I56-IF(Setup!$I$15="Yes",$G56,0)-IF(Setup!$I$13="Yes",$H56,0))</f>
        <v>0</v>
      </c>
      <c r="L56" s="5">
        <f t="shared" ca="1" si="3"/>
        <v>0</v>
      </c>
      <c r="M56" s="5" t="e">
        <f ca="1">(IF('Demand adjustments for Covid'!$F$9="No",E56,SUM('Demand background (hide)'!DS45,'Demand background (hide)'!DV45:DW45))*(1-'Parameters calculator (hide)'!$B$43))*(1-'Parameters calculator (hide)'!$B$44+('Parameters calculator (hide)'!$B$45*'Parameters calculator (hide)'!$B$47))</f>
        <v>#N/A</v>
      </c>
      <c r="N56" s="5" t="e">
        <f ca="1">(IF('Demand adjustments for Covid'!$F$9="No",F56,SUM('Demand background (hide)'!DT45,'Demand background (hide)'!DV45:DW45))*(1-'Parameters calculator (hide)'!$B$43))*(1-'Parameters calculator (hide)'!$B$44+('Parameters calculator (hide)'!$B$45*'Parameters calculator (hide)'!$B$47))</f>
        <v>#N/A</v>
      </c>
      <c r="P56" s="5">
        <f t="shared" ca="1" si="4"/>
        <v>0</v>
      </c>
      <c r="Q56" s="5">
        <f t="shared" ca="1" si="5"/>
        <v>0</v>
      </c>
      <c r="R56" s="5">
        <f t="shared" ca="1" si="6"/>
        <v>0</v>
      </c>
      <c r="S56" s="5">
        <f t="shared" ca="1" si="7"/>
        <v>0</v>
      </c>
      <c r="T56" s="5" t="e">
        <f ca="1">M56/IF(Summary!$C$8&lt;&gt;"Patients",1,$I$9)</f>
        <v>#N/A</v>
      </c>
      <c r="U56" s="5" t="e">
        <f ca="1">((N56-M56)/IF(Summary!$C$8&lt;&gt;"Patients",1,$I$9))</f>
        <v>#N/A</v>
      </c>
      <c r="V56" s="5">
        <f t="shared" si="8"/>
        <v>0</v>
      </c>
      <c r="X56" s="5" t="e">
        <f ca="1">(VLOOKUP(D56,'SPC background (hide)'!$AG$2:$AN$54,8,0)/IF(Summary!$C$8&lt;&gt;"Patients",1,$I$9))*(1-$I$4)*(1-$I$5+($I$6*$I$7))</f>
        <v>#N/A</v>
      </c>
    </row>
    <row r="57" spans="1:24" x14ac:dyDescent="0.2">
      <c r="A57" s="87">
        <f t="shared" ca="1" si="9"/>
        <v>44711</v>
      </c>
      <c r="B57" s="67" t="str">
        <f t="shared" ca="1" si="11"/>
        <v/>
      </c>
      <c r="C57" s="67" t="str">
        <f t="shared" ca="1" si="12"/>
        <v/>
      </c>
      <c r="D57" s="67">
        <f t="shared" ca="1" si="10"/>
        <v>22</v>
      </c>
      <c r="E57" s="5" t="e">
        <f ca="1">IF(LEFT(Demand!$C$8,1)="H",VLOOKUP($D57,'SPC background (hide)'!$AG$2:$AS$54,12,0),'Demand background (hide)'!X46)</f>
        <v>#N/A</v>
      </c>
      <c r="F57" s="5" t="e">
        <f ca="1">IF(LEFT(Demand!$C$8,1)="H",VLOOKUP($D57,'SPC background (hide)'!$AG$2:$AS$54,13,0),E57*1.1)</f>
        <v>#N/A</v>
      </c>
      <c r="G57" s="5" t="str">
        <f>IF(Setup!$I$15="Yes",VLOOKUP(D57,'SPC background (hide)'!$AG$2:$AT$54,14,0)/IF(Summary!$C$8="Patients",'Summary Calculations (hide)'!$I$9,1),"")</f>
        <v/>
      </c>
      <c r="H57" s="67" t="str">
        <f>IF(Setup!$I$13="Yes",'Planned background (hide)'!$V$23/IF(Summary!$C$8="Patients",'Summary Calculations (hide)'!$I$9,1),"")</f>
        <v/>
      </c>
      <c r="I57" s="5">
        <f ca="1">IFERROR(HLOOKUP(A57,'Capacity calculation (hide)'!$BK$1:$DK$4,4,0),Capacity!$I$15)</f>
        <v>0</v>
      </c>
      <c r="J57" s="5">
        <f ca="1">HLOOKUP(D57,'Capacity calculation (hide)'!$BK$110:$DK$111,2,0)</f>
        <v>0</v>
      </c>
      <c r="K57" s="5">
        <f ca="1">IF(I57-IF(Setup!$I$15="Yes",$G57,0)-IF(Setup!$I$13="Yes",$H57,0)&lt;0,0,I57-IF(Setup!$I$15="Yes",$G57,0)-IF(Setup!$I$13="Yes",$H57,0))</f>
        <v>0</v>
      </c>
      <c r="L57" s="5">
        <f t="shared" ca="1" si="3"/>
        <v>0</v>
      </c>
      <c r="M57" s="5" t="e">
        <f ca="1">(IF('Demand adjustments for Covid'!$F$9="No",E57,SUM('Demand background (hide)'!DS46,'Demand background (hide)'!DV46:DW46))*(1-'Parameters calculator (hide)'!$B$43))*(1-'Parameters calculator (hide)'!$B$44+('Parameters calculator (hide)'!$B$45*'Parameters calculator (hide)'!$B$47))</f>
        <v>#N/A</v>
      </c>
      <c r="N57" s="5" t="e">
        <f ca="1">(IF('Demand adjustments for Covid'!$F$9="No",F57,SUM('Demand background (hide)'!DT46,'Demand background (hide)'!DV46:DW46))*(1-'Parameters calculator (hide)'!$B$43))*(1-'Parameters calculator (hide)'!$B$44+('Parameters calculator (hide)'!$B$45*'Parameters calculator (hide)'!$B$47))</f>
        <v>#N/A</v>
      </c>
      <c r="P57" s="5">
        <f t="shared" ca="1" si="4"/>
        <v>0</v>
      </c>
      <c r="Q57" s="5">
        <f t="shared" ca="1" si="5"/>
        <v>0</v>
      </c>
      <c r="R57" s="5">
        <f t="shared" ca="1" si="6"/>
        <v>0</v>
      </c>
      <c r="S57" s="5">
        <f t="shared" ca="1" si="7"/>
        <v>0</v>
      </c>
      <c r="T57" s="5" t="e">
        <f ca="1">M57/IF(Summary!$C$8&lt;&gt;"Patients",1,$I$9)</f>
        <v>#N/A</v>
      </c>
      <c r="U57" s="5" t="e">
        <f ca="1">((N57-M57)/IF(Summary!$C$8&lt;&gt;"Patients",1,$I$9))</f>
        <v>#N/A</v>
      </c>
      <c r="V57" s="5">
        <f t="shared" si="8"/>
        <v>0</v>
      </c>
      <c r="X57" s="5" t="e">
        <f ca="1">(VLOOKUP(D57,'SPC background (hide)'!$AG$2:$AN$54,8,0)/IF(Summary!$C$8&lt;&gt;"Patients",1,$I$9))*(1-$I$4)*(1-$I$5+($I$6*$I$7))</f>
        <v>#N/A</v>
      </c>
    </row>
    <row r="58" spans="1:24" x14ac:dyDescent="0.2">
      <c r="A58" s="87">
        <f t="shared" ca="1" si="9"/>
        <v>44718</v>
      </c>
      <c r="B58" s="67" t="str">
        <f t="shared" ca="1" si="11"/>
        <v/>
      </c>
      <c r="C58" s="67" t="str">
        <f t="shared" ca="1" si="12"/>
        <v>Jun</v>
      </c>
      <c r="D58" s="67">
        <f t="shared" ca="1" si="10"/>
        <v>23</v>
      </c>
      <c r="E58" s="5" t="e">
        <f ca="1">IF(LEFT(Demand!$C$8,1)="H",VLOOKUP($D58,'SPC background (hide)'!$AG$2:$AS$54,12,0),'Demand background (hide)'!X47)</f>
        <v>#N/A</v>
      </c>
      <c r="F58" s="5" t="e">
        <f ca="1">IF(LEFT(Demand!$C$8,1)="H",VLOOKUP($D58,'SPC background (hide)'!$AG$2:$AS$54,13,0),E58*1.1)</f>
        <v>#N/A</v>
      </c>
      <c r="G58" s="5" t="str">
        <f>IF(Setup!$I$15="Yes",VLOOKUP(D58,'SPC background (hide)'!$AG$2:$AT$54,14,0)/IF(Summary!$C$8="Patients",'Summary Calculations (hide)'!$I$9,1),"")</f>
        <v/>
      </c>
      <c r="H58" s="67" t="str">
        <f>IF(Setup!$I$13="Yes",'Planned background (hide)'!$V$23/IF(Summary!$C$8="Patients",'Summary Calculations (hide)'!$I$9,1),"")</f>
        <v/>
      </c>
      <c r="I58" s="5">
        <f ca="1">IFERROR(HLOOKUP(A58,'Capacity calculation (hide)'!$BK$1:$DK$4,4,0),Capacity!$I$15)</f>
        <v>0</v>
      </c>
      <c r="J58" s="5">
        <f ca="1">HLOOKUP(D58,'Capacity calculation (hide)'!$BK$110:$DK$111,2,0)</f>
        <v>0</v>
      </c>
      <c r="K58" s="5">
        <f ca="1">IF(I58-IF(Setup!$I$15="Yes",$G58,0)-IF(Setup!$I$13="Yes",$H58,0)&lt;0,0,I58-IF(Setup!$I$15="Yes",$G58,0)-IF(Setup!$I$13="Yes",$H58,0))</f>
        <v>0</v>
      </c>
      <c r="L58" s="5">
        <f t="shared" ca="1" si="3"/>
        <v>0</v>
      </c>
      <c r="M58" s="5" t="e">
        <f ca="1">(IF('Demand adjustments for Covid'!$F$9="No",E58,SUM('Demand background (hide)'!DS47,'Demand background (hide)'!DV47:DW47))*(1-'Parameters calculator (hide)'!$B$43))*(1-'Parameters calculator (hide)'!$B$44+('Parameters calculator (hide)'!$B$45*'Parameters calculator (hide)'!$B$47))</f>
        <v>#N/A</v>
      </c>
      <c r="N58" s="5" t="e">
        <f ca="1">(IF('Demand adjustments for Covid'!$F$9="No",F58,SUM('Demand background (hide)'!DT47,'Demand background (hide)'!DV47:DW47))*(1-'Parameters calculator (hide)'!$B$43))*(1-'Parameters calculator (hide)'!$B$44+('Parameters calculator (hide)'!$B$45*'Parameters calculator (hide)'!$B$47))</f>
        <v>#N/A</v>
      </c>
      <c r="P58" s="5">
        <f t="shared" ca="1" si="4"/>
        <v>0</v>
      </c>
      <c r="Q58" s="5">
        <f t="shared" ca="1" si="5"/>
        <v>0</v>
      </c>
      <c r="R58" s="5">
        <f t="shared" ca="1" si="6"/>
        <v>0</v>
      </c>
      <c r="S58" s="5">
        <f t="shared" ca="1" si="7"/>
        <v>0</v>
      </c>
      <c r="T58" s="5" t="e">
        <f ca="1">M58/IF(Summary!$C$8&lt;&gt;"Patients",1,$I$9)</f>
        <v>#N/A</v>
      </c>
      <c r="U58" s="5" t="e">
        <f ca="1">((N58-M58)/IF(Summary!$C$8&lt;&gt;"Patients",1,$I$9))</f>
        <v>#N/A</v>
      </c>
      <c r="V58" s="5">
        <f t="shared" si="8"/>
        <v>0</v>
      </c>
      <c r="X58" s="5" t="e">
        <f ca="1">(VLOOKUP(D58,'SPC background (hide)'!$AG$2:$AN$54,8,0)/IF(Summary!$C$8&lt;&gt;"Patients",1,$I$9))*(1-$I$4)*(1-$I$5+($I$6*$I$7))</f>
        <v>#N/A</v>
      </c>
    </row>
    <row r="59" spans="1:24" x14ac:dyDescent="0.2">
      <c r="A59" s="87">
        <f t="shared" ca="1" si="9"/>
        <v>44725</v>
      </c>
      <c r="B59" s="67" t="str">
        <f t="shared" ca="1" si="11"/>
        <v/>
      </c>
      <c r="C59" s="67" t="str">
        <f t="shared" ca="1" si="12"/>
        <v/>
      </c>
      <c r="D59" s="67">
        <f t="shared" ca="1" si="10"/>
        <v>24</v>
      </c>
      <c r="E59" s="5" t="e">
        <f ca="1">IF(LEFT(Demand!$C$8,1)="H",VLOOKUP($D59,'SPC background (hide)'!$AG$2:$AS$54,12,0),'Demand background (hide)'!X48)</f>
        <v>#N/A</v>
      </c>
      <c r="F59" s="5" t="e">
        <f ca="1">IF(LEFT(Demand!$C$8,1)="H",VLOOKUP($D59,'SPC background (hide)'!$AG$2:$AS$54,13,0),E59*1.1)</f>
        <v>#N/A</v>
      </c>
      <c r="G59" s="5" t="str">
        <f>IF(Setup!$I$15="Yes",VLOOKUP(D59,'SPC background (hide)'!$AG$2:$AT$54,14,0)/IF(Summary!$C$8="Patients",'Summary Calculations (hide)'!$I$9,1),"")</f>
        <v/>
      </c>
      <c r="H59" s="67" t="str">
        <f>IF(Setup!$I$13="Yes",'Planned background (hide)'!$V$23/IF(Summary!$C$8="Patients",'Summary Calculations (hide)'!$I$9,1),"")</f>
        <v/>
      </c>
      <c r="I59" s="5">
        <f ca="1">IFERROR(HLOOKUP(A59,'Capacity calculation (hide)'!$BK$1:$DK$4,4,0),Capacity!$I$15)</f>
        <v>0</v>
      </c>
      <c r="J59" s="5">
        <f ca="1">HLOOKUP(D59,'Capacity calculation (hide)'!$BK$110:$DK$111,2,0)</f>
        <v>0</v>
      </c>
      <c r="K59" s="5">
        <f ca="1">IF(I59-IF(Setup!$I$15="Yes",$G59,0)-IF(Setup!$I$13="Yes",$H59,0)&lt;0,0,I59-IF(Setup!$I$15="Yes",$G59,0)-IF(Setup!$I$13="Yes",$H59,0))</f>
        <v>0</v>
      </c>
      <c r="L59" s="5">
        <f t="shared" ca="1" si="3"/>
        <v>0</v>
      </c>
      <c r="M59" s="5" t="e">
        <f ca="1">(IF('Demand adjustments for Covid'!$F$9="No",E59,SUM('Demand background (hide)'!DS48,'Demand background (hide)'!DV48:DW48))*(1-'Parameters calculator (hide)'!$B$43))*(1-'Parameters calculator (hide)'!$B$44+('Parameters calculator (hide)'!$B$45*'Parameters calculator (hide)'!$B$47))</f>
        <v>#N/A</v>
      </c>
      <c r="N59" s="5" t="e">
        <f ca="1">(IF('Demand adjustments for Covid'!$F$9="No",F59,SUM('Demand background (hide)'!DT48,'Demand background (hide)'!DV48:DW48))*(1-'Parameters calculator (hide)'!$B$43))*(1-'Parameters calculator (hide)'!$B$44+('Parameters calculator (hide)'!$B$45*'Parameters calculator (hide)'!$B$47))</f>
        <v>#N/A</v>
      </c>
      <c r="P59" s="5">
        <f t="shared" ca="1" si="4"/>
        <v>0</v>
      </c>
      <c r="Q59" s="5">
        <f t="shared" ca="1" si="5"/>
        <v>0</v>
      </c>
      <c r="R59" s="5">
        <f t="shared" ca="1" si="6"/>
        <v>0</v>
      </c>
      <c r="S59" s="5">
        <f t="shared" ca="1" si="7"/>
        <v>0</v>
      </c>
      <c r="T59" s="5" t="e">
        <f ca="1">M59/IF(Summary!$C$8&lt;&gt;"Patients",1,$I$9)</f>
        <v>#N/A</v>
      </c>
      <c r="U59" s="5" t="e">
        <f ca="1">((N59-M59)/IF(Summary!$C$8&lt;&gt;"Patients",1,$I$9))</f>
        <v>#N/A</v>
      </c>
      <c r="V59" s="5">
        <f t="shared" si="8"/>
        <v>0</v>
      </c>
      <c r="X59" s="5" t="e">
        <f ca="1">(VLOOKUP(D59,'SPC background (hide)'!$AG$2:$AN$54,8,0)/IF(Summary!$C$8&lt;&gt;"Patients",1,$I$9))*(1-$I$4)*(1-$I$5+($I$6*$I$7))</f>
        <v>#N/A</v>
      </c>
    </row>
    <row r="60" spans="1:24" x14ac:dyDescent="0.2">
      <c r="A60" s="87">
        <f t="shared" ca="1" si="9"/>
        <v>44732</v>
      </c>
      <c r="B60" s="67" t="str">
        <f t="shared" ca="1" si="11"/>
        <v/>
      </c>
      <c r="C60" s="67" t="str">
        <f t="shared" ca="1" si="12"/>
        <v/>
      </c>
      <c r="D60" s="67">
        <f t="shared" ca="1" si="10"/>
        <v>25</v>
      </c>
      <c r="E60" s="5" t="e">
        <f ca="1">IF(LEFT(Demand!$C$8,1)="H",VLOOKUP($D60,'SPC background (hide)'!$AG$2:$AS$54,12,0),'Demand background (hide)'!X49)</f>
        <v>#N/A</v>
      </c>
      <c r="F60" s="5" t="e">
        <f ca="1">IF(LEFT(Demand!$C$8,1)="H",VLOOKUP($D60,'SPC background (hide)'!$AG$2:$AS$54,13,0),E60*1.1)</f>
        <v>#N/A</v>
      </c>
      <c r="G60" s="5" t="str">
        <f>IF(Setup!$I$15="Yes",VLOOKUP(D60,'SPC background (hide)'!$AG$2:$AT$54,14,0)/IF(Summary!$C$8="Patients",'Summary Calculations (hide)'!$I$9,1),"")</f>
        <v/>
      </c>
      <c r="H60" s="67" t="str">
        <f>IF(Setup!$I$13="Yes",'Planned background (hide)'!$V$23/IF(Summary!$C$8="Patients",'Summary Calculations (hide)'!$I$9,1),"")</f>
        <v/>
      </c>
      <c r="I60" s="5">
        <f ca="1">IFERROR(HLOOKUP(A60,'Capacity calculation (hide)'!$BK$1:$DK$4,4,0),Capacity!$I$15)</f>
        <v>0</v>
      </c>
      <c r="J60" s="5">
        <f ca="1">HLOOKUP(D60,'Capacity calculation (hide)'!$BK$110:$DK$111,2,0)</f>
        <v>0</v>
      </c>
      <c r="K60" s="5">
        <f ca="1">IF(I60-IF(Setup!$I$15="Yes",$G60,0)-IF(Setup!$I$13="Yes",$H60,0)&lt;0,0,I60-IF(Setup!$I$15="Yes",$G60,0)-IF(Setup!$I$13="Yes",$H60,0))</f>
        <v>0</v>
      </c>
      <c r="L60" s="5">
        <f t="shared" ca="1" si="3"/>
        <v>0</v>
      </c>
      <c r="M60" s="5" t="e">
        <f ca="1">(IF('Demand adjustments for Covid'!$F$9="No",E60,SUM('Demand background (hide)'!DS49,'Demand background (hide)'!DV49:DW49))*(1-'Parameters calculator (hide)'!$B$43))*(1-'Parameters calculator (hide)'!$B$44+('Parameters calculator (hide)'!$B$45*'Parameters calculator (hide)'!$B$47))</f>
        <v>#N/A</v>
      </c>
      <c r="N60" s="5" t="e">
        <f ca="1">(IF('Demand adjustments for Covid'!$F$9="No",F60,SUM('Demand background (hide)'!DT49,'Demand background (hide)'!DV49:DW49))*(1-'Parameters calculator (hide)'!$B$43))*(1-'Parameters calculator (hide)'!$B$44+('Parameters calculator (hide)'!$B$45*'Parameters calculator (hide)'!$B$47))</f>
        <v>#N/A</v>
      </c>
      <c r="P60" s="5">
        <f t="shared" ca="1" si="4"/>
        <v>0</v>
      </c>
      <c r="Q60" s="5">
        <f t="shared" ca="1" si="5"/>
        <v>0</v>
      </c>
      <c r="R60" s="5">
        <f t="shared" ca="1" si="6"/>
        <v>0</v>
      </c>
      <c r="S60" s="5">
        <f t="shared" ca="1" si="7"/>
        <v>0</v>
      </c>
      <c r="T60" s="5" t="e">
        <f ca="1">M60/IF(Summary!$C$8&lt;&gt;"Patients",1,$I$9)</f>
        <v>#N/A</v>
      </c>
      <c r="U60" s="5" t="e">
        <f ca="1">((N60-M60)/IF(Summary!$C$8&lt;&gt;"Patients",1,$I$9))</f>
        <v>#N/A</v>
      </c>
      <c r="V60" s="5">
        <f t="shared" si="8"/>
        <v>0</v>
      </c>
      <c r="X60" s="5" t="e">
        <f ca="1">(VLOOKUP(D60,'SPC background (hide)'!$AG$2:$AN$54,8,0)/IF(Summary!$C$8&lt;&gt;"Patients",1,$I$9))*(1-$I$4)*(1-$I$5+($I$6*$I$7))</f>
        <v>#N/A</v>
      </c>
    </row>
    <row r="61" spans="1:24" x14ac:dyDescent="0.2">
      <c r="A61" s="87">
        <f t="shared" ca="1" si="9"/>
        <v>44739</v>
      </c>
      <c r="B61" s="67" t="str">
        <f t="shared" ca="1" si="11"/>
        <v/>
      </c>
      <c r="C61" s="67" t="str">
        <f t="shared" ca="1" si="12"/>
        <v/>
      </c>
      <c r="D61" s="67">
        <f t="shared" ca="1" si="10"/>
        <v>26</v>
      </c>
      <c r="E61" s="5" t="e">
        <f ca="1">IF(LEFT(Demand!$C$8,1)="H",VLOOKUP($D61,'SPC background (hide)'!$AG$2:$AS$54,12,0),'Demand background (hide)'!X50)</f>
        <v>#N/A</v>
      </c>
      <c r="F61" s="5" t="e">
        <f ca="1">IF(LEFT(Demand!$C$8,1)="H",VLOOKUP($D61,'SPC background (hide)'!$AG$2:$AS$54,13,0),E61*1.1)</f>
        <v>#N/A</v>
      </c>
      <c r="G61" s="5" t="str">
        <f>IF(Setup!$I$15="Yes",VLOOKUP(D61,'SPC background (hide)'!$AG$2:$AT$54,14,0)/IF(Summary!$C$8="Patients",'Summary Calculations (hide)'!$I$9,1),"")</f>
        <v/>
      </c>
      <c r="H61" s="67" t="str">
        <f>IF(Setup!$I$13="Yes",'Planned background (hide)'!$V$23/IF(Summary!$C$8="Patients",'Summary Calculations (hide)'!$I$9,1),"")</f>
        <v/>
      </c>
      <c r="I61" s="5">
        <f ca="1">IFERROR(HLOOKUP(A61,'Capacity calculation (hide)'!$BK$1:$DK$4,4,0),Capacity!$I$15)</f>
        <v>0</v>
      </c>
      <c r="J61" s="5">
        <f ca="1">HLOOKUP(D61,'Capacity calculation (hide)'!$BK$110:$DK$111,2,0)</f>
        <v>0</v>
      </c>
      <c r="K61" s="5">
        <f ca="1">IF(I61-IF(Setup!$I$15="Yes",$G61,0)-IF(Setup!$I$13="Yes",$H61,0)&lt;0,0,I61-IF(Setup!$I$15="Yes",$G61,0)-IF(Setup!$I$13="Yes",$H61,0))</f>
        <v>0</v>
      </c>
      <c r="L61" s="5">
        <f t="shared" ca="1" si="3"/>
        <v>0</v>
      </c>
      <c r="M61" s="5" t="e">
        <f ca="1">(IF('Demand adjustments for Covid'!$F$9="No",E61,SUM('Demand background (hide)'!DS50,'Demand background (hide)'!DV50:DW50))*(1-'Parameters calculator (hide)'!$B$43))*(1-'Parameters calculator (hide)'!$B$44+('Parameters calculator (hide)'!$B$45*'Parameters calculator (hide)'!$B$47))</f>
        <v>#N/A</v>
      </c>
      <c r="N61" s="5" t="e">
        <f ca="1">(IF('Demand adjustments for Covid'!$F$9="No",F61,SUM('Demand background (hide)'!DT50,'Demand background (hide)'!DV50:DW50))*(1-'Parameters calculator (hide)'!$B$43))*(1-'Parameters calculator (hide)'!$B$44+('Parameters calculator (hide)'!$B$45*'Parameters calculator (hide)'!$B$47))</f>
        <v>#N/A</v>
      </c>
      <c r="P61" s="5">
        <f t="shared" ca="1" si="4"/>
        <v>0</v>
      </c>
      <c r="Q61" s="5">
        <f t="shared" ca="1" si="5"/>
        <v>0</v>
      </c>
      <c r="R61" s="5">
        <f t="shared" ca="1" si="6"/>
        <v>0</v>
      </c>
      <c r="S61" s="5">
        <f t="shared" ca="1" si="7"/>
        <v>0</v>
      </c>
      <c r="T61" s="5" t="e">
        <f ca="1">M61/IF(Summary!$C$8&lt;&gt;"Patients",1,$I$9)</f>
        <v>#N/A</v>
      </c>
      <c r="U61" s="5" t="e">
        <f ca="1">((N61-M61)/IF(Summary!$C$8&lt;&gt;"Patients",1,$I$9))</f>
        <v>#N/A</v>
      </c>
      <c r="V61" s="5">
        <f t="shared" si="8"/>
        <v>0</v>
      </c>
      <c r="X61" s="5" t="e">
        <f ca="1">(VLOOKUP(D61,'SPC background (hide)'!$AG$2:$AN$54,8,0)/IF(Summary!$C$8&lt;&gt;"Patients",1,$I$9))*(1-$I$4)*(1-$I$5+($I$6*$I$7))</f>
        <v>#N/A</v>
      </c>
    </row>
    <row r="62" spans="1:24" x14ac:dyDescent="0.2">
      <c r="A62" s="87">
        <f t="shared" ca="1" si="9"/>
        <v>44746</v>
      </c>
      <c r="B62" s="67" t="str">
        <f t="shared" ca="1" si="11"/>
        <v/>
      </c>
      <c r="C62" s="67" t="str">
        <f t="shared" ca="1" si="12"/>
        <v>Jul</v>
      </c>
      <c r="D62" s="67">
        <f t="shared" ca="1" si="10"/>
        <v>27</v>
      </c>
      <c r="E62" s="5" t="e">
        <f ca="1">IF(LEFT(Demand!$C$8,1)="H",VLOOKUP($D62,'SPC background (hide)'!$AG$2:$AS$54,12,0),'Demand background (hide)'!X51)</f>
        <v>#N/A</v>
      </c>
      <c r="F62" s="5" t="e">
        <f ca="1">IF(LEFT(Demand!$C$8,1)="H",VLOOKUP($D62,'SPC background (hide)'!$AG$2:$AS$54,13,0),E62*1.1)</f>
        <v>#N/A</v>
      </c>
      <c r="G62" s="5" t="str">
        <f>IF(Setup!$I$15="Yes",VLOOKUP(D62,'SPC background (hide)'!$AG$2:$AT$54,14,0)/IF(Summary!$C$8="Patients",'Summary Calculations (hide)'!$I$9,1),"")</f>
        <v/>
      </c>
      <c r="H62" s="67" t="str">
        <f>IF(Setup!$I$13="Yes",'Planned background (hide)'!$V$23/IF(Summary!$C$8="Patients",'Summary Calculations (hide)'!$I$9,1),"")</f>
        <v/>
      </c>
      <c r="I62" s="5">
        <f ca="1">IFERROR(HLOOKUP(A62,'Capacity calculation (hide)'!$BK$1:$DK$4,4,0),Capacity!$I$15)</f>
        <v>0</v>
      </c>
      <c r="J62" s="5">
        <f ca="1">HLOOKUP(D62,'Capacity calculation (hide)'!$BK$110:$DK$111,2,0)</f>
        <v>0</v>
      </c>
      <c r="K62" s="5">
        <f ca="1">IF(I62-IF(Setup!$I$15="Yes",$G62,0)-IF(Setup!$I$13="Yes",$H62,0)&lt;0,0,I62-IF(Setup!$I$15="Yes",$G62,0)-IF(Setup!$I$13="Yes",$H62,0))</f>
        <v>0</v>
      </c>
      <c r="L62" s="5">
        <f t="shared" ca="1" si="3"/>
        <v>0</v>
      </c>
      <c r="M62" s="5" t="e">
        <f ca="1">(IF('Demand adjustments for Covid'!$F$9="No",E62,SUM('Demand background (hide)'!DS51,'Demand background (hide)'!DV51:DW51))*(1-'Parameters calculator (hide)'!$B$43))*(1-'Parameters calculator (hide)'!$B$44+('Parameters calculator (hide)'!$B$45*'Parameters calculator (hide)'!$B$47))</f>
        <v>#N/A</v>
      </c>
      <c r="N62" s="5" t="e">
        <f ca="1">(IF('Demand adjustments for Covid'!$F$9="No",F62,SUM('Demand background (hide)'!DT51,'Demand background (hide)'!DV51:DW51))*(1-'Parameters calculator (hide)'!$B$43))*(1-'Parameters calculator (hide)'!$B$44+('Parameters calculator (hide)'!$B$45*'Parameters calculator (hide)'!$B$47))</f>
        <v>#N/A</v>
      </c>
      <c r="P62" s="5">
        <f t="shared" ca="1" si="4"/>
        <v>0</v>
      </c>
      <c r="Q62" s="5">
        <f t="shared" ca="1" si="5"/>
        <v>0</v>
      </c>
      <c r="R62" s="5">
        <f t="shared" ca="1" si="6"/>
        <v>0</v>
      </c>
      <c r="S62" s="5">
        <f t="shared" ca="1" si="7"/>
        <v>0</v>
      </c>
      <c r="T62" s="5" t="e">
        <f ca="1">M62/IF(Summary!$C$8&lt;&gt;"Patients",1,$I$9)</f>
        <v>#N/A</v>
      </c>
      <c r="U62" s="5" t="e">
        <f ca="1">((N62-M62)/IF(Summary!$C$8&lt;&gt;"Patients",1,$I$9))</f>
        <v>#N/A</v>
      </c>
      <c r="V62" s="5">
        <f t="shared" si="8"/>
        <v>0</v>
      </c>
      <c r="X62" s="5" t="e">
        <f ca="1">(VLOOKUP(D62,'SPC background (hide)'!$AG$2:$AN$54,8,0)/IF(Summary!$C$8&lt;&gt;"Patients",1,$I$9))*(1-$I$4)*(1-$I$5+($I$6*$I$7))</f>
        <v>#N/A</v>
      </c>
    </row>
    <row r="63" spans="1:24" x14ac:dyDescent="0.2">
      <c r="A63" s="87">
        <f t="shared" ca="1" si="9"/>
        <v>44753</v>
      </c>
      <c r="B63" s="67" t="str">
        <f t="shared" ca="1" si="11"/>
        <v/>
      </c>
      <c r="C63" s="67" t="str">
        <f t="shared" ca="1" si="12"/>
        <v/>
      </c>
      <c r="D63" s="67">
        <f t="shared" ca="1" si="10"/>
        <v>28</v>
      </c>
      <c r="E63" s="5" t="e">
        <f ca="1">IF(LEFT(Demand!$C$8,1)="H",VLOOKUP($D63,'SPC background (hide)'!$AG$2:$AS$54,12,0),'Demand background (hide)'!X52)</f>
        <v>#N/A</v>
      </c>
      <c r="F63" s="5" t="e">
        <f ca="1">IF(LEFT(Demand!$C$8,1)="H",VLOOKUP($D63,'SPC background (hide)'!$AG$2:$AS$54,13,0),E63*1.1)</f>
        <v>#N/A</v>
      </c>
      <c r="G63" s="5" t="str">
        <f>IF(Setup!$I$15="Yes",VLOOKUP(D63,'SPC background (hide)'!$AG$2:$AT$54,14,0)/IF(Summary!$C$8="Patients",'Summary Calculations (hide)'!$I$9,1),"")</f>
        <v/>
      </c>
      <c r="H63" s="67" t="str">
        <f>IF(Setup!$I$13="Yes",'Planned background (hide)'!$V$23/IF(Summary!$C$8="Patients",'Summary Calculations (hide)'!$I$9,1),"")</f>
        <v/>
      </c>
      <c r="I63" s="5">
        <f ca="1">IFERROR(HLOOKUP(A63,'Capacity calculation (hide)'!$BK$1:$DK$4,4,0),Capacity!$I$15)</f>
        <v>0</v>
      </c>
      <c r="J63" s="5">
        <f ca="1">HLOOKUP(D63,'Capacity calculation (hide)'!$BK$110:$DK$111,2,0)</f>
        <v>0</v>
      </c>
      <c r="K63" s="5">
        <f ca="1">IF(I63-IF(Setup!$I$15="Yes",$G63,0)-IF(Setup!$I$13="Yes",$H63,0)&lt;0,0,I63-IF(Setup!$I$15="Yes",$G63,0)-IF(Setup!$I$13="Yes",$H63,0))</f>
        <v>0</v>
      </c>
      <c r="L63" s="5">
        <f t="shared" ca="1" si="3"/>
        <v>0</v>
      </c>
      <c r="M63" s="5" t="e">
        <f ca="1">(IF('Demand adjustments for Covid'!$F$9="No",E63,SUM('Demand background (hide)'!DS52,'Demand background (hide)'!DV52:DW52))*(1-'Parameters calculator (hide)'!$B$43))*(1-'Parameters calculator (hide)'!$B$44+('Parameters calculator (hide)'!$B$45*'Parameters calculator (hide)'!$B$47))</f>
        <v>#N/A</v>
      </c>
      <c r="N63" s="5" t="e">
        <f ca="1">(IF('Demand adjustments for Covid'!$F$9="No",F63,SUM('Demand background (hide)'!DT52,'Demand background (hide)'!DV52:DW52))*(1-'Parameters calculator (hide)'!$B$43))*(1-'Parameters calculator (hide)'!$B$44+('Parameters calculator (hide)'!$B$45*'Parameters calculator (hide)'!$B$47))</f>
        <v>#N/A</v>
      </c>
      <c r="P63" s="5">
        <f t="shared" ca="1" si="4"/>
        <v>0</v>
      </c>
      <c r="Q63" s="5">
        <f t="shared" ca="1" si="5"/>
        <v>0</v>
      </c>
      <c r="R63" s="5">
        <f t="shared" ca="1" si="6"/>
        <v>0</v>
      </c>
      <c r="S63" s="5">
        <f t="shared" ca="1" si="7"/>
        <v>0</v>
      </c>
      <c r="T63" s="5" t="e">
        <f ca="1">M63/IF(Summary!$C$8&lt;&gt;"Patients",1,$I$9)</f>
        <v>#N/A</v>
      </c>
      <c r="U63" s="5" t="e">
        <f ca="1">((N63-M63)/IF(Summary!$C$8&lt;&gt;"Patients",1,$I$9))</f>
        <v>#N/A</v>
      </c>
      <c r="V63" s="5">
        <f t="shared" si="8"/>
        <v>0</v>
      </c>
      <c r="X63" s="5" t="e">
        <f ca="1">(VLOOKUP(D63,'SPC background (hide)'!$AG$2:$AN$54,8,0)/IF(Summary!$C$8&lt;&gt;"Patients",1,$I$9))*(1-$I$4)*(1-$I$5+($I$6*$I$7))</f>
        <v>#N/A</v>
      </c>
    </row>
    <row r="64" spans="1:24" x14ac:dyDescent="0.2">
      <c r="A64" s="87">
        <f t="shared" ca="1" si="9"/>
        <v>44760</v>
      </c>
      <c r="B64" s="67" t="str">
        <f t="shared" ca="1" si="11"/>
        <v/>
      </c>
      <c r="C64" s="67" t="str">
        <f t="shared" ca="1" si="12"/>
        <v/>
      </c>
      <c r="D64" s="67">
        <f t="shared" ca="1" si="10"/>
        <v>29</v>
      </c>
      <c r="E64" s="5" t="e">
        <f ca="1">IF(LEFT(Demand!$C$8,1)="H",VLOOKUP($D64,'SPC background (hide)'!$AG$2:$AS$54,12,0),'Demand background (hide)'!X53)</f>
        <v>#N/A</v>
      </c>
      <c r="F64" s="5" t="e">
        <f ca="1">IF(LEFT(Demand!$C$8,1)="H",VLOOKUP($D64,'SPC background (hide)'!$AG$2:$AS$54,13,0),E64*1.1)</f>
        <v>#N/A</v>
      </c>
      <c r="G64" s="5" t="str">
        <f>IF(Setup!$I$15="Yes",VLOOKUP(D64,'SPC background (hide)'!$AG$2:$AT$54,14,0)/IF(Summary!$C$8="Patients",'Summary Calculations (hide)'!$I$9,1),"")</f>
        <v/>
      </c>
      <c r="H64" s="67" t="str">
        <f>IF(Setup!$I$13="Yes",'Planned background (hide)'!$V$23/IF(Summary!$C$8="Patients",'Summary Calculations (hide)'!$I$9,1),"")</f>
        <v/>
      </c>
      <c r="I64" s="5">
        <f ca="1">IFERROR(HLOOKUP(A64,'Capacity calculation (hide)'!$BK$1:$DK$4,4,0),Capacity!$I$15)</f>
        <v>0</v>
      </c>
      <c r="J64" s="5">
        <f ca="1">HLOOKUP(D64,'Capacity calculation (hide)'!$BK$110:$DK$111,2,0)</f>
        <v>0</v>
      </c>
      <c r="K64" s="5">
        <f ca="1">IF(I64-IF(Setup!$I$15="Yes",$G64,0)-IF(Setup!$I$13="Yes",$H64,0)&lt;0,0,I64-IF(Setup!$I$15="Yes",$G64,0)-IF(Setup!$I$13="Yes",$H64,0))</f>
        <v>0</v>
      </c>
      <c r="L64" s="5">
        <f t="shared" ca="1" si="3"/>
        <v>0</v>
      </c>
      <c r="M64" s="5" t="e">
        <f ca="1">(IF('Demand adjustments for Covid'!$F$9="No",E64,SUM('Demand background (hide)'!DS53,'Demand background (hide)'!DV53:DW53))*(1-'Parameters calculator (hide)'!$B$43))*(1-'Parameters calculator (hide)'!$B$44+('Parameters calculator (hide)'!$B$45*'Parameters calculator (hide)'!$B$47))</f>
        <v>#N/A</v>
      </c>
      <c r="N64" s="5" t="e">
        <f ca="1">(IF('Demand adjustments for Covid'!$F$9="No",F64,SUM('Demand background (hide)'!DT53,'Demand background (hide)'!DV53:DW53))*(1-'Parameters calculator (hide)'!$B$43))*(1-'Parameters calculator (hide)'!$B$44+('Parameters calculator (hide)'!$B$45*'Parameters calculator (hide)'!$B$47))</f>
        <v>#N/A</v>
      </c>
      <c r="P64" s="5">
        <f t="shared" ca="1" si="4"/>
        <v>0</v>
      </c>
      <c r="Q64" s="5">
        <f t="shared" ca="1" si="5"/>
        <v>0</v>
      </c>
      <c r="R64" s="5">
        <f t="shared" ca="1" si="6"/>
        <v>0</v>
      </c>
      <c r="S64" s="5">
        <f t="shared" ca="1" si="7"/>
        <v>0</v>
      </c>
      <c r="T64" s="5" t="e">
        <f ca="1">M64/IF(Summary!$C$8&lt;&gt;"Patients",1,$I$9)</f>
        <v>#N/A</v>
      </c>
      <c r="U64" s="5" t="e">
        <f ca="1">((N64-M64)/IF(Summary!$C$8&lt;&gt;"Patients",1,$I$9))</f>
        <v>#N/A</v>
      </c>
      <c r="V64" s="5">
        <f t="shared" si="8"/>
        <v>0</v>
      </c>
      <c r="X64" s="5" t="e">
        <f ca="1">(VLOOKUP(D64,'SPC background (hide)'!$AG$2:$AN$54,8,0)/IF(Summary!$C$8&lt;&gt;"Patients",1,$I$9))*(1-$I$4)*(1-$I$5+($I$6*$I$7))</f>
        <v>#N/A</v>
      </c>
    </row>
    <row r="65" spans="1:24" x14ac:dyDescent="0.2">
      <c r="A65" s="87">
        <f t="shared" ca="1" si="9"/>
        <v>44767</v>
      </c>
      <c r="B65" s="67" t="str">
        <f t="shared" ca="1" si="11"/>
        <v/>
      </c>
      <c r="C65" s="67" t="str">
        <f t="shared" ca="1" si="12"/>
        <v/>
      </c>
      <c r="D65" s="67">
        <f t="shared" ca="1" si="10"/>
        <v>30</v>
      </c>
      <c r="E65" s="5" t="e">
        <f ca="1">IF(LEFT(Demand!$C$8,1)="H",VLOOKUP($D65,'SPC background (hide)'!$AG$2:$AS$54,12,0),'Demand background (hide)'!X54)</f>
        <v>#N/A</v>
      </c>
      <c r="F65" s="5" t="e">
        <f ca="1">IF(LEFT(Demand!$C$8,1)="H",VLOOKUP($D65,'SPC background (hide)'!$AG$2:$AS$54,13,0),E65*1.1)</f>
        <v>#N/A</v>
      </c>
      <c r="G65" s="5" t="str">
        <f>IF(Setup!$I$15="Yes",VLOOKUP(D65,'SPC background (hide)'!$AG$2:$AT$54,14,0)/IF(Summary!$C$8="Patients",'Summary Calculations (hide)'!$I$9,1),"")</f>
        <v/>
      </c>
      <c r="H65" s="67" t="str">
        <f>IF(Setup!$I$13="Yes",'Planned background (hide)'!$V$23/IF(Summary!$C$8="Patients",'Summary Calculations (hide)'!$I$9,1),"")</f>
        <v/>
      </c>
      <c r="I65" s="5">
        <f ca="1">IFERROR(HLOOKUP(A65,'Capacity calculation (hide)'!$BK$1:$DK$4,4,0),Capacity!$I$15)</f>
        <v>0</v>
      </c>
      <c r="J65" s="5">
        <f ca="1">HLOOKUP(D65,'Capacity calculation (hide)'!$BK$110:$DK$111,2,0)</f>
        <v>0</v>
      </c>
      <c r="K65" s="5">
        <f ca="1">IF(I65-IF(Setup!$I$15="Yes",$G65,0)-IF(Setup!$I$13="Yes",$H65,0)&lt;0,0,I65-IF(Setup!$I$15="Yes",$G65,0)-IF(Setup!$I$13="Yes",$H65,0))</f>
        <v>0</v>
      </c>
      <c r="L65" s="5">
        <f t="shared" ca="1" si="3"/>
        <v>0</v>
      </c>
      <c r="M65" s="5" t="e">
        <f ca="1">(IF('Demand adjustments for Covid'!$F$9="No",E65,SUM('Demand background (hide)'!DS54,'Demand background (hide)'!DV54:DW54))*(1-'Parameters calculator (hide)'!$B$43))*(1-'Parameters calculator (hide)'!$B$44+('Parameters calculator (hide)'!$B$45*'Parameters calculator (hide)'!$B$47))</f>
        <v>#N/A</v>
      </c>
      <c r="N65" s="5" t="e">
        <f ca="1">(IF('Demand adjustments for Covid'!$F$9="No",F65,SUM('Demand background (hide)'!DT54,'Demand background (hide)'!DV54:DW54))*(1-'Parameters calculator (hide)'!$B$43))*(1-'Parameters calculator (hide)'!$B$44+('Parameters calculator (hide)'!$B$45*'Parameters calculator (hide)'!$B$47))</f>
        <v>#N/A</v>
      </c>
      <c r="P65" s="5">
        <f t="shared" ca="1" si="4"/>
        <v>0</v>
      </c>
      <c r="Q65" s="5">
        <f t="shared" ca="1" si="5"/>
        <v>0</v>
      </c>
      <c r="R65" s="5">
        <f t="shared" ca="1" si="6"/>
        <v>0</v>
      </c>
      <c r="S65" s="5">
        <f t="shared" ca="1" si="7"/>
        <v>0</v>
      </c>
      <c r="T65" s="5" t="e">
        <f ca="1">M65/IF(Summary!$C$8&lt;&gt;"Patients",1,$I$9)</f>
        <v>#N/A</v>
      </c>
      <c r="U65" s="5" t="e">
        <f ca="1">((N65-M65)/IF(Summary!$C$8&lt;&gt;"Patients",1,$I$9))</f>
        <v>#N/A</v>
      </c>
      <c r="V65" s="5">
        <f t="shared" si="8"/>
        <v>0</v>
      </c>
      <c r="X65" s="5" t="e">
        <f ca="1">(VLOOKUP(D65,'SPC background (hide)'!$AG$2:$AN$54,8,0)/IF(Summary!$C$8&lt;&gt;"Patients",1,$I$9))*(1-$I$4)*(1-$I$5+($I$6*$I$7))</f>
        <v>#N/A</v>
      </c>
    </row>
    <row r="66" spans="1:24" x14ac:dyDescent="0.2">
      <c r="A66" s="87">
        <f t="shared" ca="1" si="9"/>
        <v>44774</v>
      </c>
      <c r="B66" s="67" t="str">
        <f t="shared" ca="1" si="11"/>
        <v/>
      </c>
      <c r="C66" s="67" t="str">
        <f t="shared" ca="1" si="12"/>
        <v>Aug</v>
      </c>
      <c r="D66" s="67">
        <f t="shared" ca="1" si="10"/>
        <v>31</v>
      </c>
      <c r="E66" s="5" t="e">
        <f ca="1">IF(LEFT(Demand!$C$8,1)="H",VLOOKUP($D66,'SPC background (hide)'!$AG$2:$AS$54,12,0),'Demand background (hide)'!X55)</f>
        <v>#N/A</v>
      </c>
      <c r="F66" s="5" t="e">
        <f ca="1">IF(LEFT(Demand!$C$8,1)="H",VLOOKUP($D66,'SPC background (hide)'!$AG$2:$AS$54,13,0),E66*1.1)</f>
        <v>#N/A</v>
      </c>
      <c r="G66" s="5" t="str">
        <f>IF(Setup!$I$15="Yes",VLOOKUP(D66,'SPC background (hide)'!$AG$2:$AT$54,14,0)/IF(Summary!$C$8="Patients",'Summary Calculations (hide)'!$I$9,1),"")</f>
        <v/>
      </c>
      <c r="H66" s="67" t="str">
        <f>IF(Setup!$I$13="Yes",'Planned background (hide)'!$V$23/IF(Summary!$C$8="Patients",'Summary Calculations (hide)'!$I$9,1),"")</f>
        <v/>
      </c>
      <c r="I66" s="5">
        <f ca="1">IFERROR(HLOOKUP(A66,'Capacity calculation (hide)'!$BK$1:$DK$4,4,0),Capacity!$I$15)</f>
        <v>0</v>
      </c>
      <c r="J66" s="5">
        <f ca="1">HLOOKUP(D66,'Capacity calculation (hide)'!$BK$110:$DK$111,2,0)</f>
        <v>0</v>
      </c>
      <c r="K66" s="5">
        <f ca="1">IF(I66-IF(Setup!$I$15="Yes",$G66,0)-IF(Setup!$I$13="Yes",$H66,0)&lt;0,0,I66-IF(Setup!$I$15="Yes",$G66,0)-IF(Setup!$I$13="Yes",$H66,0))</f>
        <v>0</v>
      </c>
      <c r="L66" s="5">
        <f t="shared" ca="1" si="3"/>
        <v>0</v>
      </c>
      <c r="M66" s="5" t="e">
        <f ca="1">(IF('Demand adjustments for Covid'!$F$9="No",E66,SUM('Demand background (hide)'!DS55,'Demand background (hide)'!DV55:DW55))*(1-'Parameters calculator (hide)'!$B$43))*(1-'Parameters calculator (hide)'!$B$44+('Parameters calculator (hide)'!$B$45*'Parameters calculator (hide)'!$B$47))</f>
        <v>#N/A</v>
      </c>
      <c r="N66" s="5" t="e">
        <f ca="1">(IF('Demand adjustments for Covid'!$F$9="No",F66,SUM('Demand background (hide)'!DT55,'Demand background (hide)'!DV55:DW55))*(1-'Parameters calculator (hide)'!$B$43))*(1-'Parameters calculator (hide)'!$B$44+('Parameters calculator (hide)'!$B$45*'Parameters calculator (hide)'!$B$47))</f>
        <v>#N/A</v>
      </c>
      <c r="P66" s="5">
        <f t="shared" ca="1" si="4"/>
        <v>0</v>
      </c>
      <c r="Q66" s="5">
        <f t="shared" ca="1" si="5"/>
        <v>0</v>
      </c>
      <c r="R66" s="5">
        <f t="shared" ca="1" si="6"/>
        <v>0</v>
      </c>
      <c r="S66" s="5">
        <f t="shared" ca="1" si="7"/>
        <v>0</v>
      </c>
      <c r="T66" s="5" t="e">
        <f ca="1">M66/IF(Summary!$C$8&lt;&gt;"Patients",1,$I$9)</f>
        <v>#N/A</v>
      </c>
      <c r="U66" s="5" t="e">
        <f ca="1">((N66-M66)/IF(Summary!$C$8&lt;&gt;"Patients",1,$I$9))</f>
        <v>#N/A</v>
      </c>
      <c r="V66" s="5">
        <f t="shared" si="8"/>
        <v>0</v>
      </c>
      <c r="X66" s="5" t="e">
        <f ca="1">(VLOOKUP(D66,'SPC background (hide)'!$AG$2:$AN$54,8,0)/IF(Summary!$C$8&lt;&gt;"Patients",1,$I$9))*(1-$I$4)*(1-$I$5+($I$6*$I$7))</f>
        <v>#N/A</v>
      </c>
    </row>
    <row r="67" spans="1:24" x14ac:dyDescent="0.2">
      <c r="A67" s="297">
        <f t="shared" ca="1" si="9"/>
        <v>44781</v>
      </c>
      <c r="B67" s="67" t="str">
        <f t="shared" ca="1" si="11"/>
        <v/>
      </c>
      <c r="C67" s="67" t="str">
        <f t="shared" ca="1" si="12"/>
        <v/>
      </c>
      <c r="D67" s="59">
        <f ca="1">IF(MAX(D15:D66)=53,WEEKNUM(A67,21),53)</f>
        <v>53</v>
      </c>
      <c r="E67" s="5" t="e">
        <f ca="1">VLOOKUP($D67,'SPC background (hide)'!$AG$2:$AS$54,12,0)</f>
        <v>#N/A</v>
      </c>
      <c r="F67" s="5" t="e">
        <f ca="1">VLOOKUP($D67,'SPC background (hide)'!$AG$2:$AS$54,13,0)</f>
        <v>#N/A</v>
      </c>
      <c r="G67" s="5" t="str">
        <f>IF(Setup!$I$15="Yes",VLOOKUP(D67,'SPC background (hide)'!$AG$2:$AT$54,14,0)/IF(Summary!$C$8="Patients",'Summary Calculations (hide)'!$I$9,1),"")</f>
        <v/>
      </c>
      <c r="H67" s="67" t="str">
        <f>IF(Setup!$I$13="Yes",'Planned background (hide)'!$V$23/IF(Summary!$C$8="Patients",'Summary Calculations (hide)'!$I$9,1),"")</f>
        <v/>
      </c>
      <c r="I67" s="5">
        <f ca="1">IFERROR(HLOOKUP(A67,'Capacity calculation (hide)'!$BK$1:$DK$4,4,0),Capacity!$I$15)</f>
        <v>0</v>
      </c>
      <c r="J67" s="5" t="e">
        <f ca="1">HLOOKUP(D67,'Capacity calculation (hide)'!$BK$110:$DK$111,2,0)</f>
        <v>#N/A</v>
      </c>
      <c r="K67" s="5">
        <f ca="1">IF(I67-IF(Setup!$I$15="Yes",$G67,0)-IF(Setup!$I$13="Yes",$H67,0)&lt;0,0,I67-IF(Setup!$I$15="Yes",$G67,0)-IF(Setup!$I$13="Yes",$H67,0))</f>
        <v>0</v>
      </c>
      <c r="L67" s="5" t="e">
        <f t="shared" ref="L67" ca="1" si="13">J67</f>
        <v>#N/A</v>
      </c>
      <c r="M67" s="5" t="e">
        <f ca="1">(IF('Demand adjustments for Covid'!$F$9="No",E67,SUM('Demand background (hide)'!DS56,'Demand background (hide)'!DV56:DW56))*(1-'Parameters calculator (hide)'!$B$43))*(1-'Parameters calculator (hide)'!$B$44+('Parameters calculator (hide)'!$B$45*'Parameters calculator (hide)'!$B$47))</f>
        <v>#N/A</v>
      </c>
      <c r="N67" s="5" t="e">
        <f ca="1">(IF('Demand adjustments for Covid'!$F$9="No",F67,SUM('Demand background (hide)'!DT56,'Demand background (hide)'!DV56:DW56))*(1-'Parameters calculator (hide)'!$B$43))*(1-'Parameters calculator (hide)'!$B$44+('Parameters calculator (hide)'!$B$45*'Parameters calculator (hide)'!$B$47))</f>
        <v>#N/A</v>
      </c>
      <c r="O67" s="67"/>
      <c r="P67" s="5">
        <f t="shared" ref="P67" ca="1" si="14">I67</f>
        <v>0</v>
      </c>
      <c r="Q67" s="5" t="e">
        <f t="shared" ref="Q67" ca="1" si="15">J67</f>
        <v>#N/A</v>
      </c>
      <c r="R67" s="5">
        <f t="shared" ref="R67" ca="1" si="16">IF(P67-V67&lt;0,0,P67-V67)</f>
        <v>0</v>
      </c>
      <c r="S67" s="5" t="e">
        <f t="shared" ref="S67" ca="1" si="17">IF(R67=0,IF(P67+Q67-V67&lt;0,0,P67+Q67-V67),Q67)</f>
        <v>#N/A</v>
      </c>
      <c r="T67" s="5" t="e">
        <f ca="1">M67/IF(Summary!$C$8&lt;&gt;"Patients",1,$I$9)</f>
        <v>#N/A</v>
      </c>
      <c r="U67" s="5" t="e">
        <f ca="1">((N67-M67)/IF(Summary!$C$8&lt;&gt;"Patients",1,$I$9))</f>
        <v>#N/A</v>
      </c>
      <c r="V67" s="5">
        <f t="shared" ref="V67" si="18">SUM(G67:H67)</f>
        <v>0</v>
      </c>
      <c r="W67" s="67"/>
      <c r="X67" s="5" t="e">
        <f ca="1">(VLOOKUP(D67,'SPC background (hide)'!$AG$2:$AN$54,8,0)/IF(Summary!$C$8&lt;&gt;"Patients",1,$I$9))*(1-$I$4)*(1-$I$5+($I$6*$I$7))</f>
        <v>#N/A</v>
      </c>
    </row>
    <row r="68" spans="1:24" s="67" customFormat="1" x14ac:dyDescent="0.2">
      <c r="X68" s="5"/>
    </row>
    <row r="69" spans="1:24" x14ac:dyDescent="0.2">
      <c r="X69" s="5"/>
    </row>
    <row r="70" spans="1:24" x14ac:dyDescent="0.2">
      <c r="D70" t="s">
        <v>290</v>
      </c>
      <c r="E70" s="5" t="e">
        <f ca="1">AVERAGE(E15:E67)</f>
        <v>#N/A</v>
      </c>
      <c r="F70" s="5" t="e">
        <f ca="1">AVERAGE(F15:F67)</f>
        <v>#N/A</v>
      </c>
      <c r="G70" s="5" t="str">
        <f>IF(Setup!$I$15="Yes",AVERAGE(G15:G67),"")</f>
        <v/>
      </c>
      <c r="H70" s="5" t="str">
        <f>IF(Setup!$I$13="Yes",AVERAGE(H15:H67),"")</f>
        <v/>
      </c>
      <c r="I70" s="5">
        <f ca="1">AVERAGE(I15:I67)</f>
        <v>0</v>
      </c>
      <c r="J70" s="5" t="e">
        <f ca="1">AVERAGE(J15:J67)</f>
        <v>#N/A</v>
      </c>
      <c r="K70" s="5">
        <f ca="1">AVERAGE(K15:K67)</f>
        <v>0</v>
      </c>
      <c r="L70" s="5" t="e">
        <f ca="1">AVERAGE(L15:L67)</f>
        <v>#N/A</v>
      </c>
      <c r="M70" s="104" t="e">
        <f ca="1">IF(Summary!B15=0,AVERAGE(M15:M67)/IF(Summary!$C$8&lt;&gt;"Patients",1,$I$9),AVERAGE('Planning (hide)'!C4:C55))</f>
        <v>#N/A</v>
      </c>
      <c r="N70" s="104" t="e" cm="1">
        <f t="array" aca="1" ref="N70" ca="1">IF(Summary!B15=0,AVERAGE(N15:N67)/IF(Summary!$C$8&lt;&gt;"Patients",1,$I$9),AVERAGE('Planning (hide)'!C4:C55+'Planning (hide)'!D4:D55))</f>
        <v>#N/A</v>
      </c>
      <c r="R70" s="5">
        <f ca="1">AVERAGE(R15:R67)</f>
        <v>0</v>
      </c>
      <c r="S70" s="5" t="e">
        <f ca="1">AVERAGE(S15:S67)</f>
        <v>#N/A</v>
      </c>
      <c r="V70" s="104">
        <f>IF(AND(Setup!$I$13="No",Setup!$I$15="No"),0,IF(H70&lt;&gt;"",H70,0)+IF(G70&lt;&gt;"",G70,0))</f>
        <v>0</v>
      </c>
      <c r="X70" s="5" t="e">
        <f ca="1">AVERAGE(X15:X67)</f>
        <v>#N/A</v>
      </c>
    </row>
    <row r="71" spans="1:24" x14ac:dyDescent="0.2">
      <c r="E71" s="60"/>
      <c r="I71" t="s">
        <v>308</v>
      </c>
      <c r="K71" s="104">
        <f ca="1">(K70)/IF(Summary!$C$8&lt;&gt;"Patients",1,$I$9)</f>
        <v>0</v>
      </c>
      <c r="L71" s="104" t="e">
        <f ca="1">(L70)/IF(Summary!$C$8&lt;&gt;"Patients",1,$I$9)</f>
        <v>#N/A</v>
      </c>
      <c r="M71" s="5"/>
      <c r="N71" s="5" t="e">
        <f ca="1">N70-M70</f>
        <v>#N/A</v>
      </c>
      <c r="R71" s="5">
        <f ca="1">SUM(R15:R66)</f>
        <v>0</v>
      </c>
      <c r="S71" s="5">
        <f ca="1">SUM(S15:S66)</f>
        <v>0</v>
      </c>
      <c r="V71" s="5">
        <f>SUM(V15:V67)</f>
        <v>0</v>
      </c>
      <c r="X71" s="5" t="e">
        <f ca="1">SUM(X15:X66)</f>
        <v>#N/A</v>
      </c>
    </row>
    <row r="72" spans="1:24" x14ac:dyDescent="0.2">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G1" zoomScale="85" zoomScaleNormal="85" workbookViewId="0">
      <selection activeCell="T13" sqref="T13:Z64"/>
    </sheetView>
  </sheetViews>
  <sheetFormatPr defaultRowHeight="14.25" x14ac:dyDescent="0.2"/>
  <cols>
    <col min="1" max="1" width="27.25" bestFit="1" customWidth="1"/>
    <col min="2" max="2" width="20.75" bestFit="1" customWidth="1"/>
    <col min="3" max="3" width="60.625" bestFit="1" customWidth="1"/>
    <col min="4" max="4" width="15.25" customWidth="1"/>
    <col min="5" max="5" width="20" bestFit="1" customWidth="1"/>
    <col min="8" max="8" width="18.5" bestFit="1" customWidth="1"/>
    <col min="13" max="13" width="11.625" bestFit="1" customWidth="1"/>
    <col min="14" max="14" width="10.125" bestFit="1" customWidth="1"/>
  </cols>
  <sheetData>
    <row r="2" spans="1:29" x14ac:dyDescent="0.2">
      <c r="M2" t="s">
        <v>1128</v>
      </c>
    </row>
    <row r="3" spans="1:29" x14ac:dyDescent="0.2">
      <c r="A3" t="s">
        <v>1114</v>
      </c>
      <c r="B3" s="301">
        <f>Summary!$D$42</f>
        <v>0</v>
      </c>
      <c r="H3" t="s">
        <v>153</v>
      </c>
      <c r="I3" t="s">
        <v>148</v>
      </c>
      <c r="J3" t="s">
        <v>149</v>
      </c>
      <c r="K3" t="s">
        <v>156</v>
      </c>
      <c r="L3" t="s">
        <v>1126</v>
      </c>
      <c r="M3" t="s">
        <v>531</v>
      </c>
      <c r="N3" t="s">
        <v>1127</v>
      </c>
    </row>
    <row r="4" spans="1:29" x14ac:dyDescent="0.2">
      <c r="A4" t="s">
        <v>1115</v>
      </c>
      <c r="B4" s="301">
        <f>Summary!$D$43</f>
        <v>0</v>
      </c>
      <c r="H4">
        <v>1</v>
      </c>
      <c r="I4">
        <f>'SPC background (hide)'!L4</f>
        <v>99</v>
      </c>
      <c r="J4">
        <f ca="1">'SPC background (hide)'!M4</f>
        <v>1</v>
      </c>
      <c r="K4" s="5">
        <f ca="1">'SPC background (hide)'!O4</f>
        <v>0</v>
      </c>
      <c r="L4" t="str">
        <f ca="1">IFERROR(VLOOKUP(H4,'SPC background (hide)'!$AI$2:$AJ$54,2,FALSE),"")</f>
        <v/>
      </c>
      <c r="M4" s="5">
        <f ca="1">'SPC background (hide)'!P4</f>
        <v>0</v>
      </c>
      <c r="N4" s="5">
        <f ca="1">'SPC background (hide)'!Q4</f>
        <v>0</v>
      </c>
    </row>
    <row r="5" spans="1:29" x14ac:dyDescent="0.2">
      <c r="A5" t="s">
        <v>75</v>
      </c>
      <c r="B5" s="3" t="e">
        <f ca="1">'Summary Calculations (hide)'!I4</f>
        <v>#N/A</v>
      </c>
      <c r="H5">
        <v>2</v>
      </c>
      <c r="I5" t="str">
        <f ca="1">'SPC background (hide)'!L5</f>
        <v/>
      </c>
      <c r="J5">
        <f ca="1">'SPC background (hide)'!M5</f>
        <v>0</v>
      </c>
      <c r="K5" s="5" t="str">
        <f ca="1">'SPC background (hide)'!O5</f>
        <v/>
      </c>
      <c r="L5" s="67" t="str">
        <f ca="1">IFERROR(VLOOKUP(H5,'SPC background (hide)'!$AI$2:$AJ$54,2,FALSE),"")</f>
        <v/>
      </c>
      <c r="M5" s="5" t="str">
        <f ca="1">'SPC background (hide)'!P5</f>
        <v/>
      </c>
      <c r="N5" s="5" t="str">
        <f ca="1">'SPC background (hide)'!Q5</f>
        <v/>
      </c>
    </row>
    <row r="6" spans="1:29" x14ac:dyDescent="0.2">
      <c r="A6" t="s">
        <v>1116</v>
      </c>
      <c r="B6" s="3" t="e">
        <f ca="1">'Summary Calculations (hide)'!I5</f>
        <v>#N/A</v>
      </c>
      <c r="H6">
        <v>3</v>
      </c>
      <c r="I6" t="str">
        <f ca="1">'SPC background (hide)'!L6</f>
        <v/>
      </c>
      <c r="J6">
        <f ca="1">'SPC background (hide)'!M6</f>
        <v>0</v>
      </c>
      <c r="K6" s="5" t="str">
        <f ca="1">'SPC background (hide)'!O6</f>
        <v/>
      </c>
      <c r="L6" s="67" t="str">
        <f ca="1">IFERROR(VLOOKUP(H6,'SPC background (hide)'!$AI$2:$AJ$54,2,FALSE),"")</f>
        <v/>
      </c>
      <c r="M6" s="5" t="str">
        <f ca="1">'SPC background (hide)'!P6</f>
        <v/>
      </c>
      <c r="N6" s="5" t="str">
        <f ca="1">'SPC background (hide)'!Q6</f>
        <v/>
      </c>
    </row>
    <row r="7" spans="1:29" x14ac:dyDescent="0.2">
      <c r="A7" t="s">
        <v>99</v>
      </c>
      <c r="B7" s="3" t="e">
        <f ca="1">'Summary Calculations (hide)'!I6</f>
        <v>#N/A</v>
      </c>
      <c r="H7">
        <v>4</v>
      </c>
      <c r="I7" t="str">
        <f ca="1">'SPC background (hide)'!L7</f>
        <v/>
      </c>
      <c r="J7">
        <f ca="1">'SPC background (hide)'!M7</f>
        <v>0</v>
      </c>
      <c r="K7" s="5" t="str">
        <f ca="1">'SPC background (hide)'!O7</f>
        <v/>
      </c>
      <c r="L7" s="67" t="str">
        <f ca="1">IFERROR(VLOOKUP(H7,'SPC background (hide)'!$AI$2:$AJ$54,2,FALSE),"")</f>
        <v/>
      </c>
      <c r="M7" s="5" t="str">
        <f ca="1">'SPC background (hide)'!P7</f>
        <v/>
      </c>
      <c r="N7" s="5" t="str">
        <f ca="1">'SPC background (hide)'!Q7</f>
        <v/>
      </c>
    </row>
    <row r="8" spans="1:29" x14ac:dyDescent="0.2">
      <c r="A8" t="s">
        <v>418</v>
      </c>
      <c r="B8" s="3">
        <f ca="1">'Summary Calculations (hide)'!I7</f>
        <v>1</v>
      </c>
      <c r="H8" s="67">
        <v>5</v>
      </c>
      <c r="I8" s="67">
        <f ca="1">'SPC background (hide)'!L8</f>
        <v>1</v>
      </c>
      <c r="J8" s="67">
        <f ca="1">'SPC background (hide)'!M8</f>
        <v>52</v>
      </c>
      <c r="K8" s="5">
        <f ca="1">'SPC background (hide)'!O8</f>
        <v>0</v>
      </c>
      <c r="L8" s="67">
        <f ca="1">IFERROR(VLOOKUP(H8,'SPC background (hide)'!$AI$2:$AJ$54,2,FALSE),"")</f>
        <v>0</v>
      </c>
      <c r="M8" s="5" t="str">
        <f ca="1">'SPC background (hide)'!P8</f>
        <v/>
      </c>
      <c r="N8" s="5" t="str">
        <f ca="1">'SPC background (hide)'!Q8</f>
        <v/>
      </c>
    </row>
    <row r="10" spans="1:29" x14ac:dyDescent="0.2">
      <c r="A10" t="s">
        <v>1148</v>
      </c>
      <c r="B10" s="3"/>
      <c r="H10" t="s">
        <v>1125</v>
      </c>
      <c r="T10" t="s">
        <v>1131</v>
      </c>
    </row>
    <row r="11" spans="1:29" x14ac:dyDescent="0.2">
      <c r="A11" t="s">
        <v>1117</v>
      </c>
      <c r="B11" s="3" t="e">
        <f ca="1">(1-B5)*(1-(B6+B7))</f>
        <v>#N/A</v>
      </c>
      <c r="C11" s="51" t="s">
        <v>1144</v>
      </c>
      <c r="D11" t="s">
        <v>1138</v>
      </c>
      <c r="T11" t="s">
        <v>1132</v>
      </c>
      <c r="U11" t="s">
        <v>1133</v>
      </c>
      <c r="V11" t="s">
        <v>1134</v>
      </c>
      <c r="W11" t="s">
        <v>1135</v>
      </c>
      <c r="X11" t="s">
        <v>1136</v>
      </c>
      <c r="Y11" t="s">
        <v>1137</v>
      </c>
      <c r="Z11" t="s">
        <v>156</v>
      </c>
      <c r="AA11" t="s">
        <v>1141</v>
      </c>
      <c r="AB11" t="s">
        <v>1142</v>
      </c>
      <c r="AC11" t="s">
        <v>1143</v>
      </c>
    </row>
    <row r="12" spans="1:29" x14ac:dyDescent="0.2">
      <c r="A12" t="s">
        <v>1118</v>
      </c>
      <c r="B12" s="3" t="e">
        <f ca="1">(1-B5) * (B7*B8)</f>
        <v>#N/A</v>
      </c>
      <c r="C12" s="51" t="s">
        <v>1145</v>
      </c>
      <c r="H12" t="str">
        <f>'Summary Calculations (hide)'!A14</f>
        <v>Reference week start</v>
      </c>
      <c r="I12" t="str">
        <f>'Summary Calculations (hide)'!B14</f>
        <v>Year</v>
      </c>
      <c r="J12" t="str">
        <f>'Summary Calculations (hide)'!C14</f>
        <v>Month</v>
      </c>
      <c r="K12" t="str">
        <f>'Summary Calculations (hide)'!D14</f>
        <v>Wk index</v>
      </c>
      <c r="L12" t="s">
        <v>153</v>
      </c>
      <c r="M12" t="s">
        <v>156</v>
      </c>
      <c r="N12" t="s">
        <v>1129</v>
      </c>
      <c r="R12" t="s">
        <v>391</v>
      </c>
      <c r="T12">
        <v>152</v>
      </c>
    </row>
    <row r="13" spans="1:29" x14ac:dyDescent="0.2">
      <c r="A13" t="s">
        <v>1122</v>
      </c>
      <c r="B13" s="3" t="e">
        <f ca="1">B11+B12</f>
        <v>#N/A</v>
      </c>
      <c r="C13" s="51" t="s">
        <v>1123</v>
      </c>
      <c r="H13" s="297">
        <f ca="1">'Summary Calculations (hide)'!A15</f>
        <v>44417</v>
      </c>
      <c r="I13">
        <f ca="1">'Summary Calculations (hide)'!B15</f>
        <v>2021</v>
      </c>
      <c r="J13" t="str">
        <f ca="1">'Summary Calculations (hide)'!C15</f>
        <v>Aug</v>
      </c>
      <c r="K13">
        <f ca="1">'Summary Calculations (hide)'!D15</f>
        <v>32</v>
      </c>
      <c r="L13" t="e">
        <f ca="1">VLOOKUP($K13,'SPC background (hide)'!$AG$2:$AS$54,3,0)</f>
        <v>#N/A</v>
      </c>
      <c r="M13" t="e">
        <f ca="1">((VLOOKUP(L13,$H$4:$N$8,4,FALSE)*(1-$B$5)*(1-$B$6+($B$7*$B$8))))</f>
        <v>#N/A</v>
      </c>
      <c r="N13" s="67" t="e">
        <f ca="1">((VLOOKUP(L13,$H$4:$N$8,5,FALSE)*(1-$B$5)*(1-$B$6+($B$7*$B$8))))</f>
        <v>#N/A</v>
      </c>
      <c r="R13" s="5">
        <f ca="1">(VLOOKUP(K13,'Summary Calculations (hide)'!$D$15:$L$67,8,0)+VLOOKUP(K13,'Summary Calculations (hide)'!$D$15:$L$67,9,0))*IF(Summary!$C$8="Patients",'Summary Calculations (hide)'!$I$9,1)</f>
        <v>0</v>
      </c>
      <c r="AA13" t="e">
        <f ca="1">IF(Summary!$C$8="Patients", 'Parameters calculator (hide)'!$H$63,'Parameters calculator (hide)'!$H$62)</f>
        <v>#VALUE!</v>
      </c>
      <c r="AB13" s="67" t="e">
        <f ca="1">IF(Summary!$C$8="Patients", 'Parameters calculator (hide)'!$I$63,'Parameters calculator (hide)'!$I$62)</f>
        <v>#VALUE!</v>
      </c>
      <c r="AC13" t="e">
        <f ca="1">AB13-AA13</f>
        <v>#VALUE!</v>
      </c>
    </row>
    <row r="14" spans="1:29" x14ac:dyDescent="0.2">
      <c r="A14" t="s">
        <v>1119</v>
      </c>
      <c r="B14" s="3" t="e">
        <f ca="1">1 - B7</f>
        <v>#N/A</v>
      </c>
      <c r="C14" s="51" t="s">
        <v>1146</v>
      </c>
      <c r="H14" s="297">
        <f ca="1">'Summary Calculations (hide)'!A16</f>
        <v>44424</v>
      </c>
      <c r="I14" t="str">
        <f ca="1">'Summary Calculations (hide)'!B16</f>
        <v/>
      </c>
      <c r="J14" t="str">
        <f ca="1">'Summary Calculations (hide)'!C16</f>
        <v/>
      </c>
      <c r="K14">
        <f ca="1">'Summary Calculations (hide)'!D16</f>
        <v>33</v>
      </c>
      <c r="L14" s="67" t="e">
        <f ca="1">VLOOKUP($K14,'SPC background (hide)'!$AG$2:$AS$54,3,0)</f>
        <v>#N/A</v>
      </c>
      <c r="M14" s="67" t="e">
        <f t="shared" ref="M14:M64" ca="1" si="0">((VLOOKUP(L14,$H$4:$N$8,4,FALSE)*(1-$B$5)*(1-$B$6+($B$7*$B$8))))</f>
        <v>#N/A</v>
      </c>
      <c r="N14" s="67" t="e">
        <f t="shared" ref="N14:N64" ca="1" si="1">((VLOOKUP(L14,$H$4:$N$8,5,FALSE)*(1-$B$5)*(1-$B$6+($B$7*$B$8))))</f>
        <v>#N/A</v>
      </c>
      <c r="O14" s="67"/>
      <c r="P14" s="67"/>
      <c r="Q14" s="67"/>
      <c r="R14" s="5">
        <f ca="1">(VLOOKUP(K14,'Summary Calculations (hide)'!$D$15:$L$67,8,0)+VLOOKUP(K14,'Summary Calculations (hide)'!$D$15:$L$67,9,0))*IF(Summary!$C$8="Patients",'Summary Calculations (hide)'!$I$9,1)</f>
        <v>0</v>
      </c>
      <c r="AA14" s="67" t="e">
        <f ca="1">IF(Summary!$C$8="Patients", 'Parameters calculator (hide)'!$H$63,'Parameters calculator (hide)'!$H$62)</f>
        <v>#VALUE!</v>
      </c>
      <c r="AB14" s="67" t="e">
        <f ca="1">IF(Summary!$C$8="Patients", 'Parameters calculator (hide)'!$I$63,'Parameters calculator (hide)'!$I$62)</f>
        <v>#VALUE!</v>
      </c>
      <c r="AC14" s="67" t="e">
        <f t="shared" ref="AC14:AC64" ca="1" si="2">AB14-AA14</f>
        <v>#VALUE!</v>
      </c>
    </row>
    <row r="15" spans="1:29" x14ac:dyDescent="0.2">
      <c r="A15" t="s">
        <v>1120</v>
      </c>
      <c r="B15" s="3" t="e">
        <f ca="1">B7*B8</f>
        <v>#N/A</v>
      </c>
      <c r="C15" s="51" t="s">
        <v>1147</v>
      </c>
      <c r="H15" s="297">
        <f ca="1">'Summary Calculations (hide)'!A17</f>
        <v>44431</v>
      </c>
      <c r="I15" t="str">
        <f ca="1">'Summary Calculations (hide)'!B17</f>
        <v/>
      </c>
      <c r="J15" t="str">
        <f ca="1">'Summary Calculations (hide)'!C17</f>
        <v/>
      </c>
      <c r="K15">
        <f ca="1">'Summary Calculations (hide)'!D17</f>
        <v>34</v>
      </c>
      <c r="L15" s="67" t="e">
        <f ca="1">VLOOKUP($K15,'SPC background (hide)'!$AG$2:$AS$54,3,0)</f>
        <v>#N/A</v>
      </c>
      <c r="M15" s="67" t="e">
        <f t="shared" ca="1" si="0"/>
        <v>#N/A</v>
      </c>
      <c r="N15" s="67" t="e">
        <f t="shared" ca="1" si="1"/>
        <v>#N/A</v>
      </c>
      <c r="O15" s="67"/>
      <c r="P15" s="67"/>
      <c r="Q15" s="67"/>
      <c r="R15" s="5">
        <f ca="1">(VLOOKUP(K15,'Summary Calculations (hide)'!$D$15:$L$67,8,0)+VLOOKUP(K15,'Summary Calculations (hide)'!$D$15:$L$67,9,0))*IF(Summary!$C$8="Patients",'Summary Calculations (hide)'!$I$9,1)</f>
        <v>0</v>
      </c>
      <c r="AA15" s="67" t="e">
        <f ca="1">IF(Summary!$C$8="Patients", 'Parameters calculator (hide)'!$H$63,'Parameters calculator (hide)'!$H$62)</f>
        <v>#VALUE!</v>
      </c>
      <c r="AB15" s="67" t="e">
        <f ca="1">IF(Summary!$C$8="Patients", 'Parameters calculator (hide)'!$I$63,'Parameters calculator (hide)'!$I$62)</f>
        <v>#VALUE!</v>
      </c>
      <c r="AC15" s="67" t="e">
        <f t="shared" ca="1" si="2"/>
        <v>#VALUE!</v>
      </c>
    </row>
    <row r="16" spans="1:29" x14ac:dyDescent="0.2">
      <c r="A16" t="s">
        <v>1130</v>
      </c>
      <c r="B16" s="3" t="e">
        <f ca="1">B14+B15</f>
        <v>#N/A</v>
      </c>
      <c r="C16" s="51" t="s">
        <v>1124</v>
      </c>
      <c r="H16" s="297">
        <f ca="1">'Summary Calculations (hide)'!A18</f>
        <v>44438</v>
      </c>
      <c r="I16" t="str">
        <f ca="1">'Summary Calculations (hide)'!B18</f>
        <v/>
      </c>
      <c r="J16" t="str">
        <f ca="1">'Summary Calculations (hide)'!C18</f>
        <v/>
      </c>
      <c r="K16">
        <f ca="1">'Summary Calculations (hide)'!D18</f>
        <v>35</v>
      </c>
      <c r="L16" s="67" t="e">
        <f ca="1">VLOOKUP($K16,'SPC background (hide)'!$AG$2:$AS$54,3,0)</f>
        <v>#N/A</v>
      </c>
      <c r="M16" s="67" t="e">
        <f t="shared" ca="1" si="0"/>
        <v>#N/A</v>
      </c>
      <c r="N16" s="67" t="e">
        <f t="shared" ca="1" si="1"/>
        <v>#N/A</v>
      </c>
      <c r="O16" s="67"/>
      <c r="P16" s="67"/>
      <c r="Q16" s="67"/>
      <c r="R16" s="5">
        <f ca="1">(VLOOKUP(K16,'Summary Calculations (hide)'!$D$15:$L$67,8,0)+VLOOKUP(K16,'Summary Calculations (hide)'!$D$15:$L$67,9,0))*IF(Summary!$C$8="Patients",'Summary Calculations (hide)'!$I$9,1)</f>
        <v>0</v>
      </c>
      <c r="AA16" s="67" t="e">
        <f ca="1">IF(Summary!$C$8="Patients", 'Parameters calculator (hide)'!$H$63,'Parameters calculator (hide)'!$H$62)</f>
        <v>#VALUE!</v>
      </c>
      <c r="AB16" s="67" t="e">
        <f ca="1">IF(Summary!$C$8="Patients", 'Parameters calculator (hide)'!$I$63,'Parameters calculator (hide)'!$I$62)</f>
        <v>#VALUE!</v>
      </c>
      <c r="AC16" s="67" t="e">
        <f t="shared" ca="1" si="2"/>
        <v>#VALUE!</v>
      </c>
    </row>
    <row r="17" spans="1:29" x14ac:dyDescent="0.2">
      <c r="H17" s="297">
        <f ca="1">'Summary Calculations (hide)'!A19</f>
        <v>44445</v>
      </c>
      <c r="I17" t="str">
        <f ca="1">'Summary Calculations (hide)'!B19</f>
        <v/>
      </c>
      <c r="J17" t="str">
        <f ca="1">'Summary Calculations (hide)'!C19</f>
        <v>Sep</v>
      </c>
      <c r="K17">
        <f ca="1">'Summary Calculations (hide)'!D19</f>
        <v>36</v>
      </c>
      <c r="L17" s="67" t="e">
        <f ca="1">VLOOKUP($K17,'SPC background (hide)'!$AG$2:$AS$54,3,0)</f>
        <v>#N/A</v>
      </c>
      <c r="M17" s="67" t="e">
        <f t="shared" ca="1" si="0"/>
        <v>#N/A</v>
      </c>
      <c r="N17" s="67" t="e">
        <f t="shared" ca="1" si="1"/>
        <v>#N/A</v>
      </c>
      <c r="O17" s="67"/>
      <c r="P17" s="67"/>
      <c r="Q17" s="67"/>
      <c r="R17" s="5">
        <f ca="1">(VLOOKUP(K17,'Summary Calculations (hide)'!$D$15:$L$67,8,0)+VLOOKUP(K17,'Summary Calculations (hide)'!$D$15:$L$67,9,0))*IF(Summary!$C$8="Patients",'Summary Calculations (hide)'!$I$9,1)</f>
        <v>0</v>
      </c>
      <c r="AA17" s="67" t="e">
        <f ca="1">IF(Summary!$C$8="Patients", 'Parameters calculator (hide)'!$H$63,'Parameters calculator (hide)'!$H$62)</f>
        <v>#VALUE!</v>
      </c>
      <c r="AB17" s="67" t="e">
        <f ca="1">IF(Summary!$C$8="Patients", 'Parameters calculator (hide)'!$I$63,'Parameters calculator (hide)'!$I$62)</f>
        <v>#VALUE!</v>
      </c>
      <c r="AC17" s="67" t="e">
        <f t="shared" ca="1" si="2"/>
        <v>#VALUE!</v>
      </c>
    </row>
    <row r="18" spans="1:29" x14ac:dyDescent="0.2">
      <c r="A18" s="3"/>
      <c r="B18" s="3"/>
      <c r="C18" s="3"/>
      <c r="H18" s="297">
        <f ca="1">'Summary Calculations (hide)'!A20</f>
        <v>44452</v>
      </c>
      <c r="I18" t="str">
        <f ca="1">'Summary Calculations (hide)'!B20</f>
        <v/>
      </c>
      <c r="J18" t="str">
        <f ca="1">'Summary Calculations (hide)'!C20</f>
        <v/>
      </c>
      <c r="K18">
        <f ca="1">'Summary Calculations (hide)'!D20</f>
        <v>37</v>
      </c>
      <c r="L18" s="67" t="e">
        <f ca="1">VLOOKUP($K18,'SPC background (hide)'!$AG$2:$AS$54,3,0)</f>
        <v>#N/A</v>
      </c>
      <c r="M18" s="67" t="e">
        <f t="shared" ca="1" si="0"/>
        <v>#N/A</v>
      </c>
      <c r="N18" s="67" t="e">
        <f t="shared" ca="1" si="1"/>
        <v>#N/A</v>
      </c>
      <c r="O18" s="67"/>
      <c r="P18" s="67"/>
      <c r="Q18" s="67"/>
      <c r="R18" s="5">
        <f ca="1">(VLOOKUP(K18,'Summary Calculations (hide)'!$D$15:$L$67,8,0)+VLOOKUP(K18,'Summary Calculations (hide)'!$D$15:$L$67,9,0))*IF(Summary!$C$8="Patients",'Summary Calculations (hide)'!$I$9,1)</f>
        <v>0</v>
      </c>
      <c r="AA18" s="67" t="e">
        <f ca="1">IF(Summary!$C$8="Patients", 'Parameters calculator (hide)'!$H$63,'Parameters calculator (hide)'!$H$62)</f>
        <v>#VALUE!</v>
      </c>
      <c r="AB18" s="67" t="e">
        <f ca="1">IF(Summary!$C$8="Patients", 'Parameters calculator (hide)'!$I$63,'Parameters calculator (hide)'!$I$62)</f>
        <v>#VALUE!</v>
      </c>
      <c r="AC18" s="67" t="e">
        <f t="shared" ca="1" si="2"/>
        <v>#VALUE!</v>
      </c>
    </row>
    <row r="19" spans="1:29" x14ac:dyDescent="0.2">
      <c r="A19" s="3"/>
      <c r="B19" s="3"/>
      <c r="C19" s="3"/>
      <c r="H19" s="297">
        <f ca="1">'Summary Calculations (hide)'!A21</f>
        <v>44459</v>
      </c>
      <c r="I19" t="str">
        <f ca="1">'Summary Calculations (hide)'!B21</f>
        <v/>
      </c>
      <c r="J19" t="str">
        <f ca="1">'Summary Calculations (hide)'!C21</f>
        <v/>
      </c>
      <c r="K19">
        <f ca="1">'Summary Calculations (hide)'!D21</f>
        <v>38</v>
      </c>
      <c r="L19" s="67" t="e">
        <f ca="1">VLOOKUP($K19,'SPC background (hide)'!$AG$2:$AS$54,3,0)</f>
        <v>#N/A</v>
      </c>
      <c r="M19" s="67" t="e">
        <f t="shared" ca="1" si="0"/>
        <v>#N/A</v>
      </c>
      <c r="N19" s="67" t="e">
        <f t="shared" ca="1" si="1"/>
        <v>#N/A</v>
      </c>
      <c r="O19" s="67"/>
      <c r="P19" s="67"/>
      <c r="Q19" s="67"/>
      <c r="R19" s="5">
        <f ca="1">(VLOOKUP(K19,'Summary Calculations (hide)'!$D$15:$L$67,8,0)+VLOOKUP(K19,'Summary Calculations (hide)'!$D$15:$L$67,9,0))*IF(Summary!$C$8="Patients",'Summary Calculations (hide)'!$I$9,1)</f>
        <v>0</v>
      </c>
      <c r="AA19" s="67" t="e">
        <f ca="1">IF(Summary!$C$8="Patients", 'Parameters calculator (hide)'!$H$63,'Parameters calculator (hide)'!$H$62)</f>
        <v>#VALUE!</v>
      </c>
      <c r="AB19" s="67" t="e">
        <f ca="1">IF(Summary!$C$8="Patients", 'Parameters calculator (hide)'!$I$63,'Parameters calculator (hide)'!$I$62)</f>
        <v>#VALUE!</v>
      </c>
      <c r="AC19" s="67" t="e">
        <f t="shared" ca="1" si="2"/>
        <v>#VALUE!</v>
      </c>
    </row>
    <row r="20" spans="1:29" x14ac:dyDescent="0.2">
      <c r="A20" s="3"/>
      <c r="B20" s="3"/>
      <c r="C20" s="3"/>
      <c r="H20" s="297">
        <f ca="1">'Summary Calculations (hide)'!A22</f>
        <v>44466</v>
      </c>
      <c r="I20" t="str">
        <f ca="1">'Summary Calculations (hide)'!B22</f>
        <v/>
      </c>
      <c r="J20" t="str">
        <f ca="1">'Summary Calculations (hide)'!C22</f>
        <v/>
      </c>
      <c r="K20">
        <f ca="1">'Summary Calculations (hide)'!D22</f>
        <v>39</v>
      </c>
      <c r="L20" s="67" t="e">
        <f ca="1">VLOOKUP($K20,'SPC background (hide)'!$AG$2:$AS$54,3,0)</f>
        <v>#N/A</v>
      </c>
      <c r="M20" s="67" t="e">
        <f t="shared" ca="1" si="0"/>
        <v>#N/A</v>
      </c>
      <c r="N20" s="67" t="e">
        <f t="shared" ca="1" si="1"/>
        <v>#N/A</v>
      </c>
      <c r="O20" s="67"/>
      <c r="P20" s="67"/>
      <c r="Q20" s="67"/>
      <c r="R20" s="5">
        <f ca="1">(VLOOKUP(K20,'Summary Calculations (hide)'!$D$15:$L$67,8,0)+VLOOKUP(K20,'Summary Calculations (hide)'!$D$15:$L$67,9,0))*IF(Summary!$C$8="Patients",'Summary Calculations (hide)'!$I$9,1)</f>
        <v>0</v>
      </c>
      <c r="AA20" s="67" t="e">
        <f ca="1">IF(Summary!$C$8="Patients", 'Parameters calculator (hide)'!$H$63,'Parameters calculator (hide)'!$H$62)</f>
        <v>#VALUE!</v>
      </c>
      <c r="AB20" s="67" t="e">
        <f ca="1">IF(Summary!$C$8="Patients", 'Parameters calculator (hide)'!$I$63,'Parameters calculator (hide)'!$I$62)</f>
        <v>#VALUE!</v>
      </c>
      <c r="AC20" s="67" t="e">
        <f t="shared" ca="1" si="2"/>
        <v>#VALUE!</v>
      </c>
    </row>
    <row r="21" spans="1:29" x14ac:dyDescent="0.2">
      <c r="A21" s="3"/>
      <c r="B21" s="3"/>
      <c r="C21" s="3"/>
      <c r="H21" s="297">
        <f ca="1">'Summary Calculations (hide)'!A23</f>
        <v>44473</v>
      </c>
      <c r="I21" t="str">
        <f ca="1">'Summary Calculations (hide)'!B23</f>
        <v/>
      </c>
      <c r="J21" t="str">
        <f ca="1">'Summary Calculations (hide)'!C23</f>
        <v>Oct</v>
      </c>
      <c r="K21">
        <f ca="1">'Summary Calculations (hide)'!D23</f>
        <v>40</v>
      </c>
      <c r="L21" s="67" t="e">
        <f ca="1">VLOOKUP($K21,'SPC background (hide)'!$AG$2:$AS$54,3,0)</f>
        <v>#N/A</v>
      </c>
      <c r="M21" s="67" t="e">
        <f t="shared" ca="1" si="0"/>
        <v>#N/A</v>
      </c>
      <c r="N21" s="67" t="e">
        <f t="shared" ca="1" si="1"/>
        <v>#N/A</v>
      </c>
      <c r="O21" s="67"/>
      <c r="P21" s="67"/>
      <c r="Q21" s="67"/>
      <c r="R21" s="5">
        <f ca="1">(VLOOKUP(K21,'Summary Calculations (hide)'!$D$15:$L$67,8,0)+VLOOKUP(K21,'Summary Calculations (hide)'!$D$15:$L$67,9,0))*IF(Summary!$C$8="Patients",'Summary Calculations (hide)'!$I$9,1)</f>
        <v>0</v>
      </c>
      <c r="AA21" s="67" t="e">
        <f ca="1">IF(Summary!$C$8="Patients", 'Parameters calculator (hide)'!$H$63,'Parameters calculator (hide)'!$H$62)</f>
        <v>#VALUE!</v>
      </c>
      <c r="AB21" s="67" t="e">
        <f ca="1">IF(Summary!$C$8="Patients", 'Parameters calculator (hide)'!$I$63,'Parameters calculator (hide)'!$I$62)</f>
        <v>#VALUE!</v>
      </c>
      <c r="AC21" s="67" t="e">
        <f t="shared" ca="1" si="2"/>
        <v>#VALUE!</v>
      </c>
    </row>
    <row r="22" spans="1:29" x14ac:dyDescent="0.2">
      <c r="A22" s="3"/>
      <c r="B22" s="3"/>
      <c r="C22" s="3"/>
      <c r="H22" s="297">
        <f ca="1">'Summary Calculations (hide)'!A24</f>
        <v>44480</v>
      </c>
      <c r="I22" t="str">
        <f ca="1">'Summary Calculations (hide)'!B24</f>
        <v/>
      </c>
      <c r="J22" t="str">
        <f ca="1">'Summary Calculations (hide)'!C24</f>
        <v/>
      </c>
      <c r="K22">
        <f ca="1">'Summary Calculations (hide)'!D24</f>
        <v>41</v>
      </c>
      <c r="L22" s="67" t="e">
        <f ca="1">VLOOKUP($K22,'SPC background (hide)'!$AG$2:$AS$54,3,0)</f>
        <v>#N/A</v>
      </c>
      <c r="M22" s="67" t="e">
        <f t="shared" ca="1" si="0"/>
        <v>#N/A</v>
      </c>
      <c r="N22" s="67" t="e">
        <f t="shared" ca="1" si="1"/>
        <v>#N/A</v>
      </c>
      <c r="O22" s="67"/>
      <c r="P22" s="67"/>
      <c r="Q22" s="67"/>
      <c r="R22" s="5">
        <f ca="1">(VLOOKUP(K22,'Summary Calculations (hide)'!$D$15:$L$67,8,0)+VLOOKUP(K22,'Summary Calculations (hide)'!$D$15:$L$67,9,0))*IF(Summary!$C$8="Patients",'Summary Calculations (hide)'!$I$9,1)</f>
        <v>0</v>
      </c>
      <c r="AA22" s="67" t="e">
        <f ca="1">IF(Summary!$C$8="Patients", 'Parameters calculator (hide)'!$H$63,'Parameters calculator (hide)'!$H$62)</f>
        <v>#VALUE!</v>
      </c>
      <c r="AB22" s="67" t="e">
        <f ca="1">IF(Summary!$C$8="Patients", 'Parameters calculator (hide)'!$I$63,'Parameters calculator (hide)'!$I$62)</f>
        <v>#VALUE!</v>
      </c>
      <c r="AC22" s="67" t="e">
        <f t="shared" ca="1" si="2"/>
        <v>#VALUE!</v>
      </c>
    </row>
    <row r="23" spans="1:29" x14ac:dyDescent="0.2">
      <c r="A23" s="3"/>
      <c r="B23" s="3"/>
      <c r="C23" s="3"/>
      <c r="H23" s="297">
        <f ca="1">'Summary Calculations (hide)'!A25</f>
        <v>44487</v>
      </c>
      <c r="I23" t="str">
        <f ca="1">'Summary Calculations (hide)'!B25</f>
        <v/>
      </c>
      <c r="J23" t="str">
        <f ca="1">'Summary Calculations (hide)'!C25</f>
        <v/>
      </c>
      <c r="K23">
        <f ca="1">'Summary Calculations (hide)'!D25</f>
        <v>42</v>
      </c>
      <c r="L23" s="67" t="e">
        <f ca="1">VLOOKUP($K23,'SPC background (hide)'!$AG$2:$AS$54,3,0)</f>
        <v>#N/A</v>
      </c>
      <c r="M23" s="67" t="e">
        <f t="shared" ca="1" si="0"/>
        <v>#N/A</v>
      </c>
      <c r="N23" s="67" t="e">
        <f t="shared" ca="1" si="1"/>
        <v>#N/A</v>
      </c>
      <c r="O23" s="67"/>
      <c r="P23" s="67"/>
      <c r="Q23" s="67"/>
      <c r="R23" s="5">
        <f ca="1">(VLOOKUP(K23,'Summary Calculations (hide)'!$D$15:$L$67,8,0)+VLOOKUP(K23,'Summary Calculations (hide)'!$D$15:$L$67,9,0))*IF(Summary!$C$8="Patients",'Summary Calculations (hide)'!$I$9,1)</f>
        <v>0</v>
      </c>
      <c r="AA23" s="67" t="e">
        <f ca="1">IF(Summary!$C$8="Patients", 'Parameters calculator (hide)'!$H$63,'Parameters calculator (hide)'!$H$62)</f>
        <v>#VALUE!</v>
      </c>
      <c r="AB23" s="67" t="e">
        <f ca="1">IF(Summary!$C$8="Patients", 'Parameters calculator (hide)'!$I$63,'Parameters calculator (hide)'!$I$62)</f>
        <v>#VALUE!</v>
      </c>
      <c r="AC23" s="67" t="e">
        <f t="shared" ca="1" si="2"/>
        <v>#VALUE!</v>
      </c>
    </row>
    <row r="24" spans="1:29" x14ac:dyDescent="0.2">
      <c r="A24" s="3"/>
      <c r="B24" s="3"/>
      <c r="C24" s="3"/>
      <c r="H24" s="297">
        <f ca="1">'Summary Calculations (hide)'!A26</f>
        <v>44494</v>
      </c>
      <c r="I24" t="str">
        <f ca="1">'Summary Calculations (hide)'!B26</f>
        <v/>
      </c>
      <c r="J24" t="str">
        <f ca="1">'Summary Calculations (hide)'!C26</f>
        <v/>
      </c>
      <c r="K24">
        <f ca="1">'Summary Calculations (hide)'!D26</f>
        <v>43</v>
      </c>
      <c r="L24" s="67" t="e">
        <f ca="1">VLOOKUP($K24,'SPC background (hide)'!$AG$2:$AS$54,3,0)</f>
        <v>#N/A</v>
      </c>
      <c r="M24" s="67" t="e">
        <f t="shared" ca="1" si="0"/>
        <v>#N/A</v>
      </c>
      <c r="N24" s="67" t="e">
        <f t="shared" ca="1" si="1"/>
        <v>#N/A</v>
      </c>
      <c r="O24" s="67"/>
      <c r="P24" s="67"/>
      <c r="Q24" s="67"/>
      <c r="R24" s="5">
        <f ca="1">(VLOOKUP(K24,'Summary Calculations (hide)'!$D$15:$L$67,8,0)+VLOOKUP(K24,'Summary Calculations (hide)'!$D$15:$L$67,9,0))*IF(Summary!$C$8="Patients",'Summary Calculations (hide)'!$I$9,1)</f>
        <v>0</v>
      </c>
      <c r="AA24" s="67" t="e">
        <f ca="1">IF(Summary!$C$8="Patients", 'Parameters calculator (hide)'!$H$63,'Parameters calculator (hide)'!$H$62)</f>
        <v>#VALUE!</v>
      </c>
      <c r="AB24" s="67" t="e">
        <f ca="1">IF(Summary!$C$8="Patients", 'Parameters calculator (hide)'!$I$63,'Parameters calculator (hide)'!$I$62)</f>
        <v>#VALUE!</v>
      </c>
      <c r="AC24" s="67" t="e">
        <f t="shared" ca="1" si="2"/>
        <v>#VALUE!</v>
      </c>
    </row>
    <row r="25" spans="1:29" x14ac:dyDescent="0.2">
      <c r="A25" s="3"/>
      <c r="B25" s="3"/>
      <c r="C25" s="3"/>
      <c r="H25" s="297">
        <f ca="1">'Summary Calculations (hide)'!A27</f>
        <v>44501</v>
      </c>
      <c r="I25" t="str">
        <f ca="1">'Summary Calculations (hide)'!B27</f>
        <v/>
      </c>
      <c r="J25" t="str">
        <f ca="1">'Summary Calculations (hide)'!C27</f>
        <v>Nov</v>
      </c>
      <c r="K25">
        <f ca="1">'Summary Calculations (hide)'!D27</f>
        <v>44</v>
      </c>
      <c r="L25" s="67" t="e">
        <f ca="1">VLOOKUP($K25,'SPC background (hide)'!$AG$2:$AS$54,3,0)</f>
        <v>#N/A</v>
      </c>
      <c r="M25" s="67" t="e">
        <f t="shared" ca="1" si="0"/>
        <v>#N/A</v>
      </c>
      <c r="N25" s="67" t="e">
        <f t="shared" ca="1" si="1"/>
        <v>#N/A</v>
      </c>
      <c r="O25" s="67"/>
      <c r="P25" s="67"/>
      <c r="Q25" s="67"/>
      <c r="R25" s="5">
        <f ca="1">(VLOOKUP(K25,'Summary Calculations (hide)'!$D$15:$L$67,8,0)+VLOOKUP(K25,'Summary Calculations (hide)'!$D$15:$L$67,9,0))*IF(Summary!$C$8="Patients",'Summary Calculations (hide)'!$I$9,1)</f>
        <v>0</v>
      </c>
      <c r="AA25" s="67" t="e">
        <f ca="1">IF(Summary!$C$8="Patients", 'Parameters calculator (hide)'!$H$63,'Parameters calculator (hide)'!$H$62)</f>
        <v>#VALUE!</v>
      </c>
      <c r="AB25" s="67" t="e">
        <f ca="1">IF(Summary!$C$8="Patients", 'Parameters calculator (hide)'!$I$63,'Parameters calculator (hide)'!$I$62)</f>
        <v>#VALUE!</v>
      </c>
      <c r="AC25" s="67" t="e">
        <f t="shared" ca="1" si="2"/>
        <v>#VALUE!</v>
      </c>
    </row>
    <row r="26" spans="1:29" ht="15" x14ac:dyDescent="0.25">
      <c r="A26" s="3"/>
      <c r="B26" s="3"/>
      <c r="C26" s="302"/>
      <c r="H26" s="297">
        <f ca="1">'Summary Calculations (hide)'!A28</f>
        <v>44508</v>
      </c>
      <c r="I26" t="str">
        <f ca="1">'Summary Calculations (hide)'!B28</f>
        <v/>
      </c>
      <c r="J26" t="str">
        <f ca="1">'Summary Calculations (hide)'!C28</f>
        <v/>
      </c>
      <c r="K26">
        <f ca="1">'Summary Calculations (hide)'!D28</f>
        <v>45</v>
      </c>
      <c r="L26" s="67" t="e">
        <f ca="1">VLOOKUP($K26,'SPC background (hide)'!$AG$2:$AS$54,3,0)</f>
        <v>#N/A</v>
      </c>
      <c r="M26" s="67" t="e">
        <f t="shared" ca="1" si="0"/>
        <v>#N/A</v>
      </c>
      <c r="N26" s="67" t="e">
        <f t="shared" ca="1" si="1"/>
        <v>#N/A</v>
      </c>
      <c r="O26" s="67"/>
      <c r="P26" s="67"/>
      <c r="Q26" s="67"/>
      <c r="R26" s="5">
        <f ca="1">(VLOOKUP(K26,'Summary Calculations (hide)'!$D$15:$L$67,8,0)+VLOOKUP(K26,'Summary Calculations (hide)'!$D$15:$L$67,9,0))*IF(Summary!$C$8="Patients",'Summary Calculations (hide)'!$I$9,1)</f>
        <v>0</v>
      </c>
      <c r="AA26" s="67" t="e">
        <f ca="1">IF(Summary!$C$8="Patients", 'Parameters calculator (hide)'!$H$63,'Parameters calculator (hide)'!$H$62)</f>
        <v>#VALUE!</v>
      </c>
      <c r="AB26" s="67" t="e">
        <f ca="1">IF(Summary!$C$8="Patients", 'Parameters calculator (hide)'!$I$63,'Parameters calculator (hide)'!$I$62)</f>
        <v>#VALUE!</v>
      </c>
      <c r="AC26" s="67" t="e">
        <f t="shared" ca="1" si="2"/>
        <v>#VALUE!</v>
      </c>
    </row>
    <row r="27" spans="1:29" x14ac:dyDescent="0.2">
      <c r="A27" s="3"/>
      <c r="B27" s="3"/>
      <c r="C27" s="3"/>
      <c r="H27" s="297">
        <f ca="1">'Summary Calculations (hide)'!A29</f>
        <v>44515</v>
      </c>
      <c r="I27" t="str">
        <f ca="1">'Summary Calculations (hide)'!B29</f>
        <v/>
      </c>
      <c r="J27" t="str">
        <f ca="1">'Summary Calculations (hide)'!C29</f>
        <v/>
      </c>
      <c r="K27">
        <f ca="1">'Summary Calculations (hide)'!D29</f>
        <v>46</v>
      </c>
      <c r="L27" s="67" t="e">
        <f ca="1">VLOOKUP($K27,'SPC background (hide)'!$AG$2:$AS$54,3,0)</f>
        <v>#N/A</v>
      </c>
      <c r="M27" s="67" t="e">
        <f t="shared" ca="1" si="0"/>
        <v>#N/A</v>
      </c>
      <c r="N27" s="67" t="e">
        <f t="shared" ca="1" si="1"/>
        <v>#N/A</v>
      </c>
      <c r="O27" s="67"/>
      <c r="P27" s="67"/>
      <c r="Q27" s="67"/>
      <c r="R27" s="5">
        <f ca="1">(VLOOKUP(K27,'Summary Calculations (hide)'!$D$15:$L$67,8,0)+VLOOKUP(K27,'Summary Calculations (hide)'!$D$15:$L$67,9,0))*IF(Summary!$C$8="Patients",'Summary Calculations (hide)'!$I$9,1)</f>
        <v>0</v>
      </c>
      <c r="AA27" s="67" t="e">
        <f ca="1">IF(Summary!$C$8="Patients", 'Parameters calculator (hide)'!$H$63,'Parameters calculator (hide)'!$H$62)</f>
        <v>#VALUE!</v>
      </c>
      <c r="AB27" s="67" t="e">
        <f ca="1">IF(Summary!$C$8="Patients", 'Parameters calculator (hide)'!$I$63,'Parameters calculator (hide)'!$I$62)</f>
        <v>#VALUE!</v>
      </c>
      <c r="AC27" s="67" t="e">
        <f t="shared" ca="1" si="2"/>
        <v>#VALUE!</v>
      </c>
    </row>
    <row r="28" spans="1:29" x14ac:dyDescent="0.2">
      <c r="A28" s="3"/>
      <c r="B28" s="3"/>
      <c r="C28" s="3"/>
      <c r="H28" s="297">
        <f ca="1">'Summary Calculations (hide)'!A30</f>
        <v>44522</v>
      </c>
      <c r="I28" t="str">
        <f ca="1">'Summary Calculations (hide)'!B30</f>
        <v/>
      </c>
      <c r="J28" t="str">
        <f ca="1">'Summary Calculations (hide)'!C30</f>
        <v/>
      </c>
      <c r="K28">
        <f ca="1">'Summary Calculations (hide)'!D30</f>
        <v>47</v>
      </c>
      <c r="L28" s="67" t="e">
        <f ca="1">VLOOKUP($K28,'SPC background (hide)'!$AG$2:$AS$54,3,0)</f>
        <v>#N/A</v>
      </c>
      <c r="M28" s="67" t="e">
        <f t="shared" ca="1" si="0"/>
        <v>#N/A</v>
      </c>
      <c r="N28" s="67" t="e">
        <f t="shared" ca="1" si="1"/>
        <v>#N/A</v>
      </c>
      <c r="O28" s="67"/>
      <c r="P28" s="67"/>
      <c r="Q28" s="67"/>
      <c r="R28" s="5">
        <f ca="1">(VLOOKUP(K28,'Summary Calculations (hide)'!$D$15:$L$67,8,0)+VLOOKUP(K28,'Summary Calculations (hide)'!$D$15:$L$67,9,0))*IF(Summary!$C$8="Patients",'Summary Calculations (hide)'!$I$9,1)</f>
        <v>0</v>
      </c>
      <c r="AA28" s="67" t="e">
        <f ca="1">IF(Summary!$C$8="Patients", 'Parameters calculator (hide)'!$H$63,'Parameters calculator (hide)'!$H$62)</f>
        <v>#VALUE!</v>
      </c>
      <c r="AB28" s="67" t="e">
        <f ca="1">IF(Summary!$C$8="Patients", 'Parameters calculator (hide)'!$I$63,'Parameters calculator (hide)'!$I$62)</f>
        <v>#VALUE!</v>
      </c>
      <c r="AC28" s="67" t="e">
        <f t="shared" ca="1" si="2"/>
        <v>#VALUE!</v>
      </c>
    </row>
    <row r="29" spans="1:29" x14ac:dyDescent="0.2">
      <c r="A29" s="3"/>
      <c r="B29" s="3"/>
      <c r="C29" s="3"/>
      <c r="H29" s="297">
        <f ca="1">'Summary Calculations (hide)'!A31</f>
        <v>44529</v>
      </c>
      <c r="I29" t="str">
        <f ca="1">'Summary Calculations (hide)'!B31</f>
        <v/>
      </c>
      <c r="J29" t="str">
        <f ca="1">'Summary Calculations (hide)'!C31</f>
        <v/>
      </c>
      <c r="K29">
        <f ca="1">'Summary Calculations (hide)'!D31</f>
        <v>48</v>
      </c>
      <c r="L29" s="67" t="e">
        <f ca="1">VLOOKUP($K29,'SPC background (hide)'!$AG$2:$AS$54,3,0)</f>
        <v>#N/A</v>
      </c>
      <c r="M29" s="67" t="e">
        <f t="shared" ca="1" si="0"/>
        <v>#N/A</v>
      </c>
      <c r="N29" s="67" t="e">
        <f t="shared" ca="1" si="1"/>
        <v>#N/A</v>
      </c>
      <c r="O29" s="67"/>
      <c r="P29" s="67"/>
      <c r="Q29" s="67"/>
      <c r="R29" s="5">
        <f ca="1">(VLOOKUP(K29,'Summary Calculations (hide)'!$D$15:$L$67,8,0)+VLOOKUP(K29,'Summary Calculations (hide)'!$D$15:$L$67,9,0))*IF(Summary!$C$8="Patients",'Summary Calculations (hide)'!$I$9,1)</f>
        <v>0</v>
      </c>
      <c r="AA29" s="67" t="e">
        <f ca="1">IF(Summary!$C$8="Patients", 'Parameters calculator (hide)'!$H$63,'Parameters calculator (hide)'!$H$62)</f>
        <v>#VALUE!</v>
      </c>
      <c r="AB29" s="67" t="e">
        <f ca="1">IF(Summary!$C$8="Patients", 'Parameters calculator (hide)'!$I$63,'Parameters calculator (hide)'!$I$62)</f>
        <v>#VALUE!</v>
      </c>
      <c r="AC29" s="67" t="e">
        <f t="shared" ca="1" si="2"/>
        <v>#VALUE!</v>
      </c>
    </row>
    <row r="30" spans="1:29" x14ac:dyDescent="0.2">
      <c r="A30" s="3"/>
      <c r="B30" s="3"/>
      <c r="C30" s="3"/>
      <c r="H30" s="297">
        <f ca="1">'Summary Calculations (hide)'!A32</f>
        <v>44536</v>
      </c>
      <c r="I30" t="str">
        <f ca="1">'Summary Calculations (hide)'!B32</f>
        <v/>
      </c>
      <c r="J30" t="str">
        <f ca="1">'Summary Calculations (hide)'!C32</f>
        <v>Dec</v>
      </c>
      <c r="K30">
        <f ca="1">'Summary Calculations (hide)'!D32</f>
        <v>49</v>
      </c>
      <c r="L30" s="67" t="e">
        <f ca="1">VLOOKUP($K30,'SPC background (hide)'!$AG$2:$AS$54,3,0)</f>
        <v>#N/A</v>
      </c>
      <c r="M30" s="67" t="e">
        <f t="shared" ca="1" si="0"/>
        <v>#N/A</v>
      </c>
      <c r="N30" s="67" t="e">
        <f t="shared" ca="1" si="1"/>
        <v>#N/A</v>
      </c>
      <c r="O30" s="67"/>
      <c r="P30" s="67"/>
      <c r="Q30" s="67"/>
      <c r="R30" s="5">
        <f ca="1">(VLOOKUP(K30,'Summary Calculations (hide)'!$D$15:$L$67,8,0)+VLOOKUP(K30,'Summary Calculations (hide)'!$D$15:$L$67,9,0))*IF(Summary!$C$8="Patients",'Summary Calculations (hide)'!$I$9,1)</f>
        <v>0</v>
      </c>
      <c r="AA30" s="67" t="e">
        <f ca="1">IF(Summary!$C$8="Patients", 'Parameters calculator (hide)'!$H$63,'Parameters calculator (hide)'!$H$62)</f>
        <v>#VALUE!</v>
      </c>
      <c r="AB30" s="67" t="e">
        <f ca="1">IF(Summary!$C$8="Patients", 'Parameters calculator (hide)'!$I$63,'Parameters calculator (hide)'!$I$62)</f>
        <v>#VALUE!</v>
      </c>
      <c r="AC30" s="67" t="e">
        <f t="shared" ca="1" si="2"/>
        <v>#VALUE!</v>
      </c>
    </row>
    <row r="31" spans="1:29" x14ac:dyDescent="0.2">
      <c r="A31" s="3"/>
      <c r="B31" s="3"/>
      <c r="C31" s="3"/>
      <c r="H31" s="297">
        <f ca="1">'Summary Calculations (hide)'!A33</f>
        <v>44543</v>
      </c>
      <c r="I31" t="str">
        <f ca="1">'Summary Calculations (hide)'!B33</f>
        <v/>
      </c>
      <c r="J31" t="str">
        <f ca="1">'Summary Calculations (hide)'!C33</f>
        <v/>
      </c>
      <c r="K31">
        <f ca="1">'Summary Calculations (hide)'!D33</f>
        <v>50</v>
      </c>
      <c r="L31" s="67" t="e">
        <f ca="1">VLOOKUP($K31,'SPC background (hide)'!$AG$2:$AS$54,3,0)</f>
        <v>#N/A</v>
      </c>
      <c r="M31" s="67" t="e">
        <f t="shared" ca="1" si="0"/>
        <v>#N/A</v>
      </c>
      <c r="N31" s="67" t="e">
        <f t="shared" ca="1" si="1"/>
        <v>#N/A</v>
      </c>
      <c r="O31" s="67"/>
      <c r="P31" s="67"/>
      <c r="Q31" s="67"/>
      <c r="R31" s="5">
        <f ca="1">(VLOOKUP(K31,'Summary Calculations (hide)'!$D$15:$L$67,8,0)+VLOOKUP(K31,'Summary Calculations (hide)'!$D$15:$L$67,9,0))*IF(Summary!$C$8="Patients",'Summary Calculations (hide)'!$I$9,1)</f>
        <v>0</v>
      </c>
      <c r="AA31" s="67" t="e">
        <f ca="1">IF(Summary!$C$8="Patients", 'Parameters calculator (hide)'!$H$63,'Parameters calculator (hide)'!$H$62)</f>
        <v>#VALUE!</v>
      </c>
      <c r="AB31" s="67" t="e">
        <f ca="1">IF(Summary!$C$8="Patients", 'Parameters calculator (hide)'!$I$63,'Parameters calculator (hide)'!$I$62)</f>
        <v>#VALUE!</v>
      </c>
      <c r="AC31" s="67" t="e">
        <f t="shared" ca="1" si="2"/>
        <v>#VALUE!</v>
      </c>
    </row>
    <row r="32" spans="1:29" x14ac:dyDescent="0.2">
      <c r="A32" s="3"/>
      <c r="B32" s="3"/>
      <c r="C32" s="3"/>
      <c r="H32" s="297">
        <f ca="1">'Summary Calculations (hide)'!A34</f>
        <v>44550</v>
      </c>
      <c r="I32" t="str">
        <f ca="1">'Summary Calculations (hide)'!B34</f>
        <v/>
      </c>
      <c r="J32" t="str">
        <f ca="1">'Summary Calculations (hide)'!C34</f>
        <v/>
      </c>
      <c r="K32">
        <f ca="1">'Summary Calculations (hide)'!D34</f>
        <v>51</v>
      </c>
      <c r="L32" s="67" t="e">
        <f ca="1">VLOOKUP($K32,'SPC background (hide)'!$AG$2:$AS$54,3,0)</f>
        <v>#N/A</v>
      </c>
      <c r="M32" s="67" t="e">
        <f t="shared" ca="1" si="0"/>
        <v>#N/A</v>
      </c>
      <c r="N32" s="67" t="e">
        <f t="shared" ca="1" si="1"/>
        <v>#N/A</v>
      </c>
      <c r="O32" s="67"/>
      <c r="P32" s="67"/>
      <c r="Q32" s="67"/>
      <c r="R32" s="5">
        <f ca="1">(VLOOKUP(K32,'Summary Calculations (hide)'!$D$15:$L$67,8,0)+VLOOKUP(K32,'Summary Calculations (hide)'!$D$15:$L$67,9,0))*IF(Summary!$C$8="Patients",'Summary Calculations (hide)'!$I$9,1)</f>
        <v>0</v>
      </c>
      <c r="AA32" s="67" t="e">
        <f ca="1">IF(Summary!$C$8="Patients", 'Parameters calculator (hide)'!$H$63,'Parameters calculator (hide)'!$H$62)</f>
        <v>#VALUE!</v>
      </c>
      <c r="AB32" s="67" t="e">
        <f ca="1">IF(Summary!$C$8="Patients", 'Parameters calculator (hide)'!$I$63,'Parameters calculator (hide)'!$I$62)</f>
        <v>#VALUE!</v>
      </c>
      <c r="AC32" s="67" t="e">
        <f t="shared" ca="1" si="2"/>
        <v>#VALUE!</v>
      </c>
    </row>
    <row r="33" spans="1:29" x14ac:dyDescent="0.2">
      <c r="B33" t="s">
        <v>1149</v>
      </c>
      <c r="H33" s="297">
        <f ca="1">'Summary Calculations (hide)'!A35</f>
        <v>44557</v>
      </c>
      <c r="I33" t="str">
        <f ca="1">'Summary Calculations (hide)'!B35</f>
        <v/>
      </c>
      <c r="J33" t="str">
        <f ca="1">'Summary Calculations (hide)'!C35</f>
        <v/>
      </c>
      <c r="K33">
        <f ca="1">'Summary Calculations (hide)'!D35</f>
        <v>52</v>
      </c>
      <c r="L33" s="67" t="e">
        <f ca="1">VLOOKUP($K33,'SPC background (hide)'!$AG$2:$AS$54,3,0)</f>
        <v>#N/A</v>
      </c>
      <c r="M33" s="67" t="e">
        <f t="shared" ca="1" si="0"/>
        <v>#N/A</v>
      </c>
      <c r="N33" s="67" t="e">
        <f t="shared" ca="1" si="1"/>
        <v>#N/A</v>
      </c>
      <c r="O33" s="67"/>
      <c r="P33" s="67"/>
      <c r="Q33" s="67"/>
      <c r="R33" s="5">
        <f ca="1">(VLOOKUP(K33,'Summary Calculations (hide)'!$D$15:$L$67,8,0)+VLOOKUP(K33,'Summary Calculations (hide)'!$D$15:$L$67,9,0))*IF(Summary!$C$8="Patients",'Summary Calculations (hide)'!$I$9,1)</f>
        <v>0</v>
      </c>
      <c r="AA33" s="67" t="e">
        <f ca="1">IF(Summary!$C$8="Patients", 'Parameters calculator (hide)'!$H$63,'Parameters calculator (hide)'!$H$62)</f>
        <v>#VALUE!</v>
      </c>
      <c r="AB33" s="67" t="e">
        <f ca="1">IF(Summary!$C$8="Patients", 'Parameters calculator (hide)'!$I$63,'Parameters calculator (hide)'!$I$62)</f>
        <v>#VALUE!</v>
      </c>
      <c r="AC33" s="67" t="e">
        <f t="shared" ca="1" si="2"/>
        <v>#VALUE!</v>
      </c>
    </row>
    <row r="34" spans="1:29" x14ac:dyDescent="0.2">
      <c r="A34" t="s">
        <v>1121</v>
      </c>
      <c r="B34" s="5">
        <f ca="1">'Parameters calculator (hide)'!C79</f>
        <v>900</v>
      </c>
      <c r="H34" s="297">
        <f ca="1">'Summary Calculations (hide)'!A36</f>
        <v>44564</v>
      </c>
      <c r="I34">
        <f ca="1">'Summary Calculations (hide)'!B36</f>
        <v>2022</v>
      </c>
      <c r="J34" t="str">
        <f ca="1">'Summary Calculations (hide)'!C36</f>
        <v>Jan</v>
      </c>
      <c r="K34">
        <f ca="1">'Summary Calculations (hide)'!D36</f>
        <v>1</v>
      </c>
      <c r="L34" s="67" t="e">
        <f ca="1">VLOOKUP($K34,'SPC background (hide)'!$AG$2:$AS$54,3,0)</f>
        <v>#N/A</v>
      </c>
      <c r="M34" s="67" t="e">
        <f t="shared" ca="1" si="0"/>
        <v>#N/A</v>
      </c>
      <c r="N34" s="67" t="e">
        <f t="shared" ca="1" si="1"/>
        <v>#N/A</v>
      </c>
      <c r="O34" s="67"/>
      <c r="P34" s="67"/>
      <c r="Q34" s="67"/>
      <c r="R34" s="5">
        <f ca="1">(VLOOKUP(K34,'Summary Calculations (hide)'!$D$15:$L$67,8,0)+VLOOKUP(K34,'Summary Calculations (hide)'!$D$15:$L$67,9,0))*IF(Summary!$C$8="Patients",'Summary Calculations (hide)'!$I$9,1)</f>
        <v>0</v>
      </c>
      <c r="AA34" s="67" t="e">
        <f ca="1">IF(Summary!$C$8="Patients", 'Parameters calculator (hide)'!$H$63,'Parameters calculator (hide)'!$H$62)</f>
        <v>#VALUE!</v>
      </c>
      <c r="AB34" s="67" t="e">
        <f ca="1">IF(Summary!$C$8="Patients", 'Parameters calculator (hide)'!$I$63,'Parameters calculator (hide)'!$I$62)</f>
        <v>#VALUE!</v>
      </c>
      <c r="AC34" s="67" t="e">
        <f t="shared" ca="1" si="2"/>
        <v>#VALUE!</v>
      </c>
    </row>
    <row r="35" spans="1:29" x14ac:dyDescent="0.2">
      <c r="H35" s="297">
        <f ca="1">'Summary Calculations (hide)'!A37</f>
        <v>44571</v>
      </c>
      <c r="I35" t="str">
        <f ca="1">'Summary Calculations (hide)'!B37</f>
        <v/>
      </c>
      <c r="J35" t="str">
        <f ca="1">'Summary Calculations (hide)'!C37</f>
        <v/>
      </c>
      <c r="K35">
        <f ca="1">'Summary Calculations (hide)'!D37</f>
        <v>2</v>
      </c>
      <c r="L35" s="67" t="e">
        <f ca="1">VLOOKUP($K35,'SPC background (hide)'!$AG$2:$AS$54,3,0)</f>
        <v>#N/A</v>
      </c>
      <c r="M35" s="67" t="e">
        <f t="shared" ca="1" si="0"/>
        <v>#N/A</v>
      </c>
      <c r="N35" s="67" t="e">
        <f t="shared" ca="1" si="1"/>
        <v>#N/A</v>
      </c>
      <c r="O35" s="67"/>
      <c r="P35" s="67"/>
      <c r="Q35" s="67"/>
      <c r="R35" s="5">
        <f ca="1">(VLOOKUP(K35,'Summary Calculations (hide)'!$D$15:$L$67,8,0)+VLOOKUP(K35,'Summary Calculations (hide)'!$D$15:$L$67,9,0))*IF(Summary!$C$8="Patients",'Summary Calculations (hide)'!$I$9,1)</f>
        <v>0</v>
      </c>
      <c r="AA35" s="67" t="e">
        <f ca="1">IF(Summary!$C$8="Patients", 'Parameters calculator (hide)'!$H$63,'Parameters calculator (hide)'!$H$62)</f>
        <v>#VALUE!</v>
      </c>
      <c r="AB35" s="67" t="e">
        <f ca="1">IF(Summary!$C$8="Patients", 'Parameters calculator (hide)'!$I$63,'Parameters calculator (hide)'!$I$62)</f>
        <v>#VALUE!</v>
      </c>
      <c r="AC35" s="67" t="e">
        <f t="shared" ca="1" si="2"/>
        <v>#VALUE!</v>
      </c>
    </row>
    <row r="36" spans="1:29" x14ac:dyDescent="0.2">
      <c r="H36" s="297">
        <f ca="1">'Summary Calculations (hide)'!A38</f>
        <v>44578</v>
      </c>
      <c r="I36" t="str">
        <f ca="1">'Summary Calculations (hide)'!B38</f>
        <v/>
      </c>
      <c r="J36" t="str">
        <f ca="1">'Summary Calculations (hide)'!C38</f>
        <v/>
      </c>
      <c r="K36">
        <f ca="1">'Summary Calculations (hide)'!D38</f>
        <v>3</v>
      </c>
      <c r="L36" s="67" t="e">
        <f ca="1">VLOOKUP($K36,'SPC background (hide)'!$AG$2:$AS$54,3,0)</f>
        <v>#N/A</v>
      </c>
      <c r="M36" s="67" t="e">
        <f t="shared" ca="1" si="0"/>
        <v>#N/A</v>
      </c>
      <c r="N36" s="67" t="e">
        <f t="shared" ca="1" si="1"/>
        <v>#N/A</v>
      </c>
      <c r="O36" s="67"/>
      <c r="P36" s="67"/>
      <c r="Q36" s="67"/>
      <c r="R36" s="5">
        <f ca="1">(VLOOKUP(K36,'Summary Calculations (hide)'!$D$15:$L$67,8,0)+VLOOKUP(K36,'Summary Calculations (hide)'!$D$15:$L$67,9,0))*IF(Summary!$C$8="Patients",'Summary Calculations (hide)'!$I$9,1)</f>
        <v>0</v>
      </c>
      <c r="AA36" s="67" t="e">
        <f ca="1">IF(Summary!$C$8="Patients", 'Parameters calculator (hide)'!$H$63,'Parameters calculator (hide)'!$H$62)</f>
        <v>#VALUE!</v>
      </c>
      <c r="AB36" s="67" t="e">
        <f ca="1">IF(Summary!$C$8="Patients", 'Parameters calculator (hide)'!$I$63,'Parameters calculator (hide)'!$I$62)</f>
        <v>#VALUE!</v>
      </c>
      <c r="AC36" s="67" t="e">
        <f t="shared" ca="1" si="2"/>
        <v>#VALUE!</v>
      </c>
    </row>
    <row r="37" spans="1:29" x14ac:dyDescent="0.2">
      <c r="H37" s="297">
        <f ca="1">'Summary Calculations (hide)'!A39</f>
        <v>44585</v>
      </c>
      <c r="I37" t="str">
        <f ca="1">'Summary Calculations (hide)'!B39</f>
        <v/>
      </c>
      <c r="J37" t="str">
        <f ca="1">'Summary Calculations (hide)'!C39</f>
        <v/>
      </c>
      <c r="K37">
        <f ca="1">'Summary Calculations (hide)'!D39</f>
        <v>4</v>
      </c>
      <c r="L37" s="67" t="e">
        <f ca="1">VLOOKUP($K37,'SPC background (hide)'!$AG$2:$AS$54,3,0)</f>
        <v>#N/A</v>
      </c>
      <c r="M37" s="67" t="e">
        <f t="shared" ca="1" si="0"/>
        <v>#N/A</v>
      </c>
      <c r="N37" s="67" t="e">
        <f t="shared" ca="1" si="1"/>
        <v>#N/A</v>
      </c>
      <c r="O37" s="67"/>
      <c r="P37" s="67"/>
      <c r="Q37" s="67"/>
      <c r="R37" s="5">
        <f ca="1">(VLOOKUP(K37,'Summary Calculations (hide)'!$D$15:$L$67,8,0)+VLOOKUP(K37,'Summary Calculations (hide)'!$D$15:$L$67,9,0))*IF(Summary!$C$8="Patients",'Summary Calculations (hide)'!$I$9,1)</f>
        <v>0</v>
      </c>
      <c r="AA37" s="67" t="e">
        <f ca="1">IF(Summary!$C$8="Patients", 'Parameters calculator (hide)'!$H$63,'Parameters calculator (hide)'!$H$62)</f>
        <v>#VALUE!</v>
      </c>
      <c r="AB37" s="67" t="e">
        <f ca="1">IF(Summary!$C$8="Patients", 'Parameters calculator (hide)'!$I$63,'Parameters calculator (hide)'!$I$62)</f>
        <v>#VALUE!</v>
      </c>
      <c r="AC37" s="67" t="e">
        <f t="shared" ca="1" si="2"/>
        <v>#VALUE!</v>
      </c>
    </row>
    <row r="38" spans="1:29" x14ac:dyDescent="0.2">
      <c r="H38" s="297">
        <f ca="1">'Summary Calculations (hide)'!A40</f>
        <v>44592</v>
      </c>
      <c r="I38" t="str">
        <f ca="1">'Summary Calculations (hide)'!B40</f>
        <v/>
      </c>
      <c r="J38" t="str">
        <f ca="1">'Summary Calculations (hide)'!C40</f>
        <v/>
      </c>
      <c r="K38">
        <f ca="1">'Summary Calculations (hide)'!D40</f>
        <v>5</v>
      </c>
      <c r="L38" s="67" t="e">
        <f ca="1">VLOOKUP($K38,'SPC background (hide)'!$AG$2:$AS$54,3,0)</f>
        <v>#N/A</v>
      </c>
      <c r="M38" s="67" t="e">
        <f t="shared" ca="1" si="0"/>
        <v>#N/A</v>
      </c>
      <c r="N38" s="67" t="e">
        <f t="shared" ca="1" si="1"/>
        <v>#N/A</v>
      </c>
      <c r="O38" s="67"/>
      <c r="P38" s="67"/>
      <c r="Q38" s="67"/>
      <c r="R38" s="5">
        <f ca="1">(VLOOKUP(K38,'Summary Calculations (hide)'!$D$15:$L$67,8,0)+VLOOKUP(K38,'Summary Calculations (hide)'!$D$15:$L$67,9,0))*IF(Summary!$C$8="Patients",'Summary Calculations (hide)'!$I$9,1)</f>
        <v>0</v>
      </c>
      <c r="AA38" s="67" t="e">
        <f ca="1">IF(Summary!$C$8="Patients", 'Parameters calculator (hide)'!$H$63,'Parameters calculator (hide)'!$H$62)</f>
        <v>#VALUE!</v>
      </c>
      <c r="AB38" s="67" t="e">
        <f ca="1">IF(Summary!$C$8="Patients", 'Parameters calculator (hide)'!$I$63,'Parameters calculator (hide)'!$I$62)</f>
        <v>#VALUE!</v>
      </c>
      <c r="AC38" s="67" t="e">
        <f t="shared" ca="1" si="2"/>
        <v>#VALUE!</v>
      </c>
    </row>
    <row r="39" spans="1:29" x14ac:dyDescent="0.2">
      <c r="H39" s="297">
        <f ca="1">'Summary Calculations (hide)'!A41</f>
        <v>44599</v>
      </c>
      <c r="I39" t="str">
        <f ca="1">'Summary Calculations (hide)'!B41</f>
        <v/>
      </c>
      <c r="J39" t="str">
        <f ca="1">'Summary Calculations (hide)'!C41</f>
        <v>Feb</v>
      </c>
      <c r="K39">
        <f ca="1">'Summary Calculations (hide)'!D41</f>
        <v>6</v>
      </c>
      <c r="L39" s="67" t="e">
        <f ca="1">VLOOKUP($K39,'SPC background (hide)'!$AG$2:$AS$54,3,0)</f>
        <v>#N/A</v>
      </c>
      <c r="M39" s="67" t="e">
        <f t="shared" ca="1" si="0"/>
        <v>#N/A</v>
      </c>
      <c r="N39" s="67" t="e">
        <f t="shared" ca="1" si="1"/>
        <v>#N/A</v>
      </c>
      <c r="O39" s="67"/>
      <c r="P39" s="67"/>
      <c r="Q39" s="67"/>
      <c r="R39" s="5">
        <f ca="1">(VLOOKUP(K39,'Summary Calculations (hide)'!$D$15:$L$67,8,0)+VLOOKUP(K39,'Summary Calculations (hide)'!$D$15:$L$67,9,0))*IF(Summary!$C$8="Patients",'Summary Calculations (hide)'!$I$9,1)</f>
        <v>0</v>
      </c>
      <c r="AA39" s="67" t="e">
        <f ca="1">IF(Summary!$C$8="Patients", 'Parameters calculator (hide)'!$H$63,'Parameters calculator (hide)'!$H$62)</f>
        <v>#VALUE!</v>
      </c>
      <c r="AB39" s="67" t="e">
        <f ca="1">IF(Summary!$C$8="Patients", 'Parameters calculator (hide)'!$I$63,'Parameters calculator (hide)'!$I$62)</f>
        <v>#VALUE!</v>
      </c>
      <c r="AC39" s="67" t="e">
        <f t="shared" ca="1" si="2"/>
        <v>#VALUE!</v>
      </c>
    </row>
    <row r="40" spans="1:29" x14ac:dyDescent="0.2">
      <c r="H40" s="297">
        <f ca="1">'Summary Calculations (hide)'!A42</f>
        <v>44606</v>
      </c>
      <c r="I40" t="str">
        <f ca="1">'Summary Calculations (hide)'!B42</f>
        <v/>
      </c>
      <c r="J40" t="str">
        <f ca="1">'Summary Calculations (hide)'!C42</f>
        <v/>
      </c>
      <c r="K40">
        <f ca="1">'Summary Calculations (hide)'!D42</f>
        <v>7</v>
      </c>
      <c r="L40" s="67" t="e">
        <f ca="1">VLOOKUP($K40,'SPC background (hide)'!$AG$2:$AS$54,3,0)</f>
        <v>#N/A</v>
      </c>
      <c r="M40" s="67" t="e">
        <f t="shared" ca="1" si="0"/>
        <v>#N/A</v>
      </c>
      <c r="N40" s="67" t="e">
        <f t="shared" ca="1" si="1"/>
        <v>#N/A</v>
      </c>
      <c r="O40" s="67"/>
      <c r="P40" s="67"/>
      <c r="Q40" s="67"/>
      <c r="R40" s="5">
        <f ca="1">(VLOOKUP(K40,'Summary Calculations (hide)'!$D$15:$L$67,8,0)+VLOOKUP(K40,'Summary Calculations (hide)'!$D$15:$L$67,9,0))*IF(Summary!$C$8="Patients",'Summary Calculations (hide)'!$I$9,1)</f>
        <v>0</v>
      </c>
      <c r="AA40" s="67" t="e">
        <f ca="1">IF(Summary!$C$8="Patients", 'Parameters calculator (hide)'!$H$63,'Parameters calculator (hide)'!$H$62)</f>
        <v>#VALUE!</v>
      </c>
      <c r="AB40" s="67" t="e">
        <f ca="1">IF(Summary!$C$8="Patients", 'Parameters calculator (hide)'!$I$63,'Parameters calculator (hide)'!$I$62)</f>
        <v>#VALUE!</v>
      </c>
      <c r="AC40" s="67" t="e">
        <f t="shared" ca="1" si="2"/>
        <v>#VALUE!</v>
      </c>
    </row>
    <row r="41" spans="1:29" x14ac:dyDescent="0.2">
      <c r="H41" s="297">
        <f ca="1">'Summary Calculations (hide)'!A43</f>
        <v>44613</v>
      </c>
      <c r="I41" t="str">
        <f ca="1">'Summary Calculations (hide)'!B43</f>
        <v/>
      </c>
      <c r="J41" t="str">
        <f ca="1">'Summary Calculations (hide)'!C43</f>
        <v/>
      </c>
      <c r="K41">
        <f ca="1">'Summary Calculations (hide)'!D43</f>
        <v>8</v>
      </c>
      <c r="L41" s="67" t="e">
        <f ca="1">VLOOKUP($K41,'SPC background (hide)'!$AG$2:$AS$54,3,0)</f>
        <v>#N/A</v>
      </c>
      <c r="M41" s="67" t="e">
        <f t="shared" ca="1" si="0"/>
        <v>#N/A</v>
      </c>
      <c r="N41" s="67" t="e">
        <f t="shared" ca="1" si="1"/>
        <v>#N/A</v>
      </c>
      <c r="O41" s="67"/>
      <c r="P41" s="67"/>
      <c r="Q41" s="67"/>
      <c r="R41" s="5">
        <f ca="1">(VLOOKUP(K41,'Summary Calculations (hide)'!$D$15:$L$67,8,0)+VLOOKUP(K41,'Summary Calculations (hide)'!$D$15:$L$67,9,0))*IF(Summary!$C$8="Patients",'Summary Calculations (hide)'!$I$9,1)</f>
        <v>0</v>
      </c>
      <c r="AA41" s="67" t="e">
        <f ca="1">IF(Summary!$C$8="Patients", 'Parameters calculator (hide)'!$H$63,'Parameters calculator (hide)'!$H$62)</f>
        <v>#VALUE!</v>
      </c>
      <c r="AB41" s="67" t="e">
        <f ca="1">IF(Summary!$C$8="Patients", 'Parameters calculator (hide)'!$I$63,'Parameters calculator (hide)'!$I$62)</f>
        <v>#VALUE!</v>
      </c>
      <c r="AC41" s="67" t="e">
        <f t="shared" ca="1" si="2"/>
        <v>#VALUE!</v>
      </c>
    </row>
    <row r="42" spans="1:29" x14ac:dyDescent="0.2">
      <c r="H42" s="297">
        <f ca="1">'Summary Calculations (hide)'!A44</f>
        <v>44620</v>
      </c>
      <c r="I42" t="str">
        <f ca="1">'Summary Calculations (hide)'!B44</f>
        <v/>
      </c>
      <c r="J42" t="str">
        <f ca="1">'Summary Calculations (hide)'!C44</f>
        <v/>
      </c>
      <c r="K42">
        <f ca="1">'Summary Calculations (hide)'!D44</f>
        <v>9</v>
      </c>
      <c r="L42" s="67" t="e">
        <f ca="1">VLOOKUP($K42,'SPC background (hide)'!$AG$2:$AS$54,3,0)</f>
        <v>#N/A</v>
      </c>
      <c r="M42" s="67" t="e">
        <f t="shared" ca="1" si="0"/>
        <v>#N/A</v>
      </c>
      <c r="N42" s="67" t="e">
        <f t="shared" ca="1" si="1"/>
        <v>#N/A</v>
      </c>
      <c r="O42" s="67"/>
      <c r="P42" s="67"/>
      <c r="Q42" s="67"/>
      <c r="R42" s="5">
        <f ca="1">(VLOOKUP(K42,'Summary Calculations (hide)'!$D$15:$L$67,8,0)+VLOOKUP(K42,'Summary Calculations (hide)'!$D$15:$L$67,9,0))*IF(Summary!$C$8="Patients",'Summary Calculations (hide)'!$I$9,1)</f>
        <v>0</v>
      </c>
      <c r="AA42" s="67" t="e">
        <f ca="1">IF(Summary!$C$8="Patients", 'Parameters calculator (hide)'!$H$63,'Parameters calculator (hide)'!$H$62)</f>
        <v>#VALUE!</v>
      </c>
      <c r="AB42" s="67" t="e">
        <f ca="1">IF(Summary!$C$8="Patients", 'Parameters calculator (hide)'!$I$63,'Parameters calculator (hide)'!$I$62)</f>
        <v>#VALUE!</v>
      </c>
      <c r="AC42" s="67" t="e">
        <f t="shared" ca="1" si="2"/>
        <v>#VALUE!</v>
      </c>
    </row>
    <row r="43" spans="1:29" x14ac:dyDescent="0.2">
      <c r="H43" s="297">
        <f ca="1">'Summary Calculations (hide)'!A45</f>
        <v>44627</v>
      </c>
      <c r="I43" t="str">
        <f ca="1">'Summary Calculations (hide)'!B45</f>
        <v/>
      </c>
      <c r="J43" t="str">
        <f ca="1">'Summary Calculations (hide)'!C45</f>
        <v>Mar</v>
      </c>
      <c r="K43">
        <f ca="1">'Summary Calculations (hide)'!D45</f>
        <v>10</v>
      </c>
      <c r="L43" s="67" t="e">
        <f ca="1">VLOOKUP($K43,'SPC background (hide)'!$AG$2:$AS$54,3,0)</f>
        <v>#N/A</v>
      </c>
      <c r="M43" s="67" t="e">
        <f t="shared" ca="1" si="0"/>
        <v>#N/A</v>
      </c>
      <c r="N43" s="67" t="e">
        <f t="shared" ca="1" si="1"/>
        <v>#N/A</v>
      </c>
      <c r="O43" s="67"/>
      <c r="P43" s="67"/>
      <c r="Q43" s="67"/>
      <c r="R43" s="5">
        <f ca="1">(VLOOKUP(K43,'Summary Calculations (hide)'!$D$15:$L$67,8,0)+VLOOKUP(K43,'Summary Calculations (hide)'!$D$15:$L$67,9,0))*IF(Summary!$C$8="Patients",'Summary Calculations (hide)'!$I$9,1)</f>
        <v>0</v>
      </c>
      <c r="AA43" s="67" t="e">
        <f ca="1">IF(Summary!$C$8="Patients", 'Parameters calculator (hide)'!$H$63,'Parameters calculator (hide)'!$H$62)</f>
        <v>#VALUE!</v>
      </c>
      <c r="AB43" s="67" t="e">
        <f ca="1">IF(Summary!$C$8="Patients", 'Parameters calculator (hide)'!$I$63,'Parameters calculator (hide)'!$I$62)</f>
        <v>#VALUE!</v>
      </c>
      <c r="AC43" s="67" t="e">
        <f t="shared" ca="1" si="2"/>
        <v>#VALUE!</v>
      </c>
    </row>
    <row r="44" spans="1:29" x14ac:dyDescent="0.2">
      <c r="H44" s="297">
        <f ca="1">'Summary Calculations (hide)'!A46</f>
        <v>44634</v>
      </c>
      <c r="I44" t="str">
        <f ca="1">'Summary Calculations (hide)'!B46</f>
        <v/>
      </c>
      <c r="J44" t="str">
        <f ca="1">'Summary Calculations (hide)'!C46</f>
        <v/>
      </c>
      <c r="K44">
        <f ca="1">'Summary Calculations (hide)'!D46</f>
        <v>11</v>
      </c>
      <c r="L44" s="67" t="e">
        <f ca="1">VLOOKUP($K44,'SPC background (hide)'!$AG$2:$AS$54,3,0)</f>
        <v>#N/A</v>
      </c>
      <c r="M44" s="67" t="e">
        <f t="shared" ca="1" si="0"/>
        <v>#N/A</v>
      </c>
      <c r="N44" s="67" t="e">
        <f t="shared" ca="1" si="1"/>
        <v>#N/A</v>
      </c>
      <c r="O44" s="67"/>
      <c r="P44" s="67"/>
      <c r="Q44" s="67"/>
      <c r="R44" s="5">
        <f ca="1">(VLOOKUP(K44,'Summary Calculations (hide)'!$D$15:$L$67,8,0)+VLOOKUP(K44,'Summary Calculations (hide)'!$D$15:$L$67,9,0))*IF(Summary!$C$8="Patients",'Summary Calculations (hide)'!$I$9,1)</f>
        <v>0</v>
      </c>
      <c r="AA44" s="67" t="e">
        <f ca="1">IF(Summary!$C$8="Patients", 'Parameters calculator (hide)'!$H$63,'Parameters calculator (hide)'!$H$62)</f>
        <v>#VALUE!</v>
      </c>
      <c r="AB44" s="67" t="e">
        <f ca="1">IF(Summary!$C$8="Patients", 'Parameters calculator (hide)'!$I$63,'Parameters calculator (hide)'!$I$62)</f>
        <v>#VALUE!</v>
      </c>
      <c r="AC44" s="67" t="e">
        <f t="shared" ca="1" si="2"/>
        <v>#VALUE!</v>
      </c>
    </row>
    <row r="45" spans="1:29" x14ac:dyDescent="0.2">
      <c r="H45" s="297">
        <f ca="1">'Summary Calculations (hide)'!A47</f>
        <v>44641</v>
      </c>
      <c r="I45" t="str">
        <f ca="1">'Summary Calculations (hide)'!B47</f>
        <v/>
      </c>
      <c r="J45" t="str">
        <f ca="1">'Summary Calculations (hide)'!C47</f>
        <v/>
      </c>
      <c r="K45">
        <f ca="1">'Summary Calculations (hide)'!D47</f>
        <v>12</v>
      </c>
      <c r="L45" s="67" t="e">
        <f ca="1">VLOOKUP($K45,'SPC background (hide)'!$AG$2:$AS$54,3,0)</f>
        <v>#N/A</v>
      </c>
      <c r="M45" s="67" t="e">
        <f t="shared" ca="1" si="0"/>
        <v>#N/A</v>
      </c>
      <c r="N45" s="67" t="e">
        <f t="shared" ca="1" si="1"/>
        <v>#N/A</v>
      </c>
      <c r="O45" s="67"/>
      <c r="P45" s="67"/>
      <c r="Q45" s="67"/>
      <c r="R45" s="5">
        <f ca="1">(VLOOKUP(K45,'Summary Calculations (hide)'!$D$15:$L$67,8,0)+VLOOKUP(K45,'Summary Calculations (hide)'!$D$15:$L$67,9,0))*IF(Summary!$C$8="Patients",'Summary Calculations (hide)'!$I$9,1)</f>
        <v>0</v>
      </c>
      <c r="AA45" s="67" t="e">
        <f ca="1">IF(Summary!$C$8="Patients", 'Parameters calculator (hide)'!$H$63,'Parameters calculator (hide)'!$H$62)</f>
        <v>#VALUE!</v>
      </c>
      <c r="AB45" s="67" t="e">
        <f ca="1">IF(Summary!$C$8="Patients", 'Parameters calculator (hide)'!$I$63,'Parameters calculator (hide)'!$I$62)</f>
        <v>#VALUE!</v>
      </c>
      <c r="AC45" s="67" t="e">
        <f t="shared" ca="1" si="2"/>
        <v>#VALUE!</v>
      </c>
    </row>
    <row r="46" spans="1:29" x14ac:dyDescent="0.2">
      <c r="H46" s="297">
        <f ca="1">'Summary Calculations (hide)'!A48</f>
        <v>44648</v>
      </c>
      <c r="I46" t="str">
        <f ca="1">'Summary Calculations (hide)'!B48</f>
        <v/>
      </c>
      <c r="J46" t="str">
        <f ca="1">'Summary Calculations (hide)'!C48</f>
        <v/>
      </c>
      <c r="K46">
        <f ca="1">'Summary Calculations (hide)'!D48</f>
        <v>13</v>
      </c>
      <c r="L46" s="67" t="e">
        <f ca="1">VLOOKUP($K46,'SPC background (hide)'!$AG$2:$AS$54,3,0)</f>
        <v>#N/A</v>
      </c>
      <c r="M46" s="67" t="e">
        <f t="shared" ca="1" si="0"/>
        <v>#N/A</v>
      </c>
      <c r="N46" s="67" t="e">
        <f t="shared" ca="1" si="1"/>
        <v>#N/A</v>
      </c>
      <c r="O46" s="67"/>
      <c r="P46" s="67"/>
      <c r="Q46" s="67"/>
      <c r="R46" s="5">
        <f ca="1">(VLOOKUP(K46,'Summary Calculations (hide)'!$D$15:$L$67,8,0)+VLOOKUP(K46,'Summary Calculations (hide)'!$D$15:$L$67,9,0))*IF(Summary!$C$8="Patients",'Summary Calculations (hide)'!$I$9,1)</f>
        <v>0</v>
      </c>
      <c r="AA46" s="67" t="e">
        <f ca="1">IF(Summary!$C$8="Patients", 'Parameters calculator (hide)'!$H$63,'Parameters calculator (hide)'!$H$62)</f>
        <v>#VALUE!</v>
      </c>
      <c r="AB46" s="67" t="e">
        <f ca="1">IF(Summary!$C$8="Patients", 'Parameters calculator (hide)'!$I$63,'Parameters calculator (hide)'!$I$62)</f>
        <v>#VALUE!</v>
      </c>
      <c r="AC46" s="67" t="e">
        <f t="shared" ca="1" si="2"/>
        <v>#VALUE!</v>
      </c>
    </row>
    <row r="47" spans="1:29" x14ac:dyDescent="0.2">
      <c r="H47" s="297">
        <f ca="1">'Summary Calculations (hide)'!A49</f>
        <v>44655</v>
      </c>
      <c r="I47" t="str">
        <f ca="1">'Summary Calculations (hide)'!B49</f>
        <v/>
      </c>
      <c r="J47" t="str">
        <f ca="1">'Summary Calculations (hide)'!C49</f>
        <v>Apr</v>
      </c>
      <c r="K47">
        <f ca="1">'Summary Calculations (hide)'!D49</f>
        <v>14</v>
      </c>
      <c r="L47" s="67" t="e">
        <f ca="1">VLOOKUP($K47,'SPC background (hide)'!$AG$2:$AS$54,3,0)</f>
        <v>#N/A</v>
      </c>
      <c r="M47" s="67" t="e">
        <f t="shared" ca="1" si="0"/>
        <v>#N/A</v>
      </c>
      <c r="N47" s="67" t="e">
        <f t="shared" ca="1" si="1"/>
        <v>#N/A</v>
      </c>
      <c r="O47" s="67"/>
      <c r="P47" s="67"/>
      <c r="Q47" s="67"/>
      <c r="R47" s="5">
        <f ca="1">(VLOOKUP(K47,'Summary Calculations (hide)'!$D$15:$L$67,8,0)+VLOOKUP(K47,'Summary Calculations (hide)'!$D$15:$L$67,9,0))*IF(Summary!$C$8="Patients",'Summary Calculations (hide)'!$I$9,1)</f>
        <v>0</v>
      </c>
      <c r="AA47" s="67" t="e">
        <f ca="1">IF(Summary!$C$8="Patients", 'Parameters calculator (hide)'!$H$63,'Parameters calculator (hide)'!$H$62)</f>
        <v>#VALUE!</v>
      </c>
      <c r="AB47" s="67" t="e">
        <f ca="1">IF(Summary!$C$8="Patients", 'Parameters calculator (hide)'!$I$63,'Parameters calculator (hide)'!$I$62)</f>
        <v>#VALUE!</v>
      </c>
      <c r="AC47" s="67" t="e">
        <f t="shared" ca="1" si="2"/>
        <v>#VALUE!</v>
      </c>
    </row>
    <row r="48" spans="1:29" x14ac:dyDescent="0.2">
      <c r="H48" s="297">
        <f ca="1">'Summary Calculations (hide)'!A50</f>
        <v>44662</v>
      </c>
      <c r="I48" t="str">
        <f ca="1">'Summary Calculations (hide)'!B50</f>
        <v/>
      </c>
      <c r="J48" t="str">
        <f ca="1">'Summary Calculations (hide)'!C50</f>
        <v/>
      </c>
      <c r="K48">
        <f ca="1">'Summary Calculations (hide)'!D50</f>
        <v>15</v>
      </c>
      <c r="L48" s="67" t="e">
        <f ca="1">VLOOKUP($K48,'SPC background (hide)'!$AG$2:$AS$54,3,0)</f>
        <v>#N/A</v>
      </c>
      <c r="M48" s="67" t="e">
        <f t="shared" ca="1" si="0"/>
        <v>#N/A</v>
      </c>
      <c r="N48" s="67" t="e">
        <f t="shared" ca="1" si="1"/>
        <v>#N/A</v>
      </c>
      <c r="O48" s="67"/>
      <c r="P48" s="67"/>
      <c r="Q48" s="67"/>
      <c r="R48" s="5">
        <f ca="1">(VLOOKUP(K48,'Summary Calculations (hide)'!$D$15:$L$67,8,0)+VLOOKUP(K48,'Summary Calculations (hide)'!$D$15:$L$67,9,0))*IF(Summary!$C$8="Patients",'Summary Calculations (hide)'!$I$9,1)</f>
        <v>0</v>
      </c>
      <c r="AA48" s="67" t="e">
        <f ca="1">IF(Summary!$C$8="Patients", 'Parameters calculator (hide)'!$H$63,'Parameters calculator (hide)'!$H$62)</f>
        <v>#VALUE!</v>
      </c>
      <c r="AB48" s="67" t="e">
        <f ca="1">IF(Summary!$C$8="Patients", 'Parameters calculator (hide)'!$I$63,'Parameters calculator (hide)'!$I$62)</f>
        <v>#VALUE!</v>
      </c>
      <c r="AC48" s="67" t="e">
        <f t="shared" ca="1" si="2"/>
        <v>#VALUE!</v>
      </c>
    </row>
    <row r="49" spans="8:29" x14ac:dyDescent="0.2">
      <c r="H49" s="297">
        <f ca="1">'Summary Calculations (hide)'!A51</f>
        <v>44669</v>
      </c>
      <c r="I49" t="str">
        <f ca="1">'Summary Calculations (hide)'!B51</f>
        <v/>
      </c>
      <c r="J49" t="str">
        <f ca="1">'Summary Calculations (hide)'!C51</f>
        <v/>
      </c>
      <c r="K49">
        <f ca="1">'Summary Calculations (hide)'!D51</f>
        <v>16</v>
      </c>
      <c r="L49" s="67" t="e">
        <f ca="1">VLOOKUP($K49,'SPC background (hide)'!$AG$2:$AS$54,3,0)</f>
        <v>#N/A</v>
      </c>
      <c r="M49" s="67" t="e">
        <f t="shared" ca="1" si="0"/>
        <v>#N/A</v>
      </c>
      <c r="N49" s="67" t="e">
        <f t="shared" ca="1" si="1"/>
        <v>#N/A</v>
      </c>
      <c r="O49" s="67"/>
      <c r="P49" s="67"/>
      <c r="Q49" s="67"/>
      <c r="R49" s="5">
        <f ca="1">(VLOOKUP(K49,'Summary Calculations (hide)'!$D$15:$L$67,8,0)+VLOOKUP(K49,'Summary Calculations (hide)'!$D$15:$L$67,9,0))*IF(Summary!$C$8="Patients",'Summary Calculations (hide)'!$I$9,1)</f>
        <v>0</v>
      </c>
      <c r="AA49" s="67" t="e">
        <f ca="1">IF(Summary!$C$8="Patients", 'Parameters calculator (hide)'!$H$63,'Parameters calculator (hide)'!$H$62)</f>
        <v>#VALUE!</v>
      </c>
      <c r="AB49" s="67" t="e">
        <f ca="1">IF(Summary!$C$8="Patients", 'Parameters calculator (hide)'!$I$63,'Parameters calculator (hide)'!$I$62)</f>
        <v>#VALUE!</v>
      </c>
      <c r="AC49" s="67" t="e">
        <f t="shared" ca="1" si="2"/>
        <v>#VALUE!</v>
      </c>
    </row>
    <row r="50" spans="8:29" x14ac:dyDescent="0.2">
      <c r="H50" s="297">
        <f ca="1">'Summary Calculations (hide)'!A52</f>
        <v>44676</v>
      </c>
      <c r="I50" t="str">
        <f ca="1">'Summary Calculations (hide)'!B52</f>
        <v/>
      </c>
      <c r="J50" t="str">
        <f ca="1">'Summary Calculations (hide)'!C52</f>
        <v/>
      </c>
      <c r="K50">
        <f ca="1">'Summary Calculations (hide)'!D52</f>
        <v>17</v>
      </c>
      <c r="L50" s="67" t="e">
        <f ca="1">VLOOKUP($K50,'SPC background (hide)'!$AG$2:$AS$54,3,0)</f>
        <v>#N/A</v>
      </c>
      <c r="M50" s="67" t="e">
        <f t="shared" ca="1" si="0"/>
        <v>#N/A</v>
      </c>
      <c r="N50" s="67" t="e">
        <f t="shared" ca="1" si="1"/>
        <v>#N/A</v>
      </c>
      <c r="O50" s="67"/>
      <c r="P50" s="67"/>
      <c r="Q50" s="67"/>
      <c r="R50" s="5">
        <f ca="1">(VLOOKUP(K50,'Summary Calculations (hide)'!$D$15:$L$67,8,0)+VLOOKUP(K50,'Summary Calculations (hide)'!$D$15:$L$67,9,0))*IF(Summary!$C$8="Patients",'Summary Calculations (hide)'!$I$9,1)</f>
        <v>0</v>
      </c>
      <c r="AA50" s="67" t="e">
        <f ca="1">IF(Summary!$C$8="Patients", 'Parameters calculator (hide)'!$H$63,'Parameters calculator (hide)'!$H$62)</f>
        <v>#VALUE!</v>
      </c>
      <c r="AB50" s="67" t="e">
        <f ca="1">IF(Summary!$C$8="Patients", 'Parameters calculator (hide)'!$I$63,'Parameters calculator (hide)'!$I$62)</f>
        <v>#VALUE!</v>
      </c>
      <c r="AC50" s="67" t="e">
        <f t="shared" ca="1" si="2"/>
        <v>#VALUE!</v>
      </c>
    </row>
    <row r="51" spans="8:29" x14ac:dyDescent="0.2">
      <c r="H51" s="297">
        <f ca="1">'Summary Calculations (hide)'!A53</f>
        <v>44683</v>
      </c>
      <c r="I51" t="str">
        <f ca="1">'Summary Calculations (hide)'!B53</f>
        <v/>
      </c>
      <c r="J51" t="str">
        <f ca="1">'Summary Calculations (hide)'!C53</f>
        <v>May</v>
      </c>
      <c r="K51">
        <f ca="1">'Summary Calculations (hide)'!D53</f>
        <v>18</v>
      </c>
      <c r="L51" s="67" t="e">
        <f ca="1">VLOOKUP($K51,'SPC background (hide)'!$AG$2:$AS$54,3,0)</f>
        <v>#N/A</v>
      </c>
      <c r="M51" s="67" t="e">
        <f t="shared" ca="1" si="0"/>
        <v>#N/A</v>
      </c>
      <c r="N51" s="67" t="e">
        <f t="shared" ca="1" si="1"/>
        <v>#N/A</v>
      </c>
      <c r="O51" s="67"/>
      <c r="P51" s="67"/>
      <c r="Q51" s="67"/>
      <c r="R51" s="5">
        <f ca="1">(VLOOKUP(K51,'Summary Calculations (hide)'!$D$15:$L$67,8,0)+VLOOKUP(K51,'Summary Calculations (hide)'!$D$15:$L$67,9,0))*IF(Summary!$C$8="Patients",'Summary Calculations (hide)'!$I$9,1)</f>
        <v>0</v>
      </c>
      <c r="AA51" s="67" t="e">
        <f ca="1">IF(Summary!$C$8="Patients", 'Parameters calculator (hide)'!$H$63,'Parameters calculator (hide)'!$H$62)</f>
        <v>#VALUE!</v>
      </c>
      <c r="AB51" s="67" t="e">
        <f ca="1">IF(Summary!$C$8="Patients", 'Parameters calculator (hide)'!$I$63,'Parameters calculator (hide)'!$I$62)</f>
        <v>#VALUE!</v>
      </c>
      <c r="AC51" s="67" t="e">
        <f t="shared" ca="1" si="2"/>
        <v>#VALUE!</v>
      </c>
    </row>
    <row r="52" spans="8:29" x14ac:dyDescent="0.2">
      <c r="H52" s="297">
        <f ca="1">'Summary Calculations (hide)'!A54</f>
        <v>44690</v>
      </c>
      <c r="I52" t="str">
        <f ca="1">'Summary Calculations (hide)'!B54</f>
        <v/>
      </c>
      <c r="J52" t="str">
        <f ca="1">'Summary Calculations (hide)'!C54</f>
        <v/>
      </c>
      <c r="K52">
        <f ca="1">'Summary Calculations (hide)'!D54</f>
        <v>19</v>
      </c>
      <c r="L52" s="67" t="e">
        <f ca="1">VLOOKUP($K52,'SPC background (hide)'!$AG$2:$AS$54,3,0)</f>
        <v>#N/A</v>
      </c>
      <c r="M52" s="67" t="e">
        <f t="shared" ca="1" si="0"/>
        <v>#N/A</v>
      </c>
      <c r="N52" s="67" t="e">
        <f t="shared" ca="1" si="1"/>
        <v>#N/A</v>
      </c>
      <c r="O52" s="67"/>
      <c r="P52" s="67"/>
      <c r="Q52" s="67"/>
      <c r="R52" s="5">
        <f ca="1">(VLOOKUP(K52,'Summary Calculations (hide)'!$D$15:$L$67,8,0)+VLOOKUP(K52,'Summary Calculations (hide)'!$D$15:$L$67,9,0))*IF(Summary!$C$8="Patients",'Summary Calculations (hide)'!$I$9,1)</f>
        <v>0</v>
      </c>
      <c r="AA52" s="67" t="e">
        <f ca="1">IF(Summary!$C$8="Patients", 'Parameters calculator (hide)'!$H$63,'Parameters calculator (hide)'!$H$62)</f>
        <v>#VALUE!</v>
      </c>
      <c r="AB52" s="67" t="e">
        <f ca="1">IF(Summary!$C$8="Patients", 'Parameters calculator (hide)'!$I$63,'Parameters calculator (hide)'!$I$62)</f>
        <v>#VALUE!</v>
      </c>
      <c r="AC52" s="67" t="e">
        <f t="shared" ca="1" si="2"/>
        <v>#VALUE!</v>
      </c>
    </row>
    <row r="53" spans="8:29" x14ac:dyDescent="0.2">
      <c r="H53" s="297">
        <f ca="1">'Summary Calculations (hide)'!A55</f>
        <v>44697</v>
      </c>
      <c r="I53" t="str">
        <f ca="1">'Summary Calculations (hide)'!B55</f>
        <v/>
      </c>
      <c r="J53" t="str">
        <f ca="1">'Summary Calculations (hide)'!C55</f>
        <v/>
      </c>
      <c r="K53">
        <f ca="1">'Summary Calculations (hide)'!D55</f>
        <v>20</v>
      </c>
      <c r="L53" s="67" t="e">
        <f ca="1">VLOOKUP($K53,'SPC background (hide)'!$AG$2:$AS$54,3,0)</f>
        <v>#N/A</v>
      </c>
      <c r="M53" s="67" t="e">
        <f t="shared" ca="1" si="0"/>
        <v>#N/A</v>
      </c>
      <c r="N53" s="67" t="e">
        <f t="shared" ca="1" si="1"/>
        <v>#N/A</v>
      </c>
      <c r="O53" s="67"/>
      <c r="P53" s="67"/>
      <c r="Q53" s="67"/>
      <c r="R53" s="5">
        <f ca="1">(VLOOKUP(K53,'Summary Calculations (hide)'!$D$15:$L$67,8,0)+VLOOKUP(K53,'Summary Calculations (hide)'!$D$15:$L$67,9,0))*IF(Summary!$C$8="Patients",'Summary Calculations (hide)'!$I$9,1)</f>
        <v>0</v>
      </c>
      <c r="AA53" s="67" t="e">
        <f ca="1">IF(Summary!$C$8="Patients", 'Parameters calculator (hide)'!$H$63,'Parameters calculator (hide)'!$H$62)</f>
        <v>#VALUE!</v>
      </c>
      <c r="AB53" s="67" t="e">
        <f ca="1">IF(Summary!$C$8="Patients", 'Parameters calculator (hide)'!$I$63,'Parameters calculator (hide)'!$I$62)</f>
        <v>#VALUE!</v>
      </c>
      <c r="AC53" s="67" t="e">
        <f t="shared" ca="1" si="2"/>
        <v>#VALUE!</v>
      </c>
    </row>
    <row r="54" spans="8:29" x14ac:dyDescent="0.2">
      <c r="H54" s="297">
        <f ca="1">'Summary Calculations (hide)'!A56</f>
        <v>44704</v>
      </c>
      <c r="I54" t="str">
        <f ca="1">'Summary Calculations (hide)'!B56</f>
        <v/>
      </c>
      <c r="J54" t="str">
        <f ca="1">'Summary Calculations (hide)'!C56</f>
        <v/>
      </c>
      <c r="K54">
        <f ca="1">'Summary Calculations (hide)'!D56</f>
        <v>21</v>
      </c>
      <c r="L54" s="67" t="e">
        <f ca="1">VLOOKUP($K54,'SPC background (hide)'!$AG$2:$AS$54,3,0)</f>
        <v>#N/A</v>
      </c>
      <c r="M54" s="67" t="e">
        <f t="shared" ca="1" si="0"/>
        <v>#N/A</v>
      </c>
      <c r="N54" s="67" t="e">
        <f t="shared" ca="1" si="1"/>
        <v>#N/A</v>
      </c>
      <c r="O54" s="67"/>
      <c r="P54" s="67"/>
      <c r="Q54" s="67"/>
      <c r="R54" s="5">
        <f ca="1">(VLOOKUP(K54,'Summary Calculations (hide)'!$D$15:$L$67,8,0)+VLOOKUP(K54,'Summary Calculations (hide)'!$D$15:$L$67,9,0))*IF(Summary!$C$8="Patients",'Summary Calculations (hide)'!$I$9,1)</f>
        <v>0</v>
      </c>
      <c r="AA54" s="67" t="e">
        <f ca="1">IF(Summary!$C$8="Patients", 'Parameters calculator (hide)'!$H$63,'Parameters calculator (hide)'!$H$62)</f>
        <v>#VALUE!</v>
      </c>
      <c r="AB54" s="67" t="e">
        <f ca="1">IF(Summary!$C$8="Patients", 'Parameters calculator (hide)'!$I$63,'Parameters calculator (hide)'!$I$62)</f>
        <v>#VALUE!</v>
      </c>
      <c r="AC54" s="67" t="e">
        <f t="shared" ca="1" si="2"/>
        <v>#VALUE!</v>
      </c>
    </row>
    <row r="55" spans="8:29" x14ac:dyDescent="0.2">
      <c r="H55" s="297">
        <f ca="1">'Summary Calculations (hide)'!A57</f>
        <v>44711</v>
      </c>
      <c r="I55" t="str">
        <f ca="1">'Summary Calculations (hide)'!B57</f>
        <v/>
      </c>
      <c r="J55" t="str">
        <f ca="1">'Summary Calculations (hide)'!C57</f>
        <v/>
      </c>
      <c r="K55">
        <f ca="1">'Summary Calculations (hide)'!D57</f>
        <v>22</v>
      </c>
      <c r="L55" s="67" t="e">
        <f ca="1">VLOOKUP($K55,'SPC background (hide)'!$AG$2:$AS$54,3,0)</f>
        <v>#N/A</v>
      </c>
      <c r="M55" s="67" t="e">
        <f t="shared" ca="1" si="0"/>
        <v>#N/A</v>
      </c>
      <c r="N55" s="67" t="e">
        <f t="shared" ca="1" si="1"/>
        <v>#N/A</v>
      </c>
      <c r="O55" s="67"/>
      <c r="P55" s="67"/>
      <c r="Q55" s="67"/>
      <c r="R55" s="5">
        <f ca="1">(VLOOKUP(K55,'Summary Calculations (hide)'!$D$15:$L$67,8,0)+VLOOKUP(K55,'Summary Calculations (hide)'!$D$15:$L$67,9,0))*IF(Summary!$C$8="Patients",'Summary Calculations (hide)'!$I$9,1)</f>
        <v>0</v>
      </c>
      <c r="AA55" s="67" t="e">
        <f ca="1">IF(Summary!$C$8="Patients", 'Parameters calculator (hide)'!$H$63,'Parameters calculator (hide)'!$H$62)</f>
        <v>#VALUE!</v>
      </c>
      <c r="AB55" s="67" t="e">
        <f ca="1">IF(Summary!$C$8="Patients", 'Parameters calculator (hide)'!$I$63,'Parameters calculator (hide)'!$I$62)</f>
        <v>#VALUE!</v>
      </c>
      <c r="AC55" s="67" t="e">
        <f t="shared" ca="1" si="2"/>
        <v>#VALUE!</v>
      </c>
    </row>
    <row r="56" spans="8:29" x14ac:dyDescent="0.2">
      <c r="H56" s="297">
        <f ca="1">'Summary Calculations (hide)'!A58</f>
        <v>44718</v>
      </c>
      <c r="I56" t="str">
        <f ca="1">'Summary Calculations (hide)'!B58</f>
        <v/>
      </c>
      <c r="J56" t="str">
        <f ca="1">'Summary Calculations (hide)'!C58</f>
        <v>Jun</v>
      </c>
      <c r="K56">
        <f ca="1">'Summary Calculations (hide)'!D58</f>
        <v>23</v>
      </c>
      <c r="L56" s="67" t="e">
        <f ca="1">VLOOKUP($K56,'SPC background (hide)'!$AG$2:$AS$54,3,0)</f>
        <v>#N/A</v>
      </c>
      <c r="M56" s="67" t="e">
        <f t="shared" ca="1" si="0"/>
        <v>#N/A</v>
      </c>
      <c r="N56" s="67" t="e">
        <f t="shared" ca="1" si="1"/>
        <v>#N/A</v>
      </c>
      <c r="O56" s="67"/>
      <c r="P56" s="67"/>
      <c r="Q56" s="67"/>
      <c r="R56" s="5">
        <f ca="1">(VLOOKUP(K56,'Summary Calculations (hide)'!$D$15:$L$67,8,0)+VLOOKUP(K56,'Summary Calculations (hide)'!$D$15:$L$67,9,0))*IF(Summary!$C$8="Patients",'Summary Calculations (hide)'!$I$9,1)</f>
        <v>0</v>
      </c>
      <c r="AA56" s="67" t="e">
        <f ca="1">IF(Summary!$C$8="Patients", 'Parameters calculator (hide)'!$H$63,'Parameters calculator (hide)'!$H$62)</f>
        <v>#VALUE!</v>
      </c>
      <c r="AB56" s="67" t="e">
        <f ca="1">IF(Summary!$C$8="Patients", 'Parameters calculator (hide)'!$I$63,'Parameters calculator (hide)'!$I$62)</f>
        <v>#VALUE!</v>
      </c>
      <c r="AC56" s="67" t="e">
        <f t="shared" ca="1" si="2"/>
        <v>#VALUE!</v>
      </c>
    </row>
    <row r="57" spans="8:29" x14ac:dyDescent="0.2">
      <c r="H57" s="297">
        <f ca="1">'Summary Calculations (hide)'!A59</f>
        <v>44725</v>
      </c>
      <c r="I57" t="str">
        <f ca="1">'Summary Calculations (hide)'!B59</f>
        <v/>
      </c>
      <c r="J57" t="str">
        <f ca="1">'Summary Calculations (hide)'!C59</f>
        <v/>
      </c>
      <c r="K57">
        <f ca="1">'Summary Calculations (hide)'!D59</f>
        <v>24</v>
      </c>
      <c r="L57" s="67" t="e">
        <f ca="1">VLOOKUP($K57,'SPC background (hide)'!$AG$2:$AS$54,3,0)</f>
        <v>#N/A</v>
      </c>
      <c r="M57" s="67" t="e">
        <f t="shared" ca="1" si="0"/>
        <v>#N/A</v>
      </c>
      <c r="N57" s="67" t="e">
        <f t="shared" ca="1" si="1"/>
        <v>#N/A</v>
      </c>
      <c r="O57" s="67"/>
      <c r="P57" s="67"/>
      <c r="Q57" s="67"/>
      <c r="R57" s="5">
        <f ca="1">(VLOOKUP(K57,'Summary Calculations (hide)'!$D$15:$L$67,8,0)+VLOOKUP(K57,'Summary Calculations (hide)'!$D$15:$L$67,9,0))*IF(Summary!$C$8="Patients",'Summary Calculations (hide)'!$I$9,1)</f>
        <v>0</v>
      </c>
      <c r="AA57" s="67" t="e">
        <f ca="1">IF(Summary!$C$8="Patients", 'Parameters calculator (hide)'!$H$63,'Parameters calculator (hide)'!$H$62)</f>
        <v>#VALUE!</v>
      </c>
      <c r="AB57" s="67" t="e">
        <f ca="1">IF(Summary!$C$8="Patients", 'Parameters calculator (hide)'!$I$63,'Parameters calculator (hide)'!$I$62)</f>
        <v>#VALUE!</v>
      </c>
      <c r="AC57" s="67" t="e">
        <f t="shared" ca="1" si="2"/>
        <v>#VALUE!</v>
      </c>
    </row>
    <row r="58" spans="8:29" x14ac:dyDescent="0.2">
      <c r="H58" s="297">
        <f ca="1">'Summary Calculations (hide)'!A60</f>
        <v>44732</v>
      </c>
      <c r="I58" t="str">
        <f ca="1">'Summary Calculations (hide)'!B60</f>
        <v/>
      </c>
      <c r="J58" t="str">
        <f ca="1">'Summary Calculations (hide)'!C60</f>
        <v/>
      </c>
      <c r="K58">
        <f ca="1">'Summary Calculations (hide)'!D60</f>
        <v>25</v>
      </c>
      <c r="L58" s="67" t="e">
        <f ca="1">VLOOKUP($K58,'SPC background (hide)'!$AG$2:$AS$54,3,0)</f>
        <v>#N/A</v>
      </c>
      <c r="M58" s="67" t="e">
        <f t="shared" ca="1" si="0"/>
        <v>#N/A</v>
      </c>
      <c r="N58" s="67" t="e">
        <f t="shared" ca="1" si="1"/>
        <v>#N/A</v>
      </c>
      <c r="O58" s="67"/>
      <c r="P58" s="67"/>
      <c r="Q58" s="67"/>
      <c r="R58" s="5">
        <f ca="1">(VLOOKUP(K58,'Summary Calculations (hide)'!$D$15:$L$67,8,0)+VLOOKUP(K58,'Summary Calculations (hide)'!$D$15:$L$67,9,0))*IF(Summary!$C$8="Patients",'Summary Calculations (hide)'!$I$9,1)</f>
        <v>0</v>
      </c>
      <c r="AA58" s="67" t="e">
        <f ca="1">IF(Summary!$C$8="Patients", 'Parameters calculator (hide)'!$H$63,'Parameters calculator (hide)'!$H$62)</f>
        <v>#VALUE!</v>
      </c>
      <c r="AB58" s="67" t="e">
        <f ca="1">IF(Summary!$C$8="Patients", 'Parameters calculator (hide)'!$I$63,'Parameters calculator (hide)'!$I$62)</f>
        <v>#VALUE!</v>
      </c>
      <c r="AC58" s="67" t="e">
        <f t="shared" ca="1" si="2"/>
        <v>#VALUE!</v>
      </c>
    </row>
    <row r="59" spans="8:29" x14ac:dyDescent="0.2">
      <c r="H59" s="297">
        <f ca="1">'Summary Calculations (hide)'!A61</f>
        <v>44739</v>
      </c>
      <c r="I59" t="str">
        <f ca="1">'Summary Calculations (hide)'!B61</f>
        <v/>
      </c>
      <c r="J59" t="str">
        <f ca="1">'Summary Calculations (hide)'!C61</f>
        <v/>
      </c>
      <c r="K59">
        <f ca="1">'Summary Calculations (hide)'!D61</f>
        <v>26</v>
      </c>
      <c r="L59" s="67" t="e">
        <f ca="1">VLOOKUP($K59,'SPC background (hide)'!$AG$2:$AS$54,3,0)</f>
        <v>#N/A</v>
      </c>
      <c r="M59" s="67" t="e">
        <f t="shared" ca="1" si="0"/>
        <v>#N/A</v>
      </c>
      <c r="N59" s="67" t="e">
        <f t="shared" ca="1" si="1"/>
        <v>#N/A</v>
      </c>
      <c r="O59" s="67"/>
      <c r="P59" s="67"/>
      <c r="Q59" s="67"/>
      <c r="R59" s="5">
        <f ca="1">(VLOOKUP(K59,'Summary Calculations (hide)'!$D$15:$L$67,8,0)+VLOOKUP(K59,'Summary Calculations (hide)'!$D$15:$L$67,9,0))*IF(Summary!$C$8="Patients",'Summary Calculations (hide)'!$I$9,1)</f>
        <v>0</v>
      </c>
      <c r="AA59" s="67" t="e">
        <f ca="1">IF(Summary!$C$8="Patients", 'Parameters calculator (hide)'!$H$63,'Parameters calculator (hide)'!$H$62)</f>
        <v>#VALUE!</v>
      </c>
      <c r="AB59" s="67" t="e">
        <f ca="1">IF(Summary!$C$8="Patients", 'Parameters calculator (hide)'!$I$63,'Parameters calculator (hide)'!$I$62)</f>
        <v>#VALUE!</v>
      </c>
      <c r="AC59" s="67" t="e">
        <f t="shared" ca="1" si="2"/>
        <v>#VALUE!</v>
      </c>
    </row>
    <row r="60" spans="8:29" x14ac:dyDescent="0.2">
      <c r="H60" s="297">
        <f ca="1">'Summary Calculations (hide)'!A62</f>
        <v>44746</v>
      </c>
      <c r="I60" t="str">
        <f ca="1">'Summary Calculations (hide)'!B62</f>
        <v/>
      </c>
      <c r="J60" t="str">
        <f ca="1">'Summary Calculations (hide)'!C62</f>
        <v>Jul</v>
      </c>
      <c r="K60">
        <f ca="1">'Summary Calculations (hide)'!D62</f>
        <v>27</v>
      </c>
      <c r="L60" s="67" t="e">
        <f ca="1">VLOOKUP($K60,'SPC background (hide)'!$AG$2:$AS$54,3,0)</f>
        <v>#N/A</v>
      </c>
      <c r="M60" s="67" t="e">
        <f t="shared" ca="1" si="0"/>
        <v>#N/A</v>
      </c>
      <c r="N60" s="67" t="e">
        <f t="shared" ca="1" si="1"/>
        <v>#N/A</v>
      </c>
      <c r="O60" s="67"/>
      <c r="P60" s="67"/>
      <c r="Q60" s="67"/>
      <c r="R60" s="5">
        <f ca="1">(VLOOKUP(K60,'Summary Calculations (hide)'!$D$15:$L$67,8,0)+VLOOKUP(K60,'Summary Calculations (hide)'!$D$15:$L$67,9,0))*IF(Summary!$C$8="Patients",'Summary Calculations (hide)'!$I$9,1)</f>
        <v>0</v>
      </c>
      <c r="AA60" s="67" t="e">
        <f ca="1">IF(Summary!$C$8="Patients", 'Parameters calculator (hide)'!$H$63,'Parameters calculator (hide)'!$H$62)</f>
        <v>#VALUE!</v>
      </c>
      <c r="AB60" s="67" t="e">
        <f ca="1">IF(Summary!$C$8="Patients", 'Parameters calculator (hide)'!$I$63,'Parameters calculator (hide)'!$I$62)</f>
        <v>#VALUE!</v>
      </c>
      <c r="AC60" s="67" t="e">
        <f t="shared" ca="1" si="2"/>
        <v>#VALUE!</v>
      </c>
    </row>
    <row r="61" spans="8:29" x14ac:dyDescent="0.2">
      <c r="H61" s="297">
        <f ca="1">'Summary Calculations (hide)'!A63</f>
        <v>44753</v>
      </c>
      <c r="I61" t="str">
        <f ca="1">'Summary Calculations (hide)'!B63</f>
        <v/>
      </c>
      <c r="J61" t="str">
        <f ca="1">'Summary Calculations (hide)'!C63</f>
        <v/>
      </c>
      <c r="K61">
        <f ca="1">'Summary Calculations (hide)'!D63</f>
        <v>28</v>
      </c>
      <c r="L61" s="67" t="e">
        <f ca="1">VLOOKUP($K61,'SPC background (hide)'!$AG$2:$AS$54,3,0)</f>
        <v>#N/A</v>
      </c>
      <c r="M61" s="67" t="e">
        <f t="shared" ca="1" si="0"/>
        <v>#N/A</v>
      </c>
      <c r="N61" s="67" t="e">
        <f t="shared" ca="1" si="1"/>
        <v>#N/A</v>
      </c>
      <c r="O61" s="67"/>
      <c r="P61" s="67"/>
      <c r="Q61" s="67"/>
      <c r="R61" s="5">
        <f ca="1">(VLOOKUP(K61,'Summary Calculations (hide)'!$D$15:$L$67,8,0)+VLOOKUP(K61,'Summary Calculations (hide)'!$D$15:$L$67,9,0))*IF(Summary!$C$8="Patients",'Summary Calculations (hide)'!$I$9,1)</f>
        <v>0</v>
      </c>
      <c r="AA61" s="67" t="e">
        <f ca="1">IF(Summary!$C$8="Patients", 'Parameters calculator (hide)'!$H$63,'Parameters calculator (hide)'!$H$62)</f>
        <v>#VALUE!</v>
      </c>
      <c r="AB61" s="67" t="e">
        <f ca="1">IF(Summary!$C$8="Patients", 'Parameters calculator (hide)'!$I$63,'Parameters calculator (hide)'!$I$62)</f>
        <v>#VALUE!</v>
      </c>
      <c r="AC61" s="67" t="e">
        <f t="shared" ca="1" si="2"/>
        <v>#VALUE!</v>
      </c>
    </row>
    <row r="62" spans="8:29" x14ac:dyDescent="0.2">
      <c r="H62" s="297">
        <f ca="1">'Summary Calculations (hide)'!A64</f>
        <v>44760</v>
      </c>
      <c r="I62" t="str">
        <f ca="1">'Summary Calculations (hide)'!B64</f>
        <v/>
      </c>
      <c r="J62" t="str">
        <f ca="1">'Summary Calculations (hide)'!C64</f>
        <v/>
      </c>
      <c r="K62">
        <f ca="1">'Summary Calculations (hide)'!D64</f>
        <v>29</v>
      </c>
      <c r="L62" s="67" t="e">
        <f ca="1">VLOOKUP($K62,'SPC background (hide)'!$AG$2:$AS$54,3,0)</f>
        <v>#N/A</v>
      </c>
      <c r="M62" s="67" t="e">
        <f t="shared" ca="1" si="0"/>
        <v>#N/A</v>
      </c>
      <c r="N62" s="67" t="e">
        <f t="shared" ca="1" si="1"/>
        <v>#N/A</v>
      </c>
      <c r="O62" s="67"/>
      <c r="P62" s="67"/>
      <c r="Q62" s="67"/>
      <c r="R62" s="5">
        <f ca="1">(VLOOKUP(K62,'Summary Calculations (hide)'!$D$15:$L$67,8,0)+VLOOKUP(K62,'Summary Calculations (hide)'!$D$15:$L$67,9,0))*IF(Summary!$C$8="Patients",'Summary Calculations (hide)'!$I$9,1)</f>
        <v>0</v>
      </c>
      <c r="AA62" s="67" t="e">
        <f ca="1">IF(Summary!$C$8="Patients", 'Parameters calculator (hide)'!$H$63,'Parameters calculator (hide)'!$H$62)</f>
        <v>#VALUE!</v>
      </c>
      <c r="AB62" s="67" t="e">
        <f ca="1">IF(Summary!$C$8="Patients", 'Parameters calculator (hide)'!$I$63,'Parameters calculator (hide)'!$I$62)</f>
        <v>#VALUE!</v>
      </c>
      <c r="AC62" s="67" t="e">
        <f t="shared" ca="1" si="2"/>
        <v>#VALUE!</v>
      </c>
    </row>
    <row r="63" spans="8:29" x14ac:dyDescent="0.2">
      <c r="H63" s="297">
        <f ca="1">'Summary Calculations (hide)'!A65</f>
        <v>44767</v>
      </c>
      <c r="I63" t="str">
        <f ca="1">'Summary Calculations (hide)'!B65</f>
        <v/>
      </c>
      <c r="J63" t="str">
        <f ca="1">'Summary Calculations (hide)'!C65</f>
        <v/>
      </c>
      <c r="K63">
        <f ca="1">'Summary Calculations (hide)'!D65</f>
        <v>30</v>
      </c>
      <c r="L63" s="67" t="e">
        <f ca="1">VLOOKUP($K63,'SPC background (hide)'!$AG$2:$AS$54,3,0)</f>
        <v>#N/A</v>
      </c>
      <c r="M63" s="67" t="e">
        <f t="shared" ca="1" si="0"/>
        <v>#N/A</v>
      </c>
      <c r="N63" s="67" t="e">
        <f t="shared" ca="1" si="1"/>
        <v>#N/A</v>
      </c>
      <c r="O63" s="67"/>
      <c r="P63" s="67"/>
      <c r="Q63" s="67"/>
      <c r="R63" s="5">
        <f ca="1">(VLOOKUP(K63,'Summary Calculations (hide)'!$D$15:$L$67,8,0)+VLOOKUP(K63,'Summary Calculations (hide)'!$D$15:$L$67,9,0))*IF(Summary!$C$8="Patients",'Summary Calculations (hide)'!$I$9,1)</f>
        <v>0</v>
      </c>
      <c r="AA63" s="67" t="e">
        <f ca="1">IF(Summary!$C$8="Patients", 'Parameters calculator (hide)'!$H$63,'Parameters calculator (hide)'!$H$62)</f>
        <v>#VALUE!</v>
      </c>
      <c r="AB63" s="67" t="e">
        <f ca="1">IF(Summary!$C$8="Patients", 'Parameters calculator (hide)'!$I$63,'Parameters calculator (hide)'!$I$62)</f>
        <v>#VALUE!</v>
      </c>
      <c r="AC63" s="67" t="e">
        <f t="shared" ca="1" si="2"/>
        <v>#VALUE!</v>
      </c>
    </row>
    <row r="64" spans="8:29" x14ac:dyDescent="0.2">
      <c r="H64" s="297">
        <f ca="1">'Summary Calculations (hide)'!A66</f>
        <v>44774</v>
      </c>
      <c r="I64" t="str">
        <f ca="1">'Summary Calculations (hide)'!B66</f>
        <v/>
      </c>
      <c r="J64" t="str">
        <f ca="1">'Summary Calculations (hide)'!C66</f>
        <v>Aug</v>
      </c>
      <c r="K64">
        <f ca="1">'Summary Calculations (hide)'!D66</f>
        <v>31</v>
      </c>
      <c r="L64" s="67" t="e">
        <f ca="1">VLOOKUP($K64,'SPC background (hide)'!$AG$2:$AS$54,3,0)</f>
        <v>#N/A</v>
      </c>
      <c r="M64" s="67" t="e">
        <f t="shared" ca="1" si="0"/>
        <v>#N/A</v>
      </c>
      <c r="N64" s="67" t="e">
        <f t="shared" ca="1" si="1"/>
        <v>#N/A</v>
      </c>
      <c r="O64" s="67"/>
      <c r="P64" s="67"/>
      <c r="Q64" s="67"/>
      <c r="R64" s="5">
        <f ca="1">(VLOOKUP(K64,'Summary Calculations (hide)'!$D$15:$L$67,8,0)+VLOOKUP(K64,'Summary Calculations (hide)'!$D$15:$L$67,9,0))*IF(Summary!$C$8="Patients",'Summary Calculations (hide)'!$I$9,1)</f>
        <v>0</v>
      </c>
      <c r="AA64" s="67" t="e">
        <f ca="1">IF(Summary!$C$8="Patients", 'Parameters calculator (hide)'!$H$63,'Parameters calculator (hide)'!$H$62)</f>
        <v>#VALUE!</v>
      </c>
      <c r="AB64" s="67" t="e">
        <f ca="1">IF(Summary!$C$8="Patients", 'Parameters calculator (hide)'!$I$63,'Parameters calculator (hide)'!$I$62)</f>
        <v>#VALUE!</v>
      </c>
      <c r="AC64" s="67" t="e">
        <f t="shared" ca="1" si="2"/>
        <v>#VALUE!</v>
      </c>
    </row>
    <row r="65" spans="1:114" x14ac:dyDescent="0.2">
      <c r="H65" s="7"/>
      <c r="I65" s="3"/>
      <c r="J65" s="3"/>
      <c r="K65" s="3"/>
      <c r="L65" s="3"/>
      <c r="M65" s="3"/>
      <c r="N65" s="3"/>
      <c r="O65" s="3"/>
      <c r="P65" s="3"/>
      <c r="Q65" s="3"/>
      <c r="R65" s="67"/>
    </row>
    <row r="67" spans="1:114" ht="15" x14ac:dyDescent="0.25">
      <c r="A67" s="2"/>
    </row>
    <row r="68" spans="1:114" ht="15" x14ac:dyDescent="0.25">
      <c r="A68" s="2"/>
    </row>
    <row r="70" spans="1:114" ht="15" x14ac:dyDescent="0.25">
      <c r="BJ70" s="2"/>
    </row>
    <row r="71" spans="1:114" ht="15"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ht="15"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7"/>
      <c r="BL72" s="67"/>
      <c r="BM72" s="67"/>
      <c r="BN72" s="67"/>
      <c r="BO72" s="67"/>
      <c r="BP72" s="67"/>
      <c r="BQ72" s="67"/>
      <c r="BR72" s="67"/>
      <c r="BS72" s="67"/>
      <c r="BT72" s="67"/>
      <c r="BU72" s="67"/>
      <c r="BV72" s="67"/>
      <c r="BW72" s="67"/>
      <c r="BX72" s="67"/>
      <c r="BY72" s="67"/>
      <c r="BZ72" s="67"/>
      <c r="CA72" s="67"/>
      <c r="CB72" s="67"/>
      <c r="CC72" s="67"/>
      <c r="CD72" s="67"/>
      <c r="CE72" s="67"/>
      <c r="CF72" s="67"/>
      <c r="CG72" s="67"/>
      <c r="CH72" s="67"/>
      <c r="CI72" s="67"/>
      <c r="CJ72" s="67"/>
      <c r="CK72" s="67"/>
      <c r="CL72" s="67"/>
      <c r="CM72" s="67"/>
      <c r="CN72" s="67"/>
      <c r="CO72" s="67"/>
      <c r="CP72" s="67"/>
      <c r="CQ72" s="67"/>
      <c r="CR72" s="67"/>
      <c r="CS72" s="67"/>
      <c r="CT72" s="67"/>
      <c r="CU72" s="67"/>
      <c r="CV72" s="67"/>
      <c r="CW72" s="67"/>
      <c r="CX72" s="67"/>
      <c r="CY72" s="67"/>
      <c r="CZ72" s="67"/>
      <c r="DA72" s="67"/>
      <c r="DB72" s="67"/>
      <c r="DC72" s="67"/>
      <c r="DD72" s="67"/>
      <c r="DE72" s="67"/>
      <c r="DF72" s="67"/>
      <c r="DG72" s="67"/>
      <c r="DH72" s="67"/>
      <c r="DI72" s="67"/>
    </row>
    <row r="73" spans="1:114" x14ac:dyDescent="0.2">
      <c r="H73" s="67"/>
      <c r="I73" s="67"/>
      <c r="J73" s="67"/>
      <c r="K73" s="67"/>
      <c r="L73" s="67"/>
      <c r="M73" s="67"/>
      <c r="N73" s="67"/>
      <c r="O73" s="67"/>
      <c r="P73" s="67"/>
      <c r="Q73" s="67"/>
      <c r="R73" s="67"/>
      <c r="S73" s="67"/>
      <c r="T73" s="67"/>
      <c r="U73" s="67"/>
      <c r="V73" s="67"/>
      <c r="W73" s="67"/>
      <c r="X73" s="67"/>
      <c r="Y73" s="67"/>
      <c r="Z73" s="67"/>
      <c r="AA73" s="67"/>
      <c r="AB73" s="67"/>
      <c r="AC73" s="67"/>
      <c r="AD73" s="67"/>
      <c r="AE73" s="67"/>
      <c r="AF73" s="67"/>
      <c r="AG73" s="67"/>
      <c r="AH73" s="67"/>
      <c r="AI73" s="67"/>
      <c r="AJ73" s="67"/>
      <c r="AK73" s="67"/>
      <c r="AL73" s="67"/>
      <c r="AM73" s="67"/>
      <c r="AN73" s="67"/>
      <c r="AO73" s="67"/>
      <c r="AP73" s="67"/>
      <c r="AQ73" s="67"/>
      <c r="AR73" s="67"/>
      <c r="AS73" s="67"/>
      <c r="AT73" s="67"/>
      <c r="AU73" s="67"/>
      <c r="AV73" s="67"/>
      <c r="AW73" s="67"/>
      <c r="AX73" s="67"/>
      <c r="AY73" s="67"/>
      <c r="AZ73" s="67"/>
      <c r="BA73" s="67"/>
      <c r="BB73" s="67"/>
      <c r="BC73" s="67"/>
      <c r="BD73" s="67"/>
      <c r="BE73" s="67"/>
      <c r="BF73" s="67"/>
      <c r="BG73" s="67"/>
      <c r="BH73" s="70"/>
      <c r="BK73" s="67"/>
      <c r="BL73" s="67"/>
      <c r="BM73" s="67"/>
      <c r="BN73" s="67"/>
      <c r="BO73" s="67"/>
      <c r="BP73" s="67"/>
      <c r="BQ73" s="67"/>
      <c r="BR73" s="67"/>
      <c r="BS73" s="67"/>
      <c r="BT73" s="67"/>
      <c r="BU73" s="67"/>
      <c r="BV73" s="67"/>
      <c r="BW73" s="67"/>
      <c r="BX73" s="67"/>
      <c r="BY73" s="67"/>
      <c r="BZ73" s="67"/>
      <c r="CA73" s="67"/>
      <c r="CB73" s="67"/>
      <c r="CC73" s="67"/>
      <c r="CD73" s="67"/>
      <c r="CE73" s="67"/>
      <c r="CF73" s="67"/>
      <c r="CG73" s="67"/>
      <c r="CH73" s="67"/>
      <c r="CI73" s="67"/>
      <c r="CJ73" s="67"/>
      <c r="CK73" s="67"/>
      <c r="CL73" s="67"/>
      <c r="CM73" s="67"/>
      <c r="CN73" s="67"/>
      <c r="CO73" s="67"/>
      <c r="CP73" s="67"/>
      <c r="CQ73" s="67"/>
      <c r="CR73" s="67"/>
      <c r="CS73" s="67"/>
      <c r="CT73" s="67"/>
      <c r="CU73" s="67"/>
      <c r="CV73" s="67"/>
      <c r="CW73" s="67"/>
      <c r="CX73" s="67"/>
      <c r="CY73" s="67"/>
      <c r="CZ73" s="67"/>
      <c r="DA73" s="67"/>
      <c r="DB73" s="67"/>
      <c r="DC73" s="67"/>
      <c r="DD73" s="67"/>
      <c r="DE73" s="67"/>
      <c r="DF73" s="67"/>
      <c r="DG73" s="67"/>
      <c r="DH73" s="67"/>
      <c r="DI73" s="67"/>
      <c r="DJ73" s="67"/>
    </row>
    <row r="74" spans="1:114" x14ac:dyDescent="0.2">
      <c r="E74" s="67"/>
      <c r="G74" s="67"/>
      <c r="H74" s="67"/>
      <c r="I74" s="67"/>
      <c r="J74" s="67"/>
      <c r="K74" s="67"/>
      <c r="L74" s="67"/>
      <c r="M74" s="67"/>
      <c r="N74" s="67"/>
      <c r="O74" s="67"/>
      <c r="P74" s="67"/>
      <c r="Q74" s="67"/>
      <c r="R74" s="67"/>
      <c r="S74" s="67"/>
      <c r="T74" s="67"/>
      <c r="U74" s="67"/>
      <c r="V74" s="67"/>
      <c r="W74" s="67"/>
      <c r="X74" s="67"/>
      <c r="Y74" s="67"/>
      <c r="Z74" s="67"/>
      <c r="AA74" s="67"/>
      <c r="AB74" s="67"/>
      <c r="AC74" s="67"/>
      <c r="AD74" s="67"/>
      <c r="AE74" s="67"/>
      <c r="AF74" s="67"/>
      <c r="AG74" s="67"/>
      <c r="AH74" s="67"/>
      <c r="AI74" s="67"/>
      <c r="AJ74" s="67"/>
      <c r="AK74" s="67"/>
      <c r="AL74" s="67"/>
      <c r="AM74" s="67"/>
      <c r="AN74" s="67"/>
      <c r="AO74" s="67"/>
      <c r="AP74" s="67"/>
      <c r="AQ74" s="67"/>
      <c r="AR74" s="67"/>
      <c r="AS74" s="67"/>
      <c r="AT74" s="67"/>
      <c r="AU74" s="67"/>
      <c r="AV74" s="67"/>
      <c r="AW74" s="67"/>
      <c r="AX74" s="67"/>
      <c r="AY74" s="67"/>
      <c r="AZ74" s="67"/>
      <c r="BA74" s="67"/>
      <c r="BB74" s="67"/>
      <c r="BC74" s="67"/>
      <c r="BD74" s="67"/>
      <c r="BE74" s="67"/>
      <c r="BF74" s="67"/>
      <c r="BG74" s="67"/>
      <c r="BH74" s="70"/>
      <c r="BJ74" s="67"/>
      <c r="BK74" s="67"/>
      <c r="BL74" s="67"/>
      <c r="BM74" s="67"/>
      <c r="BN74" s="67"/>
      <c r="BO74" s="67"/>
      <c r="BP74" s="67"/>
      <c r="BQ74" s="67"/>
      <c r="BR74" s="67"/>
      <c r="BS74" s="67"/>
      <c r="BT74" s="67"/>
      <c r="BU74" s="67"/>
      <c r="BV74" s="67"/>
      <c r="BW74" s="67"/>
      <c r="BX74" s="67"/>
      <c r="BY74" s="67"/>
      <c r="BZ74" s="67"/>
      <c r="CA74" s="67"/>
      <c r="CB74" s="67"/>
      <c r="CC74" s="67"/>
      <c r="CD74" s="67"/>
      <c r="CE74" s="67"/>
      <c r="CF74" s="67"/>
      <c r="CG74" s="67"/>
      <c r="CH74" s="67"/>
      <c r="CI74" s="67"/>
      <c r="CJ74" s="67"/>
      <c r="CK74" s="67"/>
      <c r="CL74" s="67"/>
      <c r="CM74" s="67"/>
      <c r="CN74" s="67"/>
      <c r="CO74" s="67"/>
      <c r="CP74" s="67"/>
      <c r="CQ74" s="67"/>
      <c r="CR74" s="67"/>
      <c r="CS74" s="67"/>
      <c r="CT74" s="67"/>
      <c r="CU74" s="67"/>
      <c r="CV74" s="67"/>
      <c r="CW74" s="67"/>
      <c r="CX74" s="67"/>
      <c r="CY74" s="67"/>
      <c r="CZ74" s="67"/>
      <c r="DA74" s="67"/>
      <c r="DB74" s="67"/>
      <c r="DC74" s="67"/>
      <c r="DD74" s="67"/>
      <c r="DE74" s="67"/>
      <c r="DF74" s="67"/>
      <c r="DG74" s="67"/>
      <c r="DH74" s="67"/>
      <c r="DI74" s="67"/>
      <c r="DJ74" s="67"/>
    </row>
    <row r="75" spans="1:114" x14ac:dyDescent="0.2">
      <c r="E75" s="67"/>
      <c r="G75" s="67"/>
      <c r="H75" s="67"/>
      <c r="I75" s="67"/>
      <c r="J75" s="67"/>
      <c r="K75" s="67"/>
      <c r="L75" s="67"/>
      <c r="M75" s="67"/>
      <c r="N75" s="67"/>
      <c r="O75" s="67"/>
      <c r="P75" s="67"/>
      <c r="Q75" s="67"/>
      <c r="R75" s="67"/>
      <c r="S75" s="67"/>
      <c r="T75" s="67"/>
      <c r="U75" s="67"/>
      <c r="V75" s="67"/>
      <c r="W75" s="67"/>
      <c r="X75" s="67"/>
      <c r="Y75" s="67"/>
      <c r="Z75" s="67"/>
      <c r="AA75" s="67"/>
      <c r="AB75" s="67"/>
      <c r="AC75" s="67"/>
      <c r="AD75" s="67"/>
      <c r="AE75" s="67"/>
      <c r="AF75" s="67"/>
      <c r="AG75" s="67"/>
      <c r="AH75" s="67"/>
      <c r="AI75" s="67"/>
      <c r="AJ75" s="67"/>
      <c r="AK75" s="67"/>
      <c r="AL75" s="67"/>
      <c r="AM75" s="67"/>
      <c r="AN75" s="67"/>
      <c r="AO75" s="67"/>
      <c r="AP75" s="67"/>
      <c r="AQ75" s="67"/>
      <c r="AR75" s="67"/>
      <c r="AS75" s="67"/>
      <c r="AT75" s="67"/>
      <c r="AU75" s="67"/>
      <c r="AV75" s="67"/>
      <c r="AW75" s="67"/>
      <c r="AX75" s="67"/>
      <c r="AY75" s="67"/>
      <c r="AZ75" s="67"/>
      <c r="BA75" s="67"/>
      <c r="BB75" s="67"/>
      <c r="BC75" s="67"/>
      <c r="BD75" s="67"/>
      <c r="BE75" s="67"/>
      <c r="BF75" s="67"/>
      <c r="BG75" s="67"/>
      <c r="BH75" s="70"/>
      <c r="BJ75" s="67"/>
      <c r="BK75" s="67"/>
      <c r="BL75" s="67"/>
      <c r="BM75" s="67"/>
      <c r="BN75" s="67"/>
      <c r="BO75" s="67"/>
      <c r="BP75" s="67"/>
      <c r="BQ75" s="67"/>
      <c r="BR75" s="67"/>
      <c r="BS75" s="67"/>
      <c r="BT75" s="67"/>
      <c r="BU75" s="67"/>
      <c r="BV75" s="67"/>
      <c r="BW75" s="67"/>
      <c r="BX75" s="67"/>
      <c r="BY75" s="67"/>
      <c r="BZ75" s="67"/>
      <c r="CA75" s="67"/>
      <c r="CB75" s="67"/>
      <c r="CC75" s="67"/>
      <c r="CD75" s="67"/>
      <c r="CE75" s="67"/>
      <c r="CF75" s="67"/>
      <c r="CG75" s="67"/>
      <c r="CH75" s="67"/>
      <c r="CI75" s="67"/>
      <c r="CJ75" s="67"/>
      <c r="CK75" s="67"/>
      <c r="CL75" s="67"/>
      <c r="CM75" s="67"/>
      <c r="CN75" s="67"/>
      <c r="CO75" s="67"/>
      <c r="CP75" s="67"/>
      <c r="CQ75" s="67"/>
      <c r="CR75" s="67"/>
      <c r="CS75" s="67"/>
      <c r="CT75" s="67"/>
      <c r="CU75" s="67"/>
      <c r="CV75" s="67"/>
      <c r="CW75" s="67"/>
      <c r="CX75" s="67"/>
      <c r="CY75" s="67"/>
      <c r="CZ75" s="67"/>
      <c r="DA75" s="67"/>
      <c r="DB75" s="67"/>
      <c r="DC75" s="67"/>
      <c r="DD75" s="67"/>
      <c r="DE75" s="67"/>
      <c r="DF75" s="67"/>
      <c r="DG75" s="67"/>
      <c r="DH75" s="67"/>
      <c r="DI75" s="67"/>
      <c r="DJ75" s="67"/>
    </row>
    <row r="76" spans="1:114" x14ac:dyDescent="0.2">
      <c r="E76" s="67"/>
      <c r="G76" s="67"/>
      <c r="H76" s="67"/>
      <c r="I76" s="67"/>
      <c r="J76" s="67"/>
      <c r="K76" s="67"/>
      <c r="L76" s="67"/>
      <c r="M76" s="67"/>
      <c r="N76" s="67"/>
      <c r="O76" s="67"/>
      <c r="P76" s="67"/>
      <c r="Q76" s="67"/>
      <c r="R76" s="67"/>
      <c r="S76" s="67"/>
      <c r="T76" s="67"/>
      <c r="U76" s="67"/>
      <c r="V76" s="67"/>
      <c r="W76" s="67"/>
      <c r="X76" s="67"/>
      <c r="Y76" s="67"/>
      <c r="Z76" s="67"/>
      <c r="AA76" s="67"/>
      <c r="AB76" s="67"/>
      <c r="AC76" s="67"/>
      <c r="AD76" s="67"/>
      <c r="AE76" s="67"/>
      <c r="AF76" s="67"/>
      <c r="AG76" s="67"/>
      <c r="AH76" s="67"/>
      <c r="AI76" s="67"/>
      <c r="AJ76" s="67"/>
      <c r="AK76" s="67"/>
      <c r="AL76" s="67"/>
      <c r="AM76" s="67"/>
      <c r="AN76" s="67"/>
      <c r="AO76" s="67"/>
      <c r="AP76" s="67"/>
      <c r="AQ76" s="67"/>
      <c r="AR76" s="67"/>
      <c r="AS76" s="67"/>
      <c r="AT76" s="67"/>
      <c r="AU76" s="67"/>
      <c r="AV76" s="67"/>
      <c r="AW76" s="67"/>
      <c r="AX76" s="67"/>
      <c r="AY76" s="67"/>
      <c r="AZ76" s="67"/>
      <c r="BA76" s="67"/>
      <c r="BB76" s="67"/>
      <c r="BC76" s="67"/>
      <c r="BD76" s="67"/>
      <c r="BE76" s="67"/>
      <c r="BF76" s="67"/>
      <c r="BG76" s="67"/>
      <c r="BH76" s="70"/>
      <c r="BJ76" s="67"/>
      <c r="BK76" s="67"/>
      <c r="BL76" s="67"/>
      <c r="BM76" s="67"/>
      <c r="BN76" s="67"/>
      <c r="BO76" s="67"/>
      <c r="BP76" s="67"/>
      <c r="BQ76" s="67"/>
      <c r="BR76" s="67"/>
      <c r="BS76" s="67"/>
      <c r="BT76" s="67"/>
      <c r="BU76" s="67"/>
      <c r="BV76" s="67"/>
      <c r="BW76" s="67"/>
      <c r="BX76" s="67"/>
      <c r="BY76" s="67"/>
      <c r="BZ76" s="67"/>
      <c r="CA76" s="67"/>
      <c r="CB76" s="67"/>
      <c r="CC76" s="67"/>
      <c r="CD76" s="67"/>
      <c r="CE76" s="67"/>
      <c r="CF76" s="67"/>
      <c r="CG76" s="67"/>
      <c r="CH76" s="67"/>
      <c r="CI76" s="67"/>
      <c r="CJ76" s="67"/>
      <c r="CK76" s="67"/>
      <c r="CL76" s="67"/>
      <c r="CM76" s="67"/>
      <c r="CN76" s="67"/>
      <c r="CO76" s="67"/>
      <c r="CP76" s="67"/>
      <c r="CQ76" s="67"/>
      <c r="CR76" s="67"/>
      <c r="CS76" s="67"/>
      <c r="CT76" s="67"/>
      <c r="CU76" s="67"/>
      <c r="CV76" s="67"/>
      <c r="CW76" s="67"/>
      <c r="CX76" s="67"/>
      <c r="CY76" s="67"/>
      <c r="CZ76" s="67"/>
      <c r="DA76" s="67"/>
      <c r="DB76" s="67"/>
      <c r="DC76" s="67"/>
      <c r="DD76" s="67"/>
      <c r="DE76" s="67"/>
      <c r="DF76" s="67"/>
      <c r="DG76" s="67"/>
      <c r="DH76" s="67"/>
      <c r="DI76" s="67"/>
      <c r="DJ76" s="67"/>
    </row>
    <row r="77" spans="1:114" x14ac:dyDescent="0.2">
      <c r="E77" s="67"/>
      <c r="G77" s="67"/>
      <c r="H77" s="67"/>
      <c r="I77" s="67"/>
      <c r="J77" s="67"/>
      <c r="K77" s="67"/>
      <c r="L77" s="67"/>
      <c r="M77" s="67"/>
      <c r="N77" s="67"/>
      <c r="O77" s="67"/>
      <c r="P77" s="67"/>
      <c r="Q77" s="67"/>
      <c r="R77" s="67"/>
      <c r="S77" s="67"/>
      <c r="T77" s="67"/>
      <c r="U77" s="67"/>
      <c r="V77" s="67"/>
      <c r="W77" s="67"/>
      <c r="X77" s="67"/>
      <c r="Y77" s="67"/>
      <c r="Z77" s="67"/>
      <c r="AA77" s="67"/>
      <c r="AB77" s="67"/>
      <c r="AC77" s="67"/>
      <c r="AD77" s="67"/>
      <c r="AE77" s="67"/>
      <c r="AF77" s="67"/>
      <c r="AG77" s="67"/>
      <c r="AH77" s="67"/>
      <c r="AI77" s="67"/>
      <c r="AJ77" s="67"/>
      <c r="AK77" s="67"/>
      <c r="AL77" s="67"/>
      <c r="AM77" s="67"/>
      <c r="AN77" s="67"/>
      <c r="AO77" s="67"/>
      <c r="AP77" s="67"/>
      <c r="AQ77" s="67"/>
      <c r="AR77" s="67"/>
      <c r="AS77" s="67"/>
      <c r="AT77" s="67"/>
      <c r="AU77" s="67"/>
      <c r="AV77" s="67"/>
      <c r="AW77" s="67"/>
      <c r="AX77" s="67"/>
      <c r="AY77" s="67"/>
      <c r="AZ77" s="67"/>
      <c r="BA77" s="67"/>
      <c r="BB77" s="67"/>
      <c r="BC77" s="67"/>
      <c r="BD77" s="67"/>
      <c r="BE77" s="67"/>
      <c r="BF77" s="67"/>
      <c r="BG77" s="67"/>
      <c r="BH77" s="70"/>
      <c r="BJ77" s="67"/>
      <c r="BK77" s="67"/>
      <c r="BL77" s="67"/>
      <c r="BM77" s="67"/>
      <c r="BN77" s="67"/>
      <c r="BO77" s="67"/>
      <c r="BP77" s="67"/>
      <c r="BQ77" s="67"/>
      <c r="BR77" s="67"/>
      <c r="BS77" s="67"/>
      <c r="BT77" s="67"/>
      <c r="BU77" s="67"/>
      <c r="BV77" s="67"/>
      <c r="BW77" s="67"/>
      <c r="BX77" s="67"/>
      <c r="BY77" s="67"/>
      <c r="BZ77" s="67"/>
      <c r="CA77" s="67"/>
      <c r="CB77" s="67"/>
      <c r="CC77" s="67"/>
      <c r="CD77" s="67"/>
      <c r="CE77" s="67"/>
      <c r="CF77" s="67"/>
      <c r="CG77" s="67"/>
      <c r="CH77" s="67"/>
      <c r="CI77" s="67"/>
      <c r="CJ77" s="67"/>
      <c r="CK77" s="67"/>
      <c r="CL77" s="67"/>
      <c r="CM77" s="67"/>
      <c r="CN77" s="67"/>
      <c r="CO77" s="67"/>
      <c r="CP77" s="67"/>
      <c r="CQ77" s="67"/>
      <c r="CR77" s="67"/>
      <c r="CS77" s="67"/>
      <c r="CT77" s="67"/>
      <c r="CU77" s="67"/>
      <c r="CV77" s="67"/>
      <c r="CW77" s="67"/>
      <c r="CX77" s="67"/>
      <c r="CY77" s="67"/>
      <c r="CZ77" s="67"/>
      <c r="DA77" s="67"/>
      <c r="DB77" s="67"/>
      <c r="DC77" s="67"/>
      <c r="DD77" s="67"/>
      <c r="DE77" s="67"/>
      <c r="DF77" s="67"/>
      <c r="DG77" s="67"/>
      <c r="DH77" s="67"/>
      <c r="DI77" s="67"/>
      <c r="DJ77" s="67"/>
    </row>
    <row r="78" spans="1:114" x14ac:dyDescent="0.2">
      <c r="E78" s="67"/>
      <c r="G78" s="67"/>
      <c r="H78" s="67"/>
      <c r="I78" s="67"/>
      <c r="J78" s="67"/>
      <c r="K78" s="67"/>
      <c r="L78" s="67"/>
      <c r="M78" s="67"/>
      <c r="N78" s="67"/>
      <c r="O78" s="67"/>
      <c r="P78" s="67"/>
      <c r="Q78" s="67"/>
      <c r="R78" s="67"/>
      <c r="S78" s="67"/>
      <c r="T78" s="67"/>
      <c r="U78" s="67"/>
      <c r="V78" s="67"/>
      <c r="W78" s="67"/>
      <c r="X78" s="67"/>
      <c r="Y78" s="67"/>
      <c r="Z78" s="67"/>
      <c r="AA78" s="67"/>
      <c r="AB78" s="67"/>
      <c r="AC78" s="67"/>
      <c r="AD78" s="67"/>
      <c r="AE78" s="67"/>
      <c r="AF78" s="67"/>
      <c r="AG78" s="67"/>
      <c r="AH78" s="67"/>
      <c r="AI78" s="67"/>
      <c r="AJ78" s="67"/>
      <c r="AK78" s="67"/>
      <c r="AL78" s="67"/>
      <c r="AM78" s="67"/>
      <c r="AN78" s="67"/>
      <c r="AO78" s="67"/>
      <c r="AP78" s="67"/>
      <c r="AQ78" s="67"/>
      <c r="AR78" s="67"/>
      <c r="AS78" s="67"/>
      <c r="AT78" s="67"/>
      <c r="AU78" s="67"/>
      <c r="AV78" s="67"/>
      <c r="AW78" s="67"/>
      <c r="AX78" s="67"/>
      <c r="AY78" s="67"/>
      <c r="AZ78" s="67"/>
      <c r="BA78" s="67"/>
      <c r="BB78" s="67"/>
      <c r="BC78" s="67"/>
      <c r="BD78" s="67"/>
      <c r="BE78" s="67"/>
      <c r="BF78" s="67"/>
      <c r="BG78" s="67"/>
      <c r="BH78" s="70"/>
      <c r="BJ78" s="67"/>
      <c r="BK78" s="67"/>
      <c r="BL78" s="67"/>
      <c r="BM78" s="67"/>
      <c r="BN78" s="67"/>
      <c r="BO78" s="67"/>
      <c r="BP78" s="67"/>
      <c r="BQ78" s="67"/>
      <c r="BR78" s="67"/>
      <c r="BS78" s="67"/>
      <c r="BT78" s="67"/>
      <c r="BU78" s="67"/>
      <c r="BV78" s="67"/>
      <c r="BW78" s="67"/>
      <c r="BX78" s="67"/>
      <c r="BY78" s="67"/>
      <c r="BZ78" s="67"/>
      <c r="CA78" s="67"/>
      <c r="CB78" s="67"/>
      <c r="CC78" s="67"/>
      <c r="CD78" s="67"/>
      <c r="CE78" s="67"/>
      <c r="CF78" s="67"/>
      <c r="CG78" s="67"/>
      <c r="CH78" s="67"/>
      <c r="CI78" s="67"/>
      <c r="CJ78" s="67"/>
      <c r="CK78" s="67"/>
      <c r="CL78" s="67"/>
      <c r="CM78" s="67"/>
      <c r="CN78" s="67"/>
      <c r="CO78" s="67"/>
      <c r="CP78" s="67"/>
      <c r="CQ78" s="67"/>
      <c r="CR78" s="67"/>
      <c r="CS78" s="67"/>
      <c r="CT78" s="67"/>
      <c r="CU78" s="67"/>
      <c r="CV78" s="67"/>
      <c r="CW78" s="67"/>
      <c r="CX78" s="67"/>
      <c r="CY78" s="67"/>
      <c r="CZ78" s="67"/>
      <c r="DA78" s="67"/>
      <c r="DB78" s="67"/>
      <c r="DC78" s="67"/>
      <c r="DD78" s="67"/>
      <c r="DE78" s="67"/>
      <c r="DF78" s="67"/>
      <c r="DG78" s="67"/>
      <c r="DH78" s="67"/>
      <c r="DI78" s="67"/>
      <c r="DJ78" s="67"/>
    </row>
    <row r="79" spans="1:114" x14ac:dyDescent="0.2">
      <c r="E79" s="67"/>
      <c r="G79" s="67"/>
      <c r="H79" s="67"/>
      <c r="I79" s="67"/>
      <c r="J79" s="67"/>
      <c r="K79" s="67"/>
      <c r="L79" s="67"/>
      <c r="M79" s="67"/>
      <c r="N79" s="67"/>
      <c r="O79" s="67"/>
      <c r="P79" s="67"/>
      <c r="Q79" s="67"/>
      <c r="R79" s="67"/>
      <c r="S79" s="67"/>
      <c r="T79" s="67"/>
      <c r="U79" s="67"/>
      <c r="V79" s="67"/>
      <c r="W79" s="67"/>
      <c r="X79" s="67"/>
      <c r="Y79" s="67"/>
      <c r="Z79" s="67"/>
      <c r="AA79" s="67"/>
      <c r="AB79" s="67"/>
      <c r="AC79" s="67"/>
      <c r="AD79" s="67"/>
      <c r="AE79" s="67"/>
      <c r="AF79" s="67"/>
      <c r="AG79" s="67"/>
      <c r="AH79" s="67"/>
      <c r="AI79" s="67"/>
      <c r="AJ79" s="67"/>
      <c r="AK79" s="67"/>
      <c r="AL79" s="67"/>
      <c r="AM79" s="67"/>
      <c r="AN79" s="67"/>
      <c r="AO79" s="67"/>
      <c r="AP79" s="67"/>
      <c r="AQ79" s="67"/>
      <c r="AR79" s="67"/>
      <c r="AS79" s="67"/>
      <c r="AT79" s="67"/>
      <c r="AU79" s="67"/>
      <c r="AV79" s="67"/>
      <c r="AW79" s="67"/>
      <c r="AX79" s="67"/>
      <c r="AY79" s="67"/>
      <c r="AZ79" s="67"/>
      <c r="BA79" s="67"/>
      <c r="BB79" s="67"/>
      <c r="BC79" s="67"/>
      <c r="BD79" s="67"/>
      <c r="BE79" s="67"/>
      <c r="BF79" s="67"/>
      <c r="BG79" s="67"/>
      <c r="BH79" s="70"/>
      <c r="BJ79" s="67"/>
      <c r="BK79" s="67"/>
      <c r="BL79" s="67"/>
      <c r="BM79" s="67"/>
      <c r="BN79" s="67"/>
      <c r="BO79" s="67"/>
      <c r="BP79" s="67"/>
      <c r="BQ79" s="67"/>
      <c r="BR79" s="67"/>
      <c r="BS79" s="67"/>
      <c r="BT79" s="67"/>
      <c r="BU79" s="67"/>
      <c r="BV79" s="67"/>
      <c r="BW79" s="67"/>
      <c r="BX79" s="67"/>
      <c r="BY79" s="67"/>
      <c r="BZ79" s="67"/>
      <c r="CA79" s="67"/>
      <c r="CB79" s="67"/>
      <c r="CC79" s="67"/>
      <c r="CD79" s="67"/>
      <c r="CE79" s="67"/>
      <c r="CF79" s="67"/>
      <c r="CG79" s="67"/>
      <c r="CH79" s="67"/>
      <c r="CI79" s="67"/>
      <c r="CJ79" s="67"/>
      <c r="CK79" s="67"/>
      <c r="CL79" s="67"/>
      <c r="CM79" s="67"/>
      <c r="CN79" s="67"/>
      <c r="CO79" s="67"/>
      <c r="CP79" s="67"/>
      <c r="CQ79" s="67"/>
      <c r="CR79" s="67"/>
      <c r="CS79" s="67"/>
      <c r="CT79" s="67"/>
      <c r="CU79" s="67"/>
      <c r="CV79" s="67"/>
      <c r="CW79" s="67"/>
      <c r="CX79" s="67"/>
      <c r="CY79" s="67"/>
      <c r="CZ79" s="67"/>
      <c r="DA79" s="67"/>
      <c r="DB79" s="67"/>
      <c r="DC79" s="67"/>
      <c r="DD79" s="67"/>
      <c r="DE79" s="67"/>
      <c r="DF79" s="67"/>
      <c r="DG79" s="67"/>
      <c r="DH79" s="67"/>
      <c r="DI79" s="67"/>
      <c r="DJ79" s="67"/>
    </row>
    <row r="80" spans="1:114" x14ac:dyDescent="0.2">
      <c r="E80" s="67"/>
      <c r="G80" s="67"/>
      <c r="H80" s="67"/>
      <c r="I80" s="67"/>
      <c r="J80" s="67"/>
      <c r="K80" s="67"/>
      <c r="L80" s="67"/>
      <c r="M80" s="67"/>
      <c r="N80" s="67"/>
      <c r="O80" s="67"/>
      <c r="P80" s="67"/>
      <c r="Q80" s="67"/>
      <c r="R80" s="67"/>
      <c r="S80" s="67"/>
      <c r="T80" s="67"/>
      <c r="U80" s="67"/>
      <c r="V80" s="67"/>
      <c r="W80" s="67"/>
      <c r="X80" s="67"/>
      <c r="Y80" s="67"/>
      <c r="Z80" s="67"/>
      <c r="AA80" s="67"/>
      <c r="AB80" s="67"/>
      <c r="AC80" s="67"/>
      <c r="AD80" s="67"/>
      <c r="AE80" s="67"/>
      <c r="AF80" s="67"/>
      <c r="AG80" s="67"/>
      <c r="AH80" s="67"/>
      <c r="AI80" s="67"/>
      <c r="AJ80" s="67"/>
      <c r="AK80" s="67"/>
      <c r="AL80" s="67"/>
      <c r="AM80" s="67"/>
      <c r="AN80" s="67"/>
      <c r="AO80" s="67"/>
      <c r="AP80" s="67"/>
      <c r="AQ80" s="67"/>
      <c r="AR80" s="67"/>
      <c r="AS80" s="67"/>
      <c r="AT80" s="67"/>
      <c r="AU80" s="67"/>
      <c r="AV80" s="67"/>
      <c r="AW80" s="67"/>
      <c r="AX80" s="67"/>
      <c r="AY80" s="67"/>
      <c r="AZ80" s="67"/>
      <c r="BA80" s="67"/>
      <c r="BB80" s="67"/>
      <c r="BC80" s="67"/>
      <c r="BD80" s="67"/>
      <c r="BE80" s="67"/>
      <c r="BF80" s="67"/>
      <c r="BG80" s="67"/>
      <c r="BH80" s="70"/>
      <c r="BJ80" s="67"/>
      <c r="BK80" s="67"/>
      <c r="BL80" s="67"/>
      <c r="BM80" s="67"/>
      <c r="BN80" s="67"/>
      <c r="BO80" s="67"/>
      <c r="BP80" s="67"/>
      <c r="BQ80" s="67"/>
      <c r="BR80" s="67"/>
      <c r="BS80" s="67"/>
      <c r="BT80" s="67"/>
      <c r="BU80" s="67"/>
      <c r="BV80" s="67"/>
      <c r="BW80" s="67"/>
      <c r="BX80" s="67"/>
      <c r="BY80" s="67"/>
      <c r="BZ80" s="67"/>
      <c r="CA80" s="67"/>
      <c r="CB80" s="67"/>
      <c r="CC80" s="67"/>
      <c r="CD80" s="67"/>
      <c r="CE80" s="67"/>
      <c r="CF80" s="67"/>
      <c r="CG80" s="67"/>
      <c r="CH80" s="67"/>
      <c r="CI80" s="67"/>
      <c r="CJ80" s="67"/>
      <c r="CK80" s="67"/>
      <c r="CL80" s="67"/>
      <c r="CM80" s="67"/>
      <c r="CN80" s="67"/>
      <c r="CO80" s="67"/>
      <c r="CP80" s="67"/>
      <c r="CQ80" s="67"/>
      <c r="CR80" s="67"/>
      <c r="CS80" s="67"/>
      <c r="CT80" s="67"/>
      <c r="CU80" s="67"/>
      <c r="CV80" s="67"/>
      <c r="CW80" s="67"/>
      <c r="CX80" s="67"/>
      <c r="CY80" s="67"/>
      <c r="CZ80" s="67"/>
      <c r="DA80" s="67"/>
      <c r="DB80" s="67"/>
      <c r="DC80" s="67"/>
      <c r="DD80" s="67"/>
      <c r="DE80" s="67"/>
      <c r="DF80" s="67"/>
      <c r="DG80" s="67"/>
      <c r="DH80" s="67"/>
      <c r="DI80" s="67"/>
      <c r="DJ80" s="67"/>
    </row>
    <row r="81" spans="5:114" x14ac:dyDescent="0.2">
      <c r="E81" s="67"/>
      <c r="G81" s="67"/>
      <c r="H81" s="67"/>
      <c r="I81" s="67"/>
      <c r="J81" s="67"/>
      <c r="K81" s="67"/>
      <c r="L81" s="67"/>
      <c r="M81" s="67"/>
      <c r="N81" s="67"/>
      <c r="O81" s="67"/>
      <c r="P81" s="67"/>
      <c r="Q81" s="67"/>
      <c r="R81" s="67"/>
      <c r="S81" s="67"/>
      <c r="T81" s="67"/>
      <c r="U81" s="67"/>
      <c r="V81" s="67"/>
      <c r="W81" s="67"/>
      <c r="X81" s="67"/>
      <c r="Y81" s="67"/>
      <c r="Z81" s="67"/>
      <c r="AA81" s="67"/>
      <c r="AB81" s="67"/>
      <c r="AC81" s="67"/>
      <c r="AD81" s="67"/>
      <c r="AE81" s="67"/>
      <c r="AF81" s="67"/>
      <c r="AG81" s="67"/>
      <c r="AH81" s="67"/>
      <c r="AI81" s="67"/>
      <c r="AJ81" s="67"/>
      <c r="AK81" s="67"/>
      <c r="AL81" s="67"/>
      <c r="AM81" s="67"/>
      <c r="AN81" s="67"/>
      <c r="AO81" s="67"/>
      <c r="AP81" s="67"/>
      <c r="AQ81" s="67"/>
      <c r="AR81" s="67"/>
      <c r="AS81" s="67"/>
      <c r="AT81" s="67"/>
      <c r="AU81" s="67"/>
      <c r="AV81" s="67"/>
      <c r="AW81" s="67"/>
      <c r="AX81" s="67"/>
      <c r="AY81" s="67"/>
      <c r="AZ81" s="67"/>
      <c r="BA81" s="67"/>
      <c r="BB81" s="67"/>
      <c r="BC81" s="67"/>
      <c r="BD81" s="67"/>
      <c r="BE81" s="67"/>
      <c r="BF81" s="67"/>
      <c r="BG81" s="67"/>
      <c r="BH81" s="70"/>
      <c r="BJ81" s="67"/>
      <c r="BK81" s="67"/>
      <c r="BL81" s="67"/>
      <c r="BM81" s="67"/>
      <c r="BN81" s="67"/>
      <c r="BO81" s="67"/>
      <c r="BP81" s="67"/>
      <c r="BQ81" s="67"/>
      <c r="BR81" s="67"/>
      <c r="BS81" s="67"/>
      <c r="BT81" s="67"/>
      <c r="BU81" s="67"/>
      <c r="BV81" s="67"/>
      <c r="BW81" s="67"/>
      <c r="BX81" s="67"/>
      <c r="BY81" s="67"/>
      <c r="BZ81" s="67"/>
      <c r="CA81" s="67"/>
      <c r="CB81" s="67"/>
      <c r="CC81" s="67"/>
      <c r="CD81" s="67"/>
      <c r="CE81" s="67"/>
      <c r="CF81" s="67"/>
      <c r="CG81" s="67"/>
      <c r="CH81" s="67"/>
      <c r="CI81" s="67"/>
      <c r="CJ81" s="67"/>
      <c r="CK81" s="67"/>
      <c r="CL81" s="67"/>
      <c r="CM81" s="67"/>
      <c r="CN81" s="67"/>
      <c r="CO81" s="67"/>
      <c r="CP81" s="67"/>
      <c r="CQ81" s="67"/>
      <c r="CR81" s="67"/>
      <c r="CS81" s="67"/>
      <c r="CT81" s="67"/>
      <c r="CU81" s="67"/>
      <c r="CV81" s="67"/>
      <c r="CW81" s="67"/>
      <c r="CX81" s="67"/>
      <c r="CY81" s="67"/>
      <c r="CZ81" s="67"/>
      <c r="DA81" s="67"/>
      <c r="DB81" s="67"/>
      <c r="DC81" s="67"/>
      <c r="DD81" s="67"/>
      <c r="DE81" s="67"/>
      <c r="DF81" s="67"/>
      <c r="DG81" s="67"/>
      <c r="DH81" s="67"/>
      <c r="DI81" s="67"/>
      <c r="DJ81" s="67"/>
    </row>
    <row r="82" spans="5:114" x14ac:dyDescent="0.2">
      <c r="E82" s="67"/>
      <c r="G82" s="67"/>
      <c r="H82" s="67"/>
      <c r="I82" s="67"/>
      <c r="J82" s="67"/>
      <c r="K82" s="67"/>
      <c r="L82" s="67"/>
      <c r="M82" s="67"/>
      <c r="N82" s="67"/>
      <c r="O82" s="67"/>
      <c r="P82" s="67"/>
      <c r="Q82" s="67"/>
      <c r="R82" s="67"/>
      <c r="S82" s="67"/>
      <c r="T82" s="67"/>
      <c r="U82" s="67"/>
      <c r="V82" s="67"/>
      <c r="W82" s="67"/>
      <c r="X82" s="67"/>
      <c r="Y82" s="67"/>
      <c r="Z82" s="67"/>
      <c r="AA82" s="67"/>
      <c r="AB82" s="67"/>
      <c r="AC82" s="67"/>
      <c r="AD82" s="67"/>
      <c r="AE82" s="67"/>
      <c r="AF82" s="67"/>
      <c r="AG82" s="67"/>
      <c r="AH82" s="67"/>
      <c r="AI82" s="67"/>
      <c r="AJ82" s="67"/>
      <c r="AK82" s="67"/>
      <c r="AL82" s="67"/>
      <c r="AM82" s="67"/>
      <c r="AN82" s="67"/>
      <c r="AO82" s="67"/>
      <c r="AP82" s="67"/>
      <c r="AQ82" s="67"/>
      <c r="AR82" s="67"/>
      <c r="AS82" s="67"/>
      <c r="AT82" s="67"/>
      <c r="AU82" s="67"/>
      <c r="AV82" s="67"/>
      <c r="AW82" s="67"/>
      <c r="AX82" s="67"/>
      <c r="AY82" s="67"/>
      <c r="AZ82" s="67"/>
      <c r="BA82" s="67"/>
      <c r="BB82" s="67"/>
      <c r="BC82" s="67"/>
      <c r="BD82" s="67"/>
      <c r="BE82" s="67"/>
      <c r="BF82" s="67"/>
      <c r="BG82" s="67"/>
      <c r="BH82" s="70"/>
      <c r="BJ82" s="67"/>
      <c r="BK82" s="67"/>
      <c r="BL82" s="67"/>
      <c r="BM82" s="67"/>
      <c r="BN82" s="67"/>
      <c r="BO82" s="67"/>
      <c r="BP82" s="67"/>
      <c r="BQ82" s="67"/>
      <c r="BR82" s="67"/>
      <c r="BS82" s="67"/>
      <c r="BT82" s="67"/>
      <c r="BU82" s="67"/>
      <c r="BV82" s="67"/>
      <c r="BW82" s="67"/>
      <c r="BX82" s="67"/>
      <c r="BY82" s="67"/>
      <c r="BZ82" s="67"/>
      <c r="CA82" s="67"/>
      <c r="CB82" s="67"/>
      <c r="CC82" s="67"/>
      <c r="CD82" s="67"/>
      <c r="CE82" s="67"/>
      <c r="CF82" s="67"/>
      <c r="CG82" s="67"/>
      <c r="CH82" s="67"/>
      <c r="CI82" s="67"/>
      <c r="CJ82" s="67"/>
      <c r="CK82" s="67"/>
      <c r="CL82" s="67"/>
      <c r="CM82" s="67"/>
      <c r="CN82" s="67"/>
      <c r="CO82" s="67"/>
      <c r="CP82" s="67"/>
      <c r="CQ82" s="67"/>
      <c r="CR82" s="67"/>
      <c r="CS82" s="67"/>
      <c r="CT82" s="67"/>
      <c r="CU82" s="67"/>
      <c r="CV82" s="67"/>
      <c r="CW82" s="67"/>
      <c r="CX82" s="67"/>
      <c r="CY82" s="67"/>
      <c r="CZ82" s="67"/>
      <c r="DA82" s="67"/>
      <c r="DB82" s="67"/>
      <c r="DC82" s="67"/>
      <c r="DD82" s="67"/>
      <c r="DE82" s="67"/>
      <c r="DF82" s="67"/>
      <c r="DG82" s="67"/>
      <c r="DH82" s="67"/>
      <c r="DI82" s="67"/>
      <c r="DJ82" s="67"/>
    </row>
    <row r="83" spans="5:114" x14ac:dyDescent="0.2">
      <c r="E83" s="67"/>
      <c r="G83" s="67"/>
      <c r="H83" s="67"/>
      <c r="I83" s="67"/>
      <c r="J83" s="67"/>
      <c r="K83" s="67"/>
      <c r="L83" s="67"/>
      <c r="M83" s="67"/>
      <c r="N83" s="67"/>
      <c r="O83" s="67"/>
      <c r="P83" s="67"/>
      <c r="Q83" s="67"/>
      <c r="R83" s="67"/>
      <c r="S83" s="67"/>
      <c r="T83" s="67"/>
      <c r="U83" s="67"/>
      <c r="V83" s="67"/>
      <c r="W83" s="67"/>
      <c r="X83" s="67"/>
      <c r="Y83" s="67"/>
      <c r="Z83" s="67"/>
      <c r="AA83" s="67"/>
      <c r="AB83" s="67"/>
      <c r="AC83" s="67"/>
      <c r="AD83" s="67"/>
      <c r="AE83" s="67"/>
      <c r="AF83" s="67"/>
      <c r="AG83" s="67"/>
      <c r="AH83" s="67"/>
      <c r="AI83" s="67"/>
      <c r="AJ83" s="67"/>
      <c r="AK83" s="67"/>
      <c r="AL83" s="67"/>
      <c r="AM83" s="67"/>
      <c r="AN83" s="67"/>
      <c r="AO83" s="67"/>
      <c r="AP83" s="67"/>
      <c r="AQ83" s="67"/>
      <c r="AR83" s="67"/>
      <c r="AS83" s="67"/>
      <c r="AT83" s="67"/>
      <c r="AU83" s="67"/>
      <c r="AV83" s="67"/>
      <c r="AW83" s="67"/>
      <c r="AX83" s="67"/>
      <c r="AY83" s="67"/>
      <c r="AZ83" s="67"/>
      <c r="BA83" s="67"/>
      <c r="BB83" s="67"/>
      <c r="BC83" s="67"/>
      <c r="BD83" s="67"/>
      <c r="BE83" s="67"/>
      <c r="BF83" s="67"/>
      <c r="BG83" s="67"/>
      <c r="BH83" s="70"/>
      <c r="BJ83" s="67"/>
      <c r="BK83" s="67"/>
      <c r="BL83" s="67"/>
      <c r="BM83" s="67"/>
      <c r="BN83" s="67"/>
      <c r="BO83" s="67"/>
      <c r="BP83" s="67"/>
      <c r="BQ83" s="67"/>
      <c r="BR83" s="67"/>
      <c r="BS83" s="67"/>
      <c r="BT83" s="67"/>
      <c r="BU83" s="67"/>
      <c r="BV83" s="67"/>
      <c r="BW83" s="67"/>
      <c r="BX83" s="67"/>
      <c r="BY83" s="67"/>
      <c r="BZ83" s="67"/>
      <c r="CA83" s="67"/>
      <c r="CB83" s="67"/>
      <c r="CC83" s="67"/>
      <c r="CD83" s="67"/>
      <c r="CE83" s="67"/>
      <c r="CF83" s="67"/>
      <c r="CG83" s="67"/>
      <c r="CH83" s="67"/>
      <c r="CI83" s="67"/>
      <c r="CJ83" s="67"/>
      <c r="CK83" s="67"/>
      <c r="CL83" s="67"/>
      <c r="CM83" s="67"/>
      <c r="CN83" s="67"/>
      <c r="CO83" s="67"/>
      <c r="CP83" s="67"/>
      <c r="CQ83" s="67"/>
      <c r="CR83" s="67"/>
      <c r="CS83" s="67"/>
      <c r="CT83" s="67"/>
      <c r="CU83" s="67"/>
      <c r="CV83" s="67"/>
      <c r="CW83" s="67"/>
      <c r="CX83" s="67"/>
      <c r="CY83" s="67"/>
      <c r="CZ83" s="67"/>
      <c r="DA83" s="67"/>
      <c r="DB83" s="67"/>
      <c r="DC83" s="67"/>
      <c r="DD83" s="67"/>
      <c r="DE83" s="67"/>
      <c r="DF83" s="67"/>
      <c r="DG83" s="67"/>
      <c r="DH83" s="67"/>
      <c r="DI83" s="67"/>
      <c r="DJ83" s="67"/>
    </row>
    <row r="84" spans="5:114" x14ac:dyDescent="0.2">
      <c r="E84" s="67"/>
      <c r="G84" s="67"/>
      <c r="H84" s="67"/>
      <c r="I84" s="67"/>
      <c r="J84" s="67"/>
      <c r="K84" s="67"/>
      <c r="L84" s="67"/>
      <c r="M84" s="67"/>
      <c r="N84" s="67"/>
      <c r="O84" s="67"/>
      <c r="P84" s="67"/>
      <c r="Q84" s="67"/>
      <c r="R84" s="67"/>
      <c r="S84" s="67"/>
      <c r="T84" s="67"/>
      <c r="U84" s="67"/>
      <c r="V84" s="67"/>
      <c r="W84" s="67"/>
      <c r="X84" s="67"/>
      <c r="Y84" s="67"/>
      <c r="Z84" s="67"/>
      <c r="AA84" s="67"/>
      <c r="AB84" s="67"/>
      <c r="AC84" s="67"/>
      <c r="AD84" s="67"/>
      <c r="AE84" s="67"/>
      <c r="AF84" s="67"/>
      <c r="AG84" s="67"/>
      <c r="AH84" s="67"/>
      <c r="AI84" s="67"/>
      <c r="AJ84" s="67"/>
      <c r="AK84" s="67"/>
      <c r="AL84" s="67"/>
      <c r="AM84" s="67"/>
      <c r="AN84" s="67"/>
      <c r="AO84" s="67"/>
      <c r="AP84" s="67"/>
      <c r="AQ84" s="67"/>
      <c r="AR84" s="67"/>
      <c r="AS84" s="67"/>
      <c r="AT84" s="67"/>
      <c r="AU84" s="67"/>
      <c r="AV84" s="67"/>
      <c r="AW84" s="67"/>
      <c r="AX84" s="67"/>
      <c r="AY84" s="67"/>
      <c r="AZ84" s="67"/>
      <c r="BA84" s="67"/>
      <c r="BB84" s="67"/>
      <c r="BC84" s="67"/>
      <c r="BD84" s="67"/>
      <c r="BE84" s="67"/>
      <c r="BF84" s="67"/>
      <c r="BG84" s="67"/>
      <c r="BH84" s="70"/>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row>
    <row r="85" spans="5:114" x14ac:dyDescent="0.2">
      <c r="E85" s="67"/>
      <c r="G85" s="67"/>
      <c r="H85" s="67"/>
      <c r="I85" s="67"/>
      <c r="J85" s="67"/>
      <c r="K85" s="67"/>
      <c r="L85" s="67"/>
      <c r="M85" s="67"/>
      <c r="N85" s="67"/>
      <c r="O85" s="67"/>
      <c r="P85" s="67"/>
      <c r="Q85" s="67"/>
      <c r="R85" s="67"/>
      <c r="S85" s="67"/>
      <c r="T85" s="67"/>
      <c r="U85" s="67"/>
      <c r="V85" s="67"/>
      <c r="W85" s="67"/>
      <c r="X85" s="67"/>
      <c r="Y85" s="67"/>
      <c r="Z85" s="67"/>
      <c r="AA85" s="67"/>
      <c r="AB85" s="67"/>
      <c r="AC85" s="67"/>
      <c r="AD85" s="67"/>
      <c r="AE85" s="67"/>
      <c r="AF85" s="67"/>
      <c r="AG85" s="67"/>
      <c r="AH85" s="67"/>
      <c r="AI85" s="67"/>
      <c r="AJ85" s="67"/>
      <c r="AK85" s="67"/>
      <c r="AL85" s="67"/>
      <c r="AM85" s="67"/>
      <c r="AN85" s="67"/>
      <c r="AO85" s="67"/>
      <c r="AP85" s="67"/>
      <c r="AQ85" s="67"/>
      <c r="AR85" s="67"/>
      <c r="AS85" s="67"/>
      <c r="AT85" s="67"/>
      <c r="AU85" s="67"/>
      <c r="AV85" s="67"/>
      <c r="AW85" s="67"/>
      <c r="AX85" s="67"/>
      <c r="AY85" s="67"/>
      <c r="AZ85" s="67"/>
      <c r="BA85" s="67"/>
      <c r="BB85" s="67"/>
      <c r="BC85" s="67"/>
      <c r="BD85" s="67"/>
      <c r="BE85" s="67"/>
      <c r="BF85" s="67"/>
      <c r="BG85" s="67"/>
      <c r="BH85" s="70"/>
      <c r="BJ85" s="67"/>
      <c r="BK85" s="67"/>
      <c r="BL85" s="67"/>
      <c r="BM85" s="67"/>
      <c r="BN85" s="67"/>
      <c r="BO85" s="67"/>
      <c r="BP85" s="67"/>
      <c r="BQ85" s="67"/>
      <c r="BR85" s="67"/>
      <c r="BS85" s="67"/>
      <c r="BT85" s="67"/>
      <c r="BU85" s="67"/>
      <c r="BV85" s="67"/>
      <c r="BW85" s="67"/>
      <c r="BX85" s="67"/>
      <c r="BY85" s="67"/>
      <c r="BZ85" s="67"/>
      <c r="CA85" s="67"/>
      <c r="CB85" s="67"/>
      <c r="CC85" s="67"/>
      <c r="CD85" s="67"/>
      <c r="CE85" s="67"/>
      <c r="CF85" s="67"/>
      <c r="CG85" s="67"/>
      <c r="CH85" s="67"/>
      <c r="CI85" s="67"/>
      <c r="CJ85" s="67"/>
      <c r="CK85" s="67"/>
      <c r="CL85" s="67"/>
      <c r="CM85" s="67"/>
      <c r="CN85" s="67"/>
      <c r="CO85" s="67"/>
      <c r="CP85" s="67"/>
      <c r="CQ85" s="67"/>
      <c r="CR85" s="67"/>
      <c r="CS85" s="67"/>
      <c r="CT85" s="67"/>
      <c r="CU85" s="67"/>
      <c r="CV85" s="67"/>
      <c r="CW85" s="67"/>
      <c r="CX85" s="67"/>
      <c r="CY85" s="67"/>
      <c r="CZ85" s="67"/>
      <c r="DA85" s="67"/>
      <c r="DB85" s="67"/>
      <c r="DC85" s="67"/>
      <c r="DD85" s="67"/>
      <c r="DE85" s="67"/>
      <c r="DF85" s="67"/>
      <c r="DG85" s="67"/>
      <c r="DH85" s="67"/>
      <c r="DI85" s="67"/>
      <c r="DJ85" s="67"/>
    </row>
    <row r="86" spans="5:114" x14ac:dyDescent="0.2">
      <c r="E86" s="67"/>
      <c r="G86" s="67"/>
      <c r="H86" s="67"/>
      <c r="I86" s="67"/>
      <c r="J86" s="67"/>
      <c r="K86" s="67"/>
      <c r="L86" s="67"/>
      <c r="M86" s="67"/>
      <c r="N86" s="67"/>
      <c r="O86" s="67"/>
      <c r="P86" s="67"/>
      <c r="Q86" s="67"/>
      <c r="R86" s="67"/>
      <c r="S86" s="67"/>
      <c r="T86" s="67"/>
      <c r="U86" s="67"/>
      <c r="V86" s="67"/>
      <c r="W86" s="67"/>
      <c r="X86" s="67"/>
      <c r="Y86" s="67"/>
      <c r="Z86" s="67"/>
      <c r="AA86" s="67"/>
      <c r="AB86" s="67"/>
      <c r="AC86" s="67"/>
      <c r="AD86" s="67"/>
      <c r="AE86" s="67"/>
      <c r="AF86" s="67"/>
      <c r="AG86" s="67"/>
      <c r="AH86" s="67"/>
      <c r="AI86" s="67"/>
      <c r="AJ86" s="67"/>
      <c r="AK86" s="67"/>
      <c r="AL86" s="67"/>
      <c r="AM86" s="67"/>
      <c r="AN86" s="67"/>
      <c r="AO86" s="67"/>
      <c r="AP86" s="67"/>
      <c r="AQ86" s="67"/>
      <c r="AR86" s="67"/>
      <c r="AS86" s="67"/>
      <c r="AT86" s="67"/>
      <c r="AU86" s="67"/>
      <c r="AV86" s="67"/>
      <c r="AW86" s="67"/>
      <c r="AX86" s="67"/>
      <c r="AY86" s="67"/>
      <c r="AZ86" s="67"/>
      <c r="BA86" s="67"/>
      <c r="BB86" s="67"/>
      <c r="BC86" s="67"/>
      <c r="BD86" s="67"/>
      <c r="BE86" s="67"/>
      <c r="BF86" s="67"/>
      <c r="BG86" s="67"/>
      <c r="BH86" s="70"/>
      <c r="BJ86" s="67"/>
      <c r="BK86" s="67"/>
      <c r="BL86" s="67"/>
      <c r="BM86" s="67"/>
      <c r="BN86" s="67"/>
      <c r="BO86" s="67"/>
      <c r="BP86" s="67"/>
      <c r="BQ86" s="67"/>
      <c r="BR86" s="67"/>
      <c r="BS86" s="67"/>
      <c r="BT86" s="67"/>
      <c r="BU86" s="67"/>
      <c r="BV86" s="67"/>
      <c r="BW86" s="67"/>
      <c r="BX86" s="67"/>
      <c r="BY86" s="67"/>
      <c r="BZ86" s="67"/>
      <c r="CA86" s="67"/>
      <c r="CB86" s="67"/>
      <c r="CC86" s="67"/>
      <c r="CD86" s="67"/>
      <c r="CE86" s="67"/>
      <c r="CF86" s="67"/>
      <c r="CG86" s="67"/>
      <c r="CH86" s="67"/>
      <c r="CI86" s="67"/>
      <c r="CJ86" s="67"/>
      <c r="CK86" s="67"/>
      <c r="CL86" s="67"/>
      <c r="CM86" s="67"/>
      <c r="CN86" s="67"/>
      <c r="CO86" s="67"/>
      <c r="CP86" s="67"/>
      <c r="CQ86" s="67"/>
      <c r="CR86" s="67"/>
      <c r="CS86" s="67"/>
      <c r="CT86" s="67"/>
      <c r="CU86" s="67"/>
      <c r="CV86" s="67"/>
      <c r="CW86" s="67"/>
      <c r="CX86" s="67"/>
      <c r="CY86" s="67"/>
      <c r="CZ86" s="67"/>
      <c r="DA86" s="67"/>
      <c r="DB86" s="67"/>
      <c r="DC86" s="67"/>
      <c r="DD86" s="67"/>
      <c r="DE86" s="67"/>
      <c r="DF86" s="67"/>
      <c r="DG86" s="67"/>
      <c r="DH86" s="67"/>
      <c r="DI86" s="67"/>
      <c r="DJ86" s="67"/>
    </row>
    <row r="87" spans="5:114" x14ac:dyDescent="0.2">
      <c r="E87" s="67"/>
      <c r="G87" s="67"/>
      <c r="H87" s="67"/>
      <c r="I87" s="67"/>
      <c r="J87" s="67"/>
      <c r="K87" s="67"/>
      <c r="L87" s="67"/>
      <c r="M87" s="67"/>
      <c r="N87" s="67"/>
      <c r="O87" s="67"/>
      <c r="P87" s="67"/>
      <c r="Q87" s="67"/>
      <c r="R87" s="67"/>
      <c r="S87" s="67"/>
      <c r="T87" s="67"/>
      <c r="U87" s="67"/>
      <c r="V87" s="67"/>
      <c r="W87" s="67"/>
      <c r="X87" s="67"/>
      <c r="Y87" s="67"/>
      <c r="Z87" s="67"/>
      <c r="AA87" s="67"/>
      <c r="AB87" s="67"/>
      <c r="AC87" s="67"/>
      <c r="AD87" s="67"/>
      <c r="AE87" s="67"/>
      <c r="AF87" s="67"/>
      <c r="AG87" s="67"/>
      <c r="AH87" s="67"/>
      <c r="AI87" s="67"/>
      <c r="AJ87" s="67"/>
      <c r="AK87" s="67"/>
      <c r="AL87" s="67"/>
      <c r="AM87" s="67"/>
      <c r="AN87" s="67"/>
      <c r="AO87" s="67"/>
      <c r="AP87" s="67"/>
      <c r="AQ87" s="67"/>
      <c r="AR87" s="67"/>
      <c r="AS87" s="67"/>
      <c r="AT87" s="67"/>
      <c r="AU87" s="67"/>
      <c r="AV87" s="67"/>
      <c r="AW87" s="67"/>
      <c r="AX87" s="67"/>
      <c r="AY87" s="67"/>
      <c r="AZ87" s="67"/>
      <c r="BA87" s="67"/>
      <c r="BB87" s="67"/>
      <c r="BC87" s="67"/>
      <c r="BD87" s="67"/>
      <c r="BE87" s="67"/>
      <c r="BF87" s="67"/>
      <c r="BG87" s="67"/>
      <c r="BH87" s="70"/>
      <c r="BJ87" s="67"/>
      <c r="BK87" s="67"/>
      <c r="BL87" s="67"/>
      <c r="BM87" s="67"/>
      <c r="BN87" s="67"/>
      <c r="BO87" s="67"/>
      <c r="BP87" s="67"/>
      <c r="BQ87" s="67"/>
      <c r="BR87" s="67"/>
      <c r="BS87" s="67"/>
      <c r="BT87" s="67"/>
      <c r="BU87" s="67"/>
      <c r="BV87" s="67"/>
      <c r="BW87" s="67"/>
      <c r="BX87" s="67"/>
      <c r="BY87" s="67"/>
      <c r="BZ87" s="67"/>
      <c r="CA87" s="67"/>
      <c r="CB87" s="67"/>
      <c r="CC87" s="67"/>
      <c r="CD87" s="67"/>
      <c r="CE87" s="67"/>
      <c r="CF87" s="67"/>
      <c r="CG87" s="67"/>
      <c r="CH87" s="67"/>
      <c r="CI87" s="67"/>
      <c r="CJ87" s="67"/>
      <c r="CK87" s="67"/>
      <c r="CL87" s="67"/>
      <c r="CM87" s="67"/>
      <c r="CN87" s="67"/>
      <c r="CO87" s="67"/>
      <c r="CP87" s="67"/>
      <c r="CQ87" s="67"/>
      <c r="CR87" s="67"/>
      <c r="CS87" s="67"/>
      <c r="CT87" s="67"/>
      <c r="CU87" s="67"/>
      <c r="CV87" s="67"/>
      <c r="CW87" s="67"/>
      <c r="CX87" s="67"/>
      <c r="CY87" s="67"/>
      <c r="CZ87" s="67"/>
      <c r="DA87" s="67"/>
      <c r="DB87" s="67"/>
      <c r="DC87" s="67"/>
      <c r="DD87" s="67"/>
      <c r="DE87" s="67"/>
      <c r="DF87" s="67"/>
      <c r="DG87" s="67"/>
      <c r="DH87" s="67"/>
      <c r="DI87" s="67"/>
      <c r="DJ87" s="67"/>
    </row>
    <row r="88" spans="5:114" x14ac:dyDescent="0.2">
      <c r="E88" s="67"/>
      <c r="G88" s="67"/>
      <c r="H88" s="67"/>
      <c r="I88" s="67"/>
      <c r="J88" s="67"/>
      <c r="K88" s="67"/>
      <c r="L88" s="67"/>
      <c r="M88" s="67"/>
      <c r="N88" s="67"/>
      <c r="O88" s="67"/>
      <c r="P88" s="67"/>
      <c r="Q88" s="67"/>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70"/>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M88" s="67"/>
      <c r="CN88" s="67"/>
      <c r="CO88" s="67"/>
      <c r="CP88" s="67"/>
      <c r="CQ88" s="67"/>
      <c r="CR88" s="67"/>
      <c r="CS88" s="67"/>
      <c r="CT88" s="67"/>
      <c r="CU88" s="67"/>
      <c r="CV88" s="67"/>
      <c r="CW88" s="67"/>
      <c r="CX88" s="67"/>
      <c r="CY88" s="67"/>
      <c r="CZ88" s="67"/>
      <c r="DA88" s="67"/>
      <c r="DB88" s="67"/>
      <c r="DC88" s="67"/>
      <c r="DD88" s="67"/>
      <c r="DE88" s="67"/>
      <c r="DF88" s="67"/>
      <c r="DG88" s="67"/>
      <c r="DH88" s="67"/>
      <c r="DI88" s="67"/>
      <c r="DJ88" s="67"/>
    </row>
    <row r="89" spans="5:114" x14ac:dyDescent="0.2">
      <c r="E89" s="67"/>
      <c r="G89" s="67"/>
      <c r="H89" s="67"/>
      <c r="I89" s="67"/>
      <c r="J89" s="67"/>
      <c r="K89" s="67"/>
      <c r="L89" s="67"/>
      <c r="M89" s="67"/>
      <c r="N89" s="67"/>
      <c r="O89" s="67"/>
      <c r="P89" s="67"/>
      <c r="Q89" s="67"/>
      <c r="R89" s="67"/>
      <c r="S89" s="67"/>
      <c r="T89" s="67"/>
      <c r="U89" s="67"/>
      <c r="V89" s="67"/>
      <c r="W89" s="67"/>
      <c r="X89" s="67"/>
      <c r="Y89" s="67"/>
      <c r="Z89" s="67"/>
      <c r="AA89" s="67"/>
      <c r="AB89" s="67"/>
      <c r="AC89" s="67"/>
      <c r="AD89" s="67"/>
      <c r="AE89" s="67"/>
      <c r="AF89" s="67"/>
      <c r="AG89" s="67"/>
      <c r="AH89" s="67"/>
      <c r="AI89" s="67"/>
      <c r="AJ89" s="67"/>
      <c r="AK89" s="67"/>
      <c r="AL89" s="67"/>
      <c r="AM89" s="67"/>
      <c r="AN89" s="67"/>
      <c r="AO89" s="67"/>
      <c r="AP89" s="67"/>
      <c r="AQ89" s="67"/>
      <c r="AR89" s="67"/>
      <c r="AS89" s="67"/>
      <c r="AT89" s="67"/>
      <c r="AU89" s="67"/>
      <c r="AV89" s="67"/>
      <c r="AW89" s="67"/>
      <c r="AX89" s="67"/>
      <c r="AY89" s="67"/>
      <c r="AZ89" s="67"/>
      <c r="BA89" s="67"/>
      <c r="BB89" s="67"/>
      <c r="BC89" s="67"/>
      <c r="BD89" s="67"/>
      <c r="BE89" s="67"/>
      <c r="BF89" s="67"/>
      <c r="BG89" s="67"/>
      <c r="BH89" s="70"/>
      <c r="BJ89" s="67"/>
      <c r="BK89" s="67"/>
      <c r="BL89" s="67"/>
      <c r="BM89" s="67"/>
      <c r="BN89" s="67"/>
      <c r="BO89" s="67"/>
      <c r="BP89" s="67"/>
      <c r="BQ89" s="67"/>
      <c r="BR89" s="67"/>
      <c r="BS89" s="67"/>
      <c r="BT89" s="67"/>
      <c r="BU89" s="67"/>
      <c r="BV89" s="67"/>
      <c r="BW89" s="67"/>
      <c r="BX89" s="67"/>
      <c r="BY89" s="67"/>
      <c r="BZ89" s="67"/>
      <c r="CA89" s="67"/>
      <c r="CB89" s="67"/>
      <c r="CC89" s="67"/>
      <c r="CD89" s="67"/>
      <c r="CE89" s="67"/>
      <c r="CF89" s="67"/>
      <c r="CG89" s="67"/>
      <c r="CH89" s="67"/>
      <c r="CI89" s="67"/>
      <c r="CJ89" s="67"/>
      <c r="CK89" s="67"/>
      <c r="CL89" s="67"/>
      <c r="CM89" s="67"/>
      <c r="CN89" s="67"/>
      <c r="CO89" s="67"/>
      <c r="CP89" s="67"/>
      <c r="CQ89" s="67"/>
      <c r="CR89" s="67"/>
      <c r="CS89" s="67"/>
      <c r="CT89" s="67"/>
      <c r="CU89" s="67"/>
      <c r="CV89" s="67"/>
      <c r="CW89" s="67"/>
      <c r="CX89" s="67"/>
      <c r="CY89" s="67"/>
      <c r="CZ89" s="67"/>
      <c r="DA89" s="67"/>
      <c r="DB89" s="67"/>
      <c r="DC89" s="67"/>
      <c r="DD89" s="67"/>
      <c r="DE89" s="67"/>
      <c r="DF89" s="67"/>
      <c r="DG89" s="67"/>
      <c r="DH89" s="67"/>
      <c r="DI89" s="67"/>
      <c r="DJ89" s="67"/>
    </row>
    <row r="90" spans="5:114" x14ac:dyDescent="0.2">
      <c r="E90" s="67"/>
      <c r="G90" s="67"/>
      <c r="H90" s="67"/>
      <c r="I90" s="67"/>
      <c r="J90" s="67"/>
      <c r="K90" s="67"/>
      <c r="L90" s="67"/>
      <c r="M90" s="67"/>
      <c r="N90" s="67"/>
      <c r="O90" s="67"/>
      <c r="P90" s="67"/>
      <c r="Q90" s="67"/>
      <c r="R90" s="67"/>
      <c r="S90" s="67"/>
      <c r="T90" s="67"/>
      <c r="U90" s="67"/>
      <c r="V90" s="67"/>
      <c r="W90" s="67"/>
      <c r="X90" s="67"/>
      <c r="Y90" s="67"/>
      <c r="Z90" s="67"/>
      <c r="AA90" s="67"/>
      <c r="AB90" s="67"/>
      <c r="AC90" s="67"/>
      <c r="AD90" s="67"/>
      <c r="AE90" s="67"/>
      <c r="AF90" s="67"/>
      <c r="AG90" s="67"/>
      <c r="AH90" s="67"/>
      <c r="AI90" s="67"/>
      <c r="AJ90" s="67"/>
      <c r="AK90" s="67"/>
      <c r="AL90" s="67"/>
      <c r="AM90" s="67"/>
      <c r="AN90" s="67"/>
      <c r="AO90" s="67"/>
      <c r="AP90" s="67"/>
      <c r="AQ90" s="67"/>
      <c r="AR90" s="67"/>
      <c r="AS90" s="67"/>
      <c r="AT90" s="67"/>
      <c r="AU90" s="67"/>
      <c r="AV90" s="67"/>
      <c r="AW90" s="67"/>
      <c r="AX90" s="67"/>
      <c r="AY90" s="67"/>
      <c r="AZ90" s="67"/>
      <c r="BA90" s="67"/>
      <c r="BB90" s="67"/>
      <c r="BC90" s="67"/>
      <c r="BD90" s="67"/>
      <c r="BE90" s="67"/>
      <c r="BF90" s="67"/>
      <c r="BG90" s="67"/>
      <c r="BH90" s="70"/>
      <c r="BJ90" s="67"/>
      <c r="BK90" s="67"/>
      <c r="BL90" s="67"/>
      <c r="BM90" s="67"/>
      <c r="BN90" s="67"/>
      <c r="BO90" s="67"/>
      <c r="BP90" s="67"/>
      <c r="BQ90" s="67"/>
      <c r="BR90" s="67"/>
      <c r="BS90" s="67"/>
      <c r="BT90" s="67"/>
      <c r="BU90" s="67"/>
      <c r="BV90" s="67"/>
      <c r="BW90" s="67"/>
      <c r="BX90" s="67"/>
      <c r="BY90" s="67"/>
      <c r="BZ90" s="67"/>
      <c r="CA90" s="67"/>
      <c r="CB90" s="67"/>
      <c r="CC90" s="67"/>
      <c r="CD90" s="67"/>
      <c r="CE90" s="67"/>
      <c r="CF90" s="67"/>
      <c r="CG90" s="67"/>
      <c r="CH90" s="67"/>
      <c r="CI90" s="67"/>
      <c r="CJ90" s="67"/>
      <c r="CK90" s="67"/>
      <c r="CL90" s="67"/>
      <c r="CM90" s="67"/>
      <c r="CN90" s="67"/>
      <c r="CO90" s="67"/>
      <c r="CP90" s="67"/>
      <c r="CQ90" s="67"/>
      <c r="CR90" s="67"/>
      <c r="CS90" s="67"/>
      <c r="CT90" s="67"/>
      <c r="CU90" s="67"/>
      <c r="CV90" s="67"/>
      <c r="CW90" s="67"/>
      <c r="CX90" s="67"/>
      <c r="CY90" s="67"/>
      <c r="CZ90" s="67"/>
      <c r="DA90" s="67"/>
      <c r="DB90" s="67"/>
      <c r="DC90" s="67"/>
      <c r="DD90" s="67"/>
      <c r="DE90" s="67"/>
      <c r="DF90" s="67"/>
      <c r="DG90" s="67"/>
      <c r="DH90" s="67"/>
      <c r="DI90" s="67"/>
      <c r="DJ90" s="67"/>
    </row>
    <row r="91" spans="5:114" x14ac:dyDescent="0.2">
      <c r="E91" s="67"/>
      <c r="G91" s="67"/>
      <c r="H91" s="67"/>
      <c r="I91" s="67"/>
      <c r="J91" s="67"/>
      <c r="K91" s="67"/>
      <c r="L91" s="67"/>
      <c r="M91" s="67"/>
      <c r="N91" s="67"/>
      <c r="O91" s="67"/>
      <c r="P91" s="67"/>
      <c r="Q91" s="67"/>
      <c r="R91" s="67"/>
      <c r="S91" s="67"/>
      <c r="T91" s="67"/>
      <c r="U91" s="67"/>
      <c r="V91" s="67"/>
      <c r="W91" s="67"/>
      <c r="X91" s="67"/>
      <c r="Y91" s="67"/>
      <c r="Z91" s="67"/>
      <c r="AA91" s="67"/>
      <c r="AB91" s="67"/>
      <c r="AC91" s="67"/>
      <c r="AD91" s="67"/>
      <c r="AE91" s="67"/>
      <c r="AF91" s="67"/>
      <c r="AG91" s="67"/>
      <c r="AH91" s="67"/>
      <c r="AI91" s="67"/>
      <c r="AJ91" s="67"/>
      <c r="AK91" s="67"/>
      <c r="AL91" s="67"/>
      <c r="AM91" s="67"/>
      <c r="AN91" s="67"/>
      <c r="AO91" s="67"/>
      <c r="AP91" s="67"/>
      <c r="AQ91" s="67"/>
      <c r="AR91" s="67"/>
      <c r="AS91" s="67"/>
      <c r="AT91" s="67"/>
      <c r="AU91" s="67"/>
      <c r="AV91" s="67"/>
      <c r="AW91" s="67"/>
      <c r="AX91" s="67"/>
      <c r="AY91" s="67"/>
      <c r="AZ91" s="67"/>
      <c r="BA91" s="67"/>
      <c r="BB91" s="67"/>
      <c r="BC91" s="67"/>
      <c r="BD91" s="67"/>
      <c r="BE91" s="67"/>
      <c r="BF91" s="67"/>
      <c r="BG91" s="67"/>
      <c r="BH91" s="70"/>
      <c r="BJ91" s="67"/>
      <c r="BK91" s="67"/>
      <c r="BL91" s="67"/>
      <c r="BM91" s="67"/>
      <c r="BN91" s="67"/>
      <c r="BO91" s="67"/>
      <c r="BP91" s="67"/>
      <c r="BQ91" s="67"/>
      <c r="BR91" s="67"/>
      <c r="BS91" s="67"/>
      <c r="BT91" s="67"/>
      <c r="BU91" s="67"/>
      <c r="BV91" s="67"/>
      <c r="BW91" s="67"/>
      <c r="BX91" s="67"/>
      <c r="BY91" s="67"/>
      <c r="BZ91" s="67"/>
      <c r="CA91" s="67"/>
      <c r="CB91" s="67"/>
      <c r="CC91" s="67"/>
      <c r="CD91" s="67"/>
      <c r="CE91" s="67"/>
      <c r="CF91" s="67"/>
      <c r="CG91" s="67"/>
      <c r="CH91" s="67"/>
      <c r="CI91" s="67"/>
      <c r="CJ91" s="67"/>
      <c r="CK91" s="67"/>
      <c r="CL91" s="67"/>
      <c r="CM91" s="67"/>
      <c r="CN91" s="67"/>
      <c r="CO91" s="67"/>
      <c r="CP91" s="67"/>
      <c r="CQ91" s="67"/>
      <c r="CR91" s="67"/>
      <c r="CS91" s="67"/>
      <c r="CT91" s="67"/>
      <c r="CU91" s="67"/>
      <c r="CV91" s="67"/>
      <c r="CW91" s="67"/>
      <c r="CX91" s="67"/>
      <c r="CY91" s="67"/>
      <c r="CZ91" s="67"/>
      <c r="DA91" s="67"/>
      <c r="DB91" s="67"/>
      <c r="DC91" s="67"/>
      <c r="DD91" s="67"/>
      <c r="DE91" s="67"/>
      <c r="DF91" s="67"/>
      <c r="DG91" s="67"/>
      <c r="DH91" s="67"/>
      <c r="DI91" s="67"/>
      <c r="DJ91" s="67"/>
    </row>
    <row r="92" spans="5:114" x14ac:dyDescent="0.2">
      <c r="E92" s="67"/>
      <c r="G92" s="67"/>
      <c r="H92" s="67"/>
      <c r="I92" s="67"/>
      <c r="J92" s="67"/>
      <c r="K92" s="67"/>
      <c r="L92" s="67"/>
      <c r="M92" s="67"/>
      <c r="N92" s="67"/>
      <c r="O92" s="67"/>
      <c r="P92" s="67"/>
      <c r="Q92" s="67"/>
      <c r="R92" s="67"/>
      <c r="S92" s="67"/>
      <c r="T92" s="67"/>
      <c r="U92" s="67"/>
      <c r="V92" s="67"/>
      <c r="W92" s="67"/>
      <c r="X92" s="67"/>
      <c r="Y92" s="67"/>
      <c r="Z92" s="67"/>
      <c r="AA92" s="67"/>
      <c r="AB92" s="67"/>
      <c r="AC92" s="67"/>
      <c r="AD92" s="67"/>
      <c r="AE92" s="67"/>
      <c r="AF92" s="67"/>
      <c r="AG92" s="67"/>
      <c r="AH92" s="67"/>
      <c r="AI92" s="67"/>
      <c r="AJ92" s="67"/>
      <c r="AK92" s="67"/>
      <c r="AL92" s="67"/>
      <c r="AM92" s="67"/>
      <c r="AN92" s="67"/>
      <c r="AO92" s="67"/>
      <c r="AP92" s="67"/>
      <c r="AQ92" s="67"/>
      <c r="AR92" s="67"/>
      <c r="AS92" s="67"/>
      <c r="AT92" s="67"/>
      <c r="AU92" s="67"/>
      <c r="AV92" s="67"/>
      <c r="AW92" s="67"/>
      <c r="AX92" s="67"/>
      <c r="AY92" s="67"/>
      <c r="AZ92" s="67"/>
      <c r="BA92" s="67"/>
      <c r="BB92" s="67"/>
      <c r="BC92" s="67"/>
      <c r="BD92" s="67"/>
      <c r="BE92" s="67"/>
      <c r="BF92" s="67"/>
      <c r="BG92" s="67"/>
      <c r="BH92" s="70"/>
      <c r="BJ92" s="67"/>
      <c r="BK92" s="67"/>
      <c r="BL92" s="67"/>
      <c r="BM92" s="67"/>
      <c r="BN92" s="67"/>
      <c r="BO92" s="67"/>
      <c r="BP92" s="67"/>
      <c r="BQ92" s="67"/>
      <c r="BR92" s="67"/>
      <c r="BS92" s="67"/>
      <c r="BT92" s="67"/>
      <c r="BU92" s="67"/>
      <c r="BV92" s="67"/>
      <c r="BW92" s="67"/>
      <c r="BX92" s="67"/>
      <c r="BY92" s="67"/>
      <c r="BZ92" s="67"/>
      <c r="CA92" s="67"/>
      <c r="CB92" s="67"/>
      <c r="CC92" s="67"/>
      <c r="CD92" s="67"/>
      <c r="CE92" s="67"/>
      <c r="CF92" s="67"/>
      <c r="CG92" s="67"/>
      <c r="CH92" s="67"/>
      <c r="CI92" s="67"/>
      <c r="CJ92" s="67"/>
      <c r="CK92" s="67"/>
      <c r="CL92" s="67"/>
      <c r="CM92" s="67"/>
      <c r="CN92" s="67"/>
      <c r="CO92" s="67"/>
      <c r="CP92" s="67"/>
      <c r="CQ92" s="67"/>
      <c r="CR92" s="67"/>
      <c r="CS92" s="67"/>
      <c r="CT92" s="67"/>
      <c r="CU92" s="67"/>
      <c r="CV92" s="67"/>
      <c r="CW92" s="67"/>
      <c r="CX92" s="67"/>
      <c r="CY92" s="67"/>
      <c r="CZ92" s="67"/>
      <c r="DA92" s="67"/>
      <c r="DB92" s="67"/>
      <c r="DC92" s="67"/>
      <c r="DD92" s="67"/>
      <c r="DE92" s="67"/>
      <c r="DF92" s="67"/>
      <c r="DG92" s="67"/>
      <c r="DH92" s="67"/>
      <c r="DI92" s="67"/>
      <c r="DJ92" s="67"/>
    </row>
    <row r="93" spans="5:114" x14ac:dyDescent="0.2">
      <c r="E93" s="67"/>
      <c r="G93" s="67"/>
      <c r="H93" s="67"/>
      <c r="I93" s="67"/>
      <c r="J93" s="67"/>
      <c r="K93" s="67"/>
      <c r="L93" s="67"/>
      <c r="M93" s="67"/>
      <c r="N93" s="67"/>
      <c r="O93" s="67"/>
      <c r="P93" s="67"/>
      <c r="Q93" s="67"/>
      <c r="R93" s="67"/>
      <c r="S93" s="67"/>
      <c r="T93" s="67"/>
      <c r="U93" s="67"/>
      <c r="V93" s="67"/>
      <c r="W93" s="67"/>
      <c r="X93" s="67"/>
      <c r="Y93" s="67"/>
      <c r="Z93" s="67"/>
      <c r="AA93" s="67"/>
      <c r="AB93" s="67"/>
      <c r="AC93" s="67"/>
      <c r="AD93" s="67"/>
      <c r="AE93" s="67"/>
      <c r="AF93" s="67"/>
      <c r="AG93" s="67"/>
      <c r="AH93" s="67"/>
      <c r="AI93" s="67"/>
      <c r="AJ93" s="67"/>
      <c r="AK93" s="67"/>
      <c r="AL93" s="67"/>
      <c r="AM93" s="67"/>
      <c r="AN93" s="67"/>
      <c r="AO93" s="67"/>
      <c r="AP93" s="67"/>
      <c r="AQ93" s="67"/>
      <c r="AR93" s="67"/>
      <c r="AS93" s="67"/>
      <c r="AT93" s="67"/>
      <c r="AU93" s="67"/>
      <c r="AV93" s="67"/>
      <c r="AW93" s="67"/>
      <c r="AX93" s="67"/>
      <c r="AY93" s="67"/>
      <c r="AZ93" s="67"/>
      <c r="BA93" s="67"/>
      <c r="BB93" s="67"/>
      <c r="BC93" s="67"/>
      <c r="BD93" s="67"/>
      <c r="BE93" s="67"/>
      <c r="BF93" s="67"/>
      <c r="BG93" s="67"/>
      <c r="BH93" s="70"/>
      <c r="BJ93" s="67"/>
      <c r="BK93" s="67"/>
      <c r="BL93" s="67"/>
      <c r="BM93" s="67"/>
      <c r="BN93" s="67"/>
      <c r="BO93" s="67"/>
      <c r="BP93" s="67"/>
      <c r="BQ93" s="67"/>
      <c r="BR93" s="67"/>
      <c r="BS93" s="67"/>
      <c r="BT93" s="67"/>
      <c r="BU93" s="67"/>
      <c r="BV93" s="67"/>
      <c r="BW93" s="67"/>
      <c r="BX93" s="67"/>
      <c r="BY93" s="67"/>
      <c r="BZ93" s="67"/>
      <c r="CA93" s="67"/>
      <c r="CB93" s="67"/>
      <c r="CC93" s="67"/>
      <c r="CD93" s="67"/>
      <c r="CE93" s="67"/>
      <c r="CF93" s="67"/>
      <c r="CG93" s="67"/>
      <c r="CH93" s="67"/>
      <c r="CI93" s="67"/>
      <c r="CJ93" s="67"/>
      <c r="CK93" s="67"/>
      <c r="CL93" s="67"/>
      <c r="CM93" s="67"/>
      <c r="CN93" s="67"/>
      <c r="CO93" s="67"/>
      <c r="CP93" s="67"/>
      <c r="CQ93" s="67"/>
      <c r="CR93" s="67"/>
      <c r="CS93" s="67"/>
      <c r="CT93" s="67"/>
      <c r="CU93" s="67"/>
      <c r="CV93" s="67"/>
      <c r="CW93" s="67"/>
      <c r="CX93" s="67"/>
      <c r="CY93" s="67"/>
      <c r="CZ93" s="67"/>
      <c r="DA93" s="67"/>
      <c r="DB93" s="67"/>
      <c r="DC93" s="67"/>
      <c r="DD93" s="67"/>
      <c r="DE93" s="67"/>
      <c r="DF93" s="67"/>
      <c r="DG93" s="67"/>
      <c r="DH93" s="67"/>
      <c r="DI93" s="67"/>
      <c r="DJ93" s="67"/>
    </row>
    <row r="94" spans="5:114" x14ac:dyDescent="0.2">
      <c r="E94" s="67"/>
      <c r="G94" s="67"/>
      <c r="H94" s="67"/>
      <c r="I94" s="67"/>
      <c r="J94" s="67"/>
      <c r="K94" s="67"/>
      <c r="L94" s="67"/>
      <c r="M94" s="67"/>
      <c r="N94" s="67"/>
      <c r="O94" s="67"/>
      <c r="P94" s="67"/>
      <c r="Q94" s="67"/>
      <c r="R94" s="67"/>
      <c r="S94" s="67"/>
      <c r="T94" s="67"/>
      <c r="U94" s="67"/>
      <c r="V94" s="67"/>
      <c r="W94" s="67"/>
      <c r="X94" s="67"/>
      <c r="Y94" s="67"/>
      <c r="Z94" s="67"/>
      <c r="AA94" s="67"/>
      <c r="AB94" s="67"/>
      <c r="AC94" s="67"/>
      <c r="AD94" s="67"/>
      <c r="AE94" s="67"/>
      <c r="AF94" s="67"/>
      <c r="AG94" s="67"/>
      <c r="AH94" s="67"/>
      <c r="AI94" s="67"/>
      <c r="AJ94" s="67"/>
      <c r="AK94" s="67"/>
      <c r="AL94" s="67"/>
      <c r="AM94" s="67"/>
      <c r="AN94" s="67"/>
      <c r="AO94" s="67"/>
      <c r="AP94" s="67"/>
      <c r="AQ94" s="67"/>
      <c r="AR94" s="67"/>
      <c r="AS94" s="67"/>
      <c r="AT94" s="67"/>
      <c r="AU94" s="67"/>
      <c r="AV94" s="67"/>
      <c r="AW94" s="67"/>
      <c r="AX94" s="67"/>
      <c r="AY94" s="67"/>
      <c r="AZ94" s="67"/>
      <c r="BA94" s="67"/>
      <c r="BB94" s="67"/>
      <c r="BC94" s="67"/>
      <c r="BD94" s="67"/>
      <c r="BE94" s="67"/>
      <c r="BF94" s="67"/>
      <c r="BG94" s="67"/>
      <c r="BH94" s="70"/>
      <c r="BJ94" s="67"/>
      <c r="BK94" s="67"/>
      <c r="BL94" s="67"/>
      <c r="BM94" s="67"/>
      <c r="BN94" s="67"/>
      <c r="BO94" s="67"/>
      <c r="BP94" s="67"/>
      <c r="BQ94" s="67"/>
      <c r="BR94" s="67"/>
      <c r="BS94" s="67"/>
      <c r="BT94" s="67"/>
      <c r="BU94" s="67"/>
      <c r="BV94" s="67"/>
      <c r="BW94" s="67"/>
      <c r="BX94" s="67"/>
      <c r="BY94" s="67"/>
      <c r="BZ94" s="67"/>
      <c r="CA94" s="67"/>
      <c r="CB94" s="67"/>
      <c r="CC94" s="67"/>
      <c r="CD94" s="67"/>
      <c r="CE94" s="67"/>
      <c r="CF94" s="67"/>
      <c r="CG94" s="67"/>
      <c r="CH94" s="67"/>
      <c r="CI94" s="67"/>
      <c r="CJ94" s="67"/>
      <c r="CK94" s="67"/>
      <c r="CL94" s="67"/>
      <c r="CM94" s="67"/>
      <c r="CN94" s="67"/>
      <c r="CO94" s="67"/>
      <c r="CP94" s="67"/>
      <c r="CQ94" s="67"/>
      <c r="CR94" s="67"/>
      <c r="CS94" s="67"/>
      <c r="CT94" s="67"/>
      <c r="CU94" s="67"/>
      <c r="CV94" s="67"/>
      <c r="CW94" s="67"/>
      <c r="CX94" s="67"/>
      <c r="CY94" s="67"/>
      <c r="CZ94" s="67"/>
      <c r="DA94" s="67"/>
      <c r="DB94" s="67"/>
      <c r="DC94" s="67"/>
      <c r="DD94" s="67"/>
      <c r="DE94" s="67"/>
      <c r="DF94" s="67"/>
      <c r="DG94" s="67"/>
      <c r="DH94" s="67"/>
      <c r="DI94" s="67"/>
      <c r="DJ94" s="67"/>
    </row>
    <row r="95" spans="5:114" x14ac:dyDescent="0.2">
      <c r="E95" s="67"/>
      <c r="G95" s="67"/>
      <c r="H95" s="67"/>
      <c r="I95" s="67"/>
      <c r="J95" s="67"/>
      <c r="K95" s="67"/>
      <c r="L95" s="67"/>
      <c r="M95" s="67"/>
      <c r="N95" s="67"/>
      <c r="O95" s="67"/>
      <c r="P95" s="67"/>
      <c r="Q95" s="67"/>
      <c r="R95" s="67"/>
      <c r="S95" s="67"/>
      <c r="T95" s="67"/>
      <c r="U95" s="67"/>
      <c r="V95" s="67"/>
      <c r="W95" s="67"/>
      <c r="X95" s="67"/>
      <c r="Y95" s="67"/>
      <c r="Z95" s="67"/>
      <c r="AA95" s="67"/>
      <c r="AB95" s="67"/>
      <c r="AC95" s="67"/>
      <c r="AD95" s="67"/>
      <c r="AE95" s="67"/>
      <c r="AF95" s="67"/>
      <c r="AG95" s="67"/>
      <c r="AH95" s="67"/>
      <c r="AI95" s="67"/>
      <c r="AJ95" s="67"/>
      <c r="AK95" s="67"/>
      <c r="AL95" s="67"/>
      <c r="AM95" s="67"/>
      <c r="AN95" s="67"/>
      <c r="AO95" s="67"/>
      <c r="AP95" s="67"/>
      <c r="AQ95" s="67"/>
      <c r="AR95" s="67"/>
      <c r="AS95" s="67"/>
      <c r="AT95" s="67"/>
      <c r="AU95" s="67"/>
      <c r="AV95" s="67"/>
      <c r="AW95" s="67"/>
      <c r="AX95" s="67"/>
      <c r="AY95" s="67"/>
      <c r="AZ95" s="67"/>
      <c r="BA95" s="67"/>
      <c r="BB95" s="67"/>
      <c r="BC95" s="67"/>
      <c r="BD95" s="67"/>
      <c r="BE95" s="67"/>
      <c r="BF95" s="67"/>
      <c r="BG95" s="67"/>
      <c r="BH95" s="70"/>
      <c r="BJ95" s="67"/>
      <c r="BK95" s="67"/>
      <c r="BL95" s="67"/>
      <c r="BM95" s="67"/>
      <c r="BN95" s="67"/>
      <c r="BO95" s="67"/>
      <c r="BP95" s="67"/>
      <c r="BQ95" s="67"/>
      <c r="BR95" s="67"/>
      <c r="BS95" s="67"/>
      <c r="BT95" s="67"/>
      <c r="BU95" s="67"/>
      <c r="BV95" s="67"/>
      <c r="BW95" s="67"/>
      <c r="BX95" s="67"/>
      <c r="BY95" s="67"/>
      <c r="BZ95" s="67"/>
      <c r="CA95" s="67"/>
      <c r="CB95" s="67"/>
      <c r="CC95" s="67"/>
      <c r="CD95" s="67"/>
      <c r="CE95" s="67"/>
      <c r="CF95" s="67"/>
      <c r="CG95" s="67"/>
      <c r="CH95" s="67"/>
      <c r="CI95" s="67"/>
      <c r="CJ95" s="67"/>
      <c r="CK95" s="67"/>
      <c r="CL95" s="67"/>
      <c r="CM95" s="67"/>
      <c r="CN95" s="67"/>
      <c r="CO95" s="67"/>
      <c r="CP95" s="67"/>
      <c r="CQ95" s="67"/>
      <c r="CR95" s="67"/>
      <c r="CS95" s="67"/>
      <c r="CT95" s="67"/>
      <c r="CU95" s="67"/>
      <c r="CV95" s="67"/>
      <c r="CW95" s="67"/>
      <c r="CX95" s="67"/>
      <c r="CY95" s="67"/>
      <c r="CZ95" s="67"/>
      <c r="DA95" s="67"/>
      <c r="DB95" s="67"/>
      <c r="DC95" s="67"/>
      <c r="DD95" s="67"/>
      <c r="DE95" s="67"/>
      <c r="DF95" s="67"/>
      <c r="DG95" s="67"/>
      <c r="DH95" s="67"/>
      <c r="DI95" s="67"/>
      <c r="DJ95" s="67"/>
    </row>
    <row r="96" spans="5:114" x14ac:dyDescent="0.2">
      <c r="E96" s="67"/>
      <c r="G96" s="67"/>
      <c r="H96" s="67"/>
      <c r="I96" s="67"/>
      <c r="J96" s="67"/>
      <c r="K96" s="67"/>
      <c r="L96" s="67"/>
      <c r="M96" s="67"/>
      <c r="N96" s="67"/>
      <c r="O96" s="67"/>
      <c r="P96" s="67"/>
      <c r="Q96" s="67"/>
      <c r="R96" s="67"/>
      <c r="S96" s="67"/>
      <c r="T96" s="67"/>
      <c r="U96" s="67"/>
      <c r="V96" s="67"/>
      <c r="W96" s="67"/>
      <c r="X96" s="67"/>
      <c r="Y96" s="67"/>
      <c r="Z96" s="67"/>
      <c r="AA96" s="67"/>
      <c r="AB96" s="67"/>
      <c r="AC96" s="67"/>
      <c r="AD96" s="67"/>
      <c r="AE96" s="67"/>
      <c r="AF96" s="67"/>
      <c r="AG96" s="67"/>
      <c r="AH96" s="67"/>
      <c r="AI96" s="67"/>
      <c r="AJ96" s="67"/>
      <c r="AK96" s="67"/>
      <c r="AL96" s="67"/>
      <c r="AM96" s="67"/>
      <c r="AN96" s="67"/>
      <c r="AO96" s="67"/>
      <c r="AP96" s="67"/>
      <c r="AQ96" s="67"/>
      <c r="AR96" s="67"/>
      <c r="AS96" s="67"/>
      <c r="AT96" s="67"/>
      <c r="AU96" s="67"/>
      <c r="AV96" s="67"/>
      <c r="AW96" s="67"/>
      <c r="AX96" s="67"/>
      <c r="AY96" s="67"/>
      <c r="AZ96" s="67"/>
      <c r="BA96" s="67"/>
      <c r="BB96" s="67"/>
      <c r="BC96" s="67"/>
      <c r="BD96" s="67"/>
      <c r="BE96" s="67"/>
      <c r="BF96" s="67"/>
      <c r="BG96" s="67"/>
      <c r="BH96" s="70"/>
      <c r="BJ96" s="67"/>
      <c r="BK96" s="67"/>
      <c r="BL96" s="67"/>
      <c r="BM96" s="67"/>
      <c r="BN96" s="67"/>
      <c r="BO96" s="67"/>
      <c r="BP96" s="67"/>
      <c r="BQ96" s="67"/>
      <c r="BR96" s="67"/>
      <c r="BS96" s="67"/>
      <c r="BT96" s="67"/>
      <c r="BU96" s="67"/>
      <c r="BV96" s="67"/>
      <c r="BW96" s="67"/>
      <c r="BX96" s="67"/>
      <c r="BY96" s="67"/>
      <c r="BZ96" s="67"/>
      <c r="CA96" s="67"/>
      <c r="CB96" s="67"/>
      <c r="CC96" s="67"/>
      <c r="CD96" s="67"/>
      <c r="CE96" s="67"/>
      <c r="CF96" s="67"/>
      <c r="CG96" s="67"/>
      <c r="CH96" s="67"/>
      <c r="CI96" s="67"/>
      <c r="CJ96" s="67"/>
      <c r="CK96" s="67"/>
      <c r="CL96" s="67"/>
      <c r="CM96" s="67"/>
      <c r="CN96" s="67"/>
      <c r="CO96" s="67"/>
      <c r="CP96" s="67"/>
      <c r="CQ96" s="67"/>
      <c r="CR96" s="67"/>
      <c r="CS96" s="67"/>
      <c r="CT96" s="67"/>
      <c r="CU96" s="67"/>
      <c r="CV96" s="67"/>
      <c r="CW96" s="67"/>
      <c r="CX96" s="67"/>
      <c r="CY96" s="67"/>
      <c r="CZ96" s="67"/>
      <c r="DA96" s="67"/>
      <c r="DB96" s="67"/>
      <c r="DC96" s="67"/>
      <c r="DD96" s="67"/>
      <c r="DE96" s="67"/>
      <c r="DF96" s="67"/>
      <c r="DG96" s="67"/>
      <c r="DH96" s="67"/>
      <c r="DI96" s="67"/>
      <c r="DJ96" s="67"/>
    </row>
    <row r="97" spans="5:114" x14ac:dyDescent="0.2">
      <c r="E97" s="67"/>
      <c r="G97" s="67"/>
      <c r="H97" s="67"/>
      <c r="I97" s="67"/>
      <c r="J97" s="67"/>
      <c r="K97" s="67"/>
      <c r="L97" s="67"/>
      <c r="M97" s="67"/>
      <c r="N97" s="67"/>
      <c r="O97" s="67"/>
      <c r="P97" s="67"/>
      <c r="Q97" s="67"/>
      <c r="R97" s="67"/>
      <c r="S97" s="67"/>
      <c r="T97" s="67"/>
      <c r="U97" s="67"/>
      <c r="V97" s="67"/>
      <c r="W97" s="67"/>
      <c r="X97" s="67"/>
      <c r="Y97" s="67"/>
      <c r="Z97" s="67"/>
      <c r="AA97" s="67"/>
      <c r="AB97" s="67"/>
      <c r="AC97" s="67"/>
      <c r="AD97" s="67"/>
      <c r="AE97" s="67"/>
      <c r="AF97" s="67"/>
      <c r="AG97" s="67"/>
      <c r="AH97" s="67"/>
      <c r="AI97" s="67"/>
      <c r="AJ97" s="67"/>
      <c r="AK97" s="67"/>
      <c r="AL97" s="67"/>
      <c r="AM97" s="67"/>
      <c r="AN97" s="67"/>
      <c r="AO97" s="67"/>
      <c r="AP97" s="67"/>
      <c r="AQ97" s="67"/>
      <c r="AR97" s="67"/>
      <c r="AS97" s="67"/>
      <c r="AT97" s="67"/>
      <c r="AU97" s="67"/>
      <c r="AV97" s="67"/>
      <c r="AW97" s="67"/>
      <c r="AX97" s="67"/>
      <c r="AY97" s="67"/>
      <c r="AZ97" s="67"/>
      <c r="BA97" s="67"/>
      <c r="BB97" s="67"/>
      <c r="BC97" s="67"/>
      <c r="BD97" s="67"/>
      <c r="BE97" s="67"/>
      <c r="BF97" s="67"/>
      <c r="BG97" s="67"/>
      <c r="BH97" s="70"/>
      <c r="BJ97" s="67"/>
      <c r="BK97" s="67"/>
      <c r="BL97" s="67"/>
      <c r="BM97" s="67"/>
      <c r="BN97" s="67"/>
      <c r="BO97" s="67"/>
      <c r="BP97" s="67"/>
      <c r="BQ97" s="67"/>
      <c r="BR97" s="67"/>
      <c r="BS97" s="67"/>
      <c r="BT97" s="67"/>
      <c r="BU97" s="67"/>
      <c r="BV97" s="67"/>
      <c r="BW97" s="67"/>
      <c r="BX97" s="67"/>
      <c r="BY97" s="67"/>
      <c r="BZ97" s="67"/>
      <c r="CA97" s="67"/>
      <c r="CB97" s="67"/>
      <c r="CC97" s="67"/>
      <c r="CD97" s="67"/>
      <c r="CE97" s="67"/>
      <c r="CF97" s="67"/>
      <c r="CG97" s="67"/>
      <c r="CH97" s="67"/>
      <c r="CI97" s="67"/>
      <c r="CJ97" s="67"/>
      <c r="CK97" s="67"/>
      <c r="CL97" s="67"/>
      <c r="CM97" s="67"/>
      <c r="CN97" s="67"/>
      <c r="CO97" s="67"/>
      <c r="CP97" s="67"/>
      <c r="CQ97" s="67"/>
      <c r="CR97" s="67"/>
      <c r="CS97" s="67"/>
      <c r="CT97" s="67"/>
      <c r="CU97" s="67"/>
      <c r="CV97" s="67"/>
      <c r="CW97" s="67"/>
      <c r="CX97" s="67"/>
      <c r="CY97" s="67"/>
      <c r="CZ97" s="67"/>
      <c r="DA97" s="67"/>
      <c r="DB97" s="67"/>
      <c r="DC97" s="67"/>
      <c r="DD97" s="67"/>
      <c r="DE97" s="67"/>
      <c r="DF97" s="67"/>
      <c r="DG97" s="67"/>
      <c r="DH97" s="67"/>
      <c r="DI97" s="67"/>
      <c r="DJ97" s="67"/>
    </row>
    <row r="98" spans="5:114" x14ac:dyDescent="0.2">
      <c r="E98" s="67"/>
      <c r="G98" s="67"/>
      <c r="H98" s="67"/>
      <c r="I98" s="67"/>
      <c r="J98" s="67"/>
      <c r="K98" s="67"/>
      <c r="L98" s="67"/>
      <c r="M98" s="67"/>
      <c r="N98" s="67"/>
      <c r="O98" s="67"/>
      <c r="P98" s="67"/>
      <c r="Q98" s="67"/>
      <c r="R98" s="67"/>
      <c r="S98" s="67"/>
      <c r="T98" s="67"/>
      <c r="U98" s="67"/>
      <c r="V98" s="67"/>
      <c r="W98" s="67"/>
      <c r="X98" s="67"/>
      <c r="Y98" s="67"/>
      <c r="Z98" s="67"/>
      <c r="AA98" s="67"/>
      <c r="AB98" s="67"/>
      <c r="AC98" s="67"/>
      <c r="AD98" s="67"/>
      <c r="AE98" s="67"/>
      <c r="AF98" s="67"/>
      <c r="AG98" s="67"/>
      <c r="AH98" s="67"/>
      <c r="AI98" s="67"/>
      <c r="AJ98" s="67"/>
      <c r="AK98" s="67"/>
      <c r="AL98" s="67"/>
      <c r="AM98" s="67"/>
      <c r="AN98" s="67"/>
      <c r="AO98" s="67"/>
      <c r="AP98" s="67"/>
      <c r="AQ98" s="67"/>
      <c r="AR98" s="67"/>
      <c r="AS98" s="67"/>
      <c r="AT98" s="67"/>
      <c r="AU98" s="67"/>
      <c r="AV98" s="67"/>
      <c r="AW98" s="67"/>
      <c r="AX98" s="67"/>
      <c r="AY98" s="67"/>
      <c r="AZ98" s="67"/>
      <c r="BA98" s="67"/>
      <c r="BB98" s="67"/>
      <c r="BC98" s="67"/>
      <c r="BD98" s="67"/>
      <c r="BE98" s="67"/>
      <c r="BF98" s="67"/>
      <c r="BG98" s="67"/>
      <c r="BH98" s="70"/>
      <c r="BJ98" s="67"/>
      <c r="BK98" s="67"/>
      <c r="BL98" s="67"/>
      <c r="BM98" s="67"/>
      <c r="BN98" s="67"/>
      <c r="BO98" s="67"/>
      <c r="BP98" s="67"/>
      <c r="BQ98" s="67"/>
      <c r="BR98" s="67"/>
      <c r="BS98" s="67"/>
      <c r="BT98" s="67"/>
      <c r="BU98" s="67"/>
      <c r="BV98" s="67"/>
      <c r="BW98" s="67"/>
      <c r="BX98" s="67"/>
      <c r="BY98" s="67"/>
      <c r="BZ98" s="67"/>
      <c r="CA98" s="67"/>
      <c r="CB98" s="67"/>
      <c r="CC98" s="67"/>
      <c r="CD98" s="67"/>
      <c r="CE98" s="67"/>
      <c r="CF98" s="67"/>
      <c r="CG98" s="67"/>
      <c r="CH98" s="67"/>
      <c r="CI98" s="67"/>
      <c r="CJ98" s="67"/>
      <c r="CK98" s="67"/>
      <c r="CL98" s="67"/>
      <c r="CM98" s="67"/>
      <c r="CN98" s="67"/>
      <c r="CO98" s="67"/>
      <c r="CP98" s="67"/>
      <c r="CQ98" s="67"/>
      <c r="CR98" s="67"/>
      <c r="CS98" s="67"/>
      <c r="CT98" s="67"/>
      <c r="CU98" s="67"/>
      <c r="CV98" s="67"/>
      <c r="CW98" s="67"/>
      <c r="CX98" s="67"/>
      <c r="CY98" s="67"/>
      <c r="CZ98" s="67"/>
      <c r="DA98" s="67"/>
      <c r="DB98" s="67"/>
      <c r="DC98" s="67"/>
      <c r="DD98" s="67"/>
      <c r="DE98" s="67"/>
      <c r="DF98" s="67"/>
      <c r="DG98" s="67"/>
      <c r="DH98" s="67"/>
      <c r="DI98" s="67"/>
      <c r="DJ98" s="67"/>
    </row>
    <row r="99" spans="5:114" x14ac:dyDescent="0.2">
      <c r="E99" s="67"/>
      <c r="G99" s="67"/>
      <c r="H99" s="67"/>
      <c r="I99" s="67"/>
      <c r="J99" s="67"/>
      <c r="K99" s="67"/>
      <c r="L99" s="67"/>
      <c r="M99" s="67"/>
      <c r="N99" s="67"/>
      <c r="O99" s="67"/>
      <c r="P99" s="67"/>
      <c r="Q99" s="67"/>
      <c r="R99" s="67"/>
      <c r="S99" s="67"/>
      <c r="T99" s="67"/>
      <c r="U99" s="67"/>
      <c r="V99" s="67"/>
      <c r="W99" s="67"/>
      <c r="X99" s="67"/>
      <c r="Y99" s="67"/>
      <c r="Z99" s="67"/>
      <c r="AA99" s="67"/>
      <c r="AB99" s="67"/>
      <c r="AC99" s="67"/>
      <c r="AD99" s="67"/>
      <c r="AE99" s="67"/>
      <c r="AF99" s="67"/>
      <c r="AG99" s="67"/>
      <c r="AH99" s="67"/>
      <c r="AI99" s="67"/>
      <c r="AJ99" s="67"/>
      <c r="AK99" s="67"/>
      <c r="AL99" s="67"/>
      <c r="AM99" s="67"/>
      <c r="AN99" s="67"/>
      <c r="AO99" s="67"/>
      <c r="AP99" s="67"/>
      <c r="AQ99" s="67"/>
      <c r="AR99" s="67"/>
      <c r="AS99" s="67"/>
      <c r="AT99" s="67"/>
      <c r="AU99" s="67"/>
      <c r="AV99" s="67"/>
      <c r="AW99" s="67"/>
      <c r="AX99" s="67"/>
      <c r="AY99" s="67"/>
      <c r="AZ99" s="67"/>
      <c r="BA99" s="67"/>
      <c r="BB99" s="67"/>
      <c r="BC99" s="67"/>
      <c r="BD99" s="67"/>
      <c r="BE99" s="67"/>
      <c r="BF99" s="67"/>
      <c r="BG99" s="67"/>
      <c r="BH99" s="70"/>
      <c r="BJ99" s="67"/>
      <c r="BK99" s="67"/>
      <c r="BL99" s="67"/>
      <c r="BM99" s="67"/>
      <c r="BN99" s="67"/>
      <c r="BO99" s="67"/>
      <c r="BP99" s="67"/>
      <c r="BQ99" s="67"/>
      <c r="BR99" s="67"/>
      <c r="BS99" s="67"/>
      <c r="BT99" s="67"/>
      <c r="BU99" s="67"/>
      <c r="BV99" s="67"/>
      <c r="BW99" s="67"/>
      <c r="BX99" s="67"/>
      <c r="BY99" s="67"/>
      <c r="BZ99" s="67"/>
      <c r="CA99" s="67"/>
      <c r="CB99" s="67"/>
      <c r="CC99" s="67"/>
      <c r="CD99" s="67"/>
      <c r="CE99" s="67"/>
      <c r="CF99" s="67"/>
      <c r="CG99" s="67"/>
      <c r="CH99" s="67"/>
      <c r="CI99" s="67"/>
      <c r="CJ99" s="67"/>
      <c r="CK99" s="67"/>
      <c r="CL99" s="67"/>
      <c r="CM99" s="67"/>
      <c r="CN99" s="67"/>
      <c r="CO99" s="67"/>
      <c r="CP99" s="67"/>
      <c r="CQ99" s="67"/>
      <c r="CR99" s="67"/>
      <c r="CS99" s="67"/>
      <c r="CT99" s="67"/>
      <c r="CU99" s="67"/>
      <c r="CV99" s="67"/>
      <c r="CW99" s="67"/>
      <c r="CX99" s="67"/>
      <c r="CY99" s="67"/>
      <c r="CZ99" s="67"/>
      <c r="DA99" s="67"/>
      <c r="DB99" s="67"/>
      <c r="DC99" s="67"/>
      <c r="DD99" s="67"/>
      <c r="DE99" s="67"/>
      <c r="DF99" s="67"/>
      <c r="DG99" s="67"/>
      <c r="DH99" s="67"/>
      <c r="DI99" s="67"/>
      <c r="DJ99" s="67"/>
    </row>
    <row r="100" spans="5:114" x14ac:dyDescent="0.2">
      <c r="E100" s="67"/>
      <c r="G100" s="67"/>
      <c r="H100" s="67"/>
      <c r="I100" s="67"/>
      <c r="J100" s="67"/>
      <c r="K100" s="67"/>
      <c r="L100" s="67"/>
      <c r="M100" s="67"/>
      <c r="N100" s="67"/>
      <c r="O100" s="67"/>
      <c r="P100" s="67"/>
      <c r="Q100" s="67"/>
      <c r="R100" s="67"/>
      <c r="S100" s="67"/>
      <c r="T100" s="67"/>
      <c r="U100" s="67"/>
      <c r="V100" s="67"/>
      <c r="W100" s="67"/>
      <c r="X100" s="67"/>
      <c r="Y100" s="67"/>
      <c r="Z100" s="67"/>
      <c r="AA100" s="67"/>
      <c r="AB100" s="67"/>
      <c r="AC100" s="67"/>
      <c r="AD100" s="67"/>
      <c r="AE100" s="67"/>
      <c r="AF100" s="67"/>
      <c r="AG100" s="67"/>
      <c r="AH100" s="67"/>
      <c r="AI100" s="67"/>
      <c r="AJ100" s="67"/>
      <c r="AK100" s="67"/>
      <c r="AL100" s="67"/>
      <c r="AM100" s="67"/>
      <c r="AN100" s="67"/>
      <c r="AO100" s="67"/>
      <c r="AP100" s="67"/>
      <c r="AQ100" s="67"/>
      <c r="AR100" s="67"/>
      <c r="AS100" s="67"/>
      <c r="AT100" s="67"/>
      <c r="AU100" s="67"/>
      <c r="AV100" s="67"/>
      <c r="AW100" s="67"/>
      <c r="AX100" s="67"/>
      <c r="AY100" s="67"/>
      <c r="AZ100" s="67"/>
      <c r="BA100" s="67"/>
      <c r="BB100" s="67"/>
      <c r="BC100" s="67"/>
      <c r="BD100" s="67"/>
      <c r="BE100" s="67"/>
      <c r="BF100" s="67"/>
      <c r="BG100" s="67"/>
      <c r="BH100" s="70"/>
      <c r="BJ100" s="67"/>
      <c r="BK100" s="67"/>
      <c r="BL100" s="67"/>
      <c r="BM100" s="67"/>
      <c r="BN100" s="67"/>
      <c r="BO100" s="67"/>
      <c r="BP100" s="67"/>
      <c r="BQ100" s="67"/>
      <c r="BR100" s="67"/>
      <c r="BS100" s="67"/>
      <c r="BT100" s="67"/>
      <c r="BU100" s="67"/>
      <c r="BV100" s="67"/>
      <c r="BW100" s="67"/>
      <c r="BX100" s="67"/>
      <c r="BY100" s="67"/>
      <c r="BZ100" s="67"/>
      <c r="CA100" s="67"/>
      <c r="CB100" s="67"/>
      <c r="CC100" s="67"/>
      <c r="CD100" s="67"/>
      <c r="CE100" s="67"/>
      <c r="CF100" s="67"/>
      <c r="CG100" s="67"/>
      <c r="CH100" s="67"/>
      <c r="CI100" s="67"/>
      <c r="CJ100" s="67"/>
      <c r="CK100" s="67"/>
      <c r="CL100" s="67"/>
      <c r="CM100" s="67"/>
      <c r="CN100" s="67"/>
      <c r="CO100" s="67"/>
      <c r="CP100" s="67"/>
      <c r="CQ100" s="67"/>
      <c r="CR100" s="67"/>
      <c r="CS100" s="67"/>
      <c r="CT100" s="67"/>
      <c r="CU100" s="67"/>
      <c r="CV100" s="67"/>
      <c r="CW100" s="67"/>
      <c r="CX100" s="67"/>
      <c r="CY100" s="67"/>
      <c r="CZ100" s="67"/>
      <c r="DA100" s="67"/>
      <c r="DB100" s="67"/>
      <c r="DC100" s="67"/>
      <c r="DD100" s="67"/>
      <c r="DE100" s="67"/>
      <c r="DF100" s="67"/>
      <c r="DG100" s="67"/>
      <c r="DH100" s="67"/>
      <c r="DI100" s="67"/>
      <c r="DJ100" s="67"/>
    </row>
    <row r="101" spans="5:114" x14ac:dyDescent="0.2">
      <c r="E101" s="67"/>
      <c r="G101" s="67"/>
      <c r="H101" s="67"/>
      <c r="I101" s="67"/>
      <c r="J101" s="67"/>
      <c r="K101" s="67"/>
      <c r="L101" s="67"/>
      <c r="M101" s="67"/>
      <c r="N101" s="67"/>
      <c r="O101" s="67"/>
      <c r="P101" s="67"/>
      <c r="Q101" s="67"/>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70"/>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c r="CM101" s="67"/>
      <c r="CN101" s="67"/>
      <c r="CO101" s="67"/>
      <c r="CP101" s="67"/>
      <c r="CQ101" s="67"/>
      <c r="CR101" s="67"/>
      <c r="CS101" s="67"/>
      <c r="CT101" s="67"/>
      <c r="CU101" s="67"/>
      <c r="CV101" s="67"/>
      <c r="CW101" s="67"/>
      <c r="CX101" s="67"/>
      <c r="CY101" s="67"/>
      <c r="CZ101" s="67"/>
      <c r="DA101" s="67"/>
      <c r="DB101" s="67"/>
      <c r="DC101" s="67"/>
      <c r="DD101" s="67"/>
      <c r="DE101" s="67"/>
      <c r="DF101" s="67"/>
      <c r="DG101" s="67"/>
      <c r="DH101" s="67"/>
      <c r="DI101" s="67"/>
      <c r="DJ101" s="67"/>
    </row>
    <row r="102" spans="5:114" x14ac:dyDescent="0.2">
      <c r="E102" s="67"/>
      <c r="G102" s="67"/>
      <c r="H102" s="67"/>
      <c r="I102" s="67"/>
      <c r="J102" s="67"/>
      <c r="K102" s="67"/>
      <c r="L102" s="67"/>
      <c r="M102" s="67"/>
      <c r="N102" s="67"/>
      <c r="O102" s="67"/>
      <c r="P102" s="67"/>
      <c r="Q102" s="67"/>
      <c r="R102" s="67"/>
      <c r="S102" s="67"/>
      <c r="T102" s="67"/>
      <c r="U102" s="67"/>
      <c r="V102" s="67"/>
      <c r="W102" s="67"/>
      <c r="X102" s="67"/>
      <c r="Y102" s="67"/>
      <c r="Z102" s="67"/>
      <c r="AA102" s="67"/>
      <c r="AB102" s="67"/>
      <c r="AC102" s="67"/>
      <c r="AD102" s="67"/>
      <c r="AE102" s="67"/>
      <c r="AF102" s="67"/>
      <c r="AG102" s="67"/>
      <c r="AH102" s="67"/>
      <c r="AI102" s="67"/>
      <c r="AJ102" s="67"/>
      <c r="AK102" s="67"/>
      <c r="AL102" s="67"/>
      <c r="AM102" s="67"/>
      <c r="AN102" s="67"/>
      <c r="AO102" s="67"/>
      <c r="AP102" s="67"/>
      <c r="AQ102" s="67"/>
      <c r="AR102" s="67"/>
      <c r="AS102" s="67"/>
      <c r="AT102" s="67"/>
      <c r="AU102" s="67"/>
      <c r="AV102" s="67"/>
      <c r="AW102" s="67"/>
      <c r="AX102" s="67"/>
      <c r="AY102" s="67"/>
      <c r="AZ102" s="67"/>
      <c r="BA102" s="67"/>
      <c r="BB102" s="67"/>
      <c r="BC102" s="67"/>
      <c r="BD102" s="67"/>
      <c r="BE102" s="67"/>
      <c r="BF102" s="67"/>
      <c r="BG102" s="67"/>
      <c r="BH102" s="70"/>
      <c r="BJ102" s="67"/>
      <c r="BK102" s="67"/>
      <c r="BL102" s="67"/>
      <c r="BM102" s="67"/>
      <c r="BN102" s="67"/>
      <c r="BO102" s="67"/>
      <c r="BP102" s="67"/>
      <c r="BQ102" s="67"/>
      <c r="BR102" s="67"/>
      <c r="BS102" s="67"/>
      <c r="BT102" s="67"/>
      <c r="BU102" s="67"/>
      <c r="BV102" s="67"/>
      <c r="BW102" s="67"/>
      <c r="BX102" s="67"/>
      <c r="BY102" s="67"/>
      <c r="BZ102" s="67"/>
      <c r="CA102" s="67"/>
      <c r="CB102" s="67"/>
      <c r="CC102" s="67"/>
      <c r="CD102" s="67"/>
      <c r="CE102" s="67"/>
      <c r="CF102" s="67"/>
      <c r="CG102" s="67"/>
      <c r="CH102" s="67"/>
      <c r="CI102" s="67"/>
      <c r="CJ102" s="67"/>
      <c r="CK102" s="67"/>
      <c r="CL102" s="67"/>
      <c r="CM102" s="67"/>
      <c r="CN102" s="67"/>
      <c r="CO102" s="67"/>
      <c r="CP102" s="67"/>
      <c r="CQ102" s="67"/>
      <c r="CR102" s="67"/>
      <c r="CS102" s="67"/>
      <c r="CT102" s="67"/>
      <c r="CU102" s="67"/>
      <c r="CV102" s="67"/>
      <c r="CW102" s="67"/>
      <c r="CX102" s="67"/>
      <c r="CY102" s="67"/>
      <c r="CZ102" s="67"/>
      <c r="DA102" s="67"/>
      <c r="DB102" s="67"/>
      <c r="DC102" s="67"/>
      <c r="DD102" s="67"/>
      <c r="DE102" s="67"/>
      <c r="DF102" s="67"/>
      <c r="DG102" s="67"/>
      <c r="DH102" s="67"/>
      <c r="DI102" s="67"/>
      <c r="DJ102" s="67"/>
    </row>
    <row r="103" spans="5:114" x14ac:dyDescent="0.2">
      <c r="E103" s="67"/>
      <c r="G103" s="67"/>
      <c r="H103" s="67"/>
      <c r="I103" s="67"/>
      <c r="J103" s="67"/>
      <c r="K103" s="67"/>
      <c r="L103" s="67"/>
      <c r="M103" s="67"/>
      <c r="N103" s="67"/>
      <c r="O103" s="67"/>
      <c r="P103" s="67"/>
      <c r="Q103" s="67"/>
      <c r="R103" s="67"/>
      <c r="S103" s="67"/>
      <c r="T103" s="67"/>
      <c r="U103" s="67"/>
      <c r="V103" s="67"/>
      <c r="W103" s="67"/>
      <c r="X103" s="67"/>
      <c r="Y103" s="67"/>
      <c r="Z103" s="67"/>
      <c r="AA103" s="67"/>
      <c r="AB103" s="67"/>
      <c r="AC103" s="67"/>
      <c r="AD103" s="67"/>
      <c r="AE103" s="67"/>
      <c r="AF103" s="67"/>
      <c r="AG103" s="67"/>
      <c r="AH103" s="67"/>
      <c r="AI103" s="67"/>
      <c r="AJ103" s="67"/>
      <c r="AK103" s="67"/>
      <c r="AL103" s="67"/>
      <c r="AM103" s="67"/>
      <c r="AN103" s="67"/>
      <c r="AO103" s="67"/>
      <c r="AP103" s="67"/>
      <c r="AQ103" s="67"/>
      <c r="AR103" s="67"/>
      <c r="AS103" s="67"/>
      <c r="AT103" s="67"/>
      <c r="AU103" s="67"/>
      <c r="AV103" s="67"/>
      <c r="AW103" s="67"/>
      <c r="AX103" s="67"/>
      <c r="AY103" s="67"/>
      <c r="AZ103" s="67"/>
      <c r="BA103" s="67"/>
      <c r="BB103" s="67"/>
      <c r="BC103" s="67"/>
      <c r="BD103" s="67"/>
      <c r="BE103" s="67"/>
      <c r="BF103" s="67"/>
      <c r="BG103" s="67"/>
      <c r="BH103" s="70"/>
      <c r="BJ103" s="67"/>
      <c r="BK103" s="67"/>
      <c r="BL103" s="67"/>
      <c r="BM103" s="67"/>
      <c r="BN103" s="67"/>
      <c r="BO103" s="67"/>
      <c r="BP103" s="67"/>
      <c r="BQ103" s="67"/>
      <c r="BR103" s="67"/>
      <c r="BS103" s="67"/>
      <c r="BT103" s="67"/>
      <c r="BU103" s="67"/>
      <c r="BV103" s="67"/>
      <c r="BW103" s="67"/>
      <c r="BX103" s="67"/>
      <c r="BY103" s="67"/>
      <c r="BZ103" s="67"/>
      <c r="CA103" s="67"/>
      <c r="CB103" s="67"/>
      <c r="CC103" s="67"/>
      <c r="CD103" s="67"/>
      <c r="CE103" s="67"/>
      <c r="CF103" s="67"/>
      <c r="CG103" s="67"/>
      <c r="CH103" s="67"/>
      <c r="CI103" s="67"/>
      <c r="CJ103" s="67"/>
      <c r="CK103" s="67"/>
      <c r="CL103" s="67"/>
      <c r="CM103" s="67"/>
      <c r="CN103" s="67"/>
      <c r="CO103" s="67"/>
      <c r="CP103" s="67"/>
      <c r="CQ103" s="67"/>
      <c r="CR103" s="67"/>
      <c r="CS103" s="67"/>
      <c r="CT103" s="67"/>
      <c r="CU103" s="67"/>
      <c r="CV103" s="67"/>
      <c r="CW103" s="67"/>
      <c r="CX103" s="67"/>
      <c r="CY103" s="67"/>
      <c r="CZ103" s="67"/>
      <c r="DA103" s="67"/>
      <c r="DB103" s="67"/>
      <c r="DC103" s="67"/>
      <c r="DD103" s="67"/>
      <c r="DE103" s="67"/>
      <c r="DF103" s="67"/>
      <c r="DG103" s="67"/>
      <c r="DH103" s="67"/>
      <c r="DI103" s="67"/>
      <c r="DJ103" s="67"/>
    </row>
    <row r="104" spans="5:114" x14ac:dyDescent="0.2">
      <c r="E104" s="67"/>
      <c r="G104" s="67"/>
      <c r="H104" s="67"/>
      <c r="I104" s="67"/>
      <c r="J104" s="67"/>
      <c r="K104" s="67"/>
      <c r="L104" s="67"/>
      <c r="M104" s="67"/>
      <c r="N104" s="67"/>
      <c r="O104" s="67"/>
      <c r="P104" s="67"/>
      <c r="Q104" s="67"/>
      <c r="R104" s="67"/>
      <c r="S104" s="67"/>
      <c r="T104" s="67"/>
      <c r="U104" s="67"/>
      <c r="V104" s="67"/>
      <c r="W104" s="67"/>
      <c r="X104" s="67"/>
      <c r="Y104" s="67"/>
      <c r="Z104" s="67"/>
      <c r="AA104" s="67"/>
      <c r="AB104" s="67"/>
      <c r="AC104" s="67"/>
      <c r="AD104" s="67"/>
      <c r="AE104" s="67"/>
      <c r="AF104" s="67"/>
      <c r="AG104" s="67"/>
      <c r="AH104" s="67"/>
      <c r="AI104" s="67"/>
      <c r="AJ104" s="67"/>
      <c r="AK104" s="67"/>
      <c r="AL104" s="67"/>
      <c r="AM104" s="67"/>
      <c r="AN104" s="67"/>
      <c r="AO104" s="67"/>
      <c r="AP104" s="67"/>
      <c r="AQ104" s="67"/>
      <c r="AR104" s="67"/>
      <c r="AS104" s="67"/>
      <c r="AT104" s="67"/>
      <c r="AU104" s="67"/>
      <c r="AV104" s="67"/>
      <c r="AW104" s="67"/>
      <c r="AX104" s="67"/>
      <c r="AY104" s="67"/>
      <c r="AZ104" s="67"/>
      <c r="BA104" s="67"/>
      <c r="BB104" s="67"/>
      <c r="BC104" s="67"/>
      <c r="BD104" s="67"/>
      <c r="BE104" s="67"/>
      <c r="BF104" s="67"/>
      <c r="BG104" s="67"/>
      <c r="BH104" s="70"/>
      <c r="BJ104" s="67"/>
      <c r="BK104" s="67"/>
      <c r="BL104" s="67"/>
      <c r="BM104" s="67"/>
      <c r="BN104" s="67"/>
      <c r="BO104" s="67"/>
      <c r="BP104" s="67"/>
      <c r="BQ104" s="67"/>
      <c r="BR104" s="67"/>
      <c r="BS104" s="67"/>
      <c r="BT104" s="67"/>
      <c r="BU104" s="67"/>
      <c r="BV104" s="67"/>
      <c r="BW104" s="67"/>
      <c r="BX104" s="67"/>
      <c r="BY104" s="67"/>
      <c r="BZ104" s="67"/>
      <c r="CA104" s="67"/>
      <c r="CB104" s="67"/>
      <c r="CC104" s="67"/>
      <c r="CD104" s="67"/>
      <c r="CE104" s="67"/>
      <c r="CF104" s="67"/>
      <c r="CG104" s="67"/>
      <c r="CH104" s="67"/>
      <c r="CI104" s="67"/>
      <c r="CJ104" s="67"/>
      <c r="CK104" s="67"/>
      <c r="CL104" s="67"/>
      <c r="CM104" s="67"/>
      <c r="CN104" s="67"/>
      <c r="CO104" s="67"/>
      <c r="CP104" s="67"/>
      <c r="CQ104" s="67"/>
      <c r="CR104" s="67"/>
      <c r="CS104" s="67"/>
      <c r="CT104" s="67"/>
      <c r="CU104" s="67"/>
      <c r="CV104" s="67"/>
      <c r="CW104" s="67"/>
      <c r="CX104" s="67"/>
      <c r="CY104" s="67"/>
      <c r="CZ104" s="67"/>
      <c r="DA104" s="67"/>
      <c r="DB104" s="67"/>
      <c r="DC104" s="67"/>
      <c r="DD104" s="67"/>
      <c r="DE104" s="67"/>
      <c r="DF104" s="67"/>
      <c r="DG104" s="67"/>
      <c r="DH104" s="67"/>
      <c r="DI104" s="67"/>
      <c r="DJ104" s="67"/>
    </row>
    <row r="105" spans="5:114" x14ac:dyDescent="0.2">
      <c r="E105" s="67"/>
      <c r="G105" s="67"/>
      <c r="H105" s="67"/>
      <c r="I105" s="67"/>
      <c r="J105" s="67"/>
      <c r="K105" s="67"/>
      <c r="L105" s="67"/>
      <c r="M105" s="67"/>
      <c r="N105" s="67"/>
      <c r="O105" s="67"/>
      <c r="P105" s="67"/>
      <c r="Q105" s="67"/>
      <c r="R105" s="67"/>
      <c r="S105" s="67"/>
      <c r="T105" s="67"/>
      <c r="U105" s="67"/>
      <c r="V105" s="67"/>
      <c r="W105" s="67"/>
      <c r="X105" s="67"/>
      <c r="Y105" s="67"/>
      <c r="Z105" s="67"/>
      <c r="AA105" s="67"/>
      <c r="AB105" s="67"/>
      <c r="AC105" s="67"/>
      <c r="AD105" s="67"/>
      <c r="AE105" s="67"/>
      <c r="AF105" s="67"/>
      <c r="AG105" s="67"/>
      <c r="AH105" s="67"/>
      <c r="AI105" s="67"/>
      <c r="AJ105" s="67"/>
      <c r="AK105" s="67"/>
      <c r="AL105" s="67"/>
      <c r="AM105" s="67"/>
      <c r="AN105" s="67"/>
      <c r="AO105" s="67"/>
      <c r="AP105" s="67"/>
      <c r="AQ105" s="67"/>
      <c r="AR105" s="67"/>
      <c r="AS105" s="67"/>
      <c r="AT105" s="67"/>
      <c r="AU105" s="67"/>
      <c r="AV105" s="67"/>
      <c r="AW105" s="67"/>
      <c r="AX105" s="67"/>
      <c r="AY105" s="67"/>
      <c r="AZ105" s="67"/>
      <c r="BA105" s="67"/>
      <c r="BB105" s="67"/>
      <c r="BC105" s="67"/>
      <c r="BD105" s="67"/>
      <c r="BE105" s="67"/>
      <c r="BF105" s="67"/>
      <c r="BG105" s="67"/>
      <c r="BH105" s="70"/>
      <c r="BJ105" s="67"/>
      <c r="BK105" s="67"/>
      <c r="BL105" s="67"/>
      <c r="BM105" s="67"/>
      <c r="BN105" s="67"/>
      <c r="BO105" s="67"/>
      <c r="BP105" s="67"/>
      <c r="BQ105" s="67"/>
      <c r="BR105" s="67"/>
      <c r="BS105" s="67"/>
      <c r="BT105" s="67"/>
      <c r="BU105" s="67"/>
      <c r="BV105" s="67"/>
      <c r="BW105" s="67"/>
      <c r="BX105" s="67"/>
      <c r="BY105" s="67"/>
      <c r="BZ105" s="67"/>
      <c r="CA105" s="67"/>
      <c r="CB105" s="67"/>
      <c r="CC105" s="67"/>
      <c r="CD105" s="67"/>
      <c r="CE105" s="67"/>
      <c r="CF105" s="67"/>
      <c r="CG105" s="67"/>
      <c r="CH105" s="67"/>
      <c r="CI105" s="67"/>
      <c r="CJ105" s="67"/>
      <c r="CK105" s="67"/>
      <c r="CL105" s="67"/>
      <c r="CM105" s="67"/>
      <c r="CN105" s="67"/>
      <c r="CO105" s="67"/>
      <c r="CP105" s="67"/>
      <c r="CQ105" s="67"/>
      <c r="CR105" s="67"/>
      <c r="CS105" s="67"/>
      <c r="CT105" s="67"/>
      <c r="CU105" s="67"/>
      <c r="CV105" s="67"/>
      <c r="CW105" s="67"/>
      <c r="CX105" s="67"/>
      <c r="CY105" s="67"/>
      <c r="CZ105" s="67"/>
      <c r="DA105" s="67"/>
      <c r="DB105" s="67"/>
      <c r="DC105" s="67"/>
      <c r="DD105" s="67"/>
      <c r="DE105" s="67"/>
      <c r="DF105" s="67"/>
      <c r="DG105" s="67"/>
      <c r="DH105" s="67"/>
      <c r="DI105" s="67"/>
      <c r="DJ105" s="67"/>
    </row>
    <row r="106" spans="5:114" x14ac:dyDescent="0.2">
      <c r="E106" s="67"/>
      <c r="G106" s="67"/>
      <c r="H106" s="67"/>
      <c r="I106" s="67"/>
      <c r="J106" s="67"/>
      <c r="K106" s="67"/>
      <c r="L106" s="67"/>
      <c r="M106" s="67"/>
      <c r="N106" s="67"/>
      <c r="O106" s="67"/>
      <c r="P106" s="67"/>
      <c r="Q106" s="67"/>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70"/>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M106" s="67"/>
      <c r="CN106" s="67"/>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row>
    <row r="107" spans="5:114" x14ac:dyDescent="0.2">
      <c r="E107" s="67"/>
      <c r="G107" s="67"/>
      <c r="H107" s="67"/>
      <c r="I107" s="67"/>
      <c r="J107" s="67"/>
      <c r="K107" s="67"/>
      <c r="L107" s="67"/>
      <c r="M107" s="67"/>
      <c r="N107" s="67"/>
      <c r="O107" s="67"/>
      <c r="P107" s="67"/>
      <c r="Q107" s="67"/>
      <c r="R107" s="67"/>
      <c r="S107" s="67"/>
      <c r="T107" s="67"/>
      <c r="U107" s="67"/>
      <c r="V107" s="67"/>
      <c r="W107" s="67"/>
      <c r="X107" s="67"/>
      <c r="Y107" s="67"/>
      <c r="Z107" s="67"/>
      <c r="AA107" s="67"/>
      <c r="AB107" s="67"/>
      <c r="AC107" s="67"/>
      <c r="AD107" s="67"/>
      <c r="AE107" s="67"/>
      <c r="AF107" s="67"/>
      <c r="AG107" s="67"/>
      <c r="AH107" s="67"/>
      <c r="AI107" s="67"/>
      <c r="AJ107" s="67"/>
      <c r="AK107" s="67"/>
      <c r="AL107" s="67"/>
      <c r="AM107" s="67"/>
      <c r="AN107" s="67"/>
      <c r="AO107" s="67"/>
      <c r="AP107" s="67"/>
      <c r="AQ107" s="67"/>
      <c r="AR107" s="67"/>
      <c r="AS107" s="67"/>
      <c r="AT107" s="67"/>
      <c r="AU107" s="67"/>
      <c r="AV107" s="67"/>
      <c r="AW107" s="67"/>
      <c r="AX107" s="67"/>
      <c r="AY107" s="67"/>
      <c r="AZ107" s="67"/>
      <c r="BA107" s="67"/>
      <c r="BB107" s="67"/>
      <c r="BC107" s="67"/>
      <c r="BD107" s="67"/>
      <c r="BE107" s="67"/>
      <c r="BF107" s="67"/>
      <c r="BG107" s="67"/>
      <c r="BH107" s="70"/>
      <c r="BJ107" s="67"/>
      <c r="BK107" s="67"/>
      <c r="BL107" s="67"/>
      <c r="BM107" s="67"/>
      <c r="BN107" s="67"/>
      <c r="BO107" s="67"/>
      <c r="BP107" s="67"/>
      <c r="BQ107" s="67"/>
      <c r="BR107" s="67"/>
      <c r="BS107" s="67"/>
      <c r="BT107" s="67"/>
      <c r="BU107" s="67"/>
      <c r="BV107" s="67"/>
      <c r="BW107" s="67"/>
      <c r="BX107" s="67"/>
      <c r="BY107" s="67"/>
      <c r="BZ107" s="67"/>
      <c r="CA107" s="67"/>
      <c r="CB107" s="67"/>
      <c r="CC107" s="67"/>
      <c r="CD107" s="67"/>
      <c r="CE107" s="67"/>
      <c r="CF107" s="67"/>
      <c r="CG107" s="67"/>
      <c r="CH107" s="67"/>
      <c r="CI107" s="67"/>
      <c r="CJ107" s="67"/>
      <c r="CK107" s="67"/>
      <c r="CL107" s="67"/>
      <c r="CM107" s="67"/>
      <c r="CN107" s="67"/>
      <c r="CO107" s="67"/>
      <c r="CP107" s="67"/>
      <c r="CQ107" s="67"/>
      <c r="CR107" s="67"/>
      <c r="CS107" s="67"/>
      <c r="CT107" s="67"/>
      <c r="CU107" s="67"/>
      <c r="CV107" s="67"/>
      <c r="CW107" s="67"/>
      <c r="CX107" s="67"/>
      <c r="CY107" s="67"/>
      <c r="CZ107" s="67"/>
      <c r="DA107" s="67"/>
      <c r="DB107" s="67"/>
      <c r="DC107" s="67"/>
      <c r="DD107" s="67"/>
      <c r="DE107" s="67"/>
      <c r="DF107" s="67"/>
      <c r="DG107" s="67"/>
      <c r="DH107" s="67"/>
      <c r="DI107" s="67"/>
      <c r="DJ107" s="67"/>
    </row>
    <row r="108" spans="5:114" x14ac:dyDescent="0.2">
      <c r="E108" s="67"/>
      <c r="G108" s="67"/>
      <c r="H108" s="67"/>
      <c r="I108" s="67"/>
      <c r="J108" s="67"/>
      <c r="K108" s="67"/>
      <c r="L108" s="67"/>
      <c r="M108" s="67"/>
      <c r="N108" s="67"/>
      <c r="O108" s="67"/>
      <c r="P108" s="67"/>
      <c r="Q108" s="67"/>
      <c r="R108" s="67"/>
      <c r="S108" s="67"/>
      <c r="T108" s="67"/>
      <c r="U108" s="67"/>
      <c r="V108" s="67"/>
      <c r="W108" s="67"/>
      <c r="X108" s="67"/>
      <c r="Y108" s="67"/>
      <c r="Z108" s="67"/>
      <c r="AA108" s="67"/>
      <c r="AB108" s="67"/>
      <c r="AC108" s="67"/>
      <c r="AD108" s="67"/>
      <c r="AE108" s="67"/>
      <c r="AF108" s="67"/>
      <c r="AG108" s="67"/>
      <c r="AH108" s="67"/>
      <c r="AI108" s="67"/>
      <c r="AJ108" s="67"/>
      <c r="AK108" s="67"/>
      <c r="AL108" s="67"/>
      <c r="AM108" s="67"/>
      <c r="AN108" s="67"/>
      <c r="AO108" s="67"/>
      <c r="AP108" s="67"/>
      <c r="AQ108" s="67"/>
      <c r="AR108" s="67"/>
      <c r="AS108" s="67"/>
      <c r="AT108" s="67"/>
      <c r="AU108" s="67"/>
      <c r="AV108" s="67"/>
      <c r="AW108" s="67"/>
      <c r="AX108" s="67"/>
      <c r="AY108" s="67"/>
      <c r="AZ108" s="67"/>
      <c r="BA108" s="67"/>
      <c r="BB108" s="67"/>
      <c r="BC108" s="67"/>
      <c r="BD108" s="67"/>
      <c r="BE108" s="67"/>
      <c r="BF108" s="67"/>
      <c r="BG108" s="67"/>
      <c r="BH108" s="70"/>
      <c r="BJ108" s="67"/>
      <c r="BK108" s="67"/>
      <c r="BL108" s="67"/>
      <c r="BM108" s="67"/>
      <c r="BN108" s="67"/>
      <c r="BO108" s="67"/>
      <c r="BP108" s="67"/>
      <c r="BQ108" s="67"/>
      <c r="BR108" s="67"/>
      <c r="BS108" s="67"/>
      <c r="BT108" s="67"/>
      <c r="BU108" s="67"/>
      <c r="BV108" s="67"/>
      <c r="BW108" s="67"/>
      <c r="BX108" s="67"/>
      <c r="BY108" s="67"/>
      <c r="BZ108" s="67"/>
      <c r="CA108" s="67"/>
      <c r="CB108" s="67"/>
      <c r="CC108" s="67"/>
      <c r="CD108" s="67"/>
      <c r="CE108" s="67"/>
      <c r="CF108" s="67"/>
      <c r="CG108" s="67"/>
      <c r="CH108" s="67"/>
      <c r="CI108" s="67"/>
      <c r="CJ108" s="67"/>
      <c r="CK108" s="67"/>
      <c r="CL108" s="67"/>
      <c r="CM108" s="67"/>
      <c r="CN108" s="67"/>
      <c r="CO108" s="67"/>
      <c r="CP108" s="67"/>
      <c r="CQ108" s="67"/>
      <c r="CR108" s="67"/>
      <c r="CS108" s="67"/>
      <c r="CT108" s="67"/>
      <c r="CU108" s="67"/>
      <c r="CV108" s="67"/>
      <c r="CW108" s="67"/>
      <c r="CX108" s="67"/>
      <c r="CY108" s="67"/>
      <c r="CZ108" s="67"/>
      <c r="DA108" s="67"/>
      <c r="DB108" s="67"/>
      <c r="DC108" s="67"/>
      <c r="DD108" s="67"/>
      <c r="DE108" s="67"/>
      <c r="DF108" s="67"/>
      <c r="DG108" s="67"/>
      <c r="DH108" s="67"/>
      <c r="DI108" s="67"/>
      <c r="DJ108" s="67"/>
    </row>
    <row r="109" spans="5:114" x14ac:dyDescent="0.2">
      <c r="E109" s="67"/>
      <c r="G109" s="67"/>
      <c r="H109" s="67"/>
      <c r="I109" s="67"/>
      <c r="J109" s="67"/>
      <c r="K109" s="67"/>
      <c r="L109" s="67"/>
      <c r="M109" s="67"/>
      <c r="N109" s="67"/>
      <c r="O109" s="67"/>
      <c r="P109" s="67"/>
      <c r="Q109" s="67"/>
      <c r="R109" s="67"/>
      <c r="S109" s="67"/>
      <c r="T109" s="67"/>
      <c r="U109" s="67"/>
      <c r="V109" s="67"/>
      <c r="W109" s="67"/>
      <c r="X109" s="67"/>
      <c r="Y109" s="67"/>
      <c r="Z109" s="67"/>
      <c r="AA109" s="67"/>
      <c r="AB109" s="67"/>
      <c r="AC109" s="67"/>
      <c r="AD109" s="67"/>
      <c r="AE109" s="67"/>
      <c r="AF109" s="67"/>
      <c r="AG109" s="67"/>
      <c r="AH109" s="67"/>
      <c r="AI109" s="67"/>
      <c r="AJ109" s="67"/>
      <c r="AK109" s="67"/>
      <c r="AL109" s="67"/>
      <c r="AM109" s="67"/>
      <c r="AN109" s="67"/>
      <c r="AO109" s="67"/>
      <c r="AP109" s="67"/>
      <c r="AQ109" s="67"/>
      <c r="AR109" s="67"/>
      <c r="AS109" s="67"/>
      <c r="AT109" s="67"/>
      <c r="AU109" s="67"/>
      <c r="AV109" s="67"/>
      <c r="AW109" s="67"/>
      <c r="AX109" s="67"/>
      <c r="AY109" s="67"/>
      <c r="AZ109" s="67"/>
      <c r="BA109" s="67"/>
      <c r="BB109" s="67"/>
      <c r="BC109" s="67"/>
      <c r="BD109" s="67"/>
      <c r="BE109" s="67"/>
      <c r="BF109" s="67"/>
      <c r="BG109" s="67"/>
      <c r="BH109" s="70"/>
      <c r="BJ109" s="67"/>
      <c r="BK109" s="67"/>
      <c r="BL109" s="67"/>
      <c r="BM109" s="67"/>
      <c r="BN109" s="67"/>
      <c r="BO109" s="67"/>
      <c r="BP109" s="67"/>
      <c r="BQ109" s="67"/>
      <c r="BR109" s="67"/>
      <c r="BS109" s="67"/>
      <c r="BT109" s="67"/>
      <c r="BU109" s="67"/>
      <c r="BV109" s="67"/>
      <c r="BW109" s="67"/>
      <c r="BX109" s="67"/>
      <c r="BY109" s="67"/>
      <c r="BZ109" s="67"/>
      <c r="CA109" s="67"/>
      <c r="CB109" s="67"/>
      <c r="CC109" s="67"/>
      <c r="CD109" s="67"/>
      <c r="CE109" s="67"/>
      <c r="CF109" s="67"/>
      <c r="CG109" s="67"/>
      <c r="CH109" s="67"/>
      <c r="CI109" s="67"/>
      <c r="CJ109" s="67"/>
      <c r="CK109" s="67"/>
      <c r="CL109" s="67"/>
      <c r="CM109" s="67"/>
      <c r="CN109" s="67"/>
      <c r="CO109" s="67"/>
      <c r="CP109" s="67"/>
      <c r="CQ109" s="67"/>
      <c r="CR109" s="67"/>
      <c r="CS109" s="67"/>
      <c r="CT109" s="67"/>
      <c r="CU109" s="67"/>
      <c r="CV109" s="67"/>
      <c r="CW109" s="67"/>
      <c r="CX109" s="67"/>
      <c r="CY109" s="67"/>
      <c r="CZ109" s="67"/>
      <c r="DA109" s="67"/>
      <c r="DB109" s="67"/>
      <c r="DC109" s="67"/>
      <c r="DD109" s="67"/>
      <c r="DE109" s="67"/>
      <c r="DF109" s="67"/>
      <c r="DG109" s="67"/>
      <c r="DH109" s="67"/>
      <c r="DI109" s="67"/>
      <c r="DJ109" s="67"/>
    </row>
    <row r="110" spans="5:114" x14ac:dyDescent="0.2">
      <c r="E110" s="67"/>
      <c r="G110" s="67"/>
      <c r="H110" s="67"/>
      <c r="I110" s="67"/>
      <c r="J110" s="67"/>
      <c r="K110" s="67"/>
      <c r="L110" s="67"/>
      <c r="M110" s="67"/>
      <c r="N110" s="67"/>
      <c r="O110" s="67"/>
      <c r="P110" s="67"/>
      <c r="Q110" s="67"/>
      <c r="R110" s="67"/>
      <c r="S110" s="67"/>
      <c r="T110" s="67"/>
      <c r="U110" s="67"/>
      <c r="V110" s="67"/>
      <c r="W110" s="67"/>
      <c r="X110" s="67"/>
      <c r="Y110" s="67"/>
      <c r="Z110" s="67"/>
      <c r="AA110" s="67"/>
      <c r="AB110" s="67"/>
      <c r="AC110" s="67"/>
      <c r="AD110" s="67"/>
      <c r="AE110" s="67"/>
      <c r="AF110" s="67"/>
      <c r="AG110" s="67"/>
      <c r="AH110" s="67"/>
      <c r="AI110" s="67"/>
      <c r="AJ110" s="67"/>
      <c r="AK110" s="67"/>
      <c r="AL110" s="67"/>
      <c r="AM110" s="67"/>
      <c r="AN110" s="67"/>
      <c r="AO110" s="67"/>
      <c r="AP110" s="67"/>
      <c r="AQ110" s="67"/>
      <c r="AR110" s="67"/>
      <c r="AS110" s="67"/>
      <c r="AT110" s="67"/>
      <c r="AU110" s="67"/>
      <c r="AV110" s="67"/>
      <c r="AW110" s="67"/>
      <c r="AX110" s="67"/>
      <c r="AY110" s="67"/>
      <c r="AZ110" s="67"/>
      <c r="BA110" s="67"/>
      <c r="BB110" s="67"/>
      <c r="BC110" s="67"/>
      <c r="BD110" s="67"/>
      <c r="BE110" s="67"/>
      <c r="BF110" s="67"/>
      <c r="BG110" s="67"/>
      <c r="BH110" s="70"/>
      <c r="BJ110" s="67"/>
      <c r="BK110" s="67"/>
      <c r="BL110" s="67"/>
      <c r="BM110" s="67"/>
      <c r="BN110" s="67"/>
      <c r="BO110" s="67"/>
      <c r="BP110" s="67"/>
      <c r="BQ110" s="67"/>
      <c r="BR110" s="67"/>
      <c r="BS110" s="67"/>
      <c r="BT110" s="67"/>
      <c r="BU110" s="67"/>
      <c r="BV110" s="67"/>
      <c r="BW110" s="67"/>
      <c r="BX110" s="67"/>
      <c r="BY110" s="67"/>
      <c r="BZ110" s="67"/>
      <c r="CA110" s="67"/>
      <c r="CB110" s="67"/>
      <c r="CC110" s="67"/>
      <c r="CD110" s="67"/>
      <c r="CE110" s="67"/>
      <c r="CF110" s="67"/>
      <c r="CG110" s="67"/>
      <c r="CH110" s="67"/>
      <c r="CI110" s="67"/>
      <c r="CJ110" s="67"/>
      <c r="CK110" s="67"/>
      <c r="CL110" s="67"/>
      <c r="CM110" s="67"/>
      <c r="CN110" s="67"/>
      <c r="CO110" s="67"/>
      <c r="CP110" s="67"/>
      <c r="CQ110" s="67"/>
      <c r="CR110" s="67"/>
      <c r="CS110" s="67"/>
      <c r="CT110" s="67"/>
      <c r="CU110" s="67"/>
      <c r="CV110" s="67"/>
      <c r="CW110" s="67"/>
      <c r="CX110" s="67"/>
      <c r="CY110" s="67"/>
      <c r="CZ110" s="67"/>
      <c r="DA110" s="67"/>
      <c r="DB110" s="67"/>
      <c r="DC110" s="67"/>
      <c r="DD110" s="67"/>
      <c r="DE110" s="67"/>
      <c r="DF110" s="67"/>
      <c r="DG110" s="67"/>
      <c r="DH110" s="67"/>
      <c r="DI110" s="67"/>
      <c r="DJ110" s="67"/>
    </row>
    <row r="111" spans="5:114" x14ac:dyDescent="0.2">
      <c r="E111" s="67"/>
      <c r="G111" s="67"/>
      <c r="H111" s="67"/>
      <c r="I111" s="67"/>
      <c r="J111" s="67"/>
      <c r="K111" s="67"/>
      <c r="L111" s="67"/>
      <c r="M111" s="67"/>
      <c r="N111" s="67"/>
      <c r="O111" s="67"/>
      <c r="P111" s="67"/>
      <c r="Q111" s="67"/>
      <c r="R111" s="67"/>
      <c r="S111" s="67"/>
      <c r="T111" s="67"/>
      <c r="U111" s="67"/>
      <c r="V111" s="67"/>
      <c r="W111" s="67"/>
      <c r="X111" s="67"/>
      <c r="Y111" s="67"/>
      <c r="Z111" s="67"/>
      <c r="AA111" s="67"/>
      <c r="AB111" s="67"/>
      <c r="AC111" s="67"/>
      <c r="AD111" s="67"/>
      <c r="AE111" s="67"/>
      <c r="AF111" s="67"/>
      <c r="AG111" s="67"/>
      <c r="AH111" s="67"/>
      <c r="AI111" s="67"/>
      <c r="AJ111" s="67"/>
      <c r="AK111" s="67"/>
      <c r="AL111" s="67"/>
      <c r="AM111" s="67"/>
      <c r="AN111" s="67"/>
      <c r="AO111" s="67"/>
      <c r="AP111" s="67"/>
      <c r="AQ111" s="67"/>
      <c r="AR111" s="67"/>
      <c r="AS111" s="67"/>
      <c r="AT111" s="67"/>
      <c r="AU111" s="67"/>
      <c r="AV111" s="67"/>
      <c r="AW111" s="67"/>
      <c r="AX111" s="67"/>
      <c r="AY111" s="67"/>
      <c r="AZ111" s="67"/>
      <c r="BA111" s="67"/>
      <c r="BB111" s="67"/>
      <c r="BC111" s="67"/>
      <c r="BD111" s="67"/>
      <c r="BE111" s="67"/>
      <c r="BF111" s="67"/>
      <c r="BG111" s="67"/>
      <c r="BH111" s="70"/>
      <c r="BJ111" s="67"/>
      <c r="BK111" s="67"/>
      <c r="BL111" s="67"/>
      <c r="BM111" s="67"/>
      <c r="BN111" s="67"/>
      <c r="BO111" s="67"/>
      <c r="BP111" s="67"/>
      <c r="BQ111" s="67"/>
      <c r="BR111" s="67"/>
      <c r="BS111" s="67"/>
      <c r="BT111" s="67"/>
      <c r="BU111" s="67"/>
      <c r="BV111" s="67"/>
      <c r="BW111" s="67"/>
      <c r="BX111" s="67"/>
      <c r="BY111" s="67"/>
      <c r="BZ111" s="67"/>
      <c r="CA111" s="67"/>
      <c r="CB111" s="67"/>
      <c r="CC111" s="67"/>
      <c r="CD111" s="67"/>
      <c r="CE111" s="67"/>
      <c r="CF111" s="67"/>
      <c r="CG111" s="67"/>
      <c r="CH111" s="67"/>
      <c r="CI111" s="67"/>
      <c r="CJ111" s="67"/>
      <c r="CK111" s="67"/>
      <c r="CL111" s="67"/>
      <c r="CM111" s="67"/>
      <c r="CN111" s="67"/>
      <c r="CO111" s="67"/>
      <c r="CP111" s="67"/>
      <c r="CQ111" s="67"/>
      <c r="CR111" s="67"/>
      <c r="CS111" s="67"/>
      <c r="CT111" s="67"/>
      <c r="CU111" s="67"/>
      <c r="CV111" s="67"/>
      <c r="CW111" s="67"/>
      <c r="CX111" s="67"/>
      <c r="CY111" s="67"/>
      <c r="CZ111" s="67"/>
      <c r="DA111" s="67"/>
      <c r="DB111" s="67"/>
      <c r="DC111" s="67"/>
      <c r="DD111" s="67"/>
      <c r="DE111" s="67"/>
      <c r="DF111" s="67"/>
      <c r="DG111" s="67"/>
      <c r="DH111" s="67"/>
      <c r="DI111" s="67"/>
      <c r="DJ111" s="67"/>
    </row>
    <row r="112" spans="5:114" x14ac:dyDescent="0.2">
      <c r="E112" s="67"/>
      <c r="G112" s="67"/>
      <c r="H112" s="67"/>
      <c r="I112" s="67"/>
      <c r="J112" s="67"/>
      <c r="K112" s="67"/>
      <c r="L112" s="67"/>
      <c r="M112" s="67"/>
      <c r="N112" s="67"/>
      <c r="O112" s="67"/>
      <c r="P112" s="67"/>
      <c r="Q112" s="67"/>
      <c r="R112" s="67"/>
      <c r="S112" s="67"/>
      <c r="T112" s="67"/>
      <c r="U112" s="67"/>
      <c r="V112" s="67"/>
      <c r="W112" s="67"/>
      <c r="X112" s="67"/>
      <c r="Y112" s="67"/>
      <c r="Z112" s="67"/>
      <c r="AA112" s="67"/>
      <c r="AB112" s="67"/>
      <c r="AC112" s="67"/>
      <c r="AD112" s="67"/>
      <c r="AE112" s="67"/>
      <c r="AF112" s="67"/>
      <c r="AG112" s="67"/>
      <c r="AH112" s="67"/>
      <c r="AI112" s="67"/>
      <c r="AJ112" s="67"/>
      <c r="AK112" s="67"/>
      <c r="AL112" s="67"/>
      <c r="AM112" s="67"/>
      <c r="AN112" s="67"/>
      <c r="AO112" s="67"/>
      <c r="AP112" s="67"/>
      <c r="AQ112" s="67"/>
      <c r="AR112" s="67"/>
      <c r="AS112" s="67"/>
      <c r="AT112" s="67"/>
      <c r="AU112" s="67"/>
      <c r="AV112" s="67"/>
      <c r="AW112" s="67"/>
      <c r="AX112" s="67"/>
      <c r="AY112" s="67"/>
      <c r="AZ112" s="67"/>
      <c r="BA112" s="67"/>
      <c r="BB112" s="67"/>
      <c r="BC112" s="67"/>
      <c r="BD112" s="67"/>
      <c r="BE112" s="67"/>
      <c r="BF112" s="67"/>
      <c r="BG112" s="67"/>
      <c r="BH112" s="70"/>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row>
    <row r="113" spans="5:114" x14ac:dyDescent="0.2">
      <c r="E113" s="67"/>
      <c r="G113" s="67"/>
      <c r="H113" s="67"/>
      <c r="I113" s="67"/>
      <c r="J113" s="67"/>
      <c r="K113" s="67"/>
      <c r="L113" s="67"/>
      <c r="M113" s="67"/>
      <c r="N113" s="67"/>
      <c r="O113" s="67"/>
      <c r="P113" s="67"/>
      <c r="Q113" s="67"/>
      <c r="R113" s="67"/>
      <c r="S113" s="67"/>
      <c r="T113" s="67"/>
      <c r="U113" s="67"/>
      <c r="V113" s="67"/>
      <c r="W113" s="67"/>
      <c r="X113" s="67"/>
      <c r="Y113" s="67"/>
      <c r="Z113" s="67"/>
      <c r="AA113" s="67"/>
      <c r="AB113" s="67"/>
      <c r="AC113" s="67"/>
      <c r="AD113" s="67"/>
      <c r="AE113" s="67"/>
      <c r="AF113" s="67"/>
      <c r="AG113" s="67"/>
      <c r="AH113" s="67"/>
      <c r="AI113" s="67"/>
      <c r="AJ113" s="67"/>
      <c r="AK113" s="67"/>
      <c r="AL113" s="67"/>
      <c r="AM113" s="67"/>
      <c r="AN113" s="67"/>
      <c r="AO113" s="67"/>
      <c r="AP113" s="67"/>
      <c r="AQ113" s="67"/>
      <c r="AR113" s="67"/>
      <c r="AS113" s="67"/>
      <c r="AT113" s="67"/>
      <c r="AU113" s="67"/>
      <c r="AV113" s="67"/>
      <c r="AW113" s="67"/>
      <c r="AX113" s="67"/>
      <c r="AY113" s="67"/>
      <c r="AZ113" s="67"/>
      <c r="BA113" s="67"/>
      <c r="BB113" s="67"/>
      <c r="BC113" s="67"/>
      <c r="BD113" s="67"/>
      <c r="BE113" s="67"/>
      <c r="BF113" s="67"/>
      <c r="BG113" s="67"/>
      <c r="BH113" s="70"/>
      <c r="BJ113" s="67"/>
      <c r="BK113" s="67"/>
      <c r="BL113" s="67"/>
      <c r="BM113" s="67"/>
      <c r="BN113" s="67"/>
      <c r="BO113" s="67"/>
      <c r="BP113" s="67"/>
      <c r="BQ113" s="67"/>
      <c r="BR113" s="67"/>
      <c r="BS113" s="67"/>
      <c r="BT113" s="67"/>
      <c r="BU113" s="67"/>
      <c r="BV113" s="67"/>
      <c r="BW113" s="67"/>
      <c r="BX113" s="67"/>
      <c r="BY113" s="67"/>
      <c r="BZ113" s="67"/>
      <c r="CA113" s="67"/>
      <c r="CB113" s="67"/>
      <c r="CC113" s="67"/>
      <c r="CD113" s="67"/>
      <c r="CE113" s="67"/>
      <c r="CF113" s="67"/>
      <c r="CG113" s="67"/>
      <c r="CH113" s="67"/>
      <c r="CI113" s="67"/>
      <c r="CJ113" s="67"/>
      <c r="CK113" s="67"/>
      <c r="CL113" s="67"/>
      <c r="CM113" s="67"/>
      <c r="CN113" s="67"/>
      <c r="CO113" s="67"/>
      <c r="CP113" s="67"/>
      <c r="CQ113" s="67"/>
      <c r="CR113" s="67"/>
      <c r="CS113" s="67"/>
      <c r="CT113" s="67"/>
      <c r="CU113" s="67"/>
      <c r="CV113" s="67"/>
      <c r="CW113" s="67"/>
      <c r="CX113" s="67"/>
      <c r="CY113" s="67"/>
      <c r="CZ113" s="67"/>
      <c r="DA113" s="67"/>
      <c r="DB113" s="67"/>
      <c r="DC113" s="67"/>
      <c r="DD113" s="67"/>
      <c r="DE113" s="67"/>
      <c r="DF113" s="67"/>
      <c r="DG113" s="67"/>
      <c r="DH113" s="67"/>
      <c r="DI113" s="67"/>
      <c r="DJ113" s="67"/>
    </row>
    <row r="114" spans="5:114" x14ac:dyDescent="0.2">
      <c r="E114" s="67"/>
      <c r="G114" s="67"/>
      <c r="H114" s="67"/>
      <c r="I114" s="67"/>
      <c r="J114" s="67"/>
      <c r="K114" s="67"/>
      <c r="L114" s="67"/>
      <c r="M114" s="67"/>
      <c r="N114" s="67"/>
      <c r="O114" s="67"/>
      <c r="P114" s="67"/>
      <c r="Q114" s="67"/>
      <c r="R114" s="67"/>
      <c r="S114" s="67"/>
      <c r="T114" s="67"/>
      <c r="U114" s="67"/>
      <c r="V114" s="67"/>
      <c r="W114" s="67"/>
      <c r="X114" s="67"/>
      <c r="Y114" s="67"/>
      <c r="Z114" s="67"/>
      <c r="AA114" s="67"/>
      <c r="AB114" s="67"/>
      <c r="AC114" s="67"/>
      <c r="AD114" s="67"/>
      <c r="AE114" s="67"/>
      <c r="AF114" s="67"/>
      <c r="AG114" s="67"/>
      <c r="AH114" s="67"/>
      <c r="AI114" s="67"/>
      <c r="AJ114" s="67"/>
      <c r="AK114" s="67"/>
      <c r="AL114" s="67"/>
      <c r="AM114" s="67"/>
      <c r="AN114" s="67"/>
      <c r="AO114" s="67"/>
      <c r="AP114" s="67"/>
      <c r="AQ114" s="67"/>
      <c r="AR114" s="67"/>
      <c r="AS114" s="67"/>
      <c r="AT114" s="67"/>
      <c r="AU114" s="67"/>
      <c r="AV114" s="67"/>
      <c r="AW114" s="67"/>
      <c r="AX114" s="67"/>
      <c r="AY114" s="67"/>
      <c r="AZ114" s="67"/>
      <c r="BA114" s="67"/>
      <c r="BB114" s="67"/>
      <c r="BC114" s="67"/>
      <c r="BD114" s="67"/>
      <c r="BE114" s="67"/>
      <c r="BF114" s="67"/>
      <c r="BG114" s="67"/>
      <c r="BH114" s="70"/>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row>
    <row r="115" spans="5:114" x14ac:dyDescent="0.2">
      <c r="E115" s="67"/>
      <c r="G115" s="67"/>
      <c r="H115" s="67"/>
      <c r="I115" s="67"/>
      <c r="J115" s="67"/>
      <c r="K115" s="67"/>
      <c r="L115" s="67"/>
      <c r="M115" s="67"/>
      <c r="N115" s="67"/>
      <c r="O115" s="67"/>
      <c r="P115" s="67"/>
      <c r="Q115" s="67"/>
      <c r="R115" s="67"/>
      <c r="S115" s="67"/>
      <c r="T115" s="67"/>
      <c r="U115" s="67"/>
      <c r="V115" s="67"/>
      <c r="W115" s="67"/>
      <c r="X115" s="67"/>
      <c r="Y115" s="67"/>
      <c r="Z115" s="67"/>
      <c r="AA115" s="67"/>
      <c r="AB115" s="67"/>
      <c r="AC115" s="67"/>
      <c r="AD115" s="67"/>
      <c r="AE115" s="67"/>
      <c r="AF115" s="67"/>
      <c r="AG115" s="67"/>
      <c r="AH115" s="67"/>
      <c r="AI115" s="67"/>
      <c r="AJ115" s="67"/>
      <c r="AK115" s="67"/>
      <c r="AL115" s="67"/>
      <c r="AM115" s="67"/>
      <c r="AN115" s="67"/>
      <c r="AO115" s="67"/>
      <c r="AP115" s="67"/>
      <c r="AQ115" s="67"/>
      <c r="AR115" s="67"/>
      <c r="AS115" s="67"/>
      <c r="AT115" s="67"/>
      <c r="AU115" s="67"/>
      <c r="AV115" s="67"/>
      <c r="AW115" s="67"/>
      <c r="AX115" s="67"/>
      <c r="AY115" s="67"/>
      <c r="AZ115" s="67"/>
      <c r="BA115" s="67"/>
      <c r="BB115" s="67"/>
      <c r="BC115" s="67"/>
      <c r="BD115" s="67"/>
      <c r="BE115" s="67"/>
      <c r="BF115" s="67"/>
      <c r="BG115" s="67"/>
      <c r="BH115" s="70"/>
      <c r="BJ115" s="67"/>
      <c r="BK115" s="67"/>
      <c r="BL115" s="67"/>
      <c r="BM115" s="67"/>
      <c r="BN115" s="67"/>
      <c r="BO115" s="67"/>
      <c r="BP115" s="67"/>
      <c r="BQ115" s="67"/>
      <c r="BR115" s="67"/>
      <c r="BS115" s="67"/>
      <c r="BT115" s="67"/>
      <c r="BU115" s="67"/>
      <c r="BV115" s="67"/>
      <c r="BW115" s="67"/>
      <c r="BX115" s="67"/>
      <c r="BY115" s="67"/>
      <c r="BZ115" s="67"/>
      <c r="CA115" s="67"/>
      <c r="CB115" s="67"/>
      <c r="CC115" s="67"/>
      <c r="CD115" s="67"/>
      <c r="CE115" s="67"/>
      <c r="CF115" s="67"/>
      <c r="CG115" s="67"/>
      <c r="CH115" s="67"/>
      <c r="CI115" s="67"/>
      <c r="CJ115" s="67"/>
      <c r="CK115" s="67"/>
      <c r="CL115" s="67"/>
      <c r="CM115" s="67"/>
      <c r="CN115" s="67"/>
      <c r="CO115" s="67"/>
      <c r="CP115" s="67"/>
      <c r="CQ115" s="67"/>
      <c r="CR115" s="67"/>
      <c r="CS115" s="67"/>
      <c r="CT115" s="67"/>
      <c r="CU115" s="67"/>
      <c r="CV115" s="67"/>
      <c r="CW115" s="67"/>
      <c r="CX115" s="67"/>
      <c r="CY115" s="67"/>
      <c r="CZ115" s="67"/>
      <c r="DA115" s="67"/>
      <c r="DB115" s="67"/>
      <c r="DC115" s="67"/>
      <c r="DD115" s="67"/>
      <c r="DE115" s="67"/>
      <c r="DF115" s="67"/>
      <c r="DG115" s="67"/>
      <c r="DH115" s="67"/>
      <c r="DI115" s="67"/>
      <c r="DJ115" s="67"/>
    </row>
    <row r="116" spans="5:114" x14ac:dyDescent="0.2">
      <c r="E116" s="67"/>
      <c r="G116" s="67"/>
      <c r="H116" s="67"/>
      <c r="I116" s="67"/>
      <c r="J116" s="67"/>
      <c r="K116" s="67"/>
      <c r="L116" s="67"/>
      <c r="M116" s="67"/>
      <c r="N116" s="67"/>
      <c r="O116" s="67"/>
      <c r="P116" s="67"/>
      <c r="Q116" s="67"/>
      <c r="R116" s="67"/>
      <c r="S116" s="67"/>
      <c r="T116" s="67"/>
      <c r="U116" s="67"/>
      <c r="V116" s="67"/>
      <c r="W116" s="67"/>
      <c r="X116" s="67"/>
      <c r="Y116" s="67"/>
      <c r="Z116" s="67"/>
      <c r="AA116" s="67"/>
      <c r="AB116" s="67"/>
      <c r="AC116" s="67"/>
      <c r="AD116" s="67"/>
      <c r="AE116" s="67"/>
      <c r="AF116" s="67"/>
      <c r="AG116" s="67"/>
      <c r="AH116" s="67"/>
      <c r="AI116" s="67"/>
      <c r="AJ116" s="67"/>
      <c r="AK116" s="67"/>
      <c r="AL116" s="67"/>
      <c r="AM116" s="67"/>
      <c r="AN116" s="67"/>
      <c r="AO116" s="67"/>
      <c r="AP116" s="67"/>
      <c r="AQ116" s="67"/>
      <c r="AR116" s="67"/>
      <c r="AS116" s="67"/>
      <c r="AT116" s="67"/>
      <c r="AU116" s="67"/>
      <c r="AV116" s="67"/>
      <c r="AW116" s="67"/>
      <c r="AX116" s="67"/>
      <c r="AY116" s="67"/>
      <c r="AZ116" s="67"/>
      <c r="BA116" s="67"/>
      <c r="BB116" s="67"/>
      <c r="BC116" s="67"/>
      <c r="BD116" s="67"/>
      <c r="BE116" s="67"/>
      <c r="BF116" s="67"/>
      <c r="BG116" s="67"/>
      <c r="BH116" s="70"/>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row>
    <row r="117" spans="5:114" x14ac:dyDescent="0.2">
      <c r="E117" s="67"/>
      <c r="G117" s="67"/>
      <c r="H117" s="67"/>
      <c r="I117" s="67"/>
      <c r="J117" s="67"/>
      <c r="K117" s="67"/>
      <c r="L117" s="67"/>
      <c r="M117" s="67"/>
      <c r="N117" s="67"/>
      <c r="O117" s="67"/>
      <c r="P117" s="67"/>
      <c r="Q117" s="67"/>
      <c r="R117" s="67"/>
      <c r="S117" s="67"/>
      <c r="T117" s="67"/>
      <c r="U117" s="67"/>
      <c r="V117" s="67"/>
      <c r="W117" s="67"/>
      <c r="X117" s="67"/>
      <c r="Y117" s="67"/>
      <c r="Z117" s="67"/>
      <c r="AA117" s="67"/>
      <c r="AB117" s="67"/>
      <c r="AC117" s="67"/>
      <c r="AD117" s="67"/>
      <c r="AE117" s="67"/>
      <c r="AF117" s="67"/>
      <c r="AG117" s="67"/>
      <c r="AH117" s="67"/>
      <c r="AI117" s="67"/>
      <c r="AJ117" s="67"/>
      <c r="AK117" s="67"/>
      <c r="AL117" s="67"/>
      <c r="AM117" s="67"/>
      <c r="AN117" s="67"/>
      <c r="AO117" s="67"/>
      <c r="AP117" s="67"/>
      <c r="AQ117" s="67"/>
      <c r="AR117" s="67"/>
      <c r="AS117" s="67"/>
      <c r="AT117" s="67"/>
      <c r="AU117" s="67"/>
      <c r="AV117" s="67"/>
      <c r="AW117" s="67"/>
      <c r="AX117" s="67"/>
      <c r="AY117" s="67"/>
      <c r="AZ117" s="67"/>
      <c r="BA117" s="67"/>
      <c r="BB117" s="67"/>
      <c r="BC117" s="67"/>
      <c r="BD117" s="67"/>
      <c r="BE117" s="67"/>
      <c r="BF117" s="67"/>
      <c r="BG117" s="67"/>
      <c r="BH117" s="70"/>
      <c r="BJ117" s="67"/>
      <c r="BK117" s="67"/>
      <c r="BL117" s="67"/>
      <c r="BM117" s="67"/>
      <c r="BN117" s="67"/>
      <c r="BO117" s="67"/>
      <c r="BP117" s="67"/>
      <c r="BQ117" s="67"/>
      <c r="BR117" s="67"/>
      <c r="BS117" s="67"/>
      <c r="BT117" s="67"/>
      <c r="BU117" s="67"/>
      <c r="BV117" s="67"/>
      <c r="BW117" s="67"/>
      <c r="BX117" s="67"/>
      <c r="BY117" s="67"/>
      <c r="BZ117" s="67"/>
      <c r="CA117" s="67"/>
      <c r="CB117" s="67"/>
      <c r="CC117" s="67"/>
      <c r="CD117" s="67"/>
      <c r="CE117" s="67"/>
      <c r="CF117" s="67"/>
      <c r="CG117" s="67"/>
      <c r="CH117" s="67"/>
      <c r="CI117" s="67"/>
      <c r="CJ117" s="67"/>
      <c r="CK117" s="67"/>
      <c r="CL117" s="67"/>
      <c r="CM117" s="67"/>
      <c r="CN117" s="67"/>
      <c r="CO117" s="67"/>
      <c r="CP117" s="67"/>
      <c r="CQ117" s="67"/>
      <c r="CR117" s="67"/>
      <c r="CS117" s="67"/>
      <c r="CT117" s="67"/>
      <c r="CU117" s="67"/>
      <c r="CV117" s="67"/>
      <c r="CW117" s="67"/>
      <c r="CX117" s="67"/>
      <c r="CY117" s="67"/>
      <c r="CZ117" s="67"/>
      <c r="DA117" s="67"/>
      <c r="DB117" s="67"/>
      <c r="DC117" s="67"/>
      <c r="DD117" s="67"/>
      <c r="DE117" s="67"/>
      <c r="DF117" s="67"/>
      <c r="DG117" s="67"/>
      <c r="DH117" s="67"/>
      <c r="DI117" s="67"/>
      <c r="DJ117" s="67"/>
    </row>
    <row r="118" spans="5:114" x14ac:dyDescent="0.2">
      <c r="E118" s="67"/>
      <c r="G118" s="67"/>
      <c r="H118" s="67"/>
      <c r="I118" s="67"/>
      <c r="J118" s="67"/>
      <c r="K118" s="67"/>
      <c r="L118" s="67"/>
      <c r="M118" s="67"/>
      <c r="N118" s="67"/>
      <c r="O118" s="67"/>
      <c r="P118" s="67"/>
      <c r="Q118" s="67"/>
      <c r="R118" s="67"/>
      <c r="S118" s="67"/>
      <c r="T118" s="67"/>
      <c r="U118" s="67"/>
      <c r="V118" s="67"/>
      <c r="W118" s="67"/>
      <c r="X118" s="67"/>
      <c r="Y118" s="67"/>
      <c r="Z118" s="67"/>
      <c r="AA118" s="67"/>
      <c r="AB118" s="67"/>
      <c r="AC118" s="67"/>
      <c r="AD118" s="67"/>
      <c r="AE118" s="67"/>
      <c r="AF118" s="67"/>
      <c r="AG118" s="67"/>
      <c r="AH118" s="67"/>
      <c r="AI118" s="67"/>
      <c r="AJ118" s="67"/>
      <c r="AK118" s="67"/>
      <c r="AL118" s="67"/>
      <c r="AM118" s="67"/>
      <c r="AN118" s="67"/>
      <c r="AO118" s="67"/>
      <c r="AP118" s="67"/>
      <c r="AQ118" s="67"/>
      <c r="AR118" s="67"/>
      <c r="AS118" s="67"/>
      <c r="AT118" s="67"/>
      <c r="AU118" s="67"/>
      <c r="AV118" s="67"/>
      <c r="AW118" s="67"/>
      <c r="AX118" s="67"/>
      <c r="AY118" s="67"/>
      <c r="AZ118" s="67"/>
      <c r="BA118" s="67"/>
      <c r="BB118" s="67"/>
      <c r="BC118" s="67"/>
      <c r="BD118" s="67"/>
      <c r="BE118" s="67"/>
      <c r="BF118" s="67"/>
      <c r="BG118" s="67"/>
      <c r="BH118" s="70"/>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row>
    <row r="119" spans="5:114" x14ac:dyDescent="0.2">
      <c r="E119" s="67"/>
      <c r="G119" s="67"/>
      <c r="H119" s="67"/>
      <c r="I119" s="67"/>
      <c r="J119" s="67"/>
      <c r="K119" s="67"/>
      <c r="L119" s="67"/>
      <c r="M119" s="67"/>
      <c r="N119" s="67"/>
      <c r="O119" s="67"/>
      <c r="P119" s="67"/>
      <c r="Q119" s="67"/>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70"/>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c r="CM119" s="67"/>
      <c r="CN119" s="67"/>
      <c r="CO119" s="67"/>
      <c r="CP119" s="67"/>
      <c r="CQ119" s="67"/>
      <c r="CR119" s="67"/>
      <c r="CS119" s="67"/>
      <c r="CT119" s="67"/>
      <c r="CU119" s="67"/>
      <c r="CV119" s="67"/>
      <c r="CW119" s="67"/>
      <c r="CX119" s="67"/>
      <c r="CY119" s="67"/>
      <c r="CZ119" s="67"/>
      <c r="DA119" s="67"/>
      <c r="DB119" s="67"/>
      <c r="DC119" s="67"/>
      <c r="DD119" s="67"/>
      <c r="DE119" s="67"/>
      <c r="DF119" s="67"/>
      <c r="DG119" s="67"/>
      <c r="DH119" s="67"/>
      <c r="DI119" s="67"/>
      <c r="DJ119" s="67"/>
    </row>
    <row r="120" spans="5:114" x14ac:dyDescent="0.2">
      <c r="E120" s="67"/>
      <c r="G120" s="67"/>
      <c r="H120" s="67"/>
      <c r="I120" s="67"/>
      <c r="J120" s="67"/>
      <c r="K120" s="67"/>
      <c r="L120" s="67"/>
      <c r="M120" s="67"/>
      <c r="N120" s="67"/>
      <c r="O120" s="67"/>
      <c r="P120" s="67"/>
      <c r="Q120" s="67"/>
      <c r="R120" s="67"/>
      <c r="S120" s="67"/>
      <c r="T120" s="67"/>
      <c r="U120" s="67"/>
      <c r="V120" s="67"/>
      <c r="W120" s="67"/>
      <c r="X120" s="67"/>
      <c r="Y120" s="67"/>
      <c r="Z120" s="67"/>
      <c r="AA120" s="67"/>
      <c r="AB120" s="67"/>
      <c r="AC120" s="67"/>
      <c r="AD120" s="67"/>
      <c r="AE120" s="67"/>
      <c r="AF120" s="67"/>
      <c r="AG120" s="67"/>
      <c r="AH120" s="67"/>
      <c r="AI120" s="67"/>
      <c r="AJ120" s="67"/>
      <c r="AK120" s="67"/>
      <c r="AL120" s="67"/>
      <c r="AM120" s="67"/>
      <c r="AN120" s="67"/>
      <c r="AO120" s="67"/>
      <c r="AP120" s="67"/>
      <c r="AQ120" s="67"/>
      <c r="AR120" s="67"/>
      <c r="AS120" s="67"/>
      <c r="AT120" s="67"/>
      <c r="AU120" s="67"/>
      <c r="AV120" s="67"/>
      <c r="AW120" s="67"/>
      <c r="AX120" s="67"/>
      <c r="AY120" s="67"/>
      <c r="AZ120" s="67"/>
      <c r="BA120" s="67"/>
      <c r="BB120" s="67"/>
      <c r="BC120" s="67"/>
      <c r="BD120" s="67"/>
      <c r="BE120" s="67"/>
      <c r="BF120" s="67"/>
      <c r="BG120" s="67"/>
      <c r="BH120" s="70"/>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row>
    <row r="121" spans="5:114" x14ac:dyDescent="0.2">
      <c r="E121" s="67"/>
      <c r="G121" s="67"/>
      <c r="H121" s="67"/>
      <c r="I121" s="67"/>
      <c r="J121" s="67"/>
      <c r="K121" s="67"/>
      <c r="L121" s="67"/>
      <c r="M121" s="67"/>
      <c r="N121" s="67"/>
      <c r="O121" s="67"/>
      <c r="P121" s="67"/>
      <c r="Q121" s="67"/>
      <c r="R121" s="67"/>
      <c r="S121" s="67"/>
      <c r="T121" s="67"/>
      <c r="U121" s="67"/>
      <c r="V121" s="67"/>
      <c r="W121" s="67"/>
      <c r="X121" s="67"/>
      <c r="Y121" s="67"/>
      <c r="Z121" s="67"/>
      <c r="AA121" s="67"/>
      <c r="AB121" s="67"/>
      <c r="AC121" s="67"/>
      <c r="AD121" s="67"/>
      <c r="AE121" s="67"/>
      <c r="AF121" s="67"/>
      <c r="AG121" s="67"/>
      <c r="AH121" s="67"/>
      <c r="AI121" s="67"/>
      <c r="AJ121" s="67"/>
      <c r="AK121" s="67"/>
      <c r="AL121" s="67"/>
      <c r="AM121" s="67"/>
      <c r="AN121" s="67"/>
      <c r="AO121" s="67"/>
      <c r="AP121" s="67"/>
      <c r="AQ121" s="67"/>
      <c r="AR121" s="67"/>
      <c r="AS121" s="67"/>
      <c r="AT121" s="67"/>
      <c r="AU121" s="67"/>
      <c r="AV121" s="67"/>
      <c r="AW121" s="67"/>
      <c r="AX121" s="67"/>
      <c r="AY121" s="67"/>
      <c r="AZ121" s="67"/>
      <c r="BA121" s="67"/>
      <c r="BB121" s="67"/>
      <c r="BC121" s="67"/>
      <c r="BD121" s="67"/>
      <c r="BE121" s="67"/>
      <c r="BF121" s="67"/>
      <c r="BG121" s="67"/>
      <c r="BH121" s="70"/>
      <c r="BJ121" s="67"/>
      <c r="BK121" s="67"/>
      <c r="BL121" s="67"/>
      <c r="BM121" s="67"/>
      <c r="BN121" s="67"/>
      <c r="BO121" s="67"/>
      <c r="BP121" s="67"/>
      <c r="BQ121" s="67"/>
      <c r="BR121" s="67"/>
      <c r="BS121" s="67"/>
      <c r="BT121" s="67"/>
      <c r="BU121" s="67"/>
      <c r="BV121" s="67"/>
      <c r="BW121" s="67"/>
      <c r="BX121" s="67"/>
      <c r="BY121" s="67"/>
      <c r="BZ121" s="67"/>
      <c r="CA121" s="67"/>
      <c r="CB121" s="67"/>
      <c r="CC121" s="67"/>
      <c r="CD121" s="67"/>
      <c r="CE121" s="67"/>
      <c r="CF121" s="67"/>
      <c r="CG121" s="67"/>
      <c r="CH121" s="67"/>
      <c r="CI121" s="67"/>
      <c r="CJ121" s="67"/>
      <c r="CK121" s="67"/>
      <c r="CL121" s="67"/>
      <c r="CM121" s="67"/>
      <c r="CN121" s="67"/>
      <c r="CO121" s="67"/>
      <c r="CP121" s="67"/>
      <c r="CQ121" s="67"/>
      <c r="CR121" s="67"/>
      <c r="CS121" s="67"/>
      <c r="CT121" s="67"/>
      <c r="CU121" s="67"/>
      <c r="CV121" s="67"/>
      <c r="CW121" s="67"/>
      <c r="CX121" s="67"/>
      <c r="CY121" s="67"/>
      <c r="CZ121" s="67"/>
      <c r="DA121" s="67"/>
      <c r="DB121" s="67"/>
      <c r="DC121" s="67"/>
      <c r="DD121" s="67"/>
      <c r="DE121" s="67"/>
      <c r="DF121" s="67"/>
      <c r="DG121" s="67"/>
      <c r="DH121" s="67"/>
      <c r="DI121" s="67"/>
      <c r="DJ121" s="67"/>
    </row>
    <row r="122" spans="5:114" x14ac:dyDescent="0.2">
      <c r="E122" s="67"/>
      <c r="G122" s="67"/>
      <c r="H122" s="67"/>
      <c r="I122" s="67"/>
      <c r="J122" s="67"/>
      <c r="K122" s="67"/>
      <c r="L122" s="67"/>
      <c r="M122" s="67"/>
      <c r="N122" s="67"/>
      <c r="O122" s="67"/>
      <c r="P122" s="67"/>
      <c r="Q122" s="67"/>
      <c r="R122" s="67"/>
      <c r="S122" s="67"/>
      <c r="T122" s="67"/>
      <c r="U122" s="67"/>
      <c r="V122" s="67"/>
      <c r="W122" s="67"/>
      <c r="X122" s="67"/>
      <c r="Y122" s="67"/>
      <c r="Z122" s="67"/>
      <c r="AA122" s="67"/>
      <c r="AB122" s="67"/>
      <c r="AC122" s="67"/>
      <c r="AD122" s="67"/>
      <c r="AE122" s="67"/>
      <c r="AF122" s="67"/>
      <c r="AG122" s="67"/>
      <c r="AH122" s="67"/>
      <c r="AI122" s="67"/>
      <c r="AJ122" s="67"/>
      <c r="AK122" s="67"/>
      <c r="AL122" s="67"/>
      <c r="AM122" s="67"/>
      <c r="AN122" s="67"/>
      <c r="AO122" s="67"/>
      <c r="AP122" s="67"/>
      <c r="AQ122" s="67"/>
      <c r="AR122" s="67"/>
      <c r="AS122" s="67"/>
      <c r="AT122" s="67"/>
      <c r="AU122" s="67"/>
      <c r="AV122" s="67"/>
      <c r="AW122" s="67"/>
      <c r="AX122" s="67"/>
      <c r="AY122" s="67"/>
      <c r="AZ122" s="67"/>
      <c r="BA122" s="67"/>
      <c r="BB122" s="67"/>
      <c r="BC122" s="67"/>
      <c r="BD122" s="67"/>
      <c r="BE122" s="67"/>
      <c r="BF122" s="67"/>
      <c r="BG122" s="67"/>
      <c r="BH122" s="70"/>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row>
    <row r="123" spans="5:114" x14ac:dyDescent="0.2">
      <c r="E123" s="67"/>
      <c r="G123" s="67"/>
      <c r="H123" s="67"/>
      <c r="I123" s="67"/>
      <c r="J123" s="67"/>
      <c r="K123" s="67"/>
      <c r="L123" s="67"/>
      <c r="M123" s="67"/>
      <c r="N123" s="67"/>
      <c r="O123" s="67"/>
      <c r="P123" s="67"/>
      <c r="Q123" s="67"/>
      <c r="R123" s="67"/>
      <c r="S123" s="67"/>
      <c r="T123" s="67"/>
      <c r="U123" s="67"/>
      <c r="V123" s="67"/>
      <c r="W123" s="67"/>
      <c r="X123" s="67"/>
      <c r="Y123" s="67"/>
      <c r="Z123" s="67"/>
      <c r="AA123" s="67"/>
      <c r="AB123" s="67"/>
      <c r="AC123" s="67"/>
      <c r="AD123" s="67"/>
      <c r="AE123" s="67"/>
      <c r="AF123" s="67"/>
      <c r="AG123" s="67"/>
      <c r="AH123" s="67"/>
      <c r="AI123" s="67"/>
      <c r="AJ123" s="67"/>
      <c r="AK123" s="67"/>
      <c r="AL123" s="67"/>
      <c r="AM123" s="67"/>
      <c r="AN123" s="67"/>
      <c r="AO123" s="67"/>
      <c r="AP123" s="67"/>
      <c r="AQ123" s="67"/>
      <c r="AR123" s="67"/>
      <c r="AS123" s="67"/>
      <c r="AT123" s="67"/>
      <c r="AU123" s="67"/>
      <c r="AV123" s="67"/>
      <c r="AW123" s="67"/>
      <c r="AX123" s="67"/>
      <c r="AY123" s="67"/>
      <c r="AZ123" s="67"/>
      <c r="BA123" s="67"/>
      <c r="BB123" s="67"/>
      <c r="BC123" s="67"/>
      <c r="BD123" s="67"/>
      <c r="BE123" s="67"/>
      <c r="BF123" s="67"/>
      <c r="BG123" s="67"/>
      <c r="BH123" s="70"/>
      <c r="BJ123" s="67"/>
      <c r="BK123" s="67"/>
      <c r="BL123" s="67"/>
      <c r="BM123" s="67"/>
      <c r="BN123" s="67"/>
      <c r="BO123" s="67"/>
      <c r="BP123" s="67"/>
      <c r="BQ123" s="67"/>
      <c r="BR123" s="67"/>
      <c r="BS123" s="67"/>
      <c r="BT123" s="67"/>
      <c r="BU123" s="67"/>
      <c r="BV123" s="67"/>
      <c r="BW123" s="67"/>
      <c r="BX123" s="67"/>
      <c r="BY123" s="67"/>
      <c r="BZ123" s="67"/>
      <c r="CA123" s="67"/>
      <c r="CB123" s="67"/>
      <c r="CC123" s="67"/>
      <c r="CD123" s="67"/>
      <c r="CE123" s="67"/>
      <c r="CF123" s="67"/>
      <c r="CG123" s="67"/>
      <c r="CH123" s="67"/>
      <c r="CI123" s="67"/>
      <c r="CJ123" s="67"/>
      <c r="CK123" s="67"/>
      <c r="CL123" s="67"/>
      <c r="CM123" s="67"/>
      <c r="CN123" s="67"/>
      <c r="CO123" s="67"/>
      <c r="CP123" s="67"/>
      <c r="CQ123" s="67"/>
      <c r="CR123" s="67"/>
      <c r="CS123" s="67"/>
      <c r="CT123" s="67"/>
      <c r="CU123" s="67"/>
      <c r="CV123" s="67"/>
      <c r="CW123" s="67"/>
      <c r="CX123" s="67"/>
      <c r="CY123" s="67"/>
      <c r="CZ123" s="67"/>
      <c r="DA123" s="67"/>
      <c r="DB123" s="67"/>
      <c r="DC123" s="67"/>
      <c r="DD123" s="67"/>
      <c r="DE123" s="67"/>
      <c r="DF123" s="67"/>
      <c r="DG123" s="67"/>
      <c r="DH123" s="67"/>
      <c r="DI123" s="67"/>
      <c r="DJ123" s="67"/>
    </row>
    <row r="124" spans="5:114" x14ac:dyDescent="0.2">
      <c r="E124" s="67"/>
      <c r="G124" s="67"/>
      <c r="H124" s="67"/>
      <c r="I124" s="67"/>
      <c r="J124" s="67"/>
      <c r="K124" s="67"/>
      <c r="L124" s="67"/>
      <c r="M124" s="67"/>
      <c r="N124" s="67"/>
      <c r="O124" s="67"/>
      <c r="P124" s="67"/>
      <c r="Q124" s="67"/>
      <c r="R124" s="67"/>
      <c r="S124" s="67"/>
      <c r="T124" s="67"/>
      <c r="U124" s="67"/>
      <c r="V124" s="67"/>
      <c r="W124" s="67"/>
      <c r="X124" s="67"/>
      <c r="Y124" s="67"/>
      <c r="Z124" s="67"/>
      <c r="AA124" s="67"/>
      <c r="AB124" s="67"/>
      <c r="AC124" s="67"/>
      <c r="AD124" s="67"/>
      <c r="AE124" s="67"/>
      <c r="AF124" s="67"/>
      <c r="AG124" s="67"/>
      <c r="AH124" s="67"/>
      <c r="AI124" s="67"/>
      <c r="AJ124" s="67"/>
      <c r="AK124" s="67"/>
      <c r="AL124" s="67"/>
      <c r="AM124" s="67"/>
      <c r="AN124" s="67"/>
      <c r="AO124" s="67"/>
      <c r="AP124" s="67"/>
      <c r="AQ124" s="67"/>
      <c r="AR124" s="67"/>
      <c r="AS124" s="67"/>
      <c r="AT124" s="67"/>
      <c r="AU124" s="67"/>
      <c r="AV124" s="67"/>
      <c r="AW124" s="67"/>
      <c r="AX124" s="67"/>
      <c r="AY124" s="67"/>
      <c r="AZ124" s="67"/>
      <c r="BA124" s="67"/>
      <c r="BB124" s="67"/>
      <c r="BC124" s="67"/>
      <c r="BD124" s="67"/>
      <c r="BE124" s="67"/>
      <c r="BF124" s="67"/>
      <c r="BG124" s="67"/>
      <c r="BH124" s="70"/>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row>
    <row r="125" spans="5:114" x14ac:dyDescent="0.2">
      <c r="E125" s="67"/>
      <c r="G125" s="67"/>
      <c r="H125" s="67"/>
      <c r="I125" s="67"/>
      <c r="J125" s="67"/>
      <c r="K125" s="67"/>
      <c r="L125" s="67"/>
      <c r="M125" s="67"/>
      <c r="N125" s="67"/>
      <c r="O125" s="67"/>
      <c r="P125" s="67"/>
      <c r="Q125" s="67"/>
      <c r="R125" s="67"/>
      <c r="S125" s="67"/>
      <c r="T125" s="67"/>
      <c r="U125" s="67"/>
      <c r="V125" s="67"/>
      <c r="W125" s="67"/>
      <c r="X125" s="67"/>
      <c r="Y125" s="67"/>
      <c r="Z125" s="67"/>
      <c r="AA125" s="67"/>
      <c r="AB125" s="67"/>
      <c r="AC125" s="67"/>
      <c r="AD125" s="67"/>
      <c r="AE125" s="67"/>
      <c r="AF125" s="67"/>
      <c r="AG125" s="67"/>
      <c r="AH125" s="67"/>
      <c r="AI125" s="67"/>
      <c r="AJ125" s="67"/>
      <c r="AK125" s="67"/>
      <c r="AL125" s="67"/>
      <c r="AM125" s="67"/>
      <c r="AN125" s="67"/>
      <c r="AO125" s="67"/>
      <c r="AP125" s="67"/>
      <c r="AQ125" s="67"/>
      <c r="AR125" s="67"/>
      <c r="AS125" s="67"/>
      <c r="AT125" s="67"/>
      <c r="AU125" s="67"/>
      <c r="AV125" s="67"/>
      <c r="AW125" s="67"/>
      <c r="AX125" s="67"/>
      <c r="AY125" s="67"/>
      <c r="AZ125" s="67"/>
      <c r="BA125" s="67"/>
      <c r="BB125" s="67"/>
      <c r="BC125" s="67"/>
      <c r="BD125" s="67"/>
      <c r="BE125" s="67"/>
      <c r="BF125" s="67"/>
      <c r="BG125" s="67"/>
      <c r="BH125" s="70"/>
      <c r="BJ125" s="67"/>
      <c r="BK125" s="67"/>
      <c r="BL125" s="67"/>
      <c r="BM125" s="67"/>
      <c r="BN125" s="67"/>
      <c r="BO125" s="67"/>
      <c r="BP125" s="67"/>
      <c r="BQ125" s="67"/>
      <c r="BR125" s="67"/>
      <c r="BS125" s="67"/>
      <c r="BT125" s="67"/>
      <c r="BU125" s="67"/>
      <c r="BV125" s="67"/>
      <c r="BW125" s="67"/>
      <c r="BX125" s="67"/>
      <c r="BY125" s="67"/>
      <c r="BZ125" s="67"/>
      <c r="CA125" s="67"/>
      <c r="CB125" s="67"/>
      <c r="CC125" s="67"/>
      <c r="CD125" s="67"/>
      <c r="CE125" s="67"/>
      <c r="CF125" s="67"/>
      <c r="CG125" s="67"/>
      <c r="CH125" s="67"/>
      <c r="CI125" s="67"/>
      <c r="CJ125" s="67"/>
      <c r="CK125" s="67"/>
      <c r="CL125" s="67"/>
      <c r="CM125" s="67"/>
      <c r="CN125" s="67"/>
      <c r="CO125" s="67"/>
      <c r="CP125" s="67"/>
      <c r="CQ125" s="67"/>
      <c r="CR125" s="67"/>
      <c r="CS125" s="67"/>
      <c r="CT125" s="67"/>
      <c r="CU125" s="67"/>
      <c r="CV125" s="67"/>
      <c r="CW125" s="67"/>
      <c r="CX125" s="67"/>
      <c r="CY125" s="67"/>
      <c r="CZ125" s="67"/>
      <c r="DA125" s="67"/>
      <c r="DB125" s="67"/>
      <c r="DC125" s="67"/>
      <c r="DD125" s="67"/>
      <c r="DE125" s="67"/>
      <c r="DF125" s="67"/>
      <c r="DG125" s="67"/>
      <c r="DH125" s="67"/>
      <c r="DI125" s="67"/>
      <c r="DJ125" s="67"/>
    </row>
    <row r="126" spans="5:114" x14ac:dyDescent="0.2">
      <c r="E126" s="67"/>
      <c r="G126" s="67"/>
      <c r="H126" s="67"/>
      <c r="I126" s="67"/>
      <c r="J126" s="67"/>
      <c r="K126" s="67"/>
      <c r="L126" s="67"/>
      <c r="M126" s="67"/>
      <c r="N126" s="67"/>
      <c r="O126" s="67"/>
      <c r="P126" s="67"/>
      <c r="Q126" s="67"/>
      <c r="R126" s="67"/>
      <c r="S126" s="67"/>
      <c r="T126" s="67"/>
      <c r="U126" s="67"/>
      <c r="V126" s="67"/>
      <c r="W126" s="67"/>
      <c r="X126" s="67"/>
      <c r="Y126" s="67"/>
      <c r="Z126" s="67"/>
      <c r="AA126" s="67"/>
      <c r="AB126" s="67"/>
      <c r="AC126" s="67"/>
      <c r="AD126" s="67"/>
      <c r="AE126" s="67"/>
      <c r="AF126" s="67"/>
      <c r="AG126" s="67"/>
      <c r="AH126" s="67"/>
      <c r="AI126" s="67"/>
      <c r="AJ126" s="67"/>
      <c r="AK126" s="67"/>
      <c r="AL126" s="67"/>
      <c r="AM126" s="67"/>
      <c r="AN126" s="67"/>
      <c r="AO126" s="67"/>
      <c r="AP126" s="67"/>
      <c r="AQ126" s="67"/>
      <c r="AR126" s="67"/>
      <c r="AS126" s="67"/>
      <c r="AT126" s="67"/>
      <c r="AU126" s="67"/>
      <c r="AV126" s="67"/>
      <c r="AW126" s="67"/>
      <c r="AX126" s="67"/>
      <c r="AY126" s="67"/>
      <c r="AZ126" s="67"/>
      <c r="BA126" s="67"/>
      <c r="BB126" s="67"/>
      <c r="BC126" s="67"/>
      <c r="BD126" s="67"/>
      <c r="BE126" s="67"/>
      <c r="BF126" s="67"/>
      <c r="BG126" s="67"/>
      <c r="BH126" s="70"/>
      <c r="BJ126" s="67"/>
      <c r="BK126" s="67"/>
      <c r="BL126" s="67"/>
      <c r="BM126" s="67"/>
      <c r="BN126" s="67"/>
      <c r="BO126" s="67"/>
      <c r="BP126" s="67"/>
      <c r="BQ126" s="67"/>
      <c r="BR126" s="67"/>
      <c r="BS126" s="67"/>
      <c r="BT126" s="67"/>
      <c r="BU126" s="67"/>
      <c r="BV126" s="67"/>
      <c r="BW126" s="67"/>
      <c r="BX126" s="67"/>
      <c r="BY126" s="67"/>
      <c r="BZ126" s="67"/>
      <c r="CA126" s="67"/>
      <c r="CB126" s="67"/>
      <c r="CC126" s="67"/>
      <c r="CD126" s="67"/>
      <c r="CE126" s="67"/>
      <c r="CF126" s="67"/>
      <c r="CG126" s="67"/>
      <c r="CH126" s="67"/>
      <c r="CI126" s="67"/>
      <c r="CJ126" s="67"/>
      <c r="CK126" s="67"/>
      <c r="CL126" s="67"/>
      <c r="CM126" s="67"/>
      <c r="CN126" s="67"/>
      <c r="CO126" s="67"/>
      <c r="CP126" s="67"/>
      <c r="CQ126" s="67"/>
      <c r="CR126" s="67"/>
      <c r="CS126" s="67"/>
      <c r="CT126" s="67"/>
      <c r="CU126" s="67"/>
      <c r="CV126" s="67"/>
      <c r="CW126" s="67"/>
      <c r="CX126" s="67"/>
      <c r="CY126" s="67"/>
      <c r="CZ126" s="67"/>
      <c r="DA126" s="67"/>
      <c r="DB126" s="67"/>
      <c r="DC126" s="67"/>
      <c r="DD126" s="67"/>
      <c r="DE126" s="67"/>
      <c r="DF126" s="67"/>
      <c r="DG126" s="67"/>
      <c r="DH126" s="67"/>
      <c r="DI126" s="67"/>
      <c r="DJ126" s="67"/>
    </row>
    <row r="127" spans="5:114" x14ac:dyDescent="0.2">
      <c r="E127" s="67"/>
      <c r="G127" s="67"/>
      <c r="H127" s="67"/>
      <c r="I127" s="67"/>
      <c r="J127" s="67"/>
      <c r="K127" s="67"/>
      <c r="L127" s="67"/>
      <c r="M127" s="67"/>
      <c r="N127" s="67"/>
      <c r="O127" s="67"/>
      <c r="P127" s="67"/>
      <c r="Q127" s="67"/>
      <c r="R127" s="67"/>
      <c r="S127" s="67"/>
      <c r="T127" s="67"/>
      <c r="U127" s="67"/>
      <c r="V127" s="67"/>
      <c r="W127" s="67"/>
      <c r="X127" s="67"/>
      <c r="Y127" s="67"/>
      <c r="Z127" s="67"/>
      <c r="AA127" s="67"/>
      <c r="AB127" s="67"/>
      <c r="AC127" s="67"/>
      <c r="AD127" s="67"/>
      <c r="AE127" s="67"/>
      <c r="AF127" s="67"/>
      <c r="AG127" s="67"/>
      <c r="AH127" s="67"/>
      <c r="AI127" s="67"/>
      <c r="AJ127" s="67"/>
      <c r="AK127" s="67"/>
      <c r="AL127" s="67"/>
      <c r="AM127" s="67"/>
      <c r="AN127" s="67"/>
      <c r="AO127" s="67"/>
      <c r="AP127" s="67"/>
      <c r="AQ127" s="67"/>
      <c r="AR127" s="67"/>
      <c r="AS127" s="67"/>
      <c r="AT127" s="67"/>
      <c r="AU127" s="67"/>
      <c r="AV127" s="67"/>
      <c r="AW127" s="67"/>
      <c r="AX127" s="67"/>
      <c r="AY127" s="67"/>
      <c r="AZ127" s="67"/>
      <c r="BA127" s="67"/>
      <c r="BB127" s="67"/>
      <c r="BC127" s="67"/>
      <c r="BD127" s="67"/>
      <c r="BE127" s="67"/>
      <c r="BF127" s="67"/>
      <c r="BG127" s="67"/>
      <c r="BH127" s="70"/>
      <c r="BJ127" s="67"/>
      <c r="BK127" s="67"/>
      <c r="BL127" s="67"/>
      <c r="BM127" s="67"/>
      <c r="BN127" s="67"/>
      <c r="BO127" s="67"/>
      <c r="BP127" s="67"/>
      <c r="BQ127" s="67"/>
      <c r="BR127" s="67"/>
      <c r="BS127" s="67"/>
      <c r="BT127" s="67"/>
      <c r="BU127" s="67"/>
      <c r="BV127" s="67"/>
      <c r="BW127" s="67"/>
      <c r="BX127" s="67"/>
      <c r="BY127" s="67"/>
      <c r="BZ127" s="67"/>
      <c r="CA127" s="67"/>
      <c r="CB127" s="67"/>
      <c r="CC127" s="67"/>
      <c r="CD127" s="67"/>
      <c r="CE127" s="67"/>
      <c r="CF127" s="67"/>
      <c r="CG127" s="67"/>
      <c r="CH127" s="67"/>
      <c r="CI127" s="67"/>
      <c r="CJ127" s="67"/>
      <c r="CK127" s="67"/>
      <c r="CL127" s="67"/>
      <c r="CM127" s="67"/>
      <c r="CN127" s="67"/>
      <c r="CO127" s="67"/>
      <c r="CP127" s="67"/>
      <c r="CQ127" s="67"/>
      <c r="CR127" s="67"/>
      <c r="CS127" s="67"/>
      <c r="CT127" s="67"/>
      <c r="CU127" s="67"/>
      <c r="CV127" s="67"/>
      <c r="CW127" s="67"/>
      <c r="CX127" s="67"/>
      <c r="CY127" s="67"/>
      <c r="CZ127" s="67"/>
      <c r="DA127" s="67"/>
      <c r="DB127" s="67"/>
      <c r="DC127" s="67"/>
      <c r="DD127" s="67"/>
      <c r="DE127" s="67"/>
      <c r="DF127" s="67"/>
      <c r="DG127" s="67"/>
      <c r="DH127" s="67"/>
      <c r="DI127" s="67"/>
      <c r="DJ127" s="67"/>
    </row>
    <row r="128" spans="5:114" x14ac:dyDescent="0.2">
      <c r="E128" s="67"/>
      <c r="G128" s="67"/>
      <c r="H128" s="67"/>
      <c r="I128" s="67"/>
      <c r="J128" s="67"/>
      <c r="K128" s="67"/>
      <c r="L128" s="67"/>
      <c r="M128" s="67"/>
      <c r="N128" s="67"/>
      <c r="O128" s="67"/>
      <c r="P128" s="67"/>
      <c r="Q128" s="67"/>
      <c r="R128" s="67"/>
      <c r="S128" s="67"/>
      <c r="T128" s="67"/>
      <c r="U128" s="67"/>
      <c r="V128" s="67"/>
      <c r="W128" s="67"/>
      <c r="X128" s="67"/>
      <c r="Y128" s="67"/>
      <c r="Z128" s="67"/>
      <c r="AA128" s="67"/>
      <c r="AB128" s="67"/>
      <c r="AC128" s="67"/>
      <c r="AD128" s="67"/>
      <c r="AE128" s="67"/>
      <c r="AF128" s="67"/>
      <c r="AG128" s="67"/>
      <c r="AH128" s="67"/>
      <c r="AI128" s="67"/>
      <c r="AJ128" s="67"/>
      <c r="AK128" s="67"/>
      <c r="AL128" s="67"/>
      <c r="AM128" s="67"/>
      <c r="AN128" s="67"/>
      <c r="AO128" s="67"/>
      <c r="AP128" s="67"/>
      <c r="AQ128" s="67"/>
      <c r="AR128" s="67"/>
      <c r="AS128" s="67"/>
      <c r="AT128" s="67"/>
      <c r="AU128" s="67"/>
      <c r="AV128" s="67"/>
      <c r="AW128" s="67"/>
      <c r="AX128" s="67"/>
      <c r="AY128" s="67"/>
      <c r="AZ128" s="67"/>
      <c r="BA128" s="67"/>
      <c r="BB128" s="67"/>
      <c r="BC128" s="67"/>
      <c r="BD128" s="67"/>
      <c r="BE128" s="67"/>
      <c r="BF128" s="67"/>
      <c r="BG128" s="67"/>
      <c r="BH128" s="70"/>
      <c r="BJ128" s="67"/>
      <c r="BK128" s="67"/>
      <c r="BL128" s="67"/>
      <c r="BM128" s="67"/>
      <c r="BN128" s="67"/>
      <c r="BO128" s="67"/>
      <c r="BP128" s="67"/>
      <c r="BQ128" s="67"/>
      <c r="BR128" s="67"/>
      <c r="BS128" s="67"/>
      <c r="BT128" s="67"/>
      <c r="BU128" s="67"/>
      <c r="BV128" s="67"/>
      <c r="BW128" s="67"/>
      <c r="BX128" s="67"/>
      <c r="BY128" s="67"/>
      <c r="BZ128" s="67"/>
      <c r="CA128" s="67"/>
      <c r="CB128" s="67"/>
      <c r="CC128" s="67"/>
      <c r="CD128" s="67"/>
      <c r="CE128" s="67"/>
      <c r="CF128" s="67"/>
      <c r="CG128" s="67"/>
      <c r="CH128" s="67"/>
      <c r="CI128" s="67"/>
      <c r="CJ128" s="67"/>
      <c r="CK128" s="67"/>
      <c r="CL128" s="67"/>
      <c r="CM128" s="67"/>
      <c r="CN128" s="67"/>
      <c r="CO128" s="67"/>
      <c r="CP128" s="67"/>
      <c r="CQ128" s="67"/>
      <c r="CR128" s="67"/>
      <c r="CS128" s="67"/>
      <c r="CT128" s="67"/>
      <c r="CU128" s="67"/>
      <c r="CV128" s="67"/>
      <c r="CW128" s="67"/>
      <c r="CX128" s="67"/>
      <c r="CY128" s="67"/>
      <c r="CZ128" s="67"/>
      <c r="DA128" s="67"/>
      <c r="DB128" s="67"/>
      <c r="DC128" s="67"/>
      <c r="DD128" s="67"/>
      <c r="DE128" s="67"/>
      <c r="DF128" s="67"/>
      <c r="DG128" s="67"/>
      <c r="DH128" s="67"/>
      <c r="DI128" s="67"/>
      <c r="DJ128" s="67"/>
    </row>
    <row r="129" spans="5:114" x14ac:dyDescent="0.2">
      <c r="E129" s="67"/>
      <c r="G129" s="67"/>
      <c r="H129" s="67"/>
      <c r="I129" s="67"/>
      <c r="J129" s="67"/>
      <c r="K129" s="67"/>
      <c r="L129" s="67"/>
      <c r="M129" s="67"/>
      <c r="N129" s="67"/>
      <c r="O129" s="67"/>
      <c r="P129" s="67"/>
      <c r="Q129" s="67"/>
      <c r="R129" s="67"/>
      <c r="S129" s="67"/>
      <c r="T129" s="67"/>
      <c r="U129" s="67"/>
      <c r="V129" s="67"/>
      <c r="W129" s="67"/>
      <c r="X129" s="67"/>
      <c r="Y129" s="67"/>
      <c r="Z129" s="67"/>
      <c r="AA129" s="67"/>
      <c r="AB129" s="67"/>
      <c r="AC129" s="67"/>
      <c r="AD129" s="67"/>
      <c r="AE129" s="67"/>
      <c r="AF129" s="67"/>
      <c r="AG129" s="67"/>
      <c r="AH129" s="67"/>
      <c r="AI129" s="67"/>
      <c r="AJ129" s="67"/>
      <c r="AK129" s="67"/>
      <c r="AL129" s="67"/>
      <c r="AM129" s="67"/>
      <c r="AN129" s="67"/>
      <c r="AO129" s="67"/>
      <c r="AP129" s="67"/>
      <c r="AQ129" s="67"/>
      <c r="AR129" s="67"/>
      <c r="AS129" s="67"/>
      <c r="AT129" s="67"/>
      <c r="AU129" s="67"/>
      <c r="AV129" s="67"/>
      <c r="AW129" s="67"/>
      <c r="AX129" s="67"/>
      <c r="AY129" s="67"/>
      <c r="AZ129" s="67"/>
      <c r="BA129" s="67"/>
      <c r="BB129" s="67"/>
      <c r="BC129" s="67"/>
      <c r="BD129" s="67"/>
      <c r="BE129" s="67"/>
      <c r="BF129" s="67"/>
      <c r="BG129" s="67"/>
      <c r="BH129" s="70"/>
      <c r="BJ129" s="67"/>
      <c r="BK129" s="67"/>
      <c r="BL129" s="67"/>
      <c r="BM129" s="67"/>
      <c r="BN129" s="67"/>
      <c r="BO129" s="67"/>
      <c r="BP129" s="67"/>
      <c r="BQ129" s="67"/>
      <c r="BR129" s="67"/>
      <c r="BS129" s="67"/>
      <c r="BT129" s="67"/>
      <c r="BU129" s="67"/>
      <c r="BV129" s="67"/>
      <c r="BW129" s="67"/>
      <c r="BX129" s="67"/>
      <c r="BY129" s="67"/>
      <c r="BZ129" s="67"/>
      <c r="CA129" s="67"/>
      <c r="CB129" s="67"/>
      <c r="CC129" s="67"/>
      <c r="CD129" s="67"/>
      <c r="CE129" s="67"/>
      <c r="CF129" s="67"/>
      <c r="CG129" s="67"/>
      <c r="CH129" s="67"/>
      <c r="CI129" s="67"/>
      <c r="CJ129" s="67"/>
      <c r="CK129" s="67"/>
      <c r="CL129" s="67"/>
      <c r="CM129" s="67"/>
      <c r="CN129" s="67"/>
      <c r="CO129" s="67"/>
      <c r="CP129" s="67"/>
      <c r="CQ129" s="67"/>
      <c r="CR129" s="67"/>
      <c r="CS129" s="67"/>
      <c r="CT129" s="67"/>
      <c r="CU129" s="67"/>
      <c r="CV129" s="67"/>
      <c r="CW129" s="67"/>
      <c r="CX129" s="67"/>
      <c r="CY129" s="67"/>
      <c r="CZ129" s="67"/>
      <c r="DA129" s="67"/>
      <c r="DB129" s="67"/>
      <c r="DC129" s="67"/>
      <c r="DD129" s="67"/>
      <c r="DE129" s="67"/>
      <c r="DF129" s="67"/>
      <c r="DG129" s="67"/>
      <c r="DH129" s="67"/>
      <c r="DI129" s="67"/>
      <c r="DJ129" s="67"/>
    </row>
    <row r="130" spans="5:114" x14ac:dyDescent="0.2">
      <c r="E130" s="67"/>
      <c r="G130" s="67"/>
      <c r="H130" s="67"/>
      <c r="I130" s="67"/>
      <c r="J130" s="67"/>
      <c r="K130" s="67"/>
      <c r="L130" s="67"/>
      <c r="M130" s="67"/>
      <c r="N130" s="67"/>
      <c r="O130" s="67"/>
      <c r="P130" s="67"/>
      <c r="Q130" s="67"/>
      <c r="R130" s="67"/>
      <c r="S130" s="67"/>
      <c r="T130" s="67"/>
      <c r="U130" s="67"/>
      <c r="V130" s="67"/>
      <c r="W130" s="67"/>
      <c r="X130" s="67"/>
      <c r="Y130" s="67"/>
      <c r="Z130" s="67"/>
      <c r="AA130" s="67"/>
      <c r="AB130" s="67"/>
      <c r="AC130" s="67"/>
      <c r="AD130" s="67"/>
      <c r="AE130" s="67"/>
      <c r="AF130" s="67"/>
      <c r="AG130" s="67"/>
      <c r="AH130" s="67"/>
      <c r="AI130" s="67"/>
      <c r="AJ130" s="67"/>
      <c r="AK130" s="67"/>
      <c r="AL130" s="67"/>
      <c r="AM130" s="67"/>
      <c r="AN130" s="67"/>
      <c r="AO130" s="67"/>
      <c r="AP130" s="67"/>
      <c r="AQ130" s="67"/>
      <c r="AR130" s="67"/>
      <c r="AS130" s="67"/>
      <c r="AT130" s="67"/>
      <c r="AU130" s="67"/>
      <c r="AV130" s="67"/>
      <c r="AW130" s="67"/>
      <c r="AX130" s="67"/>
      <c r="AY130" s="67"/>
      <c r="AZ130" s="67"/>
      <c r="BA130" s="67"/>
      <c r="BB130" s="67"/>
      <c r="BC130" s="67"/>
      <c r="BD130" s="67"/>
      <c r="BE130" s="67"/>
      <c r="BF130" s="67"/>
      <c r="BG130" s="67"/>
      <c r="BH130" s="70"/>
      <c r="BJ130" s="67"/>
      <c r="BK130" s="67"/>
      <c r="BL130" s="67"/>
      <c r="BM130" s="67"/>
      <c r="BN130" s="67"/>
      <c r="BO130" s="67"/>
      <c r="BP130" s="67"/>
      <c r="BQ130" s="67"/>
      <c r="BR130" s="67"/>
      <c r="BS130" s="67"/>
      <c r="BT130" s="67"/>
      <c r="BU130" s="67"/>
      <c r="BV130" s="67"/>
      <c r="BW130" s="67"/>
      <c r="BX130" s="67"/>
      <c r="BY130" s="67"/>
      <c r="BZ130" s="67"/>
      <c r="CA130" s="67"/>
      <c r="CB130" s="67"/>
      <c r="CC130" s="67"/>
      <c r="CD130" s="67"/>
      <c r="CE130" s="67"/>
      <c r="CF130" s="67"/>
      <c r="CG130" s="67"/>
      <c r="CH130" s="67"/>
      <c r="CI130" s="67"/>
      <c r="CJ130" s="67"/>
      <c r="CK130" s="67"/>
      <c r="CL130" s="67"/>
      <c r="CM130" s="67"/>
      <c r="CN130" s="67"/>
      <c r="CO130" s="67"/>
      <c r="CP130" s="67"/>
      <c r="CQ130" s="67"/>
      <c r="CR130" s="67"/>
      <c r="CS130" s="67"/>
      <c r="CT130" s="67"/>
      <c r="CU130" s="67"/>
      <c r="CV130" s="67"/>
      <c r="CW130" s="67"/>
      <c r="CX130" s="67"/>
      <c r="CY130" s="67"/>
      <c r="CZ130" s="67"/>
      <c r="DA130" s="67"/>
      <c r="DB130" s="67"/>
      <c r="DC130" s="67"/>
      <c r="DD130" s="67"/>
      <c r="DE130" s="67"/>
      <c r="DF130" s="67"/>
      <c r="DG130" s="67"/>
      <c r="DH130" s="67"/>
      <c r="DI130" s="67"/>
      <c r="DJ130" s="67"/>
    </row>
    <row r="131" spans="5:114" x14ac:dyDescent="0.2">
      <c r="E131" s="67"/>
      <c r="G131" s="67"/>
      <c r="H131" s="67"/>
      <c r="I131" s="67"/>
      <c r="J131" s="67"/>
      <c r="K131" s="67"/>
      <c r="L131" s="67"/>
      <c r="M131" s="67"/>
      <c r="N131" s="67"/>
      <c r="O131" s="67"/>
      <c r="P131" s="67"/>
      <c r="Q131" s="67"/>
      <c r="R131" s="67"/>
      <c r="S131" s="67"/>
      <c r="T131" s="67"/>
      <c r="U131" s="67"/>
      <c r="V131" s="67"/>
      <c r="W131" s="67"/>
      <c r="X131" s="67"/>
      <c r="Y131" s="67"/>
      <c r="Z131" s="67"/>
      <c r="AA131" s="67"/>
      <c r="AB131" s="67"/>
      <c r="AC131" s="67"/>
      <c r="AD131" s="67"/>
      <c r="AE131" s="67"/>
      <c r="AF131" s="67"/>
      <c r="AG131" s="67"/>
      <c r="AH131" s="67"/>
      <c r="AI131" s="67"/>
      <c r="AJ131" s="67"/>
      <c r="AK131" s="67"/>
      <c r="AL131" s="67"/>
      <c r="AM131" s="67"/>
      <c r="AN131" s="67"/>
      <c r="AO131" s="67"/>
      <c r="AP131" s="67"/>
      <c r="AQ131" s="67"/>
      <c r="AR131" s="67"/>
      <c r="AS131" s="67"/>
      <c r="AT131" s="67"/>
      <c r="AU131" s="67"/>
      <c r="AV131" s="67"/>
      <c r="AW131" s="67"/>
      <c r="AX131" s="67"/>
      <c r="AY131" s="67"/>
      <c r="AZ131" s="67"/>
      <c r="BA131" s="67"/>
      <c r="BB131" s="67"/>
      <c r="BC131" s="67"/>
      <c r="BD131" s="67"/>
      <c r="BE131" s="67"/>
      <c r="BF131" s="67"/>
      <c r="BG131" s="67"/>
      <c r="BH131" s="70"/>
      <c r="BJ131" s="67"/>
      <c r="BK131" s="67"/>
      <c r="BL131" s="67"/>
      <c r="BM131" s="67"/>
      <c r="BN131" s="67"/>
      <c r="BO131" s="67"/>
      <c r="BP131" s="67"/>
      <c r="BQ131" s="67"/>
      <c r="BR131" s="67"/>
      <c r="BS131" s="67"/>
      <c r="BT131" s="67"/>
      <c r="BU131" s="67"/>
      <c r="BV131" s="67"/>
      <c r="BW131" s="67"/>
      <c r="BX131" s="67"/>
      <c r="BY131" s="67"/>
      <c r="BZ131" s="67"/>
      <c r="CA131" s="67"/>
      <c r="CB131" s="67"/>
      <c r="CC131" s="67"/>
      <c r="CD131" s="67"/>
      <c r="CE131" s="67"/>
      <c r="CF131" s="67"/>
      <c r="CG131" s="67"/>
      <c r="CH131" s="67"/>
      <c r="CI131" s="67"/>
      <c r="CJ131" s="67"/>
      <c r="CK131" s="67"/>
      <c r="CL131" s="67"/>
      <c r="CM131" s="67"/>
      <c r="CN131" s="67"/>
      <c r="CO131" s="67"/>
      <c r="CP131" s="67"/>
      <c r="CQ131" s="67"/>
      <c r="CR131" s="67"/>
      <c r="CS131" s="67"/>
      <c r="CT131" s="67"/>
      <c r="CU131" s="67"/>
      <c r="CV131" s="67"/>
      <c r="CW131" s="67"/>
      <c r="CX131" s="67"/>
      <c r="CY131" s="67"/>
      <c r="CZ131" s="67"/>
      <c r="DA131" s="67"/>
      <c r="DB131" s="67"/>
      <c r="DC131" s="67"/>
      <c r="DD131" s="67"/>
      <c r="DE131" s="67"/>
      <c r="DF131" s="67"/>
      <c r="DG131" s="67"/>
      <c r="DH131" s="67"/>
      <c r="DI131" s="67"/>
      <c r="DJ131" s="67"/>
    </row>
    <row r="132" spans="5:114" x14ac:dyDescent="0.2">
      <c r="E132" s="67"/>
      <c r="G132" s="67"/>
      <c r="H132" s="67"/>
      <c r="I132" s="67"/>
      <c r="J132" s="67"/>
      <c r="K132" s="67"/>
      <c r="L132" s="67"/>
      <c r="M132" s="67"/>
      <c r="N132" s="67"/>
      <c r="O132" s="67"/>
      <c r="P132" s="67"/>
      <c r="Q132" s="67"/>
      <c r="R132" s="67"/>
      <c r="S132" s="67"/>
      <c r="T132" s="67"/>
      <c r="U132" s="67"/>
      <c r="V132" s="67"/>
      <c r="W132" s="67"/>
      <c r="X132" s="67"/>
      <c r="Y132" s="67"/>
      <c r="Z132" s="67"/>
      <c r="AA132" s="67"/>
      <c r="AB132" s="67"/>
      <c r="AC132" s="67"/>
      <c r="AD132" s="67"/>
      <c r="AE132" s="67"/>
      <c r="AF132" s="67"/>
      <c r="AG132" s="67"/>
      <c r="AH132" s="67"/>
      <c r="AI132" s="67"/>
      <c r="AJ132" s="67"/>
      <c r="AK132" s="67"/>
      <c r="AL132" s="67"/>
      <c r="AM132" s="67"/>
      <c r="AN132" s="67"/>
      <c r="AO132" s="67"/>
      <c r="AP132" s="67"/>
      <c r="AQ132" s="67"/>
      <c r="AR132" s="67"/>
      <c r="AS132" s="67"/>
      <c r="AT132" s="67"/>
      <c r="AU132" s="67"/>
      <c r="AV132" s="67"/>
      <c r="AW132" s="67"/>
      <c r="AX132" s="67"/>
      <c r="AY132" s="67"/>
      <c r="AZ132" s="67"/>
      <c r="BA132" s="67"/>
      <c r="BB132" s="67"/>
      <c r="BC132" s="67"/>
      <c r="BD132" s="67"/>
      <c r="BE132" s="67"/>
      <c r="BF132" s="67"/>
      <c r="BG132" s="67"/>
      <c r="BH132" s="70"/>
      <c r="BJ132" s="67"/>
      <c r="BK132" s="67"/>
      <c r="BL132" s="67"/>
      <c r="BM132" s="67"/>
      <c r="BN132" s="67"/>
      <c r="BO132" s="67"/>
      <c r="BP132" s="67"/>
      <c r="BQ132" s="67"/>
      <c r="BR132" s="67"/>
      <c r="BS132" s="67"/>
      <c r="BT132" s="67"/>
      <c r="BU132" s="67"/>
      <c r="BV132" s="67"/>
      <c r="BW132" s="67"/>
      <c r="BX132" s="67"/>
      <c r="BY132" s="67"/>
      <c r="BZ132" s="67"/>
      <c r="CA132" s="67"/>
      <c r="CB132" s="67"/>
      <c r="CC132" s="67"/>
      <c r="CD132" s="67"/>
      <c r="CE132" s="67"/>
      <c r="CF132" s="67"/>
      <c r="CG132" s="67"/>
      <c r="CH132" s="67"/>
      <c r="CI132" s="67"/>
      <c r="CJ132" s="67"/>
      <c r="CK132" s="67"/>
      <c r="CL132" s="67"/>
      <c r="CM132" s="67"/>
      <c r="CN132" s="67"/>
      <c r="CO132" s="67"/>
      <c r="CP132" s="67"/>
      <c r="CQ132" s="67"/>
      <c r="CR132" s="67"/>
      <c r="CS132" s="67"/>
      <c r="CT132" s="67"/>
      <c r="CU132" s="67"/>
      <c r="CV132" s="67"/>
      <c r="CW132" s="67"/>
      <c r="CX132" s="67"/>
      <c r="CY132" s="67"/>
      <c r="CZ132" s="67"/>
      <c r="DA132" s="67"/>
      <c r="DB132" s="67"/>
      <c r="DC132" s="67"/>
      <c r="DD132" s="67"/>
      <c r="DE132" s="67"/>
      <c r="DF132" s="67"/>
      <c r="DG132" s="67"/>
      <c r="DH132" s="67"/>
      <c r="DI132" s="67"/>
      <c r="DJ132" s="67"/>
    </row>
    <row r="133" spans="5:114" x14ac:dyDescent="0.2">
      <c r="E133" s="67"/>
      <c r="G133" s="67"/>
      <c r="H133" s="67"/>
      <c r="I133" s="67"/>
      <c r="J133" s="67"/>
      <c r="K133" s="67"/>
      <c r="L133" s="67"/>
      <c r="M133" s="67"/>
      <c r="N133" s="67"/>
      <c r="O133" s="67"/>
      <c r="P133" s="67"/>
      <c r="Q133" s="67"/>
      <c r="R133" s="67"/>
      <c r="S133" s="67"/>
      <c r="T133" s="67"/>
      <c r="U133" s="67"/>
      <c r="V133" s="67"/>
      <c r="W133" s="67"/>
      <c r="X133" s="67"/>
      <c r="Y133" s="67"/>
      <c r="Z133" s="67"/>
      <c r="AA133" s="67"/>
      <c r="AB133" s="67"/>
      <c r="AC133" s="67"/>
      <c r="AD133" s="67"/>
      <c r="AE133" s="67"/>
      <c r="AF133" s="67"/>
      <c r="AG133" s="67"/>
      <c r="AH133" s="67"/>
      <c r="AI133" s="67"/>
      <c r="AJ133" s="67"/>
      <c r="AK133" s="67"/>
      <c r="AL133" s="67"/>
      <c r="AM133" s="67"/>
      <c r="AN133" s="67"/>
      <c r="AO133" s="67"/>
      <c r="AP133" s="67"/>
      <c r="AQ133" s="67"/>
      <c r="AR133" s="67"/>
      <c r="AS133" s="67"/>
      <c r="AT133" s="67"/>
      <c r="AU133" s="67"/>
      <c r="AV133" s="67"/>
      <c r="AW133" s="67"/>
      <c r="AX133" s="67"/>
      <c r="AY133" s="67"/>
      <c r="AZ133" s="67"/>
      <c r="BA133" s="67"/>
      <c r="BB133" s="67"/>
      <c r="BC133" s="67"/>
      <c r="BD133" s="67"/>
      <c r="BE133" s="67"/>
      <c r="BF133" s="67"/>
      <c r="BG133" s="67"/>
      <c r="BH133" s="70"/>
      <c r="BJ133" s="67"/>
      <c r="BK133" s="67"/>
      <c r="BL133" s="67"/>
      <c r="BM133" s="67"/>
      <c r="BN133" s="67"/>
      <c r="BO133" s="67"/>
      <c r="BP133" s="67"/>
      <c r="BQ133" s="67"/>
      <c r="BR133" s="67"/>
      <c r="BS133" s="67"/>
      <c r="BT133" s="67"/>
      <c r="BU133" s="67"/>
      <c r="BV133" s="67"/>
      <c r="BW133" s="67"/>
      <c r="BX133" s="67"/>
      <c r="BY133" s="67"/>
      <c r="BZ133" s="67"/>
      <c r="CA133" s="67"/>
      <c r="CB133" s="67"/>
      <c r="CC133" s="67"/>
      <c r="CD133" s="67"/>
      <c r="CE133" s="67"/>
      <c r="CF133" s="67"/>
      <c r="CG133" s="67"/>
      <c r="CH133" s="67"/>
      <c r="CI133" s="67"/>
      <c r="CJ133" s="67"/>
      <c r="CK133" s="67"/>
      <c r="CL133" s="67"/>
      <c r="CM133" s="67"/>
      <c r="CN133" s="67"/>
      <c r="CO133" s="67"/>
      <c r="CP133" s="67"/>
      <c r="CQ133" s="67"/>
      <c r="CR133" s="67"/>
      <c r="CS133" s="67"/>
      <c r="CT133" s="67"/>
      <c r="CU133" s="67"/>
      <c r="CV133" s="67"/>
      <c r="CW133" s="67"/>
      <c r="CX133" s="67"/>
      <c r="CY133" s="67"/>
      <c r="CZ133" s="67"/>
      <c r="DA133" s="67"/>
      <c r="DB133" s="67"/>
      <c r="DC133" s="67"/>
      <c r="DD133" s="67"/>
      <c r="DE133" s="67"/>
      <c r="DF133" s="67"/>
      <c r="DG133" s="67"/>
      <c r="DH133" s="67"/>
      <c r="DI133" s="67"/>
      <c r="DJ133" s="67"/>
    </row>
    <row r="134" spans="5:114" x14ac:dyDescent="0.2">
      <c r="E134" s="67"/>
      <c r="G134" s="67"/>
      <c r="H134" s="67"/>
      <c r="I134" s="67"/>
      <c r="J134" s="67"/>
      <c r="K134" s="67"/>
      <c r="L134" s="67"/>
      <c r="M134" s="67"/>
      <c r="N134" s="67"/>
      <c r="O134" s="67"/>
      <c r="P134" s="67"/>
      <c r="Q134" s="67"/>
      <c r="R134" s="67"/>
      <c r="S134" s="67"/>
      <c r="T134" s="67"/>
      <c r="U134" s="67"/>
      <c r="V134" s="67"/>
      <c r="W134" s="67"/>
      <c r="X134" s="67"/>
      <c r="Y134" s="67"/>
      <c r="Z134" s="67"/>
      <c r="AA134" s="67"/>
      <c r="AB134" s="67"/>
      <c r="AC134" s="67"/>
      <c r="AD134" s="67"/>
      <c r="AE134" s="67"/>
      <c r="AF134" s="67"/>
      <c r="AG134" s="67"/>
      <c r="AH134" s="67"/>
      <c r="AI134" s="67"/>
      <c r="AJ134" s="67"/>
      <c r="AK134" s="67"/>
      <c r="AL134" s="67"/>
      <c r="AM134" s="67"/>
      <c r="AN134" s="67"/>
      <c r="AO134" s="67"/>
      <c r="AP134" s="67"/>
      <c r="AQ134" s="67"/>
      <c r="AR134" s="67"/>
      <c r="AS134" s="67"/>
      <c r="AT134" s="67"/>
      <c r="AU134" s="67"/>
      <c r="AV134" s="67"/>
      <c r="AW134" s="67"/>
      <c r="AX134" s="67"/>
      <c r="AY134" s="67"/>
      <c r="AZ134" s="67"/>
      <c r="BA134" s="67"/>
      <c r="BB134" s="67"/>
      <c r="BC134" s="67"/>
      <c r="BD134" s="67"/>
      <c r="BE134" s="67"/>
      <c r="BF134" s="67"/>
      <c r="BG134" s="67"/>
      <c r="BH134" s="70"/>
      <c r="BJ134" s="67"/>
      <c r="BK134" s="67"/>
      <c r="BL134" s="67"/>
      <c r="BM134" s="67"/>
      <c r="BN134" s="67"/>
      <c r="BO134" s="67"/>
      <c r="BP134" s="67"/>
      <c r="BQ134" s="67"/>
      <c r="BR134" s="67"/>
      <c r="BS134" s="67"/>
      <c r="BT134" s="67"/>
      <c r="BU134" s="67"/>
      <c r="BV134" s="67"/>
      <c r="BW134" s="67"/>
      <c r="BX134" s="67"/>
      <c r="BY134" s="67"/>
      <c r="BZ134" s="67"/>
      <c r="CA134" s="67"/>
      <c r="CB134" s="67"/>
      <c r="CC134" s="67"/>
      <c r="CD134" s="67"/>
      <c r="CE134" s="67"/>
      <c r="CF134" s="67"/>
      <c r="CG134" s="67"/>
      <c r="CH134" s="67"/>
      <c r="CI134" s="67"/>
      <c r="CJ134" s="67"/>
      <c r="CK134" s="67"/>
      <c r="CL134" s="67"/>
      <c r="CM134" s="67"/>
      <c r="CN134" s="67"/>
      <c r="CO134" s="67"/>
      <c r="CP134" s="67"/>
      <c r="CQ134" s="67"/>
      <c r="CR134" s="67"/>
      <c r="CS134" s="67"/>
      <c r="CT134" s="67"/>
      <c r="CU134" s="67"/>
      <c r="CV134" s="67"/>
      <c r="CW134" s="67"/>
      <c r="CX134" s="67"/>
      <c r="CY134" s="67"/>
      <c r="CZ134" s="67"/>
      <c r="DA134" s="67"/>
      <c r="DB134" s="67"/>
      <c r="DC134" s="67"/>
      <c r="DD134" s="67"/>
      <c r="DE134" s="67"/>
      <c r="DF134" s="67"/>
      <c r="DG134" s="67"/>
      <c r="DH134" s="67"/>
      <c r="DI134" s="67"/>
      <c r="DJ134" s="67"/>
    </row>
    <row r="135" spans="5:114" x14ac:dyDescent="0.2">
      <c r="E135" s="67"/>
      <c r="G135" s="67"/>
      <c r="H135" s="67"/>
      <c r="I135" s="67"/>
      <c r="J135" s="67"/>
      <c r="K135" s="67"/>
      <c r="L135" s="67"/>
      <c r="M135" s="67"/>
      <c r="N135" s="67"/>
      <c r="O135" s="67"/>
      <c r="P135" s="67"/>
      <c r="Q135" s="67"/>
      <c r="R135" s="67"/>
      <c r="S135" s="67"/>
      <c r="T135" s="67"/>
      <c r="U135" s="67"/>
      <c r="V135" s="67"/>
      <c r="W135" s="67"/>
      <c r="X135" s="67"/>
      <c r="Y135" s="67"/>
      <c r="Z135" s="67"/>
      <c r="AA135" s="67"/>
      <c r="AB135" s="67"/>
      <c r="AC135" s="67"/>
      <c r="AD135" s="67"/>
      <c r="AE135" s="67"/>
      <c r="AF135" s="67"/>
      <c r="AG135" s="67"/>
      <c r="AH135" s="67"/>
      <c r="AI135" s="67"/>
      <c r="AJ135" s="67"/>
      <c r="AK135" s="67"/>
      <c r="AL135" s="67"/>
      <c r="AM135" s="67"/>
      <c r="AN135" s="67"/>
      <c r="AO135" s="67"/>
      <c r="AP135" s="67"/>
      <c r="AQ135" s="67"/>
      <c r="AR135" s="67"/>
      <c r="AS135" s="67"/>
      <c r="AT135" s="67"/>
      <c r="AU135" s="67"/>
      <c r="AV135" s="67"/>
      <c r="AW135" s="67"/>
      <c r="AX135" s="67"/>
      <c r="AY135" s="67"/>
      <c r="AZ135" s="67"/>
      <c r="BA135" s="67"/>
      <c r="BB135" s="67"/>
      <c r="BC135" s="67"/>
      <c r="BD135" s="67"/>
      <c r="BE135" s="67"/>
      <c r="BF135" s="67"/>
      <c r="BG135" s="67"/>
      <c r="BH135" s="70"/>
      <c r="BJ135" s="67"/>
      <c r="BK135" s="67"/>
      <c r="BL135" s="67"/>
      <c r="BM135" s="67"/>
      <c r="BN135" s="67"/>
      <c r="BO135" s="67"/>
      <c r="BP135" s="67"/>
      <c r="BQ135" s="67"/>
      <c r="BR135" s="67"/>
      <c r="BS135" s="67"/>
      <c r="BT135" s="67"/>
      <c r="BU135" s="67"/>
      <c r="BV135" s="67"/>
      <c r="BW135" s="67"/>
      <c r="BX135" s="67"/>
      <c r="BY135" s="67"/>
      <c r="BZ135" s="67"/>
      <c r="CA135" s="67"/>
      <c r="CB135" s="67"/>
      <c r="CC135" s="67"/>
      <c r="CD135" s="67"/>
      <c r="CE135" s="67"/>
      <c r="CF135" s="67"/>
      <c r="CG135" s="67"/>
      <c r="CH135" s="67"/>
      <c r="CI135" s="67"/>
      <c r="CJ135" s="67"/>
      <c r="CK135" s="67"/>
      <c r="CL135" s="67"/>
      <c r="CM135" s="67"/>
      <c r="CN135" s="67"/>
      <c r="CO135" s="67"/>
      <c r="CP135" s="67"/>
      <c r="CQ135" s="67"/>
      <c r="CR135" s="67"/>
      <c r="CS135" s="67"/>
      <c r="CT135" s="67"/>
      <c r="CU135" s="67"/>
      <c r="CV135" s="67"/>
      <c r="CW135" s="67"/>
      <c r="CX135" s="67"/>
      <c r="CY135" s="67"/>
      <c r="CZ135" s="67"/>
      <c r="DA135" s="67"/>
      <c r="DB135" s="67"/>
      <c r="DC135" s="67"/>
      <c r="DD135" s="67"/>
      <c r="DE135" s="67"/>
      <c r="DF135" s="67"/>
      <c r="DG135" s="67"/>
      <c r="DH135" s="67"/>
      <c r="DI135" s="67"/>
      <c r="DJ135" s="67"/>
    </row>
    <row r="136" spans="5:114" x14ac:dyDescent="0.2">
      <c r="E136" s="67"/>
      <c r="G136" s="67"/>
      <c r="H136" s="67"/>
      <c r="I136" s="67"/>
      <c r="J136" s="67"/>
      <c r="K136" s="67"/>
      <c r="L136" s="67"/>
      <c r="M136" s="67"/>
      <c r="N136" s="67"/>
      <c r="O136" s="67"/>
      <c r="P136" s="67"/>
      <c r="Q136" s="67"/>
      <c r="R136" s="67"/>
      <c r="S136" s="67"/>
      <c r="T136" s="67"/>
      <c r="U136" s="67"/>
      <c r="V136" s="67"/>
      <c r="W136" s="67"/>
      <c r="X136" s="67"/>
      <c r="Y136" s="67"/>
      <c r="Z136" s="67"/>
      <c r="AA136" s="67"/>
      <c r="AB136" s="67"/>
      <c r="AC136" s="67"/>
      <c r="AD136" s="67"/>
      <c r="AE136" s="67"/>
      <c r="AF136" s="67"/>
      <c r="AG136" s="67"/>
      <c r="AH136" s="67"/>
      <c r="AI136" s="67"/>
      <c r="AJ136" s="67"/>
      <c r="AK136" s="67"/>
      <c r="AL136" s="67"/>
      <c r="AM136" s="67"/>
      <c r="AN136" s="67"/>
      <c r="AO136" s="67"/>
      <c r="AP136" s="67"/>
      <c r="AQ136" s="67"/>
      <c r="AR136" s="67"/>
      <c r="AS136" s="67"/>
      <c r="AT136" s="67"/>
      <c r="AU136" s="67"/>
      <c r="AV136" s="67"/>
      <c r="AW136" s="67"/>
      <c r="AX136" s="67"/>
      <c r="AY136" s="67"/>
      <c r="AZ136" s="67"/>
      <c r="BA136" s="67"/>
      <c r="BB136" s="67"/>
      <c r="BC136" s="67"/>
      <c r="BD136" s="67"/>
      <c r="BE136" s="67"/>
      <c r="BF136" s="67"/>
      <c r="BG136" s="67"/>
      <c r="BH136" s="70"/>
      <c r="BJ136" s="67"/>
      <c r="BK136" s="67"/>
      <c r="BL136" s="67"/>
      <c r="BM136" s="67"/>
      <c r="BN136" s="67"/>
      <c r="BO136" s="67"/>
      <c r="BP136" s="67"/>
      <c r="BQ136" s="67"/>
      <c r="BR136" s="67"/>
      <c r="BS136" s="67"/>
      <c r="BT136" s="67"/>
      <c r="BU136" s="67"/>
      <c r="BV136" s="67"/>
      <c r="BW136" s="67"/>
      <c r="BX136" s="67"/>
      <c r="BY136" s="67"/>
      <c r="BZ136" s="67"/>
      <c r="CA136" s="67"/>
      <c r="CB136" s="67"/>
      <c r="CC136" s="67"/>
      <c r="CD136" s="67"/>
      <c r="CE136" s="67"/>
      <c r="CF136" s="67"/>
      <c r="CG136" s="67"/>
      <c r="CH136" s="67"/>
      <c r="CI136" s="67"/>
      <c r="CJ136" s="67"/>
      <c r="CK136" s="67"/>
      <c r="CL136" s="67"/>
      <c r="CM136" s="67"/>
      <c r="CN136" s="67"/>
      <c r="CO136" s="67"/>
      <c r="CP136" s="67"/>
      <c r="CQ136" s="67"/>
      <c r="CR136" s="67"/>
      <c r="CS136" s="67"/>
      <c r="CT136" s="67"/>
      <c r="CU136" s="67"/>
      <c r="CV136" s="67"/>
      <c r="CW136" s="67"/>
      <c r="CX136" s="67"/>
      <c r="CY136" s="67"/>
      <c r="CZ136" s="67"/>
      <c r="DA136" s="67"/>
      <c r="DB136" s="67"/>
      <c r="DC136" s="67"/>
      <c r="DD136" s="67"/>
      <c r="DE136" s="67"/>
      <c r="DF136" s="67"/>
      <c r="DG136" s="67"/>
      <c r="DH136" s="67"/>
      <c r="DI136" s="67"/>
      <c r="DJ136" s="67"/>
    </row>
    <row r="137" spans="5:114" x14ac:dyDescent="0.2">
      <c r="E137" s="67"/>
      <c r="G137" s="67"/>
      <c r="H137" s="67"/>
      <c r="I137" s="67"/>
      <c r="J137" s="67"/>
      <c r="K137" s="67"/>
      <c r="L137" s="67"/>
      <c r="M137" s="67"/>
      <c r="N137" s="67"/>
      <c r="O137" s="67"/>
      <c r="P137" s="67"/>
      <c r="Q137" s="67"/>
      <c r="R137" s="67"/>
      <c r="S137" s="67"/>
      <c r="T137" s="67"/>
      <c r="U137" s="67"/>
      <c r="V137" s="67"/>
      <c r="W137" s="67"/>
      <c r="X137" s="67"/>
      <c r="Y137" s="67"/>
      <c r="Z137" s="67"/>
      <c r="AA137" s="67"/>
      <c r="AB137" s="67"/>
      <c r="AC137" s="67"/>
      <c r="AD137" s="67"/>
      <c r="AE137" s="67"/>
      <c r="AF137" s="67"/>
      <c r="AG137" s="67"/>
      <c r="AH137" s="67"/>
      <c r="AI137" s="67"/>
      <c r="AJ137" s="67"/>
      <c r="AK137" s="67"/>
      <c r="AL137" s="67"/>
      <c r="AM137" s="67"/>
      <c r="AN137" s="67"/>
      <c r="AO137" s="67"/>
      <c r="AP137" s="67"/>
      <c r="AQ137" s="67"/>
      <c r="AR137" s="67"/>
      <c r="AS137" s="67"/>
      <c r="AT137" s="67"/>
      <c r="AU137" s="67"/>
      <c r="AV137" s="67"/>
      <c r="AW137" s="67"/>
      <c r="AX137" s="67"/>
      <c r="AY137" s="67"/>
      <c r="AZ137" s="67"/>
      <c r="BA137" s="67"/>
      <c r="BB137" s="67"/>
      <c r="BC137" s="67"/>
      <c r="BD137" s="67"/>
      <c r="BE137" s="67"/>
      <c r="BF137" s="67"/>
      <c r="BG137" s="67"/>
      <c r="BH137" s="70"/>
      <c r="BJ137" s="67"/>
      <c r="BK137" s="67"/>
      <c r="BL137" s="67"/>
      <c r="BM137" s="67"/>
      <c r="BN137" s="67"/>
      <c r="BO137" s="67"/>
      <c r="BP137" s="67"/>
      <c r="BQ137" s="67"/>
      <c r="BR137" s="67"/>
      <c r="BS137" s="67"/>
      <c r="BT137" s="67"/>
      <c r="BU137" s="67"/>
      <c r="BV137" s="67"/>
      <c r="BW137" s="67"/>
      <c r="BX137" s="67"/>
      <c r="BY137" s="67"/>
      <c r="BZ137" s="67"/>
      <c r="CA137" s="67"/>
      <c r="CB137" s="67"/>
      <c r="CC137" s="67"/>
      <c r="CD137" s="67"/>
      <c r="CE137" s="67"/>
      <c r="CF137" s="67"/>
      <c r="CG137" s="67"/>
      <c r="CH137" s="67"/>
      <c r="CI137" s="67"/>
      <c r="CJ137" s="67"/>
      <c r="CK137" s="67"/>
      <c r="CL137" s="67"/>
      <c r="CM137" s="67"/>
      <c r="CN137" s="67"/>
      <c r="CO137" s="67"/>
      <c r="CP137" s="67"/>
      <c r="CQ137" s="67"/>
      <c r="CR137" s="67"/>
      <c r="CS137" s="67"/>
      <c r="CT137" s="67"/>
      <c r="CU137" s="67"/>
      <c r="CV137" s="67"/>
      <c r="CW137" s="67"/>
      <c r="CX137" s="67"/>
      <c r="CY137" s="67"/>
      <c r="CZ137" s="67"/>
      <c r="DA137" s="67"/>
      <c r="DB137" s="67"/>
      <c r="DC137" s="67"/>
      <c r="DD137" s="67"/>
      <c r="DE137" s="67"/>
      <c r="DF137" s="67"/>
      <c r="DG137" s="67"/>
      <c r="DH137" s="67"/>
      <c r="DI137" s="67"/>
      <c r="DJ137" s="67"/>
    </row>
    <row r="138" spans="5:114" x14ac:dyDescent="0.2">
      <c r="E138" s="67"/>
      <c r="G138" s="67"/>
      <c r="H138" s="67"/>
      <c r="I138" s="67"/>
      <c r="J138" s="67"/>
      <c r="K138" s="67"/>
      <c r="L138" s="67"/>
      <c r="M138" s="67"/>
      <c r="N138" s="67"/>
      <c r="O138" s="67"/>
      <c r="P138" s="67"/>
      <c r="Q138" s="67"/>
      <c r="R138" s="67"/>
      <c r="S138" s="67"/>
      <c r="T138" s="67"/>
      <c r="U138" s="67"/>
      <c r="V138" s="67"/>
      <c r="W138" s="67"/>
      <c r="X138" s="67"/>
      <c r="Y138" s="67"/>
      <c r="Z138" s="67"/>
      <c r="AA138" s="67"/>
      <c r="AB138" s="67"/>
      <c r="AC138" s="67"/>
      <c r="AD138" s="67"/>
      <c r="AE138" s="67"/>
      <c r="AF138" s="67"/>
      <c r="AG138" s="67"/>
      <c r="AH138" s="67"/>
      <c r="AI138" s="67"/>
      <c r="AJ138" s="67"/>
      <c r="AK138" s="67"/>
      <c r="AL138" s="67"/>
      <c r="AM138" s="67"/>
      <c r="AN138" s="67"/>
      <c r="AO138" s="67"/>
      <c r="AP138" s="67"/>
      <c r="AQ138" s="67"/>
      <c r="AR138" s="67"/>
      <c r="AS138" s="67"/>
      <c r="AT138" s="67"/>
      <c r="AU138" s="67"/>
      <c r="AV138" s="67"/>
      <c r="AW138" s="67"/>
      <c r="AX138" s="67"/>
      <c r="AY138" s="67"/>
      <c r="AZ138" s="67"/>
      <c r="BA138" s="67"/>
      <c r="BB138" s="67"/>
      <c r="BC138" s="67"/>
      <c r="BD138" s="67"/>
      <c r="BE138" s="67"/>
      <c r="BF138" s="67"/>
      <c r="BG138" s="67"/>
      <c r="BH138" s="70"/>
      <c r="BJ138" s="67"/>
      <c r="BK138" s="67"/>
      <c r="BL138" s="67"/>
      <c r="BM138" s="67"/>
      <c r="BN138" s="67"/>
      <c r="BO138" s="67"/>
      <c r="BP138" s="67"/>
      <c r="BQ138" s="67"/>
      <c r="BR138" s="67"/>
      <c r="BS138" s="67"/>
      <c r="BT138" s="67"/>
      <c r="BU138" s="67"/>
      <c r="BV138" s="67"/>
      <c r="BW138" s="67"/>
      <c r="BX138" s="67"/>
      <c r="BY138" s="67"/>
      <c r="BZ138" s="67"/>
      <c r="CA138" s="67"/>
      <c r="CB138" s="67"/>
      <c r="CC138" s="67"/>
      <c r="CD138" s="67"/>
      <c r="CE138" s="67"/>
      <c r="CF138" s="67"/>
      <c r="CG138" s="67"/>
      <c r="CH138" s="67"/>
      <c r="CI138" s="67"/>
      <c r="CJ138" s="67"/>
      <c r="CK138" s="67"/>
      <c r="CL138" s="67"/>
      <c r="CM138" s="67"/>
      <c r="CN138" s="67"/>
      <c r="CO138" s="67"/>
      <c r="CP138" s="67"/>
      <c r="CQ138" s="67"/>
      <c r="CR138" s="67"/>
      <c r="CS138" s="67"/>
      <c r="CT138" s="67"/>
      <c r="CU138" s="67"/>
      <c r="CV138" s="67"/>
      <c r="CW138" s="67"/>
      <c r="CX138" s="67"/>
      <c r="CY138" s="67"/>
      <c r="CZ138" s="67"/>
      <c r="DA138" s="67"/>
      <c r="DB138" s="67"/>
      <c r="DC138" s="67"/>
      <c r="DD138" s="67"/>
      <c r="DE138" s="67"/>
      <c r="DF138" s="67"/>
      <c r="DG138" s="67"/>
      <c r="DH138" s="67"/>
      <c r="DI138" s="67"/>
      <c r="DJ138" s="67"/>
    </row>
    <row r="139" spans="5:114" x14ac:dyDescent="0.2">
      <c r="E139" s="67"/>
      <c r="G139" s="67"/>
      <c r="H139" s="67"/>
      <c r="I139" s="67"/>
      <c r="J139" s="67"/>
      <c r="K139" s="67"/>
      <c r="L139" s="67"/>
      <c r="M139" s="67"/>
      <c r="N139" s="67"/>
      <c r="O139" s="67"/>
      <c r="P139" s="67"/>
      <c r="Q139" s="67"/>
      <c r="R139" s="67"/>
      <c r="S139" s="67"/>
      <c r="T139" s="67"/>
      <c r="U139" s="67"/>
      <c r="V139" s="67"/>
      <c r="W139" s="67"/>
      <c r="X139" s="67"/>
      <c r="Y139" s="67"/>
      <c r="Z139" s="67"/>
      <c r="AA139" s="67"/>
      <c r="AB139" s="67"/>
      <c r="AC139" s="67"/>
      <c r="AD139" s="67"/>
      <c r="AE139" s="67"/>
      <c r="AF139" s="67"/>
      <c r="AG139" s="67"/>
      <c r="AH139" s="67"/>
      <c r="AI139" s="67"/>
      <c r="AJ139" s="67"/>
      <c r="AK139" s="67"/>
      <c r="AL139" s="67"/>
      <c r="AM139" s="67"/>
      <c r="AN139" s="67"/>
      <c r="AO139" s="67"/>
      <c r="AP139" s="67"/>
      <c r="AQ139" s="67"/>
      <c r="AR139" s="67"/>
      <c r="AS139" s="67"/>
      <c r="AT139" s="67"/>
      <c r="AU139" s="67"/>
      <c r="AV139" s="67"/>
      <c r="AW139" s="67"/>
      <c r="AX139" s="67"/>
      <c r="AY139" s="67"/>
      <c r="AZ139" s="67"/>
      <c r="BA139" s="67"/>
      <c r="BB139" s="67"/>
      <c r="BC139" s="67"/>
      <c r="BD139" s="67"/>
      <c r="BE139" s="67"/>
      <c r="BF139" s="67"/>
      <c r="BG139" s="67"/>
      <c r="BH139" s="70"/>
      <c r="BJ139" s="67"/>
      <c r="BK139" s="67"/>
      <c r="BL139" s="67"/>
      <c r="BM139" s="67"/>
      <c r="BN139" s="67"/>
      <c r="BO139" s="67"/>
      <c r="BP139" s="67"/>
      <c r="BQ139" s="67"/>
      <c r="BR139" s="67"/>
      <c r="BS139" s="67"/>
      <c r="BT139" s="67"/>
      <c r="BU139" s="67"/>
      <c r="BV139" s="67"/>
      <c r="BW139" s="67"/>
      <c r="BX139" s="67"/>
      <c r="BY139" s="67"/>
      <c r="BZ139" s="67"/>
      <c r="CA139" s="67"/>
      <c r="CB139" s="67"/>
      <c r="CC139" s="67"/>
      <c r="CD139" s="67"/>
      <c r="CE139" s="67"/>
      <c r="CF139" s="67"/>
      <c r="CG139" s="67"/>
      <c r="CH139" s="67"/>
      <c r="CI139" s="67"/>
      <c r="CJ139" s="67"/>
      <c r="CK139" s="67"/>
      <c r="CL139" s="67"/>
      <c r="CM139" s="67"/>
      <c r="CN139" s="67"/>
      <c r="CO139" s="67"/>
      <c r="CP139" s="67"/>
      <c r="CQ139" s="67"/>
      <c r="CR139" s="67"/>
      <c r="CS139" s="67"/>
      <c r="CT139" s="67"/>
      <c r="CU139" s="67"/>
      <c r="CV139" s="67"/>
      <c r="CW139" s="67"/>
      <c r="CX139" s="67"/>
      <c r="CY139" s="67"/>
      <c r="CZ139" s="67"/>
      <c r="DA139" s="67"/>
      <c r="DB139" s="67"/>
      <c r="DC139" s="67"/>
      <c r="DD139" s="67"/>
      <c r="DE139" s="67"/>
      <c r="DF139" s="67"/>
      <c r="DG139" s="67"/>
      <c r="DH139" s="67"/>
      <c r="DI139" s="67"/>
      <c r="DJ139" s="67"/>
    </row>
    <row r="140" spans="5:114" x14ac:dyDescent="0.2">
      <c r="E140" s="67"/>
      <c r="G140" s="67"/>
      <c r="H140" s="67"/>
      <c r="I140" s="67"/>
      <c r="J140" s="67"/>
      <c r="K140" s="67"/>
      <c r="L140" s="67"/>
      <c r="M140" s="67"/>
      <c r="N140" s="67"/>
      <c r="O140" s="67"/>
      <c r="P140" s="67"/>
      <c r="Q140" s="67"/>
      <c r="R140" s="67"/>
      <c r="S140" s="67"/>
      <c r="T140" s="67"/>
      <c r="U140" s="67"/>
      <c r="V140" s="67"/>
      <c r="W140" s="67"/>
      <c r="X140" s="67"/>
      <c r="Y140" s="67"/>
      <c r="Z140" s="67"/>
      <c r="AA140" s="67"/>
      <c r="AB140" s="67"/>
      <c r="AC140" s="67"/>
      <c r="AD140" s="67"/>
      <c r="AE140" s="67"/>
      <c r="AF140" s="67"/>
      <c r="AG140" s="67"/>
      <c r="AH140" s="67"/>
      <c r="AI140" s="67"/>
      <c r="AJ140" s="67"/>
      <c r="AK140" s="67"/>
      <c r="AL140" s="67"/>
      <c r="AM140" s="67"/>
      <c r="AN140" s="67"/>
      <c r="AO140" s="67"/>
      <c r="AP140" s="67"/>
      <c r="AQ140" s="67"/>
      <c r="AR140" s="67"/>
      <c r="AS140" s="67"/>
      <c r="AT140" s="67"/>
      <c r="AU140" s="67"/>
      <c r="AV140" s="67"/>
      <c r="AW140" s="67"/>
      <c r="AX140" s="67"/>
      <c r="AY140" s="67"/>
      <c r="AZ140" s="67"/>
      <c r="BA140" s="67"/>
      <c r="BB140" s="67"/>
      <c r="BC140" s="67"/>
      <c r="BD140" s="67"/>
      <c r="BE140" s="67"/>
      <c r="BF140" s="67"/>
      <c r="BG140" s="67"/>
      <c r="BH140" s="70"/>
      <c r="BJ140" s="67"/>
      <c r="BK140" s="67"/>
      <c r="BL140" s="67"/>
      <c r="BM140" s="67"/>
      <c r="BN140" s="67"/>
      <c r="BO140" s="67"/>
      <c r="BP140" s="67"/>
      <c r="BQ140" s="67"/>
      <c r="BR140" s="67"/>
      <c r="BS140" s="67"/>
      <c r="BT140" s="67"/>
      <c r="BU140" s="67"/>
      <c r="BV140" s="67"/>
      <c r="BW140" s="67"/>
      <c r="BX140" s="67"/>
      <c r="BY140" s="67"/>
      <c r="BZ140" s="67"/>
      <c r="CA140" s="67"/>
      <c r="CB140" s="67"/>
      <c r="CC140" s="67"/>
      <c r="CD140" s="67"/>
      <c r="CE140" s="67"/>
      <c r="CF140" s="67"/>
      <c r="CG140" s="67"/>
      <c r="CH140" s="67"/>
      <c r="CI140" s="67"/>
      <c r="CJ140" s="67"/>
      <c r="CK140" s="67"/>
      <c r="CL140" s="67"/>
      <c r="CM140" s="67"/>
      <c r="CN140" s="67"/>
      <c r="CO140" s="67"/>
      <c r="CP140" s="67"/>
      <c r="CQ140" s="67"/>
      <c r="CR140" s="67"/>
      <c r="CS140" s="67"/>
      <c r="CT140" s="67"/>
      <c r="CU140" s="67"/>
      <c r="CV140" s="67"/>
      <c r="CW140" s="67"/>
      <c r="CX140" s="67"/>
      <c r="CY140" s="67"/>
      <c r="CZ140" s="67"/>
      <c r="DA140" s="67"/>
      <c r="DB140" s="67"/>
      <c r="DC140" s="67"/>
      <c r="DD140" s="67"/>
      <c r="DE140" s="67"/>
      <c r="DF140" s="67"/>
      <c r="DG140" s="67"/>
      <c r="DH140" s="67"/>
      <c r="DI140" s="67"/>
      <c r="DJ140" s="67"/>
    </row>
    <row r="141" spans="5:114" x14ac:dyDescent="0.2">
      <c r="E141" s="67"/>
      <c r="G141" s="67"/>
      <c r="H141" s="67"/>
      <c r="I141" s="67"/>
      <c r="J141" s="67"/>
      <c r="K141" s="67"/>
      <c r="L141" s="67"/>
      <c r="M141" s="67"/>
      <c r="N141" s="67"/>
      <c r="O141" s="67"/>
      <c r="P141" s="67"/>
      <c r="Q141" s="67"/>
      <c r="R141" s="67"/>
      <c r="S141" s="67"/>
      <c r="T141" s="67"/>
      <c r="U141" s="67"/>
      <c r="V141" s="67"/>
      <c r="W141" s="67"/>
      <c r="X141" s="67"/>
      <c r="Y141" s="67"/>
      <c r="Z141" s="67"/>
      <c r="AA141" s="67"/>
      <c r="AB141" s="67"/>
      <c r="AC141" s="67"/>
      <c r="AD141" s="67"/>
      <c r="AE141" s="67"/>
      <c r="AF141" s="67"/>
      <c r="AG141" s="67"/>
      <c r="AH141" s="67"/>
      <c r="AI141" s="67"/>
      <c r="AJ141" s="67"/>
      <c r="AK141" s="67"/>
      <c r="AL141" s="67"/>
      <c r="AM141" s="67"/>
      <c r="AN141" s="67"/>
      <c r="AO141" s="67"/>
      <c r="AP141" s="67"/>
      <c r="AQ141" s="67"/>
      <c r="AR141" s="67"/>
      <c r="AS141" s="67"/>
      <c r="AT141" s="67"/>
      <c r="AU141" s="67"/>
      <c r="AV141" s="67"/>
      <c r="AW141" s="67"/>
      <c r="AX141" s="67"/>
      <c r="AY141" s="67"/>
      <c r="AZ141" s="67"/>
      <c r="BA141" s="67"/>
      <c r="BB141" s="67"/>
      <c r="BC141" s="67"/>
      <c r="BD141" s="67"/>
      <c r="BE141" s="67"/>
      <c r="BF141" s="67"/>
      <c r="BG141" s="67"/>
      <c r="BH141" s="70"/>
      <c r="BJ141" s="67"/>
      <c r="BK141" s="67"/>
      <c r="BL141" s="67"/>
      <c r="BM141" s="67"/>
      <c r="BN141" s="67"/>
      <c r="BO141" s="67"/>
      <c r="BP141" s="67"/>
      <c r="BQ141" s="67"/>
      <c r="BR141" s="67"/>
      <c r="BS141" s="67"/>
      <c r="BT141" s="67"/>
      <c r="BU141" s="67"/>
      <c r="BV141" s="67"/>
      <c r="BW141" s="67"/>
      <c r="BX141" s="67"/>
      <c r="BY141" s="67"/>
      <c r="BZ141" s="67"/>
      <c r="CA141" s="67"/>
      <c r="CB141" s="67"/>
      <c r="CC141" s="67"/>
      <c r="CD141" s="67"/>
      <c r="CE141" s="67"/>
      <c r="CF141" s="67"/>
      <c r="CG141" s="67"/>
      <c r="CH141" s="67"/>
      <c r="CI141" s="67"/>
      <c r="CJ141" s="67"/>
      <c r="CK141" s="67"/>
      <c r="CL141" s="67"/>
      <c r="CM141" s="67"/>
      <c r="CN141" s="67"/>
      <c r="CO141" s="67"/>
      <c r="CP141" s="67"/>
      <c r="CQ141" s="67"/>
      <c r="CR141" s="67"/>
      <c r="CS141" s="67"/>
      <c r="CT141" s="67"/>
      <c r="CU141" s="67"/>
      <c r="CV141" s="67"/>
      <c r="CW141" s="67"/>
      <c r="CX141" s="67"/>
      <c r="CY141" s="67"/>
      <c r="CZ141" s="67"/>
      <c r="DA141" s="67"/>
      <c r="DB141" s="67"/>
      <c r="DC141" s="67"/>
      <c r="DD141" s="67"/>
      <c r="DE141" s="67"/>
      <c r="DF141" s="67"/>
      <c r="DG141" s="67"/>
      <c r="DH141" s="67"/>
      <c r="DI141" s="67"/>
      <c r="DJ141" s="67"/>
    </row>
    <row r="142" spans="5:114" x14ac:dyDescent="0.2">
      <c r="E142" s="67"/>
      <c r="G142" s="67"/>
      <c r="H142" s="67"/>
      <c r="I142" s="67"/>
      <c r="J142" s="67"/>
      <c r="K142" s="67"/>
      <c r="L142" s="67"/>
      <c r="M142" s="67"/>
      <c r="N142" s="67"/>
      <c r="O142" s="67"/>
      <c r="P142" s="67"/>
      <c r="Q142" s="67"/>
      <c r="R142" s="67"/>
      <c r="S142" s="67"/>
      <c r="T142" s="67"/>
      <c r="U142" s="67"/>
      <c r="V142" s="67"/>
      <c r="W142" s="67"/>
      <c r="X142" s="67"/>
      <c r="Y142" s="67"/>
      <c r="Z142" s="67"/>
      <c r="AA142" s="67"/>
      <c r="AB142" s="67"/>
      <c r="AC142" s="67"/>
      <c r="AD142" s="67"/>
      <c r="AE142" s="67"/>
      <c r="AF142" s="67"/>
      <c r="AG142" s="67"/>
      <c r="AH142" s="67"/>
      <c r="AI142" s="67"/>
      <c r="AJ142" s="67"/>
      <c r="AK142" s="67"/>
      <c r="AL142" s="67"/>
      <c r="AM142" s="67"/>
      <c r="AN142" s="67"/>
      <c r="AO142" s="67"/>
      <c r="AP142" s="67"/>
      <c r="AQ142" s="67"/>
      <c r="AR142" s="67"/>
      <c r="AS142" s="67"/>
      <c r="AT142" s="67"/>
      <c r="AU142" s="67"/>
      <c r="AV142" s="67"/>
      <c r="AW142" s="67"/>
      <c r="AX142" s="67"/>
      <c r="AY142" s="67"/>
      <c r="AZ142" s="67"/>
      <c r="BA142" s="67"/>
      <c r="BB142" s="67"/>
      <c r="BC142" s="67"/>
      <c r="BD142" s="67"/>
      <c r="BE142" s="67"/>
      <c r="BF142" s="67"/>
      <c r="BG142" s="67"/>
      <c r="BH142" s="70"/>
      <c r="BJ142" s="67"/>
      <c r="BK142" s="67"/>
      <c r="BL142" s="67"/>
      <c r="BM142" s="67"/>
      <c r="BN142" s="67"/>
      <c r="BO142" s="67"/>
      <c r="BP142" s="67"/>
      <c r="BQ142" s="67"/>
      <c r="BR142" s="67"/>
      <c r="BS142" s="67"/>
      <c r="BT142" s="67"/>
      <c r="BU142" s="67"/>
      <c r="BV142" s="67"/>
      <c r="BW142" s="67"/>
      <c r="BX142" s="67"/>
      <c r="BY142" s="67"/>
      <c r="BZ142" s="67"/>
      <c r="CA142" s="67"/>
      <c r="CB142" s="67"/>
      <c r="CC142" s="67"/>
      <c r="CD142" s="67"/>
      <c r="CE142" s="67"/>
      <c r="CF142" s="67"/>
      <c r="CG142" s="67"/>
      <c r="CH142" s="67"/>
      <c r="CI142" s="67"/>
      <c r="CJ142" s="67"/>
      <c r="CK142" s="67"/>
      <c r="CL142" s="67"/>
      <c r="CM142" s="67"/>
      <c r="CN142" s="67"/>
      <c r="CO142" s="67"/>
      <c r="CP142" s="67"/>
      <c r="CQ142" s="67"/>
      <c r="CR142" s="67"/>
      <c r="CS142" s="67"/>
      <c r="CT142" s="67"/>
      <c r="CU142" s="67"/>
      <c r="CV142" s="67"/>
      <c r="CW142" s="67"/>
      <c r="CX142" s="67"/>
      <c r="CY142" s="67"/>
      <c r="CZ142" s="67"/>
      <c r="DA142" s="67"/>
      <c r="DB142" s="67"/>
      <c r="DC142" s="67"/>
      <c r="DD142" s="67"/>
      <c r="DE142" s="67"/>
      <c r="DF142" s="67"/>
      <c r="DG142" s="67"/>
      <c r="DH142" s="67"/>
      <c r="DI142" s="67"/>
      <c r="DJ142" s="67"/>
    </row>
    <row r="143" spans="5:114" x14ac:dyDescent="0.2">
      <c r="E143" s="67"/>
      <c r="G143" s="67"/>
      <c r="H143" s="67"/>
      <c r="I143" s="67"/>
      <c r="J143" s="67"/>
      <c r="K143" s="67"/>
      <c r="L143" s="67"/>
      <c r="M143" s="67"/>
      <c r="N143" s="67"/>
      <c r="O143" s="67"/>
      <c r="P143" s="67"/>
      <c r="Q143" s="67"/>
      <c r="R143" s="67"/>
      <c r="S143" s="67"/>
      <c r="T143" s="67"/>
      <c r="U143" s="67"/>
      <c r="V143" s="67"/>
      <c r="W143" s="67"/>
      <c r="X143" s="67"/>
      <c r="Y143" s="67"/>
      <c r="Z143" s="67"/>
      <c r="AA143" s="67"/>
      <c r="AB143" s="67"/>
      <c r="AC143" s="67"/>
      <c r="AD143" s="67"/>
      <c r="AE143" s="67"/>
      <c r="AF143" s="67"/>
      <c r="AG143" s="67"/>
      <c r="AH143" s="67"/>
      <c r="AI143" s="67"/>
      <c r="AJ143" s="67"/>
      <c r="AK143" s="67"/>
      <c r="AL143" s="67"/>
      <c r="AM143" s="67"/>
      <c r="AN143" s="67"/>
      <c r="AO143" s="67"/>
      <c r="AP143" s="67"/>
      <c r="AQ143" s="67"/>
      <c r="AR143" s="67"/>
      <c r="AS143" s="67"/>
      <c r="AT143" s="67"/>
      <c r="AU143" s="67"/>
      <c r="AV143" s="67"/>
      <c r="AW143" s="67"/>
      <c r="AX143" s="67"/>
      <c r="AY143" s="67"/>
      <c r="AZ143" s="67"/>
      <c r="BA143" s="67"/>
      <c r="BB143" s="67"/>
      <c r="BC143" s="67"/>
      <c r="BD143" s="67"/>
      <c r="BE143" s="67"/>
      <c r="BF143" s="67"/>
      <c r="BG143" s="67"/>
      <c r="BH143" s="70"/>
      <c r="BJ143" s="67"/>
      <c r="BK143" s="67"/>
      <c r="BL143" s="67"/>
      <c r="BM143" s="67"/>
      <c r="BN143" s="67"/>
      <c r="BO143" s="67"/>
      <c r="BP143" s="67"/>
      <c r="BQ143" s="67"/>
      <c r="BR143" s="67"/>
      <c r="BS143" s="67"/>
      <c r="BT143" s="67"/>
      <c r="BU143" s="67"/>
      <c r="BV143" s="67"/>
      <c r="BW143" s="67"/>
      <c r="BX143" s="67"/>
      <c r="BY143" s="67"/>
      <c r="BZ143" s="67"/>
      <c r="CA143" s="67"/>
      <c r="CB143" s="67"/>
      <c r="CC143" s="67"/>
      <c r="CD143" s="67"/>
      <c r="CE143" s="67"/>
      <c r="CF143" s="67"/>
      <c r="CG143" s="67"/>
      <c r="CH143" s="67"/>
      <c r="CI143" s="67"/>
      <c r="CJ143" s="67"/>
      <c r="CK143" s="67"/>
      <c r="CL143" s="67"/>
      <c r="CM143" s="67"/>
      <c r="CN143" s="67"/>
      <c r="CO143" s="67"/>
      <c r="CP143" s="67"/>
      <c r="CQ143" s="67"/>
      <c r="CR143" s="67"/>
      <c r="CS143" s="67"/>
      <c r="CT143" s="67"/>
      <c r="CU143" s="67"/>
      <c r="CV143" s="67"/>
      <c r="CW143" s="67"/>
      <c r="CX143" s="67"/>
      <c r="CY143" s="67"/>
      <c r="CZ143" s="67"/>
      <c r="DA143" s="67"/>
      <c r="DB143" s="67"/>
      <c r="DC143" s="67"/>
      <c r="DD143" s="67"/>
      <c r="DE143" s="67"/>
      <c r="DF143" s="67"/>
      <c r="DG143" s="67"/>
      <c r="DH143" s="67"/>
      <c r="DI143" s="67"/>
      <c r="DJ143" s="67"/>
    </row>
    <row r="144" spans="5:114" x14ac:dyDescent="0.2">
      <c r="E144" s="67"/>
      <c r="G144" s="67"/>
      <c r="H144" s="67"/>
      <c r="I144" s="67"/>
      <c r="J144" s="67"/>
      <c r="K144" s="67"/>
      <c r="L144" s="67"/>
      <c r="M144" s="67"/>
      <c r="N144" s="67"/>
      <c r="O144" s="67"/>
      <c r="P144" s="67"/>
      <c r="Q144" s="67"/>
      <c r="R144" s="67"/>
      <c r="S144" s="67"/>
      <c r="T144" s="67"/>
      <c r="U144" s="67"/>
      <c r="V144" s="67"/>
      <c r="W144" s="67"/>
      <c r="X144" s="67"/>
      <c r="Y144" s="67"/>
      <c r="Z144" s="67"/>
      <c r="AA144" s="67"/>
      <c r="AB144" s="67"/>
      <c r="AC144" s="67"/>
      <c r="AD144" s="67"/>
      <c r="AE144" s="67"/>
      <c r="AF144" s="67"/>
      <c r="AG144" s="67"/>
      <c r="AH144" s="67"/>
      <c r="AI144" s="67"/>
      <c r="AJ144" s="67"/>
      <c r="AK144" s="67"/>
      <c r="AL144" s="67"/>
      <c r="AM144" s="67"/>
      <c r="AN144" s="67"/>
      <c r="AO144" s="67"/>
      <c r="AP144" s="67"/>
      <c r="AQ144" s="67"/>
      <c r="AR144" s="67"/>
      <c r="AS144" s="67"/>
      <c r="AT144" s="67"/>
      <c r="AU144" s="67"/>
      <c r="AV144" s="67"/>
      <c r="AW144" s="67"/>
      <c r="AX144" s="67"/>
      <c r="AY144" s="67"/>
      <c r="AZ144" s="67"/>
      <c r="BA144" s="67"/>
      <c r="BB144" s="67"/>
      <c r="BC144" s="67"/>
      <c r="BD144" s="67"/>
      <c r="BE144" s="67"/>
      <c r="BF144" s="67"/>
      <c r="BG144" s="67"/>
      <c r="BH144" s="70"/>
      <c r="BJ144" s="67"/>
      <c r="BK144" s="67"/>
      <c r="BL144" s="67"/>
      <c r="BM144" s="67"/>
      <c r="BN144" s="67"/>
      <c r="BO144" s="67"/>
      <c r="BP144" s="67"/>
      <c r="BQ144" s="67"/>
      <c r="BR144" s="67"/>
      <c r="BS144" s="67"/>
      <c r="BT144" s="67"/>
      <c r="BU144" s="67"/>
      <c r="BV144" s="67"/>
      <c r="BW144" s="67"/>
      <c r="BX144" s="67"/>
      <c r="BY144" s="67"/>
      <c r="BZ144" s="67"/>
      <c r="CA144" s="67"/>
      <c r="CB144" s="67"/>
      <c r="CC144" s="67"/>
      <c r="CD144" s="67"/>
      <c r="CE144" s="67"/>
      <c r="CF144" s="67"/>
      <c r="CG144" s="67"/>
      <c r="CH144" s="67"/>
      <c r="CI144" s="67"/>
      <c r="CJ144" s="67"/>
      <c r="CK144" s="67"/>
      <c r="CL144" s="67"/>
      <c r="CM144" s="67"/>
      <c r="CN144" s="67"/>
      <c r="CO144" s="67"/>
      <c r="CP144" s="67"/>
      <c r="CQ144" s="67"/>
      <c r="CR144" s="67"/>
      <c r="CS144" s="67"/>
      <c r="CT144" s="67"/>
      <c r="CU144" s="67"/>
      <c r="CV144" s="67"/>
      <c r="CW144" s="67"/>
      <c r="CX144" s="67"/>
      <c r="CY144" s="67"/>
      <c r="CZ144" s="67"/>
      <c r="DA144" s="67"/>
      <c r="DB144" s="67"/>
      <c r="DC144" s="67"/>
      <c r="DD144" s="67"/>
      <c r="DE144" s="67"/>
      <c r="DF144" s="67"/>
      <c r="DG144" s="67"/>
      <c r="DH144" s="67"/>
      <c r="DI144" s="67"/>
      <c r="DJ144" s="67"/>
    </row>
    <row r="145" spans="5:114" x14ac:dyDescent="0.2">
      <c r="E145" s="67"/>
      <c r="G145" s="67"/>
      <c r="H145" s="67"/>
      <c r="I145" s="67"/>
      <c r="J145" s="67"/>
      <c r="K145" s="67"/>
      <c r="L145" s="67"/>
      <c r="M145" s="67"/>
      <c r="N145" s="67"/>
      <c r="O145" s="67"/>
      <c r="P145" s="67"/>
      <c r="Q145" s="67"/>
      <c r="R145" s="67"/>
      <c r="S145" s="67"/>
      <c r="T145" s="67"/>
      <c r="U145" s="67"/>
      <c r="V145" s="67"/>
      <c r="W145" s="67"/>
      <c r="X145" s="67"/>
      <c r="Y145" s="67"/>
      <c r="Z145" s="67"/>
      <c r="AA145" s="67"/>
      <c r="AB145" s="67"/>
      <c r="AC145" s="67"/>
      <c r="AD145" s="67"/>
      <c r="AE145" s="67"/>
      <c r="AF145" s="67"/>
      <c r="AG145" s="67"/>
      <c r="AH145" s="67"/>
      <c r="AI145" s="67"/>
      <c r="AJ145" s="67"/>
      <c r="AK145" s="67"/>
      <c r="AL145" s="67"/>
      <c r="AM145" s="67"/>
      <c r="AN145" s="67"/>
      <c r="AO145" s="67"/>
      <c r="AP145" s="67"/>
      <c r="AQ145" s="67"/>
      <c r="AR145" s="67"/>
      <c r="AS145" s="67"/>
      <c r="AT145" s="67"/>
      <c r="AU145" s="67"/>
      <c r="AV145" s="67"/>
      <c r="AW145" s="67"/>
      <c r="AX145" s="67"/>
      <c r="AY145" s="67"/>
      <c r="AZ145" s="67"/>
      <c r="BA145" s="67"/>
      <c r="BB145" s="67"/>
      <c r="BC145" s="67"/>
      <c r="BD145" s="67"/>
      <c r="BE145" s="67"/>
      <c r="BF145" s="67"/>
      <c r="BG145" s="67"/>
      <c r="BH145" s="70"/>
      <c r="BJ145" s="67"/>
      <c r="BK145" s="67"/>
      <c r="BL145" s="67"/>
      <c r="BM145" s="67"/>
      <c r="BN145" s="67"/>
      <c r="BO145" s="67"/>
      <c r="BP145" s="67"/>
      <c r="BQ145" s="67"/>
      <c r="BR145" s="67"/>
      <c r="BS145" s="67"/>
      <c r="BT145" s="67"/>
      <c r="BU145" s="67"/>
      <c r="BV145" s="67"/>
      <c r="BW145" s="67"/>
      <c r="BX145" s="67"/>
      <c r="BY145" s="67"/>
      <c r="BZ145" s="67"/>
      <c r="CA145" s="67"/>
      <c r="CB145" s="67"/>
      <c r="CC145" s="67"/>
      <c r="CD145" s="67"/>
      <c r="CE145" s="67"/>
      <c r="CF145" s="67"/>
      <c r="CG145" s="67"/>
      <c r="CH145" s="67"/>
      <c r="CI145" s="67"/>
      <c r="CJ145" s="67"/>
      <c r="CK145" s="67"/>
      <c r="CL145" s="67"/>
      <c r="CM145" s="67"/>
      <c r="CN145" s="67"/>
      <c r="CO145" s="67"/>
      <c r="CP145" s="67"/>
      <c r="CQ145" s="67"/>
      <c r="CR145" s="67"/>
      <c r="CS145" s="67"/>
      <c r="CT145" s="67"/>
      <c r="CU145" s="67"/>
      <c r="CV145" s="67"/>
      <c r="CW145" s="67"/>
      <c r="CX145" s="67"/>
      <c r="CY145" s="67"/>
      <c r="CZ145" s="67"/>
      <c r="DA145" s="67"/>
      <c r="DB145" s="67"/>
      <c r="DC145" s="67"/>
      <c r="DD145" s="67"/>
      <c r="DE145" s="67"/>
      <c r="DF145" s="67"/>
      <c r="DG145" s="67"/>
      <c r="DH145" s="67"/>
      <c r="DI145" s="67"/>
      <c r="DJ145" s="67"/>
    </row>
    <row r="146" spans="5:114" x14ac:dyDescent="0.2">
      <c r="E146" s="67"/>
      <c r="G146" s="67"/>
      <c r="H146" s="67"/>
      <c r="I146" s="67"/>
      <c r="J146" s="67"/>
      <c r="K146" s="67"/>
      <c r="L146" s="67"/>
      <c r="M146" s="67"/>
      <c r="N146" s="67"/>
      <c r="O146" s="67"/>
      <c r="P146" s="67"/>
      <c r="Q146" s="67"/>
      <c r="R146" s="67"/>
      <c r="S146" s="67"/>
      <c r="T146" s="67"/>
      <c r="U146" s="67"/>
      <c r="V146" s="67"/>
      <c r="W146" s="67"/>
      <c r="X146" s="67"/>
      <c r="Y146" s="67"/>
      <c r="Z146" s="67"/>
      <c r="AA146" s="67"/>
      <c r="AB146" s="67"/>
      <c r="AC146" s="67"/>
      <c r="AD146" s="67"/>
      <c r="AE146" s="67"/>
      <c r="AF146" s="67"/>
      <c r="AG146" s="67"/>
      <c r="AH146" s="67"/>
      <c r="AI146" s="67"/>
      <c r="AJ146" s="67"/>
      <c r="AK146" s="67"/>
      <c r="AL146" s="67"/>
      <c r="AM146" s="67"/>
      <c r="AN146" s="67"/>
      <c r="AO146" s="67"/>
      <c r="AP146" s="67"/>
      <c r="AQ146" s="67"/>
      <c r="AR146" s="67"/>
      <c r="AS146" s="67"/>
      <c r="AT146" s="67"/>
      <c r="AU146" s="67"/>
      <c r="AV146" s="67"/>
      <c r="AW146" s="67"/>
      <c r="AX146" s="67"/>
      <c r="AY146" s="67"/>
      <c r="AZ146" s="67"/>
      <c r="BA146" s="67"/>
      <c r="BB146" s="67"/>
      <c r="BC146" s="67"/>
      <c r="BD146" s="67"/>
      <c r="BE146" s="67"/>
      <c r="BF146" s="67"/>
      <c r="BG146" s="67"/>
      <c r="BH146" s="70"/>
      <c r="BJ146" s="67"/>
      <c r="BK146" s="67"/>
      <c r="BL146" s="67"/>
      <c r="BM146" s="67"/>
      <c r="BN146" s="67"/>
      <c r="BO146" s="67"/>
      <c r="BP146" s="67"/>
      <c r="BQ146" s="67"/>
      <c r="BR146" s="67"/>
      <c r="BS146" s="67"/>
      <c r="BT146" s="67"/>
      <c r="BU146" s="67"/>
      <c r="BV146" s="67"/>
      <c r="BW146" s="67"/>
      <c r="BX146" s="67"/>
      <c r="BY146" s="67"/>
      <c r="BZ146" s="67"/>
      <c r="CA146" s="67"/>
      <c r="CB146" s="67"/>
      <c r="CC146" s="67"/>
      <c r="CD146" s="67"/>
      <c r="CE146" s="67"/>
      <c r="CF146" s="67"/>
      <c r="CG146" s="67"/>
      <c r="CH146" s="67"/>
      <c r="CI146" s="67"/>
      <c r="CJ146" s="67"/>
      <c r="CK146" s="67"/>
      <c r="CL146" s="67"/>
      <c r="CM146" s="67"/>
      <c r="CN146" s="67"/>
      <c r="CO146" s="67"/>
      <c r="CP146" s="67"/>
      <c r="CQ146" s="67"/>
      <c r="CR146" s="67"/>
      <c r="CS146" s="67"/>
      <c r="CT146" s="67"/>
      <c r="CU146" s="67"/>
      <c r="CV146" s="67"/>
      <c r="CW146" s="67"/>
      <c r="CX146" s="67"/>
      <c r="CY146" s="67"/>
      <c r="CZ146" s="67"/>
      <c r="DA146" s="67"/>
      <c r="DB146" s="67"/>
      <c r="DC146" s="67"/>
      <c r="DD146" s="67"/>
      <c r="DE146" s="67"/>
      <c r="DF146" s="67"/>
      <c r="DG146" s="67"/>
      <c r="DH146" s="67"/>
      <c r="DI146" s="67"/>
      <c r="DJ146" s="67"/>
    </row>
    <row r="147" spans="5:114" x14ac:dyDescent="0.2">
      <c r="E147" s="67"/>
      <c r="G147" s="67"/>
      <c r="H147" s="67"/>
      <c r="I147" s="67"/>
      <c r="J147" s="67"/>
      <c r="K147" s="67"/>
      <c r="L147" s="67"/>
      <c r="M147" s="67"/>
      <c r="N147" s="67"/>
      <c r="O147" s="67"/>
      <c r="P147" s="67"/>
      <c r="Q147" s="67"/>
      <c r="R147" s="67"/>
      <c r="S147" s="67"/>
      <c r="T147" s="67"/>
      <c r="U147" s="67"/>
      <c r="V147" s="67"/>
      <c r="W147" s="67"/>
      <c r="X147" s="67"/>
      <c r="Y147" s="67"/>
      <c r="Z147" s="67"/>
      <c r="AA147" s="67"/>
      <c r="AB147" s="67"/>
      <c r="AC147" s="67"/>
      <c r="AD147" s="67"/>
      <c r="AE147" s="67"/>
      <c r="AF147" s="67"/>
      <c r="AG147" s="67"/>
      <c r="AH147" s="67"/>
      <c r="AI147" s="67"/>
      <c r="AJ147" s="67"/>
      <c r="AK147" s="67"/>
      <c r="AL147" s="67"/>
      <c r="AM147" s="67"/>
      <c r="AN147" s="67"/>
      <c r="AO147" s="67"/>
      <c r="AP147" s="67"/>
      <c r="AQ147" s="67"/>
      <c r="AR147" s="67"/>
      <c r="AS147" s="67"/>
      <c r="AT147" s="67"/>
      <c r="AU147" s="67"/>
      <c r="AV147" s="67"/>
      <c r="AW147" s="67"/>
      <c r="AX147" s="67"/>
      <c r="AY147" s="67"/>
      <c r="AZ147" s="67"/>
      <c r="BA147" s="67"/>
      <c r="BB147" s="67"/>
      <c r="BC147" s="67"/>
      <c r="BD147" s="67"/>
      <c r="BE147" s="67"/>
      <c r="BF147" s="67"/>
      <c r="BG147" s="67"/>
      <c r="BH147" s="70"/>
      <c r="BJ147" s="67"/>
      <c r="BK147" s="67"/>
      <c r="BL147" s="67"/>
      <c r="BM147" s="67"/>
      <c r="BN147" s="67"/>
      <c r="BO147" s="67"/>
      <c r="BP147" s="67"/>
      <c r="BQ147" s="67"/>
      <c r="BR147" s="67"/>
      <c r="BS147" s="67"/>
      <c r="BT147" s="67"/>
      <c r="BU147" s="67"/>
      <c r="BV147" s="67"/>
      <c r="BW147" s="67"/>
      <c r="BX147" s="67"/>
      <c r="BY147" s="67"/>
      <c r="BZ147" s="67"/>
      <c r="CA147" s="67"/>
      <c r="CB147" s="67"/>
      <c r="CC147" s="67"/>
      <c r="CD147" s="67"/>
      <c r="CE147" s="67"/>
      <c r="CF147" s="67"/>
      <c r="CG147" s="67"/>
      <c r="CH147" s="67"/>
      <c r="CI147" s="67"/>
      <c r="CJ147" s="67"/>
      <c r="CK147" s="67"/>
      <c r="CL147" s="67"/>
      <c r="CM147" s="67"/>
      <c r="CN147" s="67"/>
      <c r="CO147" s="67"/>
      <c r="CP147" s="67"/>
      <c r="CQ147" s="67"/>
      <c r="CR147" s="67"/>
      <c r="CS147" s="67"/>
      <c r="CT147" s="67"/>
      <c r="CU147" s="67"/>
      <c r="CV147" s="67"/>
      <c r="CW147" s="67"/>
      <c r="CX147" s="67"/>
      <c r="CY147" s="67"/>
      <c r="CZ147" s="67"/>
      <c r="DA147" s="67"/>
      <c r="DB147" s="67"/>
      <c r="DC147" s="67"/>
      <c r="DD147" s="67"/>
      <c r="DE147" s="67"/>
      <c r="DF147" s="67"/>
      <c r="DG147" s="67"/>
      <c r="DH147" s="67"/>
      <c r="DI147" s="67"/>
      <c r="DJ147" s="67"/>
    </row>
    <row r="148" spans="5:114" x14ac:dyDescent="0.2">
      <c r="E148" s="67"/>
      <c r="G148" s="67"/>
      <c r="H148" s="67"/>
      <c r="I148" s="67"/>
      <c r="J148" s="67"/>
      <c r="K148" s="67"/>
      <c r="L148" s="67"/>
      <c r="M148" s="67"/>
      <c r="N148" s="67"/>
      <c r="O148" s="67"/>
      <c r="P148" s="67"/>
      <c r="Q148" s="67"/>
      <c r="R148" s="67"/>
      <c r="S148" s="67"/>
      <c r="T148" s="67"/>
      <c r="U148" s="67"/>
      <c r="V148" s="67"/>
      <c r="W148" s="67"/>
      <c r="X148" s="67"/>
      <c r="Y148" s="67"/>
      <c r="Z148" s="67"/>
      <c r="AA148" s="67"/>
      <c r="AB148" s="67"/>
      <c r="AC148" s="67"/>
      <c r="AD148" s="67"/>
      <c r="AE148" s="67"/>
      <c r="AF148" s="67"/>
      <c r="AG148" s="67"/>
      <c r="AH148" s="67"/>
      <c r="AI148" s="67"/>
      <c r="AJ148" s="67"/>
      <c r="AK148" s="67"/>
      <c r="AL148" s="67"/>
      <c r="AM148" s="67"/>
      <c r="AN148" s="67"/>
      <c r="AO148" s="67"/>
      <c r="AP148" s="67"/>
      <c r="AQ148" s="67"/>
      <c r="AR148" s="67"/>
      <c r="AS148" s="67"/>
      <c r="AT148" s="67"/>
      <c r="AU148" s="67"/>
      <c r="AV148" s="67"/>
      <c r="AW148" s="67"/>
      <c r="AX148" s="67"/>
      <c r="AY148" s="67"/>
      <c r="AZ148" s="67"/>
      <c r="BA148" s="67"/>
      <c r="BB148" s="67"/>
      <c r="BC148" s="67"/>
      <c r="BD148" s="67"/>
      <c r="BE148" s="67"/>
      <c r="BF148" s="67"/>
      <c r="BG148" s="67"/>
      <c r="BH148" s="70"/>
      <c r="BJ148" s="67"/>
      <c r="BK148" s="67"/>
      <c r="BL148" s="67"/>
      <c r="BM148" s="67"/>
      <c r="BN148" s="67"/>
      <c r="BO148" s="67"/>
      <c r="BP148" s="67"/>
      <c r="BQ148" s="67"/>
      <c r="BR148" s="67"/>
      <c r="BS148" s="67"/>
      <c r="BT148" s="67"/>
      <c r="BU148" s="67"/>
      <c r="BV148" s="67"/>
      <c r="BW148" s="67"/>
      <c r="BX148" s="67"/>
      <c r="BY148" s="67"/>
      <c r="BZ148" s="67"/>
      <c r="CA148" s="67"/>
      <c r="CB148" s="67"/>
      <c r="CC148" s="67"/>
      <c r="CD148" s="67"/>
      <c r="CE148" s="67"/>
      <c r="CF148" s="67"/>
      <c r="CG148" s="67"/>
      <c r="CH148" s="67"/>
      <c r="CI148" s="67"/>
      <c r="CJ148" s="67"/>
      <c r="CK148" s="67"/>
      <c r="CL148" s="67"/>
      <c r="CM148" s="67"/>
      <c r="CN148" s="67"/>
      <c r="CO148" s="67"/>
      <c r="CP148" s="67"/>
      <c r="CQ148" s="67"/>
      <c r="CR148" s="67"/>
      <c r="CS148" s="67"/>
      <c r="CT148" s="67"/>
      <c r="CU148" s="67"/>
      <c r="CV148" s="67"/>
      <c r="CW148" s="67"/>
      <c r="CX148" s="67"/>
      <c r="CY148" s="67"/>
      <c r="CZ148" s="67"/>
      <c r="DA148" s="67"/>
      <c r="DB148" s="67"/>
      <c r="DC148" s="67"/>
      <c r="DD148" s="67"/>
      <c r="DE148" s="67"/>
      <c r="DF148" s="67"/>
      <c r="DG148" s="67"/>
      <c r="DH148" s="67"/>
      <c r="DI148" s="67"/>
      <c r="DJ148" s="67"/>
    </row>
    <row r="149" spans="5:114" x14ac:dyDescent="0.2">
      <c r="E149" s="67"/>
      <c r="G149" s="67"/>
      <c r="H149" s="67"/>
      <c r="I149" s="67"/>
      <c r="J149" s="67"/>
      <c r="K149" s="67"/>
      <c r="L149" s="67"/>
      <c r="M149" s="67"/>
      <c r="N149" s="67"/>
      <c r="O149" s="67"/>
      <c r="P149" s="67"/>
      <c r="Q149" s="67"/>
      <c r="R149" s="67"/>
      <c r="S149" s="67"/>
      <c r="T149" s="67"/>
      <c r="U149" s="67"/>
      <c r="V149" s="67"/>
      <c r="W149" s="67"/>
      <c r="X149" s="67"/>
      <c r="Y149" s="67"/>
      <c r="Z149" s="67"/>
      <c r="AA149" s="67"/>
      <c r="AB149" s="67"/>
      <c r="AC149" s="67"/>
      <c r="AD149" s="67"/>
      <c r="AE149" s="67"/>
      <c r="AF149" s="67"/>
      <c r="AG149" s="67"/>
      <c r="AH149" s="67"/>
      <c r="AI149" s="67"/>
      <c r="AJ149" s="67"/>
      <c r="AK149" s="67"/>
      <c r="AL149" s="67"/>
      <c r="AM149" s="67"/>
      <c r="AN149" s="67"/>
      <c r="AO149" s="67"/>
      <c r="AP149" s="67"/>
      <c r="AQ149" s="67"/>
      <c r="AR149" s="67"/>
      <c r="AS149" s="67"/>
      <c r="AT149" s="67"/>
      <c r="AU149" s="67"/>
      <c r="AV149" s="67"/>
      <c r="AW149" s="67"/>
      <c r="AX149" s="67"/>
      <c r="AY149" s="67"/>
      <c r="AZ149" s="67"/>
      <c r="BA149" s="67"/>
      <c r="BB149" s="67"/>
      <c r="BC149" s="67"/>
      <c r="BD149" s="67"/>
      <c r="BE149" s="67"/>
      <c r="BF149" s="67"/>
      <c r="BG149" s="67"/>
      <c r="BH149" s="70"/>
      <c r="BJ149" s="67"/>
      <c r="BK149" s="67"/>
      <c r="BL149" s="67"/>
      <c r="BM149" s="67"/>
      <c r="BN149" s="67"/>
      <c r="BO149" s="67"/>
      <c r="BP149" s="67"/>
      <c r="BQ149" s="67"/>
      <c r="BR149" s="67"/>
      <c r="BS149" s="67"/>
      <c r="BT149" s="67"/>
      <c r="BU149" s="67"/>
      <c r="BV149" s="67"/>
      <c r="BW149" s="67"/>
      <c r="BX149" s="67"/>
      <c r="BY149" s="67"/>
      <c r="BZ149" s="67"/>
      <c r="CA149" s="67"/>
      <c r="CB149" s="67"/>
      <c r="CC149" s="67"/>
      <c r="CD149" s="67"/>
      <c r="CE149" s="67"/>
      <c r="CF149" s="67"/>
      <c r="CG149" s="67"/>
      <c r="CH149" s="67"/>
      <c r="CI149" s="67"/>
      <c r="CJ149" s="67"/>
      <c r="CK149" s="67"/>
      <c r="CL149" s="67"/>
      <c r="CM149" s="67"/>
      <c r="CN149" s="67"/>
      <c r="CO149" s="67"/>
      <c r="CP149" s="67"/>
      <c r="CQ149" s="67"/>
      <c r="CR149" s="67"/>
      <c r="CS149" s="67"/>
      <c r="CT149" s="67"/>
      <c r="CU149" s="67"/>
      <c r="CV149" s="67"/>
      <c r="CW149" s="67"/>
      <c r="CX149" s="67"/>
      <c r="CY149" s="67"/>
      <c r="CZ149" s="67"/>
      <c r="DA149" s="67"/>
      <c r="DB149" s="67"/>
      <c r="DC149" s="67"/>
      <c r="DD149" s="67"/>
      <c r="DE149" s="67"/>
      <c r="DF149" s="67"/>
      <c r="DG149" s="67"/>
      <c r="DH149" s="67"/>
      <c r="DI149" s="67"/>
      <c r="DJ149" s="67"/>
    </row>
    <row r="150" spans="5:114" x14ac:dyDescent="0.2">
      <c r="E150" s="67"/>
      <c r="G150" s="67"/>
      <c r="H150" s="67"/>
      <c r="I150" s="67"/>
      <c r="J150" s="67"/>
      <c r="K150" s="67"/>
      <c r="L150" s="67"/>
      <c r="M150" s="67"/>
      <c r="N150" s="67"/>
      <c r="O150" s="67"/>
      <c r="P150" s="67"/>
      <c r="Q150" s="67"/>
      <c r="R150" s="67"/>
      <c r="S150" s="67"/>
      <c r="T150" s="67"/>
      <c r="U150" s="67"/>
      <c r="V150" s="67"/>
      <c r="W150" s="67"/>
      <c r="X150" s="67"/>
      <c r="Y150" s="67"/>
      <c r="Z150" s="67"/>
      <c r="AA150" s="67"/>
      <c r="AB150" s="67"/>
      <c r="AC150" s="67"/>
      <c r="AD150" s="67"/>
      <c r="AE150" s="67"/>
      <c r="AF150" s="67"/>
      <c r="AG150" s="67"/>
      <c r="AH150" s="67"/>
      <c r="AI150" s="67"/>
      <c r="AJ150" s="67"/>
      <c r="AK150" s="67"/>
      <c r="AL150" s="67"/>
      <c r="AM150" s="67"/>
      <c r="AN150" s="67"/>
      <c r="AO150" s="67"/>
      <c r="AP150" s="67"/>
      <c r="AQ150" s="67"/>
      <c r="AR150" s="67"/>
      <c r="AS150" s="67"/>
      <c r="AT150" s="67"/>
      <c r="AU150" s="67"/>
      <c r="AV150" s="67"/>
      <c r="AW150" s="67"/>
      <c r="AX150" s="67"/>
      <c r="AY150" s="67"/>
      <c r="AZ150" s="67"/>
      <c r="BA150" s="67"/>
      <c r="BB150" s="67"/>
      <c r="BC150" s="67"/>
      <c r="BD150" s="67"/>
      <c r="BE150" s="67"/>
      <c r="BF150" s="67"/>
      <c r="BG150" s="67"/>
      <c r="BH150" s="70"/>
      <c r="BJ150" s="67"/>
      <c r="BK150" s="67"/>
      <c r="BL150" s="67"/>
      <c r="BM150" s="67"/>
      <c r="BN150" s="67"/>
      <c r="BO150" s="67"/>
      <c r="BP150" s="67"/>
      <c r="BQ150" s="67"/>
      <c r="BR150" s="67"/>
      <c r="BS150" s="67"/>
      <c r="BT150" s="67"/>
      <c r="BU150" s="67"/>
      <c r="BV150" s="67"/>
      <c r="BW150" s="67"/>
      <c r="BX150" s="67"/>
      <c r="BY150" s="67"/>
      <c r="BZ150" s="67"/>
      <c r="CA150" s="67"/>
      <c r="CB150" s="67"/>
      <c r="CC150" s="67"/>
      <c r="CD150" s="67"/>
      <c r="CE150" s="67"/>
      <c r="CF150" s="67"/>
      <c r="CG150" s="67"/>
      <c r="CH150" s="67"/>
      <c r="CI150" s="67"/>
      <c r="CJ150" s="67"/>
      <c r="CK150" s="67"/>
      <c r="CL150" s="67"/>
      <c r="CM150" s="67"/>
      <c r="CN150" s="67"/>
      <c r="CO150" s="67"/>
      <c r="CP150" s="67"/>
      <c r="CQ150" s="67"/>
      <c r="CR150" s="67"/>
      <c r="CS150" s="67"/>
      <c r="CT150" s="67"/>
      <c r="CU150" s="67"/>
      <c r="CV150" s="67"/>
      <c r="CW150" s="67"/>
      <c r="CX150" s="67"/>
      <c r="CY150" s="67"/>
      <c r="CZ150" s="67"/>
      <c r="DA150" s="67"/>
      <c r="DB150" s="67"/>
      <c r="DC150" s="67"/>
      <c r="DD150" s="67"/>
      <c r="DE150" s="67"/>
      <c r="DF150" s="67"/>
      <c r="DG150" s="67"/>
      <c r="DH150" s="67"/>
      <c r="DI150" s="67"/>
      <c r="DJ150" s="67"/>
    </row>
    <row r="151" spans="5:114" x14ac:dyDescent="0.2">
      <c r="E151" s="67"/>
      <c r="G151" s="67"/>
      <c r="H151" s="67"/>
      <c r="I151" s="67"/>
      <c r="J151" s="67"/>
      <c r="K151" s="67"/>
      <c r="L151" s="67"/>
      <c r="M151" s="67"/>
      <c r="N151" s="67"/>
      <c r="O151" s="67"/>
      <c r="P151" s="67"/>
      <c r="Q151" s="67"/>
      <c r="R151" s="67"/>
      <c r="S151" s="67"/>
      <c r="T151" s="67"/>
      <c r="U151" s="67"/>
      <c r="V151" s="67"/>
      <c r="W151" s="67"/>
      <c r="X151" s="67"/>
      <c r="Y151" s="67"/>
      <c r="Z151" s="67"/>
      <c r="AA151" s="67"/>
      <c r="AB151" s="67"/>
      <c r="AC151" s="67"/>
      <c r="AD151" s="67"/>
      <c r="AE151" s="67"/>
      <c r="AF151" s="67"/>
      <c r="AG151" s="67"/>
      <c r="AH151" s="67"/>
      <c r="AI151" s="67"/>
      <c r="AJ151" s="67"/>
      <c r="AK151" s="67"/>
      <c r="AL151" s="67"/>
      <c r="AM151" s="67"/>
      <c r="AN151" s="67"/>
      <c r="AO151" s="67"/>
      <c r="AP151" s="67"/>
      <c r="AQ151" s="67"/>
      <c r="AR151" s="67"/>
      <c r="AS151" s="67"/>
      <c r="AT151" s="67"/>
      <c r="AU151" s="67"/>
      <c r="AV151" s="67"/>
      <c r="AW151" s="67"/>
      <c r="AX151" s="67"/>
      <c r="AY151" s="67"/>
      <c r="AZ151" s="67"/>
      <c r="BA151" s="67"/>
      <c r="BB151" s="67"/>
      <c r="BC151" s="67"/>
      <c r="BD151" s="67"/>
      <c r="BE151" s="67"/>
      <c r="BF151" s="67"/>
      <c r="BG151" s="67"/>
      <c r="BH151" s="70"/>
      <c r="BJ151" s="67"/>
      <c r="BK151" s="67"/>
      <c r="BL151" s="67"/>
      <c r="BM151" s="67"/>
      <c r="BN151" s="67"/>
      <c r="BO151" s="67"/>
      <c r="BP151" s="67"/>
      <c r="BQ151" s="67"/>
      <c r="BR151" s="67"/>
      <c r="BS151" s="67"/>
      <c r="BT151" s="67"/>
      <c r="BU151" s="67"/>
      <c r="BV151" s="67"/>
      <c r="BW151" s="67"/>
      <c r="BX151" s="67"/>
      <c r="BY151" s="67"/>
      <c r="BZ151" s="67"/>
      <c r="CA151" s="67"/>
      <c r="CB151" s="67"/>
      <c r="CC151" s="67"/>
      <c r="CD151" s="67"/>
      <c r="CE151" s="67"/>
      <c r="CF151" s="67"/>
      <c r="CG151" s="67"/>
      <c r="CH151" s="67"/>
      <c r="CI151" s="67"/>
      <c r="CJ151" s="67"/>
      <c r="CK151" s="67"/>
      <c r="CL151" s="67"/>
      <c r="CM151" s="67"/>
      <c r="CN151" s="67"/>
      <c r="CO151" s="67"/>
      <c r="CP151" s="67"/>
      <c r="CQ151" s="67"/>
      <c r="CR151" s="67"/>
      <c r="CS151" s="67"/>
      <c r="CT151" s="67"/>
      <c r="CU151" s="67"/>
      <c r="CV151" s="67"/>
      <c r="CW151" s="67"/>
      <c r="CX151" s="67"/>
      <c r="CY151" s="67"/>
      <c r="CZ151" s="67"/>
      <c r="DA151" s="67"/>
      <c r="DB151" s="67"/>
      <c r="DC151" s="67"/>
      <c r="DD151" s="67"/>
      <c r="DE151" s="67"/>
      <c r="DF151" s="67"/>
      <c r="DG151" s="67"/>
      <c r="DH151" s="67"/>
      <c r="DI151" s="67"/>
      <c r="DJ151" s="67"/>
    </row>
    <row r="152" spans="5:114" x14ac:dyDescent="0.2">
      <c r="E152" s="67"/>
      <c r="G152" s="67"/>
      <c r="H152" s="67"/>
      <c r="I152" s="67"/>
      <c r="J152" s="67"/>
      <c r="K152" s="67"/>
      <c r="L152" s="67"/>
      <c r="M152" s="67"/>
      <c r="N152" s="67"/>
      <c r="O152" s="67"/>
      <c r="P152" s="67"/>
      <c r="Q152" s="67"/>
      <c r="R152" s="67"/>
      <c r="S152" s="67"/>
      <c r="T152" s="67"/>
      <c r="U152" s="67"/>
      <c r="V152" s="67"/>
      <c r="W152" s="67"/>
      <c r="X152" s="67"/>
      <c r="Y152" s="67"/>
      <c r="Z152" s="67"/>
      <c r="AA152" s="67"/>
      <c r="AB152" s="67"/>
      <c r="AC152" s="67"/>
      <c r="AD152" s="67"/>
      <c r="AE152" s="67"/>
      <c r="AF152" s="67"/>
      <c r="AG152" s="67"/>
      <c r="AH152" s="67"/>
      <c r="AI152" s="67"/>
      <c r="AJ152" s="67"/>
      <c r="AK152" s="67"/>
      <c r="AL152" s="67"/>
      <c r="AM152" s="67"/>
      <c r="AN152" s="67"/>
      <c r="AO152" s="67"/>
      <c r="AP152" s="67"/>
      <c r="AQ152" s="67"/>
      <c r="AR152" s="67"/>
      <c r="AS152" s="67"/>
      <c r="AT152" s="67"/>
      <c r="AU152" s="67"/>
      <c r="AV152" s="67"/>
      <c r="AW152" s="67"/>
      <c r="AX152" s="67"/>
      <c r="AY152" s="67"/>
      <c r="AZ152" s="67"/>
      <c r="BA152" s="67"/>
      <c r="BB152" s="67"/>
      <c r="BC152" s="67"/>
      <c r="BD152" s="67"/>
      <c r="BE152" s="67"/>
      <c r="BF152" s="67"/>
      <c r="BG152" s="67"/>
      <c r="BH152" s="70"/>
      <c r="BJ152" s="67"/>
      <c r="BK152" s="67"/>
      <c r="BL152" s="67"/>
      <c r="BM152" s="67"/>
      <c r="BN152" s="67"/>
      <c r="BO152" s="67"/>
      <c r="BP152" s="67"/>
      <c r="BQ152" s="67"/>
      <c r="BR152" s="67"/>
      <c r="BS152" s="67"/>
      <c r="BT152" s="67"/>
      <c r="BU152" s="67"/>
      <c r="BV152" s="67"/>
      <c r="BW152" s="67"/>
      <c r="BX152" s="67"/>
      <c r="BY152" s="67"/>
      <c r="BZ152" s="67"/>
      <c r="CA152" s="67"/>
      <c r="CB152" s="67"/>
      <c r="CC152" s="67"/>
      <c r="CD152" s="67"/>
      <c r="CE152" s="67"/>
      <c r="CF152" s="67"/>
      <c r="CG152" s="67"/>
      <c r="CH152" s="67"/>
      <c r="CI152" s="67"/>
      <c r="CJ152" s="67"/>
      <c r="CK152" s="67"/>
      <c r="CL152" s="67"/>
      <c r="CM152" s="67"/>
      <c r="CN152" s="67"/>
      <c r="CO152" s="67"/>
      <c r="CP152" s="67"/>
      <c r="CQ152" s="67"/>
      <c r="CR152" s="67"/>
      <c r="CS152" s="67"/>
      <c r="CT152" s="67"/>
      <c r="CU152" s="67"/>
      <c r="CV152" s="67"/>
      <c r="CW152" s="67"/>
      <c r="CX152" s="67"/>
      <c r="CY152" s="67"/>
      <c r="CZ152" s="67"/>
      <c r="DA152" s="67"/>
      <c r="DB152" s="67"/>
      <c r="DC152" s="67"/>
      <c r="DD152" s="67"/>
      <c r="DE152" s="67"/>
      <c r="DF152" s="67"/>
      <c r="DG152" s="67"/>
      <c r="DH152" s="67"/>
      <c r="DI152" s="67"/>
      <c r="DJ152" s="67"/>
    </row>
    <row r="153" spans="5:114" x14ac:dyDescent="0.2">
      <c r="E153" s="67"/>
      <c r="G153" s="67"/>
      <c r="H153" s="67"/>
      <c r="I153" s="67"/>
      <c r="J153" s="67"/>
      <c r="K153" s="67"/>
      <c r="L153" s="67"/>
      <c r="M153" s="67"/>
      <c r="N153" s="67"/>
      <c r="O153" s="67"/>
      <c r="P153" s="67"/>
      <c r="Q153" s="67"/>
      <c r="R153" s="67"/>
      <c r="S153" s="67"/>
      <c r="T153" s="67"/>
      <c r="U153" s="67"/>
      <c r="V153" s="67"/>
      <c r="W153" s="67"/>
      <c r="X153" s="67"/>
      <c r="Y153" s="67"/>
      <c r="Z153" s="67"/>
      <c r="AA153" s="67"/>
      <c r="AB153" s="67"/>
      <c r="AC153" s="67"/>
      <c r="AD153" s="67"/>
      <c r="AE153" s="67"/>
      <c r="AF153" s="67"/>
      <c r="AG153" s="67"/>
      <c r="AH153" s="67"/>
      <c r="AI153" s="67"/>
      <c r="AJ153" s="67"/>
      <c r="AK153" s="67"/>
      <c r="AL153" s="67"/>
      <c r="AM153" s="67"/>
      <c r="AN153" s="67"/>
      <c r="AO153" s="67"/>
      <c r="AP153" s="67"/>
      <c r="AQ153" s="67"/>
      <c r="AR153" s="67"/>
      <c r="AS153" s="67"/>
      <c r="AT153" s="67"/>
      <c r="AU153" s="67"/>
      <c r="AV153" s="67"/>
      <c r="AW153" s="67"/>
      <c r="AX153" s="67"/>
      <c r="AY153" s="67"/>
      <c r="AZ153" s="67"/>
      <c r="BA153" s="67"/>
      <c r="BB153" s="67"/>
      <c r="BC153" s="67"/>
      <c r="BD153" s="67"/>
      <c r="BE153" s="67"/>
      <c r="BF153" s="67"/>
      <c r="BG153" s="67"/>
      <c r="BH153" s="70"/>
      <c r="BJ153" s="67"/>
      <c r="BK153" s="67"/>
      <c r="BL153" s="67"/>
      <c r="BM153" s="67"/>
      <c r="BN153" s="67"/>
      <c r="BO153" s="67"/>
      <c r="BP153" s="67"/>
      <c r="BQ153" s="67"/>
      <c r="BR153" s="67"/>
      <c r="BS153" s="67"/>
      <c r="BT153" s="67"/>
      <c r="BU153" s="67"/>
      <c r="BV153" s="67"/>
      <c r="BW153" s="67"/>
      <c r="BX153" s="67"/>
      <c r="BY153" s="67"/>
      <c r="BZ153" s="67"/>
      <c r="CA153" s="67"/>
      <c r="CB153" s="67"/>
      <c r="CC153" s="67"/>
      <c r="CD153" s="67"/>
      <c r="CE153" s="67"/>
      <c r="CF153" s="67"/>
      <c r="CG153" s="67"/>
      <c r="CH153" s="67"/>
      <c r="CI153" s="67"/>
      <c r="CJ153" s="67"/>
      <c r="CK153" s="67"/>
      <c r="CL153" s="67"/>
      <c r="CM153" s="67"/>
      <c r="CN153" s="67"/>
      <c r="CO153" s="67"/>
      <c r="CP153" s="67"/>
      <c r="CQ153" s="67"/>
      <c r="CR153" s="67"/>
      <c r="CS153" s="67"/>
      <c r="CT153" s="67"/>
      <c r="CU153" s="67"/>
      <c r="CV153" s="67"/>
      <c r="CW153" s="67"/>
      <c r="CX153" s="67"/>
      <c r="CY153" s="67"/>
      <c r="CZ153" s="67"/>
      <c r="DA153" s="67"/>
      <c r="DB153" s="67"/>
      <c r="DC153" s="67"/>
      <c r="DD153" s="67"/>
      <c r="DE153" s="67"/>
      <c r="DF153" s="67"/>
      <c r="DG153" s="67"/>
      <c r="DH153" s="67"/>
      <c r="DI153" s="67"/>
      <c r="DJ153" s="67"/>
    </row>
    <row r="154" spans="5:114" x14ac:dyDescent="0.2">
      <c r="E154" s="67"/>
      <c r="G154" s="67"/>
      <c r="H154" s="67"/>
      <c r="I154" s="67"/>
      <c r="J154" s="67"/>
      <c r="K154" s="67"/>
      <c r="L154" s="67"/>
      <c r="M154" s="67"/>
      <c r="N154" s="67"/>
      <c r="O154" s="67"/>
      <c r="P154" s="67"/>
      <c r="Q154" s="67"/>
      <c r="R154" s="67"/>
      <c r="S154" s="67"/>
      <c r="T154" s="67"/>
      <c r="U154" s="67"/>
      <c r="V154" s="67"/>
      <c r="W154" s="67"/>
      <c r="X154" s="67"/>
      <c r="Y154" s="67"/>
      <c r="Z154" s="67"/>
      <c r="AA154" s="67"/>
      <c r="AB154" s="67"/>
      <c r="AC154" s="67"/>
      <c r="AD154" s="67"/>
      <c r="AE154" s="67"/>
      <c r="AF154" s="67"/>
      <c r="AG154" s="67"/>
      <c r="AH154" s="67"/>
      <c r="AI154" s="67"/>
      <c r="AJ154" s="67"/>
      <c r="AK154" s="67"/>
      <c r="AL154" s="67"/>
      <c r="AM154" s="67"/>
      <c r="AN154" s="67"/>
      <c r="AO154" s="67"/>
      <c r="AP154" s="67"/>
      <c r="AQ154" s="67"/>
      <c r="AR154" s="67"/>
      <c r="AS154" s="67"/>
      <c r="AT154" s="67"/>
      <c r="AU154" s="67"/>
      <c r="AV154" s="67"/>
      <c r="AW154" s="67"/>
      <c r="AX154" s="67"/>
      <c r="AY154" s="67"/>
      <c r="AZ154" s="67"/>
      <c r="BA154" s="67"/>
      <c r="BB154" s="67"/>
      <c r="BC154" s="67"/>
      <c r="BD154" s="67"/>
      <c r="BE154" s="67"/>
      <c r="BF154" s="67"/>
      <c r="BG154" s="67"/>
      <c r="BH154" s="70"/>
      <c r="BJ154" s="67"/>
      <c r="BK154" s="67"/>
      <c r="BL154" s="67"/>
      <c r="BM154" s="67"/>
      <c r="BN154" s="67"/>
      <c r="BO154" s="67"/>
      <c r="BP154" s="67"/>
      <c r="BQ154" s="67"/>
      <c r="BR154" s="67"/>
      <c r="BS154" s="67"/>
      <c r="BT154" s="67"/>
      <c r="BU154" s="67"/>
      <c r="BV154" s="67"/>
      <c r="BW154" s="67"/>
      <c r="BX154" s="67"/>
      <c r="BY154" s="67"/>
      <c r="BZ154" s="67"/>
      <c r="CA154" s="67"/>
      <c r="CB154" s="67"/>
      <c r="CC154" s="67"/>
      <c r="CD154" s="67"/>
      <c r="CE154" s="67"/>
      <c r="CF154" s="67"/>
      <c r="CG154" s="67"/>
      <c r="CH154" s="67"/>
      <c r="CI154" s="67"/>
      <c r="CJ154" s="67"/>
      <c r="CK154" s="67"/>
      <c r="CL154" s="67"/>
      <c r="CM154" s="67"/>
      <c r="CN154" s="67"/>
      <c r="CO154" s="67"/>
      <c r="CP154" s="67"/>
      <c r="CQ154" s="67"/>
      <c r="CR154" s="67"/>
      <c r="CS154" s="67"/>
      <c r="CT154" s="67"/>
      <c r="CU154" s="67"/>
      <c r="CV154" s="67"/>
      <c r="CW154" s="67"/>
      <c r="CX154" s="67"/>
      <c r="CY154" s="67"/>
      <c r="CZ154" s="67"/>
      <c r="DA154" s="67"/>
      <c r="DB154" s="67"/>
      <c r="DC154" s="67"/>
      <c r="DD154" s="67"/>
      <c r="DE154" s="67"/>
      <c r="DF154" s="67"/>
      <c r="DG154" s="67"/>
      <c r="DH154" s="67"/>
      <c r="DI154" s="67"/>
      <c r="DJ154" s="67"/>
    </row>
    <row r="155" spans="5:114" x14ac:dyDescent="0.2">
      <c r="E155" s="67"/>
      <c r="G155" s="67"/>
      <c r="H155" s="67"/>
      <c r="I155" s="67"/>
      <c r="J155" s="67"/>
      <c r="K155" s="67"/>
      <c r="L155" s="67"/>
      <c r="M155" s="67"/>
      <c r="N155" s="67"/>
      <c r="O155" s="67"/>
      <c r="P155" s="67"/>
      <c r="Q155" s="67"/>
      <c r="R155" s="67"/>
      <c r="S155" s="67"/>
      <c r="T155" s="67"/>
      <c r="U155" s="67"/>
      <c r="V155" s="67"/>
      <c r="W155" s="67"/>
      <c r="X155" s="67"/>
      <c r="Y155" s="67"/>
      <c r="Z155" s="67"/>
      <c r="AA155" s="67"/>
      <c r="AB155" s="67"/>
      <c r="AC155" s="67"/>
      <c r="AD155" s="67"/>
      <c r="AE155" s="67"/>
      <c r="AF155" s="67"/>
      <c r="AG155" s="67"/>
      <c r="AH155" s="67"/>
      <c r="AI155" s="67"/>
      <c r="AJ155" s="67"/>
      <c r="AK155" s="67"/>
      <c r="AL155" s="67"/>
      <c r="AM155" s="67"/>
      <c r="AN155" s="67"/>
      <c r="AO155" s="67"/>
      <c r="AP155" s="67"/>
      <c r="AQ155" s="67"/>
      <c r="AR155" s="67"/>
      <c r="AS155" s="67"/>
      <c r="AT155" s="67"/>
      <c r="AU155" s="67"/>
      <c r="AV155" s="67"/>
      <c r="AW155" s="67"/>
      <c r="AX155" s="67"/>
      <c r="AY155" s="67"/>
      <c r="AZ155" s="67"/>
      <c r="BA155" s="67"/>
      <c r="BB155" s="67"/>
      <c r="BC155" s="67"/>
      <c r="BD155" s="67"/>
      <c r="BE155" s="67"/>
      <c r="BF155" s="67"/>
      <c r="BG155" s="67"/>
      <c r="BH155" s="70"/>
      <c r="BJ155" s="67"/>
      <c r="BK155" s="67"/>
      <c r="BL155" s="67"/>
      <c r="BM155" s="67"/>
      <c r="BN155" s="67"/>
      <c r="BO155" s="67"/>
      <c r="BP155" s="67"/>
      <c r="BQ155" s="67"/>
      <c r="BR155" s="67"/>
      <c r="BS155" s="67"/>
      <c r="BT155" s="67"/>
      <c r="BU155" s="67"/>
      <c r="BV155" s="67"/>
      <c r="BW155" s="67"/>
      <c r="BX155" s="67"/>
      <c r="BY155" s="67"/>
      <c r="BZ155" s="67"/>
      <c r="CA155" s="67"/>
      <c r="CB155" s="67"/>
      <c r="CC155" s="67"/>
      <c r="CD155" s="67"/>
      <c r="CE155" s="67"/>
      <c r="CF155" s="67"/>
      <c r="CG155" s="67"/>
      <c r="CH155" s="67"/>
      <c r="CI155" s="67"/>
      <c r="CJ155" s="67"/>
      <c r="CK155" s="67"/>
      <c r="CL155" s="67"/>
      <c r="CM155" s="67"/>
      <c r="CN155" s="67"/>
      <c r="CO155" s="67"/>
      <c r="CP155" s="67"/>
      <c r="CQ155" s="67"/>
      <c r="CR155" s="67"/>
      <c r="CS155" s="67"/>
      <c r="CT155" s="67"/>
      <c r="CU155" s="67"/>
      <c r="CV155" s="67"/>
      <c r="CW155" s="67"/>
      <c r="CX155" s="67"/>
      <c r="CY155" s="67"/>
      <c r="CZ155" s="67"/>
      <c r="DA155" s="67"/>
      <c r="DB155" s="67"/>
      <c r="DC155" s="67"/>
      <c r="DD155" s="67"/>
      <c r="DE155" s="67"/>
      <c r="DF155" s="67"/>
      <c r="DG155" s="67"/>
      <c r="DH155" s="67"/>
      <c r="DI155" s="67"/>
      <c r="DJ155" s="67"/>
    </row>
    <row r="156" spans="5:114" x14ac:dyDescent="0.2">
      <c r="E156" s="67"/>
      <c r="G156" s="67"/>
      <c r="H156" s="67"/>
      <c r="I156" s="67"/>
      <c r="J156" s="67"/>
      <c r="K156" s="67"/>
      <c r="L156" s="67"/>
      <c r="M156" s="67"/>
      <c r="N156" s="67"/>
      <c r="O156" s="67"/>
      <c r="P156" s="67"/>
      <c r="Q156" s="67"/>
      <c r="R156" s="67"/>
      <c r="S156" s="67"/>
      <c r="T156" s="67"/>
      <c r="U156" s="67"/>
      <c r="V156" s="67"/>
      <c r="W156" s="67"/>
      <c r="X156" s="67"/>
      <c r="Y156" s="67"/>
      <c r="Z156" s="67"/>
      <c r="AA156" s="67"/>
      <c r="AB156" s="67"/>
      <c r="AC156" s="67"/>
      <c r="AD156" s="67"/>
      <c r="AE156" s="67"/>
      <c r="AF156" s="67"/>
      <c r="AG156" s="67"/>
      <c r="AH156" s="67"/>
      <c r="AI156" s="67"/>
      <c r="AJ156" s="67"/>
      <c r="AK156" s="67"/>
      <c r="AL156" s="67"/>
      <c r="AM156" s="67"/>
      <c r="AN156" s="67"/>
      <c r="AO156" s="67"/>
      <c r="AP156" s="67"/>
      <c r="AQ156" s="67"/>
      <c r="AR156" s="67"/>
      <c r="AS156" s="67"/>
      <c r="AT156" s="67"/>
      <c r="AU156" s="67"/>
      <c r="AV156" s="67"/>
      <c r="AW156" s="67"/>
      <c r="AX156" s="67"/>
      <c r="AY156" s="67"/>
      <c r="AZ156" s="67"/>
      <c r="BA156" s="67"/>
      <c r="BB156" s="67"/>
      <c r="BC156" s="67"/>
      <c r="BD156" s="67"/>
      <c r="BE156" s="67"/>
      <c r="BF156" s="67"/>
      <c r="BG156" s="67"/>
      <c r="BH156" s="70"/>
      <c r="BJ156" s="67"/>
      <c r="BK156" s="67"/>
      <c r="BL156" s="67"/>
      <c r="BM156" s="67"/>
      <c r="BN156" s="67"/>
      <c r="BO156" s="67"/>
      <c r="BP156" s="67"/>
      <c r="BQ156" s="67"/>
      <c r="BR156" s="67"/>
      <c r="BS156" s="67"/>
      <c r="BT156" s="67"/>
      <c r="BU156" s="67"/>
      <c r="BV156" s="67"/>
      <c r="BW156" s="67"/>
      <c r="BX156" s="67"/>
      <c r="BY156" s="67"/>
      <c r="BZ156" s="67"/>
      <c r="CA156" s="67"/>
      <c r="CB156" s="67"/>
      <c r="CC156" s="67"/>
      <c r="CD156" s="67"/>
      <c r="CE156" s="67"/>
      <c r="CF156" s="67"/>
      <c r="CG156" s="67"/>
      <c r="CH156" s="67"/>
      <c r="CI156" s="67"/>
      <c r="CJ156" s="67"/>
      <c r="CK156" s="67"/>
      <c r="CL156" s="67"/>
      <c r="CM156" s="67"/>
      <c r="CN156" s="67"/>
      <c r="CO156" s="67"/>
      <c r="CP156" s="67"/>
      <c r="CQ156" s="67"/>
      <c r="CR156" s="67"/>
      <c r="CS156" s="67"/>
      <c r="CT156" s="67"/>
      <c r="CU156" s="67"/>
      <c r="CV156" s="67"/>
      <c r="CW156" s="67"/>
      <c r="CX156" s="67"/>
      <c r="CY156" s="67"/>
      <c r="CZ156" s="67"/>
      <c r="DA156" s="67"/>
      <c r="DB156" s="67"/>
      <c r="DC156" s="67"/>
      <c r="DD156" s="67"/>
      <c r="DE156" s="67"/>
      <c r="DF156" s="67"/>
      <c r="DG156" s="67"/>
      <c r="DH156" s="67"/>
      <c r="DI156" s="67"/>
      <c r="DJ156" s="67"/>
    </row>
    <row r="157" spans="5:114" x14ac:dyDescent="0.2">
      <c r="E157" s="67"/>
      <c r="G157" s="67"/>
      <c r="H157" s="67"/>
      <c r="I157" s="67"/>
      <c r="J157" s="67"/>
      <c r="K157" s="67"/>
      <c r="L157" s="67"/>
      <c r="M157" s="67"/>
      <c r="N157" s="67"/>
      <c r="O157" s="67"/>
      <c r="P157" s="67"/>
      <c r="Q157" s="67"/>
      <c r="R157" s="67"/>
      <c r="S157" s="67"/>
      <c r="T157" s="67"/>
      <c r="U157" s="67"/>
      <c r="V157" s="67"/>
      <c r="W157" s="67"/>
      <c r="X157" s="67"/>
      <c r="Y157" s="67"/>
      <c r="Z157" s="67"/>
      <c r="AA157" s="67"/>
      <c r="AB157" s="67"/>
      <c r="AC157" s="67"/>
      <c r="AD157" s="67"/>
      <c r="AE157" s="67"/>
      <c r="AF157" s="67"/>
      <c r="AG157" s="67"/>
      <c r="AH157" s="67"/>
      <c r="AI157" s="67"/>
      <c r="AJ157" s="67"/>
      <c r="AK157" s="67"/>
      <c r="AL157" s="67"/>
      <c r="AM157" s="67"/>
      <c r="AN157" s="67"/>
      <c r="AO157" s="67"/>
      <c r="AP157" s="67"/>
      <c r="AQ157" s="67"/>
      <c r="AR157" s="67"/>
      <c r="AS157" s="67"/>
      <c r="AT157" s="67"/>
      <c r="AU157" s="67"/>
      <c r="AV157" s="67"/>
      <c r="AW157" s="67"/>
      <c r="AX157" s="67"/>
      <c r="AY157" s="67"/>
      <c r="AZ157" s="67"/>
      <c r="BA157" s="67"/>
      <c r="BB157" s="67"/>
      <c r="BC157" s="67"/>
      <c r="BD157" s="67"/>
      <c r="BE157" s="67"/>
      <c r="BF157" s="67"/>
      <c r="BG157" s="67"/>
      <c r="BH157" s="70"/>
      <c r="BJ157" s="67"/>
      <c r="BK157" s="67"/>
      <c r="BL157" s="67"/>
      <c r="BM157" s="67"/>
      <c r="BN157" s="67"/>
      <c r="BO157" s="67"/>
      <c r="BP157" s="67"/>
      <c r="BQ157" s="67"/>
      <c r="BR157" s="67"/>
      <c r="BS157" s="67"/>
      <c r="BT157" s="67"/>
      <c r="BU157" s="67"/>
      <c r="BV157" s="67"/>
      <c r="BW157" s="67"/>
      <c r="BX157" s="67"/>
      <c r="BY157" s="67"/>
      <c r="BZ157" s="67"/>
      <c r="CA157" s="67"/>
      <c r="CB157" s="67"/>
      <c r="CC157" s="67"/>
      <c r="CD157" s="67"/>
      <c r="CE157" s="67"/>
      <c r="CF157" s="67"/>
      <c r="CG157" s="67"/>
      <c r="CH157" s="67"/>
      <c r="CI157" s="67"/>
      <c r="CJ157" s="67"/>
      <c r="CK157" s="67"/>
      <c r="CL157" s="67"/>
      <c r="CM157" s="67"/>
      <c r="CN157" s="67"/>
      <c r="CO157" s="67"/>
      <c r="CP157" s="67"/>
      <c r="CQ157" s="67"/>
      <c r="CR157" s="67"/>
      <c r="CS157" s="67"/>
      <c r="CT157" s="67"/>
      <c r="CU157" s="67"/>
      <c r="CV157" s="67"/>
      <c r="CW157" s="67"/>
      <c r="CX157" s="67"/>
      <c r="CY157" s="67"/>
      <c r="CZ157" s="67"/>
      <c r="DA157" s="67"/>
      <c r="DB157" s="67"/>
      <c r="DC157" s="67"/>
      <c r="DD157" s="67"/>
      <c r="DE157" s="67"/>
      <c r="DF157" s="67"/>
      <c r="DG157" s="67"/>
      <c r="DH157" s="67"/>
      <c r="DI157" s="67"/>
      <c r="DJ157" s="67"/>
    </row>
    <row r="158" spans="5:114" x14ac:dyDescent="0.2">
      <c r="E158" s="67"/>
      <c r="G158" s="67"/>
      <c r="H158" s="67"/>
      <c r="I158" s="67"/>
      <c r="J158" s="67"/>
      <c r="K158" s="67"/>
      <c r="L158" s="67"/>
      <c r="M158" s="67"/>
      <c r="N158" s="67"/>
      <c r="O158" s="67"/>
      <c r="P158" s="67"/>
      <c r="Q158" s="67"/>
      <c r="R158" s="67"/>
      <c r="S158" s="67"/>
      <c r="T158" s="67"/>
      <c r="U158" s="67"/>
      <c r="V158" s="67"/>
      <c r="W158" s="67"/>
      <c r="X158" s="67"/>
      <c r="Y158" s="67"/>
      <c r="Z158" s="67"/>
      <c r="AA158" s="67"/>
      <c r="AB158" s="67"/>
      <c r="AC158" s="67"/>
      <c r="AD158" s="67"/>
      <c r="AE158" s="67"/>
      <c r="AF158" s="67"/>
      <c r="AG158" s="67"/>
      <c r="AH158" s="67"/>
      <c r="AI158" s="67"/>
      <c r="AJ158" s="67"/>
      <c r="AK158" s="67"/>
      <c r="AL158" s="67"/>
      <c r="AM158" s="67"/>
      <c r="AN158" s="67"/>
      <c r="AO158" s="67"/>
      <c r="AP158" s="67"/>
      <c r="AQ158" s="67"/>
      <c r="AR158" s="67"/>
      <c r="AS158" s="67"/>
      <c r="AT158" s="67"/>
      <c r="AU158" s="67"/>
      <c r="AV158" s="67"/>
      <c r="AW158" s="67"/>
      <c r="AX158" s="67"/>
      <c r="AY158" s="67"/>
      <c r="AZ158" s="67"/>
      <c r="BA158" s="67"/>
      <c r="BB158" s="67"/>
      <c r="BC158" s="67"/>
      <c r="BD158" s="67"/>
      <c r="BE158" s="67"/>
      <c r="BF158" s="67"/>
      <c r="BG158" s="67"/>
      <c r="BH158" s="70"/>
      <c r="BJ158" s="67"/>
      <c r="BK158" s="67"/>
      <c r="BL158" s="67"/>
      <c r="BM158" s="67"/>
      <c r="BN158" s="67"/>
      <c r="BO158" s="67"/>
      <c r="BP158" s="67"/>
      <c r="BQ158" s="67"/>
      <c r="BR158" s="67"/>
      <c r="BS158" s="67"/>
      <c r="BT158" s="67"/>
      <c r="BU158" s="67"/>
      <c r="BV158" s="67"/>
      <c r="BW158" s="67"/>
      <c r="BX158" s="67"/>
      <c r="BY158" s="67"/>
      <c r="BZ158" s="67"/>
      <c r="CA158" s="67"/>
      <c r="CB158" s="67"/>
      <c r="CC158" s="67"/>
      <c r="CD158" s="67"/>
      <c r="CE158" s="67"/>
      <c r="CF158" s="67"/>
      <c r="CG158" s="67"/>
      <c r="CH158" s="67"/>
      <c r="CI158" s="67"/>
      <c r="CJ158" s="67"/>
      <c r="CK158" s="67"/>
      <c r="CL158" s="67"/>
      <c r="CM158" s="67"/>
      <c r="CN158" s="67"/>
      <c r="CO158" s="67"/>
      <c r="CP158" s="67"/>
      <c r="CQ158" s="67"/>
      <c r="CR158" s="67"/>
      <c r="CS158" s="67"/>
      <c r="CT158" s="67"/>
      <c r="CU158" s="67"/>
      <c r="CV158" s="67"/>
      <c r="CW158" s="67"/>
      <c r="CX158" s="67"/>
      <c r="CY158" s="67"/>
      <c r="CZ158" s="67"/>
      <c r="DA158" s="67"/>
      <c r="DB158" s="67"/>
      <c r="DC158" s="67"/>
      <c r="DD158" s="67"/>
      <c r="DE158" s="67"/>
      <c r="DF158" s="67"/>
      <c r="DG158" s="67"/>
      <c r="DH158" s="67"/>
      <c r="DI158" s="67"/>
      <c r="DJ158" s="67"/>
    </row>
    <row r="159" spans="5:114" x14ac:dyDescent="0.2">
      <c r="E159" s="67"/>
      <c r="G159" s="67"/>
      <c r="H159" s="67"/>
      <c r="I159" s="67"/>
      <c r="J159" s="67"/>
      <c r="K159" s="67"/>
      <c r="L159" s="67"/>
      <c r="M159" s="67"/>
      <c r="N159" s="67"/>
      <c r="O159" s="67"/>
      <c r="P159" s="67"/>
      <c r="Q159" s="67"/>
      <c r="R159" s="67"/>
      <c r="S159" s="67"/>
      <c r="T159" s="67"/>
      <c r="U159" s="67"/>
      <c r="V159" s="67"/>
      <c r="W159" s="67"/>
      <c r="X159" s="67"/>
      <c r="Y159" s="67"/>
      <c r="Z159" s="67"/>
      <c r="AA159" s="67"/>
      <c r="AB159" s="67"/>
      <c r="AC159" s="67"/>
      <c r="AD159" s="67"/>
      <c r="AE159" s="67"/>
      <c r="AF159" s="67"/>
      <c r="AG159" s="67"/>
      <c r="AH159" s="67"/>
      <c r="AI159" s="67"/>
      <c r="AJ159" s="67"/>
      <c r="AK159" s="67"/>
      <c r="AL159" s="67"/>
      <c r="AM159" s="67"/>
      <c r="AN159" s="67"/>
      <c r="AO159" s="67"/>
      <c r="AP159" s="67"/>
      <c r="AQ159" s="67"/>
      <c r="AR159" s="67"/>
      <c r="AS159" s="67"/>
      <c r="AT159" s="67"/>
      <c r="AU159" s="67"/>
      <c r="AV159" s="67"/>
      <c r="AW159" s="67"/>
      <c r="AX159" s="67"/>
      <c r="AY159" s="67"/>
      <c r="AZ159" s="67"/>
      <c r="BA159" s="67"/>
      <c r="BB159" s="67"/>
      <c r="BC159" s="67"/>
      <c r="BD159" s="67"/>
      <c r="BE159" s="67"/>
      <c r="BF159" s="67"/>
      <c r="BG159" s="67"/>
      <c r="BH159" s="70"/>
      <c r="BJ159" s="67"/>
      <c r="BK159" s="67"/>
      <c r="BL159" s="67"/>
      <c r="BM159" s="67"/>
      <c r="BN159" s="67"/>
      <c r="BO159" s="67"/>
      <c r="BP159" s="67"/>
      <c r="BQ159" s="67"/>
      <c r="BR159" s="67"/>
      <c r="BS159" s="67"/>
      <c r="BT159" s="67"/>
      <c r="BU159" s="67"/>
      <c r="BV159" s="67"/>
      <c r="BW159" s="67"/>
      <c r="BX159" s="67"/>
      <c r="BY159" s="67"/>
      <c r="BZ159" s="67"/>
      <c r="CA159" s="67"/>
      <c r="CB159" s="67"/>
      <c r="CC159" s="67"/>
      <c r="CD159" s="67"/>
      <c r="CE159" s="67"/>
      <c r="CF159" s="67"/>
      <c r="CG159" s="67"/>
      <c r="CH159" s="67"/>
      <c r="CI159" s="67"/>
      <c r="CJ159" s="67"/>
      <c r="CK159" s="67"/>
      <c r="CL159" s="67"/>
      <c r="CM159" s="67"/>
      <c r="CN159" s="67"/>
      <c r="CO159" s="67"/>
      <c r="CP159" s="67"/>
      <c r="CQ159" s="67"/>
      <c r="CR159" s="67"/>
      <c r="CS159" s="67"/>
      <c r="CT159" s="67"/>
      <c r="CU159" s="67"/>
      <c r="CV159" s="67"/>
      <c r="CW159" s="67"/>
      <c r="CX159" s="67"/>
      <c r="CY159" s="67"/>
      <c r="CZ159" s="67"/>
      <c r="DA159" s="67"/>
      <c r="DB159" s="67"/>
      <c r="DC159" s="67"/>
      <c r="DD159" s="67"/>
      <c r="DE159" s="67"/>
      <c r="DF159" s="67"/>
      <c r="DG159" s="67"/>
      <c r="DH159" s="67"/>
      <c r="DI159" s="67"/>
      <c r="DJ159" s="67"/>
    </row>
    <row r="160" spans="5:114" x14ac:dyDescent="0.2">
      <c r="E160" s="67"/>
      <c r="G160" s="67"/>
      <c r="H160" s="67"/>
      <c r="I160" s="67"/>
      <c r="J160" s="67"/>
      <c r="K160" s="67"/>
      <c r="L160" s="67"/>
      <c r="M160" s="67"/>
      <c r="N160" s="67"/>
      <c r="O160" s="67"/>
      <c r="P160" s="67"/>
      <c r="Q160" s="67"/>
      <c r="R160" s="67"/>
      <c r="S160" s="67"/>
      <c r="T160" s="67"/>
      <c r="U160" s="67"/>
      <c r="V160" s="67"/>
      <c r="W160" s="67"/>
      <c r="X160" s="67"/>
      <c r="Y160" s="67"/>
      <c r="Z160" s="67"/>
      <c r="AA160" s="67"/>
      <c r="AB160" s="67"/>
      <c r="AC160" s="67"/>
      <c r="AD160" s="67"/>
      <c r="AE160" s="67"/>
      <c r="AF160" s="67"/>
      <c r="AG160" s="67"/>
      <c r="AH160" s="67"/>
      <c r="AI160" s="67"/>
      <c r="AJ160" s="67"/>
      <c r="AK160" s="67"/>
      <c r="AL160" s="67"/>
      <c r="AM160" s="67"/>
      <c r="AN160" s="67"/>
      <c r="AO160" s="67"/>
      <c r="AP160" s="67"/>
      <c r="AQ160" s="67"/>
      <c r="AR160" s="67"/>
      <c r="AS160" s="67"/>
      <c r="AT160" s="67"/>
      <c r="AU160" s="67"/>
      <c r="AV160" s="67"/>
      <c r="AW160" s="67"/>
      <c r="AX160" s="67"/>
      <c r="AY160" s="67"/>
      <c r="AZ160" s="67"/>
      <c r="BA160" s="67"/>
      <c r="BB160" s="67"/>
      <c r="BC160" s="67"/>
      <c r="BD160" s="67"/>
      <c r="BE160" s="67"/>
      <c r="BF160" s="67"/>
      <c r="BG160" s="67"/>
      <c r="BH160" s="70"/>
      <c r="BJ160" s="67"/>
      <c r="BK160" s="67"/>
      <c r="BL160" s="67"/>
      <c r="BM160" s="67"/>
      <c r="BN160" s="67"/>
      <c r="BO160" s="67"/>
      <c r="BP160" s="67"/>
      <c r="BQ160" s="67"/>
      <c r="BR160" s="67"/>
      <c r="BS160" s="67"/>
      <c r="BT160" s="67"/>
      <c r="BU160" s="67"/>
      <c r="BV160" s="67"/>
      <c r="BW160" s="67"/>
      <c r="BX160" s="67"/>
      <c r="BY160" s="67"/>
      <c r="BZ160" s="67"/>
      <c r="CA160" s="67"/>
      <c r="CB160" s="67"/>
      <c r="CC160" s="67"/>
      <c r="CD160" s="67"/>
      <c r="CE160" s="67"/>
      <c r="CF160" s="67"/>
      <c r="CG160" s="67"/>
      <c r="CH160" s="67"/>
      <c r="CI160" s="67"/>
      <c r="CJ160" s="67"/>
      <c r="CK160" s="67"/>
      <c r="CL160" s="67"/>
      <c r="CM160" s="67"/>
      <c r="CN160" s="67"/>
      <c r="CO160" s="67"/>
      <c r="CP160" s="67"/>
      <c r="CQ160" s="67"/>
      <c r="CR160" s="67"/>
      <c r="CS160" s="67"/>
      <c r="CT160" s="67"/>
      <c r="CU160" s="67"/>
      <c r="CV160" s="67"/>
      <c r="CW160" s="67"/>
      <c r="CX160" s="67"/>
      <c r="CY160" s="67"/>
      <c r="CZ160" s="67"/>
      <c r="DA160" s="67"/>
      <c r="DB160" s="67"/>
      <c r="DC160" s="67"/>
      <c r="DD160" s="67"/>
      <c r="DE160" s="67"/>
      <c r="DF160" s="67"/>
      <c r="DG160" s="67"/>
      <c r="DH160" s="67"/>
      <c r="DI160" s="67"/>
      <c r="DJ160" s="67"/>
    </row>
    <row r="161" spans="5:114" x14ac:dyDescent="0.2">
      <c r="E161" s="67"/>
      <c r="G161" s="67"/>
      <c r="H161" s="67"/>
      <c r="I161" s="67"/>
      <c r="J161" s="67"/>
      <c r="K161" s="67"/>
      <c r="L161" s="67"/>
      <c r="M161" s="67"/>
      <c r="N161" s="67"/>
      <c r="O161" s="67"/>
      <c r="P161" s="67"/>
      <c r="Q161" s="67"/>
      <c r="R161" s="67"/>
      <c r="S161" s="67"/>
      <c r="T161" s="67"/>
      <c r="U161" s="67"/>
      <c r="V161" s="67"/>
      <c r="W161" s="67"/>
      <c r="X161" s="67"/>
      <c r="Y161" s="67"/>
      <c r="Z161" s="67"/>
      <c r="AA161" s="67"/>
      <c r="AB161" s="67"/>
      <c r="AC161" s="67"/>
      <c r="AD161" s="67"/>
      <c r="AE161" s="67"/>
      <c r="AF161" s="67"/>
      <c r="AG161" s="67"/>
      <c r="AH161" s="67"/>
      <c r="AI161" s="67"/>
      <c r="AJ161" s="67"/>
      <c r="AK161" s="67"/>
      <c r="AL161" s="67"/>
      <c r="AM161" s="67"/>
      <c r="AN161" s="67"/>
      <c r="AO161" s="67"/>
      <c r="AP161" s="67"/>
      <c r="AQ161" s="67"/>
      <c r="AR161" s="67"/>
      <c r="AS161" s="67"/>
      <c r="AT161" s="67"/>
      <c r="AU161" s="67"/>
      <c r="AV161" s="67"/>
      <c r="AW161" s="67"/>
      <c r="AX161" s="67"/>
      <c r="AY161" s="67"/>
      <c r="AZ161" s="67"/>
      <c r="BA161" s="67"/>
      <c r="BB161" s="67"/>
      <c r="BC161" s="67"/>
      <c r="BD161" s="67"/>
      <c r="BE161" s="67"/>
      <c r="BF161" s="67"/>
      <c r="BG161" s="67"/>
      <c r="BH161" s="70"/>
      <c r="BJ161" s="67"/>
      <c r="BK161" s="67"/>
      <c r="BL161" s="67"/>
      <c r="BM161" s="67"/>
      <c r="BN161" s="67"/>
      <c r="BO161" s="67"/>
      <c r="BP161" s="67"/>
      <c r="BQ161" s="67"/>
      <c r="BR161" s="67"/>
      <c r="BS161" s="67"/>
      <c r="BT161" s="67"/>
      <c r="BU161" s="67"/>
      <c r="BV161" s="67"/>
      <c r="BW161" s="67"/>
      <c r="BX161" s="67"/>
      <c r="BY161" s="67"/>
      <c r="BZ161" s="67"/>
      <c r="CA161" s="67"/>
      <c r="CB161" s="67"/>
      <c r="CC161" s="67"/>
      <c r="CD161" s="67"/>
      <c r="CE161" s="67"/>
      <c r="CF161" s="67"/>
      <c r="CG161" s="67"/>
      <c r="CH161" s="67"/>
      <c r="CI161" s="67"/>
      <c r="CJ161" s="67"/>
      <c r="CK161" s="67"/>
      <c r="CL161" s="67"/>
      <c r="CM161" s="67"/>
      <c r="CN161" s="67"/>
      <c r="CO161" s="67"/>
      <c r="CP161" s="67"/>
      <c r="CQ161" s="67"/>
      <c r="CR161" s="67"/>
      <c r="CS161" s="67"/>
      <c r="CT161" s="67"/>
      <c r="CU161" s="67"/>
      <c r="CV161" s="67"/>
      <c r="CW161" s="67"/>
      <c r="CX161" s="67"/>
      <c r="CY161" s="67"/>
      <c r="CZ161" s="67"/>
      <c r="DA161" s="67"/>
      <c r="DB161" s="67"/>
      <c r="DC161" s="67"/>
      <c r="DD161" s="67"/>
      <c r="DE161" s="67"/>
      <c r="DF161" s="67"/>
      <c r="DG161" s="67"/>
      <c r="DH161" s="67"/>
      <c r="DI161" s="67"/>
      <c r="DJ161" s="67"/>
    </row>
    <row r="162" spans="5:114" x14ac:dyDescent="0.2">
      <c r="E162" s="67"/>
      <c r="G162" s="67"/>
      <c r="H162" s="67"/>
      <c r="I162" s="67"/>
      <c r="J162" s="67"/>
      <c r="K162" s="67"/>
      <c r="L162" s="67"/>
      <c r="M162" s="67"/>
      <c r="N162" s="67"/>
      <c r="O162" s="67"/>
      <c r="P162" s="67"/>
      <c r="Q162" s="67"/>
      <c r="R162" s="67"/>
      <c r="S162" s="67"/>
      <c r="T162" s="67"/>
      <c r="U162" s="67"/>
      <c r="V162" s="67"/>
      <c r="W162" s="67"/>
      <c r="X162" s="67"/>
      <c r="Y162" s="67"/>
      <c r="Z162" s="67"/>
      <c r="AA162" s="67"/>
      <c r="AB162" s="67"/>
      <c r="AC162" s="67"/>
      <c r="AD162" s="67"/>
      <c r="AE162" s="67"/>
      <c r="AF162" s="67"/>
      <c r="AG162" s="67"/>
      <c r="AH162" s="67"/>
      <c r="AI162" s="67"/>
      <c r="AJ162" s="67"/>
      <c r="AK162" s="67"/>
      <c r="AL162" s="67"/>
      <c r="AM162" s="67"/>
      <c r="AN162" s="67"/>
      <c r="AO162" s="67"/>
      <c r="AP162" s="67"/>
      <c r="AQ162" s="67"/>
      <c r="AR162" s="67"/>
      <c r="AS162" s="67"/>
      <c r="AT162" s="67"/>
      <c r="AU162" s="67"/>
      <c r="AV162" s="67"/>
      <c r="AW162" s="67"/>
      <c r="AX162" s="67"/>
      <c r="AY162" s="67"/>
      <c r="AZ162" s="67"/>
      <c r="BA162" s="67"/>
      <c r="BB162" s="67"/>
      <c r="BC162" s="67"/>
      <c r="BD162" s="67"/>
      <c r="BE162" s="67"/>
      <c r="BF162" s="67"/>
      <c r="BG162" s="67"/>
      <c r="BH162" s="70"/>
      <c r="BJ162" s="67"/>
      <c r="BK162" s="67"/>
      <c r="BL162" s="67"/>
      <c r="BM162" s="67"/>
      <c r="BN162" s="67"/>
      <c r="BO162" s="67"/>
      <c r="BP162" s="67"/>
      <c r="BQ162" s="67"/>
      <c r="BR162" s="67"/>
      <c r="BS162" s="67"/>
      <c r="BT162" s="67"/>
      <c r="BU162" s="67"/>
      <c r="BV162" s="67"/>
      <c r="BW162" s="67"/>
      <c r="BX162" s="67"/>
      <c r="BY162" s="67"/>
      <c r="BZ162" s="67"/>
      <c r="CA162" s="67"/>
      <c r="CB162" s="67"/>
      <c r="CC162" s="67"/>
      <c r="CD162" s="67"/>
      <c r="CE162" s="67"/>
      <c r="CF162" s="67"/>
      <c r="CG162" s="67"/>
      <c r="CH162" s="67"/>
      <c r="CI162" s="67"/>
      <c r="CJ162" s="67"/>
      <c r="CK162" s="67"/>
      <c r="CL162" s="67"/>
      <c r="CM162" s="67"/>
      <c r="CN162" s="67"/>
      <c r="CO162" s="67"/>
      <c r="CP162" s="67"/>
      <c r="CQ162" s="67"/>
      <c r="CR162" s="67"/>
      <c r="CS162" s="67"/>
      <c r="CT162" s="67"/>
      <c r="CU162" s="67"/>
      <c r="CV162" s="67"/>
      <c r="CW162" s="67"/>
      <c r="CX162" s="67"/>
      <c r="CY162" s="67"/>
      <c r="CZ162" s="67"/>
      <c r="DA162" s="67"/>
      <c r="DB162" s="67"/>
      <c r="DC162" s="67"/>
      <c r="DD162" s="67"/>
      <c r="DE162" s="67"/>
      <c r="DF162" s="67"/>
      <c r="DG162" s="67"/>
      <c r="DH162" s="67"/>
      <c r="DI162" s="67"/>
      <c r="DJ162" s="67"/>
    </row>
    <row r="163" spans="5:114" x14ac:dyDescent="0.2">
      <c r="E163" s="67"/>
      <c r="G163" s="67"/>
      <c r="H163" s="67"/>
      <c r="I163" s="67"/>
      <c r="J163" s="67"/>
      <c r="K163" s="67"/>
      <c r="L163" s="67"/>
      <c r="M163" s="67"/>
      <c r="N163" s="67"/>
      <c r="O163" s="67"/>
      <c r="P163" s="67"/>
      <c r="Q163" s="67"/>
      <c r="R163" s="67"/>
      <c r="S163" s="67"/>
      <c r="T163" s="67"/>
      <c r="U163" s="67"/>
      <c r="V163" s="67"/>
      <c r="W163" s="67"/>
      <c r="X163" s="67"/>
      <c r="Y163" s="67"/>
      <c r="Z163" s="67"/>
      <c r="AA163" s="67"/>
      <c r="AB163" s="67"/>
      <c r="AC163" s="67"/>
      <c r="AD163" s="67"/>
      <c r="AE163" s="67"/>
      <c r="AF163" s="67"/>
      <c r="AG163" s="67"/>
      <c r="AH163" s="67"/>
      <c r="AI163" s="67"/>
      <c r="AJ163" s="67"/>
      <c r="AK163" s="67"/>
      <c r="AL163" s="67"/>
      <c r="AM163" s="67"/>
      <c r="AN163" s="67"/>
      <c r="AO163" s="67"/>
      <c r="AP163" s="67"/>
      <c r="AQ163" s="67"/>
      <c r="AR163" s="67"/>
      <c r="AS163" s="67"/>
      <c r="AT163" s="67"/>
      <c r="AU163" s="67"/>
      <c r="AV163" s="67"/>
      <c r="AW163" s="67"/>
      <c r="AX163" s="67"/>
      <c r="AY163" s="67"/>
      <c r="AZ163" s="67"/>
      <c r="BA163" s="67"/>
      <c r="BB163" s="67"/>
      <c r="BC163" s="67"/>
      <c r="BD163" s="67"/>
      <c r="BE163" s="67"/>
      <c r="BF163" s="67"/>
      <c r="BG163" s="67"/>
      <c r="BH163" s="70"/>
      <c r="BJ163" s="67"/>
      <c r="BK163" s="67"/>
      <c r="BL163" s="67"/>
      <c r="BM163" s="67"/>
      <c r="BN163" s="67"/>
      <c r="BO163" s="67"/>
      <c r="BP163" s="67"/>
      <c r="BQ163" s="67"/>
      <c r="BR163" s="67"/>
      <c r="BS163" s="67"/>
      <c r="BT163" s="67"/>
      <c r="BU163" s="67"/>
      <c r="BV163" s="67"/>
      <c r="BW163" s="67"/>
      <c r="BX163" s="67"/>
      <c r="BY163" s="67"/>
      <c r="BZ163" s="67"/>
      <c r="CA163" s="67"/>
      <c r="CB163" s="67"/>
      <c r="CC163" s="67"/>
      <c r="CD163" s="67"/>
      <c r="CE163" s="67"/>
      <c r="CF163" s="67"/>
      <c r="CG163" s="67"/>
      <c r="CH163" s="67"/>
      <c r="CI163" s="67"/>
      <c r="CJ163" s="67"/>
      <c r="CK163" s="67"/>
      <c r="CL163" s="67"/>
      <c r="CM163" s="67"/>
      <c r="CN163" s="67"/>
      <c r="CO163" s="67"/>
      <c r="CP163" s="67"/>
      <c r="CQ163" s="67"/>
      <c r="CR163" s="67"/>
      <c r="CS163" s="67"/>
      <c r="CT163" s="67"/>
      <c r="CU163" s="67"/>
      <c r="CV163" s="67"/>
      <c r="CW163" s="67"/>
      <c r="CX163" s="67"/>
      <c r="CY163" s="67"/>
      <c r="CZ163" s="67"/>
      <c r="DA163" s="67"/>
      <c r="DB163" s="67"/>
      <c r="DC163" s="67"/>
      <c r="DD163" s="67"/>
      <c r="DE163" s="67"/>
      <c r="DF163" s="67"/>
      <c r="DG163" s="67"/>
      <c r="DH163" s="67"/>
      <c r="DI163" s="67"/>
      <c r="DJ163" s="67"/>
    </row>
    <row r="164" spans="5:114" x14ac:dyDescent="0.2">
      <c r="E164" s="67"/>
      <c r="G164" s="67"/>
      <c r="H164" s="67"/>
      <c r="I164" s="67"/>
      <c r="J164" s="67"/>
      <c r="K164" s="67"/>
      <c r="L164" s="67"/>
      <c r="M164" s="67"/>
      <c r="N164" s="67"/>
      <c r="O164" s="67"/>
      <c r="P164" s="67"/>
      <c r="Q164" s="67"/>
      <c r="R164" s="67"/>
      <c r="S164" s="67"/>
      <c r="T164" s="67"/>
      <c r="U164" s="67"/>
      <c r="V164" s="67"/>
      <c r="W164" s="67"/>
      <c r="X164" s="67"/>
      <c r="Y164" s="67"/>
      <c r="Z164" s="67"/>
      <c r="AA164" s="67"/>
      <c r="AB164" s="67"/>
      <c r="AC164" s="67"/>
      <c r="AD164" s="67"/>
      <c r="AE164" s="67"/>
      <c r="AF164" s="67"/>
      <c r="AG164" s="67"/>
      <c r="AH164" s="67"/>
      <c r="AI164" s="67"/>
      <c r="AJ164" s="67"/>
      <c r="AK164" s="67"/>
      <c r="AL164" s="67"/>
      <c r="AM164" s="67"/>
      <c r="AN164" s="67"/>
      <c r="AO164" s="67"/>
      <c r="AP164" s="67"/>
      <c r="AQ164" s="67"/>
      <c r="AR164" s="67"/>
      <c r="AS164" s="67"/>
      <c r="AT164" s="67"/>
      <c r="AU164" s="67"/>
      <c r="AV164" s="67"/>
      <c r="AW164" s="67"/>
      <c r="AX164" s="67"/>
      <c r="AY164" s="67"/>
      <c r="AZ164" s="67"/>
      <c r="BA164" s="67"/>
      <c r="BB164" s="67"/>
      <c r="BC164" s="67"/>
      <c r="BD164" s="67"/>
      <c r="BE164" s="67"/>
      <c r="BF164" s="67"/>
      <c r="BG164" s="67"/>
      <c r="BH164" s="70"/>
      <c r="BJ164" s="67"/>
      <c r="BK164" s="67"/>
      <c r="BL164" s="67"/>
      <c r="BM164" s="67"/>
      <c r="BN164" s="67"/>
      <c r="BO164" s="67"/>
      <c r="BP164" s="67"/>
      <c r="BQ164" s="67"/>
      <c r="BR164" s="67"/>
      <c r="BS164" s="67"/>
      <c r="BT164" s="67"/>
      <c r="BU164" s="67"/>
      <c r="BV164" s="67"/>
      <c r="BW164" s="67"/>
      <c r="BX164" s="67"/>
      <c r="BY164" s="67"/>
      <c r="BZ164" s="67"/>
      <c r="CA164" s="67"/>
      <c r="CB164" s="67"/>
      <c r="CC164" s="67"/>
      <c r="CD164" s="67"/>
      <c r="CE164" s="67"/>
      <c r="CF164" s="67"/>
      <c r="CG164" s="67"/>
      <c r="CH164" s="67"/>
      <c r="CI164" s="67"/>
      <c r="CJ164" s="67"/>
      <c r="CK164" s="67"/>
      <c r="CL164" s="67"/>
      <c r="CM164" s="67"/>
      <c r="CN164" s="67"/>
      <c r="CO164" s="67"/>
      <c r="CP164" s="67"/>
      <c r="CQ164" s="67"/>
      <c r="CR164" s="67"/>
      <c r="CS164" s="67"/>
      <c r="CT164" s="67"/>
      <c r="CU164" s="67"/>
      <c r="CV164" s="67"/>
      <c r="CW164" s="67"/>
      <c r="CX164" s="67"/>
      <c r="CY164" s="67"/>
      <c r="CZ164" s="67"/>
      <c r="DA164" s="67"/>
      <c r="DB164" s="67"/>
      <c r="DC164" s="67"/>
      <c r="DD164" s="67"/>
      <c r="DE164" s="67"/>
      <c r="DF164" s="67"/>
      <c r="DG164" s="67"/>
      <c r="DH164" s="67"/>
      <c r="DI164" s="67"/>
      <c r="DJ164" s="67"/>
    </row>
    <row r="165" spans="5:114" x14ac:dyDescent="0.2">
      <c r="E165" s="67"/>
      <c r="G165" s="67"/>
      <c r="H165" s="67"/>
      <c r="I165" s="67"/>
      <c r="J165" s="67"/>
      <c r="K165" s="67"/>
      <c r="L165" s="67"/>
      <c r="M165" s="67"/>
      <c r="N165" s="67"/>
      <c r="O165" s="67"/>
      <c r="P165" s="67"/>
      <c r="Q165" s="67"/>
      <c r="R165" s="67"/>
      <c r="S165" s="67"/>
      <c r="T165" s="67"/>
      <c r="U165" s="67"/>
      <c r="V165" s="67"/>
      <c r="W165" s="67"/>
      <c r="X165" s="67"/>
      <c r="Y165" s="67"/>
      <c r="Z165" s="67"/>
      <c r="AA165" s="67"/>
      <c r="AB165" s="67"/>
      <c r="AC165" s="67"/>
      <c r="AD165" s="67"/>
      <c r="AE165" s="67"/>
      <c r="AF165" s="67"/>
      <c r="AG165" s="67"/>
      <c r="AH165" s="67"/>
      <c r="AI165" s="67"/>
      <c r="AJ165" s="67"/>
      <c r="AK165" s="67"/>
      <c r="AL165" s="67"/>
      <c r="AM165" s="67"/>
      <c r="AN165" s="67"/>
      <c r="AO165" s="67"/>
      <c r="AP165" s="67"/>
      <c r="AQ165" s="67"/>
      <c r="AR165" s="67"/>
      <c r="AS165" s="67"/>
      <c r="AT165" s="67"/>
      <c r="AU165" s="67"/>
      <c r="AV165" s="67"/>
      <c r="AW165" s="67"/>
      <c r="AX165" s="67"/>
      <c r="AY165" s="67"/>
      <c r="AZ165" s="67"/>
      <c r="BA165" s="67"/>
      <c r="BB165" s="67"/>
      <c r="BC165" s="67"/>
      <c r="BD165" s="67"/>
      <c r="BE165" s="67"/>
      <c r="BF165" s="67"/>
      <c r="BG165" s="67"/>
      <c r="BH165" s="70"/>
      <c r="BJ165" s="67"/>
      <c r="BK165" s="67"/>
      <c r="BL165" s="67"/>
      <c r="BM165" s="67"/>
      <c r="BN165" s="67"/>
      <c r="BO165" s="67"/>
      <c r="BP165" s="67"/>
      <c r="BQ165" s="67"/>
      <c r="BR165" s="67"/>
      <c r="BS165" s="67"/>
      <c r="BT165" s="67"/>
      <c r="BU165" s="67"/>
      <c r="BV165" s="67"/>
      <c r="BW165" s="67"/>
      <c r="BX165" s="67"/>
      <c r="BY165" s="67"/>
      <c r="BZ165" s="67"/>
      <c r="CA165" s="67"/>
      <c r="CB165" s="67"/>
      <c r="CC165" s="67"/>
      <c r="CD165" s="67"/>
      <c r="CE165" s="67"/>
      <c r="CF165" s="67"/>
      <c r="CG165" s="67"/>
      <c r="CH165" s="67"/>
      <c r="CI165" s="67"/>
      <c r="CJ165" s="67"/>
      <c r="CK165" s="67"/>
      <c r="CL165" s="67"/>
      <c r="CM165" s="67"/>
      <c r="CN165" s="67"/>
      <c r="CO165" s="67"/>
      <c r="CP165" s="67"/>
      <c r="CQ165" s="67"/>
      <c r="CR165" s="67"/>
      <c r="CS165" s="67"/>
      <c r="CT165" s="67"/>
      <c r="CU165" s="67"/>
      <c r="CV165" s="67"/>
      <c r="CW165" s="67"/>
      <c r="CX165" s="67"/>
      <c r="CY165" s="67"/>
      <c r="CZ165" s="67"/>
      <c r="DA165" s="67"/>
      <c r="DB165" s="67"/>
      <c r="DC165" s="67"/>
      <c r="DD165" s="67"/>
      <c r="DE165" s="67"/>
      <c r="DF165" s="67"/>
      <c r="DG165" s="67"/>
      <c r="DH165" s="67"/>
      <c r="DI165" s="67"/>
      <c r="DJ165" s="67"/>
    </row>
    <row r="166" spans="5:114" x14ac:dyDescent="0.2">
      <c r="E166" s="67"/>
      <c r="G166" s="67"/>
      <c r="H166" s="67"/>
      <c r="I166" s="67"/>
      <c r="J166" s="67"/>
      <c r="K166" s="67"/>
      <c r="L166" s="67"/>
      <c r="M166" s="67"/>
      <c r="N166" s="67"/>
      <c r="O166" s="67"/>
      <c r="P166" s="67"/>
      <c r="Q166" s="67"/>
      <c r="R166" s="67"/>
      <c r="S166" s="67"/>
      <c r="T166" s="67"/>
      <c r="U166" s="67"/>
      <c r="V166" s="67"/>
      <c r="W166" s="67"/>
      <c r="X166" s="67"/>
      <c r="Y166" s="67"/>
      <c r="Z166" s="67"/>
      <c r="AA166" s="67"/>
      <c r="AB166" s="67"/>
      <c r="AC166" s="67"/>
      <c r="AD166" s="67"/>
      <c r="AE166" s="67"/>
      <c r="AF166" s="67"/>
      <c r="AG166" s="67"/>
      <c r="AH166" s="67"/>
      <c r="AI166" s="67"/>
      <c r="AJ166" s="67"/>
      <c r="AK166" s="67"/>
      <c r="AL166" s="67"/>
      <c r="AM166" s="67"/>
      <c r="AN166" s="67"/>
      <c r="AO166" s="67"/>
      <c r="AP166" s="67"/>
      <c r="AQ166" s="67"/>
      <c r="AR166" s="67"/>
      <c r="AS166" s="67"/>
      <c r="AT166" s="67"/>
      <c r="AU166" s="67"/>
      <c r="AV166" s="67"/>
      <c r="AW166" s="67"/>
      <c r="AX166" s="67"/>
      <c r="AY166" s="67"/>
      <c r="AZ166" s="67"/>
      <c r="BA166" s="67"/>
      <c r="BB166" s="67"/>
      <c r="BC166" s="67"/>
      <c r="BD166" s="67"/>
      <c r="BE166" s="67"/>
      <c r="BF166" s="67"/>
      <c r="BG166" s="67"/>
      <c r="BH166" s="70"/>
      <c r="BJ166" s="67"/>
      <c r="BK166" s="67"/>
      <c r="BL166" s="67"/>
      <c r="BM166" s="67"/>
      <c r="BN166" s="67"/>
      <c r="BO166" s="67"/>
      <c r="BP166" s="67"/>
      <c r="BQ166" s="67"/>
      <c r="BR166" s="67"/>
      <c r="BS166" s="67"/>
      <c r="BT166" s="67"/>
      <c r="BU166" s="67"/>
      <c r="BV166" s="67"/>
      <c r="BW166" s="67"/>
      <c r="BX166" s="67"/>
      <c r="BY166" s="67"/>
      <c r="BZ166" s="67"/>
      <c r="CA166" s="67"/>
      <c r="CB166" s="67"/>
      <c r="CC166" s="67"/>
      <c r="CD166" s="67"/>
      <c r="CE166" s="67"/>
      <c r="CF166" s="67"/>
      <c r="CG166" s="67"/>
      <c r="CH166" s="67"/>
      <c r="CI166" s="67"/>
      <c r="CJ166" s="67"/>
      <c r="CK166" s="67"/>
      <c r="CL166" s="67"/>
      <c r="CM166" s="67"/>
      <c r="CN166" s="67"/>
      <c r="CO166" s="67"/>
      <c r="CP166" s="67"/>
      <c r="CQ166" s="67"/>
      <c r="CR166" s="67"/>
      <c r="CS166" s="67"/>
      <c r="CT166" s="67"/>
      <c r="CU166" s="67"/>
      <c r="CV166" s="67"/>
      <c r="CW166" s="67"/>
      <c r="CX166" s="67"/>
      <c r="CY166" s="67"/>
      <c r="CZ166" s="67"/>
      <c r="DA166" s="67"/>
      <c r="DB166" s="67"/>
      <c r="DC166" s="67"/>
      <c r="DD166" s="67"/>
      <c r="DE166" s="67"/>
      <c r="DF166" s="67"/>
      <c r="DG166" s="67"/>
      <c r="DH166" s="67"/>
      <c r="DI166" s="67"/>
      <c r="DJ166" s="67"/>
    </row>
    <row r="167" spans="5:114" x14ac:dyDescent="0.2">
      <c r="E167" s="67"/>
      <c r="G167" s="67"/>
      <c r="H167" s="67"/>
      <c r="I167" s="67"/>
      <c r="J167" s="67"/>
      <c r="K167" s="67"/>
      <c r="L167" s="67"/>
      <c r="M167" s="67"/>
      <c r="N167" s="67"/>
      <c r="O167" s="67"/>
      <c r="P167" s="67"/>
      <c r="Q167" s="67"/>
      <c r="R167" s="67"/>
      <c r="S167" s="67"/>
      <c r="T167" s="67"/>
      <c r="U167" s="67"/>
      <c r="V167" s="67"/>
      <c r="W167" s="67"/>
      <c r="X167" s="67"/>
      <c r="Y167" s="67"/>
      <c r="Z167" s="67"/>
      <c r="AA167" s="67"/>
      <c r="AB167" s="67"/>
      <c r="AC167" s="67"/>
      <c r="AD167" s="67"/>
      <c r="AE167" s="67"/>
      <c r="AF167" s="67"/>
      <c r="AG167" s="67"/>
      <c r="AH167" s="67"/>
      <c r="AI167" s="67"/>
      <c r="AJ167" s="67"/>
      <c r="AK167" s="67"/>
      <c r="AL167" s="67"/>
      <c r="AM167" s="67"/>
      <c r="AN167" s="67"/>
      <c r="AO167" s="67"/>
      <c r="AP167" s="67"/>
      <c r="AQ167" s="67"/>
      <c r="AR167" s="67"/>
      <c r="AS167" s="67"/>
      <c r="AT167" s="67"/>
      <c r="AU167" s="67"/>
      <c r="AV167" s="67"/>
      <c r="AW167" s="67"/>
      <c r="AX167" s="67"/>
      <c r="AY167" s="67"/>
      <c r="AZ167" s="67"/>
      <c r="BA167" s="67"/>
      <c r="BB167" s="67"/>
      <c r="BC167" s="67"/>
      <c r="BD167" s="67"/>
      <c r="BE167" s="67"/>
      <c r="BF167" s="67"/>
      <c r="BG167" s="67"/>
      <c r="BH167" s="70"/>
      <c r="BJ167" s="67"/>
      <c r="BK167" s="67"/>
      <c r="BL167" s="67"/>
      <c r="BM167" s="67"/>
      <c r="BN167" s="67"/>
      <c r="BO167" s="67"/>
      <c r="BP167" s="67"/>
      <c r="BQ167" s="67"/>
      <c r="BR167" s="67"/>
      <c r="BS167" s="67"/>
      <c r="BT167" s="67"/>
      <c r="BU167" s="67"/>
      <c r="BV167" s="67"/>
      <c r="BW167" s="67"/>
      <c r="BX167" s="67"/>
      <c r="BY167" s="67"/>
      <c r="BZ167" s="67"/>
      <c r="CA167" s="67"/>
      <c r="CB167" s="67"/>
      <c r="CC167" s="67"/>
      <c r="CD167" s="67"/>
      <c r="CE167" s="67"/>
      <c r="CF167" s="67"/>
      <c r="CG167" s="67"/>
      <c r="CH167" s="67"/>
      <c r="CI167" s="67"/>
      <c r="CJ167" s="67"/>
      <c r="CK167" s="67"/>
      <c r="CL167" s="67"/>
      <c r="CM167" s="67"/>
      <c r="CN167" s="67"/>
      <c r="CO167" s="67"/>
      <c r="CP167" s="67"/>
      <c r="CQ167" s="67"/>
      <c r="CR167" s="67"/>
      <c r="CS167" s="67"/>
      <c r="CT167" s="67"/>
      <c r="CU167" s="67"/>
      <c r="CV167" s="67"/>
      <c r="CW167" s="67"/>
      <c r="CX167" s="67"/>
      <c r="CY167" s="67"/>
      <c r="CZ167" s="67"/>
      <c r="DA167" s="67"/>
      <c r="DB167" s="67"/>
      <c r="DC167" s="67"/>
      <c r="DD167" s="67"/>
      <c r="DE167" s="67"/>
      <c r="DF167" s="67"/>
      <c r="DG167" s="67"/>
      <c r="DH167" s="67"/>
      <c r="DI167" s="67"/>
      <c r="DJ167" s="67"/>
    </row>
    <row r="168" spans="5:114" x14ac:dyDescent="0.2">
      <c r="E168" s="67"/>
      <c r="G168" s="67"/>
      <c r="H168" s="67"/>
      <c r="I168" s="67"/>
      <c r="J168" s="67"/>
      <c r="K168" s="67"/>
      <c r="L168" s="67"/>
      <c r="M168" s="67"/>
      <c r="N168" s="67"/>
      <c r="O168" s="67"/>
      <c r="P168" s="67"/>
      <c r="Q168" s="67"/>
      <c r="R168" s="67"/>
      <c r="S168" s="67"/>
      <c r="T168" s="67"/>
      <c r="U168" s="67"/>
      <c r="V168" s="67"/>
      <c r="W168" s="67"/>
      <c r="X168" s="67"/>
      <c r="Y168" s="67"/>
      <c r="Z168" s="67"/>
      <c r="AA168" s="67"/>
      <c r="AB168" s="67"/>
      <c r="AC168" s="67"/>
      <c r="AD168" s="67"/>
      <c r="AE168" s="67"/>
      <c r="AF168" s="67"/>
      <c r="AG168" s="67"/>
      <c r="AH168" s="67"/>
      <c r="AI168" s="67"/>
      <c r="AJ168" s="67"/>
      <c r="AK168" s="67"/>
      <c r="AL168" s="67"/>
      <c r="AM168" s="67"/>
      <c r="AN168" s="67"/>
      <c r="AO168" s="67"/>
      <c r="AP168" s="67"/>
      <c r="AQ168" s="67"/>
      <c r="AR168" s="67"/>
      <c r="AS168" s="67"/>
      <c r="AT168" s="67"/>
      <c r="AU168" s="67"/>
      <c r="AV168" s="67"/>
      <c r="AW168" s="67"/>
      <c r="AX168" s="67"/>
      <c r="AY168" s="67"/>
      <c r="AZ168" s="67"/>
      <c r="BA168" s="67"/>
      <c r="BB168" s="67"/>
      <c r="BC168" s="67"/>
      <c r="BD168" s="67"/>
      <c r="BE168" s="67"/>
      <c r="BF168" s="67"/>
      <c r="BG168" s="67"/>
      <c r="BH168" s="70"/>
      <c r="BJ168" s="67"/>
      <c r="BK168" s="67"/>
      <c r="BL168" s="67"/>
      <c r="BM168" s="67"/>
      <c r="BN168" s="67"/>
      <c r="BO168" s="67"/>
      <c r="BP168" s="67"/>
      <c r="BQ168" s="67"/>
      <c r="BR168" s="67"/>
      <c r="BS168" s="67"/>
      <c r="BT168" s="67"/>
      <c r="BU168" s="67"/>
      <c r="BV168" s="67"/>
      <c r="BW168" s="67"/>
      <c r="BX168" s="67"/>
      <c r="BY168" s="67"/>
      <c r="BZ168" s="67"/>
      <c r="CA168" s="67"/>
      <c r="CB168" s="67"/>
      <c r="CC168" s="67"/>
      <c r="CD168" s="67"/>
      <c r="CE168" s="67"/>
      <c r="CF168" s="67"/>
      <c r="CG168" s="67"/>
      <c r="CH168" s="67"/>
      <c r="CI168" s="67"/>
      <c r="CJ168" s="67"/>
      <c r="CK168" s="67"/>
      <c r="CL168" s="67"/>
      <c r="CM168" s="67"/>
      <c r="CN168" s="67"/>
      <c r="CO168" s="67"/>
      <c r="CP168" s="67"/>
      <c r="CQ168" s="67"/>
      <c r="CR168" s="67"/>
      <c r="CS168" s="67"/>
      <c r="CT168" s="67"/>
      <c r="CU168" s="67"/>
      <c r="CV168" s="67"/>
      <c r="CW168" s="67"/>
      <c r="CX168" s="67"/>
      <c r="CY168" s="67"/>
      <c r="CZ168" s="67"/>
      <c r="DA168" s="67"/>
      <c r="DB168" s="67"/>
      <c r="DC168" s="67"/>
      <c r="DD168" s="67"/>
      <c r="DE168" s="67"/>
      <c r="DF168" s="67"/>
      <c r="DG168" s="67"/>
      <c r="DH168" s="67"/>
      <c r="DI168" s="67"/>
      <c r="DJ168" s="67"/>
    </row>
    <row r="169" spans="5:114" x14ac:dyDescent="0.2">
      <c r="E169" s="67"/>
      <c r="G169" s="67"/>
      <c r="H169" s="67"/>
      <c r="I169" s="67"/>
      <c r="J169" s="67"/>
      <c r="K169" s="67"/>
      <c r="L169" s="67"/>
      <c r="M169" s="67"/>
      <c r="N169" s="67"/>
      <c r="O169" s="67"/>
      <c r="P169" s="67"/>
      <c r="Q169" s="67"/>
      <c r="R169" s="67"/>
      <c r="S169" s="67"/>
      <c r="T169" s="67"/>
      <c r="U169" s="67"/>
      <c r="V169" s="67"/>
      <c r="W169" s="67"/>
      <c r="X169" s="67"/>
      <c r="Y169" s="67"/>
      <c r="Z169" s="67"/>
      <c r="AA169" s="67"/>
      <c r="AB169" s="67"/>
      <c r="AC169" s="67"/>
      <c r="AD169" s="67"/>
      <c r="AE169" s="67"/>
      <c r="AF169" s="67"/>
      <c r="AG169" s="67"/>
      <c r="AH169" s="67"/>
      <c r="AI169" s="67"/>
      <c r="AJ169" s="67"/>
      <c r="AK169" s="67"/>
      <c r="AL169" s="67"/>
      <c r="AM169" s="67"/>
      <c r="AN169" s="67"/>
      <c r="AO169" s="67"/>
      <c r="AP169" s="67"/>
      <c r="AQ169" s="67"/>
      <c r="AR169" s="67"/>
      <c r="AS169" s="67"/>
      <c r="AT169" s="67"/>
      <c r="AU169" s="67"/>
      <c r="AV169" s="67"/>
      <c r="AW169" s="67"/>
      <c r="AX169" s="67"/>
      <c r="AY169" s="67"/>
      <c r="AZ169" s="67"/>
      <c r="BA169" s="67"/>
      <c r="BB169" s="67"/>
      <c r="BC169" s="67"/>
      <c r="BD169" s="67"/>
      <c r="BE169" s="67"/>
      <c r="BF169" s="67"/>
      <c r="BG169" s="67"/>
      <c r="BH169" s="70"/>
      <c r="BJ169" s="67"/>
      <c r="BK169" s="67"/>
      <c r="BL169" s="67"/>
      <c r="BM169" s="67"/>
      <c r="BN169" s="67"/>
      <c r="BO169" s="67"/>
      <c r="BP169" s="67"/>
      <c r="BQ169" s="67"/>
      <c r="BR169" s="67"/>
      <c r="BS169" s="67"/>
      <c r="BT169" s="67"/>
      <c r="BU169" s="67"/>
      <c r="BV169" s="67"/>
      <c r="BW169" s="67"/>
      <c r="BX169" s="67"/>
      <c r="BY169" s="67"/>
      <c r="BZ169" s="67"/>
      <c r="CA169" s="67"/>
      <c r="CB169" s="67"/>
      <c r="CC169" s="67"/>
      <c r="CD169" s="67"/>
      <c r="CE169" s="67"/>
      <c r="CF169" s="67"/>
      <c r="CG169" s="67"/>
      <c r="CH169" s="67"/>
      <c r="CI169" s="67"/>
      <c r="CJ169" s="67"/>
      <c r="CK169" s="67"/>
      <c r="CL169" s="67"/>
      <c r="CM169" s="67"/>
      <c r="CN169" s="67"/>
      <c r="CO169" s="67"/>
      <c r="CP169" s="67"/>
      <c r="CQ169" s="67"/>
      <c r="CR169" s="67"/>
      <c r="CS169" s="67"/>
      <c r="CT169" s="67"/>
      <c r="CU169" s="67"/>
      <c r="CV169" s="67"/>
      <c r="CW169" s="67"/>
      <c r="CX169" s="67"/>
      <c r="CY169" s="67"/>
      <c r="CZ169" s="67"/>
      <c r="DA169" s="67"/>
      <c r="DB169" s="67"/>
      <c r="DC169" s="67"/>
      <c r="DD169" s="67"/>
      <c r="DE169" s="67"/>
      <c r="DF169" s="67"/>
      <c r="DG169" s="67"/>
      <c r="DH169" s="67"/>
      <c r="DI169" s="67"/>
      <c r="DJ169" s="67"/>
    </row>
    <row r="170" spans="5:114" x14ac:dyDescent="0.2">
      <c r="E170" s="67"/>
      <c r="G170" s="67"/>
      <c r="H170" s="67"/>
      <c r="I170" s="67"/>
      <c r="J170" s="67"/>
      <c r="K170" s="67"/>
      <c r="L170" s="67"/>
      <c r="M170" s="67"/>
      <c r="N170" s="67"/>
      <c r="O170" s="67"/>
      <c r="P170" s="67"/>
      <c r="Q170" s="67"/>
      <c r="R170" s="67"/>
      <c r="S170" s="67"/>
      <c r="T170" s="67"/>
      <c r="U170" s="67"/>
      <c r="V170" s="67"/>
      <c r="W170" s="67"/>
      <c r="X170" s="67"/>
      <c r="Y170" s="67"/>
      <c r="Z170" s="67"/>
      <c r="AA170" s="67"/>
      <c r="AB170" s="67"/>
      <c r="AC170" s="67"/>
      <c r="AD170" s="67"/>
      <c r="AE170" s="67"/>
      <c r="AF170" s="67"/>
      <c r="AG170" s="67"/>
      <c r="AH170" s="67"/>
      <c r="AI170" s="67"/>
      <c r="AJ170" s="67"/>
      <c r="AK170" s="67"/>
      <c r="AL170" s="67"/>
      <c r="AM170" s="67"/>
      <c r="AN170" s="67"/>
      <c r="AO170" s="67"/>
      <c r="AP170" s="67"/>
      <c r="AQ170" s="67"/>
      <c r="AR170" s="67"/>
      <c r="AS170" s="67"/>
      <c r="AT170" s="67"/>
      <c r="AU170" s="67"/>
      <c r="AV170" s="67"/>
      <c r="AW170" s="67"/>
      <c r="AX170" s="67"/>
      <c r="AY170" s="67"/>
      <c r="AZ170" s="67"/>
      <c r="BA170" s="67"/>
      <c r="BB170" s="67"/>
      <c r="BC170" s="67"/>
      <c r="BD170" s="67"/>
      <c r="BE170" s="67"/>
      <c r="BF170" s="67"/>
      <c r="BG170" s="67"/>
      <c r="BH170" s="70"/>
      <c r="BJ170" s="67"/>
      <c r="BK170" s="67"/>
      <c r="BL170" s="67"/>
      <c r="BM170" s="67"/>
      <c r="BN170" s="67"/>
      <c r="BO170" s="67"/>
      <c r="BP170" s="67"/>
      <c r="BQ170" s="67"/>
      <c r="BR170" s="67"/>
      <c r="BS170" s="67"/>
      <c r="BT170" s="67"/>
      <c r="BU170" s="67"/>
      <c r="BV170" s="67"/>
      <c r="BW170" s="67"/>
      <c r="BX170" s="67"/>
      <c r="BY170" s="67"/>
      <c r="BZ170" s="67"/>
      <c r="CA170" s="67"/>
      <c r="CB170" s="67"/>
      <c r="CC170" s="67"/>
      <c r="CD170" s="67"/>
      <c r="CE170" s="67"/>
      <c r="CF170" s="67"/>
      <c r="CG170" s="67"/>
      <c r="CH170" s="67"/>
      <c r="CI170" s="67"/>
      <c r="CJ170" s="67"/>
      <c r="CK170" s="67"/>
      <c r="CL170" s="67"/>
      <c r="CM170" s="67"/>
      <c r="CN170" s="67"/>
      <c r="CO170" s="67"/>
      <c r="CP170" s="67"/>
      <c r="CQ170" s="67"/>
      <c r="CR170" s="67"/>
      <c r="CS170" s="67"/>
      <c r="CT170" s="67"/>
      <c r="CU170" s="67"/>
      <c r="CV170" s="67"/>
      <c r="CW170" s="67"/>
      <c r="CX170" s="67"/>
      <c r="CY170" s="67"/>
      <c r="CZ170" s="67"/>
      <c r="DA170" s="67"/>
      <c r="DB170" s="67"/>
      <c r="DC170" s="67"/>
      <c r="DD170" s="67"/>
      <c r="DE170" s="67"/>
      <c r="DF170" s="67"/>
      <c r="DG170" s="67"/>
      <c r="DH170" s="67"/>
      <c r="DI170" s="67"/>
      <c r="DJ170" s="67"/>
    </row>
    <row r="171" spans="5:114" x14ac:dyDescent="0.2">
      <c r="E171" s="67"/>
      <c r="G171" s="67"/>
      <c r="H171" s="67"/>
      <c r="I171" s="67"/>
      <c r="J171" s="67"/>
      <c r="K171" s="67"/>
      <c r="L171" s="67"/>
      <c r="M171" s="67"/>
      <c r="N171" s="67"/>
      <c r="O171" s="67"/>
      <c r="P171" s="67"/>
      <c r="Q171" s="67"/>
      <c r="R171" s="67"/>
      <c r="S171" s="67"/>
      <c r="T171" s="67"/>
      <c r="U171" s="67"/>
      <c r="V171" s="67"/>
      <c r="W171" s="67"/>
      <c r="X171" s="67"/>
      <c r="Y171" s="67"/>
      <c r="Z171" s="67"/>
      <c r="AA171" s="67"/>
      <c r="AB171" s="67"/>
      <c r="AC171" s="67"/>
      <c r="AD171" s="67"/>
      <c r="AE171" s="67"/>
      <c r="AF171" s="67"/>
      <c r="AG171" s="67"/>
      <c r="AH171" s="67"/>
      <c r="AI171" s="67"/>
      <c r="AJ171" s="67"/>
      <c r="AK171" s="67"/>
      <c r="AL171" s="67"/>
      <c r="AM171" s="67"/>
      <c r="AN171" s="67"/>
      <c r="AO171" s="67"/>
      <c r="AP171" s="67"/>
      <c r="AQ171" s="67"/>
      <c r="AR171" s="67"/>
      <c r="AS171" s="67"/>
      <c r="AT171" s="67"/>
      <c r="AU171" s="67"/>
      <c r="AV171" s="67"/>
      <c r="AW171" s="67"/>
      <c r="AX171" s="67"/>
      <c r="AY171" s="67"/>
      <c r="AZ171" s="67"/>
      <c r="BA171" s="67"/>
      <c r="BB171" s="67"/>
      <c r="BC171" s="67"/>
      <c r="BD171" s="67"/>
      <c r="BE171" s="67"/>
      <c r="BF171" s="67"/>
      <c r="BG171" s="67"/>
      <c r="BH171" s="70"/>
      <c r="BJ171" s="67"/>
      <c r="BK171" s="67"/>
      <c r="BL171" s="67"/>
      <c r="BM171" s="67"/>
      <c r="BN171" s="67"/>
      <c r="BO171" s="67"/>
      <c r="BP171" s="67"/>
      <c r="BQ171" s="67"/>
      <c r="BR171" s="67"/>
      <c r="BS171" s="67"/>
      <c r="BT171" s="67"/>
      <c r="BU171" s="67"/>
      <c r="BV171" s="67"/>
      <c r="BW171" s="67"/>
      <c r="BX171" s="67"/>
      <c r="BY171" s="67"/>
      <c r="BZ171" s="67"/>
      <c r="CA171" s="67"/>
      <c r="CB171" s="67"/>
      <c r="CC171" s="67"/>
      <c r="CD171" s="67"/>
      <c r="CE171" s="67"/>
      <c r="CF171" s="67"/>
      <c r="CG171" s="67"/>
      <c r="CH171" s="67"/>
      <c r="CI171" s="67"/>
      <c r="CJ171" s="67"/>
      <c r="CK171" s="67"/>
      <c r="CL171" s="67"/>
      <c r="CM171" s="67"/>
      <c r="CN171" s="67"/>
      <c r="CO171" s="67"/>
      <c r="CP171" s="67"/>
      <c r="CQ171" s="67"/>
      <c r="CR171" s="67"/>
      <c r="CS171" s="67"/>
      <c r="CT171" s="67"/>
      <c r="CU171" s="67"/>
      <c r="CV171" s="67"/>
      <c r="CW171" s="67"/>
      <c r="CX171" s="67"/>
      <c r="CY171" s="67"/>
      <c r="CZ171" s="67"/>
      <c r="DA171" s="67"/>
      <c r="DB171" s="67"/>
      <c r="DC171" s="67"/>
      <c r="DD171" s="67"/>
      <c r="DE171" s="67"/>
      <c r="DF171" s="67"/>
      <c r="DG171" s="67"/>
      <c r="DH171" s="67"/>
      <c r="DI171" s="67"/>
      <c r="DJ171" s="67"/>
    </row>
    <row r="172" spans="5:114" x14ac:dyDescent="0.2">
      <c r="E172" s="67"/>
      <c r="G172" s="67"/>
      <c r="H172" s="67"/>
      <c r="I172" s="67"/>
      <c r="J172" s="67"/>
      <c r="K172" s="67"/>
      <c r="L172" s="67"/>
      <c r="M172" s="67"/>
      <c r="N172" s="67"/>
      <c r="O172" s="67"/>
      <c r="P172" s="67"/>
      <c r="Q172" s="67"/>
      <c r="R172" s="67"/>
      <c r="S172" s="67"/>
      <c r="T172" s="67"/>
      <c r="U172" s="67"/>
      <c r="V172" s="67"/>
      <c r="W172" s="67"/>
      <c r="X172" s="67"/>
      <c r="Y172" s="67"/>
      <c r="Z172" s="67"/>
      <c r="AA172" s="67"/>
      <c r="AB172" s="67"/>
      <c r="AC172" s="67"/>
      <c r="AD172" s="67"/>
      <c r="AE172" s="67"/>
      <c r="AF172" s="67"/>
      <c r="AG172" s="67"/>
      <c r="AH172" s="67"/>
      <c r="AI172" s="67"/>
      <c r="AJ172" s="67"/>
      <c r="AK172" s="67"/>
      <c r="AL172" s="67"/>
      <c r="AM172" s="67"/>
      <c r="AN172" s="67"/>
      <c r="AO172" s="67"/>
      <c r="AP172" s="67"/>
      <c r="AQ172" s="67"/>
      <c r="AR172" s="67"/>
      <c r="AS172" s="67"/>
      <c r="AT172" s="67"/>
      <c r="AU172" s="67"/>
      <c r="AV172" s="67"/>
      <c r="AW172" s="67"/>
      <c r="AX172" s="67"/>
      <c r="AY172" s="67"/>
      <c r="AZ172" s="67"/>
      <c r="BA172" s="67"/>
      <c r="BB172" s="67"/>
      <c r="BC172" s="67"/>
      <c r="BD172" s="67"/>
      <c r="BE172" s="67"/>
      <c r="BF172" s="67"/>
      <c r="BG172" s="67"/>
      <c r="BH172" s="70"/>
      <c r="BJ172" s="67"/>
      <c r="BK172" s="67"/>
      <c r="BL172" s="67"/>
      <c r="BM172" s="67"/>
      <c r="BN172" s="67"/>
      <c r="BO172" s="67"/>
      <c r="BP172" s="67"/>
      <c r="BQ172" s="67"/>
      <c r="BR172" s="67"/>
      <c r="BS172" s="67"/>
      <c r="BT172" s="67"/>
      <c r="BU172" s="67"/>
      <c r="BV172" s="67"/>
      <c r="BW172" s="67"/>
      <c r="BX172" s="67"/>
      <c r="BY172" s="67"/>
      <c r="BZ172" s="67"/>
      <c r="CA172" s="67"/>
      <c r="CB172" s="67"/>
      <c r="CC172" s="67"/>
      <c r="CD172" s="67"/>
      <c r="CE172" s="67"/>
      <c r="CF172" s="67"/>
      <c r="CG172" s="67"/>
      <c r="CH172" s="67"/>
      <c r="CI172" s="67"/>
      <c r="CJ172" s="67"/>
      <c r="CK172" s="67"/>
      <c r="CL172" s="67"/>
      <c r="CM172" s="67"/>
      <c r="CN172" s="67"/>
      <c r="CO172" s="67"/>
      <c r="CP172" s="67"/>
      <c r="CQ172" s="67"/>
      <c r="CR172" s="67"/>
      <c r="CS172" s="67"/>
      <c r="CT172" s="67"/>
      <c r="CU172" s="67"/>
      <c r="CV172" s="67"/>
      <c r="CW172" s="67"/>
      <c r="CX172" s="67"/>
      <c r="CY172" s="67"/>
      <c r="CZ172" s="67"/>
      <c r="DA172" s="67"/>
      <c r="DB172" s="67"/>
      <c r="DC172" s="67"/>
      <c r="DD172" s="67"/>
      <c r="DE172" s="67"/>
      <c r="DF172" s="67"/>
      <c r="DG172" s="67"/>
      <c r="DH172" s="67"/>
      <c r="DI172" s="67"/>
      <c r="DJ172" s="67"/>
    </row>
  </sheetData>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election activeCell="C6" sqref="C6"/>
    </sheetView>
  </sheetViews>
  <sheetFormatPr defaultColWidth="9" defaultRowHeight="14.25" x14ac:dyDescent="0.2"/>
  <cols>
    <col min="1" max="1" width="0.75" style="67" customWidth="1"/>
    <col min="2" max="2" width="19.625" style="67" customWidth="1"/>
    <col min="3" max="4" width="10.125" style="67" customWidth="1"/>
    <col min="5" max="5" width="5.125" style="67" customWidth="1"/>
    <col min="6" max="18" width="2.25" style="67" customWidth="1"/>
    <col min="19" max="19" width="2" style="67" customWidth="1"/>
    <col min="20" max="43" width="2.25" style="67" customWidth="1"/>
    <col min="44" max="44" width="2" style="67" customWidth="1"/>
    <col min="45" max="57" width="2.25" style="67" customWidth="1"/>
    <col min="58" max="64" width="9" style="67" customWidth="1"/>
    <col min="65" max="16384" width="9" style="67"/>
  </cols>
  <sheetData>
    <row r="2" spans="2:62" ht="15" x14ac:dyDescent="0.25">
      <c r="B2" s="2" t="s">
        <v>510</v>
      </c>
    </row>
    <row r="3" spans="2:62" x14ac:dyDescent="0.2">
      <c r="C3" s="45"/>
      <c r="D3" s="45"/>
    </row>
    <row r="4" spans="2:62" x14ac:dyDescent="0.2">
      <c r="B4" s="67" t="s">
        <v>490</v>
      </c>
      <c r="C4" s="162" t="s">
        <v>21</v>
      </c>
      <c r="D4" s="45"/>
    </row>
    <row r="5" spans="2:62" x14ac:dyDescent="0.2">
      <c r="F5" s="79"/>
      <c r="G5" s="79"/>
      <c r="H5" s="79"/>
      <c r="I5" s="79"/>
      <c r="J5" s="79"/>
      <c r="K5" s="79"/>
      <c r="L5" s="79"/>
      <c r="M5" s="79"/>
      <c r="N5" s="79"/>
      <c r="O5" s="79"/>
      <c r="P5" s="79"/>
      <c r="Q5" s="79"/>
      <c r="R5" s="79"/>
      <c r="S5" s="79"/>
      <c r="T5" s="79"/>
      <c r="U5" s="79"/>
      <c r="V5" s="79"/>
      <c r="W5" s="79"/>
    </row>
    <row r="6" spans="2:62" ht="14.25" customHeight="1" x14ac:dyDescent="0.2">
      <c r="B6" s="67" t="s">
        <v>516</v>
      </c>
      <c r="C6" s="167"/>
      <c r="D6" s="127"/>
      <c r="E6" s="6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row>
    <row r="7" spans="2:62" x14ac:dyDescent="0.2">
      <c r="D7" s="127"/>
      <c r="E7" s="6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row>
    <row r="8" spans="2:62" ht="15" x14ac:dyDescent="0.25">
      <c r="B8" s="304" t="s">
        <v>1156</v>
      </c>
      <c r="C8" s="308" t="s">
        <v>22</v>
      </c>
      <c r="D8" s="65"/>
      <c r="E8" s="6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row>
    <row r="9" spans="2:62" x14ac:dyDescent="0.2">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row>
    <row r="10" spans="2:62" x14ac:dyDescent="0.2">
      <c r="D10" s="306"/>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row>
    <row r="11" spans="2:62" ht="28.5" x14ac:dyDescent="0.2">
      <c r="B11" s="1" t="s">
        <v>1158</v>
      </c>
      <c r="C11" s="392">
        <v>0.05</v>
      </c>
      <c r="E11" s="126"/>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row>
    <row r="12" spans="2:62" x14ac:dyDescent="0.2">
      <c r="B12" s="81"/>
      <c r="C12" s="67" t="s">
        <v>1231</v>
      </c>
      <c r="D12" s="346" t="e">
        <f ca="1">'Summary Calculations (hide)'!X70</f>
        <v>#N/A</v>
      </c>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row>
    <row r="13" spans="2:62" x14ac:dyDescent="0.2">
      <c r="B13" s="332"/>
      <c r="C13" s="346" t="str">
        <f>IF(C11&lt;&gt;"","New value","")</f>
        <v>New value</v>
      </c>
      <c r="D13" s="346" t="e">
        <f ca="1">IF(OR(C11="",C11=1),"",D12*(1+C11))</f>
        <v>#N/A</v>
      </c>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row>
    <row r="14" spans="2:62" x14ac:dyDescent="0.2">
      <c r="B14" s="67" t="s">
        <v>1154</v>
      </c>
      <c r="C14" s="152"/>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row>
    <row r="15" spans="2:62" x14ac:dyDescent="0.2">
      <c r="B15" s="67" t="s">
        <v>1150</v>
      </c>
      <c r="C15" s="393"/>
      <c r="D15" s="307" t="e">
        <f ca="1">'Parameters calculator (hide)'!B43</f>
        <v>#N/A</v>
      </c>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row>
    <row r="16" spans="2:62" x14ac:dyDescent="0.2">
      <c r="B16" s="67" t="s">
        <v>1151</v>
      </c>
      <c r="C16" s="393"/>
      <c r="D16" s="307" t="e">
        <f ca="1">'Parameters calculator (hide)'!B44</f>
        <v>#N/A</v>
      </c>
      <c r="F16" s="125"/>
      <c r="G16" s="125"/>
      <c r="H16" s="125"/>
      <c r="I16" s="125"/>
      <c r="J16" s="125"/>
      <c r="K16" s="125"/>
      <c r="L16" s="125"/>
      <c r="M16" s="125"/>
      <c r="N16" s="125"/>
      <c r="O16" s="125"/>
      <c r="P16" s="125"/>
      <c r="Q16" s="125"/>
      <c r="R16" s="125"/>
      <c r="S16" s="125"/>
      <c r="T16" s="125"/>
      <c r="U16" s="125"/>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row>
    <row r="17" spans="2:62" x14ac:dyDescent="0.2">
      <c r="B17" s="67" t="s">
        <v>1152</v>
      </c>
      <c r="C17" s="393"/>
      <c r="D17" s="307" t="e">
        <f ca="1">'Parameters calculator (hide)'!B45</f>
        <v>#N/A</v>
      </c>
      <c r="F17" s="125"/>
      <c r="G17" s="125"/>
      <c r="H17" s="125"/>
      <c r="I17" s="125"/>
      <c r="J17" s="125"/>
      <c r="K17" s="125"/>
      <c r="L17" s="125"/>
      <c r="M17" s="125"/>
      <c r="N17" s="125"/>
      <c r="O17" s="125"/>
      <c r="P17" s="125"/>
      <c r="Q17" s="125"/>
      <c r="R17" s="125"/>
      <c r="S17" s="125"/>
      <c r="T17" s="125"/>
      <c r="U17" s="125"/>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row>
    <row r="18" spans="2:62" x14ac:dyDescent="0.2">
      <c r="B18" s="67" t="s">
        <v>1153</v>
      </c>
      <c r="C18" s="393"/>
      <c r="D18" s="307">
        <f ca="1">'Parameters calculator (hide)'!B46</f>
        <v>0</v>
      </c>
      <c r="F18" s="125"/>
      <c r="G18" s="125"/>
      <c r="H18" s="125"/>
      <c r="I18" s="125"/>
      <c r="J18" s="125"/>
      <c r="K18" s="125"/>
      <c r="L18" s="125"/>
      <c r="M18" s="125"/>
      <c r="N18" s="125"/>
      <c r="O18" s="125"/>
      <c r="P18" s="125"/>
      <c r="Q18" s="125"/>
      <c r="R18" s="125"/>
      <c r="S18" s="125"/>
      <c r="T18" s="125"/>
      <c r="U18" s="125"/>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row>
    <row r="19" spans="2:62" x14ac:dyDescent="0.2">
      <c r="F19" s="125"/>
      <c r="G19" s="125"/>
      <c r="H19" s="125"/>
      <c r="I19" s="125"/>
      <c r="J19" s="125"/>
      <c r="K19" s="125"/>
      <c r="L19" s="125"/>
      <c r="M19" s="125"/>
      <c r="N19" s="125"/>
      <c r="O19" s="125"/>
      <c r="P19" s="125"/>
      <c r="Q19" s="125"/>
      <c r="R19" s="125"/>
      <c r="S19" s="125"/>
      <c r="T19" s="125"/>
      <c r="U19" s="125"/>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row>
    <row r="20" spans="2:62" x14ac:dyDescent="0.2">
      <c r="B20" s="81" t="s">
        <v>515</v>
      </c>
      <c r="C20" s="153" t="s">
        <v>22</v>
      </c>
      <c r="F20" s="125"/>
      <c r="G20" s="125"/>
      <c r="H20" s="125"/>
      <c r="I20" s="125"/>
      <c r="J20" s="125"/>
      <c r="K20" s="125"/>
      <c r="L20" s="125"/>
      <c r="M20" s="125"/>
      <c r="N20" s="125"/>
      <c r="O20" s="125"/>
      <c r="P20" s="125"/>
      <c r="Q20" s="125"/>
      <c r="R20" s="125"/>
      <c r="S20" s="125"/>
      <c r="T20" s="125"/>
      <c r="U20" s="125"/>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row>
    <row r="21" spans="2:62" x14ac:dyDescent="0.2">
      <c r="F21" s="125"/>
      <c r="G21" s="125"/>
      <c r="H21" s="125"/>
      <c r="I21" s="125"/>
      <c r="J21" s="125"/>
      <c r="K21" s="125"/>
      <c r="L21" s="125"/>
      <c r="M21" s="125"/>
      <c r="N21" s="125"/>
      <c r="O21" s="125"/>
      <c r="P21" s="125"/>
      <c r="Q21" s="125"/>
      <c r="R21" s="125"/>
      <c r="S21" s="125"/>
      <c r="T21" s="125"/>
      <c r="U21" s="125"/>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row>
    <row r="22" spans="2:62" ht="14.25" hidden="1" customHeight="1" x14ac:dyDescent="0.2">
      <c r="B22" s="432" t="s">
        <v>512</v>
      </c>
      <c r="C22" s="486" t="s">
        <v>511</v>
      </c>
      <c r="D22" s="486"/>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row>
    <row r="23" spans="2:62" hidden="1" x14ac:dyDescent="0.2">
      <c r="B23" s="484"/>
      <c r="C23" s="487"/>
      <c r="D23" s="487"/>
      <c r="F23" s="125"/>
      <c r="G23" s="125"/>
      <c r="H23" s="125"/>
      <c r="I23" s="125"/>
      <c r="J23" s="125"/>
      <c r="K23" s="125"/>
      <c r="L23" s="125"/>
      <c r="M23" s="125"/>
      <c r="N23" s="125"/>
      <c r="O23" s="125"/>
      <c r="P23" s="125"/>
      <c r="Q23" s="125"/>
      <c r="R23" s="125"/>
      <c r="S23" s="125"/>
      <c r="T23" s="125"/>
      <c r="U23" s="125"/>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row>
    <row r="24" spans="2:62" ht="28.5" hidden="1" x14ac:dyDescent="0.2">
      <c r="B24" s="485"/>
      <c r="C24" s="143" t="s">
        <v>484</v>
      </c>
      <c r="D24" s="143" t="s">
        <v>485</v>
      </c>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c r="BE24" s="135"/>
      <c r="BF24" s="125"/>
      <c r="BG24" s="125"/>
      <c r="BH24" s="125"/>
      <c r="BI24" s="125"/>
      <c r="BJ24" s="125"/>
    </row>
    <row r="25" spans="2:62" hidden="1" x14ac:dyDescent="0.2">
      <c r="B25" s="244" t="s">
        <v>521</v>
      </c>
      <c r="C25" s="245">
        <f>IF(B25="","",COUNTIF(F25:BE25,"X"))</f>
        <v>0</v>
      </c>
      <c r="D25" s="245" t="s">
        <v>522</v>
      </c>
      <c r="F25" s="156"/>
      <c r="G25" s="155"/>
      <c r="H25" s="155"/>
      <c r="I25" s="155"/>
      <c r="J25" s="155"/>
      <c r="K25" s="155"/>
      <c r="L25" s="155"/>
      <c r="M25" s="155"/>
      <c r="N25" s="155"/>
      <c r="O25" s="155"/>
      <c r="P25" s="155"/>
      <c r="Q25" s="155"/>
      <c r="R25" s="155"/>
      <c r="S25" s="155"/>
      <c r="T25" s="155"/>
      <c r="U25" s="155"/>
      <c r="V25" s="155"/>
      <c r="W25" s="155"/>
      <c r="X25" s="155"/>
      <c r="Y25" s="155"/>
      <c r="Z25" s="155"/>
      <c r="AA25" s="155"/>
      <c r="AB25" s="155"/>
      <c r="AC25" s="155"/>
      <c r="AD25" s="155"/>
      <c r="AE25" s="155"/>
      <c r="AF25" s="155"/>
      <c r="AG25" s="155"/>
      <c r="AH25" s="155"/>
      <c r="AI25" s="155"/>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7"/>
      <c r="BF25" s="125"/>
      <c r="BG25" s="125"/>
    </row>
    <row r="26" spans="2:62" hidden="1" x14ac:dyDescent="0.2">
      <c r="B26" s="163" t="s">
        <v>1112</v>
      </c>
      <c r="C26" s="220">
        <f t="shared" ref="C26:C45" si="0">IF(B26="","",COUNTIF(F26:BE26,"X"))</f>
        <v>5</v>
      </c>
      <c r="D26" s="164">
        <v>85</v>
      </c>
      <c r="F26" s="155"/>
      <c r="G26" s="155"/>
      <c r="H26" s="155"/>
      <c r="I26" s="155"/>
      <c r="J26" s="155"/>
      <c r="K26" s="155"/>
      <c r="L26" s="155"/>
      <c r="M26" s="155"/>
      <c r="N26" s="155"/>
      <c r="O26" s="155" t="s">
        <v>482</v>
      </c>
      <c r="P26" s="155"/>
      <c r="Q26" s="155"/>
      <c r="R26" s="155"/>
      <c r="S26" s="155"/>
      <c r="T26" s="155"/>
      <c r="U26" s="155" t="s">
        <v>1237</v>
      </c>
      <c r="V26" s="155" t="s">
        <v>1237</v>
      </c>
      <c r="W26" s="155" t="s">
        <v>1237</v>
      </c>
      <c r="X26" s="155" t="s">
        <v>1237</v>
      </c>
      <c r="Y26" s="155"/>
      <c r="Z26" s="155"/>
      <c r="AA26" s="155"/>
      <c r="AB26" s="155"/>
      <c r="AC26" s="155"/>
      <c r="AD26" s="155"/>
      <c r="AE26" s="155"/>
      <c r="AF26" s="155"/>
      <c r="AG26" s="155"/>
      <c r="AH26" s="155"/>
      <c r="AI26" s="155"/>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29"/>
      <c r="BG26" s="125"/>
    </row>
    <row r="27" spans="2:62" hidden="1" x14ac:dyDescent="0.2">
      <c r="B27" s="163" t="s">
        <v>1238</v>
      </c>
      <c r="C27" s="220">
        <f t="shared" si="0"/>
        <v>7</v>
      </c>
      <c r="D27" s="164">
        <v>102</v>
      </c>
      <c r="F27" s="155"/>
      <c r="G27" s="155"/>
      <c r="H27" s="155"/>
      <c r="I27" s="155"/>
      <c r="J27" s="155"/>
      <c r="K27" s="155"/>
      <c r="L27" s="155" t="s">
        <v>482</v>
      </c>
      <c r="M27" s="155"/>
      <c r="N27" s="155" t="s">
        <v>482</v>
      </c>
      <c r="O27" s="155"/>
      <c r="P27" s="155"/>
      <c r="Q27" s="155"/>
      <c r="R27" s="155" t="s">
        <v>482</v>
      </c>
      <c r="S27" s="155"/>
      <c r="T27" s="155"/>
      <c r="U27" s="155"/>
      <c r="V27" s="155"/>
      <c r="W27" s="155"/>
      <c r="X27" s="155"/>
      <c r="Y27" s="155"/>
      <c r="Z27" s="155" t="s">
        <v>482</v>
      </c>
      <c r="AA27" s="155" t="s">
        <v>482</v>
      </c>
      <c r="AB27" s="158"/>
      <c r="AC27" s="158"/>
      <c r="AD27" s="158"/>
      <c r="AE27" s="158"/>
      <c r="AF27" s="158"/>
      <c r="AG27" s="158"/>
      <c r="AH27" s="158"/>
      <c r="AI27" s="158"/>
      <c r="AJ27" s="158"/>
      <c r="AK27" s="158"/>
      <c r="AL27" s="158"/>
      <c r="AM27" s="158"/>
      <c r="AN27" s="158"/>
      <c r="AO27" s="158"/>
      <c r="AP27" s="158"/>
      <c r="AQ27" s="158"/>
      <c r="AR27" s="158"/>
      <c r="AS27" s="158"/>
      <c r="AT27" s="158"/>
      <c r="AU27" s="158"/>
      <c r="AV27" s="158"/>
      <c r="AW27" s="158"/>
      <c r="AX27" s="158" t="s">
        <v>1237</v>
      </c>
      <c r="AY27" s="158" t="s">
        <v>1237</v>
      </c>
      <c r="AZ27" s="158"/>
      <c r="BA27" s="158"/>
      <c r="BB27" s="158"/>
      <c r="BC27" s="158"/>
      <c r="BD27" s="158"/>
      <c r="BE27" s="158"/>
    </row>
    <row r="28" spans="2:62" hidden="1" x14ac:dyDescent="0.2">
      <c r="B28" s="163"/>
      <c r="C28" s="220" t="str">
        <f t="shared" si="0"/>
        <v/>
      </c>
      <c r="D28" s="164"/>
      <c r="F28" s="155"/>
      <c r="G28" s="155"/>
      <c r="H28" s="155"/>
      <c r="I28" s="155"/>
      <c r="J28" s="155"/>
      <c r="K28" s="155"/>
      <c r="L28" s="155"/>
      <c r="M28" s="155"/>
      <c r="N28" s="155"/>
      <c r="O28" s="155"/>
      <c r="P28" s="155"/>
      <c r="Q28" s="155"/>
      <c r="R28" s="155"/>
      <c r="S28" s="155"/>
      <c r="T28" s="155"/>
      <c r="U28" s="155"/>
      <c r="V28" s="155"/>
      <c r="W28" s="155"/>
      <c r="X28" s="155"/>
      <c r="Y28" s="155"/>
      <c r="Z28" s="155"/>
      <c r="AA28" s="155"/>
      <c r="AB28" s="158"/>
      <c r="AC28" s="158"/>
      <c r="AD28" s="158"/>
      <c r="AE28" s="158"/>
      <c r="AF28" s="158"/>
      <c r="AG28" s="158"/>
      <c r="AH28" s="158"/>
      <c r="AI28" s="158"/>
      <c r="AJ28" s="158"/>
      <c r="AK28" s="158"/>
      <c r="AL28" s="158"/>
      <c r="AM28" s="158"/>
      <c r="AN28" s="158"/>
      <c r="AO28" s="158"/>
      <c r="AP28" s="158"/>
      <c r="AQ28" s="158"/>
      <c r="AR28" s="158"/>
      <c r="AS28" s="158"/>
      <c r="AT28" s="158"/>
      <c r="AU28" s="158"/>
      <c r="AV28" s="158"/>
      <c r="AW28" s="158"/>
      <c r="AX28" s="158"/>
      <c r="AY28" s="158"/>
      <c r="AZ28" s="158"/>
      <c r="BA28" s="158"/>
      <c r="BB28" s="158"/>
      <c r="BC28" s="158"/>
      <c r="BD28" s="158"/>
      <c r="BE28" s="158"/>
    </row>
    <row r="29" spans="2:62" hidden="1" x14ac:dyDescent="0.2">
      <c r="B29" s="163"/>
      <c r="C29" s="220" t="str">
        <f t="shared" si="0"/>
        <v/>
      </c>
      <c r="D29" s="164"/>
      <c r="F29" s="155"/>
      <c r="G29" s="155"/>
      <c r="H29" s="155"/>
      <c r="I29" s="155"/>
      <c r="J29" s="155"/>
      <c r="K29" s="155"/>
      <c r="L29" s="155"/>
      <c r="M29" s="155"/>
      <c r="N29" s="155"/>
      <c r="O29" s="155"/>
      <c r="P29" s="155"/>
      <c r="Q29" s="155"/>
      <c r="R29" s="155"/>
      <c r="S29" s="155"/>
      <c r="T29" s="155"/>
      <c r="U29" s="155"/>
      <c r="V29" s="155"/>
      <c r="W29" s="155"/>
      <c r="X29" s="155"/>
      <c r="Y29" s="155"/>
      <c r="Z29" s="155"/>
      <c r="AA29" s="155"/>
      <c r="AB29" s="158"/>
      <c r="AC29" s="158"/>
      <c r="AD29" s="158"/>
      <c r="AE29" s="158"/>
      <c r="AF29" s="158"/>
      <c r="AG29" s="158"/>
      <c r="AH29" s="158"/>
      <c r="AI29" s="158"/>
      <c r="AJ29" s="158"/>
      <c r="AK29" s="158"/>
      <c r="AL29" s="158"/>
      <c r="AM29" s="158"/>
      <c r="AN29" s="158"/>
      <c r="AO29" s="158"/>
      <c r="AP29" s="158"/>
      <c r="AQ29" s="158"/>
      <c r="AR29" s="158"/>
      <c r="AS29" s="158"/>
      <c r="AT29" s="158"/>
      <c r="AU29" s="158"/>
      <c r="AV29" s="158"/>
      <c r="AW29" s="158"/>
      <c r="AX29" s="158"/>
      <c r="AY29" s="158"/>
      <c r="AZ29" s="158"/>
      <c r="BA29" s="158"/>
      <c r="BB29" s="158"/>
      <c r="BC29" s="158"/>
      <c r="BD29" s="158"/>
      <c r="BE29" s="158"/>
    </row>
    <row r="30" spans="2:62" hidden="1" x14ac:dyDescent="0.2">
      <c r="B30" s="163"/>
      <c r="C30" s="220" t="str">
        <f t="shared" si="0"/>
        <v/>
      </c>
      <c r="D30" s="164"/>
      <c r="F30" s="155"/>
      <c r="G30" s="155"/>
      <c r="H30" s="155"/>
      <c r="I30" s="155"/>
      <c r="J30" s="155"/>
      <c r="K30" s="155"/>
      <c r="L30" s="155"/>
      <c r="M30" s="155"/>
      <c r="N30" s="155"/>
      <c r="O30" s="155"/>
      <c r="P30" s="155"/>
      <c r="Q30" s="155"/>
      <c r="R30" s="155"/>
      <c r="S30" s="155"/>
      <c r="T30" s="155"/>
      <c r="U30" s="155"/>
      <c r="V30" s="155"/>
      <c r="W30" s="155"/>
      <c r="X30" s="155"/>
      <c r="Y30" s="155"/>
      <c r="Z30" s="155"/>
      <c r="AA30" s="155"/>
      <c r="AB30" s="158"/>
      <c r="AC30" s="158"/>
      <c r="AD30" s="158"/>
      <c r="AE30" s="158"/>
      <c r="AF30" s="158"/>
      <c r="AG30" s="158"/>
      <c r="AH30" s="158"/>
      <c r="AI30" s="158"/>
      <c r="AJ30" s="158"/>
      <c r="AK30" s="158"/>
      <c r="AL30" s="158"/>
      <c r="AM30" s="158"/>
      <c r="AN30" s="158"/>
      <c r="AO30" s="158"/>
      <c r="AP30" s="158"/>
      <c r="AQ30" s="158"/>
      <c r="AR30" s="158"/>
      <c r="AS30" s="158"/>
      <c r="AT30" s="158"/>
      <c r="AU30" s="158"/>
      <c r="AV30" s="158"/>
      <c r="AW30" s="158"/>
      <c r="AX30" s="158"/>
      <c r="AY30" s="158"/>
      <c r="AZ30" s="158"/>
      <c r="BA30" s="158"/>
      <c r="BB30" s="158"/>
      <c r="BC30" s="158"/>
      <c r="BD30" s="158"/>
      <c r="BE30" s="158"/>
    </row>
    <row r="31" spans="2:62" hidden="1" x14ac:dyDescent="0.2">
      <c r="B31" s="163"/>
      <c r="C31" s="220" t="str">
        <f t="shared" si="0"/>
        <v/>
      </c>
      <c r="D31" s="164"/>
      <c r="F31" s="155"/>
      <c r="G31" s="155"/>
      <c r="H31" s="155"/>
      <c r="I31" s="155"/>
      <c r="J31" s="155"/>
      <c r="K31" s="155"/>
      <c r="L31" s="155"/>
      <c r="M31" s="155"/>
      <c r="N31" s="155"/>
      <c r="O31" s="155"/>
      <c r="P31" s="155"/>
      <c r="Q31" s="155"/>
      <c r="R31" s="155"/>
      <c r="S31" s="155"/>
      <c r="T31" s="155"/>
      <c r="U31" s="155"/>
      <c r="V31" s="155"/>
      <c r="W31" s="155"/>
      <c r="X31" s="155"/>
      <c r="Y31" s="155"/>
      <c r="Z31" s="155"/>
      <c r="AA31" s="155"/>
      <c r="AB31" s="158"/>
      <c r="AC31" s="158"/>
      <c r="AD31" s="158"/>
      <c r="AE31" s="158"/>
      <c r="AF31" s="158"/>
      <c r="AG31" s="158"/>
      <c r="AH31" s="158"/>
      <c r="AI31" s="158"/>
      <c r="AJ31" s="158"/>
      <c r="AK31" s="158"/>
      <c r="AL31" s="158"/>
      <c r="AM31" s="158"/>
      <c r="AN31" s="158"/>
      <c r="AO31" s="158"/>
      <c r="AP31" s="158"/>
      <c r="AQ31" s="158"/>
      <c r="AR31" s="158"/>
      <c r="AS31" s="158"/>
      <c r="AT31" s="158"/>
      <c r="AU31" s="158"/>
      <c r="AV31" s="158"/>
      <c r="AW31" s="158"/>
      <c r="AX31" s="158"/>
      <c r="AY31" s="158"/>
      <c r="AZ31" s="158"/>
      <c r="BA31" s="158"/>
      <c r="BB31" s="158"/>
      <c r="BC31" s="158"/>
      <c r="BD31" s="158"/>
      <c r="BE31" s="158"/>
    </row>
    <row r="32" spans="2:62" hidden="1" x14ac:dyDescent="0.2">
      <c r="B32" s="163"/>
      <c r="C32" s="220" t="str">
        <f t="shared" si="0"/>
        <v/>
      </c>
      <c r="D32" s="164"/>
      <c r="F32" s="155"/>
      <c r="G32" s="155"/>
      <c r="H32" s="155"/>
      <c r="I32" s="155"/>
      <c r="J32" s="155"/>
      <c r="K32" s="155"/>
      <c r="L32" s="155"/>
      <c r="M32" s="155"/>
      <c r="N32" s="155"/>
      <c r="O32" s="155"/>
      <c r="P32" s="155"/>
      <c r="Q32" s="155"/>
      <c r="R32" s="155"/>
      <c r="S32" s="155"/>
      <c r="T32" s="155"/>
      <c r="U32" s="155"/>
      <c r="V32" s="155"/>
      <c r="W32" s="155"/>
      <c r="X32" s="155"/>
      <c r="Y32" s="155"/>
      <c r="Z32" s="155"/>
      <c r="AA32" s="155"/>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row>
    <row r="33" spans="2:57" hidden="1" x14ac:dyDescent="0.2">
      <c r="B33" s="163"/>
      <c r="C33" s="220" t="str">
        <f t="shared" si="0"/>
        <v/>
      </c>
      <c r="D33" s="164"/>
      <c r="F33" s="155"/>
      <c r="G33" s="155"/>
      <c r="H33" s="155"/>
      <c r="I33" s="155"/>
      <c r="J33" s="155"/>
      <c r="K33" s="155"/>
      <c r="L33" s="155"/>
      <c r="M33" s="155"/>
      <c r="N33" s="155"/>
      <c r="O33" s="155"/>
      <c r="P33" s="155"/>
      <c r="Q33" s="155"/>
      <c r="R33" s="155"/>
      <c r="S33" s="155"/>
      <c r="T33" s="155"/>
      <c r="U33" s="155"/>
      <c r="V33" s="155"/>
      <c r="W33" s="155"/>
      <c r="X33" s="155"/>
      <c r="Y33" s="155"/>
      <c r="Z33" s="155"/>
      <c r="AA33" s="155"/>
      <c r="AB33" s="158"/>
      <c r="AC33" s="158"/>
      <c r="AD33" s="158"/>
      <c r="AE33" s="158"/>
      <c r="AF33" s="158"/>
      <c r="AG33" s="158"/>
      <c r="AH33" s="158"/>
      <c r="AI33" s="158"/>
      <c r="AJ33" s="158"/>
      <c r="AK33" s="158"/>
      <c r="AL33" s="158"/>
      <c r="AM33" s="158"/>
      <c r="AN33" s="158"/>
      <c r="AO33" s="158"/>
      <c r="AP33" s="158"/>
      <c r="AQ33" s="158"/>
      <c r="AR33" s="158"/>
      <c r="AS33" s="158"/>
      <c r="AT33" s="158"/>
      <c r="AU33" s="158"/>
      <c r="AV33" s="158"/>
      <c r="AW33" s="158"/>
      <c r="AX33" s="158"/>
      <c r="AY33" s="158"/>
      <c r="AZ33" s="158"/>
      <c r="BA33" s="158"/>
      <c r="BB33" s="158"/>
      <c r="BC33" s="158"/>
      <c r="BD33" s="158"/>
      <c r="BE33" s="158"/>
    </row>
    <row r="34" spans="2:57" hidden="1" x14ac:dyDescent="0.2">
      <c r="B34" s="163"/>
      <c r="C34" s="220" t="str">
        <f t="shared" si="0"/>
        <v/>
      </c>
      <c r="D34" s="164"/>
      <c r="F34" s="158"/>
      <c r="G34" s="158"/>
      <c r="H34" s="159"/>
      <c r="I34" s="159"/>
      <c r="J34" s="159"/>
      <c r="K34" s="159"/>
      <c r="L34" s="159"/>
      <c r="M34" s="159"/>
      <c r="N34" s="159"/>
      <c r="O34" s="159"/>
      <c r="P34" s="159"/>
      <c r="Q34" s="159"/>
      <c r="R34" s="159"/>
      <c r="S34" s="159"/>
      <c r="T34" s="159"/>
      <c r="U34" s="159"/>
      <c r="V34" s="159"/>
      <c r="W34" s="159"/>
      <c r="X34" s="159"/>
      <c r="Y34" s="159"/>
      <c r="Z34" s="159"/>
      <c r="AA34" s="159"/>
      <c r="AB34" s="159"/>
      <c r="AC34" s="159"/>
      <c r="AD34" s="159"/>
      <c r="AE34" s="159"/>
      <c r="AF34" s="159"/>
      <c r="AG34" s="159"/>
      <c r="AH34" s="159"/>
      <c r="AI34" s="159"/>
      <c r="AJ34" s="159"/>
      <c r="AK34" s="159"/>
      <c r="AL34" s="159"/>
      <c r="AM34" s="159"/>
      <c r="AN34" s="159"/>
      <c r="AO34" s="159"/>
      <c r="AP34" s="159"/>
      <c r="AQ34" s="159"/>
      <c r="AR34" s="159"/>
      <c r="AS34" s="159"/>
      <c r="AT34" s="159"/>
      <c r="AU34" s="159"/>
      <c r="AV34" s="159"/>
      <c r="AW34" s="159"/>
      <c r="AX34" s="159"/>
      <c r="AY34" s="159"/>
      <c r="AZ34" s="159"/>
      <c r="BA34" s="159"/>
      <c r="BB34" s="159"/>
      <c r="BC34" s="159"/>
      <c r="BD34" s="159"/>
      <c r="BE34" s="158"/>
    </row>
    <row r="35" spans="2:57" hidden="1" x14ac:dyDescent="0.2">
      <c r="B35" s="163"/>
      <c r="C35" s="220" t="str">
        <f t="shared" si="0"/>
        <v/>
      </c>
      <c r="D35" s="164"/>
      <c r="F35" s="155"/>
      <c r="G35" s="155"/>
      <c r="H35" s="155"/>
      <c r="I35" s="155"/>
      <c r="J35" s="155"/>
      <c r="K35" s="155"/>
      <c r="L35" s="155"/>
      <c r="M35" s="155"/>
      <c r="N35" s="155"/>
      <c r="O35" s="155"/>
      <c r="P35" s="155"/>
      <c r="Q35" s="155"/>
      <c r="R35" s="155"/>
      <c r="S35" s="155"/>
      <c r="T35" s="155"/>
      <c r="U35" s="155"/>
      <c r="V35" s="155"/>
      <c r="W35" s="155"/>
      <c r="X35" s="155"/>
      <c r="Y35" s="155"/>
      <c r="Z35" s="155"/>
      <c r="AA35" s="155"/>
      <c r="AB35" s="155"/>
      <c r="AC35" s="155"/>
      <c r="AD35" s="155"/>
      <c r="AE35" s="155"/>
      <c r="AF35" s="155"/>
      <c r="AG35" s="155"/>
      <c r="AH35" s="155"/>
      <c r="AI35" s="155"/>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row>
    <row r="36" spans="2:57" hidden="1" x14ac:dyDescent="0.2">
      <c r="B36" s="163"/>
      <c r="C36" s="220" t="str">
        <f t="shared" si="0"/>
        <v/>
      </c>
      <c r="D36" s="164"/>
      <c r="F36" s="155"/>
      <c r="G36" s="155"/>
      <c r="H36" s="155"/>
      <c r="I36" s="155"/>
      <c r="J36" s="155"/>
      <c r="K36" s="155"/>
      <c r="L36" s="155"/>
      <c r="M36" s="155"/>
      <c r="N36" s="155"/>
      <c r="O36" s="155"/>
      <c r="P36" s="155"/>
      <c r="Q36" s="155"/>
      <c r="R36" s="155"/>
      <c r="S36" s="155"/>
      <c r="T36" s="155"/>
      <c r="U36" s="155"/>
      <c r="V36" s="155"/>
      <c r="W36" s="155"/>
      <c r="X36" s="155"/>
      <c r="Y36" s="155"/>
      <c r="Z36" s="155"/>
      <c r="AA36" s="155"/>
      <c r="AB36" s="155"/>
      <c r="AC36" s="155"/>
      <c r="AD36" s="155"/>
      <c r="AE36" s="155"/>
      <c r="AF36" s="155"/>
      <c r="AG36" s="155"/>
      <c r="AH36" s="155"/>
      <c r="AI36" s="15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row>
    <row r="37" spans="2:57" hidden="1" x14ac:dyDescent="0.2">
      <c r="B37" s="163"/>
      <c r="C37" s="220" t="str">
        <f t="shared" si="0"/>
        <v/>
      </c>
      <c r="D37" s="164"/>
      <c r="F37" s="158"/>
      <c r="G37" s="158"/>
      <c r="H37" s="158"/>
      <c r="I37" s="158"/>
      <c r="J37" s="158"/>
      <c r="K37" s="158"/>
      <c r="L37" s="158"/>
      <c r="M37" s="158"/>
      <c r="N37" s="158"/>
      <c r="O37" s="158"/>
      <c r="P37" s="158"/>
      <c r="Q37" s="158"/>
      <c r="R37" s="158"/>
      <c r="S37" s="158"/>
      <c r="T37" s="158"/>
      <c r="U37" s="158"/>
      <c r="V37" s="158"/>
      <c r="W37" s="158"/>
      <c r="X37" s="158"/>
      <c r="Y37" s="158"/>
      <c r="Z37" s="158"/>
      <c r="AA37" s="158"/>
      <c r="AB37" s="158"/>
      <c r="AC37" s="158"/>
      <c r="AD37" s="158"/>
      <c r="AE37" s="158"/>
      <c r="AF37" s="158"/>
      <c r="AG37" s="158"/>
      <c r="AH37" s="158"/>
      <c r="AI37" s="158"/>
      <c r="AJ37" s="158"/>
      <c r="AK37" s="158"/>
      <c r="AL37" s="158"/>
      <c r="AM37" s="158"/>
      <c r="AN37" s="158"/>
      <c r="AO37" s="158"/>
      <c r="AP37" s="158"/>
      <c r="AQ37" s="158"/>
      <c r="AR37" s="158"/>
      <c r="AS37" s="158"/>
      <c r="AT37" s="158"/>
      <c r="AU37" s="158"/>
      <c r="AV37" s="158"/>
      <c r="AW37" s="158"/>
      <c r="AX37" s="158"/>
      <c r="AY37" s="158"/>
      <c r="AZ37" s="158"/>
      <c r="BA37" s="158"/>
      <c r="BB37" s="158"/>
      <c r="BC37" s="158"/>
      <c r="BD37" s="158"/>
      <c r="BE37" s="158"/>
    </row>
    <row r="38" spans="2:57" hidden="1" x14ac:dyDescent="0.2">
      <c r="B38" s="163"/>
      <c r="C38" s="220" t="str">
        <f t="shared" si="0"/>
        <v/>
      </c>
      <c r="D38" s="164"/>
      <c r="F38" s="158"/>
      <c r="G38" s="158"/>
      <c r="H38" s="158"/>
      <c r="I38" s="158"/>
      <c r="J38" s="158"/>
      <c r="K38" s="158"/>
      <c r="L38" s="158"/>
      <c r="M38" s="158"/>
      <c r="N38" s="158"/>
      <c r="O38" s="158"/>
      <c r="P38" s="158"/>
      <c r="Q38" s="158"/>
      <c r="R38" s="158"/>
      <c r="S38" s="158"/>
      <c r="T38" s="158"/>
      <c r="U38" s="158"/>
      <c r="V38" s="158"/>
      <c r="W38" s="158"/>
      <c r="X38" s="158"/>
      <c r="Y38" s="158"/>
      <c r="Z38" s="158"/>
      <c r="AA38" s="158"/>
      <c r="AB38" s="158"/>
      <c r="AC38" s="158"/>
      <c r="AD38" s="158"/>
      <c r="AE38" s="158"/>
      <c r="AF38" s="158"/>
      <c r="AG38" s="158"/>
      <c r="AH38" s="158"/>
      <c r="AI38" s="158"/>
      <c r="AJ38" s="158"/>
      <c r="AK38" s="158"/>
      <c r="AL38" s="158"/>
      <c r="AM38" s="158"/>
      <c r="AN38" s="158"/>
      <c r="AO38" s="158"/>
      <c r="AP38" s="158"/>
      <c r="AQ38" s="158"/>
      <c r="AR38" s="158"/>
      <c r="AS38" s="158"/>
      <c r="AT38" s="158"/>
      <c r="AU38" s="158"/>
      <c r="AV38" s="158"/>
      <c r="AW38" s="158"/>
      <c r="AX38" s="158"/>
      <c r="AY38" s="158"/>
      <c r="AZ38" s="158"/>
      <c r="BA38" s="158"/>
      <c r="BB38" s="158"/>
      <c r="BC38" s="158"/>
      <c r="BD38" s="158"/>
      <c r="BE38" s="158"/>
    </row>
    <row r="39" spans="2:57" hidden="1" x14ac:dyDescent="0.2">
      <c r="B39" s="163"/>
      <c r="C39" s="220" t="str">
        <f t="shared" si="0"/>
        <v/>
      </c>
      <c r="D39" s="164"/>
      <c r="F39" s="158"/>
      <c r="G39" s="158"/>
      <c r="H39" s="158"/>
      <c r="I39" s="158"/>
      <c r="J39" s="158"/>
      <c r="K39" s="158"/>
      <c r="L39" s="158"/>
      <c r="M39" s="158"/>
      <c r="N39" s="158"/>
      <c r="O39" s="158"/>
      <c r="P39" s="158"/>
      <c r="Q39" s="158"/>
      <c r="R39" s="158"/>
      <c r="S39" s="158"/>
      <c r="T39" s="158"/>
      <c r="U39" s="158"/>
      <c r="V39" s="158"/>
      <c r="W39" s="158"/>
      <c r="X39" s="158"/>
      <c r="Y39" s="158"/>
      <c r="Z39" s="158"/>
      <c r="AA39" s="158"/>
      <c r="AB39" s="158"/>
      <c r="AC39" s="158"/>
      <c r="AD39" s="158"/>
      <c r="AE39" s="158"/>
      <c r="AF39" s="158"/>
      <c r="AG39" s="158"/>
      <c r="AH39" s="158"/>
      <c r="AI39" s="158"/>
      <c r="AJ39" s="158"/>
      <c r="AK39" s="158"/>
      <c r="AL39" s="158"/>
      <c r="AM39" s="158"/>
      <c r="AN39" s="158"/>
      <c r="AO39" s="158"/>
      <c r="AP39" s="158"/>
      <c r="AQ39" s="158"/>
      <c r="AR39" s="158"/>
      <c r="AS39" s="158"/>
      <c r="AT39" s="158"/>
      <c r="AU39" s="158"/>
      <c r="AV39" s="158"/>
      <c r="AW39" s="158"/>
      <c r="AX39" s="158"/>
      <c r="AY39" s="158"/>
      <c r="AZ39" s="158"/>
      <c r="BA39" s="158"/>
      <c r="BB39" s="158"/>
      <c r="BC39" s="158"/>
      <c r="BD39" s="158"/>
      <c r="BE39" s="158"/>
    </row>
    <row r="40" spans="2:57" hidden="1" x14ac:dyDescent="0.2">
      <c r="B40" s="163"/>
      <c r="C40" s="220" t="str">
        <f t="shared" si="0"/>
        <v/>
      </c>
      <c r="D40" s="164"/>
      <c r="F40" s="158"/>
      <c r="G40" s="158"/>
      <c r="H40" s="158"/>
      <c r="I40" s="158"/>
      <c r="J40" s="158"/>
      <c r="K40" s="158"/>
      <c r="L40" s="158"/>
      <c r="M40" s="158"/>
      <c r="N40" s="158"/>
      <c r="O40" s="158"/>
      <c r="P40" s="158"/>
      <c r="Q40" s="158"/>
      <c r="R40" s="158"/>
      <c r="S40" s="158"/>
      <c r="T40" s="158"/>
      <c r="U40" s="158"/>
      <c r="V40" s="158"/>
      <c r="W40" s="158"/>
      <c r="X40" s="158"/>
      <c r="Y40" s="158"/>
      <c r="Z40" s="158"/>
      <c r="AA40" s="158"/>
      <c r="AB40" s="158"/>
      <c r="AC40" s="158"/>
      <c r="AD40" s="158"/>
      <c r="AE40" s="158"/>
      <c r="AF40" s="158"/>
      <c r="AG40" s="158"/>
      <c r="AH40" s="158"/>
      <c r="AI40" s="158"/>
      <c r="AJ40" s="158"/>
      <c r="AK40" s="158"/>
      <c r="AL40" s="158"/>
      <c r="AM40" s="158"/>
      <c r="AN40" s="158"/>
      <c r="AO40" s="158"/>
      <c r="AP40" s="158"/>
      <c r="AQ40" s="158"/>
      <c r="AR40" s="158"/>
      <c r="AS40" s="158"/>
      <c r="AT40" s="158"/>
      <c r="AU40" s="158"/>
      <c r="AV40" s="158"/>
      <c r="AW40" s="158"/>
      <c r="AX40" s="158"/>
      <c r="AY40" s="158"/>
      <c r="AZ40" s="158"/>
      <c r="BA40" s="158"/>
      <c r="BB40" s="158"/>
      <c r="BC40" s="158"/>
      <c r="BD40" s="158"/>
      <c r="BE40" s="158"/>
    </row>
    <row r="41" spans="2:57" hidden="1" x14ac:dyDescent="0.2">
      <c r="B41" s="163"/>
      <c r="C41" s="220" t="str">
        <f t="shared" si="0"/>
        <v/>
      </c>
      <c r="D41" s="164"/>
      <c r="F41" s="158"/>
      <c r="G41" s="158"/>
      <c r="H41" s="158"/>
      <c r="I41" s="158"/>
      <c r="J41" s="158"/>
      <c r="K41" s="158"/>
      <c r="L41" s="158"/>
      <c r="M41" s="158"/>
      <c r="N41" s="158"/>
      <c r="O41" s="158"/>
      <c r="P41" s="158"/>
      <c r="Q41" s="158"/>
      <c r="R41" s="158"/>
      <c r="S41" s="158"/>
      <c r="T41" s="158"/>
      <c r="U41" s="158"/>
      <c r="V41" s="158"/>
      <c r="W41" s="158"/>
      <c r="X41" s="158"/>
      <c r="Y41" s="158"/>
      <c r="Z41" s="158"/>
      <c r="AA41" s="158"/>
      <c r="AB41" s="158"/>
      <c r="AC41" s="158"/>
      <c r="AD41" s="158"/>
      <c r="AE41" s="158"/>
      <c r="AF41" s="158"/>
      <c r="AG41" s="158"/>
      <c r="AH41" s="158"/>
      <c r="AI41" s="158"/>
      <c r="AJ41" s="158"/>
      <c r="AK41" s="158"/>
      <c r="AL41" s="158"/>
      <c r="AM41" s="158"/>
      <c r="AN41" s="158"/>
      <c r="AO41" s="158"/>
      <c r="AP41" s="158"/>
      <c r="AQ41" s="158"/>
      <c r="AR41" s="158"/>
      <c r="AS41" s="158"/>
      <c r="AT41" s="158"/>
      <c r="AU41" s="158"/>
      <c r="AV41" s="158"/>
      <c r="AW41" s="158"/>
      <c r="AX41" s="158"/>
      <c r="AY41" s="158"/>
      <c r="AZ41" s="158"/>
      <c r="BA41" s="158"/>
      <c r="BB41" s="158"/>
      <c r="BC41" s="158"/>
      <c r="BD41" s="158"/>
      <c r="BE41" s="158"/>
    </row>
    <row r="42" spans="2:57" hidden="1" x14ac:dyDescent="0.2">
      <c r="B42" s="163"/>
      <c r="C42" s="220" t="str">
        <f t="shared" si="0"/>
        <v/>
      </c>
      <c r="D42" s="164"/>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BA42" s="158"/>
      <c r="BB42" s="158"/>
      <c r="BC42" s="158"/>
      <c r="BD42" s="158"/>
      <c r="BE42" s="158"/>
    </row>
    <row r="43" spans="2:57" hidden="1" x14ac:dyDescent="0.2">
      <c r="B43" s="163"/>
      <c r="C43" s="220" t="str">
        <f t="shared" si="0"/>
        <v/>
      </c>
      <c r="D43" s="164"/>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c r="AT43" s="158"/>
      <c r="AU43" s="158"/>
      <c r="AV43" s="158"/>
      <c r="AW43" s="158"/>
      <c r="AX43" s="158"/>
      <c r="AY43" s="158"/>
      <c r="AZ43" s="158"/>
      <c r="BA43" s="158"/>
      <c r="BB43" s="158"/>
      <c r="BC43" s="158"/>
      <c r="BD43" s="158"/>
      <c r="BE43" s="158"/>
    </row>
    <row r="44" spans="2:57" hidden="1" x14ac:dyDescent="0.2">
      <c r="B44" s="163"/>
      <c r="C44" s="220" t="str">
        <f t="shared" si="0"/>
        <v/>
      </c>
      <c r="D44" s="164"/>
      <c r="F44" s="158"/>
      <c r="G44" s="158"/>
      <c r="H44" s="158"/>
      <c r="I44" s="158"/>
      <c r="J44" s="158"/>
      <c r="K44" s="158"/>
      <c r="L44" s="158"/>
      <c r="M44" s="158"/>
      <c r="N44" s="158"/>
      <c r="O44" s="158"/>
      <c r="P44" s="158"/>
      <c r="Q44" s="158"/>
      <c r="R44" s="158"/>
      <c r="S44" s="158"/>
      <c r="T44" s="158"/>
      <c r="U44" s="158"/>
      <c r="V44" s="158"/>
      <c r="W44" s="158"/>
      <c r="X44" s="158"/>
      <c r="Y44" s="158"/>
      <c r="Z44" s="158"/>
      <c r="AA44" s="158"/>
      <c r="AB44" s="158"/>
      <c r="AC44" s="158"/>
      <c r="AD44" s="158"/>
      <c r="AE44" s="158"/>
      <c r="AF44" s="158"/>
      <c r="AG44" s="158"/>
      <c r="AH44" s="158"/>
      <c r="AI44" s="158"/>
      <c r="AJ44" s="158"/>
      <c r="AK44" s="158"/>
      <c r="AL44" s="158"/>
      <c r="AM44" s="158"/>
      <c r="AN44" s="158"/>
      <c r="AO44" s="158"/>
      <c r="AP44" s="158"/>
      <c r="AQ44" s="158"/>
      <c r="AR44" s="158"/>
      <c r="AS44" s="158"/>
      <c r="AT44" s="158"/>
      <c r="AU44" s="158"/>
      <c r="AV44" s="158"/>
      <c r="AW44" s="158"/>
      <c r="AX44" s="158"/>
      <c r="AY44" s="158"/>
      <c r="AZ44" s="158"/>
      <c r="BA44" s="158"/>
      <c r="BB44" s="158"/>
      <c r="BC44" s="158"/>
      <c r="BD44" s="158"/>
      <c r="BE44" s="158"/>
    </row>
    <row r="45" spans="2:57" hidden="1" x14ac:dyDescent="0.2">
      <c r="B45" s="163"/>
      <c r="C45" s="220" t="str">
        <f t="shared" si="0"/>
        <v/>
      </c>
      <c r="D45" s="164"/>
      <c r="F45" s="158"/>
      <c r="G45" s="158"/>
      <c r="H45" s="158"/>
      <c r="I45" s="158"/>
      <c r="J45" s="158"/>
      <c r="K45" s="158"/>
      <c r="L45" s="158"/>
      <c r="M45" s="158"/>
      <c r="N45" s="158"/>
      <c r="O45" s="158"/>
      <c r="P45" s="158"/>
      <c r="Q45" s="158"/>
      <c r="R45" s="158"/>
      <c r="S45" s="158"/>
      <c r="T45" s="158"/>
      <c r="U45" s="158"/>
      <c r="V45" s="158"/>
      <c r="W45" s="158"/>
      <c r="X45" s="158"/>
      <c r="Y45" s="158"/>
      <c r="Z45" s="158"/>
      <c r="AA45" s="158"/>
      <c r="AB45" s="158"/>
      <c r="AC45" s="158"/>
      <c r="AD45" s="158"/>
      <c r="AE45" s="158"/>
      <c r="AF45" s="158"/>
      <c r="AG45" s="158"/>
      <c r="AH45" s="158"/>
      <c r="AI45" s="158"/>
      <c r="AJ45" s="158"/>
      <c r="AK45" s="158"/>
      <c r="AL45" s="158"/>
      <c r="AM45" s="158"/>
      <c r="AN45" s="158"/>
      <c r="AO45" s="158"/>
      <c r="AP45" s="158"/>
      <c r="AQ45" s="158"/>
      <c r="AR45" s="158"/>
      <c r="AS45" s="158"/>
      <c r="AT45" s="158"/>
      <c r="AU45" s="158"/>
      <c r="AV45" s="158"/>
      <c r="AW45" s="158"/>
      <c r="AX45" s="158"/>
      <c r="AY45" s="158"/>
      <c r="AZ45" s="158"/>
      <c r="BA45" s="158"/>
      <c r="BB45" s="158"/>
      <c r="BC45" s="158"/>
      <c r="BD45" s="158"/>
      <c r="BE45" s="158"/>
    </row>
    <row r="46" spans="2:57" x14ac:dyDescent="0.2">
      <c r="B46" s="125"/>
      <c r="C46" s="129"/>
      <c r="D46" s="129"/>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c r="BE46" s="45"/>
    </row>
    <row r="47" spans="2:57" x14ac:dyDescent="0.2">
      <c r="B47" s="125"/>
      <c r="C47" s="129"/>
      <c r="D47" s="129"/>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row>
    <row r="48" spans="2:57" x14ac:dyDescent="0.2">
      <c r="B48" s="125"/>
      <c r="C48" s="129"/>
      <c r="D48" s="129"/>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row>
    <row r="49" spans="2:57" x14ac:dyDescent="0.2">
      <c r="B49" s="125"/>
      <c r="C49" s="129"/>
      <c r="D49" s="129"/>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row>
    <row r="50" spans="2:57" x14ac:dyDescent="0.2">
      <c r="B50" s="125"/>
      <c r="C50" s="129"/>
      <c r="D50" s="129"/>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row>
    <row r="51" spans="2:57" x14ac:dyDescent="0.2">
      <c r="B51" s="125"/>
      <c r="C51" s="129"/>
      <c r="D51" s="129"/>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row>
    <row r="52" spans="2:57" x14ac:dyDescent="0.2">
      <c r="B52" s="125"/>
      <c r="C52" s="129"/>
      <c r="D52" s="129"/>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row>
    <row r="53" spans="2:57" x14ac:dyDescent="0.2">
      <c r="B53" s="125"/>
      <c r="C53" s="129"/>
      <c r="D53" s="129"/>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row>
    <row r="54" spans="2:57" x14ac:dyDescent="0.2">
      <c r="B54" s="125"/>
      <c r="C54" s="129"/>
      <c r="D54" s="129"/>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row>
    <row r="55" spans="2:57" x14ac:dyDescent="0.2">
      <c r="B55" s="125"/>
      <c r="C55" s="129"/>
      <c r="D55" s="129"/>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row>
    <row r="56" spans="2:57" x14ac:dyDescent="0.2">
      <c r="B56" s="125"/>
      <c r="C56" s="129"/>
      <c r="D56" s="129"/>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row>
    <row r="57" spans="2:57" x14ac:dyDescent="0.2">
      <c r="B57" s="125"/>
      <c r="C57" s="129"/>
      <c r="D57" s="129"/>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row>
    <row r="58" spans="2:57" x14ac:dyDescent="0.2">
      <c r="B58" s="125"/>
      <c r="C58" s="129"/>
      <c r="D58" s="129"/>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row>
    <row r="59" spans="2:57" x14ac:dyDescent="0.2">
      <c r="B59" s="125"/>
      <c r="C59" s="129"/>
      <c r="D59" s="129"/>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row>
    <row r="60" spans="2:57" x14ac:dyDescent="0.2">
      <c r="B60" s="125"/>
      <c r="C60" s="129"/>
      <c r="D60" s="129"/>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row>
    <row r="61" spans="2:57" x14ac:dyDescent="0.2">
      <c r="B61" s="125"/>
      <c r="C61" s="129"/>
      <c r="D61" s="129"/>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row>
    <row r="62" spans="2:57" x14ac:dyDescent="0.2">
      <c r="B62" s="125"/>
      <c r="C62" s="129"/>
      <c r="D62" s="129"/>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row>
    <row r="63" spans="2:57" x14ac:dyDescent="0.2">
      <c r="B63" s="125"/>
      <c r="C63" s="129"/>
      <c r="D63" s="129"/>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row>
    <row r="64" spans="2:57" x14ac:dyDescent="0.2">
      <c r="B64" s="125"/>
      <c r="C64" s="129"/>
      <c r="D64" s="129"/>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row>
    <row r="65" spans="2:57" x14ac:dyDescent="0.2">
      <c r="B65" s="125"/>
      <c r="C65" s="129"/>
      <c r="D65" s="129"/>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row>
    <row r="66" spans="2:57" x14ac:dyDescent="0.2">
      <c r="B66" s="125"/>
      <c r="C66" s="129"/>
      <c r="D66" s="129"/>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row>
    <row r="67" spans="2:57" x14ac:dyDescent="0.2">
      <c r="B67" s="125"/>
      <c r="C67" s="129"/>
      <c r="D67" s="129"/>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row>
    <row r="68" spans="2:57" x14ac:dyDescent="0.2">
      <c r="B68" s="125"/>
      <c r="C68" s="129"/>
      <c r="D68" s="129"/>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row>
    <row r="69" spans="2:57" x14ac:dyDescent="0.2">
      <c r="B69" s="125"/>
      <c r="C69" s="129"/>
      <c r="D69" s="129"/>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c r="BE69" s="45"/>
    </row>
    <row r="70" spans="2:57" x14ac:dyDescent="0.2">
      <c r="B70" s="125"/>
      <c r="C70" s="129"/>
      <c r="D70" s="129"/>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c r="BE70" s="45"/>
    </row>
    <row r="71" spans="2:57" x14ac:dyDescent="0.2">
      <c r="B71" s="125"/>
      <c r="C71" s="129"/>
      <c r="D71" s="129"/>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c r="BE71" s="45"/>
    </row>
    <row r="72" spans="2:57" x14ac:dyDescent="0.2">
      <c r="B72" s="125"/>
      <c r="C72" s="129"/>
      <c r="D72" s="129"/>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c r="BE72" s="45"/>
    </row>
    <row r="73" spans="2:57" x14ac:dyDescent="0.2">
      <c r="B73" s="125"/>
      <c r="C73" s="129"/>
      <c r="D73" s="129"/>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c r="BE73" s="45"/>
    </row>
    <row r="74" spans="2:57" x14ac:dyDescent="0.2">
      <c r="B74" s="125"/>
      <c r="C74" s="129"/>
      <c r="D74" s="129"/>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c r="BE74" s="45"/>
    </row>
    <row r="75" spans="2:57" x14ac:dyDescent="0.2">
      <c r="B75" s="125"/>
      <c r="C75" s="129"/>
      <c r="D75" s="129"/>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c r="BE75" s="45"/>
    </row>
    <row r="76" spans="2:57" x14ac:dyDescent="0.2">
      <c r="B76" s="125"/>
      <c r="C76" s="129"/>
      <c r="D76" s="129"/>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c r="BE76" s="45"/>
    </row>
    <row r="77" spans="2:57" x14ac:dyDescent="0.2">
      <c r="B77" s="125"/>
      <c r="C77" s="129"/>
      <c r="D77" s="129"/>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c r="BE77" s="45"/>
    </row>
    <row r="78" spans="2:57" x14ac:dyDescent="0.2">
      <c r="B78" s="125"/>
      <c r="C78" s="129"/>
      <c r="D78" s="129"/>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c r="BE78" s="45"/>
    </row>
    <row r="79" spans="2:57" x14ac:dyDescent="0.2">
      <c r="B79" s="125"/>
      <c r="C79" s="129"/>
      <c r="D79" s="129"/>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c r="BE79" s="45"/>
    </row>
    <row r="80" spans="2:57" x14ac:dyDescent="0.2">
      <c r="B80" s="125"/>
      <c r="C80" s="129"/>
      <c r="D80" s="129"/>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c r="BE80" s="45"/>
    </row>
    <row r="81" spans="2:57" x14ac:dyDescent="0.2">
      <c r="B81" s="125"/>
      <c r="C81" s="129"/>
      <c r="D81" s="129"/>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c r="BE81" s="45"/>
    </row>
    <row r="82" spans="2:57" x14ac:dyDescent="0.2">
      <c r="B82" s="125"/>
      <c r="C82" s="129"/>
      <c r="D82" s="129"/>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c r="BE82" s="45"/>
    </row>
    <row r="83" spans="2:57" x14ac:dyDescent="0.2">
      <c r="B83" s="125"/>
      <c r="C83" s="129"/>
      <c r="D83" s="129"/>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c r="BE83" s="45"/>
    </row>
    <row r="84" spans="2:57" x14ac:dyDescent="0.2">
      <c r="B84" s="125"/>
      <c r="C84" s="129"/>
      <c r="D84" s="129"/>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c r="BE84" s="45"/>
    </row>
    <row r="85" spans="2:57" x14ac:dyDescent="0.2">
      <c r="B85" s="125"/>
      <c r="C85" s="129"/>
      <c r="D85" s="129"/>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c r="BE85" s="45"/>
    </row>
    <row r="86" spans="2:57" x14ac:dyDescent="0.2">
      <c r="B86" s="125"/>
      <c r="C86" s="129"/>
      <c r="D86" s="129"/>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c r="BE86" s="45"/>
    </row>
    <row r="87" spans="2:57" x14ac:dyDescent="0.2">
      <c r="B87" s="125"/>
      <c r="C87" s="129"/>
      <c r="D87" s="129"/>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c r="BE87" s="45"/>
    </row>
    <row r="88" spans="2:57" x14ac:dyDescent="0.2">
      <c r="B88" s="125"/>
      <c r="C88" s="129"/>
      <c r="D88" s="129"/>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c r="BE88" s="45"/>
    </row>
    <row r="89" spans="2:57" x14ac:dyDescent="0.2">
      <c r="B89" s="125"/>
      <c r="C89" s="129"/>
      <c r="D89" s="129"/>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c r="BE89" s="45"/>
    </row>
    <row r="90" spans="2:57" x14ac:dyDescent="0.2">
      <c r="B90" s="125"/>
      <c r="C90" s="129"/>
      <c r="D90" s="129"/>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c r="BE90" s="45"/>
    </row>
    <row r="91" spans="2:57" x14ac:dyDescent="0.2">
      <c r="B91" s="125"/>
      <c r="C91" s="129"/>
      <c r="D91" s="129"/>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c r="BE91" s="45"/>
    </row>
    <row r="92" spans="2:57" x14ac:dyDescent="0.2">
      <c r="B92" s="125"/>
      <c r="C92" s="129"/>
      <c r="D92" s="129"/>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c r="BE92" s="45"/>
    </row>
    <row r="93" spans="2:57" x14ac:dyDescent="0.2">
      <c r="B93" s="125"/>
      <c r="C93" s="129"/>
      <c r="D93" s="129"/>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c r="BE93" s="45"/>
    </row>
    <row r="94" spans="2:57" x14ac:dyDescent="0.2">
      <c r="B94" s="125"/>
      <c r="C94" s="129"/>
      <c r="D94" s="129"/>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c r="BE94" s="45"/>
    </row>
    <row r="95" spans="2:57" x14ac:dyDescent="0.2">
      <c r="B95" s="125"/>
      <c r="C95" s="129"/>
      <c r="D95" s="129"/>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c r="BE95" s="45"/>
    </row>
    <row r="96" spans="2:57" x14ac:dyDescent="0.2">
      <c r="B96" s="125"/>
      <c r="C96" s="129"/>
      <c r="D96" s="129"/>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c r="BE96" s="45"/>
    </row>
    <row r="97" spans="2:57" x14ac:dyDescent="0.2">
      <c r="B97" s="125"/>
      <c r="C97" s="129"/>
      <c r="D97" s="129"/>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c r="BE97" s="45"/>
    </row>
    <row r="98" spans="2:57" x14ac:dyDescent="0.2">
      <c r="B98" s="125"/>
      <c r="C98" s="129"/>
      <c r="D98" s="129"/>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c r="BE98" s="45"/>
    </row>
    <row r="99" spans="2:57" x14ac:dyDescent="0.2">
      <c r="B99" s="125"/>
      <c r="C99" s="129"/>
      <c r="D99" s="129"/>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row>
    <row r="100" spans="2:57" x14ac:dyDescent="0.2">
      <c r="B100" s="125"/>
      <c r="C100" s="129"/>
      <c r="D100" s="129"/>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c r="BE100" s="45"/>
    </row>
    <row r="101" spans="2:57" x14ac:dyDescent="0.2">
      <c r="B101" s="125"/>
      <c r="C101" s="129"/>
      <c r="D101" s="129"/>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c r="BE101" s="45"/>
    </row>
    <row r="102" spans="2:57" x14ac:dyDescent="0.2">
      <c r="B102" s="125"/>
      <c r="C102" s="129"/>
      <c r="D102" s="129"/>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c r="BE102" s="45"/>
    </row>
    <row r="103" spans="2:57" x14ac:dyDescent="0.2">
      <c r="B103" s="125"/>
      <c r="C103" s="129"/>
      <c r="D103" s="129"/>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c r="BE103" s="45"/>
    </row>
    <row r="104" spans="2:57" x14ac:dyDescent="0.2">
      <c r="B104" s="125"/>
      <c r="C104" s="129"/>
      <c r="D104" s="129"/>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c r="BE104" s="45"/>
    </row>
    <row r="105" spans="2:57" x14ac:dyDescent="0.2">
      <c r="B105" s="125"/>
      <c r="C105" s="129"/>
      <c r="D105" s="129"/>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c r="BE105" s="45"/>
    </row>
    <row r="106" spans="2:57" x14ac:dyDescent="0.2">
      <c r="B106" s="125"/>
      <c r="C106" s="129"/>
      <c r="D106" s="129"/>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c r="BE106" s="45"/>
    </row>
    <row r="107" spans="2:57" x14ac:dyDescent="0.2">
      <c r="B107" s="125"/>
      <c r="C107" s="129"/>
      <c r="D107" s="129"/>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c r="BE107" s="45"/>
    </row>
    <row r="108" spans="2:57" x14ac:dyDescent="0.2">
      <c r="B108" s="125"/>
      <c r="C108" s="129"/>
      <c r="D108" s="129"/>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c r="BE108" s="45"/>
    </row>
    <row r="109" spans="2:57" x14ac:dyDescent="0.2">
      <c r="B109" s="125"/>
      <c r="C109" s="129"/>
      <c r="D109" s="129"/>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c r="BE109" s="45"/>
    </row>
    <row r="110" spans="2:57" x14ac:dyDescent="0.2">
      <c r="B110" s="125"/>
      <c r="C110" s="129"/>
      <c r="D110" s="129"/>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c r="BE110" s="45"/>
    </row>
    <row r="111" spans="2:57" x14ac:dyDescent="0.2">
      <c r="B111" s="125"/>
      <c r="C111" s="129"/>
      <c r="D111" s="129"/>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c r="BE111" s="45"/>
    </row>
    <row r="112" spans="2:57" x14ac:dyDescent="0.2">
      <c r="B112" s="125"/>
      <c r="C112" s="129"/>
      <c r="D112" s="129"/>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c r="BE112" s="45"/>
    </row>
    <row r="113" spans="2:57" x14ac:dyDescent="0.2">
      <c r="B113" s="125"/>
      <c r="C113" s="129"/>
      <c r="D113" s="129"/>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c r="BE113" s="45"/>
    </row>
    <row r="114" spans="2:57" x14ac:dyDescent="0.2">
      <c r="B114" s="125"/>
      <c r="C114" s="129"/>
      <c r="D114" s="129"/>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c r="BE114" s="45"/>
    </row>
    <row r="115" spans="2:57" x14ac:dyDescent="0.2">
      <c r="B115" s="125"/>
      <c r="C115" s="129"/>
      <c r="D115" s="129"/>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c r="BE115" s="45"/>
    </row>
    <row r="116" spans="2:57" x14ac:dyDescent="0.2">
      <c r="B116" s="125"/>
      <c r="C116" s="129"/>
      <c r="D116" s="129"/>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c r="BE116" s="45"/>
    </row>
    <row r="117" spans="2:57" x14ac:dyDescent="0.2">
      <c r="B117" s="125"/>
      <c r="C117" s="129"/>
      <c r="D117" s="129"/>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c r="BE117" s="45"/>
    </row>
    <row r="118" spans="2:57" x14ac:dyDescent="0.2">
      <c r="B118" s="125"/>
      <c r="C118" s="129"/>
      <c r="D118" s="129"/>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c r="BE118" s="45"/>
    </row>
    <row r="119" spans="2:57" x14ac:dyDescent="0.2">
      <c r="B119" s="125"/>
      <c r="C119" s="129"/>
      <c r="D119" s="129"/>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c r="BE119" s="45"/>
    </row>
    <row r="120" spans="2:57" x14ac:dyDescent="0.2">
      <c r="B120" s="125"/>
      <c r="C120" s="129"/>
      <c r="D120" s="129"/>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c r="BE120" s="45"/>
    </row>
    <row r="121" spans="2:57" x14ac:dyDescent="0.2">
      <c r="B121" s="125"/>
      <c r="C121" s="129"/>
      <c r="D121" s="129"/>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c r="BE121" s="45"/>
    </row>
    <row r="122" spans="2:57" x14ac:dyDescent="0.2">
      <c r="B122" s="125"/>
      <c r="C122" s="129"/>
      <c r="D122" s="129"/>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c r="BE122" s="45"/>
    </row>
    <row r="123" spans="2:57" x14ac:dyDescent="0.2">
      <c r="B123" s="125"/>
      <c r="C123" s="129"/>
      <c r="D123" s="129"/>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c r="BE123" s="45"/>
    </row>
    <row r="126" spans="2:57" x14ac:dyDescent="0.2">
      <c r="B126" s="125"/>
    </row>
    <row r="135" hidden="1" x14ac:dyDescent="0.2"/>
    <row r="136" hidden="1" x14ac:dyDescent="0.2"/>
    <row r="137" hidden="1" x14ac:dyDescent="0.2"/>
    <row r="138" hidden="1" x14ac:dyDescent="0.2"/>
    <row r="139" hidden="1" x14ac:dyDescent="0.2"/>
    <row r="140" hidden="1" x14ac:dyDescent="0.2"/>
    <row r="141" hidden="1" x14ac:dyDescent="0.2"/>
    <row r="142" hidden="1" x14ac:dyDescent="0.2"/>
    <row r="143" hidden="1" x14ac:dyDescent="0.2"/>
    <row r="144" hidden="1" x14ac:dyDescent="0.2"/>
    <row r="145" hidden="1" x14ac:dyDescent="0.2"/>
    <row r="146"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row r="175" hidden="1" x14ac:dyDescent="0.2"/>
    <row r="176" hidden="1" x14ac:dyDescent="0.2"/>
    <row r="177" hidden="1" x14ac:dyDescent="0.2"/>
    <row r="178" hidden="1" x14ac:dyDescent="0.2"/>
    <row r="179" hidden="1" x14ac:dyDescent="0.2"/>
    <row r="180" hidden="1" x14ac:dyDescent="0.2"/>
    <row r="181" hidden="1" x14ac:dyDescent="0.2"/>
    <row r="182" hidden="1" x14ac:dyDescent="0.2"/>
    <row r="183" hidden="1" x14ac:dyDescent="0.2"/>
    <row r="184" hidden="1" x14ac:dyDescent="0.2"/>
    <row r="185" hidden="1" x14ac:dyDescent="0.2"/>
    <row r="186" hidden="1" x14ac:dyDescent="0.2"/>
    <row r="187" hidden="1" x14ac:dyDescent="0.2"/>
    <row r="188" hidden="1" x14ac:dyDescent="0.2"/>
    <row r="189" hidden="1" x14ac:dyDescent="0.2"/>
    <row r="190" hidden="1" x14ac:dyDescent="0.2"/>
    <row r="191" hidden="1" x14ac:dyDescent="0.2"/>
    <row r="192" hidden="1" x14ac:dyDescent="0.2"/>
    <row r="193" hidden="1" x14ac:dyDescent="0.2"/>
    <row r="194" hidden="1" x14ac:dyDescent="0.2"/>
    <row r="195" hidden="1" x14ac:dyDescent="0.2"/>
    <row r="196" hidden="1" x14ac:dyDescent="0.2"/>
    <row r="197" hidden="1" x14ac:dyDescent="0.2"/>
    <row r="198" hidden="1" x14ac:dyDescent="0.2"/>
    <row r="199" hidden="1" x14ac:dyDescent="0.2"/>
    <row r="200" hidden="1" x14ac:dyDescent="0.2"/>
    <row r="201" hidden="1" x14ac:dyDescent="0.2"/>
    <row r="202" hidden="1" x14ac:dyDescent="0.2"/>
    <row r="203" hidden="1" x14ac:dyDescent="0.2"/>
    <row r="204" hidden="1" x14ac:dyDescent="0.2"/>
    <row r="205" hidden="1" x14ac:dyDescent="0.2"/>
    <row r="206" hidden="1" x14ac:dyDescent="0.2"/>
    <row r="207" hidden="1" x14ac:dyDescent="0.2"/>
    <row r="208" hidden="1" x14ac:dyDescent="0.2"/>
    <row r="209" hidden="1" x14ac:dyDescent="0.2"/>
    <row r="210" hidden="1" x14ac:dyDescent="0.2"/>
    <row r="211" hidden="1" x14ac:dyDescent="0.2"/>
    <row r="212" hidden="1" x14ac:dyDescent="0.2"/>
    <row r="213" hidden="1" x14ac:dyDescent="0.2"/>
    <row r="214" hidden="1" x14ac:dyDescent="0.2"/>
    <row r="215" hidden="1" x14ac:dyDescent="0.2"/>
    <row r="216" hidden="1" x14ac:dyDescent="0.2"/>
    <row r="217" hidden="1" x14ac:dyDescent="0.2"/>
    <row r="218" hidden="1" x14ac:dyDescent="0.2"/>
    <row r="219" hidden="1" x14ac:dyDescent="0.2"/>
    <row r="220" hidden="1" x14ac:dyDescent="0.2"/>
    <row r="221" hidden="1" x14ac:dyDescent="0.2"/>
    <row r="222" hidden="1" x14ac:dyDescent="0.2"/>
    <row r="223" hidden="1" x14ac:dyDescent="0.2"/>
    <row r="224" hidden="1" x14ac:dyDescent="0.2"/>
    <row r="225" hidden="1" x14ac:dyDescent="0.2"/>
    <row r="226" hidden="1" x14ac:dyDescent="0.2"/>
    <row r="227" hidden="1" x14ac:dyDescent="0.2"/>
    <row r="228" hidden="1" x14ac:dyDescent="0.2"/>
    <row r="229" hidden="1" x14ac:dyDescent="0.2"/>
    <row r="230" hidden="1" x14ac:dyDescent="0.2"/>
    <row r="231" hidden="1" x14ac:dyDescent="0.2"/>
    <row r="232" hidden="1" x14ac:dyDescent="0.2"/>
    <row r="233" hidden="1" x14ac:dyDescent="0.2"/>
    <row r="234" hidden="1" x14ac:dyDescent="0.2"/>
  </sheetData>
  <sheetProtection algorithmName="SHA-512" hashValue="GOnAaT+M/H/uZIZJ7mgKofBWB3zz4zSxU0spm4zi8b5ucg7mIGVt3E12gaz1f8lpEHDKEiXTKcn9letsPg9nhA==" saltValue="P4fkiKFOTJkY28KclXRM7Q==" spinCount="100000" sheet="1" objects="1" scenarios="1"/>
  <mergeCells count="2">
    <mergeCell ref="B22:B24"/>
    <mergeCell ref="C22:D23"/>
  </mergeCells>
  <conditionalFormatting sqref="F25:BE123 B25:D123">
    <cfRule type="expression" dxfId="3" priority="4">
      <formula>IF($B25="",FALSE,TRUE)</formula>
    </cfRule>
  </conditionalFormatting>
  <conditionalFormatting sqref="C26:C123">
    <cfRule type="expression" dxfId="2" priority="3">
      <formula>IF($B26&lt;&gt;"",TRUE,FALSE)</formula>
    </cfRule>
  </conditionalFormatting>
  <conditionalFormatting sqref="B14:D18 B10:D10 B11:C12 D12:D13">
    <cfRule type="expression" dxfId="1" priority="2">
      <formula>IF($C$8="No",TRUE, FALSE)</formula>
    </cfRule>
  </conditionalFormatting>
  <conditionalFormatting sqref="C13">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1</formula2>
    </dataValidation>
    <dataValidation type="decimal" allowBlank="1" showInputMessage="1" showErrorMessage="1" sqref="C11" xr:uid="{00000000-0002-0000-1A00-000003000000}">
      <formula1>-1</formula1>
      <formula2>10</formula2>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2762" r:id="rId4" name="Button 10">
              <controlPr defaultSize="0" print="0" autoFill="0" autoPict="0" macro="[0]!Planning_Scenarios.export_scenario">
                <anchor moveWithCells="1" sizeWithCells="1">
                  <from>
                    <xdr:col>58</xdr:col>
                    <xdr:colOff>38100</xdr:colOff>
                    <xdr:row>2</xdr:row>
                    <xdr:rowOff>57150</xdr:rowOff>
                  </from>
                  <to>
                    <xdr:col>60</xdr:col>
                    <xdr:colOff>19050</xdr:colOff>
                    <xdr:row>4</xdr:row>
                    <xdr:rowOff>104775</xdr:rowOff>
                  </to>
                </anchor>
              </controlPr>
            </control>
          </mc:Choice>
        </mc:AlternateContent>
        <mc:AlternateContent xmlns:mc="http://schemas.openxmlformats.org/markup-compatibility/2006">
          <mc:Choice Requires="x14">
            <control shapeId="202763" r:id="rId5" name="Button 11">
              <controlPr defaultSize="0" print="0" autoFill="0" autoPict="0" macro="[0]!Planning_Scenarios.Import_scenario">
                <anchor moveWithCells="1" sizeWithCells="1">
                  <from>
                    <xdr:col>58</xdr:col>
                    <xdr:colOff>38100</xdr:colOff>
                    <xdr:row>5</xdr:row>
                    <xdr:rowOff>142875</xdr:rowOff>
                  </from>
                  <to>
                    <xdr:col>60</xdr:col>
                    <xdr:colOff>19050</xdr:colOff>
                    <xdr:row>8</xdr:row>
                    <xdr:rowOff>28575</xdr:rowOff>
                  </to>
                </anchor>
              </controlPr>
            </control>
          </mc:Choice>
        </mc:AlternateContent>
        <mc:AlternateContent xmlns:mc="http://schemas.openxmlformats.org/markup-compatibility/2006">
          <mc:Choice Requires="x14">
            <control shapeId="202764" r:id="rId6" name="Button 12">
              <controlPr defaultSize="0" print="0" autoFill="0" autoPict="0" macro="[0]!Delete_Planning_Scenario">
                <anchor moveWithCells="1" sizeWithCells="1">
                  <from>
                    <xdr:col>58</xdr:col>
                    <xdr:colOff>38100</xdr:colOff>
                    <xdr:row>9</xdr:row>
                    <xdr:rowOff>133350</xdr:rowOff>
                  </from>
                  <to>
                    <xdr:col>60</xdr:col>
                    <xdr:colOff>28575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91F69-0718-483C-B611-1EF64CB760F2}">
  <sheetPr codeName="Sheet31"/>
  <dimension ref="A1:J5"/>
  <sheetViews>
    <sheetView workbookViewId="0">
      <selection activeCell="A4" sqref="A4:J5"/>
    </sheetView>
  </sheetViews>
  <sheetFormatPr defaultColWidth="8.75" defaultRowHeight="14.25" x14ac:dyDescent="0.2"/>
  <cols>
    <col min="1" max="1" width="16.75" style="67" bestFit="1" customWidth="1"/>
    <col min="2" max="14" width="8.75" style="67"/>
    <col min="15" max="15" width="22" style="67" customWidth="1"/>
    <col min="16" max="16384" width="8.75" style="67"/>
  </cols>
  <sheetData>
    <row r="1" spans="1:10" x14ac:dyDescent="0.2">
      <c r="A1" s="67" t="s">
        <v>1265</v>
      </c>
      <c r="B1" s="67">
        <v>2</v>
      </c>
    </row>
    <row r="3" spans="1:10" x14ac:dyDescent="0.2">
      <c r="A3" s="67" t="s">
        <v>1244</v>
      </c>
      <c r="B3" s="67" t="s">
        <v>14</v>
      </c>
      <c r="C3" s="67" t="s">
        <v>1245</v>
      </c>
      <c r="D3" s="67" t="s">
        <v>1246</v>
      </c>
      <c r="E3" s="67" t="s">
        <v>529</v>
      </c>
      <c r="F3" s="67" t="s">
        <v>75</v>
      </c>
      <c r="G3" s="67" t="s">
        <v>1247</v>
      </c>
      <c r="H3" s="67" t="s">
        <v>99</v>
      </c>
      <c r="I3" s="67" t="s">
        <v>1248</v>
      </c>
      <c r="J3" s="67" t="s">
        <v>391</v>
      </c>
    </row>
    <row r="4" spans="1:10" x14ac:dyDescent="0.2">
      <c r="A4" t="s">
        <v>1266</v>
      </c>
      <c r="B4" t="s">
        <v>19</v>
      </c>
      <c r="C4" s="317">
        <v>44039</v>
      </c>
      <c r="D4" t="s">
        <v>20</v>
      </c>
      <c r="E4">
        <v>0.2</v>
      </c>
      <c r="F4">
        <v>0.05</v>
      </c>
      <c r="G4">
        <v>0.12</v>
      </c>
      <c r="H4">
        <v>0.05</v>
      </c>
      <c r="I4">
        <v>0.25</v>
      </c>
      <c r="J4" t="s">
        <v>22</v>
      </c>
    </row>
    <row r="5" spans="1:10" x14ac:dyDescent="0.2">
      <c r="A5" s="67" t="s">
        <v>1293</v>
      </c>
      <c r="B5" s="67" t="s">
        <v>21</v>
      </c>
      <c r="C5" s="317">
        <v>43969</v>
      </c>
      <c r="D5" s="67" t="s">
        <v>20</v>
      </c>
      <c r="E5" s="67">
        <v>0.05</v>
      </c>
      <c r="J5" s="67" t="s">
        <v>22</v>
      </c>
    </row>
  </sheetData>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306"/>
  <sheetViews>
    <sheetView workbookViewId="0">
      <selection activeCell="C4" sqref="C4"/>
    </sheetView>
  </sheetViews>
  <sheetFormatPr defaultRowHeight="14.25" x14ac:dyDescent="0.2"/>
  <cols>
    <col min="1" max="1" width="16.75" bestFit="1" customWidth="1"/>
    <col min="2" max="2" width="9.75" bestFit="1" customWidth="1"/>
    <col min="3" max="4" width="9" hidden="1" customWidth="1"/>
    <col min="7" max="7" width="9" style="67"/>
    <col min="8" max="8" width="9" style="67" hidden="1" customWidth="1"/>
    <col min="30" max="30" width="11.75" bestFit="1" customWidth="1"/>
    <col min="31" max="31" width="10.75" customWidth="1"/>
    <col min="32" max="32" width="9" customWidth="1"/>
  </cols>
  <sheetData>
    <row r="1" spans="1:31" x14ac:dyDescent="0.2">
      <c r="A1" t="s">
        <v>556</v>
      </c>
    </row>
    <row r="2" spans="1:31" x14ac:dyDescent="0.2">
      <c r="B2" s="87"/>
      <c r="C2" t="s">
        <v>519</v>
      </c>
      <c r="E2" t="s">
        <v>494</v>
      </c>
      <c r="I2" t="s">
        <v>520</v>
      </c>
    </row>
    <row r="3" spans="1:31" x14ac:dyDescent="0.2">
      <c r="A3" t="s">
        <v>517</v>
      </c>
      <c r="B3" t="s">
        <v>518</v>
      </c>
      <c r="C3" t="s">
        <v>165</v>
      </c>
      <c r="D3" t="s">
        <v>166</v>
      </c>
      <c r="E3" t="s">
        <v>480</v>
      </c>
      <c r="F3" t="s">
        <v>481</v>
      </c>
      <c r="G3" s="67" t="s">
        <v>57</v>
      </c>
      <c r="H3" s="67" t="s">
        <v>313</v>
      </c>
      <c r="I3" s="35"/>
      <c r="J3" s="35" t="str">
        <f ca="1">IF(OFFSET(Planning!$B$25,COLUMN(A$1),0,1,1)="","",OFFSET(Planning!$B$25,COLUMN(A$1),0,1,1))</f>
        <v>Bank holiday cover</v>
      </c>
      <c r="K3" s="35" t="str">
        <f ca="1">IF(OFFSET(Planning!$B$25,COLUMN(B$1),0,1,1)="","",OFFSET(Planning!$B$25,COLUMN(B$1),0,1,1))</f>
        <v>Locum</v>
      </c>
      <c r="L3" s="35" t="str">
        <f ca="1">IF(OFFSET(Planning!$B$25,COLUMN(C$1),0,1,1)="","",OFFSET(Planning!$B$25,COLUMN(C$1),0,1,1))</f>
        <v/>
      </c>
      <c r="M3" s="35" t="str">
        <f ca="1">IF(OFFSET(Planning!$B$25,COLUMN(D$1),0,1,1)="","",OFFSET(Planning!$B$25,COLUMN(D$1),0,1,1))</f>
        <v/>
      </c>
      <c r="N3" s="35" t="str">
        <f ca="1">IF(OFFSET(Planning!$B$25,COLUMN(E$1),0,1,1)="","",OFFSET(Planning!$B$25,COLUMN(E$1),0,1,1))</f>
        <v/>
      </c>
      <c r="O3" s="35" t="str">
        <f ca="1">IF(OFFSET(Planning!$B$25,COLUMN(F$1),0,1,1)="","",OFFSET(Planning!$B$25,COLUMN(F$1),0,1,1))</f>
        <v/>
      </c>
      <c r="P3" s="35" t="str">
        <f ca="1">IF(OFFSET(Planning!$B$25,COLUMN(G$1),0,1,1)="","",OFFSET(Planning!$B$25,COLUMN(G$1),0,1,1))</f>
        <v/>
      </c>
      <c r="Q3" s="35" t="str">
        <f ca="1">IF(OFFSET(Planning!$B$25,COLUMN(H$1),0,1,1)="","",OFFSET(Planning!$B$25,COLUMN(H$1),0,1,1))</f>
        <v/>
      </c>
      <c r="R3" s="35" t="str">
        <f ca="1">IF(OFFSET(Planning!$B$25,COLUMN(I$1),0,1,1)="","",OFFSET(Planning!$B$25,COLUMN(I$1),0,1,1))</f>
        <v/>
      </c>
      <c r="S3" s="35" t="str">
        <f ca="1">IF(OFFSET(Planning!$B$25,COLUMN(J$1),0,1,1)="","",OFFSET(Planning!$B$25,COLUMN(J$1),0,1,1))</f>
        <v/>
      </c>
      <c r="T3" s="35" t="str">
        <f ca="1">IF(OFFSET(Planning!$B$25,COLUMN(K$1),0,1,1)="","",OFFSET(Planning!$B$25,COLUMN(K$1),0,1,1))</f>
        <v/>
      </c>
      <c r="U3" s="35" t="str">
        <f ca="1">IF(OFFSET(Planning!$B$25,COLUMN(L$1),0,1,1)="","",OFFSET(Planning!$B$25,COLUMN(L$1),0,1,1))</f>
        <v/>
      </c>
      <c r="V3" s="35" t="str">
        <f ca="1">IF(OFFSET(Planning!$B$25,COLUMN(M$1),0,1,1)="","",OFFSET(Planning!$B$25,COLUMN(M$1),0,1,1))</f>
        <v/>
      </c>
      <c r="W3" s="35" t="str">
        <f ca="1">IF(OFFSET(Planning!$B$25,COLUMN(N$1),0,1,1)="","",OFFSET(Planning!$B$25,COLUMN(N$1),0,1,1))</f>
        <v/>
      </c>
      <c r="X3" s="35" t="str">
        <f ca="1">IF(OFFSET(Planning!$B$25,COLUMN(O$1),0,1,1)="","",OFFSET(Planning!$B$25,COLUMN(O$1),0,1,1))</f>
        <v/>
      </c>
      <c r="Y3" s="35" t="str">
        <f ca="1">IF(OFFSET(Planning!$B$25,COLUMN(P$1),0,1,1)="","",OFFSET(Planning!$B$25,COLUMN(P$1),0,1,1))</f>
        <v/>
      </c>
      <c r="Z3" s="35" t="str">
        <f ca="1">IF(OFFSET(Planning!$B$25,COLUMN(Q$1),0,1,1)="","",OFFSET(Planning!$B$25,COLUMN(Q$1),0,1,1))</f>
        <v/>
      </c>
      <c r="AA3" s="35" t="str">
        <f ca="1">IF(OFFSET(Planning!$B$25,COLUMN(R$1),0,1,1)="","",OFFSET(Planning!$B$25,COLUMN(R$1),0,1,1))</f>
        <v/>
      </c>
      <c r="AB3" s="35" t="str">
        <f ca="1">IF(OFFSET(Planning!$B$25,COLUMN(S$1),0,1,1)="","",OFFSET(Planning!$B$25,COLUMN(S$1),0,1,1))</f>
        <v/>
      </c>
      <c r="AC3" s="35" t="str">
        <f ca="1">IF(OFFSET(Planning!$B$25,COLUMN(T$1),0,1,1)="","",OFFSET(Planning!$B$25,COLUMN(T$1),0,1,1))</f>
        <v/>
      </c>
      <c r="AD3" t="s">
        <v>1161</v>
      </c>
      <c r="AE3" t="s">
        <v>1162</v>
      </c>
    </row>
    <row r="4" spans="1:31" x14ac:dyDescent="0.2">
      <c r="A4" s="87">
        <f ca="1">IF(Planning!$C$6="",TODAY()-WEEKDAY(TODAY(),3)+7,Planning!$C$6)</f>
        <v>44424</v>
      </c>
      <c r="B4">
        <f ca="1">WEEKNUM(A4,21)</f>
        <v>33</v>
      </c>
      <c r="C4" s="5" t="e">
        <f ca="1">IF(Planning!$C$8="No",VLOOKUP(B4,'Summary Calculations (hide)'!$D$15:$U$67,17,0),IF('Demand adjustments for Covid'!$F$9="Yes",'Demand background (hide)'!DS4+SUM('Demand background (hide)'!DV4:DW4),VLOOKUP(B4,'Summary Calculations (hide)'!$D$15:$F$67,2,0))*IF(Planning!$C$11="",1,1+Planning!$C$11)*'Summary Calculations (hide)'!$L$4/IF(Summary!$C$8="Patients",'Summary Calculations (hide)'!$I$9,1))</f>
        <v>#N/A</v>
      </c>
      <c r="D4" s="5" t="e">
        <f ca="1">IF(Planning!$C$8="No",VLOOKUP('Planning (hide)'!B4,'Summary Calculations (hide)'!$D$15:$U$67,18,0),IF('Demand adjustments for Covid'!$F$9="Yes",'Demand background (hide)'!DX4,VLOOKUP(B4,'Summary Calculations (hide)'!$D$15:$F$67,3,0))*IF(Planning!$C$11="",1,1+Planning!$C$11)*'Summary Calculations (hide)'!$L$4/IF(Summary!$C$8="Patients",'Summary Calculations (hide)'!$I$9,1))-IF(Planning!$C$8="No",0,C4)</f>
        <v>#N/A</v>
      </c>
      <c r="E4" s="5">
        <f ca="1">VLOOKUP($B4,'Summary Calculations (hide)'!$D$15:$U$67,15,0)</f>
        <v>0</v>
      </c>
      <c r="F4" s="5">
        <f ca="1">VLOOKUP($B4,'Summary Calculations (hide)'!$D$15:$U$67,16,0)</f>
        <v>0</v>
      </c>
      <c r="G4" s="5">
        <f ca="1">SUM(E4:F4)</f>
        <v>0</v>
      </c>
      <c r="H4" s="5">
        <f ca="1">IF(G4+SUM(I4:AC4)&lt;0,0,G4+SUM(I4:AC4))</f>
        <v>0</v>
      </c>
      <c r="I4">
        <f ca="1">IF(OFFSET(Planning!$E$25,0,ROW(A1),1,1)&lt;&gt;"",-'Planning (hide)'!$G4,0)</f>
        <v>0</v>
      </c>
      <c r="J4">
        <f ca="1">IF(OFFSET(Planning!$E$25,COLUMN(A1),ROW(A1),1,1)&lt;&gt;"",OFFSET(Planning!$D$25,COLUMN(A1),0,1,1),0)</f>
        <v>0</v>
      </c>
      <c r="K4" s="67">
        <f ca="1">IF(OFFSET(Planning!$E$25,COLUMN(B1),ROW(B1),1,1)&lt;&gt;"",OFFSET(Planning!$D$25,COLUMN(B1),0,1,1),0)</f>
        <v>0</v>
      </c>
      <c r="L4" s="67">
        <f ca="1">IF(OFFSET(Planning!$E$25,COLUMN(C1),ROW(C1),1,1)&lt;&gt;"",OFFSET(Planning!$D$25,COLUMN(C1),0,1,1),0)</f>
        <v>0</v>
      </c>
      <c r="M4" s="67">
        <f ca="1">IF(OFFSET(Planning!$E$25,COLUMN(D1),ROW(D1),1,1)&lt;&gt;"",OFFSET(Planning!$D$25,COLUMN(D1),0,1,1),0)</f>
        <v>0</v>
      </c>
      <c r="N4" s="67">
        <f ca="1">IF(OFFSET(Planning!$E$25,COLUMN(E1),ROW(E1),1,1)&lt;&gt;"",OFFSET(Planning!$D$25,COLUMN(E1),0,1,1),0)</f>
        <v>0</v>
      </c>
      <c r="O4" s="67">
        <f ca="1">IF(OFFSET(Planning!$E$25,COLUMN(F1),ROW(F1),1,1)&lt;&gt;"",OFFSET(Planning!$D$25,COLUMN(F1),0,1,1),0)</f>
        <v>0</v>
      </c>
      <c r="P4" s="67">
        <f ca="1">IF(OFFSET(Planning!$E$25,COLUMN(G1),ROW(G1),1,1)&lt;&gt;"",OFFSET(Planning!$D$25,COLUMN(G1),0,1,1),0)</f>
        <v>0</v>
      </c>
      <c r="Q4" s="67">
        <f ca="1">IF(OFFSET(Planning!$E$25,COLUMN(H1),ROW(H1),1,1)&lt;&gt;"",OFFSET(Planning!$D$25,COLUMN(H1),0,1,1),0)</f>
        <v>0</v>
      </c>
      <c r="R4" s="67">
        <f ca="1">IF(OFFSET(Planning!$E$25,COLUMN(I1),ROW(I1),1,1)&lt;&gt;"",OFFSET(Planning!$D$25,COLUMN(I1),0,1,1),0)</f>
        <v>0</v>
      </c>
      <c r="S4" s="67">
        <f ca="1">IF(OFFSET(Planning!$E$25,COLUMN(J1),ROW(J1),1,1)&lt;&gt;"",OFFSET(Planning!$D$25,COLUMN(J1),0,1,1),0)</f>
        <v>0</v>
      </c>
      <c r="T4" s="67">
        <f ca="1">IF(OFFSET(Planning!$E$25,COLUMN(K1),ROW(K1),1,1)&lt;&gt;"",OFFSET(Planning!$D$25,COLUMN(K1),0,1,1),0)</f>
        <v>0</v>
      </c>
      <c r="U4" s="67">
        <f ca="1">IF(OFFSET(Planning!$E$25,COLUMN(L1),ROW(L1),1,1)&lt;&gt;"",OFFSET(Planning!$D$25,COLUMN(L1),0,1,1),0)</f>
        <v>0</v>
      </c>
      <c r="V4" s="67">
        <f ca="1">IF(OFFSET(Planning!$E$25,COLUMN(M1),ROW(M1),1,1)&lt;&gt;"",OFFSET(Planning!$D$25,COLUMN(M1),0,1,1),0)</f>
        <v>0</v>
      </c>
      <c r="W4" s="67">
        <f ca="1">IF(OFFSET(Planning!$E$25,COLUMN(N1),ROW(N1),1,1)&lt;&gt;"",OFFSET(Planning!$D$25,COLUMN(N1),0,1,1),0)</f>
        <v>0</v>
      </c>
      <c r="X4" s="67">
        <f ca="1">IF(OFFSET(Planning!$E$25,COLUMN(O1),ROW(O1),1,1)&lt;&gt;"",OFFSET(Planning!$D$25,COLUMN(O1),0,1,1),0)</f>
        <v>0</v>
      </c>
      <c r="Y4" s="67">
        <f ca="1">IF(OFFSET(Planning!$E$25,COLUMN(P1),ROW(P1),1,1)&lt;&gt;"",OFFSET(Planning!$D$25,COLUMN(P1),0,1,1),0)</f>
        <v>0</v>
      </c>
      <c r="Z4" s="67">
        <f ca="1">IF(OFFSET(Planning!$E$25,COLUMN(Q1),ROW(Q1),1,1)&lt;&gt;"",OFFSET(Planning!$D$25,COLUMN(Q1),0,1,1),0)</f>
        <v>0</v>
      </c>
      <c r="AA4" s="67">
        <f ca="1">IF(OFFSET(Planning!$E$25,COLUMN(R1),ROW(R1),1,1)&lt;&gt;"",OFFSET(Planning!$D$25,COLUMN(R1),0,1,1),0)</f>
        <v>0</v>
      </c>
      <c r="AB4" s="67">
        <f ca="1">IF(OFFSET(Planning!$E$25,COLUMN(S1),ROW(S1),1,1)&lt;&gt;"",OFFSET(Planning!$D$25,COLUMN(S1),0,1,1),0)</f>
        <v>0</v>
      </c>
      <c r="AC4" s="67">
        <f ca="1">IF(OFFSET(Planning!$E$25,COLUMN(T1),ROW(T1),1,1)&lt;&gt;"",OFFSET(Planning!$D$25,COLUMN(T1),0,1,1),0)</f>
        <v>0</v>
      </c>
      <c r="AD4" t="e">
        <f ca="1">VLOOKUP($B4,'Summary Calculations (hide)'!$D$15:$U$67,17,0)</f>
        <v>#N/A</v>
      </c>
      <c r="AE4" s="67" t="e">
        <f ca="1">VLOOKUP($B4,'Summary Calculations (hide)'!$D$15:$U$67,18,0)</f>
        <v>#N/A</v>
      </c>
    </row>
    <row r="5" spans="1:31" x14ac:dyDescent="0.2">
      <c r="A5" s="87">
        <f ca="1">A4+7</f>
        <v>44431</v>
      </c>
      <c r="B5" s="67">
        <f t="shared" ref="B5:B55" ca="1" si="0">WEEKNUM(A5,21)</f>
        <v>34</v>
      </c>
      <c r="C5" s="5" t="e">
        <f ca="1">IF(Planning!$C$8="No",VLOOKUP(B5,'Summary Calculations (hide)'!$D$15:$U$67,17,0),IF('Demand adjustments for Covid'!$F$9="Yes",'Demand background (hide)'!DS5+SUM('Demand background (hide)'!DV5:DW5),VLOOKUP(B5,'Summary Calculations (hide)'!$D$15:$F$67,2,0))*IF(Planning!$C$11="",1,1+Planning!$C$11)*'Summary Calculations (hide)'!$L$4/IF(Summary!$C$8="Patients",'Summary Calculations (hide)'!$I$9,1))</f>
        <v>#N/A</v>
      </c>
      <c r="D5" s="5" t="e">
        <f ca="1">IF(Planning!$C$8="No",VLOOKUP('Planning (hide)'!B5,'Summary Calculations (hide)'!$D$15:$U$67,18,0),IF('Demand adjustments for Covid'!$F$9="Yes",'Demand background (hide)'!DX5,VLOOKUP(B5,'Summary Calculations (hide)'!$D$15:$F$67,3,0))*IF(Planning!$C$11="",1,1+Planning!$C$11)*'Summary Calculations (hide)'!$L$4/IF(Summary!$C$8="Patients",'Summary Calculations (hide)'!$I$9,1))-IF(Planning!$C$8="No",0,C5)</f>
        <v>#N/A</v>
      </c>
      <c r="E5" s="5">
        <f ca="1">VLOOKUP($B5,'Summary Calculations (hide)'!$D$15:$U$67,15,0)</f>
        <v>0</v>
      </c>
      <c r="F5" s="5">
        <f ca="1">VLOOKUP($B5,'Summary Calculations (hide)'!$D$15:$U$67,16,0)</f>
        <v>0</v>
      </c>
      <c r="G5" s="5">
        <f t="shared" ref="G5:G55" ca="1" si="1">SUM(E5:F5)</f>
        <v>0</v>
      </c>
      <c r="H5" s="5">
        <f t="shared" ref="H5:H55" ca="1" si="2">IF(G5+SUM(I5:AC5)&lt;0,0,G5+SUM(I5:AC5))</f>
        <v>0</v>
      </c>
      <c r="I5" s="67">
        <f ca="1">IF(OFFSET(Planning!$E$25,0,ROW(A2),1,1)&lt;&gt;"",-'Planning (hide)'!$G5,0)</f>
        <v>0</v>
      </c>
      <c r="J5" s="67">
        <f ca="1">IF(OFFSET(Planning!$E$25,COLUMN(A2),ROW(A2),1,1)&lt;&gt;"",OFFSET(Planning!$D$25,COLUMN(A2),0,1,1),0)</f>
        <v>0</v>
      </c>
      <c r="K5" s="67">
        <f ca="1">IF(OFFSET(Planning!$E$25,COLUMN(B2),ROW(B2),1,1)&lt;&gt;"",OFFSET(Planning!$D$25,COLUMN(B2),0,1,1),0)</f>
        <v>0</v>
      </c>
      <c r="L5" s="67">
        <f ca="1">IF(OFFSET(Planning!$E$25,COLUMN(C2),ROW(C2),1,1)&lt;&gt;"",OFFSET(Planning!$D$25,COLUMN(C2),0,1,1),0)</f>
        <v>0</v>
      </c>
      <c r="M5" s="67">
        <f ca="1">IF(OFFSET(Planning!$E$25,COLUMN(D2),ROW(D2),1,1)&lt;&gt;"",OFFSET(Planning!$D$25,COLUMN(D2),0,1,1),0)</f>
        <v>0</v>
      </c>
      <c r="N5" s="67">
        <f ca="1">IF(OFFSET(Planning!$E$25,COLUMN(E2),ROW(E2),1,1)&lt;&gt;"",OFFSET(Planning!$D$25,COLUMN(E2),0,1,1),0)</f>
        <v>0</v>
      </c>
      <c r="O5" s="67">
        <f ca="1">IF(OFFSET(Planning!$E$25,COLUMN(F2),ROW(F2),1,1)&lt;&gt;"",OFFSET(Planning!$D$25,COLUMN(F2),0,1,1),0)</f>
        <v>0</v>
      </c>
      <c r="P5" s="67">
        <f ca="1">IF(OFFSET(Planning!$E$25,COLUMN(G2),ROW(G2),1,1)&lt;&gt;"",OFFSET(Planning!$D$25,COLUMN(G2),0,1,1),0)</f>
        <v>0</v>
      </c>
      <c r="Q5" s="67">
        <f ca="1">IF(OFFSET(Planning!$E$25,COLUMN(H2),ROW(H2),1,1)&lt;&gt;"",OFFSET(Planning!$D$25,COLUMN(H2),0,1,1),0)</f>
        <v>0</v>
      </c>
      <c r="R5" s="67">
        <f ca="1">IF(OFFSET(Planning!$E$25,COLUMN(I2),ROW(I2),1,1)&lt;&gt;"",OFFSET(Planning!$D$25,COLUMN(I2),0,1,1),0)</f>
        <v>0</v>
      </c>
      <c r="S5" s="67">
        <f ca="1">IF(OFFSET(Planning!$E$25,COLUMN(J2),ROW(J2),1,1)&lt;&gt;"",OFFSET(Planning!$D$25,COLUMN(J2),0,1,1),0)</f>
        <v>0</v>
      </c>
      <c r="T5" s="67">
        <f ca="1">IF(OFFSET(Planning!$E$25,COLUMN(K2),ROW(K2),1,1)&lt;&gt;"",OFFSET(Planning!$D$25,COLUMN(K2),0,1,1),0)</f>
        <v>0</v>
      </c>
      <c r="U5" s="67">
        <f ca="1">IF(OFFSET(Planning!$E$25,COLUMN(L2),ROW(L2),1,1)&lt;&gt;"",OFFSET(Planning!$D$25,COLUMN(L2),0,1,1),0)</f>
        <v>0</v>
      </c>
      <c r="V5" s="67">
        <f ca="1">IF(OFFSET(Planning!$E$25,COLUMN(M2),ROW(M2),1,1)&lt;&gt;"",OFFSET(Planning!$D$25,COLUMN(M2),0,1,1),0)</f>
        <v>0</v>
      </c>
      <c r="W5" s="67">
        <f ca="1">IF(OFFSET(Planning!$E$25,COLUMN(N2),ROW(N2),1,1)&lt;&gt;"",OFFSET(Planning!$D$25,COLUMN(N2),0,1,1),0)</f>
        <v>0</v>
      </c>
      <c r="X5" s="67">
        <f ca="1">IF(OFFSET(Planning!$E$25,COLUMN(O2),ROW(O2),1,1)&lt;&gt;"",OFFSET(Planning!$D$25,COLUMN(O2),0,1,1),0)</f>
        <v>0</v>
      </c>
      <c r="Y5" s="67">
        <f ca="1">IF(OFFSET(Planning!$E$25,COLUMN(P2),ROW(P2),1,1)&lt;&gt;"",OFFSET(Planning!$D$25,COLUMN(P2),0,1,1),0)</f>
        <v>0</v>
      </c>
      <c r="Z5" s="67">
        <f ca="1">IF(OFFSET(Planning!$E$25,COLUMN(Q2),ROW(Q2),1,1)&lt;&gt;"",OFFSET(Planning!$D$25,COLUMN(Q2),0,1,1),0)</f>
        <v>0</v>
      </c>
      <c r="AA5" s="67">
        <f ca="1">IF(OFFSET(Planning!$E$25,COLUMN(R2),ROW(R2),1,1)&lt;&gt;"",OFFSET(Planning!$D$25,COLUMN(R2),0,1,1),0)</f>
        <v>0</v>
      </c>
      <c r="AB5" s="67">
        <f ca="1">IF(OFFSET(Planning!$E$25,COLUMN(S2),ROW(S2),1,1)&lt;&gt;"",OFFSET(Planning!$D$25,COLUMN(S2),0,1,1),0)</f>
        <v>0</v>
      </c>
      <c r="AC5" s="67">
        <f ca="1">IF(OFFSET(Planning!$E$25,COLUMN(T2),ROW(T2),1,1)&lt;&gt;"",OFFSET(Planning!$D$25,COLUMN(T2),0,1,1),0)</f>
        <v>0</v>
      </c>
      <c r="AD5" s="67" t="e">
        <f ca="1">VLOOKUP($B5,'Summary Calculations (hide)'!$D$15:$U$67,17,0)</f>
        <v>#N/A</v>
      </c>
      <c r="AE5" s="67" t="e">
        <f ca="1">VLOOKUP($B5,'Summary Calculations (hide)'!$D$15:$U$67,18,0)</f>
        <v>#N/A</v>
      </c>
    </row>
    <row r="6" spans="1:31" x14ac:dyDescent="0.2">
      <c r="A6" s="87">
        <f t="shared" ref="A6:A55" ca="1" si="3">A5+7</f>
        <v>44438</v>
      </c>
      <c r="B6" s="67">
        <f t="shared" ca="1" si="0"/>
        <v>35</v>
      </c>
      <c r="C6" s="5" t="e">
        <f ca="1">IF(Planning!$C$8="No",VLOOKUP(B6,'Summary Calculations (hide)'!$D$15:$U$67,17,0),IF('Demand adjustments for Covid'!$F$9="Yes",'Demand background (hide)'!DS6+SUM('Demand background (hide)'!DV6:DW6),VLOOKUP(B6,'Summary Calculations (hide)'!$D$15:$F$67,2,0))*IF(Planning!$C$11="",1,1+Planning!$C$11)*'Summary Calculations (hide)'!$L$4/IF(Summary!$C$8="Patients",'Summary Calculations (hide)'!$I$9,1))</f>
        <v>#N/A</v>
      </c>
      <c r="D6" s="5" t="e">
        <f ca="1">IF(Planning!$C$8="No",VLOOKUP('Planning (hide)'!B6,'Summary Calculations (hide)'!$D$15:$U$67,18,0),IF('Demand adjustments for Covid'!$F$9="Yes",'Demand background (hide)'!DX6,VLOOKUP(B6,'Summary Calculations (hide)'!$D$15:$F$67,3,0))*IF(Planning!$C$11="",1,1+Planning!$C$11)*'Summary Calculations (hide)'!$L$4/IF(Summary!$C$8="Patients",'Summary Calculations (hide)'!$I$9,1))-IF(Planning!$C$8="No",0,C6)</f>
        <v>#N/A</v>
      </c>
      <c r="E6" s="5">
        <f ca="1">VLOOKUP($B6,'Summary Calculations (hide)'!$D$15:$U$67,15,0)</f>
        <v>0</v>
      </c>
      <c r="F6" s="5">
        <f ca="1">VLOOKUP($B6,'Summary Calculations (hide)'!$D$15:$U$67,16,0)</f>
        <v>0</v>
      </c>
      <c r="G6" s="5">
        <f t="shared" ca="1" si="1"/>
        <v>0</v>
      </c>
      <c r="H6" s="5">
        <f t="shared" ca="1" si="2"/>
        <v>0</v>
      </c>
      <c r="I6" s="67">
        <f ca="1">IF(OFFSET(Planning!$E$25,0,ROW(A3),1,1)&lt;&gt;"",-'Planning (hide)'!$G6,0)</f>
        <v>0</v>
      </c>
      <c r="J6" s="67">
        <f ca="1">IF(OFFSET(Planning!$E$25,COLUMN(A3),ROW(A3),1,1)&lt;&gt;"",OFFSET(Planning!$D$25,COLUMN(A3),0,1,1),0)</f>
        <v>0</v>
      </c>
      <c r="K6" s="67">
        <f ca="1">IF(OFFSET(Planning!$E$25,COLUMN(B3),ROW(B3),1,1)&lt;&gt;"",OFFSET(Planning!$D$25,COLUMN(B3),0,1,1),0)</f>
        <v>0</v>
      </c>
      <c r="L6" s="67">
        <f ca="1">IF(OFFSET(Planning!$E$25,COLUMN(C3),ROW(C3),1,1)&lt;&gt;"",OFFSET(Planning!$D$25,COLUMN(C3),0,1,1),0)</f>
        <v>0</v>
      </c>
      <c r="M6" s="67">
        <f ca="1">IF(OFFSET(Planning!$E$25,COLUMN(D3),ROW(D3),1,1)&lt;&gt;"",OFFSET(Planning!$D$25,COLUMN(D3),0,1,1),0)</f>
        <v>0</v>
      </c>
      <c r="N6" s="67">
        <f ca="1">IF(OFFSET(Planning!$E$25,COLUMN(E3),ROW(E3),1,1)&lt;&gt;"",OFFSET(Planning!$D$25,COLUMN(E3),0,1,1),0)</f>
        <v>0</v>
      </c>
      <c r="O6" s="67">
        <f ca="1">IF(OFFSET(Planning!$E$25,COLUMN(F3),ROW(F3),1,1)&lt;&gt;"",OFFSET(Planning!$D$25,COLUMN(F3),0,1,1),0)</f>
        <v>0</v>
      </c>
      <c r="P6" s="67">
        <f ca="1">IF(OFFSET(Planning!$E$25,COLUMN(G3),ROW(G3),1,1)&lt;&gt;"",OFFSET(Planning!$D$25,COLUMN(G3),0,1,1),0)</f>
        <v>0</v>
      </c>
      <c r="Q6" s="67">
        <f ca="1">IF(OFFSET(Planning!$E$25,COLUMN(H3),ROW(H3),1,1)&lt;&gt;"",OFFSET(Planning!$D$25,COLUMN(H3),0,1,1),0)</f>
        <v>0</v>
      </c>
      <c r="R6" s="67">
        <f ca="1">IF(OFFSET(Planning!$E$25,COLUMN(I3),ROW(I3),1,1)&lt;&gt;"",OFFSET(Planning!$D$25,COLUMN(I3),0,1,1),0)</f>
        <v>0</v>
      </c>
      <c r="S6" s="67">
        <f ca="1">IF(OFFSET(Planning!$E$25,COLUMN(J3),ROW(J3),1,1)&lt;&gt;"",OFFSET(Planning!$D$25,COLUMN(J3),0,1,1),0)</f>
        <v>0</v>
      </c>
      <c r="T6" s="67">
        <f ca="1">IF(OFFSET(Planning!$E$25,COLUMN(K3),ROW(K3),1,1)&lt;&gt;"",OFFSET(Planning!$D$25,COLUMN(K3),0,1,1),0)</f>
        <v>0</v>
      </c>
      <c r="U6" s="67">
        <f ca="1">IF(OFFSET(Planning!$E$25,COLUMN(L3),ROW(L3),1,1)&lt;&gt;"",OFFSET(Planning!$D$25,COLUMN(L3),0,1,1),0)</f>
        <v>0</v>
      </c>
      <c r="V6" s="67">
        <f ca="1">IF(OFFSET(Planning!$E$25,COLUMN(M3),ROW(M3),1,1)&lt;&gt;"",OFFSET(Planning!$D$25,COLUMN(M3),0,1,1),0)</f>
        <v>0</v>
      </c>
      <c r="W6" s="67">
        <f ca="1">IF(OFFSET(Planning!$E$25,COLUMN(N3),ROW(N3),1,1)&lt;&gt;"",OFFSET(Planning!$D$25,COLUMN(N3),0,1,1),0)</f>
        <v>0</v>
      </c>
      <c r="X6" s="67">
        <f ca="1">IF(OFFSET(Planning!$E$25,COLUMN(O3),ROW(O3),1,1)&lt;&gt;"",OFFSET(Planning!$D$25,COLUMN(O3),0,1,1),0)</f>
        <v>0</v>
      </c>
      <c r="Y6" s="67">
        <f ca="1">IF(OFFSET(Planning!$E$25,COLUMN(P3),ROW(P3),1,1)&lt;&gt;"",OFFSET(Planning!$D$25,COLUMN(P3),0,1,1),0)</f>
        <v>0</v>
      </c>
      <c r="Z6" s="67">
        <f ca="1">IF(OFFSET(Planning!$E$25,COLUMN(Q3),ROW(Q3),1,1)&lt;&gt;"",OFFSET(Planning!$D$25,COLUMN(Q3),0,1,1),0)</f>
        <v>0</v>
      </c>
      <c r="AA6" s="67">
        <f ca="1">IF(OFFSET(Planning!$E$25,COLUMN(R3),ROW(R3),1,1)&lt;&gt;"",OFFSET(Planning!$D$25,COLUMN(R3),0,1,1),0)</f>
        <v>0</v>
      </c>
      <c r="AB6" s="67">
        <f ca="1">IF(OFFSET(Planning!$E$25,COLUMN(S3),ROW(S3),1,1)&lt;&gt;"",OFFSET(Planning!$D$25,COLUMN(S3),0,1,1),0)</f>
        <v>0</v>
      </c>
      <c r="AC6" s="67">
        <f ca="1">IF(OFFSET(Planning!$E$25,COLUMN(T3),ROW(T3),1,1)&lt;&gt;"",OFFSET(Planning!$D$25,COLUMN(T3),0,1,1),0)</f>
        <v>0</v>
      </c>
      <c r="AD6" s="67" t="e">
        <f ca="1">VLOOKUP($B6,'Summary Calculations (hide)'!$D$15:$U$67,17,0)</f>
        <v>#N/A</v>
      </c>
      <c r="AE6" s="67" t="e">
        <f ca="1">VLOOKUP($B6,'Summary Calculations (hide)'!$D$15:$U$67,18,0)</f>
        <v>#N/A</v>
      </c>
    </row>
    <row r="7" spans="1:31" x14ac:dyDescent="0.2">
      <c r="A7" s="87">
        <f t="shared" ca="1" si="3"/>
        <v>44445</v>
      </c>
      <c r="B7" s="67">
        <f t="shared" ca="1" si="0"/>
        <v>36</v>
      </c>
      <c r="C7" s="5" t="e">
        <f ca="1">IF(Planning!$C$8="No",VLOOKUP(B7,'Summary Calculations (hide)'!$D$15:$U$67,17,0),IF('Demand adjustments for Covid'!$F$9="Yes",'Demand background (hide)'!DS7+SUM('Demand background (hide)'!DV7:DW7),VLOOKUP(B7,'Summary Calculations (hide)'!$D$15:$F$67,2,0))*IF(Planning!$C$11="",1,1+Planning!$C$11)*'Summary Calculations (hide)'!$L$4/IF(Summary!$C$8="Patients",'Summary Calculations (hide)'!$I$9,1))</f>
        <v>#N/A</v>
      </c>
      <c r="D7" s="5" t="e">
        <f ca="1">IF(Planning!$C$8="No",VLOOKUP('Planning (hide)'!B7,'Summary Calculations (hide)'!$D$15:$U$67,18,0),IF('Demand adjustments for Covid'!$F$9="Yes",'Demand background (hide)'!DX7,VLOOKUP(B7,'Summary Calculations (hide)'!$D$15:$F$67,3,0))*IF(Planning!$C$11="",1,1+Planning!$C$11)*'Summary Calculations (hide)'!$L$4/IF(Summary!$C$8="Patients",'Summary Calculations (hide)'!$I$9,1))-IF(Planning!$C$8="No",0,C7)</f>
        <v>#N/A</v>
      </c>
      <c r="E7" s="5">
        <f ca="1">VLOOKUP($B7,'Summary Calculations (hide)'!$D$15:$U$67,15,0)</f>
        <v>0</v>
      </c>
      <c r="F7" s="5">
        <f ca="1">VLOOKUP($B7,'Summary Calculations (hide)'!$D$15:$U$67,16,0)</f>
        <v>0</v>
      </c>
      <c r="G7" s="5">
        <f t="shared" ca="1" si="1"/>
        <v>0</v>
      </c>
      <c r="H7" s="5">
        <f t="shared" ca="1" si="2"/>
        <v>0</v>
      </c>
      <c r="I7" s="67">
        <f ca="1">IF(OFFSET(Planning!$E$25,0,ROW(A4),1,1)&lt;&gt;"",-'Planning (hide)'!$G7,0)</f>
        <v>0</v>
      </c>
      <c r="J7" s="67">
        <f ca="1">IF(OFFSET(Planning!$E$25,COLUMN(A4),ROW(A4),1,1)&lt;&gt;"",OFFSET(Planning!$D$25,COLUMN(A4),0,1,1),0)</f>
        <v>0</v>
      </c>
      <c r="K7" s="67">
        <f ca="1">IF(OFFSET(Planning!$E$25,COLUMN(B4),ROW(B4),1,1)&lt;&gt;"",OFFSET(Planning!$D$25,COLUMN(B4),0,1,1),0)</f>
        <v>0</v>
      </c>
      <c r="L7" s="67">
        <f ca="1">IF(OFFSET(Planning!$E$25,COLUMN(C4),ROW(C4),1,1)&lt;&gt;"",OFFSET(Planning!$D$25,COLUMN(C4),0,1,1),0)</f>
        <v>0</v>
      </c>
      <c r="M7" s="67">
        <f ca="1">IF(OFFSET(Planning!$E$25,COLUMN(D4),ROW(D4),1,1)&lt;&gt;"",OFFSET(Planning!$D$25,COLUMN(D4),0,1,1),0)</f>
        <v>0</v>
      </c>
      <c r="N7" s="67">
        <f ca="1">IF(OFFSET(Planning!$E$25,COLUMN(E4),ROW(E4),1,1)&lt;&gt;"",OFFSET(Planning!$D$25,COLUMN(E4),0,1,1),0)</f>
        <v>0</v>
      </c>
      <c r="O7" s="67">
        <f ca="1">IF(OFFSET(Planning!$E$25,COLUMN(F4),ROW(F4),1,1)&lt;&gt;"",OFFSET(Planning!$D$25,COLUMN(F4),0,1,1),0)</f>
        <v>0</v>
      </c>
      <c r="P7" s="67">
        <f ca="1">IF(OFFSET(Planning!$E$25,COLUMN(G4),ROW(G4),1,1)&lt;&gt;"",OFFSET(Planning!$D$25,COLUMN(G4),0,1,1),0)</f>
        <v>0</v>
      </c>
      <c r="Q7" s="67">
        <f ca="1">IF(OFFSET(Planning!$E$25,COLUMN(H4),ROW(H4),1,1)&lt;&gt;"",OFFSET(Planning!$D$25,COLUMN(H4),0,1,1),0)</f>
        <v>0</v>
      </c>
      <c r="R7" s="67">
        <f ca="1">IF(OFFSET(Planning!$E$25,COLUMN(I4),ROW(I4),1,1)&lt;&gt;"",OFFSET(Planning!$D$25,COLUMN(I4),0,1,1),0)</f>
        <v>0</v>
      </c>
      <c r="S7" s="67">
        <f ca="1">IF(OFFSET(Planning!$E$25,COLUMN(J4),ROW(J4),1,1)&lt;&gt;"",OFFSET(Planning!$D$25,COLUMN(J4),0,1,1),0)</f>
        <v>0</v>
      </c>
      <c r="T7" s="67">
        <f ca="1">IF(OFFSET(Planning!$E$25,COLUMN(K4),ROW(K4),1,1)&lt;&gt;"",OFFSET(Planning!$D$25,COLUMN(K4),0,1,1),0)</f>
        <v>0</v>
      </c>
      <c r="U7" s="67">
        <f ca="1">IF(OFFSET(Planning!$E$25,COLUMN(L4),ROW(L4),1,1)&lt;&gt;"",OFFSET(Planning!$D$25,COLUMN(L4),0,1,1),0)</f>
        <v>0</v>
      </c>
      <c r="V7" s="67">
        <f ca="1">IF(OFFSET(Planning!$E$25,COLUMN(M4),ROW(M4),1,1)&lt;&gt;"",OFFSET(Planning!$D$25,COLUMN(M4),0,1,1),0)</f>
        <v>0</v>
      </c>
      <c r="W7" s="67">
        <f ca="1">IF(OFFSET(Planning!$E$25,COLUMN(N4),ROW(N4),1,1)&lt;&gt;"",OFFSET(Planning!$D$25,COLUMN(N4),0,1,1),0)</f>
        <v>0</v>
      </c>
      <c r="X7" s="67">
        <f ca="1">IF(OFFSET(Planning!$E$25,COLUMN(O4),ROW(O4),1,1)&lt;&gt;"",OFFSET(Planning!$D$25,COLUMN(O4),0,1,1),0)</f>
        <v>0</v>
      </c>
      <c r="Y7" s="67">
        <f ca="1">IF(OFFSET(Planning!$E$25,COLUMN(P4),ROW(P4),1,1)&lt;&gt;"",OFFSET(Planning!$D$25,COLUMN(P4),0,1,1),0)</f>
        <v>0</v>
      </c>
      <c r="Z7" s="67">
        <f ca="1">IF(OFFSET(Planning!$E$25,COLUMN(Q4),ROW(Q4),1,1)&lt;&gt;"",OFFSET(Planning!$D$25,COLUMN(Q4),0,1,1),0)</f>
        <v>0</v>
      </c>
      <c r="AA7" s="67">
        <f ca="1">IF(OFFSET(Planning!$E$25,COLUMN(R4),ROW(R4),1,1)&lt;&gt;"",OFFSET(Planning!$D$25,COLUMN(R4),0,1,1),0)</f>
        <v>0</v>
      </c>
      <c r="AB7" s="67">
        <f ca="1">IF(OFFSET(Planning!$E$25,COLUMN(S4),ROW(S4),1,1)&lt;&gt;"",OFFSET(Planning!$D$25,COLUMN(S4),0,1,1),0)</f>
        <v>0</v>
      </c>
      <c r="AC7" s="67">
        <f ca="1">IF(OFFSET(Planning!$E$25,COLUMN(T4),ROW(T4),1,1)&lt;&gt;"",OFFSET(Planning!$D$25,COLUMN(T4),0,1,1),0)</f>
        <v>0</v>
      </c>
      <c r="AD7" s="67" t="e">
        <f ca="1">VLOOKUP($B7,'Summary Calculations (hide)'!$D$15:$U$67,17,0)</f>
        <v>#N/A</v>
      </c>
      <c r="AE7" s="67" t="e">
        <f ca="1">VLOOKUP($B7,'Summary Calculations (hide)'!$D$15:$U$67,18,0)</f>
        <v>#N/A</v>
      </c>
    </row>
    <row r="8" spans="1:31" x14ac:dyDescent="0.2">
      <c r="A8" s="87">
        <f t="shared" ca="1" si="3"/>
        <v>44452</v>
      </c>
      <c r="B8" s="67">
        <f t="shared" ca="1" si="0"/>
        <v>37</v>
      </c>
      <c r="C8" s="5" t="e">
        <f ca="1">IF(Planning!$C$8="No",VLOOKUP(B8,'Summary Calculations (hide)'!$D$15:$U$67,17,0),IF('Demand adjustments for Covid'!$F$9="Yes",'Demand background (hide)'!DS8+SUM('Demand background (hide)'!DV8:DW8),VLOOKUP(B8,'Summary Calculations (hide)'!$D$15:$F$67,2,0))*IF(Planning!$C$11="",1,1+Planning!$C$11)*'Summary Calculations (hide)'!$L$4/IF(Summary!$C$8="Patients",'Summary Calculations (hide)'!$I$9,1))</f>
        <v>#N/A</v>
      </c>
      <c r="D8" s="5" t="e">
        <f ca="1">IF(Planning!$C$8="No",VLOOKUP('Planning (hide)'!B8,'Summary Calculations (hide)'!$D$15:$U$67,18,0),IF('Demand adjustments for Covid'!$F$9="Yes",'Demand background (hide)'!DX8,VLOOKUP(B8,'Summary Calculations (hide)'!$D$15:$F$67,3,0))*IF(Planning!$C$11="",1,1+Planning!$C$11)*'Summary Calculations (hide)'!$L$4/IF(Summary!$C$8="Patients",'Summary Calculations (hide)'!$I$9,1))-IF(Planning!$C$8="No",0,C8)</f>
        <v>#N/A</v>
      </c>
      <c r="E8" s="5">
        <f ca="1">VLOOKUP($B8,'Summary Calculations (hide)'!$D$15:$U$67,15,0)</f>
        <v>0</v>
      </c>
      <c r="F8" s="5">
        <f ca="1">VLOOKUP($B8,'Summary Calculations (hide)'!$D$15:$U$67,16,0)</f>
        <v>0</v>
      </c>
      <c r="G8" s="5">
        <f t="shared" ca="1" si="1"/>
        <v>0</v>
      </c>
      <c r="H8" s="5">
        <f t="shared" ca="1" si="2"/>
        <v>0</v>
      </c>
      <c r="I8" s="67">
        <f ca="1">IF(OFFSET(Planning!$E$25,0,ROW(A5),1,1)&lt;&gt;"",-'Planning (hide)'!$G8,0)</f>
        <v>0</v>
      </c>
      <c r="J8" s="67">
        <f ca="1">IF(OFFSET(Planning!$E$25,COLUMN(A5),ROW(A5),1,1)&lt;&gt;"",OFFSET(Planning!$D$25,COLUMN(A5),0,1,1),0)</f>
        <v>0</v>
      </c>
      <c r="K8" s="67">
        <f ca="1">IF(OFFSET(Planning!$E$25,COLUMN(B5),ROW(B5),1,1)&lt;&gt;"",OFFSET(Planning!$D$25,COLUMN(B5),0,1,1),0)</f>
        <v>0</v>
      </c>
      <c r="L8" s="67">
        <f ca="1">IF(OFFSET(Planning!$E$25,COLUMN(C5),ROW(C5),1,1)&lt;&gt;"",OFFSET(Planning!$D$25,COLUMN(C5),0,1,1),0)</f>
        <v>0</v>
      </c>
      <c r="M8" s="67">
        <f ca="1">IF(OFFSET(Planning!$E$25,COLUMN(D5),ROW(D5),1,1)&lt;&gt;"",OFFSET(Planning!$D$25,COLUMN(D5),0,1,1),0)</f>
        <v>0</v>
      </c>
      <c r="N8" s="67">
        <f ca="1">IF(OFFSET(Planning!$E$25,COLUMN(E5),ROW(E5),1,1)&lt;&gt;"",OFFSET(Planning!$D$25,COLUMN(E5),0,1,1),0)</f>
        <v>0</v>
      </c>
      <c r="O8" s="67">
        <f ca="1">IF(OFFSET(Planning!$E$25,COLUMN(F5),ROW(F5),1,1)&lt;&gt;"",OFFSET(Planning!$D$25,COLUMN(F5),0,1,1),0)</f>
        <v>0</v>
      </c>
      <c r="P8" s="67">
        <f ca="1">IF(OFFSET(Planning!$E$25,COLUMN(G5),ROW(G5),1,1)&lt;&gt;"",OFFSET(Planning!$D$25,COLUMN(G5),0,1,1),0)</f>
        <v>0</v>
      </c>
      <c r="Q8" s="67">
        <f ca="1">IF(OFFSET(Planning!$E$25,COLUMN(H5),ROW(H5),1,1)&lt;&gt;"",OFFSET(Planning!$D$25,COLUMN(H5),0,1,1),0)</f>
        <v>0</v>
      </c>
      <c r="R8" s="67">
        <f ca="1">IF(OFFSET(Planning!$E$25,COLUMN(I5),ROW(I5),1,1)&lt;&gt;"",OFFSET(Planning!$D$25,COLUMN(I5),0,1,1),0)</f>
        <v>0</v>
      </c>
      <c r="S8" s="67">
        <f ca="1">IF(OFFSET(Planning!$E$25,COLUMN(J5),ROW(J5),1,1)&lt;&gt;"",OFFSET(Planning!$D$25,COLUMN(J5),0,1,1),0)</f>
        <v>0</v>
      </c>
      <c r="T8" s="67">
        <f ca="1">IF(OFFSET(Planning!$E$25,COLUMN(K5),ROW(K5),1,1)&lt;&gt;"",OFFSET(Planning!$D$25,COLUMN(K5),0,1,1),0)</f>
        <v>0</v>
      </c>
      <c r="U8" s="67">
        <f ca="1">IF(OFFSET(Planning!$E$25,COLUMN(L5),ROW(L5),1,1)&lt;&gt;"",OFFSET(Planning!$D$25,COLUMN(L5),0,1,1),0)</f>
        <v>0</v>
      </c>
      <c r="V8" s="67">
        <f ca="1">IF(OFFSET(Planning!$E$25,COLUMN(M5),ROW(M5),1,1)&lt;&gt;"",OFFSET(Planning!$D$25,COLUMN(M5),0,1,1),0)</f>
        <v>0</v>
      </c>
      <c r="W8" s="67">
        <f ca="1">IF(OFFSET(Planning!$E$25,COLUMN(N5),ROW(N5),1,1)&lt;&gt;"",OFFSET(Planning!$D$25,COLUMN(N5),0,1,1),0)</f>
        <v>0</v>
      </c>
      <c r="X8" s="67">
        <f ca="1">IF(OFFSET(Planning!$E$25,COLUMN(O5),ROW(O5),1,1)&lt;&gt;"",OFFSET(Planning!$D$25,COLUMN(O5),0,1,1),0)</f>
        <v>0</v>
      </c>
      <c r="Y8" s="67">
        <f ca="1">IF(OFFSET(Planning!$E$25,COLUMN(P5),ROW(P5),1,1)&lt;&gt;"",OFFSET(Planning!$D$25,COLUMN(P5),0,1,1),0)</f>
        <v>0</v>
      </c>
      <c r="Z8" s="67">
        <f ca="1">IF(OFFSET(Planning!$E$25,COLUMN(Q5),ROW(Q5),1,1)&lt;&gt;"",OFFSET(Planning!$D$25,COLUMN(Q5),0,1,1),0)</f>
        <v>0</v>
      </c>
      <c r="AA8" s="67">
        <f ca="1">IF(OFFSET(Planning!$E$25,COLUMN(R5),ROW(R5),1,1)&lt;&gt;"",OFFSET(Planning!$D$25,COLUMN(R5),0,1,1),0)</f>
        <v>0</v>
      </c>
      <c r="AB8" s="67">
        <f ca="1">IF(OFFSET(Planning!$E$25,COLUMN(S5),ROW(S5),1,1)&lt;&gt;"",OFFSET(Planning!$D$25,COLUMN(S5),0,1,1),0)</f>
        <v>0</v>
      </c>
      <c r="AC8" s="67">
        <f ca="1">IF(OFFSET(Planning!$E$25,COLUMN(T5),ROW(T5),1,1)&lt;&gt;"",OFFSET(Planning!$D$25,COLUMN(T5),0,1,1),0)</f>
        <v>0</v>
      </c>
      <c r="AD8" s="67" t="e">
        <f ca="1">VLOOKUP($B8,'Summary Calculations (hide)'!$D$15:$U$67,17,0)</f>
        <v>#N/A</v>
      </c>
      <c r="AE8" s="67" t="e">
        <f ca="1">VLOOKUP($B8,'Summary Calculations (hide)'!$D$15:$U$67,18,0)</f>
        <v>#N/A</v>
      </c>
    </row>
    <row r="9" spans="1:31" x14ac:dyDescent="0.2">
      <c r="A9" s="87">
        <f t="shared" ca="1" si="3"/>
        <v>44459</v>
      </c>
      <c r="B9" s="67">
        <f t="shared" ca="1" si="0"/>
        <v>38</v>
      </c>
      <c r="C9" s="5" t="e">
        <f ca="1">IF(Planning!$C$8="No",VLOOKUP(B9,'Summary Calculations (hide)'!$D$15:$U$67,17,0),IF('Demand adjustments for Covid'!$F$9="Yes",'Demand background (hide)'!DS9+SUM('Demand background (hide)'!DV9:DW9),VLOOKUP(B9,'Summary Calculations (hide)'!$D$15:$F$67,2,0))*IF(Planning!$C$11="",1,1+Planning!$C$11)*'Summary Calculations (hide)'!$L$4/IF(Summary!$C$8="Patients",'Summary Calculations (hide)'!$I$9,1))</f>
        <v>#N/A</v>
      </c>
      <c r="D9" s="5" t="e">
        <f ca="1">IF(Planning!$C$8="No",VLOOKUP('Planning (hide)'!B9,'Summary Calculations (hide)'!$D$15:$U$67,18,0),IF('Demand adjustments for Covid'!$F$9="Yes",'Demand background (hide)'!DX9,VLOOKUP(B9,'Summary Calculations (hide)'!$D$15:$F$67,3,0))*IF(Planning!$C$11="",1,1+Planning!$C$11)*'Summary Calculations (hide)'!$L$4/IF(Summary!$C$8="Patients",'Summary Calculations (hide)'!$I$9,1))-IF(Planning!$C$8="No",0,C9)</f>
        <v>#N/A</v>
      </c>
      <c r="E9" s="5">
        <f ca="1">VLOOKUP($B9,'Summary Calculations (hide)'!$D$15:$U$67,15,0)</f>
        <v>0</v>
      </c>
      <c r="F9" s="5">
        <f ca="1">VLOOKUP($B9,'Summary Calculations (hide)'!$D$15:$U$67,16,0)</f>
        <v>0</v>
      </c>
      <c r="G9" s="5">
        <f t="shared" ca="1" si="1"/>
        <v>0</v>
      </c>
      <c r="H9" s="5">
        <f t="shared" ca="1" si="2"/>
        <v>0</v>
      </c>
      <c r="I9" s="67">
        <f ca="1">IF(OFFSET(Planning!$E$25,0,ROW(A6),1,1)&lt;&gt;"",-'Planning (hide)'!$G9,0)</f>
        <v>0</v>
      </c>
      <c r="J9" s="67">
        <f ca="1">IF(OFFSET(Planning!$E$25,COLUMN(A6),ROW(A6),1,1)&lt;&gt;"",OFFSET(Planning!$D$25,COLUMN(A6),0,1,1),0)</f>
        <v>0</v>
      </c>
      <c r="K9" s="67">
        <f ca="1">IF(OFFSET(Planning!$E$25,COLUMN(B6),ROW(B6),1,1)&lt;&gt;"",OFFSET(Planning!$D$25,COLUMN(B6),0,1,1),0)</f>
        <v>0</v>
      </c>
      <c r="L9" s="67">
        <f ca="1">IF(OFFSET(Planning!$E$25,COLUMN(C6),ROW(C6),1,1)&lt;&gt;"",OFFSET(Planning!$D$25,COLUMN(C6),0,1,1),0)</f>
        <v>0</v>
      </c>
      <c r="M9" s="67">
        <f ca="1">IF(OFFSET(Planning!$E$25,COLUMN(D6),ROW(D6),1,1)&lt;&gt;"",OFFSET(Planning!$D$25,COLUMN(D6),0,1,1),0)</f>
        <v>0</v>
      </c>
      <c r="N9" s="67">
        <f ca="1">IF(OFFSET(Planning!$E$25,COLUMN(E6),ROW(E6),1,1)&lt;&gt;"",OFFSET(Planning!$D$25,COLUMN(E6),0,1,1),0)</f>
        <v>0</v>
      </c>
      <c r="O9" s="67">
        <f ca="1">IF(OFFSET(Planning!$E$25,COLUMN(F6),ROW(F6),1,1)&lt;&gt;"",OFFSET(Planning!$D$25,COLUMN(F6),0,1,1),0)</f>
        <v>0</v>
      </c>
      <c r="P9" s="67">
        <f ca="1">IF(OFFSET(Planning!$E$25,COLUMN(G6),ROW(G6),1,1)&lt;&gt;"",OFFSET(Planning!$D$25,COLUMN(G6),0,1,1),0)</f>
        <v>0</v>
      </c>
      <c r="Q9" s="67">
        <f ca="1">IF(OFFSET(Planning!$E$25,COLUMN(H6),ROW(H6),1,1)&lt;&gt;"",OFFSET(Planning!$D$25,COLUMN(H6),0,1,1),0)</f>
        <v>0</v>
      </c>
      <c r="R9" s="67">
        <f ca="1">IF(OFFSET(Planning!$E$25,COLUMN(I6),ROW(I6),1,1)&lt;&gt;"",OFFSET(Planning!$D$25,COLUMN(I6),0,1,1),0)</f>
        <v>0</v>
      </c>
      <c r="S9" s="67">
        <f ca="1">IF(OFFSET(Planning!$E$25,COLUMN(J6),ROW(J6),1,1)&lt;&gt;"",OFFSET(Planning!$D$25,COLUMN(J6),0,1,1),0)</f>
        <v>0</v>
      </c>
      <c r="T9" s="67">
        <f ca="1">IF(OFFSET(Planning!$E$25,COLUMN(K6),ROW(K6),1,1)&lt;&gt;"",OFFSET(Planning!$D$25,COLUMN(K6),0,1,1),0)</f>
        <v>0</v>
      </c>
      <c r="U9" s="67">
        <f ca="1">IF(OFFSET(Planning!$E$25,COLUMN(L6),ROW(L6),1,1)&lt;&gt;"",OFFSET(Planning!$D$25,COLUMN(L6),0,1,1),0)</f>
        <v>0</v>
      </c>
      <c r="V9" s="67">
        <f ca="1">IF(OFFSET(Planning!$E$25,COLUMN(M6),ROW(M6),1,1)&lt;&gt;"",OFFSET(Planning!$D$25,COLUMN(M6),0,1,1),0)</f>
        <v>0</v>
      </c>
      <c r="W9" s="67">
        <f ca="1">IF(OFFSET(Planning!$E$25,COLUMN(N6),ROW(N6),1,1)&lt;&gt;"",OFFSET(Planning!$D$25,COLUMN(N6),0,1,1),0)</f>
        <v>0</v>
      </c>
      <c r="X9" s="67">
        <f ca="1">IF(OFFSET(Planning!$E$25,COLUMN(O6),ROW(O6),1,1)&lt;&gt;"",OFFSET(Planning!$D$25,COLUMN(O6),0,1,1),0)</f>
        <v>0</v>
      </c>
      <c r="Y9" s="67">
        <f ca="1">IF(OFFSET(Planning!$E$25,COLUMN(P6),ROW(P6),1,1)&lt;&gt;"",OFFSET(Planning!$D$25,COLUMN(P6),0,1,1),0)</f>
        <v>0</v>
      </c>
      <c r="Z9" s="67">
        <f ca="1">IF(OFFSET(Planning!$E$25,COLUMN(Q6),ROW(Q6),1,1)&lt;&gt;"",OFFSET(Planning!$D$25,COLUMN(Q6),0,1,1),0)</f>
        <v>0</v>
      </c>
      <c r="AA9" s="67">
        <f ca="1">IF(OFFSET(Planning!$E$25,COLUMN(R6),ROW(R6),1,1)&lt;&gt;"",OFFSET(Planning!$D$25,COLUMN(R6),0,1,1),0)</f>
        <v>0</v>
      </c>
      <c r="AB9" s="67">
        <f ca="1">IF(OFFSET(Planning!$E$25,COLUMN(S6),ROW(S6),1,1)&lt;&gt;"",OFFSET(Planning!$D$25,COLUMN(S6),0,1,1),0)</f>
        <v>0</v>
      </c>
      <c r="AC9" s="67">
        <f ca="1">IF(OFFSET(Planning!$E$25,COLUMN(T6),ROW(T6),1,1)&lt;&gt;"",OFFSET(Planning!$D$25,COLUMN(T6),0,1,1),0)</f>
        <v>0</v>
      </c>
      <c r="AD9" s="67" t="e">
        <f ca="1">VLOOKUP($B9,'Summary Calculations (hide)'!$D$15:$U$67,17,0)</f>
        <v>#N/A</v>
      </c>
      <c r="AE9" s="67" t="e">
        <f ca="1">VLOOKUP($B9,'Summary Calculations (hide)'!$D$15:$U$67,18,0)</f>
        <v>#N/A</v>
      </c>
    </row>
    <row r="10" spans="1:31" x14ac:dyDescent="0.2">
      <c r="A10" s="87">
        <f t="shared" ca="1" si="3"/>
        <v>44466</v>
      </c>
      <c r="B10" s="67">
        <f t="shared" ca="1" si="0"/>
        <v>39</v>
      </c>
      <c r="C10" s="5" t="e">
        <f ca="1">IF(Planning!$C$8="No",VLOOKUP(B10,'Summary Calculations (hide)'!$D$15:$U$67,17,0),IF('Demand adjustments for Covid'!$F$9="Yes",'Demand background (hide)'!DS10+SUM('Demand background (hide)'!DV10:DW10),VLOOKUP(B10,'Summary Calculations (hide)'!$D$15:$F$67,2,0))*IF(Planning!$C$11="",1,1+Planning!$C$11)*'Summary Calculations (hide)'!$L$4/IF(Summary!$C$8="Patients",'Summary Calculations (hide)'!$I$9,1))</f>
        <v>#N/A</v>
      </c>
      <c r="D10" s="5" t="e">
        <f ca="1">IF(Planning!$C$8="No",VLOOKUP('Planning (hide)'!B10,'Summary Calculations (hide)'!$D$15:$U$67,18,0),IF('Demand adjustments for Covid'!$F$9="Yes",'Demand background (hide)'!DX10,VLOOKUP(B10,'Summary Calculations (hide)'!$D$15:$F$67,3,0))*IF(Planning!$C$11="",1,1+Planning!$C$11)*'Summary Calculations (hide)'!$L$4/IF(Summary!$C$8="Patients",'Summary Calculations (hide)'!$I$9,1))-IF(Planning!$C$8="No",0,C10)</f>
        <v>#N/A</v>
      </c>
      <c r="E10" s="5">
        <f ca="1">VLOOKUP($B10,'Summary Calculations (hide)'!$D$15:$U$67,15,0)</f>
        <v>0</v>
      </c>
      <c r="F10" s="5">
        <f ca="1">VLOOKUP($B10,'Summary Calculations (hide)'!$D$15:$U$67,16,0)</f>
        <v>0</v>
      </c>
      <c r="G10" s="5">
        <f t="shared" ca="1" si="1"/>
        <v>0</v>
      </c>
      <c r="H10" s="5">
        <f t="shared" ca="1" si="2"/>
        <v>102</v>
      </c>
      <c r="I10" s="67">
        <f ca="1">IF(OFFSET(Planning!$E$25,0,ROW(A7),1,1)&lt;&gt;"",-'Planning (hide)'!$G10,0)</f>
        <v>0</v>
      </c>
      <c r="J10" s="67">
        <f ca="1">IF(OFFSET(Planning!$E$25,COLUMN(A7),ROW(A7),1,1)&lt;&gt;"",OFFSET(Planning!$D$25,COLUMN(A7),0,1,1),0)</f>
        <v>0</v>
      </c>
      <c r="K10" s="67">
        <f ca="1">IF(OFFSET(Planning!$E$25,COLUMN(B7),ROW(B7),1,1)&lt;&gt;"",OFFSET(Planning!$D$25,COLUMN(B7),0,1,1),0)</f>
        <v>102</v>
      </c>
      <c r="L10" s="67">
        <f ca="1">IF(OFFSET(Planning!$E$25,COLUMN(C7),ROW(C7),1,1)&lt;&gt;"",OFFSET(Planning!$D$25,COLUMN(C7),0,1,1),0)</f>
        <v>0</v>
      </c>
      <c r="M10" s="67">
        <f ca="1">IF(OFFSET(Planning!$E$25,COLUMN(D7),ROW(D7),1,1)&lt;&gt;"",OFFSET(Planning!$D$25,COLUMN(D7),0,1,1),0)</f>
        <v>0</v>
      </c>
      <c r="N10" s="67">
        <f ca="1">IF(OFFSET(Planning!$E$25,COLUMN(E7),ROW(E7),1,1)&lt;&gt;"",OFFSET(Planning!$D$25,COLUMN(E7),0,1,1),0)</f>
        <v>0</v>
      </c>
      <c r="O10" s="67">
        <f ca="1">IF(OFFSET(Planning!$E$25,COLUMN(F7),ROW(F7),1,1)&lt;&gt;"",OFFSET(Planning!$D$25,COLUMN(F7),0,1,1),0)</f>
        <v>0</v>
      </c>
      <c r="P10" s="67">
        <f ca="1">IF(OFFSET(Planning!$E$25,COLUMN(G7),ROW(G7),1,1)&lt;&gt;"",OFFSET(Planning!$D$25,COLUMN(G7),0,1,1),0)</f>
        <v>0</v>
      </c>
      <c r="Q10" s="67">
        <f ca="1">IF(OFFSET(Planning!$E$25,COLUMN(H7),ROW(H7),1,1)&lt;&gt;"",OFFSET(Planning!$D$25,COLUMN(H7),0,1,1),0)</f>
        <v>0</v>
      </c>
      <c r="R10" s="67">
        <f ca="1">IF(OFFSET(Planning!$E$25,COLUMN(I7),ROW(I7),1,1)&lt;&gt;"",OFFSET(Planning!$D$25,COLUMN(I7),0,1,1),0)</f>
        <v>0</v>
      </c>
      <c r="S10" s="67">
        <f ca="1">IF(OFFSET(Planning!$E$25,COLUMN(J7),ROW(J7),1,1)&lt;&gt;"",OFFSET(Planning!$D$25,COLUMN(J7),0,1,1),0)</f>
        <v>0</v>
      </c>
      <c r="T10" s="67">
        <f ca="1">IF(OFFSET(Planning!$E$25,COLUMN(K7),ROW(K7),1,1)&lt;&gt;"",OFFSET(Planning!$D$25,COLUMN(K7),0,1,1),0)</f>
        <v>0</v>
      </c>
      <c r="U10" s="67">
        <f ca="1">IF(OFFSET(Planning!$E$25,COLUMN(L7),ROW(L7),1,1)&lt;&gt;"",OFFSET(Planning!$D$25,COLUMN(L7),0,1,1),0)</f>
        <v>0</v>
      </c>
      <c r="V10" s="67">
        <f ca="1">IF(OFFSET(Planning!$E$25,COLUMN(M7),ROW(M7),1,1)&lt;&gt;"",OFFSET(Planning!$D$25,COLUMN(M7),0,1,1),0)</f>
        <v>0</v>
      </c>
      <c r="W10" s="67">
        <f ca="1">IF(OFFSET(Planning!$E$25,COLUMN(N7),ROW(N7),1,1)&lt;&gt;"",OFFSET(Planning!$D$25,COLUMN(N7),0,1,1),0)</f>
        <v>0</v>
      </c>
      <c r="X10" s="67">
        <f ca="1">IF(OFFSET(Planning!$E$25,COLUMN(O7),ROW(O7),1,1)&lt;&gt;"",OFFSET(Planning!$D$25,COLUMN(O7),0,1,1),0)</f>
        <v>0</v>
      </c>
      <c r="Y10" s="67">
        <f ca="1">IF(OFFSET(Planning!$E$25,COLUMN(P7),ROW(P7),1,1)&lt;&gt;"",OFFSET(Planning!$D$25,COLUMN(P7),0,1,1),0)</f>
        <v>0</v>
      </c>
      <c r="Z10" s="67">
        <f ca="1">IF(OFFSET(Planning!$E$25,COLUMN(Q7),ROW(Q7),1,1)&lt;&gt;"",OFFSET(Planning!$D$25,COLUMN(Q7),0,1,1),0)</f>
        <v>0</v>
      </c>
      <c r="AA10" s="67">
        <f ca="1">IF(OFFSET(Planning!$E$25,COLUMN(R7),ROW(R7),1,1)&lt;&gt;"",OFFSET(Planning!$D$25,COLUMN(R7),0,1,1),0)</f>
        <v>0</v>
      </c>
      <c r="AB10" s="67">
        <f ca="1">IF(OFFSET(Planning!$E$25,COLUMN(S7),ROW(S7),1,1)&lt;&gt;"",OFFSET(Planning!$D$25,COLUMN(S7),0,1,1),0)</f>
        <v>0</v>
      </c>
      <c r="AC10" s="67">
        <f ca="1">IF(OFFSET(Planning!$E$25,COLUMN(T7),ROW(T7),1,1)&lt;&gt;"",OFFSET(Planning!$D$25,COLUMN(T7),0,1,1),0)</f>
        <v>0</v>
      </c>
      <c r="AD10" s="67" t="e">
        <f ca="1">VLOOKUP($B10,'Summary Calculations (hide)'!$D$15:$U$67,17,0)</f>
        <v>#N/A</v>
      </c>
      <c r="AE10" s="67" t="e">
        <f ca="1">VLOOKUP($B10,'Summary Calculations (hide)'!$D$15:$U$67,18,0)</f>
        <v>#N/A</v>
      </c>
    </row>
    <row r="11" spans="1:31" x14ac:dyDescent="0.2">
      <c r="A11" s="87">
        <f t="shared" ca="1" si="3"/>
        <v>44473</v>
      </c>
      <c r="B11" s="67">
        <f t="shared" ca="1" si="0"/>
        <v>40</v>
      </c>
      <c r="C11" s="5" t="e">
        <f ca="1">IF(Planning!$C$8="No",VLOOKUP(B11,'Summary Calculations (hide)'!$D$15:$U$67,17,0),IF('Demand adjustments for Covid'!$F$9="Yes",'Demand background (hide)'!DS11+SUM('Demand background (hide)'!DV11:DW11),VLOOKUP(B11,'Summary Calculations (hide)'!$D$15:$F$67,2,0))*IF(Planning!$C$11="",1,1+Planning!$C$11)*'Summary Calculations (hide)'!$L$4/IF(Summary!$C$8="Patients",'Summary Calculations (hide)'!$I$9,1))</f>
        <v>#N/A</v>
      </c>
      <c r="D11" s="5" t="e">
        <f ca="1">IF(Planning!$C$8="No",VLOOKUP('Planning (hide)'!B11,'Summary Calculations (hide)'!$D$15:$U$67,18,0),IF('Demand adjustments for Covid'!$F$9="Yes",'Demand background (hide)'!DX11,VLOOKUP(B11,'Summary Calculations (hide)'!$D$15:$F$67,3,0))*IF(Planning!$C$11="",1,1+Planning!$C$11)*'Summary Calculations (hide)'!$L$4/IF(Summary!$C$8="Patients",'Summary Calculations (hide)'!$I$9,1))-IF(Planning!$C$8="No",0,C11)</f>
        <v>#N/A</v>
      </c>
      <c r="E11" s="5">
        <f ca="1">VLOOKUP($B11,'Summary Calculations (hide)'!$D$15:$U$67,15,0)</f>
        <v>0</v>
      </c>
      <c r="F11" s="5">
        <f ca="1">VLOOKUP($B11,'Summary Calculations (hide)'!$D$15:$U$67,16,0)</f>
        <v>0</v>
      </c>
      <c r="G11" s="5">
        <f t="shared" ca="1" si="1"/>
        <v>0</v>
      </c>
      <c r="H11" s="5">
        <f t="shared" ca="1" si="2"/>
        <v>0</v>
      </c>
      <c r="I11" s="67">
        <f ca="1">IF(OFFSET(Planning!$E$25,0,ROW(A8),1,1)&lt;&gt;"",-'Planning (hide)'!$G11,0)</f>
        <v>0</v>
      </c>
      <c r="J11" s="67">
        <f ca="1">IF(OFFSET(Planning!$E$25,COLUMN(A8),ROW(A8),1,1)&lt;&gt;"",OFFSET(Planning!$D$25,COLUMN(A8),0,1,1),0)</f>
        <v>0</v>
      </c>
      <c r="K11" s="67">
        <f ca="1">IF(OFFSET(Planning!$E$25,COLUMN(B8),ROW(B8),1,1)&lt;&gt;"",OFFSET(Planning!$D$25,COLUMN(B8),0,1,1),0)</f>
        <v>0</v>
      </c>
      <c r="L11" s="67">
        <f ca="1">IF(OFFSET(Planning!$E$25,COLUMN(C8),ROW(C8),1,1)&lt;&gt;"",OFFSET(Planning!$D$25,COLUMN(C8),0,1,1),0)</f>
        <v>0</v>
      </c>
      <c r="M11" s="67">
        <f ca="1">IF(OFFSET(Planning!$E$25,COLUMN(D8),ROW(D8),1,1)&lt;&gt;"",OFFSET(Planning!$D$25,COLUMN(D8),0,1,1),0)</f>
        <v>0</v>
      </c>
      <c r="N11" s="67">
        <f ca="1">IF(OFFSET(Planning!$E$25,COLUMN(E8),ROW(E8),1,1)&lt;&gt;"",OFFSET(Planning!$D$25,COLUMN(E8),0,1,1),0)</f>
        <v>0</v>
      </c>
      <c r="O11" s="67">
        <f ca="1">IF(OFFSET(Planning!$E$25,COLUMN(F8),ROW(F8),1,1)&lt;&gt;"",OFFSET(Planning!$D$25,COLUMN(F8),0,1,1),0)</f>
        <v>0</v>
      </c>
      <c r="P11" s="67">
        <f ca="1">IF(OFFSET(Planning!$E$25,COLUMN(G8),ROW(G8),1,1)&lt;&gt;"",OFFSET(Planning!$D$25,COLUMN(G8),0,1,1),0)</f>
        <v>0</v>
      </c>
      <c r="Q11" s="67">
        <f ca="1">IF(OFFSET(Planning!$E$25,COLUMN(H8),ROW(H8),1,1)&lt;&gt;"",OFFSET(Planning!$D$25,COLUMN(H8),0,1,1),0)</f>
        <v>0</v>
      </c>
      <c r="R11" s="67">
        <f ca="1">IF(OFFSET(Planning!$E$25,COLUMN(I8),ROW(I8),1,1)&lt;&gt;"",OFFSET(Planning!$D$25,COLUMN(I8),0,1,1),0)</f>
        <v>0</v>
      </c>
      <c r="S11" s="67">
        <f ca="1">IF(OFFSET(Planning!$E$25,COLUMN(J8),ROW(J8),1,1)&lt;&gt;"",OFFSET(Planning!$D$25,COLUMN(J8),0,1,1),0)</f>
        <v>0</v>
      </c>
      <c r="T11" s="67">
        <f ca="1">IF(OFFSET(Planning!$E$25,COLUMN(K8),ROW(K8),1,1)&lt;&gt;"",OFFSET(Planning!$D$25,COLUMN(K8),0,1,1),0)</f>
        <v>0</v>
      </c>
      <c r="U11" s="67">
        <f ca="1">IF(OFFSET(Planning!$E$25,COLUMN(L8),ROW(L8),1,1)&lt;&gt;"",OFFSET(Planning!$D$25,COLUMN(L8),0,1,1),0)</f>
        <v>0</v>
      </c>
      <c r="V11" s="67">
        <f ca="1">IF(OFFSET(Planning!$E$25,COLUMN(M8),ROW(M8),1,1)&lt;&gt;"",OFFSET(Planning!$D$25,COLUMN(M8),0,1,1),0)</f>
        <v>0</v>
      </c>
      <c r="W11" s="67">
        <f ca="1">IF(OFFSET(Planning!$E$25,COLUMN(N8),ROW(N8),1,1)&lt;&gt;"",OFFSET(Planning!$D$25,COLUMN(N8),0,1,1),0)</f>
        <v>0</v>
      </c>
      <c r="X11" s="67">
        <f ca="1">IF(OFFSET(Planning!$E$25,COLUMN(O8),ROW(O8),1,1)&lt;&gt;"",OFFSET(Planning!$D$25,COLUMN(O8),0,1,1),0)</f>
        <v>0</v>
      </c>
      <c r="Y11" s="67">
        <f ca="1">IF(OFFSET(Planning!$E$25,COLUMN(P8),ROW(P8),1,1)&lt;&gt;"",OFFSET(Planning!$D$25,COLUMN(P8),0,1,1),0)</f>
        <v>0</v>
      </c>
      <c r="Z11" s="67">
        <f ca="1">IF(OFFSET(Planning!$E$25,COLUMN(Q8),ROW(Q8),1,1)&lt;&gt;"",OFFSET(Planning!$D$25,COLUMN(Q8),0,1,1),0)</f>
        <v>0</v>
      </c>
      <c r="AA11" s="67">
        <f ca="1">IF(OFFSET(Planning!$E$25,COLUMN(R8),ROW(R8),1,1)&lt;&gt;"",OFFSET(Planning!$D$25,COLUMN(R8),0,1,1),0)</f>
        <v>0</v>
      </c>
      <c r="AB11" s="67">
        <f ca="1">IF(OFFSET(Planning!$E$25,COLUMN(S8),ROW(S8),1,1)&lt;&gt;"",OFFSET(Planning!$D$25,COLUMN(S8),0,1,1),0)</f>
        <v>0</v>
      </c>
      <c r="AC11" s="67">
        <f ca="1">IF(OFFSET(Planning!$E$25,COLUMN(T8),ROW(T8),1,1)&lt;&gt;"",OFFSET(Planning!$D$25,COLUMN(T8),0,1,1),0)</f>
        <v>0</v>
      </c>
      <c r="AD11" s="67" t="e">
        <f ca="1">VLOOKUP($B11,'Summary Calculations (hide)'!$D$15:$U$67,17,0)</f>
        <v>#N/A</v>
      </c>
      <c r="AE11" s="67" t="e">
        <f ca="1">VLOOKUP($B11,'Summary Calculations (hide)'!$D$15:$U$67,18,0)</f>
        <v>#N/A</v>
      </c>
    </row>
    <row r="12" spans="1:31" x14ac:dyDescent="0.2">
      <c r="A12" s="87">
        <f t="shared" ca="1" si="3"/>
        <v>44480</v>
      </c>
      <c r="B12" s="67">
        <f t="shared" ca="1" si="0"/>
        <v>41</v>
      </c>
      <c r="C12" s="5" t="e">
        <f ca="1">IF(Planning!$C$8="No",VLOOKUP(B12,'Summary Calculations (hide)'!$D$15:$U$67,17,0),IF('Demand adjustments for Covid'!$F$9="Yes",'Demand background (hide)'!DS12+SUM('Demand background (hide)'!DV12:DW12),VLOOKUP(B12,'Summary Calculations (hide)'!$D$15:$F$67,2,0))*IF(Planning!$C$11="",1,1+Planning!$C$11)*'Summary Calculations (hide)'!$L$4/IF(Summary!$C$8="Patients",'Summary Calculations (hide)'!$I$9,1))</f>
        <v>#N/A</v>
      </c>
      <c r="D12" s="5" t="e">
        <f ca="1">IF(Planning!$C$8="No",VLOOKUP('Planning (hide)'!B12,'Summary Calculations (hide)'!$D$15:$U$67,18,0),IF('Demand adjustments for Covid'!$F$9="Yes",'Demand background (hide)'!DX12,VLOOKUP(B12,'Summary Calculations (hide)'!$D$15:$F$67,3,0))*IF(Planning!$C$11="",1,1+Planning!$C$11)*'Summary Calculations (hide)'!$L$4/IF(Summary!$C$8="Patients",'Summary Calculations (hide)'!$I$9,1))-IF(Planning!$C$8="No",0,C12)</f>
        <v>#N/A</v>
      </c>
      <c r="E12" s="5">
        <f ca="1">VLOOKUP($B12,'Summary Calculations (hide)'!$D$15:$U$67,15,0)</f>
        <v>0</v>
      </c>
      <c r="F12" s="5">
        <f ca="1">VLOOKUP($B12,'Summary Calculations (hide)'!$D$15:$U$67,16,0)</f>
        <v>0</v>
      </c>
      <c r="G12" s="5">
        <f t="shared" ca="1" si="1"/>
        <v>0</v>
      </c>
      <c r="H12" s="5">
        <f t="shared" ca="1" si="2"/>
        <v>102</v>
      </c>
      <c r="I12" s="67">
        <f ca="1">IF(OFFSET(Planning!$E$25,0,ROW(A9),1,1)&lt;&gt;"",-'Planning (hide)'!$G12,0)</f>
        <v>0</v>
      </c>
      <c r="J12" s="67">
        <f ca="1">IF(OFFSET(Planning!$E$25,COLUMN(A9),ROW(A9),1,1)&lt;&gt;"",OFFSET(Planning!$D$25,COLUMN(A9),0,1,1),0)</f>
        <v>0</v>
      </c>
      <c r="K12" s="67">
        <f ca="1">IF(OFFSET(Planning!$E$25,COLUMN(B9),ROW(B9),1,1)&lt;&gt;"",OFFSET(Planning!$D$25,COLUMN(B9),0,1,1),0)</f>
        <v>102</v>
      </c>
      <c r="L12" s="67">
        <f ca="1">IF(OFFSET(Planning!$E$25,COLUMN(C9),ROW(C9),1,1)&lt;&gt;"",OFFSET(Planning!$D$25,COLUMN(C9),0,1,1),0)</f>
        <v>0</v>
      </c>
      <c r="M12" s="67">
        <f ca="1">IF(OFFSET(Planning!$E$25,COLUMN(D9),ROW(D9),1,1)&lt;&gt;"",OFFSET(Planning!$D$25,COLUMN(D9),0,1,1),0)</f>
        <v>0</v>
      </c>
      <c r="N12" s="67">
        <f ca="1">IF(OFFSET(Planning!$E$25,COLUMN(E9),ROW(E9),1,1)&lt;&gt;"",OFFSET(Planning!$D$25,COLUMN(E9),0,1,1),0)</f>
        <v>0</v>
      </c>
      <c r="O12" s="67">
        <f ca="1">IF(OFFSET(Planning!$E$25,COLUMN(F9),ROW(F9),1,1)&lt;&gt;"",OFFSET(Planning!$D$25,COLUMN(F9),0,1,1),0)</f>
        <v>0</v>
      </c>
      <c r="P12" s="67">
        <f ca="1">IF(OFFSET(Planning!$E$25,COLUMN(G9),ROW(G9),1,1)&lt;&gt;"",OFFSET(Planning!$D$25,COLUMN(G9),0,1,1),0)</f>
        <v>0</v>
      </c>
      <c r="Q12" s="67">
        <f ca="1">IF(OFFSET(Planning!$E$25,COLUMN(H9),ROW(H9),1,1)&lt;&gt;"",OFFSET(Planning!$D$25,COLUMN(H9),0,1,1),0)</f>
        <v>0</v>
      </c>
      <c r="R12" s="67">
        <f ca="1">IF(OFFSET(Planning!$E$25,COLUMN(I9),ROW(I9),1,1)&lt;&gt;"",OFFSET(Planning!$D$25,COLUMN(I9),0,1,1),0)</f>
        <v>0</v>
      </c>
      <c r="S12" s="67">
        <f ca="1">IF(OFFSET(Planning!$E$25,COLUMN(J9),ROW(J9),1,1)&lt;&gt;"",OFFSET(Planning!$D$25,COLUMN(J9),0,1,1),0)</f>
        <v>0</v>
      </c>
      <c r="T12" s="67">
        <f ca="1">IF(OFFSET(Planning!$E$25,COLUMN(K9),ROW(K9),1,1)&lt;&gt;"",OFFSET(Planning!$D$25,COLUMN(K9),0,1,1),0)</f>
        <v>0</v>
      </c>
      <c r="U12" s="67">
        <f ca="1">IF(OFFSET(Planning!$E$25,COLUMN(L9),ROW(L9),1,1)&lt;&gt;"",OFFSET(Planning!$D$25,COLUMN(L9),0,1,1),0)</f>
        <v>0</v>
      </c>
      <c r="V12" s="67">
        <f ca="1">IF(OFFSET(Planning!$E$25,COLUMN(M9),ROW(M9),1,1)&lt;&gt;"",OFFSET(Planning!$D$25,COLUMN(M9),0,1,1),0)</f>
        <v>0</v>
      </c>
      <c r="W12" s="67">
        <f ca="1">IF(OFFSET(Planning!$E$25,COLUMN(N9),ROW(N9),1,1)&lt;&gt;"",OFFSET(Planning!$D$25,COLUMN(N9),0,1,1),0)</f>
        <v>0</v>
      </c>
      <c r="X12" s="67">
        <f ca="1">IF(OFFSET(Planning!$E$25,COLUMN(O9),ROW(O9),1,1)&lt;&gt;"",OFFSET(Planning!$D$25,COLUMN(O9),0,1,1),0)</f>
        <v>0</v>
      </c>
      <c r="Y12" s="67">
        <f ca="1">IF(OFFSET(Planning!$E$25,COLUMN(P9),ROW(P9),1,1)&lt;&gt;"",OFFSET(Planning!$D$25,COLUMN(P9),0,1,1),0)</f>
        <v>0</v>
      </c>
      <c r="Z12" s="67">
        <f ca="1">IF(OFFSET(Planning!$E$25,COLUMN(Q9),ROW(Q9),1,1)&lt;&gt;"",OFFSET(Planning!$D$25,COLUMN(Q9),0,1,1),0)</f>
        <v>0</v>
      </c>
      <c r="AA12" s="67">
        <f ca="1">IF(OFFSET(Planning!$E$25,COLUMN(R9),ROW(R9),1,1)&lt;&gt;"",OFFSET(Planning!$D$25,COLUMN(R9),0,1,1),0)</f>
        <v>0</v>
      </c>
      <c r="AB12" s="67">
        <f ca="1">IF(OFFSET(Planning!$E$25,COLUMN(S9),ROW(S9),1,1)&lt;&gt;"",OFFSET(Planning!$D$25,COLUMN(S9),0,1,1),0)</f>
        <v>0</v>
      </c>
      <c r="AC12" s="67">
        <f ca="1">IF(OFFSET(Planning!$E$25,COLUMN(T9),ROW(T9),1,1)&lt;&gt;"",OFFSET(Planning!$D$25,COLUMN(T9),0,1,1),0)</f>
        <v>0</v>
      </c>
      <c r="AD12" s="67" t="e">
        <f ca="1">VLOOKUP($B12,'Summary Calculations (hide)'!$D$15:$U$67,17,0)</f>
        <v>#N/A</v>
      </c>
      <c r="AE12" s="67" t="e">
        <f ca="1">VLOOKUP($B12,'Summary Calculations (hide)'!$D$15:$U$67,18,0)</f>
        <v>#N/A</v>
      </c>
    </row>
    <row r="13" spans="1:31" x14ac:dyDescent="0.2">
      <c r="A13" s="87">
        <f t="shared" ca="1" si="3"/>
        <v>44487</v>
      </c>
      <c r="B13" s="67">
        <f t="shared" ca="1" si="0"/>
        <v>42</v>
      </c>
      <c r="C13" s="5" t="e">
        <f ca="1">IF(Planning!$C$8="No",VLOOKUP(B13,'Summary Calculations (hide)'!$D$15:$U$67,17,0),IF('Demand adjustments for Covid'!$F$9="Yes",'Demand background (hide)'!DS13+SUM('Demand background (hide)'!DV13:DW13),VLOOKUP(B13,'Summary Calculations (hide)'!$D$15:$F$67,2,0))*IF(Planning!$C$11="",1,1+Planning!$C$11)*'Summary Calculations (hide)'!$L$4/IF(Summary!$C$8="Patients",'Summary Calculations (hide)'!$I$9,1))</f>
        <v>#N/A</v>
      </c>
      <c r="D13" s="5" t="e">
        <f ca="1">IF(Planning!$C$8="No",VLOOKUP('Planning (hide)'!B13,'Summary Calculations (hide)'!$D$15:$U$67,18,0),IF('Demand adjustments for Covid'!$F$9="Yes",'Demand background (hide)'!DX13,VLOOKUP(B13,'Summary Calculations (hide)'!$D$15:$F$67,3,0))*IF(Planning!$C$11="",1,1+Planning!$C$11)*'Summary Calculations (hide)'!$L$4/IF(Summary!$C$8="Patients",'Summary Calculations (hide)'!$I$9,1))-IF(Planning!$C$8="No",0,C13)</f>
        <v>#N/A</v>
      </c>
      <c r="E13" s="5">
        <f ca="1">VLOOKUP($B13,'Summary Calculations (hide)'!$D$15:$U$67,15,0)</f>
        <v>0</v>
      </c>
      <c r="F13" s="5">
        <f ca="1">VLOOKUP($B13,'Summary Calculations (hide)'!$D$15:$U$67,16,0)</f>
        <v>0</v>
      </c>
      <c r="G13" s="5">
        <f t="shared" ca="1" si="1"/>
        <v>0</v>
      </c>
      <c r="H13" s="5">
        <f t="shared" ca="1" si="2"/>
        <v>85</v>
      </c>
      <c r="I13" s="67">
        <f ca="1">IF(OFFSET(Planning!$E$25,0,ROW(A10),1,1)&lt;&gt;"",-'Planning (hide)'!$G13,0)</f>
        <v>0</v>
      </c>
      <c r="J13" s="67">
        <f ca="1">IF(OFFSET(Planning!$E$25,COLUMN(A10),ROW(A10),1,1)&lt;&gt;"",OFFSET(Planning!$D$25,COLUMN(A10),0,1,1),0)</f>
        <v>85</v>
      </c>
      <c r="K13" s="67">
        <f ca="1">IF(OFFSET(Planning!$E$25,COLUMN(B10),ROW(B10),1,1)&lt;&gt;"",OFFSET(Planning!$D$25,COLUMN(B10),0,1,1),0)</f>
        <v>0</v>
      </c>
      <c r="L13" s="67">
        <f ca="1">IF(OFFSET(Planning!$E$25,COLUMN(C10),ROW(C10),1,1)&lt;&gt;"",OFFSET(Planning!$D$25,COLUMN(C10),0,1,1),0)</f>
        <v>0</v>
      </c>
      <c r="M13" s="67">
        <f ca="1">IF(OFFSET(Planning!$E$25,COLUMN(D10),ROW(D10),1,1)&lt;&gt;"",OFFSET(Planning!$D$25,COLUMN(D10),0,1,1),0)</f>
        <v>0</v>
      </c>
      <c r="N13" s="67">
        <f ca="1">IF(OFFSET(Planning!$E$25,COLUMN(E10),ROW(E10),1,1)&lt;&gt;"",OFFSET(Planning!$D$25,COLUMN(E10),0,1,1),0)</f>
        <v>0</v>
      </c>
      <c r="O13" s="67">
        <f ca="1">IF(OFFSET(Planning!$E$25,COLUMN(F10),ROW(F10),1,1)&lt;&gt;"",OFFSET(Planning!$D$25,COLUMN(F10),0,1,1),0)</f>
        <v>0</v>
      </c>
      <c r="P13" s="67">
        <f ca="1">IF(OFFSET(Planning!$E$25,COLUMN(G10),ROW(G10),1,1)&lt;&gt;"",OFFSET(Planning!$D$25,COLUMN(G10),0,1,1),0)</f>
        <v>0</v>
      </c>
      <c r="Q13" s="67">
        <f ca="1">IF(OFFSET(Planning!$E$25,COLUMN(H10),ROW(H10),1,1)&lt;&gt;"",OFFSET(Planning!$D$25,COLUMN(H10),0,1,1),0)</f>
        <v>0</v>
      </c>
      <c r="R13" s="67">
        <f ca="1">IF(OFFSET(Planning!$E$25,COLUMN(I10),ROW(I10),1,1)&lt;&gt;"",OFFSET(Planning!$D$25,COLUMN(I10),0,1,1),0)</f>
        <v>0</v>
      </c>
      <c r="S13" s="67">
        <f ca="1">IF(OFFSET(Planning!$E$25,COLUMN(J10),ROW(J10),1,1)&lt;&gt;"",OFFSET(Planning!$D$25,COLUMN(J10),0,1,1),0)</f>
        <v>0</v>
      </c>
      <c r="T13" s="67">
        <f ca="1">IF(OFFSET(Planning!$E$25,COLUMN(K10),ROW(K10),1,1)&lt;&gt;"",OFFSET(Planning!$D$25,COLUMN(K10),0,1,1),0)</f>
        <v>0</v>
      </c>
      <c r="U13" s="67">
        <f ca="1">IF(OFFSET(Planning!$E$25,COLUMN(L10),ROW(L10),1,1)&lt;&gt;"",OFFSET(Planning!$D$25,COLUMN(L10),0,1,1),0)</f>
        <v>0</v>
      </c>
      <c r="V13" s="67">
        <f ca="1">IF(OFFSET(Planning!$E$25,COLUMN(M10),ROW(M10),1,1)&lt;&gt;"",OFFSET(Planning!$D$25,COLUMN(M10),0,1,1),0)</f>
        <v>0</v>
      </c>
      <c r="W13" s="67">
        <f ca="1">IF(OFFSET(Planning!$E$25,COLUMN(N10),ROW(N10),1,1)&lt;&gt;"",OFFSET(Planning!$D$25,COLUMN(N10),0,1,1),0)</f>
        <v>0</v>
      </c>
      <c r="X13" s="67">
        <f ca="1">IF(OFFSET(Planning!$E$25,COLUMN(O10),ROW(O10),1,1)&lt;&gt;"",OFFSET(Planning!$D$25,COLUMN(O10),0,1,1),0)</f>
        <v>0</v>
      </c>
      <c r="Y13" s="67">
        <f ca="1">IF(OFFSET(Planning!$E$25,COLUMN(P10),ROW(P10),1,1)&lt;&gt;"",OFFSET(Planning!$D$25,COLUMN(P10),0,1,1),0)</f>
        <v>0</v>
      </c>
      <c r="Z13" s="67">
        <f ca="1">IF(OFFSET(Planning!$E$25,COLUMN(Q10),ROW(Q10),1,1)&lt;&gt;"",OFFSET(Planning!$D$25,COLUMN(Q10),0,1,1),0)</f>
        <v>0</v>
      </c>
      <c r="AA13" s="67">
        <f ca="1">IF(OFFSET(Planning!$E$25,COLUMN(R10),ROW(R10),1,1)&lt;&gt;"",OFFSET(Planning!$D$25,COLUMN(R10),0,1,1),0)</f>
        <v>0</v>
      </c>
      <c r="AB13" s="67">
        <f ca="1">IF(OFFSET(Planning!$E$25,COLUMN(S10),ROW(S10),1,1)&lt;&gt;"",OFFSET(Planning!$D$25,COLUMN(S10),0,1,1),0)</f>
        <v>0</v>
      </c>
      <c r="AC13" s="67">
        <f ca="1">IF(OFFSET(Planning!$E$25,COLUMN(T10),ROW(T10),1,1)&lt;&gt;"",OFFSET(Planning!$D$25,COLUMN(T10),0,1,1),0)</f>
        <v>0</v>
      </c>
      <c r="AD13" s="67" t="e">
        <f ca="1">VLOOKUP($B13,'Summary Calculations (hide)'!$D$15:$U$67,17,0)</f>
        <v>#N/A</v>
      </c>
      <c r="AE13" s="67" t="e">
        <f ca="1">VLOOKUP($B13,'Summary Calculations (hide)'!$D$15:$U$67,18,0)</f>
        <v>#N/A</v>
      </c>
    </row>
    <row r="14" spans="1:31" x14ac:dyDescent="0.2">
      <c r="A14" s="87">
        <f t="shared" ca="1" si="3"/>
        <v>44494</v>
      </c>
      <c r="B14" s="67">
        <f t="shared" ca="1" si="0"/>
        <v>43</v>
      </c>
      <c r="C14" s="5" t="e">
        <f ca="1">IF(Planning!$C$8="No",VLOOKUP(B14,'Summary Calculations (hide)'!$D$15:$U$67,17,0),IF('Demand adjustments for Covid'!$F$9="Yes",'Demand background (hide)'!DS14+SUM('Demand background (hide)'!DV14:DW14),VLOOKUP(B14,'Summary Calculations (hide)'!$D$15:$F$67,2,0))*IF(Planning!$C$11="",1,1+Planning!$C$11)*'Summary Calculations (hide)'!$L$4/IF(Summary!$C$8="Patients",'Summary Calculations (hide)'!$I$9,1))</f>
        <v>#N/A</v>
      </c>
      <c r="D14" s="5" t="e">
        <f ca="1">IF(Planning!$C$8="No",VLOOKUP('Planning (hide)'!B14,'Summary Calculations (hide)'!$D$15:$U$67,18,0),IF('Demand adjustments for Covid'!$F$9="Yes",'Demand background (hide)'!DX14,VLOOKUP(B14,'Summary Calculations (hide)'!$D$15:$F$67,3,0))*IF(Planning!$C$11="",1,1+Planning!$C$11)*'Summary Calculations (hide)'!$L$4/IF(Summary!$C$8="Patients",'Summary Calculations (hide)'!$I$9,1))-IF(Planning!$C$8="No",0,C14)</f>
        <v>#N/A</v>
      </c>
      <c r="E14" s="5">
        <f ca="1">VLOOKUP($B14,'Summary Calculations (hide)'!$D$15:$U$67,15,0)</f>
        <v>0</v>
      </c>
      <c r="F14" s="5">
        <f ca="1">VLOOKUP($B14,'Summary Calculations (hide)'!$D$15:$U$67,16,0)</f>
        <v>0</v>
      </c>
      <c r="G14" s="5">
        <f t="shared" ca="1" si="1"/>
        <v>0</v>
      </c>
      <c r="H14" s="5">
        <f t="shared" ca="1" si="2"/>
        <v>0</v>
      </c>
      <c r="I14" s="67">
        <f ca="1">IF(OFFSET(Planning!$E$25,0,ROW(A11),1,1)&lt;&gt;"",-'Planning (hide)'!$G14,0)</f>
        <v>0</v>
      </c>
      <c r="J14" s="67">
        <f ca="1">IF(OFFSET(Planning!$E$25,COLUMN(A11),ROW(A11),1,1)&lt;&gt;"",OFFSET(Planning!$D$25,COLUMN(A11),0,1,1),0)</f>
        <v>0</v>
      </c>
      <c r="K14" s="67">
        <f ca="1">IF(OFFSET(Planning!$E$25,COLUMN(B11),ROW(B11),1,1)&lt;&gt;"",OFFSET(Planning!$D$25,COLUMN(B11),0,1,1),0)</f>
        <v>0</v>
      </c>
      <c r="L14" s="67">
        <f ca="1">IF(OFFSET(Planning!$E$25,COLUMN(C11),ROW(C11),1,1)&lt;&gt;"",OFFSET(Planning!$D$25,COLUMN(C11),0,1,1),0)</f>
        <v>0</v>
      </c>
      <c r="M14" s="67">
        <f ca="1">IF(OFFSET(Planning!$E$25,COLUMN(D11),ROW(D11),1,1)&lt;&gt;"",OFFSET(Planning!$D$25,COLUMN(D11),0,1,1),0)</f>
        <v>0</v>
      </c>
      <c r="N14" s="67">
        <f ca="1">IF(OFFSET(Planning!$E$25,COLUMN(E11),ROW(E11),1,1)&lt;&gt;"",OFFSET(Planning!$D$25,COLUMN(E11),0,1,1),0)</f>
        <v>0</v>
      </c>
      <c r="O14" s="67">
        <f ca="1">IF(OFFSET(Planning!$E$25,COLUMN(F11),ROW(F11),1,1)&lt;&gt;"",OFFSET(Planning!$D$25,COLUMN(F11),0,1,1),0)</f>
        <v>0</v>
      </c>
      <c r="P14" s="67">
        <f ca="1">IF(OFFSET(Planning!$E$25,COLUMN(G11),ROW(G11),1,1)&lt;&gt;"",OFFSET(Planning!$D$25,COLUMN(G11),0,1,1),0)</f>
        <v>0</v>
      </c>
      <c r="Q14" s="67">
        <f ca="1">IF(OFFSET(Planning!$E$25,COLUMN(H11),ROW(H11),1,1)&lt;&gt;"",OFFSET(Planning!$D$25,COLUMN(H11),0,1,1),0)</f>
        <v>0</v>
      </c>
      <c r="R14" s="67">
        <f ca="1">IF(OFFSET(Planning!$E$25,COLUMN(I11),ROW(I11),1,1)&lt;&gt;"",OFFSET(Planning!$D$25,COLUMN(I11),0,1,1),0)</f>
        <v>0</v>
      </c>
      <c r="S14" s="67">
        <f ca="1">IF(OFFSET(Planning!$E$25,COLUMN(J11),ROW(J11),1,1)&lt;&gt;"",OFFSET(Planning!$D$25,COLUMN(J11),0,1,1),0)</f>
        <v>0</v>
      </c>
      <c r="T14" s="67">
        <f ca="1">IF(OFFSET(Planning!$E$25,COLUMN(K11),ROW(K11),1,1)&lt;&gt;"",OFFSET(Planning!$D$25,COLUMN(K11),0,1,1),0)</f>
        <v>0</v>
      </c>
      <c r="U14" s="67">
        <f ca="1">IF(OFFSET(Planning!$E$25,COLUMN(L11),ROW(L11),1,1)&lt;&gt;"",OFFSET(Planning!$D$25,COLUMN(L11),0,1,1),0)</f>
        <v>0</v>
      </c>
      <c r="V14" s="67">
        <f ca="1">IF(OFFSET(Planning!$E$25,COLUMN(M11),ROW(M11),1,1)&lt;&gt;"",OFFSET(Planning!$D$25,COLUMN(M11),0,1,1),0)</f>
        <v>0</v>
      </c>
      <c r="W14" s="67">
        <f ca="1">IF(OFFSET(Planning!$E$25,COLUMN(N11),ROW(N11),1,1)&lt;&gt;"",OFFSET(Planning!$D$25,COLUMN(N11),0,1,1),0)</f>
        <v>0</v>
      </c>
      <c r="X14" s="67">
        <f ca="1">IF(OFFSET(Planning!$E$25,COLUMN(O11),ROW(O11),1,1)&lt;&gt;"",OFFSET(Planning!$D$25,COLUMN(O11),0,1,1),0)</f>
        <v>0</v>
      </c>
      <c r="Y14" s="67">
        <f ca="1">IF(OFFSET(Planning!$E$25,COLUMN(P11),ROW(P11),1,1)&lt;&gt;"",OFFSET(Planning!$D$25,COLUMN(P11),0,1,1),0)</f>
        <v>0</v>
      </c>
      <c r="Z14" s="67">
        <f ca="1">IF(OFFSET(Planning!$E$25,COLUMN(Q11),ROW(Q11),1,1)&lt;&gt;"",OFFSET(Planning!$D$25,COLUMN(Q11),0,1,1),0)</f>
        <v>0</v>
      </c>
      <c r="AA14" s="67">
        <f ca="1">IF(OFFSET(Planning!$E$25,COLUMN(R11),ROW(R11),1,1)&lt;&gt;"",OFFSET(Planning!$D$25,COLUMN(R11),0,1,1),0)</f>
        <v>0</v>
      </c>
      <c r="AB14" s="67">
        <f ca="1">IF(OFFSET(Planning!$E$25,COLUMN(S11),ROW(S11),1,1)&lt;&gt;"",OFFSET(Planning!$D$25,COLUMN(S11),0,1,1),0)</f>
        <v>0</v>
      </c>
      <c r="AC14" s="67">
        <f ca="1">IF(OFFSET(Planning!$E$25,COLUMN(T11),ROW(T11),1,1)&lt;&gt;"",OFFSET(Planning!$D$25,COLUMN(T11),0,1,1),0)</f>
        <v>0</v>
      </c>
      <c r="AD14" s="67" t="e">
        <f ca="1">VLOOKUP($B14,'Summary Calculations (hide)'!$D$15:$U$67,17,0)</f>
        <v>#N/A</v>
      </c>
      <c r="AE14" s="67" t="e">
        <f ca="1">VLOOKUP($B14,'Summary Calculations (hide)'!$D$15:$U$67,18,0)</f>
        <v>#N/A</v>
      </c>
    </row>
    <row r="15" spans="1:31" x14ac:dyDescent="0.2">
      <c r="A15" s="87">
        <f t="shared" ca="1" si="3"/>
        <v>44501</v>
      </c>
      <c r="B15" s="67">
        <f t="shared" ca="1" si="0"/>
        <v>44</v>
      </c>
      <c r="C15" s="5" t="e">
        <f ca="1">IF(Planning!$C$8="No",VLOOKUP(B15,'Summary Calculations (hide)'!$D$15:$U$67,17,0),IF('Demand adjustments for Covid'!$F$9="Yes",'Demand background (hide)'!DS15+SUM('Demand background (hide)'!DV15:DW15),VLOOKUP(B15,'Summary Calculations (hide)'!$D$15:$F$67,2,0))*IF(Planning!$C$11="",1,1+Planning!$C$11)*'Summary Calculations (hide)'!$L$4/IF(Summary!$C$8="Patients",'Summary Calculations (hide)'!$I$9,1))</f>
        <v>#N/A</v>
      </c>
      <c r="D15" s="5" t="e">
        <f ca="1">IF(Planning!$C$8="No",VLOOKUP('Planning (hide)'!B15,'Summary Calculations (hide)'!$D$15:$U$67,18,0),IF('Demand adjustments for Covid'!$F$9="Yes",'Demand background (hide)'!DX15,VLOOKUP(B15,'Summary Calculations (hide)'!$D$15:$F$67,3,0))*IF(Planning!$C$11="",1,1+Planning!$C$11)*'Summary Calculations (hide)'!$L$4/IF(Summary!$C$8="Patients",'Summary Calculations (hide)'!$I$9,1))-IF(Planning!$C$8="No",0,C15)</f>
        <v>#N/A</v>
      </c>
      <c r="E15" s="5">
        <f ca="1">VLOOKUP($B15,'Summary Calculations (hide)'!$D$15:$U$67,15,0)</f>
        <v>0</v>
      </c>
      <c r="F15" s="5">
        <f ca="1">VLOOKUP($B15,'Summary Calculations (hide)'!$D$15:$U$67,16,0)</f>
        <v>0</v>
      </c>
      <c r="G15" s="5">
        <f t="shared" ca="1" si="1"/>
        <v>0</v>
      </c>
      <c r="H15" s="5">
        <f t="shared" ca="1" si="2"/>
        <v>0</v>
      </c>
      <c r="I15" s="67">
        <f ca="1">IF(OFFSET(Planning!$E$25,0,ROW(A12),1,1)&lt;&gt;"",-'Planning (hide)'!$G15,0)</f>
        <v>0</v>
      </c>
      <c r="J15" s="67">
        <f ca="1">IF(OFFSET(Planning!$E$25,COLUMN(A12),ROW(A12),1,1)&lt;&gt;"",OFFSET(Planning!$D$25,COLUMN(A12),0,1,1),0)</f>
        <v>0</v>
      </c>
      <c r="K15" s="67">
        <f ca="1">IF(OFFSET(Planning!$E$25,COLUMN(B12),ROW(B12),1,1)&lt;&gt;"",OFFSET(Planning!$D$25,COLUMN(B12),0,1,1),0)</f>
        <v>0</v>
      </c>
      <c r="L15" s="67">
        <f ca="1">IF(OFFSET(Planning!$E$25,COLUMN(C12),ROW(C12),1,1)&lt;&gt;"",OFFSET(Planning!$D$25,COLUMN(C12),0,1,1),0)</f>
        <v>0</v>
      </c>
      <c r="M15" s="67">
        <f ca="1">IF(OFFSET(Planning!$E$25,COLUMN(D12),ROW(D12),1,1)&lt;&gt;"",OFFSET(Planning!$D$25,COLUMN(D12),0,1,1),0)</f>
        <v>0</v>
      </c>
      <c r="N15" s="67">
        <f ca="1">IF(OFFSET(Planning!$E$25,COLUMN(E12),ROW(E12),1,1)&lt;&gt;"",OFFSET(Planning!$D$25,COLUMN(E12),0,1,1),0)</f>
        <v>0</v>
      </c>
      <c r="O15" s="67">
        <f ca="1">IF(OFFSET(Planning!$E$25,COLUMN(F12),ROW(F12),1,1)&lt;&gt;"",OFFSET(Planning!$D$25,COLUMN(F12),0,1,1),0)</f>
        <v>0</v>
      </c>
      <c r="P15" s="67">
        <f ca="1">IF(OFFSET(Planning!$E$25,COLUMN(G12),ROW(G12),1,1)&lt;&gt;"",OFFSET(Planning!$D$25,COLUMN(G12),0,1,1),0)</f>
        <v>0</v>
      </c>
      <c r="Q15" s="67">
        <f ca="1">IF(OFFSET(Planning!$E$25,COLUMN(H12),ROW(H12),1,1)&lt;&gt;"",OFFSET(Planning!$D$25,COLUMN(H12),0,1,1),0)</f>
        <v>0</v>
      </c>
      <c r="R15" s="67">
        <f ca="1">IF(OFFSET(Planning!$E$25,COLUMN(I12),ROW(I12),1,1)&lt;&gt;"",OFFSET(Planning!$D$25,COLUMN(I12),0,1,1),0)</f>
        <v>0</v>
      </c>
      <c r="S15" s="67">
        <f ca="1">IF(OFFSET(Planning!$E$25,COLUMN(J12),ROW(J12),1,1)&lt;&gt;"",OFFSET(Planning!$D$25,COLUMN(J12),0,1,1),0)</f>
        <v>0</v>
      </c>
      <c r="T15" s="67">
        <f ca="1">IF(OFFSET(Planning!$E$25,COLUMN(K12),ROW(K12),1,1)&lt;&gt;"",OFFSET(Planning!$D$25,COLUMN(K12),0,1,1),0)</f>
        <v>0</v>
      </c>
      <c r="U15" s="67">
        <f ca="1">IF(OFFSET(Planning!$E$25,COLUMN(L12),ROW(L12),1,1)&lt;&gt;"",OFFSET(Planning!$D$25,COLUMN(L12),0,1,1),0)</f>
        <v>0</v>
      </c>
      <c r="V15" s="67">
        <f ca="1">IF(OFFSET(Planning!$E$25,COLUMN(M12),ROW(M12),1,1)&lt;&gt;"",OFFSET(Planning!$D$25,COLUMN(M12),0,1,1),0)</f>
        <v>0</v>
      </c>
      <c r="W15" s="67">
        <f ca="1">IF(OFFSET(Planning!$E$25,COLUMN(N12),ROW(N12),1,1)&lt;&gt;"",OFFSET(Planning!$D$25,COLUMN(N12),0,1,1),0)</f>
        <v>0</v>
      </c>
      <c r="X15" s="67">
        <f ca="1">IF(OFFSET(Planning!$E$25,COLUMN(O12),ROW(O12),1,1)&lt;&gt;"",OFFSET(Planning!$D$25,COLUMN(O12),0,1,1),0)</f>
        <v>0</v>
      </c>
      <c r="Y15" s="67">
        <f ca="1">IF(OFFSET(Planning!$E$25,COLUMN(P12),ROW(P12),1,1)&lt;&gt;"",OFFSET(Planning!$D$25,COLUMN(P12),0,1,1),0)</f>
        <v>0</v>
      </c>
      <c r="Z15" s="67">
        <f ca="1">IF(OFFSET(Planning!$E$25,COLUMN(Q12),ROW(Q12),1,1)&lt;&gt;"",OFFSET(Planning!$D$25,COLUMN(Q12),0,1,1),0)</f>
        <v>0</v>
      </c>
      <c r="AA15" s="67">
        <f ca="1">IF(OFFSET(Planning!$E$25,COLUMN(R12),ROW(R12),1,1)&lt;&gt;"",OFFSET(Planning!$D$25,COLUMN(R12),0,1,1),0)</f>
        <v>0</v>
      </c>
      <c r="AB15" s="67">
        <f ca="1">IF(OFFSET(Planning!$E$25,COLUMN(S12),ROW(S12),1,1)&lt;&gt;"",OFFSET(Planning!$D$25,COLUMN(S12),0,1,1),0)</f>
        <v>0</v>
      </c>
      <c r="AC15" s="67">
        <f ca="1">IF(OFFSET(Planning!$E$25,COLUMN(T12),ROW(T12),1,1)&lt;&gt;"",OFFSET(Planning!$D$25,COLUMN(T12),0,1,1),0)</f>
        <v>0</v>
      </c>
      <c r="AD15" s="67" t="e">
        <f ca="1">VLOOKUP($B15,'Summary Calculations (hide)'!$D$15:$U$67,17,0)</f>
        <v>#N/A</v>
      </c>
      <c r="AE15" s="67" t="e">
        <f ca="1">VLOOKUP($B15,'Summary Calculations (hide)'!$D$15:$U$67,18,0)</f>
        <v>#N/A</v>
      </c>
    </row>
    <row r="16" spans="1:31" x14ac:dyDescent="0.2">
      <c r="A16" s="87">
        <f t="shared" ca="1" si="3"/>
        <v>44508</v>
      </c>
      <c r="B16" s="67">
        <f t="shared" ca="1" si="0"/>
        <v>45</v>
      </c>
      <c r="C16" s="5" t="e">
        <f ca="1">IF(Planning!$C$8="No",VLOOKUP(B16,'Summary Calculations (hide)'!$D$15:$U$67,17,0),IF('Demand adjustments for Covid'!$F$9="Yes",'Demand background (hide)'!DS16+SUM('Demand background (hide)'!DV16:DW16),VLOOKUP(B16,'Summary Calculations (hide)'!$D$15:$F$67,2,0))*IF(Planning!$C$11="",1,1+Planning!$C$11)*'Summary Calculations (hide)'!$L$4/IF(Summary!$C$8="Patients",'Summary Calculations (hide)'!$I$9,1))</f>
        <v>#N/A</v>
      </c>
      <c r="D16" s="5" t="e">
        <f ca="1">IF(Planning!$C$8="No",VLOOKUP('Planning (hide)'!B16,'Summary Calculations (hide)'!$D$15:$U$67,18,0),IF('Demand adjustments for Covid'!$F$9="Yes",'Demand background (hide)'!DX16,VLOOKUP(B16,'Summary Calculations (hide)'!$D$15:$F$67,3,0))*IF(Planning!$C$11="",1,1+Planning!$C$11)*'Summary Calculations (hide)'!$L$4/IF(Summary!$C$8="Patients",'Summary Calculations (hide)'!$I$9,1))-IF(Planning!$C$8="No",0,C16)</f>
        <v>#N/A</v>
      </c>
      <c r="E16" s="5">
        <f ca="1">VLOOKUP($B16,'Summary Calculations (hide)'!$D$15:$U$67,15,0)</f>
        <v>0</v>
      </c>
      <c r="F16" s="5">
        <f ca="1">VLOOKUP($B16,'Summary Calculations (hide)'!$D$15:$U$67,16,0)</f>
        <v>0</v>
      </c>
      <c r="G16" s="5">
        <f t="shared" ca="1" si="1"/>
        <v>0</v>
      </c>
      <c r="H16" s="5">
        <f t="shared" ca="1" si="2"/>
        <v>102</v>
      </c>
      <c r="I16" s="67">
        <f ca="1">IF(OFFSET(Planning!$E$25,0,ROW(A13),1,1)&lt;&gt;"",-'Planning (hide)'!$G16,0)</f>
        <v>0</v>
      </c>
      <c r="J16" s="67">
        <f ca="1">IF(OFFSET(Planning!$E$25,COLUMN(A13),ROW(A13),1,1)&lt;&gt;"",OFFSET(Planning!$D$25,COLUMN(A13),0,1,1),0)</f>
        <v>0</v>
      </c>
      <c r="K16" s="67">
        <f ca="1">IF(OFFSET(Planning!$E$25,COLUMN(B13),ROW(B13),1,1)&lt;&gt;"",OFFSET(Planning!$D$25,COLUMN(B13),0,1,1),0)</f>
        <v>102</v>
      </c>
      <c r="L16" s="67">
        <f ca="1">IF(OFFSET(Planning!$E$25,COLUMN(C13),ROW(C13),1,1)&lt;&gt;"",OFFSET(Planning!$D$25,COLUMN(C13),0,1,1),0)</f>
        <v>0</v>
      </c>
      <c r="M16" s="67">
        <f ca="1">IF(OFFSET(Planning!$E$25,COLUMN(D13),ROW(D13),1,1)&lt;&gt;"",OFFSET(Planning!$D$25,COLUMN(D13),0,1,1),0)</f>
        <v>0</v>
      </c>
      <c r="N16" s="67">
        <f ca="1">IF(OFFSET(Planning!$E$25,COLUMN(E13),ROW(E13),1,1)&lt;&gt;"",OFFSET(Planning!$D$25,COLUMN(E13),0,1,1),0)</f>
        <v>0</v>
      </c>
      <c r="O16" s="67">
        <f ca="1">IF(OFFSET(Planning!$E$25,COLUMN(F13),ROW(F13),1,1)&lt;&gt;"",OFFSET(Planning!$D$25,COLUMN(F13),0,1,1),0)</f>
        <v>0</v>
      </c>
      <c r="P16" s="67">
        <f ca="1">IF(OFFSET(Planning!$E$25,COLUMN(G13),ROW(G13),1,1)&lt;&gt;"",OFFSET(Planning!$D$25,COLUMN(G13),0,1,1),0)</f>
        <v>0</v>
      </c>
      <c r="Q16" s="67">
        <f ca="1">IF(OFFSET(Planning!$E$25,COLUMN(H13),ROW(H13),1,1)&lt;&gt;"",OFFSET(Planning!$D$25,COLUMN(H13),0,1,1),0)</f>
        <v>0</v>
      </c>
      <c r="R16" s="67">
        <f ca="1">IF(OFFSET(Planning!$E$25,COLUMN(I13),ROW(I13),1,1)&lt;&gt;"",OFFSET(Planning!$D$25,COLUMN(I13),0,1,1),0)</f>
        <v>0</v>
      </c>
      <c r="S16" s="67">
        <f ca="1">IF(OFFSET(Planning!$E$25,COLUMN(J13),ROW(J13),1,1)&lt;&gt;"",OFFSET(Planning!$D$25,COLUMN(J13),0,1,1),0)</f>
        <v>0</v>
      </c>
      <c r="T16" s="67">
        <f ca="1">IF(OFFSET(Planning!$E$25,COLUMN(K13),ROW(K13),1,1)&lt;&gt;"",OFFSET(Planning!$D$25,COLUMN(K13),0,1,1),0)</f>
        <v>0</v>
      </c>
      <c r="U16" s="67">
        <f ca="1">IF(OFFSET(Planning!$E$25,COLUMN(L13),ROW(L13),1,1)&lt;&gt;"",OFFSET(Planning!$D$25,COLUMN(L13),0,1,1),0)</f>
        <v>0</v>
      </c>
      <c r="V16" s="67">
        <f ca="1">IF(OFFSET(Planning!$E$25,COLUMN(M13),ROW(M13),1,1)&lt;&gt;"",OFFSET(Planning!$D$25,COLUMN(M13),0,1,1),0)</f>
        <v>0</v>
      </c>
      <c r="W16" s="67">
        <f ca="1">IF(OFFSET(Planning!$E$25,COLUMN(N13),ROW(N13),1,1)&lt;&gt;"",OFFSET(Planning!$D$25,COLUMN(N13),0,1,1),0)</f>
        <v>0</v>
      </c>
      <c r="X16" s="67">
        <f ca="1">IF(OFFSET(Planning!$E$25,COLUMN(O13),ROW(O13),1,1)&lt;&gt;"",OFFSET(Planning!$D$25,COLUMN(O13),0,1,1),0)</f>
        <v>0</v>
      </c>
      <c r="Y16" s="67">
        <f ca="1">IF(OFFSET(Planning!$E$25,COLUMN(P13),ROW(P13),1,1)&lt;&gt;"",OFFSET(Planning!$D$25,COLUMN(P13),0,1,1),0)</f>
        <v>0</v>
      </c>
      <c r="Z16" s="67">
        <f ca="1">IF(OFFSET(Planning!$E$25,COLUMN(Q13),ROW(Q13),1,1)&lt;&gt;"",OFFSET(Planning!$D$25,COLUMN(Q13),0,1,1),0)</f>
        <v>0</v>
      </c>
      <c r="AA16" s="67">
        <f ca="1">IF(OFFSET(Planning!$E$25,COLUMN(R13),ROW(R13),1,1)&lt;&gt;"",OFFSET(Planning!$D$25,COLUMN(R13),0,1,1),0)</f>
        <v>0</v>
      </c>
      <c r="AB16" s="67">
        <f ca="1">IF(OFFSET(Planning!$E$25,COLUMN(S13),ROW(S13),1,1)&lt;&gt;"",OFFSET(Planning!$D$25,COLUMN(S13),0,1,1),0)</f>
        <v>0</v>
      </c>
      <c r="AC16" s="67">
        <f ca="1">IF(OFFSET(Planning!$E$25,COLUMN(T13),ROW(T13),1,1)&lt;&gt;"",OFFSET(Planning!$D$25,COLUMN(T13),0,1,1),0)</f>
        <v>0</v>
      </c>
      <c r="AD16" s="67" t="e">
        <f ca="1">VLOOKUP($B16,'Summary Calculations (hide)'!$D$15:$U$67,17,0)</f>
        <v>#N/A</v>
      </c>
      <c r="AE16" s="67" t="e">
        <f ca="1">VLOOKUP($B16,'Summary Calculations (hide)'!$D$15:$U$67,18,0)</f>
        <v>#N/A</v>
      </c>
    </row>
    <row r="17" spans="1:31" x14ac:dyDescent="0.2">
      <c r="A17" s="87">
        <f t="shared" ca="1" si="3"/>
        <v>44515</v>
      </c>
      <c r="B17" s="67">
        <f t="shared" ca="1" si="0"/>
        <v>46</v>
      </c>
      <c r="C17" s="5" t="e">
        <f ca="1">IF(Planning!$C$8="No",VLOOKUP(B17,'Summary Calculations (hide)'!$D$15:$U$67,17,0),IF('Demand adjustments for Covid'!$F$9="Yes",'Demand background (hide)'!DS17+SUM('Demand background (hide)'!DV17:DW17),VLOOKUP(B17,'Summary Calculations (hide)'!$D$15:$F$67,2,0))*IF(Planning!$C$11="",1,1+Planning!$C$11)*'Summary Calculations (hide)'!$L$4/IF(Summary!$C$8="Patients",'Summary Calculations (hide)'!$I$9,1))</f>
        <v>#N/A</v>
      </c>
      <c r="D17" s="5" t="e">
        <f ca="1">IF(Planning!$C$8="No",VLOOKUP('Planning (hide)'!B17,'Summary Calculations (hide)'!$D$15:$U$67,18,0),IF('Demand adjustments for Covid'!$F$9="Yes",'Demand background (hide)'!DX17,VLOOKUP(B17,'Summary Calculations (hide)'!$D$15:$F$67,3,0))*IF(Planning!$C$11="",1,1+Planning!$C$11)*'Summary Calculations (hide)'!$L$4/IF(Summary!$C$8="Patients",'Summary Calculations (hide)'!$I$9,1))-IF(Planning!$C$8="No",0,C17)</f>
        <v>#N/A</v>
      </c>
      <c r="E17" s="5">
        <f ca="1">VLOOKUP($B17,'Summary Calculations (hide)'!$D$15:$U$67,15,0)</f>
        <v>0</v>
      </c>
      <c r="F17" s="5">
        <f ca="1">VLOOKUP($B17,'Summary Calculations (hide)'!$D$15:$U$67,16,0)</f>
        <v>0</v>
      </c>
      <c r="G17" s="5">
        <f t="shared" ca="1" si="1"/>
        <v>0</v>
      </c>
      <c r="H17" s="5">
        <f t="shared" ca="1" si="2"/>
        <v>0</v>
      </c>
      <c r="I17" s="67">
        <f ca="1">IF(OFFSET(Planning!$E$25,0,ROW(A14),1,1)&lt;&gt;"",-'Planning (hide)'!$G17,0)</f>
        <v>0</v>
      </c>
      <c r="J17" s="67">
        <f ca="1">IF(OFFSET(Planning!$E$25,COLUMN(A14),ROW(A14),1,1)&lt;&gt;"",OFFSET(Planning!$D$25,COLUMN(A14),0,1,1),0)</f>
        <v>0</v>
      </c>
      <c r="K17" s="67">
        <f ca="1">IF(OFFSET(Planning!$E$25,COLUMN(B14),ROW(B14),1,1)&lt;&gt;"",OFFSET(Planning!$D$25,COLUMN(B14),0,1,1),0)</f>
        <v>0</v>
      </c>
      <c r="L17" s="67">
        <f ca="1">IF(OFFSET(Planning!$E$25,COLUMN(C14),ROW(C14),1,1)&lt;&gt;"",OFFSET(Planning!$D$25,COLUMN(C14),0,1,1),0)</f>
        <v>0</v>
      </c>
      <c r="M17" s="67">
        <f ca="1">IF(OFFSET(Planning!$E$25,COLUMN(D14),ROW(D14),1,1)&lt;&gt;"",OFFSET(Planning!$D$25,COLUMN(D14),0,1,1),0)</f>
        <v>0</v>
      </c>
      <c r="N17" s="67">
        <f ca="1">IF(OFFSET(Planning!$E$25,COLUMN(E14),ROW(E14),1,1)&lt;&gt;"",OFFSET(Planning!$D$25,COLUMN(E14),0,1,1),0)</f>
        <v>0</v>
      </c>
      <c r="O17" s="67">
        <f ca="1">IF(OFFSET(Planning!$E$25,COLUMN(F14),ROW(F14),1,1)&lt;&gt;"",OFFSET(Planning!$D$25,COLUMN(F14),0,1,1),0)</f>
        <v>0</v>
      </c>
      <c r="P17" s="67">
        <f ca="1">IF(OFFSET(Planning!$E$25,COLUMN(G14),ROW(G14),1,1)&lt;&gt;"",OFFSET(Planning!$D$25,COLUMN(G14),0,1,1),0)</f>
        <v>0</v>
      </c>
      <c r="Q17" s="67">
        <f ca="1">IF(OFFSET(Planning!$E$25,COLUMN(H14),ROW(H14),1,1)&lt;&gt;"",OFFSET(Planning!$D$25,COLUMN(H14),0,1,1),0)</f>
        <v>0</v>
      </c>
      <c r="R17" s="67">
        <f ca="1">IF(OFFSET(Planning!$E$25,COLUMN(I14),ROW(I14),1,1)&lt;&gt;"",OFFSET(Planning!$D$25,COLUMN(I14),0,1,1),0)</f>
        <v>0</v>
      </c>
      <c r="S17" s="67">
        <f ca="1">IF(OFFSET(Planning!$E$25,COLUMN(J14),ROW(J14),1,1)&lt;&gt;"",OFFSET(Planning!$D$25,COLUMN(J14),0,1,1),0)</f>
        <v>0</v>
      </c>
      <c r="T17" s="67">
        <f ca="1">IF(OFFSET(Planning!$E$25,COLUMN(K14),ROW(K14),1,1)&lt;&gt;"",OFFSET(Planning!$D$25,COLUMN(K14),0,1,1),0)</f>
        <v>0</v>
      </c>
      <c r="U17" s="67">
        <f ca="1">IF(OFFSET(Planning!$E$25,COLUMN(L14),ROW(L14),1,1)&lt;&gt;"",OFFSET(Planning!$D$25,COLUMN(L14),0,1,1),0)</f>
        <v>0</v>
      </c>
      <c r="V17" s="67">
        <f ca="1">IF(OFFSET(Planning!$E$25,COLUMN(M14),ROW(M14),1,1)&lt;&gt;"",OFFSET(Planning!$D$25,COLUMN(M14),0,1,1),0)</f>
        <v>0</v>
      </c>
      <c r="W17" s="67">
        <f ca="1">IF(OFFSET(Planning!$E$25,COLUMN(N14),ROW(N14),1,1)&lt;&gt;"",OFFSET(Planning!$D$25,COLUMN(N14),0,1,1),0)</f>
        <v>0</v>
      </c>
      <c r="X17" s="67">
        <f ca="1">IF(OFFSET(Planning!$E$25,COLUMN(O14),ROW(O14),1,1)&lt;&gt;"",OFFSET(Planning!$D$25,COLUMN(O14),0,1,1),0)</f>
        <v>0</v>
      </c>
      <c r="Y17" s="67">
        <f ca="1">IF(OFFSET(Planning!$E$25,COLUMN(P14),ROW(P14),1,1)&lt;&gt;"",OFFSET(Planning!$D$25,COLUMN(P14),0,1,1),0)</f>
        <v>0</v>
      </c>
      <c r="Z17" s="67">
        <f ca="1">IF(OFFSET(Planning!$E$25,COLUMN(Q14),ROW(Q14),1,1)&lt;&gt;"",OFFSET(Planning!$D$25,COLUMN(Q14),0,1,1),0)</f>
        <v>0</v>
      </c>
      <c r="AA17" s="67">
        <f ca="1">IF(OFFSET(Planning!$E$25,COLUMN(R14),ROW(R14),1,1)&lt;&gt;"",OFFSET(Planning!$D$25,COLUMN(R14),0,1,1),0)</f>
        <v>0</v>
      </c>
      <c r="AB17" s="67">
        <f ca="1">IF(OFFSET(Planning!$E$25,COLUMN(S14),ROW(S14),1,1)&lt;&gt;"",OFFSET(Planning!$D$25,COLUMN(S14),0,1,1),0)</f>
        <v>0</v>
      </c>
      <c r="AC17" s="67">
        <f ca="1">IF(OFFSET(Planning!$E$25,COLUMN(T14),ROW(T14),1,1)&lt;&gt;"",OFFSET(Planning!$D$25,COLUMN(T14),0,1,1),0)</f>
        <v>0</v>
      </c>
      <c r="AD17" s="67" t="e">
        <f ca="1">VLOOKUP($B17,'Summary Calculations (hide)'!$D$15:$U$67,17,0)</f>
        <v>#N/A</v>
      </c>
      <c r="AE17" s="67" t="e">
        <f ca="1">VLOOKUP($B17,'Summary Calculations (hide)'!$D$15:$U$67,18,0)</f>
        <v>#N/A</v>
      </c>
    </row>
    <row r="18" spans="1:31" x14ac:dyDescent="0.2">
      <c r="A18" s="87">
        <f t="shared" ca="1" si="3"/>
        <v>44522</v>
      </c>
      <c r="B18" s="67">
        <f t="shared" ca="1" si="0"/>
        <v>47</v>
      </c>
      <c r="C18" s="5" t="e">
        <f ca="1">IF(Planning!$C$8="No",VLOOKUP(B18,'Summary Calculations (hide)'!$D$15:$U$67,17,0),IF('Demand adjustments for Covid'!$F$9="Yes",'Demand background (hide)'!DS18+SUM('Demand background (hide)'!DV18:DW18),VLOOKUP(B18,'Summary Calculations (hide)'!$D$15:$F$67,2,0))*IF(Planning!$C$11="",1,1+Planning!$C$11)*'Summary Calculations (hide)'!$L$4/IF(Summary!$C$8="Patients",'Summary Calculations (hide)'!$I$9,1))</f>
        <v>#N/A</v>
      </c>
      <c r="D18" s="5" t="e">
        <f ca="1">IF(Planning!$C$8="No",VLOOKUP('Planning (hide)'!B18,'Summary Calculations (hide)'!$D$15:$U$67,18,0),IF('Demand adjustments for Covid'!$F$9="Yes",'Demand background (hide)'!DX18,VLOOKUP(B18,'Summary Calculations (hide)'!$D$15:$F$67,3,0))*IF(Planning!$C$11="",1,1+Planning!$C$11)*'Summary Calculations (hide)'!$L$4/IF(Summary!$C$8="Patients",'Summary Calculations (hide)'!$I$9,1))-IF(Planning!$C$8="No",0,C18)</f>
        <v>#N/A</v>
      </c>
      <c r="E18" s="5">
        <f ca="1">VLOOKUP($B18,'Summary Calculations (hide)'!$D$15:$U$67,15,0)</f>
        <v>0</v>
      </c>
      <c r="F18" s="5">
        <f ca="1">VLOOKUP($B18,'Summary Calculations (hide)'!$D$15:$U$67,16,0)</f>
        <v>0</v>
      </c>
      <c r="G18" s="5">
        <f t="shared" ca="1" si="1"/>
        <v>0</v>
      </c>
      <c r="H18" s="5">
        <f t="shared" ca="1" si="2"/>
        <v>0</v>
      </c>
      <c r="I18" s="67">
        <f ca="1">IF(OFFSET(Planning!$E$25,0,ROW(A15),1,1)&lt;&gt;"",-'Planning (hide)'!$G18,0)</f>
        <v>0</v>
      </c>
      <c r="J18" s="67">
        <f ca="1">IF(OFFSET(Planning!$E$25,COLUMN(A15),ROW(A15),1,1)&lt;&gt;"",OFFSET(Planning!$D$25,COLUMN(A15),0,1,1),0)</f>
        <v>0</v>
      </c>
      <c r="K18" s="67">
        <f ca="1">IF(OFFSET(Planning!$E$25,COLUMN(B15),ROW(B15),1,1)&lt;&gt;"",OFFSET(Planning!$D$25,COLUMN(B15),0,1,1),0)</f>
        <v>0</v>
      </c>
      <c r="L18" s="67">
        <f ca="1">IF(OFFSET(Planning!$E$25,COLUMN(C15),ROW(C15),1,1)&lt;&gt;"",OFFSET(Planning!$D$25,COLUMN(C15),0,1,1),0)</f>
        <v>0</v>
      </c>
      <c r="M18" s="67">
        <f ca="1">IF(OFFSET(Planning!$E$25,COLUMN(D15),ROW(D15),1,1)&lt;&gt;"",OFFSET(Planning!$D$25,COLUMN(D15),0,1,1),0)</f>
        <v>0</v>
      </c>
      <c r="N18" s="67">
        <f ca="1">IF(OFFSET(Planning!$E$25,COLUMN(E15),ROW(E15),1,1)&lt;&gt;"",OFFSET(Planning!$D$25,COLUMN(E15),0,1,1),0)</f>
        <v>0</v>
      </c>
      <c r="O18" s="67">
        <f ca="1">IF(OFFSET(Planning!$E$25,COLUMN(F15),ROW(F15),1,1)&lt;&gt;"",OFFSET(Planning!$D$25,COLUMN(F15),0,1,1),0)</f>
        <v>0</v>
      </c>
      <c r="P18" s="67">
        <f ca="1">IF(OFFSET(Planning!$E$25,COLUMN(G15),ROW(G15),1,1)&lt;&gt;"",OFFSET(Planning!$D$25,COLUMN(G15),0,1,1),0)</f>
        <v>0</v>
      </c>
      <c r="Q18" s="67">
        <f ca="1">IF(OFFSET(Planning!$E$25,COLUMN(H15),ROW(H15),1,1)&lt;&gt;"",OFFSET(Planning!$D$25,COLUMN(H15),0,1,1),0)</f>
        <v>0</v>
      </c>
      <c r="R18" s="67">
        <f ca="1">IF(OFFSET(Planning!$E$25,COLUMN(I15),ROW(I15),1,1)&lt;&gt;"",OFFSET(Planning!$D$25,COLUMN(I15),0,1,1),0)</f>
        <v>0</v>
      </c>
      <c r="S18" s="67">
        <f ca="1">IF(OFFSET(Planning!$E$25,COLUMN(J15),ROW(J15),1,1)&lt;&gt;"",OFFSET(Planning!$D$25,COLUMN(J15),0,1,1),0)</f>
        <v>0</v>
      </c>
      <c r="T18" s="67">
        <f ca="1">IF(OFFSET(Planning!$E$25,COLUMN(K15),ROW(K15),1,1)&lt;&gt;"",OFFSET(Planning!$D$25,COLUMN(K15),0,1,1),0)</f>
        <v>0</v>
      </c>
      <c r="U18" s="67">
        <f ca="1">IF(OFFSET(Planning!$E$25,COLUMN(L15),ROW(L15),1,1)&lt;&gt;"",OFFSET(Planning!$D$25,COLUMN(L15),0,1,1),0)</f>
        <v>0</v>
      </c>
      <c r="V18" s="67">
        <f ca="1">IF(OFFSET(Planning!$E$25,COLUMN(M15),ROW(M15),1,1)&lt;&gt;"",OFFSET(Planning!$D$25,COLUMN(M15),0,1,1),0)</f>
        <v>0</v>
      </c>
      <c r="W18" s="67">
        <f ca="1">IF(OFFSET(Planning!$E$25,COLUMN(N15),ROW(N15),1,1)&lt;&gt;"",OFFSET(Planning!$D$25,COLUMN(N15),0,1,1),0)</f>
        <v>0</v>
      </c>
      <c r="X18" s="67">
        <f ca="1">IF(OFFSET(Planning!$E$25,COLUMN(O15),ROW(O15),1,1)&lt;&gt;"",OFFSET(Planning!$D$25,COLUMN(O15),0,1,1),0)</f>
        <v>0</v>
      </c>
      <c r="Y18" s="67">
        <f ca="1">IF(OFFSET(Planning!$E$25,COLUMN(P15),ROW(P15),1,1)&lt;&gt;"",OFFSET(Planning!$D$25,COLUMN(P15),0,1,1),0)</f>
        <v>0</v>
      </c>
      <c r="Z18" s="67">
        <f ca="1">IF(OFFSET(Planning!$E$25,COLUMN(Q15),ROW(Q15),1,1)&lt;&gt;"",OFFSET(Planning!$D$25,COLUMN(Q15),0,1,1),0)</f>
        <v>0</v>
      </c>
      <c r="AA18" s="67">
        <f ca="1">IF(OFFSET(Planning!$E$25,COLUMN(R15),ROW(R15),1,1)&lt;&gt;"",OFFSET(Planning!$D$25,COLUMN(R15),0,1,1),0)</f>
        <v>0</v>
      </c>
      <c r="AB18" s="67">
        <f ca="1">IF(OFFSET(Planning!$E$25,COLUMN(S15),ROW(S15),1,1)&lt;&gt;"",OFFSET(Planning!$D$25,COLUMN(S15),0,1,1),0)</f>
        <v>0</v>
      </c>
      <c r="AC18" s="67">
        <f ca="1">IF(OFFSET(Planning!$E$25,COLUMN(T15),ROW(T15),1,1)&lt;&gt;"",OFFSET(Planning!$D$25,COLUMN(T15),0,1,1),0)</f>
        <v>0</v>
      </c>
      <c r="AD18" s="67" t="e">
        <f ca="1">VLOOKUP($B18,'Summary Calculations (hide)'!$D$15:$U$67,17,0)</f>
        <v>#N/A</v>
      </c>
      <c r="AE18" s="67" t="e">
        <f ca="1">VLOOKUP($B18,'Summary Calculations (hide)'!$D$15:$U$67,18,0)</f>
        <v>#N/A</v>
      </c>
    </row>
    <row r="19" spans="1:31" x14ac:dyDescent="0.2">
      <c r="A19" s="87">
        <f t="shared" ca="1" si="3"/>
        <v>44529</v>
      </c>
      <c r="B19" s="67">
        <f t="shared" ca="1" si="0"/>
        <v>48</v>
      </c>
      <c r="C19" s="5" t="e">
        <f ca="1">IF(Planning!$C$8="No",VLOOKUP(B19,'Summary Calculations (hide)'!$D$15:$U$67,17,0),IF('Demand adjustments for Covid'!$F$9="Yes",'Demand background (hide)'!DS19+SUM('Demand background (hide)'!DV19:DW19),VLOOKUP(B19,'Summary Calculations (hide)'!$D$15:$F$67,2,0))*IF(Planning!$C$11="",1,1+Planning!$C$11)*'Summary Calculations (hide)'!$L$4/IF(Summary!$C$8="Patients",'Summary Calculations (hide)'!$I$9,1))</f>
        <v>#N/A</v>
      </c>
      <c r="D19" s="5" t="e">
        <f ca="1">IF(Planning!$C$8="No",VLOOKUP('Planning (hide)'!B19,'Summary Calculations (hide)'!$D$15:$U$67,18,0),IF('Demand adjustments for Covid'!$F$9="Yes",'Demand background (hide)'!DX19,VLOOKUP(B19,'Summary Calculations (hide)'!$D$15:$F$67,3,0))*IF(Planning!$C$11="",1,1+Planning!$C$11)*'Summary Calculations (hide)'!$L$4/IF(Summary!$C$8="Patients",'Summary Calculations (hide)'!$I$9,1))-IF(Planning!$C$8="No",0,C19)</f>
        <v>#N/A</v>
      </c>
      <c r="E19" s="5">
        <f ca="1">VLOOKUP($B19,'Summary Calculations (hide)'!$D$15:$U$67,15,0)</f>
        <v>0</v>
      </c>
      <c r="F19" s="5">
        <f ca="1">VLOOKUP($B19,'Summary Calculations (hide)'!$D$15:$U$67,16,0)</f>
        <v>0</v>
      </c>
      <c r="G19" s="5">
        <f t="shared" ca="1" si="1"/>
        <v>0</v>
      </c>
      <c r="H19" s="5">
        <f t="shared" ca="1" si="2"/>
        <v>85</v>
      </c>
      <c r="I19" s="67">
        <f ca="1">IF(OFFSET(Planning!$E$25,0,ROW(A16),1,1)&lt;&gt;"",-'Planning (hide)'!$G19,0)</f>
        <v>0</v>
      </c>
      <c r="J19" s="67">
        <f ca="1">IF(OFFSET(Planning!$E$25,COLUMN(A16),ROW(A16),1,1)&lt;&gt;"",OFFSET(Planning!$D$25,COLUMN(A16),0,1,1),0)</f>
        <v>85</v>
      </c>
      <c r="K19" s="67">
        <f ca="1">IF(OFFSET(Planning!$E$25,COLUMN(B16),ROW(B16),1,1)&lt;&gt;"",OFFSET(Planning!$D$25,COLUMN(B16),0,1,1),0)</f>
        <v>0</v>
      </c>
      <c r="L19" s="67">
        <f ca="1">IF(OFFSET(Planning!$E$25,COLUMN(C16),ROW(C16),1,1)&lt;&gt;"",OFFSET(Planning!$D$25,COLUMN(C16),0,1,1),0)</f>
        <v>0</v>
      </c>
      <c r="M19" s="67">
        <f ca="1">IF(OFFSET(Planning!$E$25,COLUMN(D16),ROW(D16),1,1)&lt;&gt;"",OFFSET(Planning!$D$25,COLUMN(D16),0,1,1),0)</f>
        <v>0</v>
      </c>
      <c r="N19" s="67">
        <f ca="1">IF(OFFSET(Planning!$E$25,COLUMN(E16),ROW(E16),1,1)&lt;&gt;"",OFFSET(Planning!$D$25,COLUMN(E16),0,1,1),0)</f>
        <v>0</v>
      </c>
      <c r="O19" s="67">
        <f ca="1">IF(OFFSET(Planning!$E$25,COLUMN(F16),ROW(F16),1,1)&lt;&gt;"",OFFSET(Planning!$D$25,COLUMN(F16),0,1,1),0)</f>
        <v>0</v>
      </c>
      <c r="P19" s="67">
        <f ca="1">IF(OFFSET(Planning!$E$25,COLUMN(G16),ROW(G16),1,1)&lt;&gt;"",OFFSET(Planning!$D$25,COLUMN(G16),0,1,1),0)</f>
        <v>0</v>
      </c>
      <c r="Q19" s="67">
        <f ca="1">IF(OFFSET(Planning!$E$25,COLUMN(H16),ROW(H16),1,1)&lt;&gt;"",OFFSET(Planning!$D$25,COLUMN(H16),0,1,1),0)</f>
        <v>0</v>
      </c>
      <c r="R19" s="67">
        <f ca="1">IF(OFFSET(Planning!$E$25,COLUMN(I16),ROW(I16),1,1)&lt;&gt;"",OFFSET(Planning!$D$25,COLUMN(I16),0,1,1),0)</f>
        <v>0</v>
      </c>
      <c r="S19" s="67">
        <f ca="1">IF(OFFSET(Planning!$E$25,COLUMN(J16),ROW(J16),1,1)&lt;&gt;"",OFFSET(Planning!$D$25,COLUMN(J16),0,1,1),0)</f>
        <v>0</v>
      </c>
      <c r="T19" s="67">
        <f ca="1">IF(OFFSET(Planning!$E$25,COLUMN(K16),ROW(K16),1,1)&lt;&gt;"",OFFSET(Planning!$D$25,COLUMN(K16),0,1,1),0)</f>
        <v>0</v>
      </c>
      <c r="U19" s="67">
        <f ca="1">IF(OFFSET(Planning!$E$25,COLUMN(L16),ROW(L16),1,1)&lt;&gt;"",OFFSET(Planning!$D$25,COLUMN(L16),0,1,1),0)</f>
        <v>0</v>
      </c>
      <c r="V19" s="67">
        <f ca="1">IF(OFFSET(Planning!$E$25,COLUMN(M16),ROW(M16),1,1)&lt;&gt;"",OFFSET(Planning!$D$25,COLUMN(M16),0,1,1),0)</f>
        <v>0</v>
      </c>
      <c r="W19" s="67">
        <f ca="1">IF(OFFSET(Planning!$E$25,COLUMN(N16),ROW(N16),1,1)&lt;&gt;"",OFFSET(Planning!$D$25,COLUMN(N16),0,1,1),0)</f>
        <v>0</v>
      </c>
      <c r="X19" s="67">
        <f ca="1">IF(OFFSET(Planning!$E$25,COLUMN(O16),ROW(O16),1,1)&lt;&gt;"",OFFSET(Planning!$D$25,COLUMN(O16),0,1,1),0)</f>
        <v>0</v>
      </c>
      <c r="Y19" s="67">
        <f ca="1">IF(OFFSET(Planning!$E$25,COLUMN(P16),ROW(P16),1,1)&lt;&gt;"",OFFSET(Planning!$D$25,COLUMN(P16),0,1,1),0)</f>
        <v>0</v>
      </c>
      <c r="Z19" s="67">
        <f ca="1">IF(OFFSET(Planning!$E$25,COLUMN(Q16),ROW(Q16),1,1)&lt;&gt;"",OFFSET(Planning!$D$25,COLUMN(Q16),0,1,1),0)</f>
        <v>0</v>
      </c>
      <c r="AA19" s="67">
        <f ca="1">IF(OFFSET(Planning!$E$25,COLUMN(R16),ROW(R16),1,1)&lt;&gt;"",OFFSET(Planning!$D$25,COLUMN(R16),0,1,1),0)</f>
        <v>0</v>
      </c>
      <c r="AB19" s="67">
        <f ca="1">IF(OFFSET(Planning!$E$25,COLUMN(S16),ROW(S16),1,1)&lt;&gt;"",OFFSET(Planning!$D$25,COLUMN(S16),0,1,1),0)</f>
        <v>0</v>
      </c>
      <c r="AC19" s="67">
        <f ca="1">IF(OFFSET(Planning!$E$25,COLUMN(T16),ROW(T16),1,1)&lt;&gt;"",OFFSET(Planning!$D$25,COLUMN(T16),0,1,1),0)</f>
        <v>0</v>
      </c>
      <c r="AD19" s="67" t="e">
        <f ca="1">VLOOKUP($B19,'Summary Calculations (hide)'!$D$15:$U$67,17,0)</f>
        <v>#N/A</v>
      </c>
      <c r="AE19" s="67" t="e">
        <f ca="1">VLOOKUP($B19,'Summary Calculations (hide)'!$D$15:$U$67,18,0)</f>
        <v>#N/A</v>
      </c>
    </row>
    <row r="20" spans="1:31" x14ac:dyDescent="0.2">
      <c r="A20" s="87">
        <f t="shared" ca="1" si="3"/>
        <v>44536</v>
      </c>
      <c r="B20" s="67">
        <f t="shared" ca="1" si="0"/>
        <v>49</v>
      </c>
      <c r="C20" s="5" t="e">
        <f ca="1">IF(Planning!$C$8="No",VLOOKUP(B20,'Summary Calculations (hide)'!$D$15:$U$67,17,0),IF('Demand adjustments for Covid'!$F$9="Yes",'Demand background (hide)'!DS20+SUM('Demand background (hide)'!DV20:DW20),VLOOKUP(B20,'Summary Calculations (hide)'!$D$15:$F$67,2,0))*IF(Planning!$C$11="",1,1+Planning!$C$11)*'Summary Calculations (hide)'!$L$4/IF(Summary!$C$8="Patients",'Summary Calculations (hide)'!$I$9,1))</f>
        <v>#N/A</v>
      </c>
      <c r="D20" s="5" t="e">
        <f ca="1">IF(Planning!$C$8="No",VLOOKUP('Planning (hide)'!B20,'Summary Calculations (hide)'!$D$15:$U$67,18,0),IF('Demand adjustments for Covid'!$F$9="Yes",'Demand background (hide)'!DX20,VLOOKUP(B20,'Summary Calculations (hide)'!$D$15:$F$67,3,0))*IF(Planning!$C$11="",1,1+Planning!$C$11)*'Summary Calculations (hide)'!$L$4/IF(Summary!$C$8="Patients",'Summary Calculations (hide)'!$I$9,1))-IF(Planning!$C$8="No",0,C20)</f>
        <v>#N/A</v>
      </c>
      <c r="E20" s="5">
        <f ca="1">VLOOKUP($B20,'Summary Calculations (hide)'!$D$15:$U$67,15,0)</f>
        <v>0</v>
      </c>
      <c r="F20" s="5">
        <f ca="1">VLOOKUP($B20,'Summary Calculations (hide)'!$D$15:$U$67,16,0)</f>
        <v>0</v>
      </c>
      <c r="G20" s="5">
        <f t="shared" ca="1" si="1"/>
        <v>0</v>
      </c>
      <c r="H20" s="5">
        <f t="shared" ca="1" si="2"/>
        <v>85</v>
      </c>
      <c r="I20" s="67">
        <f ca="1">IF(OFFSET(Planning!$E$25,0,ROW(A17),1,1)&lt;&gt;"",-'Planning (hide)'!$G20,0)</f>
        <v>0</v>
      </c>
      <c r="J20" s="67">
        <f ca="1">IF(OFFSET(Planning!$E$25,COLUMN(A17),ROW(A17),1,1)&lt;&gt;"",OFFSET(Planning!$D$25,COLUMN(A17),0,1,1),0)</f>
        <v>85</v>
      </c>
      <c r="K20" s="67">
        <f ca="1">IF(OFFSET(Planning!$E$25,COLUMN(B17),ROW(B17),1,1)&lt;&gt;"",OFFSET(Planning!$D$25,COLUMN(B17),0,1,1),0)</f>
        <v>0</v>
      </c>
      <c r="L20" s="67">
        <f ca="1">IF(OFFSET(Planning!$E$25,COLUMN(C17),ROW(C17),1,1)&lt;&gt;"",OFFSET(Planning!$D$25,COLUMN(C17),0,1,1),0)</f>
        <v>0</v>
      </c>
      <c r="M20" s="67">
        <f ca="1">IF(OFFSET(Planning!$E$25,COLUMN(D17),ROW(D17),1,1)&lt;&gt;"",OFFSET(Planning!$D$25,COLUMN(D17),0,1,1),0)</f>
        <v>0</v>
      </c>
      <c r="N20" s="67">
        <f ca="1">IF(OFFSET(Planning!$E$25,COLUMN(E17),ROW(E17),1,1)&lt;&gt;"",OFFSET(Planning!$D$25,COLUMN(E17),0,1,1),0)</f>
        <v>0</v>
      </c>
      <c r="O20" s="67">
        <f ca="1">IF(OFFSET(Planning!$E$25,COLUMN(F17),ROW(F17),1,1)&lt;&gt;"",OFFSET(Planning!$D$25,COLUMN(F17),0,1,1),0)</f>
        <v>0</v>
      </c>
      <c r="P20" s="67">
        <f ca="1">IF(OFFSET(Planning!$E$25,COLUMN(G17),ROW(G17),1,1)&lt;&gt;"",OFFSET(Planning!$D$25,COLUMN(G17),0,1,1),0)</f>
        <v>0</v>
      </c>
      <c r="Q20" s="67">
        <f ca="1">IF(OFFSET(Planning!$E$25,COLUMN(H17),ROW(H17),1,1)&lt;&gt;"",OFFSET(Planning!$D$25,COLUMN(H17),0,1,1),0)</f>
        <v>0</v>
      </c>
      <c r="R20" s="67">
        <f ca="1">IF(OFFSET(Planning!$E$25,COLUMN(I17),ROW(I17),1,1)&lt;&gt;"",OFFSET(Planning!$D$25,COLUMN(I17),0,1,1),0)</f>
        <v>0</v>
      </c>
      <c r="S20" s="67">
        <f ca="1">IF(OFFSET(Planning!$E$25,COLUMN(J17),ROW(J17),1,1)&lt;&gt;"",OFFSET(Planning!$D$25,COLUMN(J17),0,1,1),0)</f>
        <v>0</v>
      </c>
      <c r="T20" s="67">
        <f ca="1">IF(OFFSET(Planning!$E$25,COLUMN(K17),ROW(K17),1,1)&lt;&gt;"",OFFSET(Planning!$D$25,COLUMN(K17),0,1,1),0)</f>
        <v>0</v>
      </c>
      <c r="U20" s="67">
        <f ca="1">IF(OFFSET(Planning!$E$25,COLUMN(L17),ROW(L17),1,1)&lt;&gt;"",OFFSET(Planning!$D$25,COLUMN(L17),0,1,1),0)</f>
        <v>0</v>
      </c>
      <c r="V20" s="67">
        <f ca="1">IF(OFFSET(Planning!$E$25,COLUMN(M17),ROW(M17),1,1)&lt;&gt;"",OFFSET(Planning!$D$25,COLUMN(M17),0,1,1),0)</f>
        <v>0</v>
      </c>
      <c r="W20" s="67">
        <f ca="1">IF(OFFSET(Planning!$E$25,COLUMN(N17),ROW(N17),1,1)&lt;&gt;"",OFFSET(Planning!$D$25,COLUMN(N17),0,1,1),0)</f>
        <v>0</v>
      </c>
      <c r="X20" s="67">
        <f ca="1">IF(OFFSET(Planning!$E$25,COLUMN(O17),ROW(O17),1,1)&lt;&gt;"",OFFSET(Planning!$D$25,COLUMN(O17),0,1,1),0)</f>
        <v>0</v>
      </c>
      <c r="Y20" s="67">
        <f ca="1">IF(OFFSET(Planning!$E$25,COLUMN(P17),ROW(P17),1,1)&lt;&gt;"",OFFSET(Planning!$D$25,COLUMN(P17),0,1,1),0)</f>
        <v>0</v>
      </c>
      <c r="Z20" s="67">
        <f ca="1">IF(OFFSET(Planning!$E$25,COLUMN(Q17),ROW(Q17),1,1)&lt;&gt;"",OFFSET(Planning!$D$25,COLUMN(Q17),0,1,1),0)</f>
        <v>0</v>
      </c>
      <c r="AA20" s="67">
        <f ca="1">IF(OFFSET(Planning!$E$25,COLUMN(R17),ROW(R17),1,1)&lt;&gt;"",OFFSET(Planning!$D$25,COLUMN(R17),0,1,1),0)</f>
        <v>0</v>
      </c>
      <c r="AB20" s="67">
        <f ca="1">IF(OFFSET(Planning!$E$25,COLUMN(S17),ROW(S17),1,1)&lt;&gt;"",OFFSET(Planning!$D$25,COLUMN(S17),0,1,1),0)</f>
        <v>0</v>
      </c>
      <c r="AC20" s="67">
        <f ca="1">IF(OFFSET(Planning!$E$25,COLUMN(T17),ROW(T17),1,1)&lt;&gt;"",OFFSET(Planning!$D$25,COLUMN(T17),0,1,1),0)</f>
        <v>0</v>
      </c>
      <c r="AD20" s="67" t="e">
        <f ca="1">VLOOKUP($B20,'Summary Calculations (hide)'!$D$15:$U$67,17,0)</f>
        <v>#N/A</v>
      </c>
      <c r="AE20" s="67" t="e">
        <f ca="1">VLOOKUP($B20,'Summary Calculations (hide)'!$D$15:$U$67,18,0)</f>
        <v>#N/A</v>
      </c>
    </row>
    <row r="21" spans="1:31" x14ac:dyDescent="0.2">
      <c r="A21" s="87">
        <f t="shared" ca="1" si="3"/>
        <v>44543</v>
      </c>
      <c r="B21" s="67">
        <f t="shared" ca="1" si="0"/>
        <v>50</v>
      </c>
      <c r="C21" s="5" t="e">
        <f ca="1">IF(Planning!$C$8="No",VLOOKUP(B21,'Summary Calculations (hide)'!$D$15:$U$67,17,0),IF('Demand adjustments for Covid'!$F$9="Yes",'Demand background (hide)'!DS21+SUM('Demand background (hide)'!DV21:DW21),VLOOKUP(B21,'Summary Calculations (hide)'!$D$15:$F$67,2,0))*IF(Planning!$C$11="",1,1+Planning!$C$11)*'Summary Calculations (hide)'!$L$4/IF(Summary!$C$8="Patients",'Summary Calculations (hide)'!$I$9,1))</f>
        <v>#N/A</v>
      </c>
      <c r="D21" s="5" t="e">
        <f ca="1">IF(Planning!$C$8="No",VLOOKUP('Planning (hide)'!B21,'Summary Calculations (hide)'!$D$15:$U$67,18,0),IF('Demand adjustments for Covid'!$F$9="Yes",'Demand background (hide)'!DX21,VLOOKUP(B21,'Summary Calculations (hide)'!$D$15:$F$67,3,0))*IF(Planning!$C$11="",1,1+Planning!$C$11)*'Summary Calculations (hide)'!$L$4/IF(Summary!$C$8="Patients",'Summary Calculations (hide)'!$I$9,1))-IF(Planning!$C$8="No",0,C21)</f>
        <v>#N/A</v>
      </c>
      <c r="E21" s="5">
        <f ca="1">VLOOKUP($B21,'Summary Calculations (hide)'!$D$15:$U$67,15,0)</f>
        <v>0</v>
      </c>
      <c r="F21" s="5">
        <f ca="1">VLOOKUP($B21,'Summary Calculations (hide)'!$D$15:$U$67,16,0)</f>
        <v>0</v>
      </c>
      <c r="G21" s="5">
        <f t="shared" ca="1" si="1"/>
        <v>0</v>
      </c>
      <c r="H21" s="5">
        <f t="shared" ca="1" si="2"/>
        <v>85</v>
      </c>
      <c r="I21" s="67">
        <f ca="1">IF(OFFSET(Planning!$E$25,0,ROW(A18),1,1)&lt;&gt;"",-'Planning (hide)'!$G21,0)</f>
        <v>0</v>
      </c>
      <c r="J21" s="67">
        <f ca="1">IF(OFFSET(Planning!$E$25,COLUMN(A18),ROW(A18),1,1)&lt;&gt;"",OFFSET(Planning!$D$25,COLUMN(A18),0,1,1),0)</f>
        <v>85</v>
      </c>
      <c r="K21" s="67">
        <f ca="1">IF(OFFSET(Planning!$E$25,COLUMN(B18),ROW(B18),1,1)&lt;&gt;"",OFFSET(Planning!$D$25,COLUMN(B18),0,1,1),0)</f>
        <v>0</v>
      </c>
      <c r="L21" s="67">
        <f ca="1">IF(OFFSET(Planning!$E$25,COLUMN(C18),ROW(C18),1,1)&lt;&gt;"",OFFSET(Planning!$D$25,COLUMN(C18),0,1,1),0)</f>
        <v>0</v>
      </c>
      <c r="M21" s="67">
        <f ca="1">IF(OFFSET(Planning!$E$25,COLUMN(D18),ROW(D18),1,1)&lt;&gt;"",OFFSET(Planning!$D$25,COLUMN(D18),0,1,1),0)</f>
        <v>0</v>
      </c>
      <c r="N21" s="67">
        <f ca="1">IF(OFFSET(Planning!$E$25,COLUMN(E18),ROW(E18),1,1)&lt;&gt;"",OFFSET(Planning!$D$25,COLUMN(E18),0,1,1),0)</f>
        <v>0</v>
      </c>
      <c r="O21" s="67">
        <f ca="1">IF(OFFSET(Planning!$E$25,COLUMN(F18),ROW(F18),1,1)&lt;&gt;"",OFFSET(Planning!$D$25,COLUMN(F18),0,1,1),0)</f>
        <v>0</v>
      </c>
      <c r="P21" s="67">
        <f ca="1">IF(OFFSET(Planning!$E$25,COLUMN(G18),ROW(G18),1,1)&lt;&gt;"",OFFSET(Planning!$D$25,COLUMN(G18),0,1,1),0)</f>
        <v>0</v>
      </c>
      <c r="Q21" s="67">
        <f ca="1">IF(OFFSET(Planning!$E$25,COLUMN(H18),ROW(H18),1,1)&lt;&gt;"",OFFSET(Planning!$D$25,COLUMN(H18),0,1,1),0)</f>
        <v>0</v>
      </c>
      <c r="R21" s="67">
        <f ca="1">IF(OFFSET(Planning!$E$25,COLUMN(I18),ROW(I18),1,1)&lt;&gt;"",OFFSET(Planning!$D$25,COLUMN(I18),0,1,1),0)</f>
        <v>0</v>
      </c>
      <c r="S21" s="67">
        <f ca="1">IF(OFFSET(Planning!$E$25,COLUMN(J18),ROW(J18),1,1)&lt;&gt;"",OFFSET(Planning!$D$25,COLUMN(J18),0,1,1),0)</f>
        <v>0</v>
      </c>
      <c r="T21" s="67">
        <f ca="1">IF(OFFSET(Planning!$E$25,COLUMN(K18),ROW(K18),1,1)&lt;&gt;"",OFFSET(Planning!$D$25,COLUMN(K18),0,1,1),0)</f>
        <v>0</v>
      </c>
      <c r="U21" s="67">
        <f ca="1">IF(OFFSET(Planning!$E$25,COLUMN(L18),ROW(L18),1,1)&lt;&gt;"",OFFSET(Planning!$D$25,COLUMN(L18),0,1,1),0)</f>
        <v>0</v>
      </c>
      <c r="V21" s="67">
        <f ca="1">IF(OFFSET(Planning!$E$25,COLUMN(M18),ROW(M18),1,1)&lt;&gt;"",OFFSET(Planning!$D$25,COLUMN(M18),0,1,1),0)</f>
        <v>0</v>
      </c>
      <c r="W21" s="67">
        <f ca="1">IF(OFFSET(Planning!$E$25,COLUMN(N18),ROW(N18),1,1)&lt;&gt;"",OFFSET(Planning!$D$25,COLUMN(N18),0,1,1),0)</f>
        <v>0</v>
      </c>
      <c r="X21" s="67">
        <f ca="1">IF(OFFSET(Planning!$E$25,COLUMN(O18),ROW(O18),1,1)&lt;&gt;"",OFFSET(Planning!$D$25,COLUMN(O18),0,1,1),0)</f>
        <v>0</v>
      </c>
      <c r="Y21" s="67">
        <f ca="1">IF(OFFSET(Planning!$E$25,COLUMN(P18),ROW(P18),1,1)&lt;&gt;"",OFFSET(Planning!$D$25,COLUMN(P18),0,1,1),0)</f>
        <v>0</v>
      </c>
      <c r="Z21" s="67">
        <f ca="1">IF(OFFSET(Planning!$E$25,COLUMN(Q18),ROW(Q18),1,1)&lt;&gt;"",OFFSET(Planning!$D$25,COLUMN(Q18),0,1,1),0)</f>
        <v>0</v>
      </c>
      <c r="AA21" s="67">
        <f ca="1">IF(OFFSET(Planning!$E$25,COLUMN(R18),ROW(R18),1,1)&lt;&gt;"",OFFSET(Planning!$D$25,COLUMN(R18),0,1,1),0)</f>
        <v>0</v>
      </c>
      <c r="AB21" s="67">
        <f ca="1">IF(OFFSET(Planning!$E$25,COLUMN(S18),ROW(S18),1,1)&lt;&gt;"",OFFSET(Planning!$D$25,COLUMN(S18),0,1,1),0)</f>
        <v>0</v>
      </c>
      <c r="AC21" s="67">
        <f ca="1">IF(OFFSET(Planning!$E$25,COLUMN(T18),ROW(T18),1,1)&lt;&gt;"",OFFSET(Planning!$D$25,COLUMN(T18),0,1,1),0)</f>
        <v>0</v>
      </c>
      <c r="AD21" s="67" t="e">
        <f ca="1">VLOOKUP($B21,'Summary Calculations (hide)'!$D$15:$U$67,17,0)</f>
        <v>#N/A</v>
      </c>
      <c r="AE21" s="67" t="e">
        <f ca="1">VLOOKUP($B21,'Summary Calculations (hide)'!$D$15:$U$67,18,0)</f>
        <v>#N/A</v>
      </c>
    </row>
    <row r="22" spans="1:31" x14ac:dyDescent="0.2">
      <c r="A22" s="87">
        <f t="shared" ca="1" si="3"/>
        <v>44550</v>
      </c>
      <c r="B22" s="67">
        <f t="shared" ca="1" si="0"/>
        <v>51</v>
      </c>
      <c r="C22" s="5" t="e">
        <f ca="1">IF(Planning!$C$8="No",VLOOKUP(B22,'Summary Calculations (hide)'!$D$15:$U$67,17,0),IF('Demand adjustments for Covid'!$F$9="Yes",'Demand background (hide)'!DS22+SUM('Demand background (hide)'!DV22:DW22),VLOOKUP(B22,'Summary Calculations (hide)'!$D$15:$F$67,2,0))*IF(Planning!$C$11="",1,1+Planning!$C$11)*'Summary Calculations (hide)'!$L$4/IF(Summary!$C$8="Patients",'Summary Calculations (hide)'!$I$9,1))</f>
        <v>#N/A</v>
      </c>
      <c r="D22" s="5" t="e">
        <f ca="1">IF(Planning!$C$8="No",VLOOKUP('Planning (hide)'!B22,'Summary Calculations (hide)'!$D$15:$U$67,18,0),IF('Demand adjustments for Covid'!$F$9="Yes",'Demand background (hide)'!DX22,VLOOKUP(B22,'Summary Calculations (hide)'!$D$15:$F$67,3,0))*IF(Planning!$C$11="",1,1+Planning!$C$11)*'Summary Calculations (hide)'!$L$4/IF(Summary!$C$8="Patients",'Summary Calculations (hide)'!$I$9,1))-IF(Planning!$C$8="No",0,C22)</f>
        <v>#N/A</v>
      </c>
      <c r="E22" s="5">
        <f ca="1">VLOOKUP($B22,'Summary Calculations (hide)'!$D$15:$U$67,15,0)</f>
        <v>0</v>
      </c>
      <c r="F22" s="5">
        <f ca="1">VLOOKUP($B22,'Summary Calculations (hide)'!$D$15:$U$67,16,0)</f>
        <v>0</v>
      </c>
      <c r="G22" s="5">
        <f t="shared" ca="1" si="1"/>
        <v>0</v>
      </c>
      <c r="H22" s="5">
        <f t="shared" ca="1" si="2"/>
        <v>85</v>
      </c>
      <c r="I22" s="67">
        <f ca="1">IF(OFFSET(Planning!$E$25,0,ROW(A19),1,1)&lt;&gt;"",-'Planning (hide)'!$G22,0)</f>
        <v>0</v>
      </c>
      <c r="J22" s="67">
        <f ca="1">IF(OFFSET(Planning!$E$25,COLUMN(A19),ROW(A19),1,1)&lt;&gt;"",OFFSET(Planning!$D$25,COLUMN(A19),0,1,1),0)</f>
        <v>85</v>
      </c>
      <c r="K22" s="67">
        <f ca="1">IF(OFFSET(Planning!$E$25,COLUMN(B19),ROW(B19),1,1)&lt;&gt;"",OFFSET(Planning!$D$25,COLUMN(B19),0,1,1),0)</f>
        <v>0</v>
      </c>
      <c r="L22" s="67">
        <f ca="1">IF(OFFSET(Planning!$E$25,COLUMN(C19),ROW(C19),1,1)&lt;&gt;"",OFFSET(Planning!$D$25,COLUMN(C19),0,1,1),0)</f>
        <v>0</v>
      </c>
      <c r="M22" s="67">
        <f ca="1">IF(OFFSET(Planning!$E$25,COLUMN(D19),ROW(D19),1,1)&lt;&gt;"",OFFSET(Planning!$D$25,COLUMN(D19),0,1,1),0)</f>
        <v>0</v>
      </c>
      <c r="N22" s="67">
        <f ca="1">IF(OFFSET(Planning!$E$25,COLUMN(E19),ROW(E19),1,1)&lt;&gt;"",OFFSET(Planning!$D$25,COLUMN(E19),0,1,1),0)</f>
        <v>0</v>
      </c>
      <c r="O22" s="67">
        <f ca="1">IF(OFFSET(Planning!$E$25,COLUMN(F19),ROW(F19),1,1)&lt;&gt;"",OFFSET(Planning!$D$25,COLUMN(F19),0,1,1),0)</f>
        <v>0</v>
      </c>
      <c r="P22" s="67">
        <f ca="1">IF(OFFSET(Planning!$E$25,COLUMN(G19),ROW(G19),1,1)&lt;&gt;"",OFFSET(Planning!$D$25,COLUMN(G19),0,1,1),0)</f>
        <v>0</v>
      </c>
      <c r="Q22" s="67">
        <f ca="1">IF(OFFSET(Planning!$E$25,COLUMN(H19),ROW(H19),1,1)&lt;&gt;"",OFFSET(Planning!$D$25,COLUMN(H19),0,1,1),0)</f>
        <v>0</v>
      </c>
      <c r="R22" s="67">
        <f ca="1">IF(OFFSET(Planning!$E$25,COLUMN(I19),ROW(I19),1,1)&lt;&gt;"",OFFSET(Planning!$D$25,COLUMN(I19),0,1,1),0)</f>
        <v>0</v>
      </c>
      <c r="S22" s="67">
        <f ca="1">IF(OFFSET(Planning!$E$25,COLUMN(J19),ROW(J19),1,1)&lt;&gt;"",OFFSET(Planning!$D$25,COLUMN(J19),0,1,1),0)</f>
        <v>0</v>
      </c>
      <c r="T22" s="67">
        <f ca="1">IF(OFFSET(Planning!$E$25,COLUMN(K19),ROW(K19),1,1)&lt;&gt;"",OFFSET(Planning!$D$25,COLUMN(K19),0,1,1),0)</f>
        <v>0</v>
      </c>
      <c r="U22" s="67">
        <f ca="1">IF(OFFSET(Planning!$E$25,COLUMN(L19),ROW(L19),1,1)&lt;&gt;"",OFFSET(Planning!$D$25,COLUMN(L19),0,1,1),0)</f>
        <v>0</v>
      </c>
      <c r="V22" s="67">
        <f ca="1">IF(OFFSET(Planning!$E$25,COLUMN(M19),ROW(M19),1,1)&lt;&gt;"",OFFSET(Planning!$D$25,COLUMN(M19),0,1,1),0)</f>
        <v>0</v>
      </c>
      <c r="W22" s="67">
        <f ca="1">IF(OFFSET(Planning!$E$25,COLUMN(N19),ROW(N19),1,1)&lt;&gt;"",OFFSET(Planning!$D$25,COLUMN(N19),0,1,1),0)</f>
        <v>0</v>
      </c>
      <c r="X22" s="67">
        <f ca="1">IF(OFFSET(Planning!$E$25,COLUMN(O19),ROW(O19),1,1)&lt;&gt;"",OFFSET(Planning!$D$25,COLUMN(O19),0,1,1),0)</f>
        <v>0</v>
      </c>
      <c r="Y22" s="67">
        <f ca="1">IF(OFFSET(Planning!$E$25,COLUMN(P19),ROW(P19),1,1)&lt;&gt;"",OFFSET(Planning!$D$25,COLUMN(P19),0,1,1),0)</f>
        <v>0</v>
      </c>
      <c r="Z22" s="67">
        <f ca="1">IF(OFFSET(Planning!$E$25,COLUMN(Q19),ROW(Q19),1,1)&lt;&gt;"",OFFSET(Planning!$D$25,COLUMN(Q19),0,1,1),0)</f>
        <v>0</v>
      </c>
      <c r="AA22" s="67">
        <f ca="1">IF(OFFSET(Planning!$E$25,COLUMN(R19),ROW(R19),1,1)&lt;&gt;"",OFFSET(Planning!$D$25,COLUMN(R19),0,1,1),0)</f>
        <v>0</v>
      </c>
      <c r="AB22" s="67">
        <f ca="1">IF(OFFSET(Planning!$E$25,COLUMN(S19),ROW(S19),1,1)&lt;&gt;"",OFFSET(Planning!$D$25,COLUMN(S19),0,1,1),0)</f>
        <v>0</v>
      </c>
      <c r="AC22" s="67">
        <f ca="1">IF(OFFSET(Planning!$E$25,COLUMN(T19),ROW(T19),1,1)&lt;&gt;"",OFFSET(Planning!$D$25,COLUMN(T19),0,1,1),0)</f>
        <v>0</v>
      </c>
      <c r="AD22" s="67" t="e">
        <f ca="1">VLOOKUP($B22,'Summary Calculations (hide)'!$D$15:$U$67,17,0)</f>
        <v>#N/A</v>
      </c>
      <c r="AE22" s="67" t="e">
        <f ca="1">VLOOKUP($B22,'Summary Calculations (hide)'!$D$15:$U$67,18,0)</f>
        <v>#N/A</v>
      </c>
    </row>
    <row r="23" spans="1:31" x14ac:dyDescent="0.2">
      <c r="A23" s="87">
        <f t="shared" ca="1" si="3"/>
        <v>44557</v>
      </c>
      <c r="B23" s="67">
        <f t="shared" ca="1" si="0"/>
        <v>52</v>
      </c>
      <c r="C23" s="5" t="e">
        <f ca="1">IF(Planning!$C$8="No",VLOOKUP(B23,'Summary Calculations (hide)'!$D$15:$U$67,17,0),IF('Demand adjustments for Covid'!$F$9="Yes",'Demand background (hide)'!DS23+SUM('Demand background (hide)'!DV23:DW23),VLOOKUP(B23,'Summary Calculations (hide)'!$D$15:$F$67,2,0))*IF(Planning!$C$11="",1,1+Planning!$C$11)*'Summary Calculations (hide)'!$L$4/IF(Summary!$C$8="Patients",'Summary Calculations (hide)'!$I$9,1))</f>
        <v>#N/A</v>
      </c>
      <c r="D23" s="5" t="e">
        <f ca="1">IF(Planning!$C$8="No",VLOOKUP('Planning (hide)'!B23,'Summary Calculations (hide)'!$D$15:$U$67,18,0),IF('Demand adjustments for Covid'!$F$9="Yes",'Demand background (hide)'!DX23,VLOOKUP(B23,'Summary Calculations (hide)'!$D$15:$F$67,3,0))*IF(Planning!$C$11="",1,1+Planning!$C$11)*'Summary Calculations (hide)'!$L$4/IF(Summary!$C$8="Patients",'Summary Calculations (hide)'!$I$9,1))-IF(Planning!$C$8="No",0,C23)</f>
        <v>#N/A</v>
      </c>
      <c r="E23" s="5">
        <f ca="1">VLOOKUP($B23,'Summary Calculations (hide)'!$D$15:$U$67,15,0)</f>
        <v>0</v>
      </c>
      <c r="F23" s="5">
        <f ca="1">VLOOKUP($B23,'Summary Calculations (hide)'!$D$15:$U$67,16,0)</f>
        <v>0</v>
      </c>
      <c r="G23" s="5">
        <f t="shared" ca="1" si="1"/>
        <v>0</v>
      </c>
      <c r="H23" s="5">
        <f t="shared" ca="1" si="2"/>
        <v>0</v>
      </c>
      <c r="I23" s="67">
        <f ca="1">IF(OFFSET(Planning!$E$25,0,ROW(A20),1,1)&lt;&gt;"",-'Planning (hide)'!$G23,0)</f>
        <v>0</v>
      </c>
      <c r="J23" s="67">
        <f ca="1">IF(OFFSET(Planning!$E$25,COLUMN(A20),ROW(A20),1,1)&lt;&gt;"",OFFSET(Planning!$D$25,COLUMN(A20),0,1,1),0)</f>
        <v>0</v>
      </c>
      <c r="K23" s="67">
        <f ca="1">IF(OFFSET(Planning!$E$25,COLUMN(B20),ROW(B20),1,1)&lt;&gt;"",OFFSET(Planning!$D$25,COLUMN(B20),0,1,1),0)</f>
        <v>0</v>
      </c>
      <c r="L23" s="67">
        <f ca="1">IF(OFFSET(Planning!$E$25,COLUMN(C20),ROW(C20),1,1)&lt;&gt;"",OFFSET(Planning!$D$25,COLUMN(C20),0,1,1),0)</f>
        <v>0</v>
      </c>
      <c r="M23" s="67">
        <f ca="1">IF(OFFSET(Planning!$E$25,COLUMN(D20),ROW(D20),1,1)&lt;&gt;"",OFFSET(Planning!$D$25,COLUMN(D20),0,1,1),0)</f>
        <v>0</v>
      </c>
      <c r="N23" s="67">
        <f ca="1">IF(OFFSET(Planning!$E$25,COLUMN(E20),ROW(E20),1,1)&lt;&gt;"",OFFSET(Planning!$D$25,COLUMN(E20),0,1,1),0)</f>
        <v>0</v>
      </c>
      <c r="O23" s="67">
        <f ca="1">IF(OFFSET(Planning!$E$25,COLUMN(F20),ROW(F20),1,1)&lt;&gt;"",OFFSET(Planning!$D$25,COLUMN(F20),0,1,1),0)</f>
        <v>0</v>
      </c>
      <c r="P23" s="67">
        <f ca="1">IF(OFFSET(Planning!$E$25,COLUMN(G20),ROW(G20),1,1)&lt;&gt;"",OFFSET(Planning!$D$25,COLUMN(G20),0,1,1),0)</f>
        <v>0</v>
      </c>
      <c r="Q23" s="67">
        <f ca="1">IF(OFFSET(Planning!$E$25,COLUMN(H20),ROW(H20),1,1)&lt;&gt;"",OFFSET(Planning!$D$25,COLUMN(H20),0,1,1),0)</f>
        <v>0</v>
      </c>
      <c r="R23" s="67">
        <f ca="1">IF(OFFSET(Planning!$E$25,COLUMN(I20),ROW(I20),1,1)&lt;&gt;"",OFFSET(Planning!$D$25,COLUMN(I20),0,1,1),0)</f>
        <v>0</v>
      </c>
      <c r="S23" s="67">
        <f ca="1">IF(OFFSET(Planning!$E$25,COLUMN(J20),ROW(J20),1,1)&lt;&gt;"",OFFSET(Planning!$D$25,COLUMN(J20),0,1,1),0)</f>
        <v>0</v>
      </c>
      <c r="T23" s="67">
        <f ca="1">IF(OFFSET(Planning!$E$25,COLUMN(K20),ROW(K20),1,1)&lt;&gt;"",OFFSET(Planning!$D$25,COLUMN(K20),0,1,1),0)</f>
        <v>0</v>
      </c>
      <c r="U23" s="67">
        <f ca="1">IF(OFFSET(Planning!$E$25,COLUMN(L20),ROW(L20),1,1)&lt;&gt;"",OFFSET(Planning!$D$25,COLUMN(L20),0,1,1),0)</f>
        <v>0</v>
      </c>
      <c r="V23" s="67">
        <f ca="1">IF(OFFSET(Planning!$E$25,COLUMN(M20),ROW(M20),1,1)&lt;&gt;"",OFFSET(Planning!$D$25,COLUMN(M20),0,1,1),0)</f>
        <v>0</v>
      </c>
      <c r="W23" s="67">
        <f ca="1">IF(OFFSET(Planning!$E$25,COLUMN(N20),ROW(N20),1,1)&lt;&gt;"",OFFSET(Planning!$D$25,COLUMN(N20),0,1,1),0)</f>
        <v>0</v>
      </c>
      <c r="X23" s="67">
        <f ca="1">IF(OFFSET(Planning!$E$25,COLUMN(O20),ROW(O20),1,1)&lt;&gt;"",OFFSET(Planning!$D$25,COLUMN(O20),0,1,1),0)</f>
        <v>0</v>
      </c>
      <c r="Y23" s="67">
        <f ca="1">IF(OFFSET(Planning!$E$25,COLUMN(P20),ROW(P20),1,1)&lt;&gt;"",OFFSET(Planning!$D$25,COLUMN(P20),0,1,1),0)</f>
        <v>0</v>
      </c>
      <c r="Z23" s="67">
        <f ca="1">IF(OFFSET(Planning!$E$25,COLUMN(Q20),ROW(Q20),1,1)&lt;&gt;"",OFFSET(Planning!$D$25,COLUMN(Q20),0,1,1),0)</f>
        <v>0</v>
      </c>
      <c r="AA23" s="67">
        <f ca="1">IF(OFFSET(Planning!$E$25,COLUMN(R20),ROW(R20),1,1)&lt;&gt;"",OFFSET(Planning!$D$25,COLUMN(R20),0,1,1),0)</f>
        <v>0</v>
      </c>
      <c r="AB23" s="67">
        <f ca="1">IF(OFFSET(Planning!$E$25,COLUMN(S20),ROW(S20),1,1)&lt;&gt;"",OFFSET(Planning!$D$25,COLUMN(S20),0,1,1),0)</f>
        <v>0</v>
      </c>
      <c r="AC23" s="67">
        <f ca="1">IF(OFFSET(Planning!$E$25,COLUMN(T20),ROW(T20),1,1)&lt;&gt;"",OFFSET(Planning!$D$25,COLUMN(T20),0,1,1),0)</f>
        <v>0</v>
      </c>
      <c r="AD23" s="67" t="e">
        <f ca="1">VLOOKUP($B23,'Summary Calculations (hide)'!$D$15:$U$67,17,0)</f>
        <v>#N/A</v>
      </c>
      <c r="AE23" s="67" t="e">
        <f ca="1">VLOOKUP($B23,'Summary Calculations (hide)'!$D$15:$U$67,18,0)</f>
        <v>#N/A</v>
      </c>
    </row>
    <row r="24" spans="1:31" x14ac:dyDescent="0.2">
      <c r="A24" s="87">
        <f t="shared" ca="1" si="3"/>
        <v>44564</v>
      </c>
      <c r="B24" s="67">
        <f t="shared" ca="1" si="0"/>
        <v>1</v>
      </c>
      <c r="C24" s="5" t="e">
        <f ca="1">IF(Planning!$C$8="No",VLOOKUP(B24,'Summary Calculations (hide)'!$D$15:$U$67,17,0),IF('Demand adjustments for Covid'!$F$9="Yes",'Demand background (hide)'!DS24+SUM('Demand background (hide)'!DV24:DW24),VLOOKUP(B24,'Summary Calculations (hide)'!$D$15:$F$67,2,0))*IF(Planning!$C$11="",1,1+Planning!$C$11)*'Summary Calculations (hide)'!$L$4/IF(Summary!$C$8="Patients",'Summary Calculations (hide)'!$I$9,1))</f>
        <v>#N/A</v>
      </c>
      <c r="D24" s="5" t="e">
        <f ca="1">IF(Planning!$C$8="No",VLOOKUP('Planning (hide)'!B24,'Summary Calculations (hide)'!$D$15:$U$67,18,0),IF('Demand adjustments for Covid'!$F$9="Yes",'Demand background (hide)'!DX24,VLOOKUP(B24,'Summary Calculations (hide)'!$D$15:$F$67,3,0))*IF(Planning!$C$11="",1,1+Planning!$C$11)*'Summary Calculations (hide)'!$L$4/IF(Summary!$C$8="Patients",'Summary Calculations (hide)'!$I$9,1))-IF(Planning!$C$8="No",0,C24)</f>
        <v>#N/A</v>
      </c>
      <c r="E24" s="5">
        <f ca="1">VLOOKUP($B24,'Summary Calculations (hide)'!$D$15:$U$67,15,0)</f>
        <v>0</v>
      </c>
      <c r="F24" s="5">
        <f ca="1">VLOOKUP($B24,'Summary Calculations (hide)'!$D$15:$U$67,16,0)</f>
        <v>0</v>
      </c>
      <c r="G24" s="5">
        <f t="shared" ca="1" si="1"/>
        <v>0</v>
      </c>
      <c r="H24" s="5">
        <f t="shared" ca="1" si="2"/>
        <v>102</v>
      </c>
      <c r="I24" s="67">
        <f ca="1">IF(OFFSET(Planning!$E$25,0,ROW(A21),1,1)&lt;&gt;"",-'Planning (hide)'!$G24,0)</f>
        <v>0</v>
      </c>
      <c r="J24" s="67">
        <f ca="1">IF(OFFSET(Planning!$E$25,COLUMN(A21),ROW(A21),1,1)&lt;&gt;"",OFFSET(Planning!$D$25,COLUMN(A21),0,1,1),0)</f>
        <v>0</v>
      </c>
      <c r="K24" s="67">
        <f ca="1">IF(OFFSET(Planning!$E$25,COLUMN(B21),ROW(B21),1,1)&lt;&gt;"",OFFSET(Planning!$D$25,COLUMN(B21),0,1,1),0)</f>
        <v>102</v>
      </c>
      <c r="L24" s="67">
        <f ca="1">IF(OFFSET(Planning!$E$25,COLUMN(C21),ROW(C21),1,1)&lt;&gt;"",OFFSET(Planning!$D$25,COLUMN(C21),0,1,1),0)</f>
        <v>0</v>
      </c>
      <c r="M24" s="67">
        <f ca="1">IF(OFFSET(Planning!$E$25,COLUMN(D21),ROW(D21),1,1)&lt;&gt;"",OFFSET(Planning!$D$25,COLUMN(D21),0,1,1),0)</f>
        <v>0</v>
      </c>
      <c r="N24" s="67">
        <f ca="1">IF(OFFSET(Planning!$E$25,COLUMN(E21),ROW(E21),1,1)&lt;&gt;"",OFFSET(Planning!$D$25,COLUMN(E21),0,1,1),0)</f>
        <v>0</v>
      </c>
      <c r="O24" s="67">
        <f ca="1">IF(OFFSET(Planning!$E$25,COLUMN(F21),ROW(F21),1,1)&lt;&gt;"",OFFSET(Planning!$D$25,COLUMN(F21),0,1,1),0)</f>
        <v>0</v>
      </c>
      <c r="P24" s="67">
        <f ca="1">IF(OFFSET(Planning!$E$25,COLUMN(G21),ROW(G21),1,1)&lt;&gt;"",OFFSET(Planning!$D$25,COLUMN(G21),0,1,1),0)</f>
        <v>0</v>
      </c>
      <c r="Q24" s="67">
        <f ca="1">IF(OFFSET(Planning!$E$25,COLUMN(H21),ROW(H21),1,1)&lt;&gt;"",OFFSET(Planning!$D$25,COLUMN(H21),0,1,1),0)</f>
        <v>0</v>
      </c>
      <c r="R24" s="67">
        <f ca="1">IF(OFFSET(Planning!$E$25,COLUMN(I21),ROW(I21),1,1)&lt;&gt;"",OFFSET(Planning!$D$25,COLUMN(I21),0,1,1),0)</f>
        <v>0</v>
      </c>
      <c r="S24" s="67">
        <f ca="1">IF(OFFSET(Planning!$E$25,COLUMN(J21),ROW(J21),1,1)&lt;&gt;"",OFFSET(Planning!$D$25,COLUMN(J21),0,1,1),0)</f>
        <v>0</v>
      </c>
      <c r="T24" s="67">
        <f ca="1">IF(OFFSET(Planning!$E$25,COLUMN(K21),ROW(K21),1,1)&lt;&gt;"",OFFSET(Planning!$D$25,COLUMN(K21),0,1,1),0)</f>
        <v>0</v>
      </c>
      <c r="U24" s="67">
        <f ca="1">IF(OFFSET(Planning!$E$25,COLUMN(L21),ROW(L21),1,1)&lt;&gt;"",OFFSET(Planning!$D$25,COLUMN(L21),0,1,1),0)</f>
        <v>0</v>
      </c>
      <c r="V24" s="67">
        <f ca="1">IF(OFFSET(Planning!$E$25,COLUMN(M21),ROW(M21),1,1)&lt;&gt;"",OFFSET(Planning!$D$25,COLUMN(M21),0,1,1),0)</f>
        <v>0</v>
      </c>
      <c r="W24" s="67">
        <f ca="1">IF(OFFSET(Planning!$E$25,COLUMN(N21),ROW(N21),1,1)&lt;&gt;"",OFFSET(Planning!$D$25,COLUMN(N21),0,1,1),0)</f>
        <v>0</v>
      </c>
      <c r="X24" s="67">
        <f ca="1">IF(OFFSET(Planning!$E$25,COLUMN(O21),ROW(O21),1,1)&lt;&gt;"",OFFSET(Planning!$D$25,COLUMN(O21),0,1,1),0)</f>
        <v>0</v>
      </c>
      <c r="Y24" s="67">
        <f ca="1">IF(OFFSET(Planning!$E$25,COLUMN(P21),ROW(P21),1,1)&lt;&gt;"",OFFSET(Planning!$D$25,COLUMN(P21),0,1,1),0)</f>
        <v>0</v>
      </c>
      <c r="Z24" s="67">
        <f ca="1">IF(OFFSET(Planning!$E$25,COLUMN(Q21),ROW(Q21),1,1)&lt;&gt;"",OFFSET(Planning!$D$25,COLUMN(Q21),0,1,1),0)</f>
        <v>0</v>
      </c>
      <c r="AA24" s="67">
        <f ca="1">IF(OFFSET(Planning!$E$25,COLUMN(R21),ROW(R21),1,1)&lt;&gt;"",OFFSET(Planning!$D$25,COLUMN(R21),0,1,1),0)</f>
        <v>0</v>
      </c>
      <c r="AB24" s="67">
        <f ca="1">IF(OFFSET(Planning!$E$25,COLUMN(S21),ROW(S21),1,1)&lt;&gt;"",OFFSET(Planning!$D$25,COLUMN(S21),0,1,1),0)</f>
        <v>0</v>
      </c>
      <c r="AC24" s="67">
        <f ca="1">IF(OFFSET(Planning!$E$25,COLUMN(T21),ROW(T21),1,1)&lt;&gt;"",OFFSET(Planning!$D$25,COLUMN(T21),0,1,1),0)</f>
        <v>0</v>
      </c>
      <c r="AD24" s="67" t="e">
        <f ca="1">VLOOKUP($B24,'Summary Calculations (hide)'!$D$15:$U$67,17,0)</f>
        <v>#N/A</v>
      </c>
      <c r="AE24" s="67" t="e">
        <f ca="1">VLOOKUP($B24,'Summary Calculations (hide)'!$D$15:$U$67,18,0)</f>
        <v>#N/A</v>
      </c>
    </row>
    <row r="25" spans="1:31" x14ac:dyDescent="0.2">
      <c r="A25" s="87">
        <f t="shared" ca="1" si="3"/>
        <v>44571</v>
      </c>
      <c r="B25" s="67">
        <f t="shared" ca="1" si="0"/>
        <v>2</v>
      </c>
      <c r="C25" s="5" t="e">
        <f ca="1">IF(Planning!$C$8="No",VLOOKUP(B25,'Summary Calculations (hide)'!$D$15:$U$67,17,0),IF('Demand adjustments for Covid'!$F$9="Yes",'Demand background (hide)'!DS25+SUM('Demand background (hide)'!DV25:DW25),VLOOKUP(B25,'Summary Calculations (hide)'!$D$15:$F$67,2,0))*IF(Planning!$C$11="",1,1+Planning!$C$11)*'Summary Calculations (hide)'!$L$4/IF(Summary!$C$8="Patients",'Summary Calculations (hide)'!$I$9,1))</f>
        <v>#N/A</v>
      </c>
      <c r="D25" s="5" t="e">
        <f ca="1">IF(Planning!$C$8="No",VLOOKUP('Planning (hide)'!B25,'Summary Calculations (hide)'!$D$15:$U$67,18,0),IF('Demand adjustments for Covid'!$F$9="Yes",'Demand background (hide)'!DX25,VLOOKUP(B25,'Summary Calculations (hide)'!$D$15:$F$67,3,0))*IF(Planning!$C$11="",1,1+Planning!$C$11)*'Summary Calculations (hide)'!$L$4/IF(Summary!$C$8="Patients",'Summary Calculations (hide)'!$I$9,1))-IF(Planning!$C$8="No",0,C25)</f>
        <v>#N/A</v>
      </c>
      <c r="E25" s="5">
        <f ca="1">VLOOKUP($B25,'Summary Calculations (hide)'!$D$15:$U$67,15,0)</f>
        <v>0</v>
      </c>
      <c r="F25" s="5">
        <f ca="1">VLOOKUP($B25,'Summary Calculations (hide)'!$D$15:$U$67,16,0)</f>
        <v>0</v>
      </c>
      <c r="G25" s="5">
        <f t="shared" ca="1" si="1"/>
        <v>0</v>
      </c>
      <c r="H25" s="5">
        <f t="shared" ca="1" si="2"/>
        <v>102</v>
      </c>
      <c r="I25" s="67">
        <f ca="1">IF(OFFSET(Planning!$E$25,0,ROW(A22),1,1)&lt;&gt;"",-'Planning (hide)'!$G25,0)</f>
        <v>0</v>
      </c>
      <c r="J25" s="67">
        <f ca="1">IF(OFFSET(Planning!$E$25,COLUMN(A22),ROW(A22),1,1)&lt;&gt;"",OFFSET(Planning!$D$25,COLUMN(A22),0,1,1),0)</f>
        <v>0</v>
      </c>
      <c r="K25" s="67">
        <f ca="1">IF(OFFSET(Planning!$E$25,COLUMN(B22),ROW(B22),1,1)&lt;&gt;"",OFFSET(Planning!$D$25,COLUMN(B22),0,1,1),0)</f>
        <v>102</v>
      </c>
      <c r="L25" s="67">
        <f ca="1">IF(OFFSET(Planning!$E$25,COLUMN(C22),ROW(C22),1,1)&lt;&gt;"",OFFSET(Planning!$D$25,COLUMN(C22),0,1,1),0)</f>
        <v>0</v>
      </c>
      <c r="M25" s="67">
        <f ca="1">IF(OFFSET(Planning!$E$25,COLUMN(D22),ROW(D22),1,1)&lt;&gt;"",OFFSET(Planning!$D$25,COLUMN(D22),0,1,1),0)</f>
        <v>0</v>
      </c>
      <c r="N25" s="67">
        <f ca="1">IF(OFFSET(Planning!$E$25,COLUMN(E22),ROW(E22),1,1)&lt;&gt;"",OFFSET(Planning!$D$25,COLUMN(E22),0,1,1),0)</f>
        <v>0</v>
      </c>
      <c r="O25" s="67">
        <f ca="1">IF(OFFSET(Planning!$E$25,COLUMN(F22),ROW(F22),1,1)&lt;&gt;"",OFFSET(Planning!$D$25,COLUMN(F22),0,1,1),0)</f>
        <v>0</v>
      </c>
      <c r="P25" s="67">
        <f ca="1">IF(OFFSET(Planning!$E$25,COLUMN(G22),ROW(G22),1,1)&lt;&gt;"",OFFSET(Planning!$D$25,COLUMN(G22),0,1,1),0)</f>
        <v>0</v>
      </c>
      <c r="Q25" s="67">
        <f ca="1">IF(OFFSET(Planning!$E$25,COLUMN(H22),ROW(H22),1,1)&lt;&gt;"",OFFSET(Planning!$D$25,COLUMN(H22),0,1,1),0)</f>
        <v>0</v>
      </c>
      <c r="R25" s="67">
        <f ca="1">IF(OFFSET(Planning!$E$25,COLUMN(I22),ROW(I22),1,1)&lt;&gt;"",OFFSET(Planning!$D$25,COLUMN(I22),0,1,1),0)</f>
        <v>0</v>
      </c>
      <c r="S25" s="67">
        <f ca="1">IF(OFFSET(Planning!$E$25,COLUMN(J22),ROW(J22),1,1)&lt;&gt;"",OFFSET(Planning!$D$25,COLUMN(J22),0,1,1),0)</f>
        <v>0</v>
      </c>
      <c r="T25" s="67">
        <f ca="1">IF(OFFSET(Planning!$E$25,COLUMN(K22),ROW(K22),1,1)&lt;&gt;"",OFFSET(Planning!$D$25,COLUMN(K22),0,1,1),0)</f>
        <v>0</v>
      </c>
      <c r="U25" s="67">
        <f ca="1">IF(OFFSET(Planning!$E$25,COLUMN(L22),ROW(L22),1,1)&lt;&gt;"",OFFSET(Planning!$D$25,COLUMN(L22),0,1,1),0)</f>
        <v>0</v>
      </c>
      <c r="V25" s="67">
        <f ca="1">IF(OFFSET(Planning!$E$25,COLUMN(M22),ROW(M22),1,1)&lt;&gt;"",OFFSET(Planning!$D$25,COLUMN(M22),0,1,1),0)</f>
        <v>0</v>
      </c>
      <c r="W25" s="67">
        <f ca="1">IF(OFFSET(Planning!$E$25,COLUMN(N22),ROW(N22),1,1)&lt;&gt;"",OFFSET(Planning!$D$25,COLUMN(N22),0,1,1),0)</f>
        <v>0</v>
      </c>
      <c r="X25" s="67">
        <f ca="1">IF(OFFSET(Planning!$E$25,COLUMN(O22),ROW(O22),1,1)&lt;&gt;"",OFFSET(Planning!$D$25,COLUMN(O22),0,1,1),0)</f>
        <v>0</v>
      </c>
      <c r="Y25" s="67">
        <f ca="1">IF(OFFSET(Planning!$E$25,COLUMN(P22),ROW(P22),1,1)&lt;&gt;"",OFFSET(Planning!$D$25,COLUMN(P22),0,1,1),0)</f>
        <v>0</v>
      </c>
      <c r="Z25" s="67">
        <f ca="1">IF(OFFSET(Planning!$E$25,COLUMN(Q22),ROW(Q22),1,1)&lt;&gt;"",OFFSET(Planning!$D$25,COLUMN(Q22),0,1,1),0)</f>
        <v>0</v>
      </c>
      <c r="AA25" s="67">
        <f ca="1">IF(OFFSET(Planning!$E$25,COLUMN(R22),ROW(R22),1,1)&lt;&gt;"",OFFSET(Planning!$D$25,COLUMN(R22),0,1,1),0)</f>
        <v>0</v>
      </c>
      <c r="AB25" s="67">
        <f ca="1">IF(OFFSET(Planning!$E$25,COLUMN(S22),ROW(S22),1,1)&lt;&gt;"",OFFSET(Planning!$D$25,COLUMN(S22),0,1,1),0)</f>
        <v>0</v>
      </c>
      <c r="AC25" s="67">
        <f ca="1">IF(OFFSET(Planning!$E$25,COLUMN(T22),ROW(T22),1,1)&lt;&gt;"",OFFSET(Planning!$D$25,COLUMN(T22),0,1,1),0)</f>
        <v>0</v>
      </c>
      <c r="AD25" s="67" t="e">
        <f ca="1">VLOOKUP($B25,'Summary Calculations (hide)'!$D$15:$U$67,17,0)</f>
        <v>#N/A</v>
      </c>
      <c r="AE25" s="67" t="e">
        <f ca="1">VLOOKUP($B25,'Summary Calculations (hide)'!$D$15:$U$67,18,0)</f>
        <v>#N/A</v>
      </c>
    </row>
    <row r="26" spans="1:31" x14ac:dyDescent="0.2">
      <c r="A26" s="87">
        <f t="shared" ca="1" si="3"/>
        <v>44578</v>
      </c>
      <c r="B26" s="67">
        <f t="shared" ca="1" si="0"/>
        <v>3</v>
      </c>
      <c r="C26" s="5" t="e">
        <f ca="1">IF(Planning!$C$8="No",VLOOKUP(B26,'Summary Calculations (hide)'!$D$15:$U$67,17,0),IF('Demand adjustments for Covid'!$F$9="Yes",'Demand background (hide)'!DS26+SUM('Demand background (hide)'!DV26:DW26),VLOOKUP(B26,'Summary Calculations (hide)'!$D$15:$F$67,2,0))*IF(Planning!$C$11="",1,1+Planning!$C$11)*'Summary Calculations (hide)'!$L$4/IF(Summary!$C$8="Patients",'Summary Calculations (hide)'!$I$9,1))</f>
        <v>#N/A</v>
      </c>
      <c r="D26" s="5" t="e">
        <f ca="1">IF(Planning!$C$8="No",VLOOKUP('Planning (hide)'!B26,'Summary Calculations (hide)'!$D$15:$U$67,18,0),IF('Demand adjustments for Covid'!$F$9="Yes",'Demand background (hide)'!DX26,VLOOKUP(B26,'Summary Calculations (hide)'!$D$15:$F$67,3,0))*IF(Planning!$C$11="",1,1+Planning!$C$11)*'Summary Calculations (hide)'!$L$4/IF(Summary!$C$8="Patients",'Summary Calculations (hide)'!$I$9,1))-IF(Planning!$C$8="No",0,C26)</f>
        <v>#N/A</v>
      </c>
      <c r="E26" s="5">
        <f ca="1">VLOOKUP($B26,'Summary Calculations (hide)'!$D$15:$U$67,15,0)</f>
        <v>0</v>
      </c>
      <c r="F26" s="5">
        <f ca="1">VLOOKUP($B26,'Summary Calculations (hide)'!$D$15:$U$67,16,0)</f>
        <v>0</v>
      </c>
      <c r="G26" s="5">
        <f t="shared" ca="1" si="1"/>
        <v>0</v>
      </c>
      <c r="H26" s="5">
        <f t="shared" ca="1" si="2"/>
        <v>0</v>
      </c>
      <c r="I26" s="67">
        <f ca="1">IF(OFFSET(Planning!$E$25,0,ROW(A23),1,1)&lt;&gt;"",-'Planning (hide)'!$G26,0)</f>
        <v>0</v>
      </c>
      <c r="J26" s="67">
        <f ca="1">IF(OFFSET(Planning!$E$25,COLUMN(A23),ROW(A23),1,1)&lt;&gt;"",OFFSET(Planning!$D$25,COLUMN(A23),0,1,1),0)</f>
        <v>0</v>
      </c>
      <c r="K26" s="67">
        <f ca="1">IF(OFFSET(Planning!$E$25,COLUMN(B23),ROW(B23),1,1)&lt;&gt;"",OFFSET(Planning!$D$25,COLUMN(B23),0,1,1),0)</f>
        <v>0</v>
      </c>
      <c r="L26" s="67">
        <f ca="1">IF(OFFSET(Planning!$E$25,COLUMN(C23),ROW(C23),1,1)&lt;&gt;"",OFFSET(Planning!$D$25,COLUMN(C23),0,1,1),0)</f>
        <v>0</v>
      </c>
      <c r="M26" s="67">
        <f ca="1">IF(OFFSET(Planning!$E$25,COLUMN(D23),ROW(D23),1,1)&lt;&gt;"",OFFSET(Planning!$D$25,COLUMN(D23),0,1,1),0)</f>
        <v>0</v>
      </c>
      <c r="N26" s="67">
        <f ca="1">IF(OFFSET(Planning!$E$25,COLUMN(E23),ROW(E23),1,1)&lt;&gt;"",OFFSET(Planning!$D$25,COLUMN(E23),0,1,1),0)</f>
        <v>0</v>
      </c>
      <c r="O26" s="67">
        <f ca="1">IF(OFFSET(Planning!$E$25,COLUMN(F23),ROW(F23),1,1)&lt;&gt;"",OFFSET(Planning!$D$25,COLUMN(F23),0,1,1),0)</f>
        <v>0</v>
      </c>
      <c r="P26" s="67">
        <f ca="1">IF(OFFSET(Planning!$E$25,COLUMN(G23),ROW(G23),1,1)&lt;&gt;"",OFFSET(Planning!$D$25,COLUMN(G23),0,1,1),0)</f>
        <v>0</v>
      </c>
      <c r="Q26" s="67">
        <f ca="1">IF(OFFSET(Planning!$E$25,COLUMN(H23),ROW(H23),1,1)&lt;&gt;"",OFFSET(Planning!$D$25,COLUMN(H23),0,1,1),0)</f>
        <v>0</v>
      </c>
      <c r="R26" s="67">
        <f ca="1">IF(OFFSET(Planning!$E$25,COLUMN(I23),ROW(I23),1,1)&lt;&gt;"",OFFSET(Planning!$D$25,COLUMN(I23),0,1,1),0)</f>
        <v>0</v>
      </c>
      <c r="S26" s="67">
        <f ca="1">IF(OFFSET(Planning!$E$25,COLUMN(J23),ROW(J23),1,1)&lt;&gt;"",OFFSET(Planning!$D$25,COLUMN(J23),0,1,1),0)</f>
        <v>0</v>
      </c>
      <c r="T26" s="67">
        <f ca="1">IF(OFFSET(Planning!$E$25,COLUMN(K23),ROW(K23),1,1)&lt;&gt;"",OFFSET(Planning!$D$25,COLUMN(K23),0,1,1),0)</f>
        <v>0</v>
      </c>
      <c r="U26" s="67">
        <f ca="1">IF(OFFSET(Planning!$E$25,COLUMN(L23),ROW(L23),1,1)&lt;&gt;"",OFFSET(Planning!$D$25,COLUMN(L23),0,1,1),0)</f>
        <v>0</v>
      </c>
      <c r="V26" s="67">
        <f ca="1">IF(OFFSET(Planning!$E$25,COLUMN(M23),ROW(M23),1,1)&lt;&gt;"",OFFSET(Planning!$D$25,COLUMN(M23),0,1,1),0)</f>
        <v>0</v>
      </c>
      <c r="W26" s="67">
        <f ca="1">IF(OFFSET(Planning!$E$25,COLUMN(N23),ROW(N23),1,1)&lt;&gt;"",OFFSET(Planning!$D$25,COLUMN(N23),0,1,1),0)</f>
        <v>0</v>
      </c>
      <c r="X26" s="67">
        <f ca="1">IF(OFFSET(Planning!$E$25,COLUMN(O23),ROW(O23),1,1)&lt;&gt;"",OFFSET(Planning!$D$25,COLUMN(O23),0,1,1),0)</f>
        <v>0</v>
      </c>
      <c r="Y26" s="67">
        <f ca="1">IF(OFFSET(Planning!$E$25,COLUMN(P23),ROW(P23),1,1)&lt;&gt;"",OFFSET(Planning!$D$25,COLUMN(P23),0,1,1),0)</f>
        <v>0</v>
      </c>
      <c r="Z26" s="67">
        <f ca="1">IF(OFFSET(Planning!$E$25,COLUMN(Q23),ROW(Q23),1,1)&lt;&gt;"",OFFSET(Planning!$D$25,COLUMN(Q23),0,1,1),0)</f>
        <v>0</v>
      </c>
      <c r="AA26" s="67">
        <f ca="1">IF(OFFSET(Planning!$E$25,COLUMN(R23),ROW(R23),1,1)&lt;&gt;"",OFFSET(Planning!$D$25,COLUMN(R23),0,1,1),0)</f>
        <v>0</v>
      </c>
      <c r="AB26" s="67">
        <f ca="1">IF(OFFSET(Planning!$E$25,COLUMN(S23),ROW(S23),1,1)&lt;&gt;"",OFFSET(Planning!$D$25,COLUMN(S23),0,1,1),0)</f>
        <v>0</v>
      </c>
      <c r="AC26" s="67">
        <f ca="1">IF(OFFSET(Planning!$E$25,COLUMN(T23),ROW(T23),1,1)&lt;&gt;"",OFFSET(Planning!$D$25,COLUMN(T23),0,1,1),0)</f>
        <v>0</v>
      </c>
      <c r="AD26" s="67" t="e">
        <f ca="1">VLOOKUP($B26,'Summary Calculations (hide)'!$D$15:$U$67,17,0)</f>
        <v>#N/A</v>
      </c>
      <c r="AE26" s="67" t="e">
        <f ca="1">VLOOKUP($B26,'Summary Calculations (hide)'!$D$15:$U$67,18,0)</f>
        <v>#N/A</v>
      </c>
    </row>
    <row r="27" spans="1:31" x14ac:dyDescent="0.2">
      <c r="A27" s="87">
        <f t="shared" ca="1" si="3"/>
        <v>44585</v>
      </c>
      <c r="B27" s="67">
        <f t="shared" ca="1" si="0"/>
        <v>4</v>
      </c>
      <c r="C27" s="5" t="e">
        <f ca="1">IF(Planning!$C$8="No",VLOOKUP(B27,'Summary Calculations (hide)'!$D$15:$U$67,17,0),IF('Demand adjustments for Covid'!$F$9="Yes",'Demand background (hide)'!DS27+SUM('Demand background (hide)'!DV27:DW27),VLOOKUP(B27,'Summary Calculations (hide)'!$D$15:$F$67,2,0))*IF(Planning!$C$11="",1,1+Planning!$C$11)*'Summary Calculations (hide)'!$L$4/IF(Summary!$C$8="Patients",'Summary Calculations (hide)'!$I$9,1))</f>
        <v>#N/A</v>
      </c>
      <c r="D27" s="5" t="e">
        <f ca="1">IF(Planning!$C$8="No",VLOOKUP('Planning (hide)'!B27,'Summary Calculations (hide)'!$D$15:$U$67,18,0),IF('Demand adjustments for Covid'!$F$9="Yes",'Demand background (hide)'!DX27,VLOOKUP(B27,'Summary Calculations (hide)'!$D$15:$F$67,3,0))*IF(Planning!$C$11="",1,1+Planning!$C$11)*'Summary Calculations (hide)'!$L$4/IF(Summary!$C$8="Patients",'Summary Calculations (hide)'!$I$9,1))-IF(Planning!$C$8="No",0,C27)</f>
        <v>#N/A</v>
      </c>
      <c r="E27" s="5">
        <f ca="1">VLOOKUP($B27,'Summary Calculations (hide)'!$D$15:$U$67,15,0)</f>
        <v>0</v>
      </c>
      <c r="F27" s="5">
        <f ca="1">VLOOKUP($B27,'Summary Calculations (hide)'!$D$15:$U$67,16,0)</f>
        <v>0</v>
      </c>
      <c r="G27" s="5">
        <f t="shared" ca="1" si="1"/>
        <v>0</v>
      </c>
      <c r="H27" s="5">
        <f t="shared" ca="1" si="2"/>
        <v>0</v>
      </c>
      <c r="I27" s="67">
        <f ca="1">IF(OFFSET(Planning!$E$25,0,ROW(A24),1,1)&lt;&gt;"",-'Planning (hide)'!$G27,0)</f>
        <v>0</v>
      </c>
      <c r="J27" s="67">
        <f ca="1">IF(OFFSET(Planning!$E$25,COLUMN(A24),ROW(A24),1,1)&lt;&gt;"",OFFSET(Planning!$D$25,COLUMN(A24),0,1,1),0)</f>
        <v>0</v>
      </c>
      <c r="K27" s="67">
        <f ca="1">IF(OFFSET(Planning!$E$25,COLUMN(B24),ROW(B24),1,1)&lt;&gt;"",OFFSET(Planning!$D$25,COLUMN(B24),0,1,1),0)</f>
        <v>0</v>
      </c>
      <c r="L27" s="67">
        <f ca="1">IF(OFFSET(Planning!$E$25,COLUMN(C24),ROW(C24),1,1)&lt;&gt;"",OFFSET(Planning!$D$25,COLUMN(C24),0,1,1),0)</f>
        <v>0</v>
      </c>
      <c r="M27" s="67">
        <f ca="1">IF(OFFSET(Planning!$E$25,COLUMN(D24),ROW(D24),1,1)&lt;&gt;"",OFFSET(Planning!$D$25,COLUMN(D24),0,1,1),0)</f>
        <v>0</v>
      </c>
      <c r="N27" s="67">
        <f ca="1">IF(OFFSET(Planning!$E$25,COLUMN(E24),ROW(E24),1,1)&lt;&gt;"",OFFSET(Planning!$D$25,COLUMN(E24),0,1,1),0)</f>
        <v>0</v>
      </c>
      <c r="O27" s="67">
        <f ca="1">IF(OFFSET(Planning!$E$25,COLUMN(F24),ROW(F24),1,1)&lt;&gt;"",OFFSET(Planning!$D$25,COLUMN(F24),0,1,1),0)</f>
        <v>0</v>
      </c>
      <c r="P27" s="67">
        <f ca="1">IF(OFFSET(Planning!$E$25,COLUMN(G24),ROW(G24),1,1)&lt;&gt;"",OFFSET(Planning!$D$25,COLUMN(G24),0,1,1),0)</f>
        <v>0</v>
      </c>
      <c r="Q27" s="67">
        <f ca="1">IF(OFFSET(Planning!$E$25,COLUMN(H24),ROW(H24),1,1)&lt;&gt;"",OFFSET(Planning!$D$25,COLUMN(H24),0,1,1),0)</f>
        <v>0</v>
      </c>
      <c r="R27" s="67">
        <f ca="1">IF(OFFSET(Planning!$E$25,COLUMN(I24),ROW(I24),1,1)&lt;&gt;"",OFFSET(Planning!$D$25,COLUMN(I24),0,1,1),0)</f>
        <v>0</v>
      </c>
      <c r="S27" s="67">
        <f ca="1">IF(OFFSET(Planning!$E$25,COLUMN(J24),ROW(J24),1,1)&lt;&gt;"",OFFSET(Planning!$D$25,COLUMN(J24),0,1,1),0)</f>
        <v>0</v>
      </c>
      <c r="T27" s="67">
        <f ca="1">IF(OFFSET(Planning!$E$25,COLUMN(K24),ROW(K24),1,1)&lt;&gt;"",OFFSET(Planning!$D$25,COLUMN(K24),0,1,1),0)</f>
        <v>0</v>
      </c>
      <c r="U27" s="67">
        <f ca="1">IF(OFFSET(Planning!$E$25,COLUMN(L24),ROW(L24),1,1)&lt;&gt;"",OFFSET(Planning!$D$25,COLUMN(L24),0,1,1),0)</f>
        <v>0</v>
      </c>
      <c r="V27" s="67">
        <f ca="1">IF(OFFSET(Planning!$E$25,COLUMN(M24),ROW(M24),1,1)&lt;&gt;"",OFFSET(Planning!$D$25,COLUMN(M24),0,1,1),0)</f>
        <v>0</v>
      </c>
      <c r="W27" s="67">
        <f ca="1">IF(OFFSET(Planning!$E$25,COLUMN(N24),ROW(N24),1,1)&lt;&gt;"",OFFSET(Planning!$D$25,COLUMN(N24),0,1,1),0)</f>
        <v>0</v>
      </c>
      <c r="X27" s="67">
        <f ca="1">IF(OFFSET(Planning!$E$25,COLUMN(O24),ROW(O24),1,1)&lt;&gt;"",OFFSET(Planning!$D$25,COLUMN(O24),0,1,1),0)</f>
        <v>0</v>
      </c>
      <c r="Y27" s="67">
        <f ca="1">IF(OFFSET(Planning!$E$25,COLUMN(P24),ROW(P24),1,1)&lt;&gt;"",OFFSET(Planning!$D$25,COLUMN(P24),0,1,1),0)</f>
        <v>0</v>
      </c>
      <c r="Z27" s="67">
        <f ca="1">IF(OFFSET(Planning!$E$25,COLUMN(Q24),ROW(Q24),1,1)&lt;&gt;"",OFFSET(Planning!$D$25,COLUMN(Q24),0,1,1),0)</f>
        <v>0</v>
      </c>
      <c r="AA27" s="67">
        <f ca="1">IF(OFFSET(Planning!$E$25,COLUMN(R24),ROW(R24),1,1)&lt;&gt;"",OFFSET(Planning!$D$25,COLUMN(R24),0,1,1),0)</f>
        <v>0</v>
      </c>
      <c r="AB27" s="67">
        <f ca="1">IF(OFFSET(Planning!$E$25,COLUMN(S24),ROW(S24),1,1)&lt;&gt;"",OFFSET(Planning!$D$25,COLUMN(S24),0,1,1),0)</f>
        <v>0</v>
      </c>
      <c r="AC27" s="67">
        <f ca="1">IF(OFFSET(Planning!$E$25,COLUMN(T24),ROW(T24),1,1)&lt;&gt;"",OFFSET(Planning!$D$25,COLUMN(T24),0,1,1),0)</f>
        <v>0</v>
      </c>
      <c r="AD27" s="67" t="e">
        <f ca="1">VLOOKUP($B27,'Summary Calculations (hide)'!$D$15:$U$67,17,0)</f>
        <v>#N/A</v>
      </c>
      <c r="AE27" s="67" t="e">
        <f ca="1">VLOOKUP($B27,'Summary Calculations (hide)'!$D$15:$U$67,18,0)</f>
        <v>#N/A</v>
      </c>
    </row>
    <row r="28" spans="1:31" x14ac:dyDescent="0.2">
      <c r="A28" s="87">
        <f t="shared" ca="1" si="3"/>
        <v>44592</v>
      </c>
      <c r="B28" s="67">
        <f t="shared" ca="1" si="0"/>
        <v>5</v>
      </c>
      <c r="C28" s="5" t="e">
        <f ca="1">IF(Planning!$C$8="No",VLOOKUP(B28,'Summary Calculations (hide)'!$D$15:$U$67,17,0),IF('Demand adjustments for Covid'!$F$9="Yes",'Demand background (hide)'!DS28+SUM('Demand background (hide)'!DV28:DW28),VLOOKUP(B28,'Summary Calculations (hide)'!$D$15:$F$67,2,0))*IF(Planning!$C$11="",1,1+Planning!$C$11)*'Summary Calculations (hide)'!$L$4/IF(Summary!$C$8="Patients",'Summary Calculations (hide)'!$I$9,1))</f>
        <v>#N/A</v>
      </c>
      <c r="D28" s="5" t="e">
        <f ca="1">IF(Planning!$C$8="No",VLOOKUP('Planning (hide)'!B28,'Summary Calculations (hide)'!$D$15:$U$67,18,0),IF('Demand adjustments for Covid'!$F$9="Yes",'Demand background (hide)'!DX28,VLOOKUP(B28,'Summary Calculations (hide)'!$D$15:$F$67,3,0))*IF(Planning!$C$11="",1,1+Planning!$C$11)*'Summary Calculations (hide)'!$L$4/IF(Summary!$C$8="Patients",'Summary Calculations (hide)'!$I$9,1))-IF(Planning!$C$8="No",0,C28)</f>
        <v>#N/A</v>
      </c>
      <c r="E28" s="5">
        <f ca="1">VLOOKUP($B28,'Summary Calculations (hide)'!$D$15:$U$67,15,0)</f>
        <v>0</v>
      </c>
      <c r="F28" s="5">
        <f ca="1">VLOOKUP($B28,'Summary Calculations (hide)'!$D$15:$U$67,16,0)</f>
        <v>0</v>
      </c>
      <c r="G28" s="5">
        <f t="shared" ca="1" si="1"/>
        <v>0</v>
      </c>
      <c r="H28" s="5">
        <f t="shared" ca="1" si="2"/>
        <v>0</v>
      </c>
      <c r="I28" s="67">
        <f ca="1">IF(OFFSET(Planning!$E$25,0,ROW(A25),1,1)&lt;&gt;"",-'Planning (hide)'!$G28,0)</f>
        <v>0</v>
      </c>
      <c r="J28" s="67">
        <f ca="1">IF(OFFSET(Planning!$E$25,COLUMN(A25),ROW(A25),1,1)&lt;&gt;"",OFFSET(Planning!$D$25,COLUMN(A25),0,1,1),0)</f>
        <v>0</v>
      </c>
      <c r="K28" s="67">
        <f ca="1">IF(OFFSET(Planning!$E$25,COLUMN(B25),ROW(B25),1,1)&lt;&gt;"",OFFSET(Planning!$D$25,COLUMN(B25),0,1,1),0)</f>
        <v>0</v>
      </c>
      <c r="L28" s="67">
        <f ca="1">IF(OFFSET(Planning!$E$25,COLUMN(C25),ROW(C25),1,1)&lt;&gt;"",OFFSET(Planning!$D$25,COLUMN(C25),0,1,1),0)</f>
        <v>0</v>
      </c>
      <c r="M28" s="67">
        <f ca="1">IF(OFFSET(Planning!$E$25,COLUMN(D25),ROW(D25),1,1)&lt;&gt;"",OFFSET(Planning!$D$25,COLUMN(D25),0,1,1),0)</f>
        <v>0</v>
      </c>
      <c r="N28" s="67">
        <f ca="1">IF(OFFSET(Planning!$E$25,COLUMN(E25),ROW(E25),1,1)&lt;&gt;"",OFFSET(Planning!$D$25,COLUMN(E25),0,1,1),0)</f>
        <v>0</v>
      </c>
      <c r="O28" s="67">
        <f ca="1">IF(OFFSET(Planning!$E$25,COLUMN(F25),ROW(F25),1,1)&lt;&gt;"",OFFSET(Planning!$D$25,COLUMN(F25),0,1,1),0)</f>
        <v>0</v>
      </c>
      <c r="P28" s="67">
        <f ca="1">IF(OFFSET(Planning!$E$25,COLUMN(G25),ROW(G25),1,1)&lt;&gt;"",OFFSET(Planning!$D$25,COLUMN(G25),0,1,1),0)</f>
        <v>0</v>
      </c>
      <c r="Q28" s="67">
        <f ca="1">IF(OFFSET(Planning!$E$25,COLUMN(H25),ROW(H25),1,1)&lt;&gt;"",OFFSET(Planning!$D$25,COLUMN(H25),0,1,1),0)</f>
        <v>0</v>
      </c>
      <c r="R28" s="67">
        <f ca="1">IF(OFFSET(Planning!$E$25,COLUMN(I25),ROW(I25),1,1)&lt;&gt;"",OFFSET(Planning!$D$25,COLUMN(I25),0,1,1),0)</f>
        <v>0</v>
      </c>
      <c r="S28" s="67">
        <f ca="1">IF(OFFSET(Planning!$E$25,COLUMN(J25),ROW(J25),1,1)&lt;&gt;"",OFFSET(Planning!$D$25,COLUMN(J25),0,1,1),0)</f>
        <v>0</v>
      </c>
      <c r="T28" s="67">
        <f ca="1">IF(OFFSET(Planning!$E$25,COLUMN(K25),ROW(K25),1,1)&lt;&gt;"",OFFSET(Planning!$D$25,COLUMN(K25),0,1,1),0)</f>
        <v>0</v>
      </c>
      <c r="U28" s="67">
        <f ca="1">IF(OFFSET(Planning!$E$25,COLUMN(L25),ROW(L25),1,1)&lt;&gt;"",OFFSET(Planning!$D$25,COLUMN(L25),0,1,1),0)</f>
        <v>0</v>
      </c>
      <c r="V28" s="67">
        <f ca="1">IF(OFFSET(Planning!$E$25,COLUMN(M25),ROW(M25),1,1)&lt;&gt;"",OFFSET(Planning!$D$25,COLUMN(M25),0,1,1),0)</f>
        <v>0</v>
      </c>
      <c r="W28" s="67">
        <f ca="1">IF(OFFSET(Planning!$E$25,COLUMN(N25),ROW(N25),1,1)&lt;&gt;"",OFFSET(Planning!$D$25,COLUMN(N25),0,1,1),0)</f>
        <v>0</v>
      </c>
      <c r="X28" s="67">
        <f ca="1">IF(OFFSET(Planning!$E$25,COLUMN(O25),ROW(O25),1,1)&lt;&gt;"",OFFSET(Planning!$D$25,COLUMN(O25),0,1,1),0)</f>
        <v>0</v>
      </c>
      <c r="Y28" s="67">
        <f ca="1">IF(OFFSET(Planning!$E$25,COLUMN(P25),ROW(P25),1,1)&lt;&gt;"",OFFSET(Planning!$D$25,COLUMN(P25),0,1,1),0)</f>
        <v>0</v>
      </c>
      <c r="Z28" s="67">
        <f ca="1">IF(OFFSET(Planning!$E$25,COLUMN(Q25),ROW(Q25),1,1)&lt;&gt;"",OFFSET(Planning!$D$25,COLUMN(Q25),0,1,1),0)</f>
        <v>0</v>
      </c>
      <c r="AA28" s="67">
        <f ca="1">IF(OFFSET(Planning!$E$25,COLUMN(R25),ROW(R25),1,1)&lt;&gt;"",OFFSET(Planning!$D$25,COLUMN(R25),0,1,1),0)</f>
        <v>0</v>
      </c>
      <c r="AB28" s="67">
        <f ca="1">IF(OFFSET(Planning!$E$25,COLUMN(S25),ROW(S25),1,1)&lt;&gt;"",OFFSET(Planning!$D$25,COLUMN(S25),0,1,1),0)</f>
        <v>0</v>
      </c>
      <c r="AC28" s="67">
        <f ca="1">IF(OFFSET(Planning!$E$25,COLUMN(T25),ROW(T25),1,1)&lt;&gt;"",OFFSET(Planning!$D$25,COLUMN(T25),0,1,1),0)</f>
        <v>0</v>
      </c>
      <c r="AD28" s="67" t="e">
        <f ca="1">VLOOKUP($B28,'Summary Calculations (hide)'!$D$15:$U$67,17,0)</f>
        <v>#N/A</v>
      </c>
      <c r="AE28" s="67" t="e">
        <f ca="1">VLOOKUP($B28,'Summary Calculations (hide)'!$D$15:$U$67,18,0)</f>
        <v>#N/A</v>
      </c>
    </row>
    <row r="29" spans="1:31" x14ac:dyDescent="0.2">
      <c r="A29" s="87">
        <f t="shared" ca="1" si="3"/>
        <v>44599</v>
      </c>
      <c r="B29" s="67">
        <f t="shared" ca="1" si="0"/>
        <v>6</v>
      </c>
      <c r="C29" s="5" t="e">
        <f ca="1">IF(Planning!$C$8="No",VLOOKUP(B29,'Summary Calculations (hide)'!$D$15:$U$67,17,0),IF('Demand adjustments for Covid'!$F$9="Yes",'Demand background (hide)'!DS29+SUM('Demand background (hide)'!DV29:DW29),VLOOKUP(B29,'Summary Calculations (hide)'!$D$15:$F$67,2,0))*IF(Planning!$C$11="",1,1+Planning!$C$11)*'Summary Calculations (hide)'!$L$4/IF(Summary!$C$8="Patients",'Summary Calculations (hide)'!$I$9,1))</f>
        <v>#N/A</v>
      </c>
      <c r="D29" s="5" t="e">
        <f ca="1">IF(Planning!$C$8="No",VLOOKUP('Planning (hide)'!B29,'Summary Calculations (hide)'!$D$15:$U$67,18,0),IF('Demand adjustments for Covid'!$F$9="Yes",'Demand background (hide)'!DX29,VLOOKUP(B29,'Summary Calculations (hide)'!$D$15:$F$67,3,0))*IF(Planning!$C$11="",1,1+Planning!$C$11)*'Summary Calculations (hide)'!$L$4/IF(Summary!$C$8="Patients",'Summary Calculations (hide)'!$I$9,1))-IF(Planning!$C$8="No",0,C29)</f>
        <v>#N/A</v>
      </c>
      <c r="E29" s="5">
        <f ca="1">VLOOKUP($B29,'Summary Calculations (hide)'!$D$15:$U$67,15,0)</f>
        <v>0</v>
      </c>
      <c r="F29" s="5">
        <f ca="1">VLOOKUP($B29,'Summary Calculations (hide)'!$D$15:$U$67,16,0)</f>
        <v>0</v>
      </c>
      <c r="G29" s="5">
        <f t="shared" ca="1" si="1"/>
        <v>0</v>
      </c>
      <c r="H29" s="5">
        <f t="shared" ca="1" si="2"/>
        <v>0</v>
      </c>
      <c r="I29" s="67">
        <f ca="1">IF(OFFSET(Planning!$E$25,0,ROW(A26),1,1)&lt;&gt;"",-'Planning (hide)'!$G29,0)</f>
        <v>0</v>
      </c>
      <c r="J29" s="67">
        <f ca="1">IF(OFFSET(Planning!$E$25,COLUMN(A26),ROW(A26),1,1)&lt;&gt;"",OFFSET(Planning!$D$25,COLUMN(A26),0,1,1),0)</f>
        <v>0</v>
      </c>
      <c r="K29" s="67">
        <f ca="1">IF(OFFSET(Planning!$E$25,COLUMN(B26),ROW(B26),1,1)&lt;&gt;"",OFFSET(Planning!$D$25,COLUMN(B26),0,1,1),0)</f>
        <v>0</v>
      </c>
      <c r="L29" s="67">
        <f ca="1">IF(OFFSET(Planning!$E$25,COLUMN(C26),ROW(C26),1,1)&lt;&gt;"",OFFSET(Planning!$D$25,COLUMN(C26),0,1,1),0)</f>
        <v>0</v>
      </c>
      <c r="M29" s="67">
        <f ca="1">IF(OFFSET(Planning!$E$25,COLUMN(D26),ROW(D26),1,1)&lt;&gt;"",OFFSET(Planning!$D$25,COLUMN(D26),0,1,1),0)</f>
        <v>0</v>
      </c>
      <c r="N29" s="67">
        <f ca="1">IF(OFFSET(Planning!$E$25,COLUMN(E26),ROW(E26),1,1)&lt;&gt;"",OFFSET(Planning!$D$25,COLUMN(E26),0,1,1),0)</f>
        <v>0</v>
      </c>
      <c r="O29" s="67">
        <f ca="1">IF(OFFSET(Planning!$E$25,COLUMN(F26),ROW(F26),1,1)&lt;&gt;"",OFFSET(Planning!$D$25,COLUMN(F26),0,1,1),0)</f>
        <v>0</v>
      </c>
      <c r="P29" s="67">
        <f ca="1">IF(OFFSET(Planning!$E$25,COLUMN(G26),ROW(G26),1,1)&lt;&gt;"",OFFSET(Planning!$D$25,COLUMN(G26),0,1,1),0)</f>
        <v>0</v>
      </c>
      <c r="Q29" s="67">
        <f ca="1">IF(OFFSET(Planning!$E$25,COLUMN(H26),ROW(H26),1,1)&lt;&gt;"",OFFSET(Planning!$D$25,COLUMN(H26),0,1,1),0)</f>
        <v>0</v>
      </c>
      <c r="R29" s="67">
        <f ca="1">IF(OFFSET(Planning!$E$25,COLUMN(I26),ROW(I26),1,1)&lt;&gt;"",OFFSET(Planning!$D$25,COLUMN(I26),0,1,1),0)</f>
        <v>0</v>
      </c>
      <c r="S29" s="67">
        <f ca="1">IF(OFFSET(Planning!$E$25,COLUMN(J26),ROW(J26),1,1)&lt;&gt;"",OFFSET(Planning!$D$25,COLUMN(J26),0,1,1),0)</f>
        <v>0</v>
      </c>
      <c r="T29" s="67">
        <f ca="1">IF(OFFSET(Planning!$E$25,COLUMN(K26),ROW(K26),1,1)&lt;&gt;"",OFFSET(Planning!$D$25,COLUMN(K26),0,1,1),0)</f>
        <v>0</v>
      </c>
      <c r="U29" s="67">
        <f ca="1">IF(OFFSET(Planning!$E$25,COLUMN(L26),ROW(L26),1,1)&lt;&gt;"",OFFSET(Planning!$D$25,COLUMN(L26),0,1,1),0)</f>
        <v>0</v>
      </c>
      <c r="V29" s="67">
        <f ca="1">IF(OFFSET(Planning!$E$25,COLUMN(M26),ROW(M26),1,1)&lt;&gt;"",OFFSET(Planning!$D$25,COLUMN(M26),0,1,1),0)</f>
        <v>0</v>
      </c>
      <c r="W29" s="67">
        <f ca="1">IF(OFFSET(Planning!$E$25,COLUMN(N26),ROW(N26),1,1)&lt;&gt;"",OFFSET(Planning!$D$25,COLUMN(N26),0,1,1),0)</f>
        <v>0</v>
      </c>
      <c r="X29" s="67">
        <f ca="1">IF(OFFSET(Planning!$E$25,COLUMN(O26),ROW(O26),1,1)&lt;&gt;"",OFFSET(Planning!$D$25,COLUMN(O26),0,1,1),0)</f>
        <v>0</v>
      </c>
      <c r="Y29" s="67">
        <f ca="1">IF(OFFSET(Planning!$E$25,COLUMN(P26),ROW(P26),1,1)&lt;&gt;"",OFFSET(Planning!$D$25,COLUMN(P26),0,1,1),0)</f>
        <v>0</v>
      </c>
      <c r="Z29" s="67">
        <f ca="1">IF(OFFSET(Planning!$E$25,COLUMN(Q26),ROW(Q26),1,1)&lt;&gt;"",OFFSET(Planning!$D$25,COLUMN(Q26),0,1,1),0)</f>
        <v>0</v>
      </c>
      <c r="AA29" s="67">
        <f ca="1">IF(OFFSET(Planning!$E$25,COLUMN(R26),ROW(R26),1,1)&lt;&gt;"",OFFSET(Planning!$D$25,COLUMN(R26),0,1,1),0)</f>
        <v>0</v>
      </c>
      <c r="AB29" s="67">
        <f ca="1">IF(OFFSET(Planning!$E$25,COLUMN(S26),ROW(S26),1,1)&lt;&gt;"",OFFSET(Planning!$D$25,COLUMN(S26),0,1,1),0)</f>
        <v>0</v>
      </c>
      <c r="AC29" s="67">
        <f ca="1">IF(OFFSET(Planning!$E$25,COLUMN(T26),ROW(T26),1,1)&lt;&gt;"",OFFSET(Planning!$D$25,COLUMN(T26),0,1,1),0)</f>
        <v>0</v>
      </c>
      <c r="AD29" s="67" t="e">
        <f ca="1">VLOOKUP($B29,'Summary Calculations (hide)'!$D$15:$U$67,17,0)</f>
        <v>#N/A</v>
      </c>
      <c r="AE29" s="67" t="e">
        <f ca="1">VLOOKUP($B29,'Summary Calculations (hide)'!$D$15:$U$67,18,0)</f>
        <v>#N/A</v>
      </c>
    </row>
    <row r="30" spans="1:31" x14ac:dyDescent="0.2">
      <c r="A30" s="87">
        <f t="shared" ca="1" si="3"/>
        <v>44606</v>
      </c>
      <c r="B30" s="67">
        <f t="shared" ca="1" si="0"/>
        <v>7</v>
      </c>
      <c r="C30" s="5" t="e">
        <f ca="1">IF(Planning!$C$8="No",VLOOKUP(B30,'Summary Calculations (hide)'!$D$15:$U$67,17,0),IF('Demand adjustments for Covid'!$F$9="Yes",'Demand background (hide)'!DS30+SUM('Demand background (hide)'!DV30:DW30),VLOOKUP(B30,'Summary Calculations (hide)'!$D$15:$F$67,2,0))*IF(Planning!$C$11="",1,1+Planning!$C$11)*'Summary Calculations (hide)'!$L$4/IF(Summary!$C$8="Patients",'Summary Calculations (hide)'!$I$9,1))</f>
        <v>#N/A</v>
      </c>
      <c r="D30" s="5" t="e">
        <f ca="1">IF(Planning!$C$8="No",VLOOKUP('Planning (hide)'!B30,'Summary Calculations (hide)'!$D$15:$U$67,18,0),IF('Demand adjustments for Covid'!$F$9="Yes",'Demand background (hide)'!DX30,VLOOKUP(B30,'Summary Calculations (hide)'!$D$15:$F$67,3,0))*IF(Planning!$C$11="",1,1+Planning!$C$11)*'Summary Calculations (hide)'!$L$4/IF(Summary!$C$8="Patients",'Summary Calculations (hide)'!$I$9,1))-IF(Planning!$C$8="No",0,C30)</f>
        <v>#N/A</v>
      </c>
      <c r="E30" s="5">
        <f ca="1">VLOOKUP($B30,'Summary Calculations (hide)'!$D$15:$U$67,15,0)</f>
        <v>0</v>
      </c>
      <c r="F30" s="5">
        <f ca="1">VLOOKUP($B30,'Summary Calculations (hide)'!$D$15:$U$67,16,0)</f>
        <v>0</v>
      </c>
      <c r="G30" s="5">
        <f t="shared" ca="1" si="1"/>
        <v>0</v>
      </c>
      <c r="H30" s="5">
        <f t="shared" ca="1" si="2"/>
        <v>0</v>
      </c>
      <c r="I30" s="67">
        <f ca="1">IF(OFFSET(Planning!$E$25,0,ROW(A27),1,1)&lt;&gt;"",-'Planning (hide)'!$G30,0)</f>
        <v>0</v>
      </c>
      <c r="J30" s="67">
        <f ca="1">IF(OFFSET(Planning!$E$25,COLUMN(A27),ROW(A27),1,1)&lt;&gt;"",OFFSET(Planning!$D$25,COLUMN(A27),0,1,1),0)</f>
        <v>0</v>
      </c>
      <c r="K30" s="67">
        <f ca="1">IF(OFFSET(Planning!$E$25,COLUMN(B27),ROW(B27),1,1)&lt;&gt;"",OFFSET(Planning!$D$25,COLUMN(B27),0,1,1),0)</f>
        <v>0</v>
      </c>
      <c r="L30" s="67">
        <f ca="1">IF(OFFSET(Planning!$E$25,COLUMN(C27),ROW(C27),1,1)&lt;&gt;"",OFFSET(Planning!$D$25,COLUMN(C27),0,1,1),0)</f>
        <v>0</v>
      </c>
      <c r="M30" s="67">
        <f ca="1">IF(OFFSET(Planning!$E$25,COLUMN(D27),ROW(D27),1,1)&lt;&gt;"",OFFSET(Planning!$D$25,COLUMN(D27),0,1,1),0)</f>
        <v>0</v>
      </c>
      <c r="N30" s="67">
        <f ca="1">IF(OFFSET(Planning!$E$25,COLUMN(E27),ROW(E27),1,1)&lt;&gt;"",OFFSET(Planning!$D$25,COLUMN(E27),0,1,1),0)</f>
        <v>0</v>
      </c>
      <c r="O30" s="67">
        <f ca="1">IF(OFFSET(Planning!$E$25,COLUMN(F27),ROW(F27),1,1)&lt;&gt;"",OFFSET(Planning!$D$25,COLUMN(F27),0,1,1),0)</f>
        <v>0</v>
      </c>
      <c r="P30" s="67">
        <f ca="1">IF(OFFSET(Planning!$E$25,COLUMN(G27),ROW(G27),1,1)&lt;&gt;"",OFFSET(Planning!$D$25,COLUMN(G27),0,1,1),0)</f>
        <v>0</v>
      </c>
      <c r="Q30" s="67">
        <f ca="1">IF(OFFSET(Planning!$E$25,COLUMN(H27),ROW(H27),1,1)&lt;&gt;"",OFFSET(Planning!$D$25,COLUMN(H27),0,1,1),0)</f>
        <v>0</v>
      </c>
      <c r="R30" s="67">
        <f ca="1">IF(OFFSET(Planning!$E$25,COLUMN(I27),ROW(I27),1,1)&lt;&gt;"",OFFSET(Planning!$D$25,COLUMN(I27),0,1,1),0)</f>
        <v>0</v>
      </c>
      <c r="S30" s="67">
        <f ca="1">IF(OFFSET(Planning!$E$25,COLUMN(J27),ROW(J27),1,1)&lt;&gt;"",OFFSET(Planning!$D$25,COLUMN(J27),0,1,1),0)</f>
        <v>0</v>
      </c>
      <c r="T30" s="67">
        <f ca="1">IF(OFFSET(Planning!$E$25,COLUMN(K27),ROW(K27),1,1)&lt;&gt;"",OFFSET(Planning!$D$25,COLUMN(K27),0,1,1),0)</f>
        <v>0</v>
      </c>
      <c r="U30" s="67">
        <f ca="1">IF(OFFSET(Planning!$E$25,COLUMN(L27),ROW(L27),1,1)&lt;&gt;"",OFFSET(Planning!$D$25,COLUMN(L27),0,1,1),0)</f>
        <v>0</v>
      </c>
      <c r="V30" s="67">
        <f ca="1">IF(OFFSET(Planning!$E$25,COLUMN(M27),ROW(M27),1,1)&lt;&gt;"",OFFSET(Planning!$D$25,COLUMN(M27),0,1,1),0)</f>
        <v>0</v>
      </c>
      <c r="W30" s="67">
        <f ca="1">IF(OFFSET(Planning!$E$25,COLUMN(N27),ROW(N27),1,1)&lt;&gt;"",OFFSET(Planning!$D$25,COLUMN(N27),0,1,1),0)</f>
        <v>0</v>
      </c>
      <c r="X30" s="67">
        <f ca="1">IF(OFFSET(Planning!$E$25,COLUMN(O27),ROW(O27),1,1)&lt;&gt;"",OFFSET(Planning!$D$25,COLUMN(O27),0,1,1),0)</f>
        <v>0</v>
      </c>
      <c r="Y30" s="67">
        <f ca="1">IF(OFFSET(Planning!$E$25,COLUMN(P27),ROW(P27),1,1)&lt;&gt;"",OFFSET(Planning!$D$25,COLUMN(P27),0,1,1),0)</f>
        <v>0</v>
      </c>
      <c r="Z30" s="67">
        <f ca="1">IF(OFFSET(Planning!$E$25,COLUMN(Q27),ROW(Q27),1,1)&lt;&gt;"",OFFSET(Planning!$D$25,COLUMN(Q27),0,1,1),0)</f>
        <v>0</v>
      </c>
      <c r="AA30" s="67">
        <f ca="1">IF(OFFSET(Planning!$E$25,COLUMN(R27),ROW(R27),1,1)&lt;&gt;"",OFFSET(Planning!$D$25,COLUMN(R27),0,1,1),0)</f>
        <v>0</v>
      </c>
      <c r="AB30" s="67">
        <f ca="1">IF(OFFSET(Planning!$E$25,COLUMN(S27),ROW(S27),1,1)&lt;&gt;"",OFFSET(Planning!$D$25,COLUMN(S27),0,1,1),0)</f>
        <v>0</v>
      </c>
      <c r="AC30" s="67">
        <f ca="1">IF(OFFSET(Planning!$E$25,COLUMN(T27),ROW(T27),1,1)&lt;&gt;"",OFFSET(Planning!$D$25,COLUMN(T27),0,1,1),0)</f>
        <v>0</v>
      </c>
      <c r="AD30" s="67" t="e">
        <f ca="1">VLOOKUP($B30,'Summary Calculations (hide)'!$D$15:$U$67,17,0)</f>
        <v>#N/A</v>
      </c>
      <c r="AE30" s="67" t="e">
        <f ca="1">VLOOKUP($B30,'Summary Calculations (hide)'!$D$15:$U$67,18,0)</f>
        <v>#N/A</v>
      </c>
    </row>
    <row r="31" spans="1:31" x14ac:dyDescent="0.2">
      <c r="A31" s="87">
        <f t="shared" ca="1" si="3"/>
        <v>44613</v>
      </c>
      <c r="B31" s="67">
        <f t="shared" ca="1" si="0"/>
        <v>8</v>
      </c>
      <c r="C31" s="5" t="e">
        <f ca="1">IF(Planning!$C$8="No",VLOOKUP(B31,'Summary Calculations (hide)'!$D$15:$U$67,17,0),IF('Demand adjustments for Covid'!$F$9="Yes",'Demand background (hide)'!DS31+SUM('Demand background (hide)'!DV31:DW31),VLOOKUP(B31,'Summary Calculations (hide)'!$D$15:$F$67,2,0))*IF(Planning!$C$11="",1,1+Planning!$C$11)*'Summary Calculations (hide)'!$L$4/IF(Summary!$C$8="Patients",'Summary Calculations (hide)'!$I$9,1))</f>
        <v>#N/A</v>
      </c>
      <c r="D31" s="5" t="e">
        <f ca="1">IF(Planning!$C$8="No",VLOOKUP('Planning (hide)'!B31,'Summary Calculations (hide)'!$D$15:$U$67,18,0),IF('Demand adjustments for Covid'!$F$9="Yes",'Demand background (hide)'!DX31,VLOOKUP(B31,'Summary Calculations (hide)'!$D$15:$F$67,3,0))*IF(Planning!$C$11="",1,1+Planning!$C$11)*'Summary Calculations (hide)'!$L$4/IF(Summary!$C$8="Patients",'Summary Calculations (hide)'!$I$9,1))-IF(Planning!$C$8="No",0,C31)</f>
        <v>#N/A</v>
      </c>
      <c r="E31" s="5">
        <f ca="1">VLOOKUP($B31,'Summary Calculations (hide)'!$D$15:$U$67,15,0)</f>
        <v>0</v>
      </c>
      <c r="F31" s="5">
        <f ca="1">VLOOKUP($B31,'Summary Calculations (hide)'!$D$15:$U$67,16,0)</f>
        <v>0</v>
      </c>
      <c r="G31" s="5">
        <f t="shared" ca="1" si="1"/>
        <v>0</v>
      </c>
      <c r="H31" s="5">
        <f t="shared" ca="1" si="2"/>
        <v>0</v>
      </c>
      <c r="I31" s="67">
        <f ca="1">IF(OFFSET(Planning!$E$25,0,ROW(A28),1,1)&lt;&gt;"",-'Planning (hide)'!$G31,0)</f>
        <v>0</v>
      </c>
      <c r="J31" s="67">
        <f ca="1">IF(OFFSET(Planning!$E$25,COLUMN(A28),ROW(A28),1,1)&lt;&gt;"",OFFSET(Planning!$D$25,COLUMN(A28),0,1,1),0)</f>
        <v>0</v>
      </c>
      <c r="K31" s="67">
        <f ca="1">IF(OFFSET(Planning!$E$25,COLUMN(B28),ROW(B28),1,1)&lt;&gt;"",OFFSET(Planning!$D$25,COLUMN(B28),0,1,1),0)</f>
        <v>0</v>
      </c>
      <c r="L31" s="67">
        <f ca="1">IF(OFFSET(Planning!$E$25,COLUMN(C28),ROW(C28),1,1)&lt;&gt;"",OFFSET(Planning!$D$25,COLUMN(C28),0,1,1),0)</f>
        <v>0</v>
      </c>
      <c r="M31" s="67">
        <f ca="1">IF(OFFSET(Planning!$E$25,COLUMN(D28),ROW(D28),1,1)&lt;&gt;"",OFFSET(Planning!$D$25,COLUMN(D28),0,1,1),0)</f>
        <v>0</v>
      </c>
      <c r="N31" s="67">
        <f ca="1">IF(OFFSET(Planning!$E$25,COLUMN(E28),ROW(E28),1,1)&lt;&gt;"",OFFSET(Planning!$D$25,COLUMN(E28),0,1,1),0)</f>
        <v>0</v>
      </c>
      <c r="O31" s="67">
        <f ca="1">IF(OFFSET(Planning!$E$25,COLUMN(F28),ROW(F28),1,1)&lt;&gt;"",OFFSET(Planning!$D$25,COLUMN(F28),0,1,1),0)</f>
        <v>0</v>
      </c>
      <c r="P31" s="67">
        <f ca="1">IF(OFFSET(Planning!$E$25,COLUMN(G28),ROW(G28),1,1)&lt;&gt;"",OFFSET(Planning!$D$25,COLUMN(G28),0,1,1),0)</f>
        <v>0</v>
      </c>
      <c r="Q31" s="67">
        <f ca="1">IF(OFFSET(Planning!$E$25,COLUMN(H28),ROW(H28),1,1)&lt;&gt;"",OFFSET(Planning!$D$25,COLUMN(H28),0,1,1),0)</f>
        <v>0</v>
      </c>
      <c r="R31" s="67">
        <f ca="1">IF(OFFSET(Planning!$E$25,COLUMN(I28),ROW(I28),1,1)&lt;&gt;"",OFFSET(Planning!$D$25,COLUMN(I28),0,1,1),0)</f>
        <v>0</v>
      </c>
      <c r="S31" s="67">
        <f ca="1">IF(OFFSET(Planning!$E$25,COLUMN(J28),ROW(J28),1,1)&lt;&gt;"",OFFSET(Planning!$D$25,COLUMN(J28),0,1,1),0)</f>
        <v>0</v>
      </c>
      <c r="T31" s="67">
        <f ca="1">IF(OFFSET(Planning!$E$25,COLUMN(K28),ROW(K28),1,1)&lt;&gt;"",OFFSET(Planning!$D$25,COLUMN(K28),0,1,1),0)</f>
        <v>0</v>
      </c>
      <c r="U31" s="67">
        <f ca="1">IF(OFFSET(Planning!$E$25,COLUMN(L28),ROW(L28),1,1)&lt;&gt;"",OFFSET(Planning!$D$25,COLUMN(L28),0,1,1),0)</f>
        <v>0</v>
      </c>
      <c r="V31" s="67">
        <f ca="1">IF(OFFSET(Planning!$E$25,COLUMN(M28),ROW(M28),1,1)&lt;&gt;"",OFFSET(Planning!$D$25,COLUMN(M28),0,1,1),0)</f>
        <v>0</v>
      </c>
      <c r="W31" s="67">
        <f ca="1">IF(OFFSET(Planning!$E$25,COLUMN(N28),ROW(N28),1,1)&lt;&gt;"",OFFSET(Planning!$D$25,COLUMN(N28),0,1,1),0)</f>
        <v>0</v>
      </c>
      <c r="X31" s="67">
        <f ca="1">IF(OFFSET(Planning!$E$25,COLUMN(O28),ROW(O28),1,1)&lt;&gt;"",OFFSET(Planning!$D$25,COLUMN(O28),0,1,1),0)</f>
        <v>0</v>
      </c>
      <c r="Y31" s="67">
        <f ca="1">IF(OFFSET(Planning!$E$25,COLUMN(P28),ROW(P28),1,1)&lt;&gt;"",OFFSET(Planning!$D$25,COLUMN(P28),0,1,1),0)</f>
        <v>0</v>
      </c>
      <c r="Z31" s="67">
        <f ca="1">IF(OFFSET(Planning!$E$25,COLUMN(Q28),ROW(Q28),1,1)&lt;&gt;"",OFFSET(Planning!$D$25,COLUMN(Q28),0,1,1),0)</f>
        <v>0</v>
      </c>
      <c r="AA31" s="67">
        <f ca="1">IF(OFFSET(Planning!$E$25,COLUMN(R28),ROW(R28),1,1)&lt;&gt;"",OFFSET(Planning!$D$25,COLUMN(R28),0,1,1),0)</f>
        <v>0</v>
      </c>
      <c r="AB31" s="67">
        <f ca="1">IF(OFFSET(Planning!$E$25,COLUMN(S28),ROW(S28),1,1)&lt;&gt;"",OFFSET(Planning!$D$25,COLUMN(S28),0,1,1),0)</f>
        <v>0</v>
      </c>
      <c r="AC31" s="67">
        <f ca="1">IF(OFFSET(Planning!$E$25,COLUMN(T28),ROW(T28),1,1)&lt;&gt;"",OFFSET(Planning!$D$25,COLUMN(T28),0,1,1),0)</f>
        <v>0</v>
      </c>
      <c r="AD31" s="67" t="e">
        <f ca="1">VLOOKUP($B31,'Summary Calculations (hide)'!$D$15:$U$67,17,0)</f>
        <v>#N/A</v>
      </c>
      <c r="AE31" s="67" t="e">
        <f ca="1">VLOOKUP($B31,'Summary Calculations (hide)'!$D$15:$U$67,18,0)</f>
        <v>#N/A</v>
      </c>
    </row>
    <row r="32" spans="1:31" x14ac:dyDescent="0.2">
      <c r="A32" s="87">
        <f t="shared" ca="1" si="3"/>
        <v>44620</v>
      </c>
      <c r="B32" s="67">
        <f t="shared" ca="1" si="0"/>
        <v>9</v>
      </c>
      <c r="C32" s="5" t="e">
        <f ca="1">IF(Planning!$C$8="No",VLOOKUP(B32,'Summary Calculations (hide)'!$D$15:$U$67,17,0),IF('Demand adjustments for Covid'!$F$9="Yes",'Demand background (hide)'!DS32+SUM('Demand background (hide)'!DV32:DW32),VLOOKUP(B32,'Summary Calculations (hide)'!$D$15:$F$67,2,0))*IF(Planning!$C$11="",1,1+Planning!$C$11)*'Summary Calculations (hide)'!$L$4/IF(Summary!$C$8="Patients",'Summary Calculations (hide)'!$I$9,1))</f>
        <v>#N/A</v>
      </c>
      <c r="D32" s="5" t="e">
        <f ca="1">IF(Planning!$C$8="No",VLOOKUP('Planning (hide)'!B32,'Summary Calculations (hide)'!$D$15:$U$67,18,0),IF('Demand adjustments for Covid'!$F$9="Yes",'Demand background (hide)'!DX32,VLOOKUP(B32,'Summary Calculations (hide)'!$D$15:$F$67,3,0))*IF(Planning!$C$11="",1,1+Planning!$C$11)*'Summary Calculations (hide)'!$L$4/IF(Summary!$C$8="Patients",'Summary Calculations (hide)'!$I$9,1))-IF(Planning!$C$8="No",0,C32)</f>
        <v>#N/A</v>
      </c>
      <c r="E32" s="5">
        <f ca="1">VLOOKUP($B32,'Summary Calculations (hide)'!$D$15:$U$67,15,0)</f>
        <v>0</v>
      </c>
      <c r="F32" s="5">
        <f ca="1">VLOOKUP($B32,'Summary Calculations (hide)'!$D$15:$U$67,16,0)</f>
        <v>0</v>
      </c>
      <c r="G32" s="5">
        <f t="shared" ca="1" si="1"/>
        <v>0</v>
      </c>
      <c r="H32" s="5">
        <f t="shared" ca="1" si="2"/>
        <v>0</v>
      </c>
      <c r="I32" s="67">
        <f ca="1">IF(OFFSET(Planning!$E$25,0,ROW(A29),1,1)&lt;&gt;"",-'Planning (hide)'!$G32,0)</f>
        <v>0</v>
      </c>
      <c r="J32" s="67">
        <f ca="1">IF(OFFSET(Planning!$E$25,COLUMN(A29),ROW(A29),1,1)&lt;&gt;"",OFFSET(Planning!$D$25,COLUMN(A29),0,1,1),0)</f>
        <v>0</v>
      </c>
      <c r="K32" s="67">
        <f ca="1">IF(OFFSET(Planning!$E$25,COLUMN(B29),ROW(B29),1,1)&lt;&gt;"",OFFSET(Planning!$D$25,COLUMN(B29),0,1,1),0)</f>
        <v>0</v>
      </c>
      <c r="L32" s="67">
        <f ca="1">IF(OFFSET(Planning!$E$25,COLUMN(C29),ROW(C29),1,1)&lt;&gt;"",OFFSET(Planning!$D$25,COLUMN(C29),0,1,1),0)</f>
        <v>0</v>
      </c>
      <c r="M32" s="67">
        <f ca="1">IF(OFFSET(Planning!$E$25,COLUMN(D29),ROW(D29),1,1)&lt;&gt;"",OFFSET(Planning!$D$25,COLUMN(D29),0,1,1),0)</f>
        <v>0</v>
      </c>
      <c r="N32" s="67">
        <f ca="1">IF(OFFSET(Planning!$E$25,COLUMN(E29),ROW(E29),1,1)&lt;&gt;"",OFFSET(Planning!$D$25,COLUMN(E29),0,1,1),0)</f>
        <v>0</v>
      </c>
      <c r="O32" s="67">
        <f ca="1">IF(OFFSET(Planning!$E$25,COLUMN(F29),ROW(F29),1,1)&lt;&gt;"",OFFSET(Planning!$D$25,COLUMN(F29),0,1,1),0)</f>
        <v>0</v>
      </c>
      <c r="P32" s="67">
        <f ca="1">IF(OFFSET(Planning!$E$25,COLUMN(G29),ROW(G29),1,1)&lt;&gt;"",OFFSET(Planning!$D$25,COLUMN(G29),0,1,1),0)</f>
        <v>0</v>
      </c>
      <c r="Q32" s="67">
        <f ca="1">IF(OFFSET(Planning!$E$25,COLUMN(H29),ROW(H29),1,1)&lt;&gt;"",OFFSET(Planning!$D$25,COLUMN(H29),0,1,1),0)</f>
        <v>0</v>
      </c>
      <c r="R32" s="67">
        <f ca="1">IF(OFFSET(Planning!$E$25,COLUMN(I29),ROW(I29),1,1)&lt;&gt;"",OFFSET(Planning!$D$25,COLUMN(I29),0,1,1),0)</f>
        <v>0</v>
      </c>
      <c r="S32" s="67">
        <f ca="1">IF(OFFSET(Planning!$E$25,COLUMN(J29),ROW(J29),1,1)&lt;&gt;"",OFFSET(Planning!$D$25,COLUMN(J29),0,1,1),0)</f>
        <v>0</v>
      </c>
      <c r="T32" s="67">
        <f ca="1">IF(OFFSET(Planning!$E$25,COLUMN(K29),ROW(K29),1,1)&lt;&gt;"",OFFSET(Planning!$D$25,COLUMN(K29),0,1,1),0)</f>
        <v>0</v>
      </c>
      <c r="U32" s="67">
        <f ca="1">IF(OFFSET(Planning!$E$25,COLUMN(L29),ROW(L29),1,1)&lt;&gt;"",OFFSET(Planning!$D$25,COLUMN(L29),0,1,1),0)</f>
        <v>0</v>
      </c>
      <c r="V32" s="67">
        <f ca="1">IF(OFFSET(Planning!$E$25,COLUMN(M29),ROW(M29),1,1)&lt;&gt;"",OFFSET(Planning!$D$25,COLUMN(M29),0,1,1),0)</f>
        <v>0</v>
      </c>
      <c r="W32" s="67">
        <f ca="1">IF(OFFSET(Planning!$E$25,COLUMN(N29),ROW(N29),1,1)&lt;&gt;"",OFFSET(Planning!$D$25,COLUMN(N29),0,1,1),0)</f>
        <v>0</v>
      </c>
      <c r="X32" s="67">
        <f ca="1">IF(OFFSET(Planning!$E$25,COLUMN(O29),ROW(O29),1,1)&lt;&gt;"",OFFSET(Planning!$D$25,COLUMN(O29),0,1,1),0)</f>
        <v>0</v>
      </c>
      <c r="Y32" s="67">
        <f ca="1">IF(OFFSET(Planning!$E$25,COLUMN(P29),ROW(P29),1,1)&lt;&gt;"",OFFSET(Planning!$D$25,COLUMN(P29),0,1,1),0)</f>
        <v>0</v>
      </c>
      <c r="Z32" s="67">
        <f ca="1">IF(OFFSET(Planning!$E$25,COLUMN(Q29),ROW(Q29),1,1)&lt;&gt;"",OFFSET(Planning!$D$25,COLUMN(Q29),0,1,1),0)</f>
        <v>0</v>
      </c>
      <c r="AA32" s="67">
        <f ca="1">IF(OFFSET(Planning!$E$25,COLUMN(R29),ROW(R29),1,1)&lt;&gt;"",OFFSET(Planning!$D$25,COLUMN(R29),0,1,1),0)</f>
        <v>0</v>
      </c>
      <c r="AB32" s="67">
        <f ca="1">IF(OFFSET(Planning!$E$25,COLUMN(S29),ROW(S29),1,1)&lt;&gt;"",OFFSET(Planning!$D$25,COLUMN(S29),0,1,1),0)</f>
        <v>0</v>
      </c>
      <c r="AC32" s="67">
        <f ca="1">IF(OFFSET(Planning!$E$25,COLUMN(T29),ROW(T29),1,1)&lt;&gt;"",OFFSET(Planning!$D$25,COLUMN(T29),0,1,1),0)</f>
        <v>0</v>
      </c>
      <c r="AD32" s="67" t="e">
        <f ca="1">VLOOKUP($B32,'Summary Calculations (hide)'!$D$15:$U$67,17,0)</f>
        <v>#N/A</v>
      </c>
      <c r="AE32" s="67" t="e">
        <f ca="1">VLOOKUP($B32,'Summary Calculations (hide)'!$D$15:$U$67,18,0)</f>
        <v>#N/A</v>
      </c>
    </row>
    <row r="33" spans="1:31" x14ac:dyDescent="0.2">
      <c r="A33" s="87">
        <f t="shared" ca="1" si="3"/>
        <v>44627</v>
      </c>
      <c r="B33" s="67">
        <f t="shared" ca="1" si="0"/>
        <v>10</v>
      </c>
      <c r="C33" s="5" t="e">
        <f ca="1">IF(Planning!$C$8="No",VLOOKUP(B33,'Summary Calculations (hide)'!$D$15:$U$67,17,0),IF('Demand adjustments for Covid'!$F$9="Yes",'Demand background (hide)'!DS33+SUM('Demand background (hide)'!DV33:DW33),VLOOKUP(B33,'Summary Calculations (hide)'!$D$15:$F$67,2,0))*IF(Planning!$C$11="",1,1+Planning!$C$11)*'Summary Calculations (hide)'!$L$4/IF(Summary!$C$8="Patients",'Summary Calculations (hide)'!$I$9,1))</f>
        <v>#N/A</v>
      </c>
      <c r="D33" s="5" t="e">
        <f ca="1">IF(Planning!$C$8="No",VLOOKUP('Planning (hide)'!B33,'Summary Calculations (hide)'!$D$15:$U$67,18,0),IF('Demand adjustments for Covid'!$F$9="Yes",'Demand background (hide)'!DX33,VLOOKUP(B33,'Summary Calculations (hide)'!$D$15:$F$67,3,0))*IF(Planning!$C$11="",1,1+Planning!$C$11)*'Summary Calculations (hide)'!$L$4/IF(Summary!$C$8="Patients",'Summary Calculations (hide)'!$I$9,1))-IF(Planning!$C$8="No",0,C33)</f>
        <v>#N/A</v>
      </c>
      <c r="E33" s="5">
        <f ca="1">VLOOKUP($B33,'Summary Calculations (hide)'!$D$15:$U$67,15,0)</f>
        <v>0</v>
      </c>
      <c r="F33" s="5">
        <f ca="1">VLOOKUP($B33,'Summary Calculations (hide)'!$D$15:$U$67,16,0)</f>
        <v>0</v>
      </c>
      <c r="G33" s="5">
        <f t="shared" ca="1" si="1"/>
        <v>0</v>
      </c>
      <c r="H33" s="5">
        <f t="shared" ca="1" si="2"/>
        <v>0</v>
      </c>
      <c r="I33" s="67">
        <f ca="1">IF(OFFSET(Planning!$E$25,0,ROW(A30),1,1)&lt;&gt;"",-'Planning (hide)'!$G33,0)</f>
        <v>0</v>
      </c>
      <c r="J33" s="67">
        <f ca="1">IF(OFFSET(Planning!$E$25,COLUMN(A30),ROW(A30),1,1)&lt;&gt;"",OFFSET(Planning!$D$25,COLUMN(A30),0,1,1),0)</f>
        <v>0</v>
      </c>
      <c r="K33" s="67">
        <f ca="1">IF(OFFSET(Planning!$E$25,COLUMN(B30),ROW(B30),1,1)&lt;&gt;"",OFFSET(Planning!$D$25,COLUMN(B30),0,1,1),0)</f>
        <v>0</v>
      </c>
      <c r="L33" s="67">
        <f ca="1">IF(OFFSET(Planning!$E$25,COLUMN(C30),ROW(C30),1,1)&lt;&gt;"",OFFSET(Planning!$D$25,COLUMN(C30),0,1,1),0)</f>
        <v>0</v>
      </c>
      <c r="M33" s="67">
        <f ca="1">IF(OFFSET(Planning!$E$25,COLUMN(D30),ROW(D30),1,1)&lt;&gt;"",OFFSET(Planning!$D$25,COLUMN(D30),0,1,1),0)</f>
        <v>0</v>
      </c>
      <c r="N33" s="67">
        <f ca="1">IF(OFFSET(Planning!$E$25,COLUMN(E30),ROW(E30),1,1)&lt;&gt;"",OFFSET(Planning!$D$25,COLUMN(E30),0,1,1),0)</f>
        <v>0</v>
      </c>
      <c r="O33" s="67">
        <f ca="1">IF(OFFSET(Planning!$E$25,COLUMN(F30),ROW(F30),1,1)&lt;&gt;"",OFFSET(Planning!$D$25,COLUMN(F30),0,1,1),0)</f>
        <v>0</v>
      </c>
      <c r="P33" s="67">
        <f ca="1">IF(OFFSET(Planning!$E$25,COLUMN(G30),ROW(G30),1,1)&lt;&gt;"",OFFSET(Planning!$D$25,COLUMN(G30),0,1,1),0)</f>
        <v>0</v>
      </c>
      <c r="Q33" s="67">
        <f ca="1">IF(OFFSET(Planning!$E$25,COLUMN(H30),ROW(H30),1,1)&lt;&gt;"",OFFSET(Planning!$D$25,COLUMN(H30),0,1,1),0)</f>
        <v>0</v>
      </c>
      <c r="R33" s="67">
        <f ca="1">IF(OFFSET(Planning!$E$25,COLUMN(I30),ROW(I30),1,1)&lt;&gt;"",OFFSET(Planning!$D$25,COLUMN(I30),0,1,1),0)</f>
        <v>0</v>
      </c>
      <c r="S33" s="67">
        <f ca="1">IF(OFFSET(Planning!$E$25,COLUMN(J30),ROW(J30),1,1)&lt;&gt;"",OFFSET(Planning!$D$25,COLUMN(J30),0,1,1),0)</f>
        <v>0</v>
      </c>
      <c r="T33" s="67">
        <f ca="1">IF(OFFSET(Planning!$E$25,COLUMN(K30),ROW(K30),1,1)&lt;&gt;"",OFFSET(Planning!$D$25,COLUMN(K30),0,1,1),0)</f>
        <v>0</v>
      </c>
      <c r="U33" s="67">
        <f ca="1">IF(OFFSET(Planning!$E$25,COLUMN(L30),ROW(L30),1,1)&lt;&gt;"",OFFSET(Planning!$D$25,COLUMN(L30),0,1,1),0)</f>
        <v>0</v>
      </c>
      <c r="V33" s="67">
        <f ca="1">IF(OFFSET(Planning!$E$25,COLUMN(M30),ROW(M30),1,1)&lt;&gt;"",OFFSET(Planning!$D$25,COLUMN(M30),0,1,1),0)</f>
        <v>0</v>
      </c>
      <c r="W33" s="67">
        <f ca="1">IF(OFFSET(Planning!$E$25,COLUMN(N30),ROW(N30),1,1)&lt;&gt;"",OFFSET(Planning!$D$25,COLUMN(N30),0,1,1),0)</f>
        <v>0</v>
      </c>
      <c r="X33" s="67">
        <f ca="1">IF(OFFSET(Planning!$E$25,COLUMN(O30),ROW(O30),1,1)&lt;&gt;"",OFFSET(Planning!$D$25,COLUMN(O30),0,1,1),0)</f>
        <v>0</v>
      </c>
      <c r="Y33" s="67">
        <f ca="1">IF(OFFSET(Planning!$E$25,COLUMN(P30),ROW(P30),1,1)&lt;&gt;"",OFFSET(Planning!$D$25,COLUMN(P30),0,1,1),0)</f>
        <v>0</v>
      </c>
      <c r="Z33" s="67">
        <f ca="1">IF(OFFSET(Planning!$E$25,COLUMN(Q30),ROW(Q30),1,1)&lt;&gt;"",OFFSET(Planning!$D$25,COLUMN(Q30),0,1,1),0)</f>
        <v>0</v>
      </c>
      <c r="AA33" s="67">
        <f ca="1">IF(OFFSET(Planning!$E$25,COLUMN(R30),ROW(R30),1,1)&lt;&gt;"",OFFSET(Planning!$D$25,COLUMN(R30),0,1,1),0)</f>
        <v>0</v>
      </c>
      <c r="AB33" s="67">
        <f ca="1">IF(OFFSET(Planning!$E$25,COLUMN(S30),ROW(S30),1,1)&lt;&gt;"",OFFSET(Planning!$D$25,COLUMN(S30),0,1,1),0)</f>
        <v>0</v>
      </c>
      <c r="AC33" s="67">
        <f ca="1">IF(OFFSET(Planning!$E$25,COLUMN(T30),ROW(T30),1,1)&lt;&gt;"",OFFSET(Planning!$D$25,COLUMN(T30),0,1,1),0)</f>
        <v>0</v>
      </c>
      <c r="AD33" s="67" t="e">
        <f ca="1">VLOOKUP($B33,'Summary Calculations (hide)'!$D$15:$U$67,17,0)</f>
        <v>#N/A</v>
      </c>
      <c r="AE33" s="67" t="e">
        <f ca="1">VLOOKUP($B33,'Summary Calculations (hide)'!$D$15:$U$67,18,0)</f>
        <v>#N/A</v>
      </c>
    </row>
    <row r="34" spans="1:31" x14ac:dyDescent="0.2">
      <c r="A34" s="87">
        <f t="shared" ca="1" si="3"/>
        <v>44634</v>
      </c>
      <c r="B34" s="67">
        <f t="shared" ca="1" si="0"/>
        <v>11</v>
      </c>
      <c r="C34" s="5" t="e">
        <f ca="1">IF(Planning!$C$8="No",VLOOKUP(B34,'Summary Calculations (hide)'!$D$15:$U$67,17,0),IF('Demand adjustments for Covid'!$F$9="Yes",'Demand background (hide)'!DS34+SUM('Demand background (hide)'!DV34:DW34),VLOOKUP(B34,'Summary Calculations (hide)'!$D$15:$F$67,2,0))*IF(Planning!$C$11="",1,1+Planning!$C$11)*'Summary Calculations (hide)'!$L$4/IF(Summary!$C$8="Patients",'Summary Calculations (hide)'!$I$9,1))</f>
        <v>#N/A</v>
      </c>
      <c r="D34" s="5" t="e">
        <f ca="1">IF(Planning!$C$8="No",VLOOKUP('Planning (hide)'!B34,'Summary Calculations (hide)'!$D$15:$U$67,18,0),IF('Demand adjustments for Covid'!$F$9="Yes",'Demand background (hide)'!DX34,VLOOKUP(B34,'Summary Calculations (hide)'!$D$15:$F$67,3,0))*IF(Planning!$C$11="",1,1+Planning!$C$11)*'Summary Calculations (hide)'!$L$4/IF(Summary!$C$8="Patients",'Summary Calculations (hide)'!$I$9,1))-IF(Planning!$C$8="No",0,C34)</f>
        <v>#N/A</v>
      </c>
      <c r="E34" s="5">
        <f ca="1">VLOOKUP($B34,'Summary Calculations (hide)'!$D$15:$U$67,15,0)</f>
        <v>0</v>
      </c>
      <c r="F34" s="5">
        <f ca="1">VLOOKUP($B34,'Summary Calculations (hide)'!$D$15:$U$67,16,0)</f>
        <v>0</v>
      </c>
      <c r="G34" s="5">
        <f t="shared" ca="1" si="1"/>
        <v>0</v>
      </c>
      <c r="H34" s="5">
        <f t="shared" ca="1" si="2"/>
        <v>0</v>
      </c>
      <c r="I34" s="67">
        <f ca="1">IF(OFFSET(Planning!$E$25,0,ROW(A31),1,1)&lt;&gt;"",-'Planning (hide)'!$G34,0)</f>
        <v>0</v>
      </c>
      <c r="J34" s="67">
        <f ca="1">IF(OFFSET(Planning!$E$25,COLUMN(A31),ROW(A31),1,1)&lt;&gt;"",OFFSET(Planning!$D$25,COLUMN(A31),0,1,1),0)</f>
        <v>0</v>
      </c>
      <c r="K34" s="67">
        <f ca="1">IF(OFFSET(Planning!$E$25,COLUMN(B31),ROW(B31),1,1)&lt;&gt;"",OFFSET(Planning!$D$25,COLUMN(B31),0,1,1),0)</f>
        <v>0</v>
      </c>
      <c r="L34" s="67">
        <f ca="1">IF(OFFSET(Planning!$E$25,COLUMN(C31),ROW(C31),1,1)&lt;&gt;"",OFFSET(Planning!$D$25,COLUMN(C31),0,1,1),0)</f>
        <v>0</v>
      </c>
      <c r="M34" s="67">
        <f ca="1">IF(OFFSET(Planning!$E$25,COLUMN(D31),ROW(D31),1,1)&lt;&gt;"",OFFSET(Planning!$D$25,COLUMN(D31),0,1,1),0)</f>
        <v>0</v>
      </c>
      <c r="N34" s="67">
        <f ca="1">IF(OFFSET(Planning!$E$25,COLUMN(E31),ROW(E31),1,1)&lt;&gt;"",OFFSET(Planning!$D$25,COLUMN(E31),0,1,1),0)</f>
        <v>0</v>
      </c>
      <c r="O34" s="67">
        <f ca="1">IF(OFFSET(Planning!$E$25,COLUMN(F31),ROW(F31),1,1)&lt;&gt;"",OFFSET(Planning!$D$25,COLUMN(F31),0,1,1),0)</f>
        <v>0</v>
      </c>
      <c r="P34" s="67">
        <f ca="1">IF(OFFSET(Planning!$E$25,COLUMN(G31),ROW(G31),1,1)&lt;&gt;"",OFFSET(Planning!$D$25,COLUMN(G31),0,1,1),0)</f>
        <v>0</v>
      </c>
      <c r="Q34" s="67">
        <f ca="1">IF(OFFSET(Planning!$E$25,COLUMN(H31),ROW(H31),1,1)&lt;&gt;"",OFFSET(Planning!$D$25,COLUMN(H31),0,1,1),0)</f>
        <v>0</v>
      </c>
      <c r="R34" s="67">
        <f ca="1">IF(OFFSET(Planning!$E$25,COLUMN(I31),ROW(I31),1,1)&lt;&gt;"",OFFSET(Planning!$D$25,COLUMN(I31),0,1,1),0)</f>
        <v>0</v>
      </c>
      <c r="S34" s="67">
        <f ca="1">IF(OFFSET(Planning!$E$25,COLUMN(J31),ROW(J31),1,1)&lt;&gt;"",OFFSET(Planning!$D$25,COLUMN(J31),0,1,1),0)</f>
        <v>0</v>
      </c>
      <c r="T34" s="67">
        <f ca="1">IF(OFFSET(Planning!$E$25,COLUMN(K31),ROW(K31),1,1)&lt;&gt;"",OFFSET(Planning!$D$25,COLUMN(K31),0,1,1),0)</f>
        <v>0</v>
      </c>
      <c r="U34" s="67">
        <f ca="1">IF(OFFSET(Planning!$E$25,COLUMN(L31),ROW(L31),1,1)&lt;&gt;"",OFFSET(Planning!$D$25,COLUMN(L31),0,1,1),0)</f>
        <v>0</v>
      </c>
      <c r="V34" s="67">
        <f ca="1">IF(OFFSET(Planning!$E$25,COLUMN(M31),ROW(M31),1,1)&lt;&gt;"",OFFSET(Planning!$D$25,COLUMN(M31),0,1,1),0)</f>
        <v>0</v>
      </c>
      <c r="W34" s="67">
        <f ca="1">IF(OFFSET(Planning!$E$25,COLUMN(N31),ROW(N31),1,1)&lt;&gt;"",OFFSET(Planning!$D$25,COLUMN(N31),0,1,1),0)</f>
        <v>0</v>
      </c>
      <c r="X34" s="67">
        <f ca="1">IF(OFFSET(Planning!$E$25,COLUMN(O31),ROW(O31),1,1)&lt;&gt;"",OFFSET(Planning!$D$25,COLUMN(O31),0,1,1),0)</f>
        <v>0</v>
      </c>
      <c r="Y34" s="67">
        <f ca="1">IF(OFFSET(Planning!$E$25,COLUMN(P31),ROW(P31),1,1)&lt;&gt;"",OFFSET(Planning!$D$25,COLUMN(P31),0,1,1),0)</f>
        <v>0</v>
      </c>
      <c r="Z34" s="67">
        <f ca="1">IF(OFFSET(Planning!$E$25,COLUMN(Q31),ROW(Q31),1,1)&lt;&gt;"",OFFSET(Planning!$D$25,COLUMN(Q31),0,1,1),0)</f>
        <v>0</v>
      </c>
      <c r="AA34" s="67">
        <f ca="1">IF(OFFSET(Planning!$E$25,COLUMN(R31),ROW(R31),1,1)&lt;&gt;"",OFFSET(Planning!$D$25,COLUMN(R31),0,1,1),0)</f>
        <v>0</v>
      </c>
      <c r="AB34" s="67">
        <f ca="1">IF(OFFSET(Planning!$E$25,COLUMN(S31),ROW(S31),1,1)&lt;&gt;"",OFFSET(Planning!$D$25,COLUMN(S31),0,1,1),0)</f>
        <v>0</v>
      </c>
      <c r="AC34" s="67">
        <f ca="1">IF(OFFSET(Planning!$E$25,COLUMN(T31),ROW(T31),1,1)&lt;&gt;"",OFFSET(Planning!$D$25,COLUMN(T31),0,1,1),0)</f>
        <v>0</v>
      </c>
      <c r="AD34" s="67" t="e">
        <f ca="1">VLOOKUP($B34,'Summary Calculations (hide)'!$D$15:$U$67,17,0)</f>
        <v>#N/A</v>
      </c>
      <c r="AE34" s="67" t="e">
        <f ca="1">VLOOKUP($B34,'Summary Calculations (hide)'!$D$15:$U$67,18,0)</f>
        <v>#N/A</v>
      </c>
    </row>
    <row r="35" spans="1:31" x14ac:dyDescent="0.2">
      <c r="A35" s="87">
        <f t="shared" ca="1" si="3"/>
        <v>44641</v>
      </c>
      <c r="B35" s="67">
        <f t="shared" ca="1" si="0"/>
        <v>12</v>
      </c>
      <c r="C35" s="5" t="e">
        <f ca="1">IF(Planning!$C$8="No",VLOOKUP(B35,'Summary Calculations (hide)'!$D$15:$U$67,17,0),IF('Demand adjustments for Covid'!$F$9="Yes",'Demand background (hide)'!DS35+SUM('Demand background (hide)'!DV35:DW35),VLOOKUP(B35,'Summary Calculations (hide)'!$D$15:$F$67,2,0))*IF(Planning!$C$11="",1,1+Planning!$C$11)*'Summary Calculations (hide)'!$L$4/IF(Summary!$C$8="Patients",'Summary Calculations (hide)'!$I$9,1))</f>
        <v>#N/A</v>
      </c>
      <c r="D35" s="5" t="e">
        <f ca="1">IF(Planning!$C$8="No",VLOOKUP('Planning (hide)'!B35,'Summary Calculations (hide)'!$D$15:$U$67,18,0),IF('Demand adjustments for Covid'!$F$9="Yes",'Demand background (hide)'!DX35,VLOOKUP(B35,'Summary Calculations (hide)'!$D$15:$F$67,3,0))*IF(Planning!$C$11="",1,1+Planning!$C$11)*'Summary Calculations (hide)'!$L$4/IF(Summary!$C$8="Patients",'Summary Calculations (hide)'!$I$9,1))-IF(Planning!$C$8="No",0,C35)</f>
        <v>#N/A</v>
      </c>
      <c r="E35" s="5">
        <f ca="1">VLOOKUP($B35,'Summary Calculations (hide)'!$D$15:$U$67,15,0)</f>
        <v>0</v>
      </c>
      <c r="F35" s="5">
        <f ca="1">VLOOKUP($B35,'Summary Calculations (hide)'!$D$15:$U$67,16,0)</f>
        <v>0</v>
      </c>
      <c r="G35" s="5">
        <f t="shared" ca="1" si="1"/>
        <v>0</v>
      </c>
      <c r="H35" s="5">
        <f t="shared" ca="1" si="2"/>
        <v>0</v>
      </c>
      <c r="I35" s="67">
        <f ca="1">IF(OFFSET(Planning!$E$25,0,ROW(A32),1,1)&lt;&gt;"",-'Planning (hide)'!$G35,0)</f>
        <v>0</v>
      </c>
      <c r="J35" s="67">
        <f ca="1">IF(OFFSET(Planning!$E$25,COLUMN(A32),ROW(A32),1,1)&lt;&gt;"",OFFSET(Planning!$D$25,COLUMN(A32),0,1,1),0)</f>
        <v>0</v>
      </c>
      <c r="K35" s="67">
        <f ca="1">IF(OFFSET(Planning!$E$25,COLUMN(B32),ROW(B32),1,1)&lt;&gt;"",OFFSET(Planning!$D$25,COLUMN(B32),0,1,1),0)</f>
        <v>0</v>
      </c>
      <c r="L35" s="67">
        <f ca="1">IF(OFFSET(Planning!$E$25,COLUMN(C32),ROW(C32),1,1)&lt;&gt;"",OFFSET(Planning!$D$25,COLUMN(C32),0,1,1),0)</f>
        <v>0</v>
      </c>
      <c r="M35" s="67">
        <f ca="1">IF(OFFSET(Planning!$E$25,COLUMN(D32),ROW(D32),1,1)&lt;&gt;"",OFFSET(Planning!$D$25,COLUMN(D32),0,1,1),0)</f>
        <v>0</v>
      </c>
      <c r="N35" s="67">
        <f ca="1">IF(OFFSET(Planning!$E$25,COLUMN(E32),ROW(E32),1,1)&lt;&gt;"",OFFSET(Planning!$D$25,COLUMN(E32),0,1,1),0)</f>
        <v>0</v>
      </c>
      <c r="O35" s="67">
        <f ca="1">IF(OFFSET(Planning!$E$25,COLUMN(F32),ROW(F32),1,1)&lt;&gt;"",OFFSET(Planning!$D$25,COLUMN(F32),0,1,1),0)</f>
        <v>0</v>
      </c>
      <c r="P35" s="67">
        <f ca="1">IF(OFFSET(Planning!$E$25,COLUMN(G32),ROW(G32),1,1)&lt;&gt;"",OFFSET(Planning!$D$25,COLUMN(G32),0,1,1),0)</f>
        <v>0</v>
      </c>
      <c r="Q35" s="67">
        <f ca="1">IF(OFFSET(Planning!$E$25,COLUMN(H32),ROW(H32),1,1)&lt;&gt;"",OFFSET(Planning!$D$25,COLUMN(H32),0,1,1),0)</f>
        <v>0</v>
      </c>
      <c r="R35" s="67">
        <f ca="1">IF(OFFSET(Planning!$E$25,COLUMN(I32),ROW(I32),1,1)&lt;&gt;"",OFFSET(Planning!$D$25,COLUMN(I32),0,1,1),0)</f>
        <v>0</v>
      </c>
      <c r="S35" s="67">
        <f ca="1">IF(OFFSET(Planning!$E$25,COLUMN(J32),ROW(J32),1,1)&lt;&gt;"",OFFSET(Planning!$D$25,COLUMN(J32),0,1,1),0)</f>
        <v>0</v>
      </c>
      <c r="T35" s="67">
        <f ca="1">IF(OFFSET(Planning!$E$25,COLUMN(K32),ROW(K32),1,1)&lt;&gt;"",OFFSET(Planning!$D$25,COLUMN(K32),0,1,1),0)</f>
        <v>0</v>
      </c>
      <c r="U35" s="67">
        <f ca="1">IF(OFFSET(Planning!$E$25,COLUMN(L32),ROW(L32),1,1)&lt;&gt;"",OFFSET(Planning!$D$25,COLUMN(L32),0,1,1),0)</f>
        <v>0</v>
      </c>
      <c r="V35" s="67">
        <f ca="1">IF(OFFSET(Planning!$E$25,COLUMN(M32),ROW(M32),1,1)&lt;&gt;"",OFFSET(Planning!$D$25,COLUMN(M32),0,1,1),0)</f>
        <v>0</v>
      </c>
      <c r="W35" s="67">
        <f ca="1">IF(OFFSET(Planning!$E$25,COLUMN(N32),ROW(N32),1,1)&lt;&gt;"",OFFSET(Planning!$D$25,COLUMN(N32),0,1,1),0)</f>
        <v>0</v>
      </c>
      <c r="X35" s="67">
        <f ca="1">IF(OFFSET(Planning!$E$25,COLUMN(O32),ROW(O32),1,1)&lt;&gt;"",OFFSET(Planning!$D$25,COLUMN(O32),0,1,1),0)</f>
        <v>0</v>
      </c>
      <c r="Y35" s="67">
        <f ca="1">IF(OFFSET(Planning!$E$25,COLUMN(P32),ROW(P32),1,1)&lt;&gt;"",OFFSET(Planning!$D$25,COLUMN(P32),0,1,1),0)</f>
        <v>0</v>
      </c>
      <c r="Z35" s="67">
        <f ca="1">IF(OFFSET(Planning!$E$25,COLUMN(Q32),ROW(Q32),1,1)&lt;&gt;"",OFFSET(Planning!$D$25,COLUMN(Q32),0,1,1),0)</f>
        <v>0</v>
      </c>
      <c r="AA35" s="67">
        <f ca="1">IF(OFFSET(Planning!$E$25,COLUMN(R32),ROW(R32),1,1)&lt;&gt;"",OFFSET(Planning!$D$25,COLUMN(R32),0,1,1),0)</f>
        <v>0</v>
      </c>
      <c r="AB35" s="67">
        <f ca="1">IF(OFFSET(Planning!$E$25,COLUMN(S32),ROW(S32),1,1)&lt;&gt;"",OFFSET(Planning!$D$25,COLUMN(S32),0,1,1),0)</f>
        <v>0</v>
      </c>
      <c r="AC35" s="67">
        <f ca="1">IF(OFFSET(Planning!$E$25,COLUMN(T32),ROW(T32),1,1)&lt;&gt;"",OFFSET(Planning!$D$25,COLUMN(T32),0,1,1),0)</f>
        <v>0</v>
      </c>
      <c r="AD35" s="67" t="e">
        <f ca="1">VLOOKUP($B35,'Summary Calculations (hide)'!$D$15:$U$67,17,0)</f>
        <v>#N/A</v>
      </c>
      <c r="AE35" s="67" t="e">
        <f ca="1">VLOOKUP($B35,'Summary Calculations (hide)'!$D$15:$U$67,18,0)</f>
        <v>#N/A</v>
      </c>
    </row>
    <row r="36" spans="1:31" x14ac:dyDescent="0.2">
      <c r="A36" s="87">
        <f t="shared" ca="1" si="3"/>
        <v>44648</v>
      </c>
      <c r="B36" s="67">
        <f t="shared" ca="1" si="0"/>
        <v>13</v>
      </c>
      <c r="C36" s="5" t="e">
        <f ca="1">IF(Planning!$C$8="No",VLOOKUP(B36,'Summary Calculations (hide)'!$D$15:$U$67,17,0),IF('Demand adjustments for Covid'!$F$9="Yes",'Demand background (hide)'!DS36+SUM('Demand background (hide)'!DV36:DW36),VLOOKUP(B36,'Summary Calculations (hide)'!$D$15:$F$67,2,0))*IF(Planning!$C$11="",1,1+Planning!$C$11)*'Summary Calculations (hide)'!$L$4/IF(Summary!$C$8="Patients",'Summary Calculations (hide)'!$I$9,1))</f>
        <v>#N/A</v>
      </c>
      <c r="D36" s="5" t="e">
        <f ca="1">IF(Planning!$C$8="No",VLOOKUP('Planning (hide)'!B36,'Summary Calculations (hide)'!$D$15:$U$67,18,0),IF('Demand adjustments for Covid'!$F$9="Yes",'Demand background (hide)'!DX36,VLOOKUP(B36,'Summary Calculations (hide)'!$D$15:$F$67,3,0))*IF(Planning!$C$11="",1,1+Planning!$C$11)*'Summary Calculations (hide)'!$L$4/IF(Summary!$C$8="Patients",'Summary Calculations (hide)'!$I$9,1))-IF(Planning!$C$8="No",0,C36)</f>
        <v>#N/A</v>
      </c>
      <c r="E36" s="5">
        <f ca="1">VLOOKUP($B36,'Summary Calculations (hide)'!$D$15:$U$67,15,0)</f>
        <v>0</v>
      </c>
      <c r="F36" s="5">
        <f ca="1">VLOOKUP($B36,'Summary Calculations (hide)'!$D$15:$U$67,16,0)</f>
        <v>0</v>
      </c>
      <c r="G36" s="5">
        <f t="shared" ca="1" si="1"/>
        <v>0</v>
      </c>
      <c r="H36" s="5">
        <f t="shared" ca="1" si="2"/>
        <v>0</v>
      </c>
      <c r="I36" s="67">
        <f ca="1">IF(OFFSET(Planning!$E$25,0,ROW(A33),1,1)&lt;&gt;"",-'Planning (hide)'!$G36,0)</f>
        <v>0</v>
      </c>
      <c r="J36" s="67">
        <f ca="1">IF(OFFSET(Planning!$E$25,COLUMN(A33),ROW(A33),1,1)&lt;&gt;"",OFFSET(Planning!$D$25,COLUMN(A33),0,1,1),0)</f>
        <v>0</v>
      </c>
      <c r="K36" s="67">
        <f ca="1">IF(OFFSET(Planning!$E$25,COLUMN(B33),ROW(B33),1,1)&lt;&gt;"",OFFSET(Planning!$D$25,COLUMN(B33),0,1,1),0)</f>
        <v>0</v>
      </c>
      <c r="L36" s="67">
        <f ca="1">IF(OFFSET(Planning!$E$25,COLUMN(C33),ROW(C33),1,1)&lt;&gt;"",OFFSET(Planning!$D$25,COLUMN(C33),0,1,1),0)</f>
        <v>0</v>
      </c>
      <c r="M36" s="67">
        <f ca="1">IF(OFFSET(Planning!$E$25,COLUMN(D33),ROW(D33),1,1)&lt;&gt;"",OFFSET(Planning!$D$25,COLUMN(D33),0,1,1),0)</f>
        <v>0</v>
      </c>
      <c r="N36" s="67">
        <f ca="1">IF(OFFSET(Planning!$E$25,COLUMN(E33),ROW(E33),1,1)&lt;&gt;"",OFFSET(Planning!$D$25,COLUMN(E33),0,1,1),0)</f>
        <v>0</v>
      </c>
      <c r="O36" s="67">
        <f ca="1">IF(OFFSET(Planning!$E$25,COLUMN(F33),ROW(F33),1,1)&lt;&gt;"",OFFSET(Planning!$D$25,COLUMN(F33),0,1,1),0)</f>
        <v>0</v>
      </c>
      <c r="P36" s="67">
        <f ca="1">IF(OFFSET(Planning!$E$25,COLUMN(G33),ROW(G33),1,1)&lt;&gt;"",OFFSET(Planning!$D$25,COLUMN(G33),0,1,1),0)</f>
        <v>0</v>
      </c>
      <c r="Q36" s="67">
        <f ca="1">IF(OFFSET(Planning!$E$25,COLUMN(H33),ROW(H33),1,1)&lt;&gt;"",OFFSET(Planning!$D$25,COLUMN(H33),0,1,1),0)</f>
        <v>0</v>
      </c>
      <c r="R36" s="67">
        <f ca="1">IF(OFFSET(Planning!$E$25,COLUMN(I33),ROW(I33),1,1)&lt;&gt;"",OFFSET(Planning!$D$25,COLUMN(I33),0,1,1),0)</f>
        <v>0</v>
      </c>
      <c r="S36" s="67">
        <f ca="1">IF(OFFSET(Planning!$E$25,COLUMN(J33),ROW(J33),1,1)&lt;&gt;"",OFFSET(Planning!$D$25,COLUMN(J33),0,1,1),0)</f>
        <v>0</v>
      </c>
      <c r="T36" s="67">
        <f ca="1">IF(OFFSET(Planning!$E$25,COLUMN(K33),ROW(K33),1,1)&lt;&gt;"",OFFSET(Planning!$D$25,COLUMN(K33),0,1,1),0)</f>
        <v>0</v>
      </c>
      <c r="U36" s="67">
        <f ca="1">IF(OFFSET(Planning!$E$25,COLUMN(L33),ROW(L33),1,1)&lt;&gt;"",OFFSET(Planning!$D$25,COLUMN(L33),0,1,1),0)</f>
        <v>0</v>
      </c>
      <c r="V36" s="67">
        <f ca="1">IF(OFFSET(Planning!$E$25,COLUMN(M33),ROW(M33),1,1)&lt;&gt;"",OFFSET(Planning!$D$25,COLUMN(M33),0,1,1),0)</f>
        <v>0</v>
      </c>
      <c r="W36" s="67">
        <f ca="1">IF(OFFSET(Planning!$E$25,COLUMN(N33),ROW(N33),1,1)&lt;&gt;"",OFFSET(Planning!$D$25,COLUMN(N33),0,1,1),0)</f>
        <v>0</v>
      </c>
      <c r="X36" s="67">
        <f ca="1">IF(OFFSET(Planning!$E$25,COLUMN(O33),ROW(O33),1,1)&lt;&gt;"",OFFSET(Planning!$D$25,COLUMN(O33),0,1,1),0)</f>
        <v>0</v>
      </c>
      <c r="Y36" s="67">
        <f ca="1">IF(OFFSET(Planning!$E$25,COLUMN(P33),ROW(P33),1,1)&lt;&gt;"",OFFSET(Planning!$D$25,COLUMN(P33),0,1,1),0)</f>
        <v>0</v>
      </c>
      <c r="Z36" s="67">
        <f ca="1">IF(OFFSET(Planning!$E$25,COLUMN(Q33),ROW(Q33),1,1)&lt;&gt;"",OFFSET(Planning!$D$25,COLUMN(Q33),0,1,1),0)</f>
        <v>0</v>
      </c>
      <c r="AA36" s="67">
        <f ca="1">IF(OFFSET(Planning!$E$25,COLUMN(R33),ROW(R33),1,1)&lt;&gt;"",OFFSET(Planning!$D$25,COLUMN(R33),0,1,1),0)</f>
        <v>0</v>
      </c>
      <c r="AB36" s="67">
        <f ca="1">IF(OFFSET(Planning!$E$25,COLUMN(S33),ROW(S33),1,1)&lt;&gt;"",OFFSET(Planning!$D$25,COLUMN(S33),0,1,1),0)</f>
        <v>0</v>
      </c>
      <c r="AC36" s="67">
        <f ca="1">IF(OFFSET(Planning!$E$25,COLUMN(T33),ROW(T33),1,1)&lt;&gt;"",OFFSET(Planning!$D$25,COLUMN(T33),0,1,1),0)</f>
        <v>0</v>
      </c>
      <c r="AD36" s="67" t="e">
        <f ca="1">VLOOKUP($B36,'Summary Calculations (hide)'!$D$15:$U$67,17,0)</f>
        <v>#N/A</v>
      </c>
      <c r="AE36" s="67" t="e">
        <f ca="1">VLOOKUP($B36,'Summary Calculations (hide)'!$D$15:$U$67,18,0)</f>
        <v>#N/A</v>
      </c>
    </row>
    <row r="37" spans="1:31" x14ac:dyDescent="0.2">
      <c r="A37" s="87">
        <f t="shared" ca="1" si="3"/>
        <v>44655</v>
      </c>
      <c r="B37" s="67">
        <f t="shared" ca="1" si="0"/>
        <v>14</v>
      </c>
      <c r="C37" s="5" t="e">
        <f ca="1">IF(Planning!$C$8="No",VLOOKUP(B37,'Summary Calculations (hide)'!$D$15:$U$67,17,0),IF('Demand adjustments for Covid'!$F$9="Yes",'Demand background (hide)'!DS37+SUM('Demand background (hide)'!DV37:DW37),VLOOKUP(B37,'Summary Calculations (hide)'!$D$15:$F$67,2,0))*IF(Planning!$C$11="",1,1+Planning!$C$11)*'Summary Calculations (hide)'!$L$4/IF(Summary!$C$8="Patients",'Summary Calculations (hide)'!$I$9,1))</f>
        <v>#N/A</v>
      </c>
      <c r="D37" s="5" t="e">
        <f ca="1">IF(Planning!$C$8="No",VLOOKUP('Planning (hide)'!B37,'Summary Calculations (hide)'!$D$15:$U$67,18,0),IF('Demand adjustments for Covid'!$F$9="Yes",'Demand background (hide)'!DX37,VLOOKUP(B37,'Summary Calculations (hide)'!$D$15:$F$67,3,0))*IF(Planning!$C$11="",1,1+Planning!$C$11)*'Summary Calculations (hide)'!$L$4/IF(Summary!$C$8="Patients",'Summary Calculations (hide)'!$I$9,1))-IF(Planning!$C$8="No",0,C37)</f>
        <v>#N/A</v>
      </c>
      <c r="E37" s="5">
        <f ca="1">VLOOKUP($B37,'Summary Calculations (hide)'!$D$15:$U$67,15,0)</f>
        <v>0</v>
      </c>
      <c r="F37" s="5">
        <f ca="1">VLOOKUP($B37,'Summary Calculations (hide)'!$D$15:$U$67,16,0)</f>
        <v>0</v>
      </c>
      <c r="G37" s="5">
        <f t="shared" ca="1" si="1"/>
        <v>0</v>
      </c>
      <c r="H37" s="5">
        <f t="shared" ca="1" si="2"/>
        <v>0</v>
      </c>
      <c r="I37" s="67">
        <f ca="1">IF(OFFSET(Planning!$E$25,0,ROW(A34),1,1)&lt;&gt;"",-'Planning (hide)'!$G37,0)</f>
        <v>0</v>
      </c>
      <c r="J37" s="67">
        <f ca="1">IF(OFFSET(Planning!$E$25,COLUMN(A34),ROW(A34),1,1)&lt;&gt;"",OFFSET(Planning!$D$25,COLUMN(A34),0,1,1),0)</f>
        <v>0</v>
      </c>
      <c r="K37" s="67">
        <f ca="1">IF(OFFSET(Planning!$E$25,COLUMN(B34),ROW(B34),1,1)&lt;&gt;"",OFFSET(Planning!$D$25,COLUMN(B34),0,1,1),0)</f>
        <v>0</v>
      </c>
      <c r="L37" s="67">
        <f ca="1">IF(OFFSET(Planning!$E$25,COLUMN(C34),ROW(C34),1,1)&lt;&gt;"",OFFSET(Planning!$D$25,COLUMN(C34),0,1,1),0)</f>
        <v>0</v>
      </c>
      <c r="M37" s="67">
        <f ca="1">IF(OFFSET(Planning!$E$25,COLUMN(D34),ROW(D34),1,1)&lt;&gt;"",OFFSET(Planning!$D$25,COLUMN(D34),0,1,1),0)</f>
        <v>0</v>
      </c>
      <c r="N37" s="67">
        <f ca="1">IF(OFFSET(Planning!$E$25,COLUMN(E34),ROW(E34),1,1)&lt;&gt;"",OFFSET(Planning!$D$25,COLUMN(E34),0,1,1),0)</f>
        <v>0</v>
      </c>
      <c r="O37" s="67">
        <f ca="1">IF(OFFSET(Planning!$E$25,COLUMN(F34),ROW(F34),1,1)&lt;&gt;"",OFFSET(Planning!$D$25,COLUMN(F34),0,1,1),0)</f>
        <v>0</v>
      </c>
      <c r="P37" s="67">
        <f ca="1">IF(OFFSET(Planning!$E$25,COLUMN(G34),ROW(G34),1,1)&lt;&gt;"",OFFSET(Planning!$D$25,COLUMN(G34),0,1,1),0)</f>
        <v>0</v>
      </c>
      <c r="Q37" s="67">
        <f ca="1">IF(OFFSET(Planning!$E$25,COLUMN(H34),ROW(H34),1,1)&lt;&gt;"",OFFSET(Planning!$D$25,COLUMN(H34),0,1,1),0)</f>
        <v>0</v>
      </c>
      <c r="R37" s="67">
        <f ca="1">IF(OFFSET(Planning!$E$25,COLUMN(I34),ROW(I34),1,1)&lt;&gt;"",OFFSET(Planning!$D$25,COLUMN(I34),0,1,1),0)</f>
        <v>0</v>
      </c>
      <c r="S37" s="67">
        <f ca="1">IF(OFFSET(Planning!$E$25,COLUMN(J34),ROW(J34),1,1)&lt;&gt;"",OFFSET(Planning!$D$25,COLUMN(J34),0,1,1),0)</f>
        <v>0</v>
      </c>
      <c r="T37" s="67">
        <f ca="1">IF(OFFSET(Planning!$E$25,COLUMN(K34),ROW(K34),1,1)&lt;&gt;"",OFFSET(Planning!$D$25,COLUMN(K34),0,1,1),0)</f>
        <v>0</v>
      </c>
      <c r="U37" s="67">
        <f ca="1">IF(OFFSET(Planning!$E$25,COLUMN(L34),ROW(L34),1,1)&lt;&gt;"",OFFSET(Planning!$D$25,COLUMN(L34),0,1,1),0)</f>
        <v>0</v>
      </c>
      <c r="V37" s="67">
        <f ca="1">IF(OFFSET(Planning!$E$25,COLUMN(M34),ROW(M34),1,1)&lt;&gt;"",OFFSET(Planning!$D$25,COLUMN(M34),0,1,1),0)</f>
        <v>0</v>
      </c>
      <c r="W37" s="67">
        <f ca="1">IF(OFFSET(Planning!$E$25,COLUMN(N34),ROW(N34),1,1)&lt;&gt;"",OFFSET(Planning!$D$25,COLUMN(N34),0,1,1),0)</f>
        <v>0</v>
      </c>
      <c r="X37" s="67">
        <f ca="1">IF(OFFSET(Planning!$E$25,COLUMN(O34),ROW(O34),1,1)&lt;&gt;"",OFFSET(Planning!$D$25,COLUMN(O34),0,1,1),0)</f>
        <v>0</v>
      </c>
      <c r="Y37" s="67">
        <f ca="1">IF(OFFSET(Planning!$E$25,COLUMN(P34),ROW(P34),1,1)&lt;&gt;"",OFFSET(Planning!$D$25,COLUMN(P34),0,1,1),0)</f>
        <v>0</v>
      </c>
      <c r="Z37" s="67">
        <f ca="1">IF(OFFSET(Planning!$E$25,COLUMN(Q34),ROW(Q34),1,1)&lt;&gt;"",OFFSET(Planning!$D$25,COLUMN(Q34),0,1,1),0)</f>
        <v>0</v>
      </c>
      <c r="AA37" s="67">
        <f ca="1">IF(OFFSET(Planning!$E$25,COLUMN(R34),ROW(R34),1,1)&lt;&gt;"",OFFSET(Planning!$D$25,COLUMN(R34),0,1,1),0)</f>
        <v>0</v>
      </c>
      <c r="AB37" s="67">
        <f ca="1">IF(OFFSET(Planning!$E$25,COLUMN(S34),ROW(S34),1,1)&lt;&gt;"",OFFSET(Planning!$D$25,COLUMN(S34),0,1,1),0)</f>
        <v>0</v>
      </c>
      <c r="AC37" s="67">
        <f ca="1">IF(OFFSET(Planning!$E$25,COLUMN(T34),ROW(T34),1,1)&lt;&gt;"",OFFSET(Planning!$D$25,COLUMN(T34),0,1,1),0)</f>
        <v>0</v>
      </c>
      <c r="AD37" s="67" t="e">
        <f ca="1">VLOOKUP($B37,'Summary Calculations (hide)'!$D$15:$U$67,17,0)</f>
        <v>#N/A</v>
      </c>
      <c r="AE37" s="67" t="e">
        <f ca="1">VLOOKUP($B37,'Summary Calculations (hide)'!$D$15:$U$67,18,0)</f>
        <v>#N/A</v>
      </c>
    </row>
    <row r="38" spans="1:31" x14ac:dyDescent="0.2">
      <c r="A38" s="87">
        <f t="shared" ca="1" si="3"/>
        <v>44662</v>
      </c>
      <c r="B38" s="67">
        <f t="shared" ca="1" si="0"/>
        <v>15</v>
      </c>
      <c r="C38" s="5" t="e">
        <f ca="1">IF(Planning!$C$8="No",VLOOKUP(B38,'Summary Calculations (hide)'!$D$15:$U$67,17,0),IF('Demand adjustments for Covid'!$F$9="Yes",'Demand background (hide)'!DS38+SUM('Demand background (hide)'!DV38:DW38),VLOOKUP(B38,'Summary Calculations (hide)'!$D$15:$F$67,2,0))*IF(Planning!$C$11="",1,1+Planning!$C$11)*'Summary Calculations (hide)'!$L$4/IF(Summary!$C$8="Patients",'Summary Calculations (hide)'!$I$9,1))</f>
        <v>#N/A</v>
      </c>
      <c r="D38" s="5" t="e">
        <f ca="1">IF(Planning!$C$8="No",VLOOKUP('Planning (hide)'!B38,'Summary Calculations (hide)'!$D$15:$U$67,18,0),IF('Demand adjustments for Covid'!$F$9="Yes",'Demand background (hide)'!DX38,VLOOKUP(B38,'Summary Calculations (hide)'!$D$15:$F$67,3,0))*IF(Planning!$C$11="",1,1+Planning!$C$11)*'Summary Calculations (hide)'!$L$4/IF(Summary!$C$8="Patients",'Summary Calculations (hide)'!$I$9,1))-IF(Planning!$C$8="No",0,C38)</f>
        <v>#N/A</v>
      </c>
      <c r="E38" s="5">
        <f ca="1">VLOOKUP($B38,'Summary Calculations (hide)'!$D$15:$U$67,15,0)</f>
        <v>0</v>
      </c>
      <c r="F38" s="5">
        <f ca="1">VLOOKUP($B38,'Summary Calculations (hide)'!$D$15:$U$67,16,0)</f>
        <v>0</v>
      </c>
      <c r="G38" s="5">
        <f t="shared" ca="1" si="1"/>
        <v>0</v>
      </c>
      <c r="H38" s="5">
        <f t="shared" ca="1" si="2"/>
        <v>0</v>
      </c>
      <c r="I38" s="67">
        <f ca="1">IF(OFFSET(Planning!$E$25,0,ROW(A35),1,1)&lt;&gt;"",-'Planning (hide)'!$G38,0)</f>
        <v>0</v>
      </c>
      <c r="J38" s="67">
        <f ca="1">IF(OFFSET(Planning!$E$25,COLUMN(A35),ROW(A35),1,1)&lt;&gt;"",OFFSET(Planning!$D$25,COLUMN(A35),0,1,1),0)</f>
        <v>0</v>
      </c>
      <c r="K38" s="67">
        <f ca="1">IF(OFFSET(Planning!$E$25,COLUMN(B35),ROW(B35),1,1)&lt;&gt;"",OFFSET(Planning!$D$25,COLUMN(B35),0,1,1),0)</f>
        <v>0</v>
      </c>
      <c r="L38" s="67">
        <f ca="1">IF(OFFSET(Planning!$E$25,COLUMN(C35),ROW(C35),1,1)&lt;&gt;"",OFFSET(Planning!$D$25,COLUMN(C35),0,1,1),0)</f>
        <v>0</v>
      </c>
      <c r="M38" s="67">
        <f ca="1">IF(OFFSET(Planning!$E$25,COLUMN(D35),ROW(D35),1,1)&lt;&gt;"",OFFSET(Planning!$D$25,COLUMN(D35),0,1,1),0)</f>
        <v>0</v>
      </c>
      <c r="N38" s="67">
        <f ca="1">IF(OFFSET(Planning!$E$25,COLUMN(E35),ROW(E35),1,1)&lt;&gt;"",OFFSET(Planning!$D$25,COLUMN(E35),0,1,1),0)</f>
        <v>0</v>
      </c>
      <c r="O38" s="67">
        <f ca="1">IF(OFFSET(Planning!$E$25,COLUMN(F35),ROW(F35),1,1)&lt;&gt;"",OFFSET(Planning!$D$25,COLUMN(F35),0,1,1),0)</f>
        <v>0</v>
      </c>
      <c r="P38" s="67">
        <f ca="1">IF(OFFSET(Planning!$E$25,COLUMN(G35),ROW(G35),1,1)&lt;&gt;"",OFFSET(Planning!$D$25,COLUMN(G35),0,1,1),0)</f>
        <v>0</v>
      </c>
      <c r="Q38" s="67">
        <f ca="1">IF(OFFSET(Planning!$E$25,COLUMN(H35),ROW(H35),1,1)&lt;&gt;"",OFFSET(Planning!$D$25,COLUMN(H35),0,1,1),0)</f>
        <v>0</v>
      </c>
      <c r="R38" s="67">
        <f ca="1">IF(OFFSET(Planning!$E$25,COLUMN(I35),ROW(I35),1,1)&lt;&gt;"",OFFSET(Planning!$D$25,COLUMN(I35),0,1,1),0)</f>
        <v>0</v>
      </c>
      <c r="S38" s="67">
        <f ca="1">IF(OFFSET(Planning!$E$25,COLUMN(J35),ROW(J35),1,1)&lt;&gt;"",OFFSET(Planning!$D$25,COLUMN(J35),0,1,1),0)</f>
        <v>0</v>
      </c>
      <c r="T38" s="67">
        <f ca="1">IF(OFFSET(Planning!$E$25,COLUMN(K35),ROW(K35),1,1)&lt;&gt;"",OFFSET(Planning!$D$25,COLUMN(K35),0,1,1),0)</f>
        <v>0</v>
      </c>
      <c r="U38" s="67">
        <f ca="1">IF(OFFSET(Planning!$E$25,COLUMN(L35),ROW(L35),1,1)&lt;&gt;"",OFFSET(Planning!$D$25,COLUMN(L35),0,1,1),0)</f>
        <v>0</v>
      </c>
      <c r="V38" s="67">
        <f ca="1">IF(OFFSET(Planning!$E$25,COLUMN(M35),ROW(M35),1,1)&lt;&gt;"",OFFSET(Planning!$D$25,COLUMN(M35),0,1,1),0)</f>
        <v>0</v>
      </c>
      <c r="W38" s="67">
        <f ca="1">IF(OFFSET(Planning!$E$25,COLUMN(N35),ROW(N35),1,1)&lt;&gt;"",OFFSET(Planning!$D$25,COLUMN(N35),0,1,1),0)</f>
        <v>0</v>
      </c>
      <c r="X38" s="67">
        <f ca="1">IF(OFFSET(Planning!$E$25,COLUMN(O35),ROW(O35),1,1)&lt;&gt;"",OFFSET(Planning!$D$25,COLUMN(O35),0,1,1),0)</f>
        <v>0</v>
      </c>
      <c r="Y38" s="67">
        <f ca="1">IF(OFFSET(Planning!$E$25,COLUMN(P35),ROW(P35),1,1)&lt;&gt;"",OFFSET(Planning!$D$25,COLUMN(P35),0,1,1),0)</f>
        <v>0</v>
      </c>
      <c r="Z38" s="67">
        <f ca="1">IF(OFFSET(Planning!$E$25,COLUMN(Q35),ROW(Q35),1,1)&lt;&gt;"",OFFSET(Planning!$D$25,COLUMN(Q35),0,1,1),0)</f>
        <v>0</v>
      </c>
      <c r="AA38" s="67">
        <f ca="1">IF(OFFSET(Planning!$E$25,COLUMN(R35),ROW(R35),1,1)&lt;&gt;"",OFFSET(Planning!$D$25,COLUMN(R35),0,1,1),0)</f>
        <v>0</v>
      </c>
      <c r="AB38" s="67">
        <f ca="1">IF(OFFSET(Planning!$E$25,COLUMN(S35),ROW(S35),1,1)&lt;&gt;"",OFFSET(Planning!$D$25,COLUMN(S35),0,1,1),0)</f>
        <v>0</v>
      </c>
      <c r="AC38" s="67">
        <f ca="1">IF(OFFSET(Planning!$E$25,COLUMN(T35),ROW(T35),1,1)&lt;&gt;"",OFFSET(Planning!$D$25,COLUMN(T35),0,1,1),0)</f>
        <v>0</v>
      </c>
      <c r="AD38" s="67" t="e">
        <f ca="1">VLOOKUP($B38,'Summary Calculations (hide)'!$D$15:$U$67,17,0)</f>
        <v>#N/A</v>
      </c>
      <c r="AE38" s="67" t="e">
        <f ca="1">VLOOKUP($B38,'Summary Calculations (hide)'!$D$15:$U$67,18,0)</f>
        <v>#N/A</v>
      </c>
    </row>
    <row r="39" spans="1:31" x14ac:dyDescent="0.2">
      <c r="A39" s="87">
        <f t="shared" ca="1" si="3"/>
        <v>44669</v>
      </c>
      <c r="B39" s="67">
        <f t="shared" ca="1" si="0"/>
        <v>16</v>
      </c>
      <c r="C39" s="5" t="e">
        <f ca="1">IF(Planning!$C$8="No",VLOOKUP(B39,'Summary Calculations (hide)'!$D$15:$U$67,17,0),IF('Demand adjustments for Covid'!$F$9="Yes",'Demand background (hide)'!DS39+SUM('Demand background (hide)'!DV39:DW39),VLOOKUP(B39,'Summary Calculations (hide)'!$D$15:$F$67,2,0))*IF(Planning!$C$11="",1,1+Planning!$C$11)*'Summary Calculations (hide)'!$L$4/IF(Summary!$C$8="Patients",'Summary Calculations (hide)'!$I$9,1))</f>
        <v>#N/A</v>
      </c>
      <c r="D39" s="5" t="e">
        <f ca="1">IF(Planning!$C$8="No",VLOOKUP('Planning (hide)'!B39,'Summary Calculations (hide)'!$D$15:$U$67,18,0),IF('Demand adjustments for Covid'!$F$9="Yes",'Demand background (hide)'!DX39,VLOOKUP(B39,'Summary Calculations (hide)'!$D$15:$F$67,3,0))*IF(Planning!$C$11="",1,1+Planning!$C$11)*'Summary Calculations (hide)'!$L$4/IF(Summary!$C$8="Patients",'Summary Calculations (hide)'!$I$9,1))-IF(Planning!$C$8="No",0,C39)</f>
        <v>#N/A</v>
      </c>
      <c r="E39" s="5">
        <f ca="1">VLOOKUP($B39,'Summary Calculations (hide)'!$D$15:$U$67,15,0)</f>
        <v>0</v>
      </c>
      <c r="F39" s="5">
        <f ca="1">VLOOKUP($B39,'Summary Calculations (hide)'!$D$15:$U$67,16,0)</f>
        <v>0</v>
      </c>
      <c r="G39" s="5">
        <f t="shared" ca="1" si="1"/>
        <v>0</v>
      </c>
      <c r="H39" s="5">
        <f t="shared" ca="1" si="2"/>
        <v>0</v>
      </c>
      <c r="I39" s="67">
        <f ca="1">IF(OFFSET(Planning!$E$25,0,ROW(A36),1,1)&lt;&gt;"",-'Planning (hide)'!$G39,0)</f>
        <v>0</v>
      </c>
      <c r="J39" s="67">
        <f ca="1">IF(OFFSET(Planning!$E$25,COLUMN(A36),ROW(A36),1,1)&lt;&gt;"",OFFSET(Planning!$D$25,COLUMN(A36),0,1,1),0)</f>
        <v>0</v>
      </c>
      <c r="K39" s="67">
        <f ca="1">IF(OFFSET(Planning!$E$25,COLUMN(B36),ROW(B36),1,1)&lt;&gt;"",OFFSET(Planning!$D$25,COLUMN(B36),0,1,1),0)</f>
        <v>0</v>
      </c>
      <c r="L39" s="67">
        <f ca="1">IF(OFFSET(Planning!$E$25,COLUMN(C36),ROW(C36),1,1)&lt;&gt;"",OFFSET(Planning!$D$25,COLUMN(C36),0,1,1),0)</f>
        <v>0</v>
      </c>
      <c r="M39" s="67">
        <f ca="1">IF(OFFSET(Planning!$E$25,COLUMN(D36),ROW(D36),1,1)&lt;&gt;"",OFFSET(Planning!$D$25,COLUMN(D36),0,1,1),0)</f>
        <v>0</v>
      </c>
      <c r="N39" s="67">
        <f ca="1">IF(OFFSET(Planning!$E$25,COLUMN(E36),ROW(E36),1,1)&lt;&gt;"",OFFSET(Planning!$D$25,COLUMN(E36),0,1,1),0)</f>
        <v>0</v>
      </c>
      <c r="O39" s="67">
        <f ca="1">IF(OFFSET(Planning!$E$25,COLUMN(F36),ROW(F36),1,1)&lt;&gt;"",OFFSET(Planning!$D$25,COLUMN(F36),0,1,1),0)</f>
        <v>0</v>
      </c>
      <c r="P39" s="67">
        <f ca="1">IF(OFFSET(Planning!$E$25,COLUMN(G36),ROW(G36),1,1)&lt;&gt;"",OFFSET(Planning!$D$25,COLUMN(G36),0,1,1),0)</f>
        <v>0</v>
      </c>
      <c r="Q39" s="67">
        <f ca="1">IF(OFFSET(Planning!$E$25,COLUMN(H36),ROW(H36),1,1)&lt;&gt;"",OFFSET(Planning!$D$25,COLUMN(H36),0,1,1),0)</f>
        <v>0</v>
      </c>
      <c r="R39" s="67">
        <f ca="1">IF(OFFSET(Planning!$E$25,COLUMN(I36),ROW(I36),1,1)&lt;&gt;"",OFFSET(Planning!$D$25,COLUMN(I36),0,1,1),0)</f>
        <v>0</v>
      </c>
      <c r="S39" s="67">
        <f ca="1">IF(OFFSET(Planning!$E$25,COLUMN(J36),ROW(J36),1,1)&lt;&gt;"",OFFSET(Planning!$D$25,COLUMN(J36),0,1,1),0)</f>
        <v>0</v>
      </c>
      <c r="T39" s="67">
        <f ca="1">IF(OFFSET(Planning!$E$25,COLUMN(K36),ROW(K36),1,1)&lt;&gt;"",OFFSET(Planning!$D$25,COLUMN(K36),0,1,1),0)</f>
        <v>0</v>
      </c>
      <c r="U39" s="67">
        <f ca="1">IF(OFFSET(Planning!$E$25,COLUMN(L36),ROW(L36),1,1)&lt;&gt;"",OFFSET(Planning!$D$25,COLUMN(L36),0,1,1),0)</f>
        <v>0</v>
      </c>
      <c r="V39" s="67">
        <f ca="1">IF(OFFSET(Planning!$E$25,COLUMN(M36),ROW(M36),1,1)&lt;&gt;"",OFFSET(Planning!$D$25,COLUMN(M36),0,1,1),0)</f>
        <v>0</v>
      </c>
      <c r="W39" s="67">
        <f ca="1">IF(OFFSET(Planning!$E$25,COLUMN(N36),ROW(N36),1,1)&lt;&gt;"",OFFSET(Planning!$D$25,COLUMN(N36),0,1,1),0)</f>
        <v>0</v>
      </c>
      <c r="X39" s="67">
        <f ca="1">IF(OFFSET(Planning!$E$25,COLUMN(O36),ROW(O36),1,1)&lt;&gt;"",OFFSET(Planning!$D$25,COLUMN(O36),0,1,1),0)</f>
        <v>0</v>
      </c>
      <c r="Y39" s="67">
        <f ca="1">IF(OFFSET(Planning!$E$25,COLUMN(P36),ROW(P36),1,1)&lt;&gt;"",OFFSET(Planning!$D$25,COLUMN(P36),0,1,1),0)</f>
        <v>0</v>
      </c>
      <c r="Z39" s="67">
        <f ca="1">IF(OFFSET(Planning!$E$25,COLUMN(Q36),ROW(Q36),1,1)&lt;&gt;"",OFFSET(Planning!$D$25,COLUMN(Q36),0,1,1),0)</f>
        <v>0</v>
      </c>
      <c r="AA39" s="67">
        <f ca="1">IF(OFFSET(Planning!$E$25,COLUMN(R36),ROW(R36),1,1)&lt;&gt;"",OFFSET(Planning!$D$25,COLUMN(R36),0,1,1),0)</f>
        <v>0</v>
      </c>
      <c r="AB39" s="67">
        <f ca="1">IF(OFFSET(Planning!$E$25,COLUMN(S36),ROW(S36),1,1)&lt;&gt;"",OFFSET(Planning!$D$25,COLUMN(S36),0,1,1),0)</f>
        <v>0</v>
      </c>
      <c r="AC39" s="67">
        <f ca="1">IF(OFFSET(Planning!$E$25,COLUMN(T36),ROW(T36),1,1)&lt;&gt;"",OFFSET(Planning!$D$25,COLUMN(T36),0,1,1),0)</f>
        <v>0</v>
      </c>
      <c r="AD39" s="67" t="e">
        <f ca="1">VLOOKUP($B39,'Summary Calculations (hide)'!$D$15:$U$67,17,0)</f>
        <v>#N/A</v>
      </c>
      <c r="AE39" s="67" t="e">
        <f ca="1">VLOOKUP($B39,'Summary Calculations (hide)'!$D$15:$U$67,18,0)</f>
        <v>#N/A</v>
      </c>
    </row>
    <row r="40" spans="1:31" x14ac:dyDescent="0.2">
      <c r="A40" s="87">
        <f t="shared" ca="1" si="3"/>
        <v>44676</v>
      </c>
      <c r="B40" s="67">
        <f t="shared" ca="1" si="0"/>
        <v>17</v>
      </c>
      <c r="C40" s="5" t="e">
        <f ca="1">IF(Planning!$C$8="No",VLOOKUP(B40,'Summary Calculations (hide)'!$D$15:$U$67,17,0),IF('Demand adjustments for Covid'!$F$9="Yes",'Demand background (hide)'!DS40+SUM('Demand background (hide)'!DV40:DW40),VLOOKUP(B40,'Summary Calculations (hide)'!$D$15:$F$67,2,0))*IF(Planning!$C$11="",1,1+Planning!$C$11)*'Summary Calculations (hide)'!$L$4/IF(Summary!$C$8="Patients",'Summary Calculations (hide)'!$I$9,1))</f>
        <v>#N/A</v>
      </c>
      <c r="D40" s="5" t="e">
        <f ca="1">IF(Planning!$C$8="No",VLOOKUP('Planning (hide)'!B40,'Summary Calculations (hide)'!$D$15:$U$67,18,0),IF('Demand adjustments for Covid'!$F$9="Yes",'Demand background (hide)'!DX40,VLOOKUP(B40,'Summary Calculations (hide)'!$D$15:$F$67,3,0))*IF(Planning!$C$11="",1,1+Planning!$C$11)*'Summary Calculations (hide)'!$L$4/IF(Summary!$C$8="Patients",'Summary Calculations (hide)'!$I$9,1))-IF(Planning!$C$8="No",0,C40)</f>
        <v>#N/A</v>
      </c>
      <c r="E40" s="5">
        <f ca="1">VLOOKUP($B40,'Summary Calculations (hide)'!$D$15:$U$67,15,0)</f>
        <v>0</v>
      </c>
      <c r="F40" s="5">
        <f ca="1">VLOOKUP($B40,'Summary Calculations (hide)'!$D$15:$U$67,16,0)</f>
        <v>0</v>
      </c>
      <c r="G40" s="5">
        <f t="shared" ca="1" si="1"/>
        <v>0</v>
      </c>
      <c r="H40" s="5">
        <f t="shared" ca="1" si="2"/>
        <v>0</v>
      </c>
      <c r="I40" s="67">
        <f ca="1">IF(OFFSET(Planning!$E$25,0,ROW(A37),1,1)&lt;&gt;"",-'Planning (hide)'!$G40,0)</f>
        <v>0</v>
      </c>
      <c r="J40" s="67">
        <f ca="1">IF(OFFSET(Planning!$E$25,COLUMN(A37),ROW(A37),1,1)&lt;&gt;"",OFFSET(Planning!$D$25,COLUMN(A37),0,1,1),0)</f>
        <v>0</v>
      </c>
      <c r="K40" s="67">
        <f ca="1">IF(OFFSET(Planning!$E$25,COLUMN(B37),ROW(B37),1,1)&lt;&gt;"",OFFSET(Planning!$D$25,COLUMN(B37),0,1,1),0)</f>
        <v>0</v>
      </c>
      <c r="L40" s="67">
        <f ca="1">IF(OFFSET(Planning!$E$25,COLUMN(C37),ROW(C37),1,1)&lt;&gt;"",OFFSET(Planning!$D$25,COLUMN(C37),0,1,1),0)</f>
        <v>0</v>
      </c>
      <c r="M40" s="67">
        <f ca="1">IF(OFFSET(Planning!$E$25,COLUMN(D37),ROW(D37),1,1)&lt;&gt;"",OFFSET(Planning!$D$25,COLUMN(D37),0,1,1),0)</f>
        <v>0</v>
      </c>
      <c r="N40" s="67">
        <f ca="1">IF(OFFSET(Planning!$E$25,COLUMN(E37),ROW(E37),1,1)&lt;&gt;"",OFFSET(Planning!$D$25,COLUMN(E37),0,1,1),0)</f>
        <v>0</v>
      </c>
      <c r="O40" s="67">
        <f ca="1">IF(OFFSET(Planning!$E$25,COLUMN(F37),ROW(F37),1,1)&lt;&gt;"",OFFSET(Planning!$D$25,COLUMN(F37),0,1,1),0)</f>
        <v>0</v>
      </c>
      <c r="P40" s="67">
        <f ca="1">IF(OFFSET(Planning!$E$25,COLUMN(G37),ROW(G37),1,1)&lt;&gt;"",OFFSET(Planning!$D$25,COLUMN(G37),0,1,1),0)</f>
        <v>0</v>
      </c>
      <c r="Q40" s="67">
        <f ca="1">IF(OFFSET(Planning!$E$25,COLUMN(H37),ROW(H37),1,1)&lt;&gt;"",OFFSET(Planning!$D$25,COLUMN(H37),0,1,1),0)</f>
        <v>0</v>
      </c>
      <c r="R40" s="67">
        <f ca="1">IF(OFFSET(Planning!$E$25,COLUMN(I37),ROW(I37),1,1)&lt;&gt;"",OFFSET(Planning!$D$25,COLUMN(I37),0,1,1),0)</f>
        <v>0</v>
      </c>
      <c r="S40" s="67">
        <f ca="1">IF(OFFSET(Planning!$E$25,COLUMN(J37),ROW(J37),1,1)&lt;&gt;"",OFFSET(Planning!$D$25,COLUMN(J37),0,1,1),0)</f>
        <v>0</v>
      </c>
      <c r="T40" s="67">
        <f ca="1">IF(OFFSET(Planning!$E$25,COLUMN(K37),ROW(K37),1,1)&lt;&gt;"",OFFSET(Planning!$D$25,COLUMN(K37),0,1,1),0)</f>
        <v>0</v>
      </c>
      <c r="U40" s="67">
        <f ca="1">IF(OFFSET(Planning!$E$25,COLUMN(L37),ROW(L37),1,1)&lt;&gt;"",OFFSET(Planning!$D$25,COLUMN(L37),0,1,1),0)</f>
        <v>0</v>
      </c>
      <c r="V40" s="67">
        <f ca="1">IF(OFFSET(Planning!$E$25,COLUMN(M37),ROW(M37),1,1)&lt;&gt;"",OFFSET(Planning!$D$25,COLUMN(M37),0,1,1),0)</f>
        <v>0</v>
      </c>
      <c r="W40" s="67">
        <f ca="1">IF(OFFSET(Planning!$E$25,COLUMN(N37),ROW(N37),1,1)&lt;&gt;"",OFFSET(Planning!$D$25,COLUMN(N37),0,1,1),0)</f>
        <v>0</v>
      </c>
      <c r="X40" s="67">
        <f ca="1">IF(OFFSET(Planning!$E$25,COLUMN(O37),ROW(O37),1,1)&lt;&gt;"",OFFSET(Planning!$D$25,COLUMN(O37),0,1,1),0)</f>
        <v>0</v>
      </c>
      <c r="Y40" s="67">
        <f ca="1">IF(OFFSET(Planning!$E$25,COLUMN(P37),ROW(P37),1,1)&lt;&gt;"",OFFSET(Planning!$D$25,COLUMN(P37),0,1,1),0)</f>
        <v>0</v>
      </c>
      <c r="Z40" s="67">
        <f ca="1">IF(OFFSET(Planning!$E$25,COLUMN(Q37),ROW(Q37),1,1)&lt;&gt;"",OFFSET(Planning!$D$25,COLUMN(Q37),0,1,1),0)</f>
        <v>0</v>
      </c>
      <c r="AA40" s="67">
        <f ca="1">IF(OFFSET(Planning!$E$25,COLUMN(R37),ROW(R37),1,1)&lt;&gt;"",OFFSET(Planning!$D$25,COLUMN(R37),0,1,1),0)</f>
        <v>0</v>
      </c>
      <c r="AB40" s="67">
        <f ca="1">IF(OFFSET(Planning!$E$25,COLUMN(S37),ROW(S37),1,1)&lt;&gt;"",OFFSET(Planning!$D$25,COLUMN(S37),0,1,1),0)</f>
        <v>0</v>
      </c>
      <c r="AC40" s="67">
        <f ca="1">IF(OFFSET(Planning!$E$25,COLUMN(T37),ROW(T37),1,1)&lt;&gt;"",OFFSET(Planning!$D$25,COLUMN(T37),0,1,1),0)</f>
        <v>0</v>
      </c>
      <c r="AD40" s="67" t="e">
        <f ca="1">VLOOKUP($B40,'Summary Calculations (hide)'!$D$15:$U$67,17,0)</f>
        <v>#N/A</v>
      </c>
      <c r="AE40" s="67" t="e">
        <f ca="1">VLOOKUP($B40,'Summary Calculations (hide)'!$D$15:$U$67,18,0)</f>
        <v>#N/A</v>
      </c>
    </row>
    <row r="41" spans="1:31" x14ac:dyDescent="0.2">
      <c r="A41" s="87">
        <f t="shared" ca="1" si="3"/>
        <v>44683</v>
      </c>
      <c r="B41" s="67">
        <f t="shared" ca="1" si="0"/>
        <v>18</v>
      </c>
      <c r="C41" s="5" t="e">
        <f ca="1">IF(Planning!$C$8="No",VLOOKUP(B41,'Summary Calculations (hide)'!$D$15:$U$67,17,0),IF('Demand adjustments for Covid'!$F$9="Yes",'Demand background (hide)'!DS41+SUM('Demand background (hide)'!DV41:DW41),VLOOKUP(B41,'Summary Calculations (hide)'!$D$15:$F$67,2,0))*IF(Planning!$C$11="",1,1+Planning!$C$11)*'Summary Calculations (hide)'!$L$4/IF(Summary!$C$8="Patients",'Summary Calculations (hide)'!$I$9,1))</f>
        <v>#N/A</v>
      </c>
      <c r="D41" s="5" t="e">
        <f ca="1">IF(Planning!$C$8="No",VLOOKUP('Planning (hide)'!B41,'Summary Calculations (hide)'!$D$15:$U$67,18,0),IF('Demand adjustments for Covid'!$F$9="Yes",'Demand background (hide)'!DX41,VLOOKUP(B41,'Summary Calculations (hide)'!$D$15:$F$67,3,0))*IF(Planning!$C$11="",1,1+Planning!$C$11)*'Summary Calculations (hide)'!$L$4/IF(Summary!$C$8="Patients",'Summary Calculations (hide)'!$I$9,1))-IF(Planning!$C$8="No",0,C41)</f>
        <v>#N/A</v>
      </c>
      <c r="E41" s="5">
        <f ca="1">VLOOKUP($B41,'Summary Calculations (hide)'!$D$15:$U$67,15,0)</f>
        <v>0</v>
      </c>
      <c r="F41" s="5">
        <f ca="1">VLOOKUP($B41,'Summary Calculations (hide)'!$D$15:$U$67,16,0)</f>
        <v>0</v>
      </c>
      <c r="G41" s="5">
        <f t="shared" ca="1" si="1"/>
        <v>0</v>
      </c>
      <c r="H41" s="5">
        <f t="shared" ca="1" si="2"/>
        <v>0</v>
      </c>
      <c r="I41" s="67">
        <f ca="1">IF(OFFSET(Planning!$E$25,0,ROW(A38),1,1)&lt;&gt;"",-'Planning (hide)'!$G41,0)</f>
        <v>0</v>
      </c>
      <c r="J41" s="67">
        <f ca="1">IF(OFFSET(Planning!$E$25,COLUMN(A38),ROW(A38),1,1)&lt;&gt;"",OFFSET(Planning!$D$25,COLUMN(A38),0,1,1),0)</f>
        <v>0</v>
      </c>
      <c r="K41" s="67">
        <f ca="1">IF(OFFSET(Planning!$E$25,COLUMN(B38),ROW(B38),1,1)&lt;&gt;"",OFFSET(Planning!$D$25,COLUMN(B38),0,1,1),0)</f>
        <v>0</v>
      </c>
      <c r="L41" s="67">
        <f ca="1">IF(OFFSET(Planning!$E$25,COLUMN(C38),ROW(C38),1,1)&lt;&gt;"",OFFSET(Planning!$D$25,COLUMN(C38),0,1,1),0)</f>
        <v>0</v>
      </c>
      <c r="M41" s="67">
        <f ca="1">IF(OFFSET(Planning!$E$25,COLUMN(D38),ROW(D38),1,1)&lt;&gt;"",OFFSET(Planning!$D$25,COLUMN(D38),0,1,1),0)</f>
        <v>0</v>
      </c>
      <c r="N41" s="67">
        <f ca="1">IF(OFFSET(Planning!$E$25,COLUMN(E38),ROW(E38),1,1)&lt;&gt;"",OFFSET(Planning!$D$25,COLUMN(E38),0,1,1),0)</f>
        <v>0</v>
      </c>
      <c r="O41" s="67">
        <f ca="1">IF(OFFSET(Planning!$E$25,COLUMN(F38),ROW(F38),1,1)&lt;&gt;"",OFFSET(Planning!$D$25,COLUMN(F38),0,1,1),0)</f>
        <v>0</v>
      </c>
      <c r="P41" s="67">
        <f ca="1">IF(OFFSET(Planning!$E$25,COLUMN(G38),ROW(G38),1,1)&lt;&gt;"",OFFSET(Planning!$D$25,COLUMN(G38),0,1,1),0)</f>
        <v>0</v>
      </c>
      <c r="Q41" s="67">
        <f ca="1">IF(OFFSET(Planning!$E$25,COLUMN(H38),ROW(H38),1,1)&lt;&gt;"",OFFSET(Planning!$D$25,COLUMN(H38),0,1,1),0)</f>
        <v>0</v>
      </c>
      <c r="R41" s="67">
        <f ca="1">IF(OFFSET(Planning!$E$25,COLUMN(I38),ROW(I38),1,1)&lt;&gt;"",OFFSET(Planning!$D$25,COLUMN(I38),0,1,1),0)</f>
        <v>0</v>
      </c>
      <c r="S41" s="67">
        <f ca="1">IF(OFFSET(Planning!$E$25,COLUMN(J38),ROW(J38),1,1)&lt;&gt;"",OFFSET(Planning!$D$25,COLUMN(J38),0,1,1),0)</f>
        <v>0</v>
      </c>
      <c r="T41" s="67">
        <f ca="1">IF(OFFSET(Planning!$E$25,COLUMN(K38),ROW(K38),1,1)&lt;&gt;"",OFFSET(Planning!$D$25,COLUMN(K38),0,1,1),0)</f>
        <v>0</v>
      </c>
      <c r="U41" s="67">
        <f ca="1">IF(OFFSET(Planning!$E$25,COLUMN(L38),ROW(L38),1,1)&lt;&gt;"",OFFSET(Planning!$D$25,COLUMN(L38),0,1,1),0)</f>
        <v>0</v>
      </c>
      <c r="V41" s="67">
        <f ca="1">IF(OFFSET(Planning!$E$25,COLUMN(M38),ROW(M38),1,1)&lt;&gt;"",OFFSET(Planning!$D$25,COLUMN(M38),0,1,1),0)</f>
        <v>0</v>
      </c>
      <c r="W41" s="67">
        <f ca="1">IF(OFFSET(Planning!$E$25,COLUMN(N38),ROW(N38),1,1)&lt;&gt;"",OFFSET(Planning!$D$25,COLUMN(N38),0,1,1),0)</f>
        <v>0</v>
      </c>
      <c r="X41" s="67">
        <f ca="1">IF(OFFSET(Planning!$E$25,COLUMN(O38),ROW(O38),1,1)&lt;&gt;"",OFFSET(Planning!$D$25,COLUMN(O38),0,1,1),0)</f>
        <v>0</v>
      </c>
      <c r="Y41" s="67">
        <f ca="1">IF(OFFSET(Planning!$E$25,COLUMN(P38),ROW(P38),1,1)&lt;&gt;"",OFFSET(Planning!$D$25,COLUMN(P38),0,1,1),0)</f>
        <v>0</v>
      </c>
      <c r="Z41" s="67">
        <f ca="1">IF(OFFSET(Planning!$E$25,COLUMN(Q38),ROW(Q38),1,1)&lt;&gt;"",OFFSET(Planning!$D$25,COLUMN(Q38),0,1,1),0)</f>
        <v>0</v>
      </c>
      <c r="AA41" s="67">
        <f ca="1">IF(OFFSET(Planning!$E$25,COLUMN(R38),ROW(R38),1,1)&lt;&gt;"",OFFSET(Planning!$D$25,COLUMN(R38),0,1,1),0)</f>
        <v>0</v>
      </c>
      <c r="AB41" s="67">
        <f ca="1">IF(OFFSET(Planning!$E$25,COLUMN(S38),ROW(S38),1,1)&lt;&gt;"",OFFSET(Planning!$D$25,COLUMN(S38),0,1,1),0)</f>
        <v>0</v>
      </c>
      <c r="AC41" s="67">
        <f ca="1">IF(OFFSET(Planning!$E$25,COLUMN(T38),ROW(T38),1,1)&lt;&gt;"",OFFSET(Planning!$D$25,COLUMN(T38),0,1,1),0)</f>
        <v>0</v>
      </c>
      <c r="AD41" s="67" t="e">
        <f ca="1">VLOOKUP($B41,'Summary Calculations (hide)'!$D$15:$U$67,17,0)</f>
        <v>#N/A</v>
      </c>
      <c r="AE41" s="67" t="e">
        <f ca="1">VLOOKUP($B41,'Summary Calculations (hide)'!$D$15:$U$67,18,0)</f>
        <v>#N/A</v>
      </c>
    </row>
    <row r="42" spans="1:31" x14ac:dyDescent="0.2">
      <c r="A42" s="87">
        <f ca="1">A41+7</f>
        <v>44690</v>
      </c>
      <c r="B42" s="67">
        <f t="shared" ca="1" si="0"/>
        <v>19</v>
      </c>
      <c r="C42" s="5" t="e">
        <f ca="1">IF(Planning!$C$8="No",VLOOKUP(B42,'Summary Calculations (hide)'!$D$15:$U$67,17,0),IF('Demand adjustments for Covid'!$F$9="Yes",'Demand background (hide)'!DS42+SUM('Demand background (hide)'!DV42:DW42),VLOOKUP(B42,'Summary Calculations (hide)'!$D$15:$F$67,2,0))*IF(Planning!$C$11="",1,1+Planning!$C$11)*'Summary Calculations (hide)'!$L$4/IF(Summary!$C$8="Patients",'Summary Calculations (hide)'!$I$9,1))</f>
        <v>#N/A</v>
      </c>
      <c r="D42" s="5" t="e">
        <f ca="1">IF(Planning!$C$8="No",VLOOKUP('Planning (hide)'!B42,'Summary Calculations (hide)'!$D$15:$U$67,18,0),IF('Demand adjustments for Covid'!$F$9="Yes",'Demand background (hide)'!DX42,VLOOKUP(B42,'Summary Calculations (hide)'!$D$15:$F$67,3,0))*IF(Planning!$C$11="",1,1+Planning!$C$11)*'Summary Calculations (hide)'!$L$4/IF(Summary!$C$8="Patients",'Summary Calculations (hide)'!$I$9,1))-IF(Planning!$C$8="No",0,C42)</f>
        <v>#N/A</v>
      </c>
      <c r="E42" s="5">
        <f ca="1">VLOOKUP($B42,'Summary Calculations (hide)'!$D$15:$U$67,15,0)</f>
        <v>0</v>
      </c>
      <c r="F42" s="5">
        <f ca="1">VLOOKUP($B42,'Summary Calculations (hide)'!$D$15:$U$67,16,0)</f>
        <v>0</v>
      </c>
      <c r="G42" s="5">
        <f t="shared" ca="1" si="1"/>
        <v>0</v>
      </c>
      <c r="H42" s="5">
        <f t="shared" ca="1" si="2"/>
        <v>0</v>
      </c>
      <c r="I42" s="67">
        <f ca="1">IF(OFFSET(Planning!$E$25,0,ROW(A39),1,1)&lt;&gt;"",-'Planning (hide)'!$G42,0)</f>
        <v>0</v>
      </c>
      <c r="J42" s="67">
        <f ca="1">IF(OFFSET(Planning!$E$25,COLUMN(A39),ROW(A39),1,1)&lt;&gt;"",OFFSET(Planning!$D$25,COLUMN(A39),0,1,1),0)</f>
        <v>0</v>
      </c>
      <c r="K42" s="67">
        <f ca="1">IF(OFFSET(Planning!$E$25,COLUMN(B39),ROW(B39),1,1)&lt;&gt;"",OFFSET(Planning!$D$25,COLUMN(B39),0,1,1),0)</f>
        <v>0</v>
      </c>
      <c r="L42" s="67">
        <f ca="1">IF(OFFSET(Planning!$E$25,COLUMN(C39),ROW(C39),1,1)&lt;&gt;"",OFFSET(Planning!$D$25,COLUMN(C39),0,1,1),0)</f>
        <v>0</v>
      </c>
      <c r="M42" s="67">
        <f ca="1">IF(OFFSET(Planning!$E$25,COLUMN(D39),ROW(D39),1,1)&lt;&gt;"",OFFSET(Planning!$D$25,COLUMN(D39),0,1,1),0)</f>
        <v>0</v>
      </c>
      <c r="N42" s="67">
        <f ca="1">IF(OFFSET(Planning!$E$25,COLUMN(E39),ROW(E39),1,1)&lt;&gt;"",OFFSET(Planning!$D$25,COLUMN(E39),0,1,1),0)</f>
        <v>0</v>
      </c>
      <c r="O42" s="67">
        <f ca="1">IF(OFFSET(Planning!$E$25,COLUMN(F39),ROW(F39),1,1)&lt;&gt;"",OFFSET(Planning!$D$25,COLUMN(F39),0,1,1),0)</f>
        <v>0</v>
      </c>
      <c r="P42" s="67">
        <f ca="1">IF(OFFSET(Planning!$E$25,COLUMN(G39),ROW(G39),1,1)&lt;&gt;"",OFFSET(Planning!$D$25,COLUMN(G39),0,1,1),0)</f>
        <v>0</v>
      </c>
      <c r="Q42" s="67">
        <f ca="1">IF(OFFSET(Planning!$E$25,COLUMN(H39),ROW(H39),1,1)&lt;&gt;"",OFFSET(Planning!$D$25,COLUMN(H39),0,1,1),0)</f>
        <v>0</v>
      </c>
      <c r="R42" s="67">
        <f ca="1">IF(OFFSET(Planning!$E$25,COLUMN(I39),ROW(I39),1,1)&lt;&gt;"",OFFSET(Planning!$D$25,COLUMN(I39),0,1,1),0)</f>
        <v>0</v>
      </c>
      <c r="S42" s="67">
        <f ca="1">IF(OFFSET(Planning!$E$25,COLUMN(J39),ROW(J39),1,1)&lt;&gt;"",OFFSET(Planning!$D$25,COLUMN(J39),0,1,1),0)</f>
        <v>0</v>
      </c>
      <c r="T42" s="67">
        <f ca="1">IF(OFFSET(Planning!$E$25,COLUMN(K39),ROW(K39),1,1)&lt;&gt;"",OFFSET(Planning!$D$25,COLUMN(K39),0,1,1),0)</f>
        <v>0</v>
      </c>
      <c r="U42" s="67">
        <f ca="1">IF(OFFSET(Planning!$E$25,COLUMN(L39),ROW(L39),1,1)&lt;&gt;"",OFFSET(Planning!$D$25,COLUMN(L39),0,1,1),0)</f>
        <v>0</v>
      </c>
      <c r="V42" s="67">
        <f ca="1">IF(OFFSET(Planning!$E$25,COLUMN(M39),ROW(M39),1,1)&lt;&gt;"",OFFSET(Planning!$D$25,COLUMN(M39),0,1,1),0)</f>
        <v>0</v>
      </c>
      <c r="W42" s="67">
        <f ca="1">IF(OFFSET(Planning!$E$25,COLUMN(N39),ROW(N39),1,1)&lt;&gt;"",OFFSET(Planning!$D$25,COLUMN(N39),0,1,1),0)</f>
        <v>0</v>
      </c>
      <c r="X42" s="67">
        <f ca="1">IF(OFFSET(Planning!$E$25,COLUMN(O39),ROW(O39),1,1)&lt;&gt;"",OFFSET(Planning!$D$25,COLUMN(O39),0,1,1),0)</f>
        <v>0</v>
      </c>
      <c r="Y42" s="67">
        <f ca="1">IF(OFFSET(Planning!$E$25,COLUMN(P39),ROW(P39),1,1)&lt;&gt;"",OFFSET(Planning!$D$25,COLUMN(P39),0,1,1),0)</f>
        <v>0</v>
      </c>
      <c r="Z42" s="67">
        <f ca="1">IF(OFFSET(Planning!$E$25,COLUMN(Q39),ROW(Q39),1,1)&lt;&gt;"",OFFSET(Planning!$D$25,COLUMN(Q39),0,1,1),0)</f>
        <v>0</v>
      </c>
      <c r="AA42" s="67">
        <f ca="1">IF(OFFSET(Planning!$E$25,COLUMN(R39),ROW(R39),1,1)&lt;&gt;"",OFFSET(Planning!$D$25,COLUMN(R39),0,1,1),0)</f>
        <v>0</v>
      </c>
      <c r="AB42" s="67">
        <f ca="1">IF(OFFSET(Planning!$E$25,COLUMN(S39),ROW(S39),1,1)&lt;&gt;"",OFFSET(Planning!$D$25,COLUMN(S39),0,1,1),0)</f>
        <v>0</v>
      </c>
      <c r="AC42" s="67">
        <f ca="1">IF(OFFSET(Planning!$E$25,COLUMN(T39),ROW(T39),1,1)&lt;&gt;"",OFFSET(Planning!$D$25,COLUMN(T39),0,1,1),0)</f>
        <v>0</v>
      </c>
      <c r="AD42" s="67" t="e">
        <f ca="1">VLOOKUP($B42,'Summary Calculations (hide)'!$D$15:$U$67,17,0)</f>
        <v>#N/A</v>
      </c>
      <c r="AE42" s="67" t="e">
        <f ca="1">VLOOKUP($B42,'Summary Calculations (hide)'!$D$15:$U$67,18,0)</f>
        <v>#N/A</v>
      </c>
    </row>
    <row r="43" spans="1:31" x14ac:dyDescent="0.2">
      <c r="A43" s="87">
        <f t="shared" ca="1" si="3"/>
        <v>44697</v>
      </c>
      <c r="B43" s="67">
        <f t="shared" ca="1" si="0"/>
        <v>20</v>
      </c>
      <c r="C43" s="5" t="e">
        <f ca="1">IF(Planning!$C$8="No",VLOOKUP(B43,'Summary Calculations (hide)'!$D$15:$U$67,17,0),IF('Demand adjustments for Covid'!$F$9="Yes",'Demand background (hide)'!DS43+SUM('Demand background (hide)'!DV43:DW43),VLOOKUP(B43,'Summary Calculations (hide)'!$D$15:$F$67,2,0))*IF(Planning!$C$11="",1,1+Planning!$C$11)*'Summary Calculations (hide)'!$L$4/IF(Summary!$C$8="Patients",'Summary Calculations (hide)'!$I$9,1))</f>
        <v>#N/A</v>
      </c>
      <c r="D43" s="5" t="e">
        <f ca="1">IF(Planning!$C$8="No",VLOOKUP('Planning (hide)'!B43,'Summary Calculations (hide)'!$D$15:$U$67,18,0),IF('Demand adjustments for Covid'!$F$9="Yes",'Demand background (hide)'!DX43,VLOOKUP(B43,'Summary Calculations (hide)'!$D$15:$F$67,3,0))*IF(Planning!$C$11="",1,1+Planning!$C$11)*'Summary Calculations (hide)'!$L$4/IF(Summary!$C$8="Patients",'Summary Calculations (hide)'!$I$9,1))-IF(Planning!$C$8="No",0,C43)</f>
        <v>#N/A</v>
      </c>
      <c r="E43" s="5">
        <f ca="1">VLOOKUP($B43,'Summary Calculations (hide)'!$D$15:$U$67,15,0)</f>
        <v>0</v>
      </c>
      <c r="F43" s="5">
        <f ca="1">VLOOKUP($B43,'Summary Calculations (hide)'!$D$15:$U$67,16,0)</f>
        <v>0</v>
      </c>
      <c r="G43" s="5">
        <f t="shared" ca="1" si="1"/>
        <v>0</v>
      </c>
      <c r="H43" s="5">
        <f t="shared" ca="1" si="2"/>
        <v>0</v>
      </c>
      <c r="I43" s="67">
        <f ca="1">IF(OFFSET(Planning!$E$25,0,ROW(A40),1,1)&lt;&gt;"",-'Planning (hide)'!$G43,0)</f>
        <v>0</v>
      </c>
      <c r="J43" s="67">
        <f ca="1">IF(OFFSET(Planning!$E$25,COLUMN(A40),ROW(A40),1,1)&lt;&gt;"",OFFSET(Planning!$D$25,COLUMN(A40),0,1,1),0)</f>
        <v>0</v>
      </c>
      <c r="K43" s="67">
        <f ca="1">IF(OFFSET(Planning!$E$25,COLUMN(B40),ROW(B40),1,1)&lt;&gt;"",OFFSET(Planning!$D$25,COLUMN(B40),0,1,1),0)</f>
        <v>0</v>
      </c>
      <c r="L43" s="67">
        <f ca="1">IF(OFFSET(Planning!$E$25,COLUMN(C40),ROW(C40),1,1)&lt;&gt;"",OFFSET(Planning!$D$25,COLUMN(C40),0,1,1),0)</f>
        <v>0</v>
      </c>
      <c r="M43" s="67">
        <f ca="1">IF(OFFSET(Planning!$E$25,COLUMN(D40),ROW(D40),1,1)&lt;&gt;"",OFFSET(Planning!$D$25,COLUMN(D40),0,1,1),0)</f>
        <v>0</v>
      </c>
      <c r="N43" s="67">
        <f ca="1">IF(OFFSET(Planning!$E$25,COLUMN(E40),ROW(E40),1,1)&lt;&gt;"",OFFSET(Planning!$D$25,COLUMN(E40),0,1,1),0)</f>
        <v>0</v>
      </c>
      <c r="O43" s="67">
        <f ca="1">IF(OFFSET(Planning!$E$25,COLUMN(F40),ROW(F40),1,1)&lt;&gt;"",OFFSET(Planning!$D$25,COLUMN(F40),0,1,1),0)</f>
        <v>0</v>
      </c>
      <c r="P43" s="67">
        <f ca="1">IF(OFFSET(Planning!$E$25,COLUMN(G40),ROW(G40),1,1)&lt;&gt;"",OFFSET(Planning!$D$25,COLUMN(G40),0,1,1),0)</f>
        <v>0</v>
      </c>
      <c r="Q43" s="67">
        <f ca="1">IF(OFFSET(Planning!$E$25,COLUMN(H40),ROW(H40),1,1)&lt;&gt;"",OFFSET(Planning!$D$25,COLUMN(H40),0,1,1),0)</f>
        <v>0</v>
      </c>
      <c r="R43" s="67">
        <f ca="1">IF(OFFSET(Planning!$E$25,COLUMN(I40),ROW(I40),1,1)&lt;&gt;"",OFFSET(Planning!$D$25,COLUMN(I40),0,1,1),0)</f>
        <v>0</v>
      </c>
      <c r="S43" s="67">
        <f ca="1">IF(OFFSET(Planning!$E$25,COLUMN(J40),ROW(J40),1,1)&lt;&gt;"",OFFSET(Planning!$D$25,COLUMN(J40),0,1,1),0)</f>
        <v>0</v>
      </c>
      <c r="T43" s="67">
        <f ca="1">IF(OFFSET(Planning!$E$25,COLUMN(K40),ROW(K40),1,1)&lt;&gt;"",OFFSET(Planning!$D$25,COLUMN(K40),0,1,1),0)</f>
        <v>0</v>
      </c>
      <c r="U43" s="67">
        <f ca="1">IF(OFFSET(Planning!$E$25,COLUMN(L40),ROW(L40),1,1)&lt;&gt;"",OFFSET(Planning!$D$25,COLUMN(L40),0,1,1),0)</f>
        <v>0</v>
      </c>
      <c r="V43" s="67">
        <f ca="1">IF(OFFSET(Planning!$E$25,COLUMN(M40),ROW(M40),1,1)&lt;&gt;"",OFFSET(Planning!$D$25,COLUMN(M40),0,1,1),0)</f>
        <v>0</v>
      </c>
      <c r="W43" s="67">
        <f ca="1">IF(OFFSET(Planning!$E$25,COLUMN(N40),ROW(N40),1,1)&lt;&gt;"",OFFSET(Planning!$D$25,COLUMN(N40),0,1,1),0)</f>
        <v>0</v>
      </c>
      <c r="X43" s="67">
        <f ca="1">IF(OFFSET(Planning!$E$25,COLUMN(O40),ROW(O40),1,1)&lt;&gt;"",OFFSET(Planning!$D$25,COLUMN(O40),0,1,1),0)</f>
        <v>0</v>
      </c>
      <c r="Y43" s="67">
        <f ca="1">IF(OFFSET(Planning!$E$25,COLUMN(P40),ROW(P40),1,1)&lt;&gt;"",OFFSET(Planning!$D$25,COLUMN(P40),0,1,1),0)</f>
        <v>0</v>
      </c>
      <c r="Z43" s="67">
        <f ca="1">IF(OFFSET(Planning!$E$25,COLUMN(Q40),ROW(Q40),1,1)&lt;&gt;"",OFFSET(Planning!$D$25,COLUMN(Q40),0,1,1),0)</f>
        <v>0</v>
      </c>
      <c r="AA43" s="67">
        <f ca="1">IF(OFFSET(Planning!$E$25,COLUMN(R40),ROW(R40),1,1)&lt;&gt;"",OFFSET(Planning!$D$25,COLUMN(R40),0,1,1),0)</f>
        <v>0</v>
      </c>
      <c r="AB43" s="67">
        <f ca="1">IF(OFFSET(Planning!$E$25,COLUMN(S40),ROW(S40),1,1)&lt;&gt;"",OFFSET(Planning!$D$25,COLUMN(S40),0,1,1),0)</f>
        <v>0</v>
      </c>
      <c r="AC43" s="67">
        <f ca="1">IF(OFFSET(Planning!$E$25,COLUMN(T40),ROW(T40),1,1)&lt;&gt;"",OFFSET(Planning!$D$25,COLUMN(T40),0,1,1),0)</f>
        <v>0</v>
      </c>
      <c r="AD43" s="67" t="e">
        <f ca="1">VLOOKUP($B43,'Summary Calculations (hide)'!$D$15:$U$67,17,0)</f>
        <v>#N/A</v>
      </c>
      <c r="AE43" s="67" t="e">
        <f ca="1">VLOOKUP($B43,'Summary Calculations (hide)'!$D$15:$U$67,18,0)</f>
        <v>#N/A</v>
      </c>
    </row>
    <row r="44" spans="1:31" x14ac:dyDescent="0.2">
      <c r="A44" s="87">
        <f t="shared" ca="1" si="3"/>
        <v>44704</v>
      </c>
      <c r="B44" s="67">
        <f t="shared" ca="1" si="0"/>
        <v>21</v>
      </c>
      <c r="C44" s="5" t="e">
        <f ca="1">IF(Planning!$C$8="No",VLOOKUP(B44,'Summary Calculations (hide)'!$D$15:$U$67,17,0),IF('Demand adjustments for Covid'!$F$9="Yes",'Demand background (hide)'!DS44+SUM('Demand background (hide)'!DV44:DW44),VLOOKUP(B44,'Summary Calculations (hide)'!$D$15:$F$67,2,0))*IF(Planning!$C$11="",1,1+Planning!$C$11)*'Summary Calculations (hide)'!$L$4/IF(Summary!$C$8="Patients",'Summary Calculations (hide)'!$I$9,1))</f>
        <v>#N/A</v>
      </c>
      <c r="D44" s="5" t="e">
        <f ca="1">IF(Planning!$C$8="No",VLOOKUP('Planning (hide)'!B44,'Summary Calculations (hide)'!$D$15:$U$67,18,0),IF('Demand adjustments for Covid'!$F$9="Yes",'Demand background (hide)'!DX44,VLOOKUP(B44,'Summary Calculations (hide)'!$D$15:$F$67,3,0))*IF(Planning!$C$11="",1,1+Planning!$C$11)*'Summary Calculations (hide)'!$L$4/IF(Summary!$C$8="Patients",'Summary Calculations (hide)'!$I$9,1))-IF(Planning!$C$8="No",0,C44)</f>
        <v>#N/A</v>
      </c>
      <c r="E44" s="5">
        <f ca="1">VLOOKUP($B44,'Summary Calculations (hide)'!$D$15:$U$67,15,0)</f>
        <v>0</v>
      </c>
      <c r="F44" s="5">
        <f ca="1">VLOOKUP($B44,'Summary Calculations (hide)'!$D$15:$U$67,16,0)</f>
        <v>0</v>
      </c>
      <c r="G44" s="5">
        <f t="shared" ca="1" si="1"/>
        <v>0</v>
      </c>
      <c r="H44" s="5">
        <f t="shared" ca="1" si="2"/>
        <v>0</v>
      </c>
      <c r="I44" s="67">
        <f ca="1">IF(OFFSET(Planning!$E$25,0,ROW(A41),1,1)&lt;&gt;"",-'Planning (hide)'!$G44,0)</f>
        <v>0</v>
      </c>
      <c r="J44" s="67">
        <f ca="1">IF(OFFSET(Planning!$E$25,COLUMN(A41),ROW(A41),1,1)&lt;&gt;"",OFFSET(Planning!$D$25,COLUMN(A41),0,1,1),0)</f>
        <v>0</v>
      </c>
      <c r="K44" s="67">
        <f ca="1">IF(OFFSET(Planning!$E$25,COLUMN(B41),ROW(B41),1,1)&lt;&gt;"",OFFSET(Planning!$D$25,COLUMN(B41),0,1,1),0)</f>
        <v>0</v>
      </c>
      <c r="L44" s="67">
        <f ca="1">IF(OFFSET(Planning!$E$25,COLUMN(C41),ROW(C41),1,1)&lt;&gt;"",OFFSET(Planning!$D$25,COLUMN(C41),0,1,1),0)</f>
        <v>0</v>
      </c>
      <c r="M44" s="67">
        <f ca="1">IF(OFFSET(Planning!$E$25,COLUMN(D41),ROW(D41),1,1)&lt;&gt;"",OFFSET(Planning!$D$25,COLUMN(D41),0,1,1),0)</f>
        <v>0</v>
      </c>
      <c r="N44" s="67">
        <f ca="1">IF(OFFSET(Planning!$E$25,COLUMN(E41),ROW(E41),1,1)&lt;&gt;"",OFFSET(Planning!$D$25,COLUMN(E41),0,1,1),0)</f>
        <v>0</v>
      </c>
      <c r="O44" s="67">
        <f ca="1">IF(OFFSET(Planning!$E$25,COLUMN(F41),ROW(F41),1,1)&lt;&gt;"",OFFSET(Planning!$D$25,COLUMN(F41),0,1,1),0)</f>
        <v>0</v>
      </c>
      <c r="P44" s="67">
        <f ca="1">IF(OFFSET(Planning!$E$25,COLUMN(G41),ROW(G41),1,1)&lt;&gt;"",OFFSET(Planning!$D$25,COLUMN(G41),0,1,1),0)</f>
        <v>0</v>
      </c>
      <c r="Q44" s="67">
        <f ca="1">IF(OFFSET(Planning!$E$25,COLUMN(H41),ROW(H41),1,1)&lt;&gt;"",OFFSET(Planning!$D$25,COLUMN(H41),0,1,1),0)</f>
        <v>0</v>
      </c>
      <c r="R44" s="67">
        <f ca="1">IF(OFFSET(Planning!$E$25,COLUMN(I41),ROW(I41),1,1)&lt;&gt;"",OFFSET(Planning!$D$25,COLUMN(I41),0,1,1),0)</f>
        <v>0</v>
      </c>
      <c r="S44" s="67">
        <f ca="1">IF(OFFSET(Planning!$E$25,COLUMN(J41),ROW(J41),1,1)&lt;&gt;"",OFFSET(Planning!$D$25,COLUMN(J41),0,1,1),0)</f>
        <v>0</v>
      </c>
      <c r="T44" s="67">
        <f ca="1">IF(OFFSET(Planning!$E$25,COLUMN(K41),ROW(K41),1,1)&lt;&gt;"",OFFSET(Planning!$D$25,COLUMN(K41),0,1,1),0)</f>
        <v>0</v>
      </c>
      <c r="U44" s="67">
        <f ca="1">IF(OFFSET(Planning!$E$25,COLUMN(L41),ROW(L41),1,1)&lt;&gt;"",OFFSET(Planning!$D$25,COLUMN(L41),0,1,1),0)</f>
        <v>0</v>
      </c>
      <c r="V44" s="67">
        <f ca="1">IF(OFFSET(Planning!$E$25,COLUMN(M41),ROW(M41),1,1)&lt;&gt;"",OFFSET(Planning!$D$25,COLUMN(M41),0,1,1),0)</f>
        <v>0</v>
      </c>
      <c r="W44" s="67">
        <f ca="1">IF(OFFSET(Planning!$E$25,COLUMN(N41),ROW(N41),1,1)&lt;&gt;"",OFFSET(Planning!$D$25,COLUMN(N41),0,1,1),0)</f>
        <v>0</v>
      </c>
      <c r="X44" s="67">
        <f ca="1">IF(OFFSET(Planning!$E$25,COLUMN(O41),ROW(O41),1,1)&lt;&gt;"",OFFSET(Planning!$D$25,COLUMN(O41),0,1,1),0)</f>
        <v>0</v>
      </c>
      <c r="Y44" s="67">
        <f ca="1">IF(OFFSET(Planning!$E$25,COLUMN(P41),ROW(P41),1,1)&lt;&gt;"",OFFSET(Planning!$D$25,COLUMN(P41),0,1,1),0)</f>
        <v>0</v>
      </c>
      <c r="Z44" s="67">
        <f ca="1">IF(OFFSET(Planning!$E$25,COLUMN(Q41),ROW(Q41),1,1)&lt;&gt;"",OFFSET(Planning!$D$25,COLUMN(Q41),0,1,1),0)</f>
        <v>0</v>
      </c>
      <c r="AA44" s="67">
        <f ca="1">IF(OFFSET(Planning!$E$25,COLUMN(R41),ROW(R41),1,1)&lt;&gt;"",OFFSET(Planning!$D$25,COLUMN(R41),0,1,1),0)</f>
        <v>0</v>
      </c>
      <c r="AB44" s="67">
        <f ca="1">IF(OFFSET(Planning!$E$25,COLUMN(S41),ROW(S41),1,1)&lt;&gt;"",OFFSET(Planning!$D$25,COLUMN(S41),0,1,1),0)</f>
        <v>0</v>
      </c>
      <c r="AC44" s="67">
        <f ca="1">IF(OFFSET(Planning!$E$25,COLUMN(T41),ROW(T41),1,1)&lt;&gt;"",OFFSET(Planning!$D$25,COLUMN(T41),0,1,1),0)</f>
        <v>0</v>
      </c>
      <c r="AD44" s="67" t="e">
        <f ca="1">VLOOKUP($B44,'Summary Calculations (hide)'!$D$15:$U$67,17,0)</f>
        <v>#N/A</v>
      </c>
      <c r="AE44" s="67" t="e">
        <f ca="1">VLOOKUP($B44,'Summary Calculations (hide)'!$D$15:$U$67,18,0)</f>
        <v>#N/A</v>
      </c>
    </row>
    <row r="45" spans="1:31" x14ac:dyDescent="0.2">
      <c r="A45" s="87">
        <f t="shared" ca="1" si="3"/>
        <v>44711</v>
      </c>
      <c r="B45" s="67">
        <f t="shared" ca="1" si="0"/>
        <v>22</v>
      </c>
      <c r="C45" s="5" t="e">
        <f ca="1">IF(Planning!$C$8="No",VLOOKUP(B45,'Summary Calculations (hide)'!$D$15:$U$67,17,0),IF('Demand adjustments for Covid'!$F$9="Yes",'Demand background (hide)'!DS45+SUM('Demand background (hide)'!DV45:DW45),VLOOKUP(B45,'Summary Calculations (hide)'!$D$15:$F$67,2,0))*IF(Planning!$C$11="",1,1+Planning!$C$11)*'Summary Calculations (hide)'!$L$4/IF(Summary!$C$8="Patients",'Summary Calculations (hide)'!$I$9,1))</f>
        <v>#N/A</v>
      </c>
      <c r="D45" s="5" t="e">
        <f ca="1">IF(Planning!$C$8="No",VLOOKUP('Planning (hide)'!B45,'Summary Calculations (hide)'!$D$15:$U$67,18,0),IF('Demand adjustments for Covid'!$F$9="Yes",'Demand background (hide)'!DX45,VLOOKUP(B45,'Summary Calculations (hide)'!$D$15:$F$67,3,0))*IF(Planning!$C$11="",1,1+Planning!$C$11)*'Summary Calculations (hide)'!$L$4/IF(Summary!$C$8="Patients",'Summary Calculations (hide)'!$I$9,1))-IF(Planning!$C$8="No",0,C45)</f>
        <v>#N/A</v>
      </c>
      <c r="E45" s="5">
        <f ca="1">VLOOKUP($B45,'Summary Calculations (hide)'!$D$15:$U$67,15,0)</f>
        <v>0</v>
      </c>
      <c r="F45" s="5">
        <f ca="1">VLOOKUP($B45,'Summary Calculations (hide)'!$D$15:$U$67,16,0)</f>
        <v>0</v>
      </c>
      <c r="G45" s="5">
        <f t="shared" ca="1" si="1"/>
        <v>0</v>
      </c>
      <c r="H45" s="5">
        <f t="shared" ca="1" si="2"/>
        <v>0</v>
      </c>
      <c r="I45" s="67">
        <f ca="1">IF(OFFSET(Planning!$E$25,0,ROW(A42),1,1)&lt;&gt;"",-'Planning (hide)'!$G45,0)</f>
        <v>0</v>
      </c>
      <c r="J45" s="67">
        <f ca="1">IF(OFFSET(Planning!$E$25,COLUMN(A42),ROW(A42),1,1)&lt;&gt;"",OFFSET(Planning!$D$25,COLUMN(A42),0,1,1),0)</f>
        <v>0</v>
      </c>
      <c r="K45" s="67">
        <f ca="1">IF(OFFSET(Planning!$E$25,COLUMN(B42),ROW(B42),1,1)&lt;&gt;"",OFFSET(Planning!$D$25,COLUMN(B42),0,1,1),0)</f>
        <v>0</v>
      </c>
      <c r="L45" s="67">
        <f ca="1">IF(OFFSET(Planning!$E$25,COLUMN(C42),ROW(C42),1,1)&lt;&gt;"",OFFSET(Planning!$D$25,COLUMN(C42),0,1,1),0)</f>
        <v>0</v>
      </c>
      <c r="M45" s="67">
        <f ca="1">IF(OFFSET(Planning!$E$25,COLUMN(D42),ROW(D42),1,1)&lt;&gt;"",OFFSET(Planning!$D$25,COLUMN(D42),0,1,1),0)</f>
        <v>0</v>
      </c>
      <c r="N45" s="67">
        <f ca="1">IF(OFFSET(Planning!$E$25,COLUMN(E42),ROW(E42),1,1)&lt;&gt;"",OFFSET(Planning!$D$25,COLUMN(E42),0,1,1),0)</f>
        <v>0</v>
      </c>
      <c r="O45" s="67">
        <f ca="1">IF(OFFSET(Planning!$E$25,COLUMN(F42),ROW(F42),1,1)&lt;&gt;"",OFFSET(Planning!$D$25,COLUMN(F42),0,1,1),0)</f>
        <v>0</v>
      </c>
      <c r="P45" s="67">
        <f ca="1">IF(OFFSET(Planning!$E$25,COLUMN(G42),ROW(G42),1,1)&lt;&gt;"",OFFSET(Planning!$D$25,COLUMN(G42),0,1,1),0)</f>
        <v>0</v>
      </c>
      <c r="Q45" s="67">
        <f ca="1">IF(OFFSET(Planning!$E$25,COLUMN(H42),ROW(H42),1,1)&lt;&gt;"",OFFSET(Planning!$D$25,COLUMN(H42),0,1,1),0)</f>
        <v>0</v>
      </c>
      <c r="R45" s="67">
        <f ca="1">IF(OFFSET(Planning!$E$25,COLUMN(I42),ROW(I42),1,1)&lt;&gt;"",OFFSET(Planning!$D$25,COLUMN(I42),0,1,1),0)</f>
        <v>0</v>
      </c>
      <c r="S45" s="67">
        <f ca="1">IF(OFFSET(Planning!$E$25,COLUMN(J42),ROW(J42),1,1)&lt;&gt;"",OFFSET(Planning!$D$25,COLUMN(J42),0,1,1),0)</f>
        <v>0</v>
      </c>
      <c r="T45" s="67">
        <f ca="1">IF(OFFSET(Planning!$E$25,COLUMN(K42),ROW(K42),1,1)&lt;&gt;"",OFFSET(Planning!$D$25,COLUMN(K42),0,1,1),0)</f>
        <v>0</v>
      </c>
      <c r="U45" s="67">
        <f ca="1">IF(OFFSET(Planning!$E$25,COLUMN(L42),ROW(L42),1,1)&lt;&gt;"",OFFSET(Planning!$D$25,COLUMN(L42),0,1,1),0)</f>
        <v>0</v>
      </c>
      <c r="V45" s="67">
        <f ca="1">IF(OFFSET(Planning!$E$25,COLUMN(M42),ROW(M42),1,1)&lt;&gt;"",OFFSET(Planning!$D$25,COLUMN(M42),0,1,1),0)</f>
        <v>0</v>
      </c>
      <c r="W45" s="67">
        <f ca="1">IF(OFFSET(Planning!$E$25,COLUMN(N42),ROW(N42),1,1)&lt;&gt;"",OFFSET(Planning!$D$25,COLUMN(N42),0,1,1),0)</f>
        <v>0</v>
      </c>
      <c r="X45" s="67">
        <f ca="1">IF(OFFSET(Planning!$E$25,COLUMN(O42),ROW(O42),1,1)&lt;&gt;"",OFFSET(Planning!$D$25,COLUMN(O42),0,1,1),0)</f>
        <v>0</v>
      </c>
      <c r="Y45" s="67">
        <f ca="1">IF(OFFSET(Planning!$E$25,COLUMN(P42),ROW(P42),1,1)&lt;&gt;"",OFFSET(Planning!$D$25,COLUMN(P42),0,1,1),0)</f>
        <v>0</v>
      </c>
      <c r="Z45" s="67">
        <f ca="1">IF(OFFSET(Planning!$E$25,COLUMN(Q42),ROW(Q42),1,1)&lt;&gt;"",OFFSET(Planning!$D$25,COLUMN(Q42),0,1,1),0)</f>
        <v>0</v>
      </c>
      <c r="AA45" s="67">
        <f ca="1">IF(OFFSET(Planning!$E$25,COLUMN(R42),ROW(R42),1,1)&lt;&gt;"",OFFSET(Planning!$D$25,COLUMN(R42),0,1,1),0)</f>
        <v>0</v>
      </c>
      <c r="AB45" s="67">
        <f ca="1">IF(OFFSET(Planning!$E$25,COLUMN(S42),ROW(S42),1,1)&lt;&gt;"",OFFSET(Planning!$D$25,COLUMN(S42),0,1,1),0)</f>
        <v>0</v>
      </c>
      <c r="AC45" s="67">
        <f ca="1">IF(OFFSET(Planning!$E$25,COLUMN(T42),ROW(T42),1,1)&lt;&gt;"",OFFSET(Planning!$D$25,COLUMN(T42),0,1,1),0)</f>
        <v>0</v>
      </c>
      <c r="AD45" s="67" t="e">
        <f ca="1">VLOOKUP($B45,'Summary Calculations (hide)'!$D$15:$U$67,17,0)</f>
        <v>#N/A</v>
      </c>
      <c r="AE45" s="67" t="e">
        <f ca="1">VLOOKUP($B45,'Summary Calculations (hide)'!$D$15:$U$67,18,0)</f>
        <v>#N/A</v>
      </c>
    </row>
    <row r="46" spans="1:31" x14ac:dyDescent="0.2">
      <c r="A46" s="87">
        <f t="shared" ca="1" si="3"/>
        <v>44718</v>
      </c>
      <c r="B46" s="67">
        <f t="shared" ca="1" si="0"/>
        <v>23</v>
      </c>
      <c r="C46" s="5" t="e">
        <f ca="1">IF(Planning!$C$8="No",VLOOKUP(B46,'Summary Calculations (hide)'!$D$15:$U$67,17,0),IF('Demand adjustments for Covid'!$F$9="Yes",'Demand background (hide)'!DS46+SUM('Demand background (hide)'!DV46:DW46),VLOOKUP(B46,'Summary Calculations (hide)'!$D$15:$F$67,2,0))*IF(Planning!$C$11="",1,1+Planning!$C$11)*'Summary Calculations (hide)'!$L$4/IF(Summary!$C$8="Patients",'Summary Calculations (hide)'!$I$9,1))</f>
        <v>#N/A</v>
      </c>
      <c r="D46" s="5" t="e">
        <f ca="1">IF(Planning!$C$8="No",VLOOKUP('Planning (hide)'!B46,'Summary Calculations (hide)'!$D$15:$U$67,18,0),IF('Demand adjustments for Covid'!$F$9="Yes",'Demand background (hide)'!DX46,VLOOKUP(B46,'Summary Calculations (hide)'!$D$15:$F$67,3,0))*IF(Planning!$C$11="",1,1+Planning!$C$11)*'Summary Calculations (hide)'!$L$4/IF(Summary!$C$8="Patients",'Summary Calculations (hide)'!$I$9,1))-IF(Planning!$C$8="No",0,C46)</f>
        <v>#N/A</v>
      </c>
      <c r="E46" s="5">
        <f ca="1">VLOOKUP($B46,'Summary Calculations (hide)'!$D$15:$U$67,15,0)</f>
        <v>0</v>
      </c>
      <c r="F46" s="5">
        <f ca="1">VLOOKUP($B46,'Summary Calculations (hide)'!$D$15:$U$67,16,0)</f>
        <v>0</v>
      </c>
      <c r="G46" s="5">
        <f t="shared" ca="1" si="1"/>
        <v>0</v>
      </c>
      <c r="H46" s="5">
        <f t="shared" ca="1" si="2"/>
        <v>0</v>
      </c>
      <c r="I46" s="67">
        <f ca="1">IF(OFFSET(Planning!$E$25,0,ROW(A43),1,1)&lt;&gt;"",-'Planning (hide)'!$G46,0)</f>
        <v>0</v>
      </c>
      <c r="J46" s="67">
        <f ca="1">IF(OFFSET(Planning!$E$25,COLUMN(A43),ROW(A43),1,1)&lt;&gt;"",OFFSET(Planning!$D$25,COLUMN(A43),0,1,1),0)</f>
        <v>0</v>
      </c>
      <c r="K46" s="67">
        <f ca="1">IF(OFFSET(Planning!$E$25,COLUMN(B43),ROW(B43),1,1)&lt;&gt;"",OFFSET(Planning!$D$25,COLUMN(B43),0,1,1),0)</f>
        <v>0</v>
      </c>
      <c r="L46" s="67">
        <f ca="1">IF(OFFSET(Planning!$E$25,COLUMN(C43),ROW(C43),1,1)&lt;&gt;"",OFFSET(Planning!$D$25,COLUMN(C43),0,1,1),0)</f>
        <v>0</v>
      </c>
      <c r="M46" s="67">
        <f ca="1">IF(OFFSET(Planning!$E$25,COLUMN(D43),ROW(D43),1,1)&lt;&gt;"",OFFSET(Planning!$D$25,COLUMN(D43),0,1,1),0)</f>
        <v>0</v>
      </c>
      <c r="N46" s="67">
        <f ca="1">IF(OFFSET(Planning!$E$25,COLUMN(E43),ROW(E43),1,1)&lt;&gt;"",OFFSET(Planning!$D$25,COLUMN(E43),0,1,1),0)</f>
        <v>0</v>
      </c>
      <c r="O46" s="67">
        <f ca="1">IF(OFFSET(Planning!$E$25,COLUMN(F43),ROW(F43),1,1)&lt;&gt;"",OFFSET(Planning!$D$25,COLUMN(F43),0,1,1),0)</f>
        <v>0</v>
      </c>
      <c r="P46" s="67">
        <f ca="1">IF(OFFSET(Planning!$E$25,COLUMN(G43),ROW(G43),1,1)&lt;&gt;"",OFFSET(Planning!$D$25,COLUMN(G43),0,1,1),0)</f>
        <v>0</v>
      </c>
      <c r="Q46" s="67">
        <f ca="1">IF(OFFSET(Planning!$E$25,COLUMN(H43),ROW(H43),1,1)&lt;&gt;"",OFFSET(Planning!$D$25,COLUMN(H43),0,1,1),0)</f>
        <v>0</v>
      </c>
      <c r="R46" s="67">
        <f ca="1">IF(OFFSET(Planning!$E$25,COLUMN(I43),ROW(I43),1,1)&lt;&gt;"",OFFSET(Planning!$D$25,COLUMN(I43),0,1,1),0)</f>
        <v>0</v>
      </c>
      <c r="S46" s="67">
        <f ca="1">IF(OFFSET(Planning!$E$25,COLUMN(J43),ROW(J43),1,1)&lt;&gt;"",OFFSET(Planning!$D$25,COLUMN(J43),0,1,1),0)</f>
        <v>0</v>
      </c>
      <c r="T46" s="67">
        <f ca="1">IF(OFFSET(Planning!$E$25,COLUMN(K43),ROW(K43),1,1)&lt;&gt;"",OFFSET(Planning!$D$25,COLUMN(K43),0,1,1),0)</f>
        <v>0</v>
      </c>
      <c r="U46" s="67">
        <f ca="1">IF(OFFSET(Planning!$E$25,COLUMN(L43),ROW(L43),1,1)&lt;&gt;"",OFFSET(Planning!$D$25,COLUMN(L43),0,1,1),0)</f>
        <v>0</v>
      </c>
      <c r="V46" s="67">
        <f ca="1">IF(OFFSET(Planning!$E$25,COLUMN(M43),ROW(M43),1,1)&lt;&gt;"",OFFSET(Planning!$D$25,COLUMN(M43),0,1,1),0)</f>
        <v>0</v>
      </c>
      <c r="W46" s="67">
        <f ca="1">IF(OFFSET(Planning!$E$25,COLUMN(N43),ROW(N43),1,1)&lt;&gt;"",OFFSET(Planning!$D$25,COLUMN(N43),0,1,1),0)</f>
        <v>0</v>
      </c>
      <c r="X46" s="67">
        <f ca="1">IF(OFFSET(Planning!$E$25,COLUMN(O43),ROW(O43),1,1)&lt;&gt;"",OFFSET(Planning!$D$25,COLUMN(O43),0,1,1),0)</f>
        <v>0</v>
      </c>
      <c r="Y46" s="67">
        <f ca="1">IF(OFFSET(Planning!$E$25,COLUMN(P43),ROW(P43),1,1)&lt;&gt;"",OFFSET(Planning!$D$25,COLUMN(P43),0,1,1),0)</f>
        <v>0</v>
      </c>
      <c r="Z46" s="67">
        <f ca="1">IF(OFFSET(Planning!$E$25,COLUMN(Q43),ROW(Q43),1,1)&lt;&gt;"",OFFSET(Planning!$D$25,COLUMN(Q43),0,1,1),0)</f>
        <v>0</v>
      </c>
      <c r="AA46" s="67">
        <f ca="1">IF(OFFSET(Planning!$E$25,COLUMN(R43),ROW(R43),1,1)&lt;&gt;"",OFFSET(Planning!$D$25,COLUMN(R43),0,1,1),0)</f>
        <v>0</v>
      </c>
      <c r="AB46" s="67">
        <f ca="1">IF(OFFSET(Planning!$E$25,COLUMN(S43),ROW(S43),1,1)&lt;&gt;"",OFFSET(Planning!$D$25,COLUMN(S43),0,1,1),0)</f>
        <v>0</v>
      </c>
      <c r="AC46" s="67">
        <f ca="1">IF(OFFSET(Planning!$E$25,COLUMN(T43),ROW(T43),1,1)&lt;&gt;"",OFFSET(Planning!$D$25,COLUMN(T43),0,1,1),0)</f>
        <v>0</v>
      </c>
      <c r="AD46" s="67" t="e">
        <f ca="1">VLOOKUP($B46,'Summary Calculations (hide)'!$D$15:$U$67,17,0)</f>
        <v>#N/A</v>
      </c>
      <c r="AE46" s="67" t="e">
        <f ca="1">VLOOKUP($B46,'Summary Calculations (hide)'!$D$15:$U$67,18,0)</f>
        <v>#N/A</v>
      </c>
    </row>
    <row r="47" spans="1:31" x14ac:dyDescent="0.2">
      <c r="A47" s="87">
        <f t="shared" ca="1" si="3"/>
        <v>44725</v>
      </c>
      <c r="B47" s="67">
        <f t="shared" ca="1" si="0"/>
        <v>24</v>
      </c>
      <c r="C47" s="5" t="e">
        <f ca="1">IF(Planning!$C$8="No",VLOOKUP(B47,'Summary Calculations (hide)'!$D$15:$U$67,17,0),IF('Demand adjustments for Covid'!$F$9="Yes",'Demand background (hide)'!DS47+SUM('Demand background (hide)'!DV47:DW47),VLOOKUP(B47,'Summary Calculations (hide)'!$D$15:$F$67,2,0))*IF(Planning!$C$11="",1,1+Planning!$C$11)*'Summary Calculations (hide)'!$L$4/IF(Summary!$C$8="Patients",'Summary Calculations (hide)'!$I$9,1))</f>
        <v>#N/A</v>
      </c>
      <c r="D47" s="5" t="e">
        <f ca="1">IF(Planning!$C$8="No",VLOOKUP('Planning (hide)'!B47,'Summary Calculations (hide)'!$D$15:$U$67,18,0),IF('Demand adjustments for Covid'!$F$9="Yes",'Demand background (hide)'!DX47,VLOOKUP(B47,'Summary Calculations (hide)'!$D$15:$F$67,3,0))*IF(Planning!$C$11="",1,1+Planning!$C$11)*'Summary Calculations (hide)'!$L$4/IF(Summary!$C$8="Patients",'Summary Calculations (hide)'!$I$9,1))-IF(Planning!$C$8="No",0,C47)</f>
        <v>#N/A</v>
      </c>
      <c r="E47" s="5">
        <f ca="1">VLOOKUP($B47,'Summary Calculations (hide)'!$D$15:$U$67,15,0)</f>
        <v>0</v>
      </c>
      <c r="F47" s="5">
        <f ca="1">VLOOKUP($B47,'Summary Calculations (hide)'!$D$15:$U$67,16,0)</f>
        <v>0</v>
      </c>
      <c r="G47" s="5">
        <f t="shared" ca="1" si="1"/>
        <v>0</v>
      </c>
      <c r="H47" s="5">
        <f t="shared" ca="1" si="2"/>
        <v>0</v>
      </c>
      <c r="I47" s="67">
        <f ca="1">IF(OFFSET(Planning!$E$25,0,ROW(A44),1,1)&lt;&gt;"",-'Planning (hide)'!$G47,0)</f>
        <v>0</v>
      </c>
      <c r="J47" s="67">
        <f ca="1">IF(OFFSET(Planning!$E$25,COLUMN(A44),ROW(A44),1,1)&lt;&gt;"",OFFSET(Planning!$D$25,COLUMN(A44),0,1,1),0)</f>
        <v>0</v>
      </c>
      <c r="K47" s="67">
        <f ca="1">IF(OFFSET(Planning!$E$25,COLUMN(B44),ROW(B44),1,1)&lt;&gt;"",OFFSET(Planning!$D$25,COLUMN(B44),0,1,1),0)</f>
        <v>0</v>
      </c>
      <c r="L47" s="67">
        <f ca="1">IF(OFFSET(Planning!$E$25,COLUMN(C44),ROW(C44),1,1)&lt;&gt;"",OFFSET(Planning!$D$25,COLUMN(C44),0,1,1),0)</f>
        <v>0</v>
      </c>
      <c r="M47" s="67">
        <f ca="1">IF(OFFSET(Planning!$E$25,COLUMN(D44),ROW(D44),1,1)&lt;&gt;"",OFFSET(Planning!$D$25,COLUMN(D44),0,1,1),0)</f>
        <v>0</v>
      </c>
      <c r="N47" s="67">
        <f ca="1">IF(OFFSET(Planning!$E$25,COLUMN(E44),ROW(E44),1,1)&lt;&gt;"",OFFSET(Planning!$D$25,COLUMN(E44),0,1,1),0)</f>
        <v>0</v>
      </c>
      <c r="O47" s="67">
        <f ca="1">IF(OFFSET(Planning!$E$25,COLUMN(F44),ROW(F44),1,1)&lt;&gt;"",OFFSET(Planning!$D$25,COLUMN(F44),0,1,1),0)</f>
        <v>0</v>
      </c>
      <c r="P47" s="67">
        <f ca="1">IF(OFFSET(Planning!$E$25,COLUMN(G44),ROW(G44),1,1)&lt;&gt;"",OFFSET(Planning!$D$25,COLUMN(G44),0,1,1),0)</f>
        <v>0</v>
      </c>
      <c r="Q47" s="67">
        <f ca="1">IF(OFFSET(Planning!$E$25,COLUMN(H44),ROW(H44),1,1)&lt;&gt;"",OFFSET(Planning!$D$25,COLUMN(H44),0,1,1),0)</f>
        <v>0</v>
      </c>
      <c r="R47" s="67">
        <f ca="1">IF(OFFSET(Planning!$E$25,COLUMN(I44),ROW(I44),1,1)&lt;&gt;"",OFFSET(Planning!$D$25,COLUMN(I44),0,1,1),0)</f>
        <v>0</v>
      </c>
      <c r="S47" s="67">
        <f ca="1">IF(OFFSET(Planning!$E$25,COLUMN(J44),ROW(J44),1,1)&lt;&gt;"",OFFSET(Planning!$D$25,COLUMN(J44),0,1,1),0)</f>
        <v>0</v>
      </c>
      <c r="T47" s="67">
        <f ca="1">IF(OFFSET(Planning!$E$25,COLUMN(K44),ROW(K44),1,1)&lt;&gt;"",OFFSET(Planning!$D$25,COLUMN(K44),0,1,1),0)</f>
        <v>0</v>
      </c>
      <c r="U47" s="67">
        <f ca="1">IF(OFFSET(Planning!$E$25,COLUMN(L44),ROW(L44),1,1)&lt;&gt;"",OFFSET(Planning!$D$25,COLUMN(L44),0,1,1),0)</f>
        <v>0</v>
      </c>
      <c r="V47" s="67">
        <f ca="1">IF(OFFSET(Planning!$E$25,COLUMN(M44),ROW(M44),1,1)&lt;&gt;"",OFFSET(Planning!$D$25,COLUMN(M44),0,1,1),0)</f>
        <v>0</v>
      </c>
      <c r="W47" s="67">
        <f ca="1">IF(OFFSET(Planning!$E$25,COLUMN(N44),ROW(N44),1,1)&lt;&gt;"",OFFSET(Planning!$D$25,COLUMN(N44),0,1,1),0)</f>
        <v>0</v>
      </c>
      <c r="X47" s="67">
        <f ca="1">IF(OFFSET(Planning!$E$25,COLUMN(O44),ROW(O44),1,1)&lt;&gt;"",OFFSET(Planning!$D$25,COLUMN(O44),0,1,1),0)</f>
        <v>0</v>
      </c>
      <c r="Y47" s="67">
        <f ca="1">IF(OFFSET(Planning!$E$25,COLUMN(P44),ROW(P44),1,1)&lt;&gt;"",OFFSET(Planning!$D$25,COLUMN(P44),0,1,1),0)</f>
        <v>0</v>
      </c>
      <c r="Z47" s="67">
        <f ca="1">IF(OFFSET(Planning!$E$25,COLUMN(Q44),ROW(Q44),1,1)&lt;&gt;"",OFFSET(Planning!$D$25,COLUMN(Q44),0,1,1),0)</f>
        <v>0</v>
      </c>
      <c r="AA47" s="67">
        <f ca="1">IF(OFFSET(Planning!$E$25,COLUMN(R44),ROW(R44),1,1)&lt;&gt;"",OFFSET(Planning!$D$25,COLUMN(R44),0,1,1),0)</f>
        <v>0</v>
      </c>
      <c r="AB47" s="67">
        <f ca="1">IF(OFFSET(Planning!$E$25,COLUMN(S44),ROW(S44),1,1)&lt;&gt;"",OFFSET(Planning!$D$25,COLUMN(S44),0,1,1),0)</f>
        <v>0</v>
      </c>
      <c r="AC47" s="67">
        <f ca="1">IF(OFFSET(Planning!$E$25,COLUMN(T44),ROW(T44),1,1)&lt;&gt;"",OFFSET(Planning!$D$25,COLUMN(T44),0,1,1),0)</f>
        <v>0</v>
      </c>
      <c r="AD47" s="67" t="e">
        <f ca="1">VLOOKUP($B47,'Summary Calculations (hide)'!$D$15:$U$67,17,0)</f>
        <v>#N/A</v>
      </c>
      <c r="AE47" s="67" t="e">
        <f ca="1">VLOOKUP($B47,'Summary Calculations (hide)'!$D$15:$U$67,18,0)</f>
        <v>#N/A</v>
      </c>
    </row>
    <row r="48" spans="1:31" x14ac:dyDescent="0.2">
      <c r="A48" s="87">
        <f t="shared" ca="1" si="3"/>
        <v>44732</v>
      </c>
      <c r="B48" s="67">
        <f t="shared" ca="1" si="0"/>
        <v>25</v>
      </c>
      <c r="C48" s="5" t="e">
        <f ca="1">IF(Planning!$C$8="No",VLOOKUP(B48,'Summary Calculations (hide)'!$D$15:$U$67,17,0),IF('Demand adjustments for Covid'!$F$9="Yes",'Demand background (hide)'!DS48+SUM('Demand background (hide)'!DV48:DW48),VLOOKUP(B48,'Summary Calculations (hide)'!$D$15:$F$67,2,0))*IF(Planning!$C$11="",1,1+Planning!$C$11)*'Summary Calculations (hide)'!$L$4/IF(Summary!$C$8="Patients",'Summary Calculations (hide)'!$I$9,1))</f>
        <v>#N/A</v>
      </c>
      <c r="D48" s="5" t="e">
        <f ca="1">IF(Planning!$C$8="No",VLOOKUP('Planning (hide)'!B48,'Summary Calculations (hide)'!$D$15:$U$67,18,0),IF('Demand adjustments for Covid'!$F$9="Yes",'Demand background (hide)'!DX48,VLOOKUP(B48,'Summary Calculations (hide)'!$D$15:$F$67,3,0))*IF(Planning!$C$11="",1,1+Planning!$C$11)*'Summary Calculations (hide)'!$L$4/IF(Summary!$C$8="Patients",'Summary Calculations (hide)'!$I$9,1))-IF(Planning!$C$8="No",0,C48)</f>
        <v>#N/A</v>
      </c>
      <c r="E48" s="5">
        <f ca="1">VLOOKUP($B48,'Summary Calculations (hide)'!$D$15:$U$67,15,0)</f>
        <v>0</v>
      </c>
      <c r="F48" s="5">
        <f ca="1">VLOOKUP($B48,'Summary Calculations (hide)'!$D$15:$U$67,16,0)</f>
        <v>0</v>
      </c>
      <c r="G48" s="5">
        <f t="shared" ca="1" si="1"/>
        <v>0</v>
      </c>
      <c r="H48" s="5">
        <f t="shared" ca="1" si="2"/>
        <v>102</v>
      </c>
      <c r="I48" s="67">
        <f ca="1">IF(OFFSET(Planning!$E$25,0,ROW(A45),1,1)&lt;&gt;"",-'Planning (hide)'!$G48,0)</f>
        <v>0</v>
      </c>
      <c r="J48" s="67">
        <f ca="1">IF(OFFSET(Planning!$E$25,COLUMN(A45),ROW(A45),1,1)&lt;&gt;"",OFFSET(Planning!$D$25,COLUMN(A45),0,1,1),0)</f>
        <v>0</v>
      </c>
      <c r="K48" s="67">
        <f ca="1">IF(OFFSET(Planning!$E$25,COLUMN(B45),ROW(B45),1,1)&lt;&gt;"",OFFSET(Planning!$D$25,COLUMN(B45),0,1,1),0)</f>
        <v>102</v>
      </c>
      <c r="L48" s="67">
        <f ca="1">IF(OFFSET(Planning!$E$25,COLUMN(C45),ROW(C45),1,1)&lt;&gt;"",OFFSET(Planning!$D$25,COLUMN(C45),0,1,1),0)</f>
        <v>0</v>
      </c>
      <c r="M48" s="67">
        <f ca="1">IF(OFFSET(Planning!$E$25,COLUMN(D45),ROW(D45),1,1)&lt;&gt;"",OFFSET(Planning!$D$25,COLUMN(D45),0,1,1),0)</f>
        <v>0</v>
      </c>
      <c r="N48" s="67">
        <f ca="1">IF(OFFSET(Planning!$E$25,COLUMN(E45),ROW(E45),1,1)&lt;&gt;"",OFFSET(Planning!$D$25,COLUMN(E45),0,1,1),0)</f>
        <v>0</v>
      </c>
      <c r="O48" s="67">
        <f ca="1">IF(OFFSET(Planning!$E$25,COLUMN(F45),ROW(F45),1,1)&lt;&gt;"",OFFSET(Planning!$D$25,COLUMN(F45),0,1,1),0)</f>
        <v>0</v>
      </c>
      <c r="P48" s="67">
        <f ca="1">IF(OFFSET(Planning!$E$25,COLUMN(G45),ROW(G45),1,1)&lt;&gt;"",OFFSET(Planning!$D$25,COLUMN(G45),0,1,1),0)</f>
        <v>0</v>
      </c>
      <c r="Q48" s="67">
        <f ca="1">IF(OFFSET(Planning!$E$25,COLUMN(H45),ROW(H45),1,1)&lt;&gt;"",OFFSET(Planning!$D$25,COLUMN(H45),0,1,1),0)</f>
        <v>0</v>
      </c>
      <c r="R48" s="67">
        <f ca="1">IF(OFFSET(Planning!$E$25,COLUMN(I45),ROW(I45),1,1)&lt;&gt;"",OFFSET(Planning!$D$25,COLUMN(I45),0,1,1),0)</f>
        <v>0</v>
      </c>
      <c r="S48" s="67">
        <f ca="1">IF(OFFSET(Planning!$E$25,COLUMN(J45),ROW(J45),1,1)&lt;&gt;"",OFFSET(Planning!$D$25,COLUMN(J45),0,1,1),0)</f>
        <v>0</v>
      </c>
      <c r="T48" s="67">
        <f ca="1">IF(OFFSET(Planning!$E$25,COLUMN(K45),ROW(K45),1,1)&lt;&gt;"",OFFSET(Planning!$D$25,COLUMN(K45),0,1,1),0)</f>
        <v>0</v>
      </c>
      <c r="U48" s="67">
        <f ca="1">IF(OFFSET(Planning!$E$25,COLUMN(L45),ROW(L45),1,1)&lt;&gt;"",OFFSET(Planning!$D$25,COLUMN(L45),0,1,1),0)</f>
        <v>0</v>
      </c>
      <c r="V48" s="67">
        <f ca="1">IF(OFFSET(Planning!$E$25,COLUMN(M45),ROW(M45),1,1)&lt;&gt;"",OFFSET(Planning!$D$25,COLUMN(M45),0,1,1),0)</f>
        <v>0</v>
      </c>
      <c r="W48" s="67">
        <f ca="1">IF(OFFSET(Planning!$E$25,COLUMN(N45),ROW(N45),1,1)&lt;&gt;"",OFFSET(Planning!$D$25,COLUMN(N45),0,1,1),0)</f>
        <v>0</v>
      </c>
      <c r="X48" s="67">
        <f ca="1">IF(OFFSET(Planning!$E$25,COLUMN(O45),ROW(O45),1,1)&lt;&gt;"",OFFSET(Planning!$D$25,COLUMN(O45),0,1,1),0)</f>
        <v>0</v>
      </c>
      <c r="Y48" s="67">
        <f ca="1">IF(OFFSET(Planning!$E$25,COLUMN(P45),ROW(P45),1,1)&lt;&gt;"",OFFSET(Planning!$D$25,COLUMN(P45),0,1,1),0)</f>
        <v>0</v>
      </c>
      <c r="Z48" s="67">
        <f ca="1">IF(OFFSET(Planning!$E$25,COLUMN(Q45),ROW(Q45),1,1)&lt;&gt;"",OFFSET(Planning!$D$25,COLUMN(Q45),0,1,1),0)</f>
        <v>0</v>
      </c>
      <c r="AA48" s="67">
        <f ca="1">IF(OFFSET(Planning!$E$25,COLUMN(R45),ROW(R45),1,1)&lt;&gt;"",OFFSET(Planning!$D$25,COLUMN(R45),0,1,1),0)</f>
        <v>0</v>
      </c>
      <c r="AB48" s="67">
        <f ca="1">IF(OFFSET(Planning!$E$25,COLUMN(S45),ROW(S45),1,1)&lt;&gt;"",OFFSET(Planning!$D$25,COLUMN(S45),0,1,1),0)</f>
        <v>0</v>
      </c>
      <c r="AC48" s="67">
        <f ca="1">IF(OFFSET(Planning!$E$25,COLUMN(T45),ROW(T45),1,1)&lt;&gt;"",OFFSET(Planning!$D$25,COLUMN(T45),0,1,1),0)</f>
        <v>0</v>
      </c>
      <c r="AD48" s="67" t="e">
        <f ca="1">VLOOKUP($B48,'Summary Calculations (hide)'!$D$15:$U$67,17,0)</f>
        <v>#N/A</v>
      </c>
      <c r="AE48" s="67" t="e">
        <f ca="1">VLOOKUP($B48,'Summary Calculations (hide)'!$D$15:$U$67,18,0)</f>
        <v>#N/A</v>
      </c>
    </row>
    <row r="49" spans="1:31" x14ac:dyDescent="0.2">
      <c r="A49" s="87">
        <f t="shared" ca="1" si="3"/>
        <v>44739</v>
      </c>
      <c r="B49" s="67">
        <f t="shared" ca="1" si="0"/>
        <v>26</v>
      </c>
      <c r="C49" s="5" t="e">
        <f ca="1">IF(Planning!$C$8="No",VLOOKUP(B49,'Summary Calculations (hide)'!$D$15:$U$67,17,0),IF('Demand adjustments for Covid'!$F$9="Yes",'Demand background (hide)'!DS49+SUM('Demand background (hide)'!DV49:DW49),VLOOKUP(B49,'Summary Calculations (hide)'!$D$15:$F$67,2,0))*IF(Planning!$C$11="",1,1+Planning!$C$11)*'Summary Calculations (hide)'!$L$4/IF(Summary!$C$8="Patients",'Summary Calculations (hide)'!$I$9,1))</f>
        <v>#N/A</v>
      </c>
      <c r="D49" s="5" t="e">
        <f ca="1">IF(Planning!$C$8="No",VLOOKUP('Planning (hide)'!B49,'Summary Calculations (hide)'!$D$15:$U$67,18,0),IF('Demand adjustments for Covid'!$F$9="Yes",'Demand background (hide)'!DX49,VLOOKUP(B49,'Summary Calculations (hide)'!$D$15:$F$67,3,0))*IF(Planning!$C$11="",1,1+Planning!$C$11)*'Summary Calculations (hide)'!$L$4/IF(Summary!$C$8="Patients",'Summary Calculations (hide)'!$I$9,1))-IF(Planning!$C$8="No",0,C49)</f>
        <v>#N/A</v>
      </c>
      <c r="E49" s="5">
        <f ca="1">VLOOKUP($B49,'Summary Calculations (hide)'!$D$15:$U$67,15,0)</f>
        <v>0</v>
      </c>
      <c r="F49" s="5">
        <f ca="1">VLOOKUP($B49,'Summary Calculations (hide)'!$D$15:$U$67,16,0)</f>
        <v>0</v>
      </c>
      <c r="G49" s="5">
        <f t="shared" ca="1" si="1"/>
        <v>0</v>
      </c>
      <c r="H49" s="5">
        <f t="shared" ca="1" si="2"/>
        <v>102</v>
      </c>
      <c r="I49" s="67">
        <f ca="1">IF(OFFSET(Planning!$E$25,0,ROW(A46),1,1)&lt;&gt;"",-'Planning (hide)'!$G49,0)</f>
        <v>0</v>
      </c>
      <c r="J49" s="67">
        <f ca="1">IF(OFFSET(Planning!$E$25,COLUMN(A46),ROW(A46),1,1)&lt;&gt;"",OFFSET(Planning!$D$25,COLUMN(A46),0,1,1),0)</f>
        <v>0</v>
      </c>
      <c r="K49" s="67">
        <f ca="1">IF(OFFSET(Planning!$E$25,COLUMN(B46),ROW(B46),1,1)&lt;&gt;"",OFFSET(Planning!$D$25,COLUMN(B46),0,1,1),0)</f>
        <v>102</v>
      </c>
      <c r="L49" s="67">
        <f ca="1">IF(OFFSET(Planning!$E$25,COLUMN(C46),ROW(C46),1,1)&lt;&gt;"",OFFSET(Planning!$D$25,COLUMN(C46),0,1,1),0)</f>
        <v>0</v>
      </c>
      <c r="M49" s="67">
        <f ca="1">IF(OFFSET(Planning!$E$25,COLUMN(D46),ROW(D46),1,1)&lt;&gt;"",OFFSET(Planning!$D$25,COLUMN(D46),0,1,1),0)</f>
        <v>0</v>
      </c>
      <c r="N49" s="67">
        <f ca="1">IF(OFFSET(Planning!$E$25,COLUMN(E46),ROW(E46),1,1)&lt;&gt;"",OFFSET(Planning!$D$25,COLUMN(E46),0,1,1),0)</f>
        <v>0</v>
      </c>
      <c r="O49" s="67">
        <f ca="1">IF(OFFSET(Planning!$E$25,COLUMN(F46),ROW(F46),1,1)&lt;&gt;"",OFFSET(Planning!$D$25,COLUMN(F46),0,1,1),0)</f>
        <v>0</v>
      </c>
      <c r="P49" s="67">
        <f ca="1">IF(OFFSET(Planning!$E$25,COLUMN(G46),ROW(G46),1,1)&lt;&gt;"",OFFSET(Planning!$D$25,COLUMN(G46),0,1,1),0)</f>
        <v>0</v>
      </c>
      <c r="Q49" s="67">
        <f ca="1">IF(OFFSET(Planning!$E$25,COLUMN(H46),ROW(H46),1,1)&lt;&gt;"",OFFSET(Planning!$D$25,COLUMN(H46),0,1,1),0)</f>
        <v>0</v>
      </c>
      <c r="R49" s="67">
        <f ca="1">IF(OFFSET(Planning!$E$25,COLUMN(I46),ROW(I46),1,1)&lt;&gt;"",OFFSET(Planning!$D$25,COLUMN(I46),0,1,1),0)</f>
        <v>0</v>
      </c>
      <c r="S49" s="67">
        <f ca="1">IF(OFFSET(Planning!$E$25,COLUMN(J46),ROW(J46),1,1)&lt;&gt;"",OFFSET(Planning!$D$25,COLUMN(J46),0,1,1),0)</f>
        <v>0</v>
      </c>
      <c r="T49" s="67">
        <f ca="1">IF(OFFSET(Planning!$E$25,COLUMN(K46),ROW(K46),1,1)&lt;&gt;"",OFFSET(Planning!$D$25,COLUMN(K46),0,1,1),0)</f>
        <v>0</v>
      </c>
      <c r="U49" s="67">
        <f ca="1">IF(OFFSET(Planning!$E$25,COLUMN(L46),ROW(L46),1,1)&lt;&gt;"",OFFSET(Planning!$D$25,COLUMN(L46),0,1,1),0)</f>
        <v>0</v>
      </c>
      <c r="V49" s="67">
        <f ca="1">IF(OFFSET(Planning!$E$25,COLUMN(M46),ROW(M46),1,1)&lt;&gt;"",OFFSET(Planning!$D$25,COLUMN(M46),0,1,1),0)</f>
        <v>0</v>
      </c>
      <c r="W49" s="67">
        <f ca="1">IF(OFFSET(Planning!$E$25,COLUMN(N46),ROW(N46),1,1)&lt;&gt;"",OFFSET(Planning!$D$25,COLUMN(N46),0,1,1),0)</f>
        <v>0</v>
      </c>
      <c r="X49" s="67">
        <f ca="1">IF(OFFSET(Planning!$E$25,COLUMN(O46),ROW(O46),1,1)&lt;&gt;"",OFFSET(Planning!$D$25,COLUMN(O46),0,1,1),0)</f>
        <v>0</v>
      </c>
      <c r="Y49" s="67">
        <f ca="1">IF(OFFSET(Planning!$E$25,COLUMN(P46),ROW(P46),1,1)&lt;&gt;"",OFFSET(Planning!$D$25,COLUMN(P46),0,1,1),0)</f>
        <v>0</v>
      </c>
      <c r="Z49" s="67">
        <f ca="1">IF(OFFSET(Planning!$E$25,COLUMN(Q46),ROW(Q46),1,1)&lt;&gt;"",OFFSET(Planning!$D$25,COLUMN(Q46),0,1,1),0)</f>
        <v>0</v>
      </c>
      <c r="AA49" s="67">
        <f ca="1">IF(OFFSET(Planning!$E$25,COLUMN(R46),ROW(R46),1,1)&lt;&gt;"",OFFSET(Planning!$D$25,COLUMN(R46),0,1,1),0)</f>
        <v>0</v>
      </c>
      <c r="AB49" s="67">
        <f ca="1">IF(OFFSET(Planning!$E$25,COLUMN(S46),ROW(S46),1,1)&lt;&gt;"",OFFSET(Planning!$D$25,COLUMN(S46),0,1,1),0)</f>
        <v>0</v>
      </c>
      <c r="AC49" s="67">
        <f ca="1">IF(OFFSET(Planning!$E$25,COLUMN(T46),ROW(T46),1,1)&lt;&gt;"",OFFSET(Planning!$D$25,COLUMN(T46),0,1,1),0)</f>
        <v>0</v>
      </c>
      <c r="AD49" s="67" t="e">
        <f ca="1">VLOOKUP($B49,'Summary Calculations (hide)'!$D$15:$U$67,17,0)</f>
        <v>#N/A</v>
      </c>
      <c r="AE49" s="67" t="e">
        <f ca="1">VLOOKUP($B49,'Summary Calculations (hide)'!$D$15:$U$67,18,0)</f>
        <v>#N/A</v>
      </c>
    </row>
    <row r="50" spans="1:31" x14ac:dyDescent="0.2">
      <c r="A50" s="87">
        <f t="shared" ca="1" si="3"/>
        <v>44746</v>
      </c>
      <c r="B50" s="67">
        <f t="shared" ca="1" si="0"/>
        <v>27</v>
      </c>
      <c r="C50" s="5" t="e">
        <f ca="1">IF(Planning!$C$8="No",VLOOKUP(B50,'Summary Calculations (hide)'!$D$15:$U$67,17,0),IF('Demand adjustments for Covid'!$F$9="Yes",'Demand background (hide)'!DS50+SUM('Demand background (hide)'!DV50:DW50),VLOOKUP(B50,'Summary Calculations (hide)'!$D$15:$F$67,2,0))*IF(Planning!$C$11="",1,1+Planning!$C$11)*'Summary Calculations (hide)'!$L$4/IF(Summary!$C$8="Patients",'Summary Calculations (hide)'!$I$9,1))</f>
        <v>#N/A</v>
      </c>
      <c r="D50" s="5" t="e">
        <f ca="1">IF(Planning!$C$8="No",VLOOKUP('Planning (hide)'!B50,'Summary Calculations (hide)'!$D$15:$U$67,18,0),IF('Demand adjustments for Covid'!$F$9="Yes",'Demand background (hide)'!DX50,VLOOKUP(B50,'Summary Calculations (hide)'!$D$15:$F$67,3,0))*IF(Planning!$C$11="",1,1+Planning!$C$11)*'Summary Calculations (hide)'!$L$4/IF(Summary!$C$8="Patients",'Summary Calculations (hide)'!$I$9,1))-IF(Planning!$C$8="No",0,C50)</f>
        <v>#N/A</v>
      </c>
      <c r="E50" s="5">
        <f ca="1">VLOOKUP($B50,'Summary Calculations (hide)'!$D$15:$U$67,15,0)</f>
        <v>0</v>
      </c>
      <c r="F50" s="5">
        <f ca="1">VLOOKUP($B50,'Summary Calculations (hide)'!$D$15:$U$67,16,0)</f>
        <v>0</v>
      </c>
      <c r="G50" s="5">
        <f t="shared" ca="1" si="1"/>
        <v>0</v>
      </c>
      <c r="H50" s="5">
        <f t="shared" ca="1" si="2"/>
        <v>0</v>
      </c>
      <c r="I50" s="67">
        <f ca="1">IF(OFFSET(Planning!$E$25,0,ROW(A47),1,1)&lt;&gt;"",-'Planning (hide)'!$G50,0)</f>
        <v>0</v>
      </c>
      <c r="J50" s="67">
        <f ca="1">IF(OFFSET(Planning!$E$25,COLUMN(A47),ROW(A47),1,1)&lt;&gt;"",OFFSET(Planning!$D$25,COLUMN(A47),0,1,1),0)</f>
        <v>0</v>
      </c>
      <c r="K50" s="67">
        <f ca="1">IF(OFFSET(Planning!$E$25,COLUMN(B47),ROW(B47),1,1)&lt;&gt;"",OFFSET(Planning!$D$25,COLUMN(B47),0,1,1),0)</f>
        <v>0</v>
      </c>
      <c r="L50" s="67">
        <f ca="1">IF(OFFSET(Planning!$E$25,COLUMN(C47),ROW(C47),1,1)&lt;&gt;"",OFFSET(Planning!$D$25,COLUMN(C47),0,1,1),0)</f>
        <v>0</v>
      </c>
      <c r="M50" s="67">
        <f ca="1">IF(OFFSET(Planning!$E$25,COLUMN(D47),ROW(D47),1,1)&lt;&gt;"",OFFSET(Planning!$D$25,COLUMN(D47),0,1,1),0)</f>
        <v>0</v>
      </c>
      <c r="N50" s="67">
        <f ca="1">IF(OFFSET(Planning!$E$25,COLUMN(E47),ROW(E47),1,1)&lt;&gt;"",OFFSET(Planning!$D$25,COLUMN(E47),0,1,1),0)</f>
        <v>0</v>
      </c>
      <c r="O50" s="67">
        <f ca="1">IF(OFFSET(Planning!$E$25,COLUMN(F47),ROW(F47),1,1)&lt;&gt;"",OFFSET(Planning!$D$25,COLUMN(F47),0,1,1),0)</f>
        <v>0</v>
      </c>
      <c r="P50" s="67">
        <f ca="1">IF(OFFSET(Planning!$E$25,COLUMN(G47),ROW(G47),1,1)&lt;&gt;"",OFFSET(Planning!$D$25,COLUMN(G47),0,1,1),0)</f>
        <v>0</v>
      </c>
      <c r="Q50" s="67">
        <f ca="1">IF(OFFSET(Planning!$E$25,COLUMN(H47),ROW(H47),1,1)&lt;&gt;"",OFFSET(Planning!$D$25,COLUMN(H47),0,1,1),0)</f>
        <v>0</v>
      </c>
      <c r="R50" s="67">
        <f ca="1">IF(OFFSET(Planning!$E$25,COLUMN(I47),ROW(I47),1,1)&lt;&gt;"",OFFSET(Planning!$D$25,COLUMN(I47),0,1,1),0)</f>
        <v>0</v>
      </c>
      <c r="S50" s="67">
        <f ca="1">IF(OFFSET(Planning!$E$25,COLUMN(J47),ROW(J47),1,1)&lt;&gt;"",OFFSET(Planning!$D$25,COLUMN(J47),0,1,1),0)</f>
        <v>0</v>
      </c>
      <c r="T50" s="67">
        <f ca="1">IF(OFFSET(Planning!$E$25,COLUMN(K47),ROW(K47),1,1)&lt;&gt;"",OFFSET(Planning!$D$25,COLUMN(K47),0,1,1),0)</f>
        <v>0</v>
      </c>
      <c r="U50" s="67">
        <f ca="1">IF(OFFSET(Planning!$E$25,COLUMN(L47),ROW(L47),1,1)&lt;&gt;"",OFFSET(Planning!$D$25,COLUMN(L47),0,1,1),0)</f>
        <v>0</v>
      </c>
      <c r="V50" s="67">
        <f ca="1">IF(OFFSET(Planning!$E$25,COLUMN(M47),ROW(M47),1,1)&lt;&gt;"",OFFSET(Planning!$D$25,COLUMN(M47),0,1,1),0)</f>
        <v>0</v>
      </c>
      <c r="W50" s="67">
        <f ca="1">IF(OFFSET(Planning!$E$25,COLUMN(N47),ROW(N47),1,1)&lt;&gt;"",OFFSET(Planning!$D$25,COLUMN(N47),0,1,1),0)</f>
        <v>0</v>
      </c>
      <c r="X50" s="67">
        <f ca="1">IF(OFFSET(Planning!$E$25,COLUMN(O47),ROW(O47),1,1)&lt;&gt;"",OFFSET(Planning!$D$25,COLUMN(O47),0,1,1),0)</f>
        <v>0</v>
      </c>
      <c r="Y50" s="67">
        <f ca="1">IF(OFFSET(Planning!$E$25,COLUMN(P47),ROW(P47),1,1)&lt;&gt;"",OFFSET(Planning!$D$25,COLUMN(P47),0,1,1),0)</f>
        <v>0</v>
      </c>
      <c r="Z50" s="67">
        <f ca="1">IF(OFFSET(Planning!$E$25,COLUMN(Q47),ROW(Q47),1,1)&lt;&gt;"",OFFSET(Planning!$D$25,COLUMN(Q47),0,1,1),0)</f>
        <v>0</v>
      </c>
      <c r="AA50" s="67">
        <f ca="1">IF(OFFSET(Planning!$E$25,COLUMN(R47),ROW(R47),1,1)&lt;&gt;"",OFFSET(Planning!$D$25,COLUMN(R47),0,1,1),0)</f>
        <v>0</v>
      </c>
      <c r="AB50" s="67">
        <f ca="1">IF(OFFSET(Planning!$E$25,COLUMN(S47),ROW(S47),1,1)&lt;&gt;"",OFFSET(Planning!$D$25,COLUMN(S47),0,1,1),0)</f>
        <v>0</v>
      </c>
      <c r="AC50" s="67">
        <f ca="1">IF(OFFSET(Planning!$E$25,COLUMN(T47),ROW(T47),1,1)&lt;&gt;"",OFFSET(Planning!$D$25,COLUMN(T47),0,1,1),0)</f>
        <v>0</v>
      </c>
      <c r="AD50" s="67" t="e">
        <f ca="1">VLOOKUP($B50,'Summary Calculations (hide)'!$D$15:$U$67,17,0)</f>
        <v>#N/A</v>
      </c>
      <c r="AE50" s="67" t="e">
        <f ca="1">VLOOKUP($B50,'Summary Calculations (hide)'!$D$15:$U$67,18,0)</f>
        <v>#N/A</v>
      </c>
    </row>
    <row r="51" spans="1:31" x14ac:dyDescent="0.2">
      <c r="A51" s="87">
        <f t="shared" ca="1" si="3"/>
        <v>44753</v>
      </c>
      <c r="B51" s="67">
        <f t="shared" ca="1" si="0"/>
        <v>28</v>
      </c>
      <c r="C51" s="5" t="e">
        <f ca="1">IF(Planning!$C$8="No",VLOOKUP(B51,'Summary Calculations (hide)'!$D$15:$U$67,17,0),IF('Demand adjustments for Covid'!$F$9="Yes",'Demand background (hide)'!DS51+SUM('Demand background (hide)'!DV51:DW51),VLOOKUP(B51,'Summary Calculations (hide)'!$D$15:$F$67,2,0))*IF(Planning!$C$11="",1,1+Planning!$C$11)*'Summary Calculations (hide)'!$L$4/IF(Summary!$C$8="Patients",'Summary Calculations (hide)'!$I$9,1))</f>
        <v>#N/A</v>
      </c>
      <c r="D51" s="5" t="e">
        <f ca="1">IF(Planning!$C$8="No",VLOOKUP('Planning (hide)'!B51,'Summary Calculations (hide)'!$D$15:$U$67,18,0),IF('Demand adjustments for Covid'!$F$9="Yes",'Demand background (hide)'!DX51,VLOOKUP(B51,'Summary Calculations (hide)'!$D$15:$F$67,3,0))*IF(Planning!$C$11="",1,1+Planning!$C$11)*'Summary Calculations (hide)'!$L$4/IF(Summary!$C$8="Patients",'Summary Calculations (hide)'!$I$9,1))-IF(Planning!$C$8="No",0,C51)</f>
        <v>#N/A</v>
      </c>
      <c r="E51" s="5">
        <f ca="1">VLOOKUP($B51,'Summary Calculations (hide)'!$D$15:$U$67,15,0)</f>
        <v>0</v>
      </c>
      <c r="F51" s="5">
        <f ca="1">VLOOKUP($B51,'Summary Calculations (hide)'!$D$15:$U$67,16,0)</f>
        <v>0</v>
      </c>
      <c r="G51" s="5">
        <f t="shared" ca="1" si="1"/>
        <v>0</v>
      </c>
      <c r="H51" s="5">
        <f t="shared" ca="1" si="2"/>
        <v>0</v>
      </c>
      <c r="I51" s="67">
        <f ca="1">IF(OFFSET(Planning!$E$25,0,ROW(A48),1,1)&lt;&gt;"",-'Planning (hide)'!$G51,0)</f>
        <v>0</v>
      </c>
      <c r="J51" s="67">
        <f ca="1">IF(OFFSET(Planning!$E$25,COLUMN(A48),ROW(A48),1,1)&lt;&gt;"",OFFSET(Planning!$D$25,COLUMN(A48),0,1,1),0)</f>
        <v>0</v>
      </c>
      <c r="K51" s="67">
        <f ca="1">IF(OFFSET(Planning!$E$25,COLUMN(B48),ROW(B48),1,1)&lt;&gt;"",OFFSET(Planning!$D$25,COLUMN(B48),0,1,1),0)</f>
        <v>0</v>
      </c>
      <c r="L51" s="67">
        <f ca="1">IF(OFFSET(Planning!$E$25,COLUMN(C48),ROW(C48),1,1)&lt;&gt;"",OFFSET(Planning!$D$25,COLUMN(C48),0,1,1),0)</f>
        <v>0</v>
      </c>
      <c r="M51" s="67">
        <f ca="1">IF(OFFSET(Planning!$E$25,COLUMN(D48),ROW(D48),1,1)&lt;&gt;"",OFFSET(Planning!$D$25,COLUMN(D48),0,1,1),0)</f>
        <v>0</v>
      </c>
      <c r="N51" s="67">
        <f ca="1">IF(OFFSET(Planning!$E$25,COLUMN(E48),ROW(E48),1,1)&lt;&gt;"",OFFSET(Planning!$D$25,COLUMN(E48),0,1,1),0)</f>
        <v>0</v>
      </c>
      <c r="O51" s="67">
        <f ca="1">IF(OFFSET(Planning!$E$25,COLUMN(F48),ROW(F48),1,1)&lt;&gt;"",OFFSET(Planning!$D$25,COLUMN(F48),0,1,1),0)</f>
        <v>0</v>
      </c>
      <c r="P51" s="67">
        <f ca="1">IF(OFFSET(Planning!$E$25,COLUMN(G48),ROW(G48),1,1)&lt;&gt;"",OFFSET(Planning!$D$25,COLUMN(G48),0,1,1),0)</f>
        <v>0</v>
      </c>
      <c r="Q51" s="67">
        <f ca="1">IF(OFFSET(Planning!$E$25,COLUMN(H48),ROW(H48),1,1)&lt;&gt;"",OFFSET(Planning!$D$25,COLUMN(H48),0,1,1),0)</f>
        <v>0</v>
      </c>
      <c r="R51" s="67">
        <f ca="1">IF(OFFSET(Planning!$E$25,COLUMN(I48),ROW(I48),1,1)&lt;&gt;"",OFFSET(Planning!$D$25,COLUMN(I48),0,1,1),0)</f>
        <v>0</v>
      </c>
      <c r="S51" s="67">
        <f ca="1">IF(OFFSET(Planning!$E$25,COLUMN(J48),ROW(J48),1,1)&lt;&gt;"",OFFSET(Planning!$D$25,COLUMN(J48),0,1,1),0)</f>
        <v>0</v>
      </c>
      <c r="T51" s="67">
        <f ca="1">IF(OFFSET(Planning!$E$25,COLUMN(K48),ROW(K48),1,1)&lt;&gt;"",OFFSET(Planning!$D$25,COLUMN(K48),0,1,1),0)</f>
        <v>0</v>
      </c>
      <c r="U51" s="67">
        <f ca="1">IF(OFFSET(Planning!$E$25,COLUMN(L48),ROW(L48),1,1)&lt;&gt;"",OFFSET(Planning!$D$25,COLUMN(L48),0,1,1),0)</f>
        <v>0</v>
      </c>
      <c r="V51" s="67">
        <f ca="1">IF(OFFSET(Planning!$E$25,COLUMN(M48),ROW(M48),1,1)&lt;&gt;"",OFFSET(Planning!$D$25,COLUMN(M48),0,1,1),0)</f>
        <v>0</v>
      </c>
      <c r="W51" s="67">
        <f ca="1">IF(OFFSET(Planning!$E$25,COLUMN(N48),ROW(N48),1,1)&lt;&gt;"",OFFSET(Planning!$D$25,COLUMN(N48),0,1,1),0)</f>
        <v>0</v>
      </c>
      <c r="X51" s="67">
        <f ca="1">IF(OFFSET(Planning!$E$25,COLUMN(O48),ROW(O48),1,1)&lt;&gt;"",OFFSET(Planning!$D$25,COLUMN(O48),0,1,1),0)</f>
        <v>0</v>
      </c>
      <c r="Y51" s="67">
        <f ca="1">IF(OFFSET(Planning!$E$25,COLUMN(P48),ROW(P48),1,1)&lt;&gt;"",OFFSET(Planning!$D$25,COLUMN(P48),0,1,1),0)</f>
        <v>0</v>
      </c>
      <c r="Z51" s="67">
        <f ca="1">IF(OFFSET(Planning!$E$25,COLUMN(Q48),ROW(Q48),1,1)&lt;&gt;"",OFFSET(Planning!$D$25,COLUMN(Q48),0,1,1),0)</f>
        <v>0</v>
      </c>
      <c r="AA51" s="67">
        <f ca="1">IF(OFFSET(Planning!$E$25,COLUMN(R48),ROW(R48),1,1)&lt;&gt;"",OFFSET(Planning!$D$25,COLUMN(R48),0,1,1),0)</f>
        <v>0</v>
      </c>
      <c r="AB51" s="67">
        <f ca="1">IF(OFFSET(Planning!$E$25,COLUMN(S48),ROW(S48),1,1)&lt;&gt;"",OFFSET(Planning!$D$25,COLUMN(S48),0,1,1),0)</f>
        <v>0</v>
      </c>
      <c r="AC51" s="67">
        <f ca="1">IF(OFFSET(Planning!$E$25,COLUMN(T48),ROW(T48),1,1)&lt;&gt;"",OFFSET(Planning!$D$25,COLUMN(T48),0,1,1),0)</f>
        <v>0</v>
      </c>
      <c r="AD51" s="67" t="e">
        <f ca="1">VLOOKUP($B51,'Summary Calculations (hide)'!$D$15:$U$67,17,0)</f>
        <v>#N/A</v>
      </c>
      <c r="AE51" s="67" t="e">
        <f ca="1">VLOOKUP($B51,'Summary Calculations (hide)'!$D$15:$U$67,18,0)</f>
        <v>#N/A</v>
      </c>
    </row>
    <row r="52" spans="1:31" x14ac:dyDescent="0.2">
      <c r="A52" s="87">
        <f t="shared" ca="1" si="3"/>
        <v>44760</v>
      </c>
      <c r="B52" s="67">
        <f t="shared" ca="1" si="0"/>
        <v>29</v>
      </c>
      <c r="C52" s="5" t="e">
        <f ca="1">IF(Planning!$C$8="No",VLOOKUP(B52,'Summary Calculations (hide)'!$D$15:$U$67,17,0),IF('Demand adjustments for Covid'!$F$9="Yes",'Demand background (hide)'!DS52+SUM('Demand background (hide)'!DV52:DW52),VLOOKUP(B52,'Summary Calculations (hide)'!$D$15:$F$67,2,0))*IF(Planning!$C$11="",1,1+Planning!$C$11)*'Summary Calculations (hide)'!$L$4/IF(Summary!$C$8="Patients",'Summary Calculations (hide)'!$I$9,1))</f>
        <v>#N/A</v>
      </c>
      <c r="D52" s="5" t="e">
        <f ca="1">IF(Planning!$C$8="No",VLOOKUP('Planning (hide)'!B52,'Summary Calculations (hide)'!$D$15:$U$67,18,0),IF('Demand adjustments for Covid'!$F$9="Yes",'Demand background (hide)'!DX52,VLOOKUP(B52,'Summary Calculations (hide)'!$D$15:$F$67,3,0))*IF(Planning!$C$11="",1,1+Planning!$C$11)*'Summary Calculations (hide)'!$L$4/IF(Summary!$C$8="Patients",'Summary Calculations (hide)'!$I$9,1))-IF(Planning!$C$8="No",0,C52)</f>
        <v>#N/A</v>
      </c>
      <c r="E52" s="5">
        <f ca="1">VLOOKUP($B52,'Summary Calculations (hide)'!$D$15:$U$67,15,0)</f>
        <v>0</v>
      </c>
      <c r="F52" s="5">
        <f ca="1">VLOOKUP($B52,'Summary Calculations (hide)'!$D$15:$U$67,16,0)</f>
        <v>0</v>
      </c>
      <c r="G52" s="5">
        <f t="shared" ca="1" si="1"/>
        <v>0</v>
      </c>
      <c r="H52" s="5">
        <f t="shared" ca="1" si="2"/>
        <v>0</v>
      </c>
      <c r="I52" s="67">
        <f ca="1">IF(OFFSET(Planning!$E$25,0,ROW(A49),1,1)&lt;&gt;"",-'Planning (hide)'!$G52,0)</f>
        <v>0</v>
      </c>
      <c r="J52" s="67">
        <f ca="1">IF(OFFSET(Planning!$E$25,COLUMN(A49),ROW(A49),1,1)&lt;&gt;"",OFFSET(Planning!$D$25,COLUMN(A49),0,1,1),0)</f>
        <v>0</v>
      </c>
      <c r="K52" s="67">
        <f ca="1">IF(OFFSET(Planning!$E$25,COLUMN(B49),ROW(B49),1,1)&lt;&gt;"",OFFSET(Planning!$D$25,COLUMN(B49),0,1,1),0)</f>
        <v>0</v>
      </c>
      <c r="L52" s="67">
        <f ca="1">IF(OFFSET(Planning!$E$25,COLUMN(C49),ROW(C49),1,1)&lt;&gt;"",OFFSET(Planning!$D$25,COLUMN(C49),0,1,1),0)</f>
        <v>0</v>
      </c>
      <c r="M52" s="67">
        <f ca="1">IF(OFFSET(Planning!$E$25,COLUMN(D49),ROW(D49),1,1)&lt;&gt;"",OFFSET(Planning!$D$25,COLUMN(D49),0,1,1),0)</f>
        <v>0</v>
      </c>
      <c r="N52" s="67">
        <f ca="1">IF(OFFSET(Planning!$E$25,COLUMN(E49),ROW(E49),1,1)&lt;&gt;"",OFFSET(Planning!$D$25,COLUMN(E49),0,1,1),0)</f>
        <v>0</v>
      </c>
      <c r="O52" s="67">
        <f ca="1">IF(OFFSET(Planning!$E$25,COLUMN(F49),ROW(F49),1,1)&lt;&gt;"",OFFSET(Planning!$D$25,COLUMN(F49),0,1,1),0)</f>
        <v>0</v>
      </c>
      <c r="P52" s="67">
        <f ca="1">IF(OFFSET(Planning!$E$25,COLUMN(G49),ROW(G49),1,1)&lt;&gt;"",OFFSET(Planning!$D$25,COLUMN(G49),0,1,1),0)</f>
        <v>0</v>
      </c>
      <c r="Q52" s="67">
        <f ca="1">IF(OFFSET(Planning!$E$25,COLUMN(H49),ROW(H49),1,1)&lt;&gt;"",OFFSET(Planning!$D$25,COLUMN(H49),0,1,1),0)</f>
        <v>0</v>
      </c>
      <c r="R52" s="67">
        <f ca="1">IF(OFFSET(Planning!$E$25,COLUMN(I49),ROW(I49),1,1)&lt;&gt;"",OFFSET(Planning!$D$25,COLUMN(I49),0,1,1),0)</f>
        <v>0</v>
      </c>
      <c r="S52" s="67">
        <f ca="1">IF(OFFSET(Planning!$E$25,COLUMN(J49),ROW(J49),1,1)&lt;&gt;"",OFFSET(Planning!$D$25,COLUMN(J49),0,1,1),0)</f>
        <v>0</v>
      </c>
      <c r="T52" s="67">
        <f ca="1">IF(OFFSET(Planning!$E$25,COLUMN(K49),ROW(K49),1,1)&lt;&gt;"",OFFSET(Planning!$D$25,COLUMN(K49),0,1,1),0)</f>
        <v>0</v>
      </c>
      <c r="U52" s="67">
        <f ca="1">IF(OFFSET(Planning!$E$25,COLUMN(L49),ROW(L49),1,1)&lt;&gt;"",OFFSET(Planning!$D$25,COLUMN(L49),0,1,1),0)</f>
        <v>0</v>
      </c>
      <c r="V52" s="67">
        <f ca="1">IF(OFFSET(Planning!$E$25,COLUMN(M49),ROW(M49),1,1)&lt;&gt;"",OFFSET(Planning!$D$25,COLUMN(M49),0,1,1),0)</f>
        <v>0</v>
      </c>
      <c r="W52" s="67">
        <f ca="1">IF(OFFSET(Planning!$E$25,COLUMN(N49),ROW(N49),1,1)&lt;&gt;"",OFFSET(Planning!$D$25,COLUMN(N49),0,1,1),0)</f>
        <v>0</v>
      </c>
      <c r="X52" s="67">
        <f ca="1">IF(OFFSET(Planning!$E$25,COLUMN(O49),ROW(O49),1,1)&lt;&gt;"",OFFSET(Planning!$D$25,COLUMN(O49),0,1,1),0)</f>
        <v>0</v>
      </c>
      <c r="Y52" s="67">
        <f ca="1">IF(OFFSET(Planning!$E$25,COLUMN(P49),ROW(P49),1,1)&lt;&gt;"",OFFSET(Planning!$D$25,COLUMN(P49),0,1,1),0)</f>
        <v>0</v>
      </c>
      <c r="Z52" s="67">
        <f ca="1">IF(OFFSET(Planning!$E$25,COLUMN(Q49),ROW(Q49),1,1)&lt;&gt;"",OFFSET(Planning!$D$25,COLUMN(Q49),0,1,1),0)</f>
        <v>0</v>
      </c>
      <c r="AA52" s="67">
        <f ca="1">IF(OFFSET(Planning!$E$25,COLUMN(R49),ROW(R49),1,1)&lt;&gt;"",OFFSET(Planning!$D$25,COLUMN(R49),0,1,1),0)</f>
        <v>0</v>
      </c>
      <c r="AB52" s="67">
        <f ca="1">IF(OFFSET(Planning!$E$25,COLUMN(S49),ROW(S49),1,1)&lt;&gt;"",OFFSET(Planning!$D$25,COLUMN(S49),0,1,1),0)</f>
        <v>0</v>
      </c>
      <c r="AC52" s="67">
        <f ca="1">IF(OFFSET(Planning!$E$25,COLUMN(T49),ROW(T49),1,1)&lt;&gt;"",OFFSET(Planning!$D$25,COLUMN(T49),0,1,1),0)</f>
        <v>0</v>
      </c>
      <c r="AD52" s="67" t="e">
        <f ca="1">VLOOKUP($B52,'Summary Calculations (hide)'!$D$15:$U$67,17,0)</f>
        <v>#N/A</v>
      </c>
      <c r="AE52" s="67" t="e">
        <f ca="1">VLOOKUP($B52,'Summary Calculations (hide)'!$D$15:$U$67,18,0)</f>
        <v>#N/A</v>
      </c>
    </row>
    <row r="53" spans="1:31" x14ac:dyDescent="0.2">
      <c r="A53" s="87">
        <f t="shared" ca="1" si="3"/>
        <v>44767</v>
      </c>
      <c r="B53" s="67">
        <f t="shared" ca="1" si="0"/>
        <v>30</v>
      </c>
      <c r="C53" s="5" t="e">
        <f ca="1">IF(Planning!$C$8="No",VLOOKUP(B53,'Summary Calculations (hide)'!$D$15:$U$67,17,0),IF('Demand adjustments for Covid'!$F$9="Yes",'Demand background (hide)'!DS53+SUM('Demand background (hide)'!DV53:DW53),VLOOKUP(B53,'Summary Calculations (hide)'!$D$15:$F$67,2,0))*IF(Planning!$C$11="",1,1+Planning!$C$11)*'Summary Calculations (hide)'!$L$4/IF(Summary!$C$8="Patients",'Summary Calculations (hide)'!$I$9,1))</f>
        <v>#N/A</v>
      </c>
      <c r="D53" s="5" t="e">
        <f ca="1">IF(Planning!$C$8="No",VLOOKUP('Planning (hide)'!B53,'Summary Calculations (hide)'!$D$15:$U$67,18,0),IF('Demand adjustments for Covid'!$F$9="Yes",'Demand background (hide)'!DX53,VLOOKUP(B53,'Summary Calculations (hide)'!$D$15:$F$67,3,0))*IF(Planning!$C$11="",1,1+Planning!$C$11)*'Summary Calculations (hide)'!$L$4/IF(Summary!$C$8="Patients",'Summary Calculations (hide)'!$I$9,1))-IF(Planning!$C$8="No",0,C53)</f>
        <v>#N/A</v>
      </c>
      <c r="E53" s="5">
        <f ca="1">VLOOKUP($B53,'Summary Calculations (hide)'!$D$15:$U$67,15,0)</f>
        <v>0</v>
      </c>
      <c r="F53" s="5">
        <f ca="1">VLOOKUP($B53,'Summary Calculations (hide)'!$D$15:$U$67,16,0)</f>
        <v>0</v>
      </c>
      <c r="G53" s="5">
        <f t="shared" ca="1" si="1"/>
        <v>0</v>
      </c>
      <c r="H53" s="5">
        <f t="shared" ca="1" si="2"/>
        <v>0</v>
      </c>
      <c r="I53" s="67">
        <f ca="1">IF(OFFSET(Planning!$E$25,0,ROW(A50),1,1)&lt;&gt;"",-'Planning (hide)'!$G53,0)</f>
        <v>0</v>
      </c>
      <c r="J53" s="67">
        <f ca="1">IF(OFFSET(Planning!$E$25,COLUMN(A50),ROW(A50),1,1)&lt;&gt;"",OFFSET(Planning!$D$25,COLUMN(A50),0,1,1),0)</f>
        <v>0</v>
      </c>
      <c r="K53" s="67">
        <f ca="1">IF(OFFSET(Planning!$E$25,COLUMN(B50),ROW(B50),1,1)&lt;&gt;"",OFFSET(Planning!$D$25,COLUMN(B50),0,1,1),0)</f>
        <v>0</v>
      </c>
      <c r="L53" s="67">
        <f ca="1">IF(OFFSET(Planning!$E$25,COLUMN(C50),ROW(C50),1,1)&lt;&gt;"",OFFSET(Planning!$D$25,COLUMN(C50),0,1,1),0)</f>
        <v>0</v>
      </c>
      <c r="M53" s="67">
        <f ca="1">IF(OFFSET(Planning!$E$25,COLUMN(D50),ROW(D50),1,1)&lt;&gt;"",OFFSET(Planning!$D$25,COLUMN(D50),0,1,1),0)</f>
        <v>0</v>
      </c>
      <c r="N53" s="67">
        <f ca="1">IF(OFFSET(Planning!$E$25,COLUMN(E50),ROW(E50),1,1)&lt;&gt;"",OFFSET(Planning!$D$25,COLUMN(E50),0,1,1),0)</f>
        <v>0</v>
      </c>
      <c r="O53" s="67">
        <f ca="1">IF(OFFSET(Planning!$E$25,COLUMN(F50),ROW(F50),1,1)&lt;&gt;"",OFFSET(Planning!$D$25,COLUMN(F50),0,1,1),0)</f>
        <v>0</v>
      </c>
      <c r="P53" s="67">
        <f ca="1">IF(OFFSET(Planning!$E$25,COLUMN(G50),ROW(G50),1,1)&lt;&gt;"",OFFSET(Planning!$D$25,COLUMN(G50),0,1,1),0)</f>
        <v>0</v>
      </c>
      <c r="Q53" s="67">
        <f ca="1">IF(OFFSET(Planning!$E$25,COLUMN(H50),ROW(H50),1,1)&lt;&gt;"",OFFSET(Planning!$D$25,COLUMN(H50),0,1,1),0)</f>
        <v>0</v>
      </c>
      <c r="R53" s="67">
        <f ca="1">IF(OFFSET(Planning!$E$25,COLUMN(I50),ROW(I50),1,1)&lt;&gt;"",OFFSET(Planning!$D$25,COLUMN(I50),0,1,1),0)</f>
        <v>0</v>
      </c>
      <c r="S53" s="67">
        <f ca="1">IF(OFFSET(Planning!$E$25,COLUMN(J50),ROW(J50),1,1)&lt;&gt;"",OFFSET(Planning!$D$25,COLUMN(J50),0,1,1),0)</f>
        <v>0</v>
      </c>
      <c r="T53" s="67">
        <f ca="1">IF(OFFSET(Planning!$E$25,COLUMN(K50),ROW(K50),1,1)&lt;&gt;"",OFFSET(Planning!$D$25,COLUMN(K50),0,1,1),0)</f>
        <v>0</v>
      </c>
      <c r="U53" s="67">
        <f ca="1">IF(OFFSET(Planning!$E$25,COLUMN(L50),ROW(L50),1,1)&lt;&gt;"",OFFSET(Planning!$D$25,COLUMN(L50),0,1,1),0)</f>
        <v>0</v>
      </c>
      <c r="V53" s="67">
        <f ca="1">IF(OFFSET(Planning!$E$25,COLUMN(M50),ROW(M50),1,1)&lt;&gt;"",OFFSET(Planning!$D$25,COLUMN(M50),0,1,1),0)</f>
        <v>0</v>
      </c>
      <c r="W53" s="67">
        <f ca="1">IF(OFFSET(Planning!$E$25,COLUMN(N50),ROW(N50),1,1)&lt;&gt;"",OFFSET(Planning!$D$25,COLUMN(N50),0,1,1),0)</f>
        <v>0</v>
      </c>
      <c r="X53" s="67">
        <f ca="1">IF(OFFSET(Planning!$E$25,COLUMN(O50),ROW(O50),1,1)&lt;&gt;"",OFFSET(Planning!$D$25,COLUMN(O50),0,1,1),0)</f>
        <v>0</v>
      </c>
      <c r="Y53" s="67">
        <f ca="1">IF(OFFSET(Planning!$E$25,COLUMN(P50),ROW(P50),1,1)&lt;&gt;"",OFFSET(Planning!$D$25,COLUMN(P50),0,1,1),0)</f>
        <v>0</v>
      </c>
      <c r="Z53" s="67">
        <f ca="1">IF(OFFSET(Planning!$E$25,COLUMN(Q50),ROW(Q50),1,1)&lt;&gt;"",OFFSET(Planning!$D$25,COLUMN(Q50),0,1,1),0)</f>
        <v>0</v>
      </c>
      <c r="AA53" s="67">
        <f ca="1">IF(OFFSET(Planning!$E$25,COLUMN(R50),ROW(R50),1,1)&lt;&gt;"",OFFSET(Planning!$D$25,COLUMN(R50),0,1,1),0)</f>
        <v>0</v>
      </c>
      <c r="AB53" s="67">
        <f ca="1">IF(OFFSET(Planning!$E$25,COLUMN(S50),ROW(S50),1,1)&lt;&gt;"",OFFSET(Planning!$D$25,COLUMN(S50),0,1,1),0)</f>
        <v>0</v>
      </c>
      <c r="AC53" s="67">
        <f ca="1">IF(OFFSET(Planning!$E$25,COLUMN(T50),ROW(T50),1,1)&lt;&gt;"",OFFSET(Planning!$D$25,COLUMN(T50),0,1,1),0)</f>
        <v>0</v>
      </c>
      <c r="AD53" s="67" t="e">
        <f ca="1">VLOOKUP($B53,'Summary Calculations (hide)'!$D$15:$U$67,17,0)</f>
        <v>#N/A</v>
      </c>
      <c r="AE53" s="67" t="e">
        <f ca="1">VLOOKUP($B53,'Summary Calculations (hide)'!$D$15:$U$67,18,0)</f>
        <v>#N/A</v>
      </c>
    </row>
    <row r="54" spans="1:31" x14ac:dyDescent="0.2">
      <c r="A54" s="87">
        <f t="shared" ca="1" si="3"/>
        <v>44774</v>
      </c>
      <c r="B54" s="67">
        <f t="shared" ca="1" si="0"/>
        <v>31</v>
      </c>
      <c r="C54" s="5" t="e">
        <f ca="1">IF(Planning!$C$8="No",VLOOKUP(B54,'Summary Calculations (hide)'!$D$15:$U$67,17,0),IF('Demand adjustments for Covid'!$F$9="Yes",'Demand background (hide)'!DS54+SUM('Demand background (hide)'!DV54:DW54),VLOOKUP(B54,'Summary Calculations (hide)'!$D$15:$F$67,2,0))*IF(Planning!$C$11="",1,1+Planning!$C$11)*'Summary Calculations (hide)'!$L$4/IF(Summary!$C$8="Patients",'Summary Calculations (hide)'!$I$9,1))</f>
        <v>#N/A</v>
      </c>
      <c r="D54" s="5" t="e">
        <f ca="1">IF(Planning!$C$8="No",VLOOKUP('Planning (hide)'!B54,'Summary Calculations (hide)'!$D$15:$U$67,18,0),IF('Demand adjustments for Covid'!$F$9="Yes",'Demand background (hide)'!DX54,VLOOKUP(B54,'Summary Calculations (hide)'!$D$15:$F$67,3,0))*IF(Planning!$C$11="",1,1+Planning!$C$11)*'Summary Calculations (hide)'!$L$4/IF(Summary!$C$8="Patients",'Summary Calculations (hide)'!$I$9,1))-IF(Planning!$C$8="No",0,C54)</f>
        <v>#N/A</v>
      </c>
      <c r="E54" s="5">
        <f ca="1">VLOOKUP($B54,'Summary Calculations (hide)'!$D$15:$U$67,15,0)</f>
        <v>0</v>
      </c>
      <c r="F54" s="5">
        <f ca="1">VLOOKUP($B54,'Summary Calculations (hide)'!$D$15:$U$67,16,0)</f>
        <v>0</v>
      </c>
      <c r="G54" s="5">
        <f t="shared" ca="1" si="1"/>
        <v>0</v>
      </c>
      <c r="H54" s="5">
        <f t="shared" ca="1" si="2"/>
        <v>0</v>
      </c>
      <c r="I54" s="67">
        <f ca="1">IF(OFFSET(Planning!$E$25,0,ROW(A51),1,1)&lt;&gt;"",-'Planning (hide)'!$G54,0)</f>
        <v>0</v>
      </c>
      <c r="J54" s="67">
        <f ca="1">IF(OFFSET(Planning!$E$25,COLUMN(A51),ROW(A51),1,1)&lt;&gt;"",OFFSET(Planning!$D$25,COLUMN(A51),0,1,1),0)</f>
        <v>0</v>
      </c>
      <c r="K54" s="67">
        <f ca="1">IF(OFFSET(Planning!$E$25,COLUMN(B51),ROW(B51),1,1)&lt;&gt;"",OFFSET(Planning!$D$25,COLUMN(B51),0,1,1),0)</f>
        <v>0</v>
      </c>
      <c r="L54" s="67">
        <f ca="1">IF(OFFSET(Planning!$E$25,COLUMN(C51),ROW(C51),1,1)&lt;&gt;"",OFFSET(Planning!$D$25,COLUMN(C51),0,1,1),0)</f>
        <v>0</v>
      </c>
      <c r="M54" s="67">
        <f ca="1">IF(OFFSET(Planning!$E$25,COLUMN(D51),ROW(D51),1,1)&lt;&gt;"",OFFSET(Planning!$D$25,COLUMN(D51),0,1,1),0)</f>
        <v>0</v>
      </c>
      <c r="N54" s="67">
        <f ca="1">IF(OFFSET(Planning!$E$25,COLUMN(E51),ROW(E51),1,1)&lt;&gt;"",OFFSET(Planning!$D$25,COLUMN(E51),0,1,1),0)</f>
        <v>0</v>
      </c>
      <c r="O54" s="67">
        <f ca="1">IF(OFFSET(Planning!$E$25,COLUMN(F51),ROW(F51),1,1)&lt;&gt;"",OFFSET(Planning!$D$25,COLUMN(F51),0,1,1),0)</f>
        <v>0</v>
      </c>
      <c r="P54" s="67">
        <f ca="1">IF(OFFSET(Planning!$E$25,COLUMN(G51),ROW(G51),1,1)&lt;&gt;"",OFFSET(Planning!$D$25,COLUMN(G51),0,1,1),0)</f>
        <v>0</v>
      </c>
      <c r="Q54" s="67">
        <f ca="1">IF(OFFSET(Planning!$E$25,COLUMN(H51),ROW(H51),1,1)&lt;&gt;"",OFFSET(Planning!$D$25,COLUMN(H51),0,1,1),0)</f>
        <v>0</v>
      </c>
      <c r="R54" s="67">
        <f ca="1">IF(OFFSET(Planning!$E$25,COLUMN(I51),ROW(I51),1,1)&lt;&gt;"",OFFSET(Planning!$D$25,COLUMN(I51),0,1,1),0)</f>
        <v>0</v>
      </c>
      <c r="S54" s="67">
        <f ca="1">IF(OFFSET(Planning!$E$25,COLUMN(J51),ROW(J51),1,1)&lt;&gt;"",OFFSET(Planning!$D$25,COLUMN(J51),0,1,1),0)</f>
        <v>0</v>
      </c>
      <c r="T54" s="67">
        <f ca="1">IF(OFFSET(Planning!$E$25,COLUMN(K51),ROW(K51),1,1)&lt;&gt;"",OFFSET(Planning!$D$25,COLUMN(K51),0,1,1),0)</f>
        <v>0</v>
      </c>
      <c r="U54" s="67">
        <f ca="1">IF(OFFSET(Planning!$E$25,COLUMN(L51),ROW(L51),1,1)&lt;&gt;"",OFFSET(Planning!$D$25,COLUMN(L51),0,1,1),0)</f>
        <v>0</v>
      </c>
      <c r="V54" s="67">
        <f ca="1">IF(OFFSET(Planning!$E$25,COLUMN(M51),ROW(M51),1,1)&lt;&gt;"",OFFSET(Planning!$D$25,COLUMN(M51),0,1,1),0)</f>
        <v>0</v>
      </c>
      <c r="W54" s="67">
        <f ca="1">IF(OFFSET(Planning!$E$25,COLUMN(N51),ROW(N51),1,1)&lt;&gt;"",OFFSET(Planning!$D$25,COLUMN(N51),0,1,1),0)</f>
        <v>0</v>
      </c>
      <c r="X54" s="67">
        <f ca="1">IF(OFFSET(Planning!$E$25,COLUMN(O51),ROW(O51),1,1)&lt;&gt;"",OFFSET(Planning!$D$25,COLUMN(O51),0,1,1),0)</f>
        <v>0</v>
      </c>
      <c r="Y54" s="67">
        <f ca="1">IF(OFFSET(Planning!$E$25,COLUMN(P51),ROW(P51),1,1)&lt;&gt;"",OFFSET(Planning!$D$25,COLUMN(P51),0,1,1),0)</f>
        <v>0</v>
      </c>
      <c r="Z54" s="67">
        <f ca="1">IF(OFFSET(Planning!$E$25,COLUMN(Q51),ROW(Q51),1,1)&lt;&gt;"",OFFSET(Planning!$D$25,COLUMN(Q51),0,1,1),0)</f>
        <v>0</v>
      </c>
      <c r="AA54" s="67">
        <f ca="1">IF(OFFSET(Planning!$E$25,COLUMN(R51),ROW(R51),1,1)&lt;&gt;"",OFFSET(Planning!$D$25,COLUMN(R51),0,1,1),0)</f>
        <v>0</v>
      </c>
      <c r="AB54" s="67">
        <f ca="1">IF(OFFSET(Planning!$E$25,COLUMN(S51),ROW(S51),1,1)&lt;&gt;"",OFFSET(Planning!$D$25,COLUMN(S51),0,1,1),0)</f>
        <v>0</v>
      </c>
      <c r="AC54" s="67">
        <f ca="1">IF(OFFSET(Planning!$E$25,COLUMN(T51),ROW(T51),1,1)&lt;&gt;"",OFFSET(Planning!$D$25,COLUMN(T51),0,1,1),0)</f>
        <v>0</v>
      </c>
      <c r="AD54" s="67" t="e">
        <f ca="1">VLOOKUP($B54,'Summary Calculations (hide)'!$D$15:$U$67,17,0)</f>
        <v>#N/A</v>
      </c>
      <c r="AE54" s="67" t="e">
        <f ca="1">VLOOKUP($B54,'Summary Calculations (hide)'!$D$15:$U$67,18,0)</f>
        <v>#N/A</v>
      </c>
    </row>
    <row r="55" spans="1:31" x14ac:dyDescent="0.2">
      <c r="A55" s="87">
        <f t="shared" ca="1" si="3"/>
        <v>44781</v>
      </c>
      <c r="B55" s="67">
        <f t="shared" ca="1" si="0"/>
        <v>32</v>
      </c>
      <c r="C55" s="5" t="e">
        <f ca="1">IF(Planning!$C$8="No",VLOOKUP(B55,'Summary Calculations (hide)'!$D$15:$U$67,17,0),IF('Demand adjustments for Covid'!$F$9="Yes",'Demand background (hide)'!DS55+SUM('Demand background (hide)'!DV55:DW55),VLOOKUP(B55,'Summary Calculations (hide)'!$D$15:$F$67,2,0))*IF(Planning!$C$11="",1,1+Planning!$C$11)*'Summary Calculations (hide)'!$L$4/IF(Summary!$C$8="Patients",'Summary Calculations (hide)'!$I$9,1))</f>
        <v>#N/A</v>
      </c>
      <c r="D55" s="5" t="e">
        <f ca="1">IF(Planning!$C$8="No",VLOOKUP('Planning (hide)'!B55,'Summary Calculations (hide)'!$D$15:$U$67,18,0),IF('Demand adjustments for Covid'!$F$9="Yes",'Demand background (hide)'!DX55,VLOOKUP(B55,'Summary Calculations (hide)'!$D$15:$F$67,3,0))*IF(Planning!$C$11="",1,1+Planning!$C$11)*'Summary Calculations (hide)'!$L$4/IF(Summary!$C$8="Patients",'Summary Calculations (hide)'!$I$9,1))-IF(Planning!$C$8="No",0,C55)</f>
        <v>#N/A</v>
      </c>
      <c r="E55" s="5">
        <f ca="1">VLOOKUP($B55,'Summary Calculations (hide)'!$D$15:$U$67,15,0)</f>
        <v>0</v>
      </c>
      <c r="F55" s="5">
        <f ca="1">VLOOKUP($B55,'Summary Calculations (hide)'!$D$15:$U$67,16,0)</f>
        <v>0</v>
      </c>
      <c r="G55" s="5">
        <f t="shared" ca="1" si="1"/>
        <v>0</v>
      </c>
      <c r="H55" s="5">
        <f t="shared" ca="1" si="2"/>
        <v>0</v>
      </c>
      <c r="I55" s="67">
        <f ca="1">IF(OFFSET(Planning!$E$25,0,ROW(A52),1,1)&lt;&gt;"",-'Planning (hide)'!$G55,0)</f>
        <v>0</v>
      </c>
      <c r="J55" s="67">
        <f ca="1">IF(OFFSET(Planning!$E$25,COLUMN(A52),ROW(A52),1,1)&lt;&gt;"",OFFSET(Planning!$D$25,COLUMN(A52),0,1,1),0)</f>
        <v>0</v>
      </c>
      <c r="K55" s="67">
        <f ca="1">IF(OFFSET(Planning!$E$25,COLUMN(B52),ROW(B52),1,1)&lt;&gt;"",OFFSET(Planning!$D$25,COLUMN(B52),0,1,1),0)</f>
        <v>0</v>
      </c>
      <c r="L55" s="67">
        <f ca="1">IF(OFFSET(Planning!$E$25,COLUMN(C52),ROW(C52),1,1)&lt;&gt;"",OFFSET(Planning!$D$25,COLUMN(C52),0,1,1),0)</f>
        <v>0</v>
      </c>
      <c r="M55" s="67">
        <f ca="1">IF(OFFSET(Planning!$E$25,COLUMN(D52),ROW(D52),1,1)&lt;&gt;"",OFFSET(Planning!$D$25,COLUMN(D52),0,1,1),0)</f>
        <v>0</v>
      </c>
      <c r="N55" s="67">
        <f ca="1">IF(OFFSET(Planning!$E$25,COLUMN(E52),ROW(E52),1,1)&lt;&gt;"",OFFSET(Planning!$D$25,COLUMN(E52),0,1,1),0)</f>
        <v>0</v>
      </c>
      <c r="O55" s="67">
        <f ca="1">IF(OFFSET(Planning!$E$25,COLUMN(F52),ROW(F52),1,1)&lt;&gt;"",OFFSET(Planning!$D$25,COLUMN(F52),0,1,1),0)</f>
        <v>0</v>
      </c>
      <c r="P55" s="67">
        <f ca="1">IF(OFFSET(Planning!$E$25,COLUMN(G52),ROW(G52),1,1)&lt;&gt;"",OFFSET(Planning!$D$25,COLUMN(G52),0,1,1),0)</f>
        <v>0</v>
      </c>
      <c r="Q55" s="67">
        <f ca="1">IF(OFFSET(Planning!$E$25,COLUMN(H52),ROW(H52),1,1)&lt;&gt;"",OFFSET(Planning!$D$25,COLUMN(H52),0,1,1),0)</f>
        <v>0</v>
      </c>
      <c r="R55" s="67">
        <f ca="1">IF(OFFSET(Planning!$E$25,COLUMN(I52),ROW(I52),1,1)&lt;&gt;"",OFFSET(Planning!$D$25,COLUMN(I52),0,1,1),0)</f>
        <v>0</v>
      </c>
      <c r="S55" s="67">
        <f ca="1">IF(OFFSET(Planning!$E$25,COLUMN(J52),ROW(J52),1,1)&lt;&gt;"",OFFSET(Planning!$D$25,COLUMN(J52),0,1,1),0)</f>
        <v>0</v>
      </c>
      <c r="T55" s="67">
        <f ca="1">IF(OFFSET(Planning!$E$25,COLUMN(K52),ROW(K52),1,1)&lt;&gt;"",OFFSET(Planning!$D$25,COLUMN(K52),0,1,1),0)</f>
        <v>0</v>
      </c>
      <c r="U55" s="67">
        <f ca="1">IF(OFFSET(Planning!$E$25,COLUMN(L52),ROW(L52),1,1)&lt;&gt;"",OFFSET(Planning!$D$25,COLUMN(L52),0,1,1),0)</f>
        <v>0</v>
      </c>
      <c r="V55" s="67">
        <f ca="1">IF(OFFSET(Planning!$E$25,COLUMN(M52),ROW(M52),1,1)&lt;&gt;"",OFFSET(Planning!$D$25,COLUMN(M52),0,1,1),0)</f>
        <v>0</v>
      </c>
      <c r="W55" s="67">
        <f ca="1">IF(OFFSET(Planning!$E$25,COLUMN(N52),ROW(N52),1,1)&lt;&gt;"",OFFSET(Planning!$D$25,COLUMN(N52),0,1,1),0)</f>
        <v>0</v>
      </c>
      <c r="X55" s="67">
        <f ca="1">IF(OFFSET(Planning!$E$25,COLUMN(O52),ROW(O52),1,1)&lt;&gt;"",OFFSET(Planning!$D$25,COLUMN(O52),0,1,1),0)</f>
        <v>0</v>
      </c>
      <c r="Y55" s="67">
        <f ca="1">IF(OFFSET(Planning!$E$25,COLUMN(P52),ROW(P52),1,1)&lt;&gt;"",OFFSET(Planning!$D$25,COLUMN(P52),0,1,1),0)</f>
        <v>0</v>
      </c>
      <c r="Z55" s="67">
        <f ca="1">IF(OFFSET(Planning!$E$25,COLUMN(Q52),ROW(Q52),1,1)&lt;&gt;"",OFFSET(Planning!$D$25,COLUMN(Q52),0,1,1),0)</f>
        <v>0</v>
      </c>
      <c r="AA55" s="67">
        <f ca="1">IF(OFFSET(Planning!$E$25,COLUMN(R52),ROW(R52),1,1)&lt;&gt;"",OFFSET(Planning!$D$25,COLUMN(R52),0,1,1),0)</f>
        <v>0</v>
      </c>
      <c r="AB55" s="67">
        <f ca="1">IF(OFFSET(Planning!$E$25,COLUMN(S52),ROW(S52),1,1)&lt;&gt;"",OFFSET(Planning!$D$25,COLUMN(S52),0,1,1),0)</f>
        <v>0</v>
      </c>
      <c r="AC55" s="67">
        <f ca="1">IF(OFFSET(Planning!$E$25,COLUMN(T52),ROW(T52),1,1)&lt;&gt;"",OFFSET(Planning!$D$25,COLUMN(T52),0,1,1),0)</f>
        <v>0</v>
      </c>
      <c r="AD55" s="67" t="e">
        <f ca="1">VLOOKUP($B55,'Summary Calculations (hide)'!$D$15:$U$67,17,0)</f>
        <v>#N/A</v>
      </c>
      <c r="AE55" s="67" t="e">
        <f ca="1">VLOOKUP($B55,'Summary Calculations (hide)'!$D$15:$U$67,18,0)</f>
        <v>#N/A</v>
      </c>
    </row>
    <row r="62" spans="1:31" x14ac:dyDescent="0.2">
      <c r="C62" s="5"/>
    </row>
    <row r="63" spans="1:31" x14ac:dyDescent="0.2">
      <c r="C63" s="5"/>
    </row>
    <row r="64" spans="1:31" x14ac:dyDescent="0.2">
      <c r="C64" s="5"/>
    </row>
    <row r="65" spans="3:3" x14ac:dyDescent="0.2">
      <c r="C65" s="5"/>
    </row>
    <row r="66" spans="3:3" x14ac:dyDescent="0.2">
      <c r="C66" s="5"/>
    </row>
    <row r="67" spans="3:3" x14ac:dyDescent="0.2">
      <c r="C67" s="5"/>
    </row>
    <row r="68" spans="3:3" x14ac:dyDescent="0.2">
      <c r="C68" s="5"/>
    </row>
    <row r="69" spans="3:3" x14ac:dyDescent="0.2">
      <c r="C69" s="5"/>
    </row>
    <row r="70" spans="3:3" x14ac:dyDescent="0.2">
      <c r="C70" s="5"/>
    </row>
    <row r="71" spans="3:3" x14ac:dyDescent="0.2">
      <c r="C71" s="5"/>
    </row>
    <row r="72" spans="3:3" x14ac:dyDescent="0.2">
      <c r="C72" s="5"/>
    </row>
    <row r="73" spans="3:3" x14ac:dyDescent="0.2">
      <c r="C73" s="5"/>
    </row>
    <row r="74" spans="3:3" x14ac:dyDescent="0.2">
      <c r="C74" s="5"/>
    </row>
    <row r="75" spans="3:3" x14ac:dyDescent="0.2">
      <c r="C75" s="5"/>
    </row>
    <row r="76" spans="3:3" x14ac:dyDescent="0.2">
      <c r="C76" s="5"/>
    </row>
    <row r="77" spans="3:3" x14ac:dyDescent="0.2">
      <c r="C77" s="5"/>
    </row>
    <row r="78" spans="3:3" x14ac:dyDescent="0.2">
      <c r="C78" s="5"/>
    </row>
    <row r="79" spans="3:3" x14ac:dyDescent="0.2">
      <c r="C79" s="5"/>
    </row>
    <row r="80" spans="3:3" x14ac:dyDescent="0.2">
      <c r="C80" s="5"/>
    </row>
    <row r="81" spans="3:3" x14ac:dyDescent="0.2">
      <c r="C81" s="5"/>
    </row>
    <row r="82" spans="3:3" x14ac:dyDescent="0.2">
      <c r="C82" s="5"/>
    </row>
    <row r="83" spans="3:3" x14ac:dyDescent="0.2">
      <c r="C83" s="5"/>
    </row>
    <row r="84" spans="3:3" x14ac:dyDescent="0.2">
      <c r="C84" s="5"/>
    </row>
    <row r="85" spans="3:3" x14ac:dyDescent="0.2">
      <c r="C85" s="5"/>
    </row>
    <row r="86" spans="3:3" x14ac:dyDescent="0.2">
      <c r="C86" s="5"/>
    </row>
    <row r="87" spans="3:3" x14ac:dyDescent="0.2">
      <c r="C87" s="5"/>
    </row>
    <row r="88" spans="3:3" x14ac:dyDescent="0.2">
      <c r="C88" s="5"/>
    </row>
    <row r="89" spans="3:3" x14ac:dyDescent="0.2">
      <c r="C89" s="5"/>
    </row>
    <row r="90" spans="3:3" x14ac:dyDescent="0.2">
      <c r="C90" s="5"/>
    </row>
    <row r="91" spans="3:3" x14ac:dyDescent="0.2">
      <c r="C91" s="5"/>
    </row>
    <row r="92" spans="3:3" x14ac:dyDescent="0.2">
      <c r="C92" s="5"/>
    </row>
    <row r="93" spans="3:3" x14ac:dyDescent="0.2">
      <c r="C93" s="5"/>
    </row>
    <row r="94" spans="3:3" x14ac:dyDescent="0.2">
      <c r="C94" s="5"/>
    </row>
    <row r="95" spans="3:3" x14ac:dyDescent="0.2">
      <c r="C95" s="5"/>
    </row>
    <row r="96" spans="3:3" x14ac:dyDescent="0.2">
      <c r="C96" s="5"/>
    </row>
    <row r="97" spans="3:3" x14ac:dyDescent="0.2">
      <c r="C97" s="5"/>
    </row>
    <row r="98" spans="3:3" x14ac:dyDescent="0.2">
      <c r="C98" s="5"/>
    </row>
    <row r="99" spans="3:3" x14ac:dyDescent="0.2">
      <c r="C99" s="5"/>
    </row>
    <row r="100" spans="3:3" x14ac:dyDescent="0.2">
      <c r="C100" s="5"/>
    </row>
    <row r="101" spans="3:3" x14ac:dyDescent="0.2">
      <c r="C101" s="5"/>
    </row>
    <row r="102" spans="3:3" x14ac:dyDescent="0.2">
      <c r="C102" s="5"/>
    </row>
    <row r="103" spans="3:3" x14ac:dyDescent="0.2">
      <c r="C103" s="5"/>
    </row>
    <row r="104" spans="3:3" x14ac:dyDescent="0.2">
      <c r="C104" s="5"/>
    </row>
    <row r="105" spans="3:3" x14ac:dyDescent="0.2">
      <c r="C105" s="5"/>
    </row>
    <row r="106" spans="3:3" x14ac:dyDescent="0.2">
      <c r="C106" s="5"/>
    </row>
    <row r="107" spans="3:3" x14ac:dyDescent="0.2">
      <c r="C107" s="5"/>
    </row>
    <row r="108" spans="3:3" x14ac:dyDescent="0.2">
      <c r="C108" s="5"/>
    </row>
    <row r="109" spans="3:3" x14ac:dyDescent="0.2">
      <c r="C109" s="5"/>
    </row>
    <row r="110" spans="3:3" x14ac:dyDescent="0.2">
      <c r="C110" s="5"/>
    </row>
    <row r="111" spans="3:3" x14ac:dyDescent="0.2">
      <c r="C111" s="5"/>
    </row>
    <row r="112" spans="3:3" x14ac:dyDescent="0.2">
      <c r="C112" s="5"/>
    </row>
    <row r="113" spans="3:3" x14ac:dyDescent="0.2">
      <c r="C113" s="5"/>
    </row>
    <row r="114" spans="3:3" x14ac:dyDescent="0.2">
      <c r="C114" s="5"/>
    </row>
    <row r="115" spans="3:3" x14ac:dyDescent="0.2">
      <c r="C115" s="5"/>
    </row>
    <row r="116" spans="3:3" x14ac:dyDescent="0.2">
      <c r="C116" s="5"/>
    </row>
    <row r="117" spans="3:3" x14ac:dyDescent="0.2">
      <c r="C117" s="5"/>
    </row>
    <row r="118" spans="3:3" x14ac:dyDescent="0.2">
      <c r="C118" s="5"/>
    </row>
    <row r="119" spans="3:3" x14ac:dyDescent="0.2">
      <c r="C119" s="5"/>
    </row>
    <row r="120" spans="3:3" x14ac:dyDescent="0.2">
      <c r="C120" s="5"/>
    </row>
    <row r="121" spans="3:3" x14ac:dyDescent="0.2">
      <c r="C121" s="5"/>
    </row>
    <row r="122" spans="3:3" x14ac:dyDescent="0.2">
      <c r="C122" s="5"/>
    </row>
    <row r="123" spans="3:3" x14ac:dyDescent="0.2">
      <c r="C123" s="5"/>
    </row>
    <row r="124" spans="3:3" x14ac:dyDescent="0.2">
      <c r="C124" s="5"/>
    </row>
    <row r="125" spans="3:3" x14ac:dyDescent="0.2">
      <c r="C125" s="5"/>
    </row>
    <row r="126" spans="3:3" x14ac:dyDescent="0.2">
      <c r="C126" s="5"/>
    </row>
    <row r="127" spans="3:3" x14ac:dyDescent="0.2">
      <c r="C127" s="5"/>
    </row>
    <row r="128" spans="3:3" x14ac:dyDescent="0.2">
      <c r="C128" s="5"/>
    </row>
    <row r="129" spans="3:3" x14ac:dyDescent="0.2">
      <c r="C129" s="5"/>
    </row>
    <row r="130" spans="3:3" x14ac:dyDescent="0.2">
      <c r="C130" s="5"/>
    </row>
    <row r="131" spans="3:3" x14ac:dyDescent="0.2">
      <c r="C131" s="5"/>
    </row>
    <row r="132" spans="3:3" x14ac:dyDescent="0.2">
      <c r="C132" s="5"/>
    </row>
    <row r="133" spans="3:3" x14ac:dyDescent="0.2">
      <c r="C133" s="5"/>
    </row>
    <row r="134" spans="3:3" x14ac:dyDescent="0.2">
      <c r="C134" s="5"/>
    </row>
    <row r="135" spans="3:3" x14ac:dyDescent="0.2">
      <c r="C135" s="5"/>
    </row>
    <row r="136" spans="3:3" x14ac:dyDescent="0.2">
      <c r="C136" s="5"/>
    </row>
    <row r="137" spans="3:3" x14ac:dyDescent="0.2">
      <c r="C137" s="5"/>
    </row>
    <row r="138" spans="3:3" x14ac:dyDescent="0.2">
      <c r="C138" s="5"/>
    </row>
    <row r="139" spans="3:3" x14ac:dyDescent="0.2">
      <c r="C139" s="5"/>
    </row>
    <row r="140" spans="3:3" x14ac:dyDescent="0.2">
      <c r="C140" s="5"/>
    </row>
    <row r="141" spans="3:3" x14ac:dyDescent="0.2">
      <c r="C141" s="5"/>
    </row>
    <row r="142" spans="3:3" x14ac:dyDescent="0.2">
      <c r="C142" s="5"/>
    </row>
    <row r="143" spans="3:3" x14ac:dyDescent="0.2">
      <c r="C143" s="5"/>
    </row>
    <row r="144" spans="3:3" x14ac:dyDescent="0.2">
      <c r="C144" s="5"/>
    </row>
    <row r="145" spans="3:3" x14ac:dyDescent="0.2">
      <c r="C145" s="5"/>
    </row>
    <row r="146" spans="3:3" x14ac:dyDescent="0.2">
      <c r="C146" s="5"/>
    </row>
    <row r="147" spans="3:3" x14ac:dyDescent="0.2">
      <c r="C147" s="5"/>
    </row>
    <row r="148" spans="3:3" x14ac:dyDescent="0.2">
      <c r="C148" s="5"/>
    </row>
    <row r="149" spans="3:3" x14ac:dyDescent="0.2">
      <c r="C149" s="5"/>
    </row>
    <row r="150" spans="3:3" x14ac:dyDescent="0.2">
      <c r="C150" s="5"/>
    </row>
    <row r="151" spans="3:3" x14ac:dyDescent="0.2">
      <c r="C151" s="5"/>
    </row>
    <row r="152" spans="3:3" x14ac:dyDescent="0.2">
      <c r="C152" s="5"/>
    </row>
    <row r="153" spans="3:3" x14ac:dyDescent="0.2">
      <c r="C153" s="5"/>
    </row>
    <row r="154" spans="3:3" x14ac:dyDescent="0.2">
      <c r="C154" s="5"/>
    </row>
    <row r="155" spans="3:3" x14ac:dyDescent="0.2">
      <c r="C155" s="5"/>
    </row>
    <row r="156" spans="3:3" x14ac:dyDescent="0.2">
      <c r="C156" s="5"/>
    </row>
    <row r="157" spans="3:3" x14ac:dyDescent="0.2">
      <c r="C157" s="5"/>
    </row>
    <row r="158" spans="3:3" x14ac:dyDescent="0.2">
      <c r="C158" s="5"/>
    </row>
    <row r="159" spans="3:3" x14ac:dyDescent="0.2">
      <c r="C159" s="5"/>
    </row>
    <row r="160" spans="3:3" x14ac:dyDescent="0.2">
      <c r="C160" s="5"/>
    </row>
    <row r="161" spans="3:3" x14ac:dyDescent="0.2">
      <c r="C161" s="5"/>
    </row>
    <row r="162" spans="3:3" x14ac:dyDescent="0.2">
      <c r="C162" s="5"/>
    </row>
    <row r="163" spans="3:3" x14ac:dyDescent="0.2">
      <c r="C163" s="5"/>
    </row>
    <row r="164" spans="3:3" x14ac:dyDescent="0.2">
      <c r="C164" s="5"/>
    </row>
    <row r="165" spans="3:3" x14ac:dyDescent="0.2">
      <c r="C165" s="5"/>
    </row>
    <row r="166" spans="3:3" x14ac:dyDescent="0.2">
      <c r="C166" s="5"/>
    </row>
    <row r="167" spans="3:3" x14ac:dyDescent="0.2">
      <c r="C167" s="5"/>
    </row>
    <row r="168" spans="3:3" x14ac:dyDescent="0.2">
      <c r="C168" s="5"/>
    </row>
    <row r="169" spans="3:3" x14ac:dyDescent="0.2">
      <c r="C169" s="5"/>
    </row>
    <row r="170" spans="3:3" x14ac:dyDescent="0.2">
      <c r="C170" s="5"/>
    </row>
    <row r="171" spans="3:3" x14ac:dyDescent="0.2">
      <c r="C171" s="5"/>
    </row>
    <row r="172" spans="3:3" x14ac:dyDescent="0.2">
      <c r="C172" s="5"/>
    </row>
    <row r="173" spans="3:3" x14ac:dyDescent="0.2">
      <c r="C173" s="5"/>
    </row>
    <row r="174" spans="3:3" x14ac:dyDescent="0.2">
      <c r="C174" s="5"/>
    </row>
    <row r="175" spans="3:3" x14ac:dyDescent="0.2">
      <c r="C175" s="5"/>
    </row>
    <row r="176" spans="3:3" x14ac:dyDescent="0.2">
      <c r="C176" s="5"/>
    </row>
    <row r="177" spans="3:3" x14ac:dyDescent="0.2">
      <c r="C177" s="5"/>
    </row>
    <row r="178" spans="3:3" x14ac:dyDescent="0.2">
      <c r="C178" s="5"/>
    </row>
    <row r="179" spans="3:3" x14ac:dyDescent="0.2">
      <c r="C179" s="5"/>
    </row>
    <row r="180" spans="3:3" x14ac:dyDescent="0.2">
      <c r="C180" s="5"/>
    </row>
    <row r="181" spans="3:3" x14ac:dyDescent="0.2">
      <c r="C181" s="5"/>
    </row>
    <row r="182" spans="3:3" x14ac:dyDescent="0.2">
      <c r="C182" s="5"/>
    </row>
    <row r="183" spans="3:3" x14ac:dyDescent="0.2">
      <c r="C183" s="5"/>
    </row>
    <row r="184" spans="3:3" x14ac:dyDescent="0.2">
      <c r="C184" s="5"/>
    </row>
    <row r="185" spans="3:3" x14ac:dyDescent="0.2">
      <c r="C185" s="5"/>
    </row>
    <row r="186" spans="3:3" x14ac:dyDescent="0.2">
      <c r="C186" s="5"/>
    </row>
    <row r="187" spans="3:3" x14ac:dyDescent="0.2">
      <c r="C187" s="5"/>
    </row>
    <row r="188" spans="3:3" x14ac:dyDescent="0.2">
      <c r="C188" s="5"/>
    </row>
    <row r="189" spans="3:3" x14ac:dyDescent="0.2">
      <c r="C189" s="5"/>
    </row>
    <row r="190" spans="3:3" x14ac:dyDescent="0.2">
      <c r="C190" s="5"/>
    </row>
    <row r="191" spans="3:3" x14ac:dyDescent="0.2">
      <c r="C191" s="5"/>
    </row>
    <row r="192" spans="3:3" x14ac:dyDescent="0.2">
      <c r="C192" s="5"/>
    </row>
    <row r="193" spans="3:3" x14ac:dyDescent="0.2">
      <c r="C193" s="5"/>
    </row>
    <row r="194" spans="3:3" x14ac:dyDescent="0.2">
      <c r="C194" s="5"/>
    </row>
    <row r="195" spans="3:3" x14ac:dyDescent="0.2">
      <c r="C195" s="5"/>
    </row>
    <row r="196" spans="3:3" x14ac:dyDescent="0.2">
      <c r="C196" s="5"/>
    </row>
    <row r="197" spans="3:3" x14ac:dyDescent="0.2">
      <c r="C197" s="5"/>
    </row>
    <row r="198" spans="3:3" x14ac:dyDescent="0.2">
      <c r="C198" s="5"/>
    </row>
    <row r="199" spans="3:3" x14ac:dyDescent="0.2">
      <c r="C199" s="5"/>
    </row>
    <row r="200" spans="3:3" x14ac:dyDescent="0.2">
      <c r="C200" s="5"/>
    </row>
    <row r="201" spans="3:3" x14ac:dyDescent="0.2">
      <c r="C201" s="5"/>
    </row>
    <row r="202" spans="3:3" x14ac:dyDescent="0.2">
      <c r="C202" s="5"/>
    </row>
    <row r="203" spans="3:3" x14ac:dyDescent="0.2">
      <c r="C203" s="5"/>
    </row>
    <row r="204" spans="3:3" x14ac:dyDescent="0.2">
      <c r="C204" s="5"/>
    </row>
    <row r="205" spans="3:3" x14ac:dyDescent="0.2">
      <c r="C205" s="5"/>
    </row>
    <row r="206" spans="3:3" x14ac:dyDescent="0.2">
      <c r="C206" s="5"/>
    </row>
    <row r="207" spans="3:3" x14ac:dyDescent="0.2">
      <c r="C207" s="5"/>
    </row>
    <row r="208" spans="3:3" x14ac:dyDescent="0.2">
      <c r="C208" s="5"/>
    </row>
    <row r="209" spans="3:3" x14ac:dyDescent="0.2">
      <c r="C209" s="5"/>
    </row>
    <row r="210" spans="3:3" x14ac:dyDescent="0.2">
      <c r="C210" s="5"/>
    </row>
    <row r="211" spans="3:3" x14ac:dyDescent="0.2">
      <c r="C211" s="5"/>
    </row>
    <row r="212" spans="3:3" x14ac:dyDescent="0.2">
      <c r="C212" s="5"/>
    </row>
    <row r="213" spans="3:3" x14ac:dyDescent="0.2">
      <c r="C213" s="5"/>
    </row>
    <row r="214" spans="3:3" x14ac:dyDescent="0.2">
      <c r="C214" s="5"/>
    </row>
    <row r="215" spans="3:3" x14ac:dyDescent="0.2">
      <c r="C215" s="5"/>
    </row>
    <row r="216" spans="3:3" x14ac:dyDescent="0.2">
      <c r="C216" s="5"/>
    </row>
    <row r="217" spans="3:3" x14ac:dyDescent="0.2">
      <c r="C217" s="5"/>
    </row>
    <row r="218" spans="3:3" x14ac:dyDescent="0.2">
      <c r="C218" s="5"/>
    </row>
    <row r="219" spans="3:3" x14ac:dyDescent="0.2">
      <c r="C219" s="5"/>
    </row>
    <row r="220" spans="3:3" x14ac:dyDescent="0.2">
      <c r="C220" s="5"/>
    </row>
    <row r="221" spans="3:3" x14ac:dyDescent="0.2">
      <c r="C221" s="5"/>
    </row>
    <row r="222" spans="3:3" x14ac:dyDescent="0.2">
      <c r="C222" s="5"/>
    </row>
    <row r="223" spans="3:3" x14ac:dyDescent="0.2">
      <c r="C223" s="5"/>
    </row>
    <row r="224" spans="3:3" x14ac:dyDescent="0.2">
      <c r="C224" s="5"/>
    </row>
    <row r="225" spans="3:3" x14ac:dyDescent="0.2">
      <c r="C225" s="5"/>
    </row>
    <row r="226" spans="3:3" x14ac:dyDescent="0.2">
      <c r="C226" s="5"/>
    </row>
    <row r="227" spans="3:3" x14ac:dyDescent="0.2">
      <c r="C227" s="5"/>
    </row>
    <row r="228" spans="3:3" x14ac:dyDescent="0.2">
      <c r="C228" s="5"/>
    </row>
    <row r="229" spans="3:3" x14ac:dyDescent="0.2">
      <c r="C229" s="5"/>
    </row>
    <row r="230" spans="3:3" x14ac:dyDescent="0.2">
      <c r="C230" s="5"/>
    </row>
    <row r="231" spans="3:3" x14ac:dyDescent="0.2">
      <c r="C231" s="5"/>
    </row>
    <row r="232" spans="3:3" x14ac:dyDescent="0.2">
      <c r="C232" s="5"/>
    </row>
    <row r="233" spans="3:3" x14ac:dyDescent="0.2">
      <c r="C233" s="5"/>
    </row>
    <row r="234" spans="3:3" x14ac:dyDescent="0.2">
      <c r="C234" s="5"/>
    </row>
    <row r="235" spans="3:3" x14ac:dyDescent="0.2">
      <c r="C235" s="5"/>
    </row>
    <row r="236" spans="3:3" x14ac:dyDescent="0.2">
      <c r="C236" s="5"/>
    </row>
    <row r="237" spans="3:3" x14ac:dyDescent="0.2">
      <c r="C237" s="5"/>
    </row>
    <row r="238" spans="3:3" x14ac:dyDescent="0.2">
      <c r="C238" s="5"/>
    </row>
    <row r="239" spans="3:3" x14ac:dyDescent="0.2">
      <c r="C239" s="5"/>
    </row>
    <row r="240" spans="3:3" x14ac:dyDescent="0.2">
      <c r="C240" s="5"/>
    </row>
    <row r="241" spans="3:3" x14ac:dyDescent="0.2">
      <c r="C241" s="5"/>
    </row>
    <row r="242" spans="3:3" x14ac:dyDescent="0.2">
      <c r="C242" s="5"/>
    </row>
    <row r="243" spans="3:3" x14ac:dyDescent="0.2">
      <c r="C243" s="5"/>
    </row>
    <row r="244" spans="3:3" x14ac:dyDescent="0.2">
      <c r="C244" s="5"/>
    </row>
    <row r="245" spans="3:3" x14ac:dyDescent="0.2">
      <c r="C245" s="5"/>
    </row>
    <row r="246" spans="3:3" x14ac:dyDescent="0.2">
      <c r="C246" s="5"/>
    </row>
    <row r="247" spans="3:3" x14ac:dyDescent="0.2">
      <c r="C247" s="5"/>
    </row>
    <row r="248" spans="3:3" x14ac:dyDescent="0.2">
      <c r="C248" s="5"/>
    </row>
    <row r="249" spans="3:3" x14ac:dyDescent="0.2">
      <c r="C249" s="5"/>
    </row>
    <row r="250" spans="3:3" x14ac:dyDescent="0.2">
      <c r="C250" s="5"/>
    </row>
    <row r="251" spans="3:3" x14ac:dyDescent="0.2">
      <c r="C251" s="5"/>
    </row>
    <row r="252" spans="3:3" x14ac:dyDescent="0.2">
      <c r="C252" s="5"/>
    </row>
    <row r="253" spans="3:3" x14ac:dyDescent="0.2">
      <c r="C253" s="5"/>
    </row>
    <row r="254" spans="3:3" x14ac:dyDescent="0.2">
      <c r="C254" s="5"/>
    </row>
    <row r="255" spans="3:3" x14ac:dyDescent="0.2">
      <c r="C255" s="5"/>
    </row>
    <row r="256" spans="3:3" x14ac:dyDescent="0.2">
      <c r="C256" s="5"/>
    </row>
    <row r="257" spans="3:3" x14ac:dyDescent="0.2">
      <c r="C257" s="5"/>
    </row>
    <row r="258" spans="3:3" x14ac:dyDescent="0.2">
      <c r="C258" s="5"/>
    </row>
    <row r="259" spans="3:3" x14ac:dyDescent="0.2">
      <c r="C259" s="5"/>
    </row>
    <row r="260" spans="3:3" x14ac:dyDescent="0.2">
      <c r="C260" s="5"/>
    </row>
    <row r="261" spans="3:3" x14ac:dyDescent="0.2">
      <c r="C261" s="5"/>
    </row>
    <row r="262" spans="3:3" x14ac:dyDescent="0.2">
      <c r="C262" s="5"/>
    </row>
    <row r="263" spans="3:3" x14ac:dyDescent="0.2">
      <c r="C263" s="5"/>
    </row>
    <row r="264" spans="3:3" x14ac:dyDescent="0.2">
      <c r="C264" s="5"/>
    </row>
    <row r="265" spans="3:3" x14ac:dyDescent="0.2">
      <c r="C265" s="5"/>
    </row>
    <row r="266" spans="3:3" x14ac:dyDescent="0.2">
      <c r="C266" s="5"/>
    </row>
    <row r="267" spans="3:3" x14ac:dyDescent="0.2">
      <c r="C267" s="5"/>
    </row>
    <row r="268" spans="3:3" x14ac:dyDescent="0.2">
      <c r="C268" s="5"/>
    </row>
    <row r="269" spans="3:3" x14ac:dyDescent="0.2">
      <c r="C269" s="5"/>
    </row>
    <row r="270" spans="3:3" x14ac:dyDescent="0.2">
      <c r="C270" s="5"/>
    </row>
    <row r="271" spans="3:3" x14ac:dyDescent="0.2">
      <c r="C271" s="5"/>
    </row>
    <row r="272" spans="3:3" x14ac:dyDescent="0.2">
      <c r="C272" s="5"/>
    </row>
    <row r="273" spans="3:3" x14ac:dyDescent="0.2">
      <c r="C273" s="5"/>
    </row>
    <row r="274" spans="3:3" x14ac:dyDescent="0.2">
      <c r="C274" s="5"/>
    </row>
    <row r="275" spans="3:3" x14ac:dyDescent="0.2">
      <c r="C275" s="5"/>
    </row>
    <row r="276" spans="3:3" x14ac:dyDescent="0.2">
      <c r="C276" s="5"/>
    </row>
    <row r="277" spans="3:3" x14ac:dyDescent="0.2">
      <c r="C277" s="5"/>
    </row>
    <row r="278" spans="3:3" x14ac:dyDescent="0.2">
      <c r="C278" s="5"/>
    </row>
    <row r="279" spans="3:3" x14ac:dyDescent="0.2">
      <c r="C279" s="5"/>
    </row>
    <row r="280" spans="3:3" x14ac:dyDescent="0.2">
      <c r="C280" s="5"/>
    </row>
    <row r="281" spans="3:3" x14ac:dyDescent="0.2">
      <c r="C281" s="5"/>
    </row>
    <row r="282" spans="3:3" x14ac:dyDescent="0.2">
      <c r="C282" s="5"/>
    </row>
    <row r="283" spans="3:3" x14ac:dyDescent="0.2">
      <c r="C283" s="5"/>
    </row>
    <row r="284" spans="3:3" x14ac:dyDescent="0.2">
      <c r="C284" s="5"/>
    </row>
    <row r="285" spans="3:3" x14ac:dyDescent="0.2">
      <c r="C285" s="5"/>
    </row>
    <row r="286" spans="3:3" x14ac:dyDescent="0.2">
      <c r="C286" s="5"/>
    </row>
    <row r="287" spans="3:3" x14ac:dyDescent="0.2">
      <c r="C287" s="5"/>
    </row>
    <row r="288" spans="3:3" x14ac:dyDescent="0.2">
      <c r="C288" s="5"/>
    </row>
    <row r="289" spans="3:3" x14ac:dyDescent="0.2">
      <c r="C289" s="5"/>
    </row>
    <row r="290" spans="3:3" x14ac:dyDescent="0.2">
      <c r="C290" s="5"/>
    </row>
    <row r="291" spans="3:3" x14ac:dyDescent="0.2">
      <c r="C291" s="5"/>
    </row>
    <row r="292" spans="3:3" x14ac:dyDescent="0.2">
      <c r="C292" s="5"/>
    </row>
    <row r="293" spans="3:3" x14ac:dyDescent="0.2">
      <c r="C293" s="5"/>
    </row>
    <row r="294" spans="3:3" x14ac:dyDescent="0.2">
      <c r="C294" s="5"/>
    </row>
    <row r="295" spans="3:3" x14ac:dyDescent="0.2">
      <c r="C295" s="5"/>
    </row>
    <row r="296" spans="3:3" x14ac:dyDescent="0.2">
      <c r="C296" s="5"/>
    </row>
    <row r="297" spans="3:3" x14ac:dyDescent="0.2">
      <c r="C297" s="5"/>
    </row>
    <row r="298" spans="3:3" x14ac:dyDescent="0.2">
      <c r="C298" s="5"/>
    </row>
    <row r="299" spans="3:3" x14ac:dyDescent="0.2">
      <c r="C299" s="5"/>
    </row>
    <row r="300" spans="3:3" x14ac:dyDescent="0.2">
      <c r="C300" s="5"/>
    </row>
    <row r="301" spans="3:3" x14ac:dyDescent="0.2">
      <c r="C301" s="5"/>
    </row>
    <row r="302" spans="3:3" x14ac:dyDescent="0.2">
      <c r="C302" s="5"/>
    </row>
    <row r="303" spans="3:3" x14ac:dyDescent="0.2">
      <c r="C303" s="5"/>
    </row>
    <row r="304" spans="3:3" x14ac:dyDescent="0.2">
      <c r="C304" s="5"/>
    </row>
    <row r="305" spans="3:3" x14ac:dyDescent="0.2">
      <c r="C305" s="5"/>
    </row>
    <row r="306" spans="3:3" x14ac:dyDescent="0.2">
      <c r="C306" s="5"/>
    </row>
  </sheetData>
  <pageMargins left="0.7" right="0.7" top="0.75" bottom="0.75"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4.25" x14ac:dyDescent="0.2"/>
  <cols>
    <col min="1" max="1" width="36.25" customWidth="1"/>
    <col min="2" max="2" width="38.125" customWidth="1"/>
  </cols>
  <sheetData>
    <row r="3" spans="1:3" ht="15" x14ac:dyDescent="0.25">
      <c r="A3" s="165" t="s">
        <v>528</v>
      </c>
      <c r="B3" s="165" t="s">
        <v>11</v>
      </c>
    </row>
    <row r="4" spans="1:3" x14ac:dyDescent="0.2">
      <c r="A4" s="166" t="s">
        <v>529</v>
      </c>
      <c r="B4" s="166" t="s">
        <v>530</v>
      </c>
      <c r="C4" s="5" t="e">
        <f ca="1">'Summary Calculations (hide)'!X72</f>
        <v>#N/A</v>
      </c>
    </row>
    <row r="5" spans="1:3" x14ac:dyDescent="0.2">
      <c r="A5" s="166" t="s">
        <v>531</v>
      </c>
      <c r="B5" s="166" t="s">
        <v>532</v>
      </c>
      <c r="C5" s="5" t="e">
        <f ca="1">'Summary Calculations (hide)'!M70</f>
        <v>#N/A</v>
      </c>
    </row>
    <row r="6" spans="1:3" x14ac:dyDescent="0.2">
      <c r="A6" s="166" t="s">
        <v>533</v>
      </c>
      <c r="B6" s="166" t="s">
        <v>534</v>
      </c>
      <c r="C6" s="5" t="e">
        <f ca="1">'Summary Calculations (hide)'!N70</f>
        <v>#N/A</v>
      </c>
    </row>
    <row r="7" spans="1:3" ht="42.75" x14ac:dyDescent="0.2">
      <c r="A7" s="166" t="s">
        <v>99</v>
      </c>
      <c r="B7" s="166" t="s">
        <v>535</v>
      </c>
      <c r="C7" t="e">
        <f ca="1">'Parameters calculator (hide)'!B45</f>
        <v>#N/A</v>
      </c>
    </row>
    <row r="8" spans="1:3" ht="28.5" x14ac:dyDescent="0.2">
      <c r="A8" s="166" t="s">
        <v>536</v>
      </c>
      <c r="B8" s="166" t="s">
        <v>537</v>
      </c>
      <c r="C8">
        <f ca="1">'Parameters calculator (hide)'!B46</f>
        <v>0</v>
      </c>
    </row>
    <row r="9" spans="1:3" ht="42.75" x14ac:dyDescent="0.2">
      <c r="A9" s="166" t="s">
        <v>538</v>
      </c>
      <c r="B9" s="166" t="s">
        <v>539</v>
      </c>
      <c r="C9">
        <v>0</v>
      </c>
    </row>
    <row r="10" spans="1:3" ht="28.5" x14ac:dyDescent="0.2">
      <c r="A10" s="166" t="s">
        <v>540</v>
      </c>
      <c r="B10" s="166" t="s">
        <v>541</v>
      </c>
      <c r="C10">
        <v>0</v>
      </c>
    </row>
    <row r="11" spans="1:3" ht="57" x14ac:dyDescent="0.2">
      <c r="A11" s="166" t="s">
        <v>542</v>
      </c>
      <c r="B11" s="166" t="s">
        <v>543</v>
      </c>
      <c r="C11">
        <f ca="1">'Parameters calculator (hide)'!B47</f>
        <v>1</v>
      </c>
    </row>
    <row r="12" spans="1:3" x14ac:dyDescent="0.2">
      <c r="A12" s="166" t="s">
        <v>494</v>
      </c>
      <c r="B12" s="166" t="s">
        <v>544</v>
      </c>
      <c r="C12" s="5" t="e">
        <f ca="1">SUM('Summary Calculations (hide)'!R70:S70)</f>
        <v>#N/A</v>
      </c>
    </row>
    <row r="13" spans="1:3" x14ac:dyDescent="0.2">
      <c r="A13" s="166" t="s">
        <v>545</v>
      </c>
      <c r="B13" s="166" t="s">
        <v>546</v>
      </c>
      <c r="C13" s="5" t="e">
        <f ca="1">'Parameters calculator (hide)'!F63</f>
        <v>#VALUE!</v>
      </c>
    </row>
    <row r="14" spans="1:3" x14ac:dyDescent="0.2">
      <c r="A14" s="166" t="s">
        <v>547</v>
      </c>
      <c r="B14" s="166" t="s">
        <v>548</v>
      </c>
      <c r="C14" s="5">
        <f ca="1">'Parameters calculator (hide)'!B79</f>
        <v>30</v>
      </c>
    </row>
    <row r="15" spans="1:3" x14ac:dyDescent="0.2">
      <c r="A15" s="166" t="s">
        <v>75</v>
      </c>
      <c r="B15" s="166" t="s">
        <v>549</v>
      </c>
      <c r="C15" t="e">
        <f ca="1">'Parameters calculator (hide)'!B43+'Parameters calculator (hide)'!B44</f>
        <v>#N/A</v>
      </c>
    </row>
    <row r="16" spans="1:3" x14ac:dyDescent="0.2">
      <c r="A16" s="166" t="s">
        <v>550</v>
      </c>
      <c r="B16" s="166" t="s">
        <v>551</v>
      </c>
      <c r="C16">
        <v>0</v>
      </c>
    </row>
    <row r="17" spans="1:3" x14ac:dyDescent="0.2">
      <c r="A17" s="166" t="s">
        <v>552</v>
      </c>
      <c r="B17" s="166" t="s">
        <v>553</v>
      </c>
      <c r="C17">
        <f>IF(Summary!$C$8="Patients",0,1)</f>
        <v>0</v>
      </c>
    </row>
    <row r="18" spans="1:3" ht="28.5" x14ac:dyDescent="0.2">
      <c r="A18" s="166" t="s">
        <v>554</v>
      </c>
      <c r="B18" s="166" t="s">
        <v>555</v>
      </c>
      <c r="C18">
        <f>IF(C17=0,1,'Summary Calculations (hide)'!$I$9)</f>
        <v>1</v>
      </c>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Version control</vt:lpstr>
      <vt:lpstr>List</vt:lpstr>
      <vt:lpstr>Control sheet (hide)</vt:lpstr>
      <vt:lpstr>Notes</vt:lpstr>
      <vt:lpstr>Setup</vt:lpstr>
      <vt:lpstr>Demand</vt:lpstr>
      <vt:lpstr>Demand background (hide)</vt:lpstr>
      <vt:lpstr>Demand adjustments for Covid</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Capacity Scenario (H)</vt:lpstr>
      <vt:lpstr>Pathway</vt:lpstr>
      <vt:lpstr>Summary</vt:lpstr>
      <vt:lpstr>Lock (hide)</vt:lpstr>
      <vt:lpstr>Summary Calculations (hide)</vt:lpstr>
      <vt:lpstr>WL PI Backing (hide)</vt:lpstr>
      <vt:lpstr>Planning</vt:lpstr>
      <vt:lpstr>Planning Scenarios</vt:lpstr>
      <vt:lpstr>Planning (hide)</vt:lpstr>
      <vt:lpstr>Export (hide)</vt:lpstr>
      <vt:lpstr>Cap_Chart_Xaxis</vt:lpstr>
      <vt:lpstr>Emergency1</vt:lpstr>
      <vt:lpstr>Emergency2</vt:lpstr>
      <vt:lpstr>Emergency3</vt:lpstr>
      <vt:lpstr>Emergency4</vt:lpstr>
      <vt:lpstr>frequency_number</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Sai Khunpha</cp:lastModifiedBy>
  <dcterms:created xsi:type="dcterms:W3CDTF">2018-01-30T12:52:20Z</dcterms:created>
  <dcterms:modified xsi:type="dcterms:W3CDTF">2021-08-10T12:25:07Z</dcterms:modified>
</cp:coreProperties>
</file>